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1.AzureAD\Downloads\"/>
    </mc:Choice>
  </mc:AlternateContent>
  <xr:revisionPtr revIDLastSave="0" documentId="8_{CC063506-2218-4A5F-861F-FF2723B539E6}" xr6:coauthVersionLast="47" xr6:coauthVersionMax="47" xr10:uidLastSave="{00000000-0000-0000-0000-000000000000}"/>
  <bookViews>
    <workbookView xWindow="-28920" yWindow="-120" windowWidth="29040" windowHeight="15840" firstSheet="25" activeTab="32" xr2:uid="{00000000-000D-0000-FFFF-FFFF00000000}"/>
  </bookViews>
  <sheets>
    <sheet name="Adj Highlights" sheetId="2" r:id="rId1"/>
    <sheet name="GAAP Highlights" sheetId="3" r:id="rId2"/>
    <sheet name="Earnings" sheetId="4" r:id="rId3"/>
    <sheet name="Enterprise Value" sheetId="5" r:id="rId4"/>
    <sheet name="Multiples" sheetId="6" r:id="rId5"/>
    <sheet name="Per Share" sheetId="7" r:id="rId6"/>
    <sheet name="Stock Value" sheetId="8" r:id="rId7"/>
    <sheet name="EV Ex Operating Leases" sheetId="9" r:id="rId8"/>
    <sheet name="Income - Adjusted" sheetId="10" r:id="rId9"/>
    <sheet name="Income - GAAP" sheetId="11" r:id="rId10"/>
    <sheet name="Income - As Reported" sheetId="12" r:id="rId11"/>
    <sheet name="Reconciliation" sheetId="13" r:id="rId12"/>
    <sheet name="SBC &amp; Amort" sheetId="14" r:id="rId13"/>
    <sheet name="Adj %" sheetId="15" r:id="rId14"/>
    <sheet name="GAAP %" sheetId="16" r:id="rId15"/>
    <sheet name="Bal Sheet - Standardized" sheetId="17" r:id="rId16"/>
    <sheet name="Bal Sheet - As Reported" sheetId="18" r:id="rId17"/>
    <sheet name="Bal Sheet - Common Size" sheetId="19" r:id="rId18"/>
    <sheet name="Fair Value Analysis" sheetId="20" r:id="rId19"/>
    <sheet name="Cash Flow - Standardized" sheetId="21" r:id="rId20"/>
    <sheet name="Cash Flow - As Reported" sheetId="22" r:id="rId21"/>
    <sheet name="Profitability" sheetId="23" r:id="rId22"/>
    <sheet name="Growth" sheetId="24" r:id="rId23"/>
    <sheet name="Credit" sheetId="25" r:id="rId24"/>
    <sheet name="Credit Ex Operating Leases" sheetId="26" r:id="rId25"/>
    <sheet name="Liquidity" sheetId="27" r:id="rId26"/>
    <sheet name="Working Capital" sheetId="28" r:id="rId27"/>
    <sheet name="Yield Analysis" sheetId="29" r:id="rId28"/>
    <sheet name="DuPont Analysis" sheetId="30" r:id="rId29"/>
    <sheet name="By Measure" sheetId="31" r:id="rId30"/>
    <sheet name="By Geography" sheetId="32" r:id="rId31"/>
    <sheet name="By Segment" sheetId="33" r:id="rId32"/>
    <sheet name="ESG Ratios" sheetId="34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D19" i="6"/>
  <c r="D6" i="6"/>
  <c r="E15" i="4"/>
  <c r="D14" i="6"/>
  <c r="D8" i="6"/>
  <c r="E14" i="4"/>
  <c r="E7" i="4"/>
  <c r="E36" i="4"/>
  <c r="D25" i="5"/>
  <c r="E42" i="4"/>
  <c r="D28" i="6"/>
  <c r="E35" i="4"/>
  <c r="E49" i="4"/>
  <c r="E28" i="4"/>
  <c r="E21" i="4"/>
  <c r="G21" i="3"/>
  <c r="D15" i="5"/>
  <c r="D18" i="6"/>
  <c r="Y14" i="4"/>
  <c r="Y21" i="4"/>
  <c r="X12" i="6"/>
  <c r="X32" i="6"/>
  <c r="X25" i="5"/>
  <c r="Y7" i="4"/>
  <c r="X7" i="6"/>
  <c r="X17" i="6"/>
  <c r="AA21" i="3"/>
  <c r="X15" i="5"/>
  <c r="Y15" i="4"/>
  <c r="X8" i="6"/>
  <c r="X11" i="6"/>
  <c r="Y49" i="4"/>
  <c r="X18" i="6"/>
  <c r="Y28" i="4"/>
  <c r="X28" i="6"/>
  <c r="Y25" i="7"/>
  <c r="Y42" i="4"/>
  <c r="U14" i="4"/>
  <c r="W21" i="3"/>
  <c r="U49" i="4"/>
  <c r="U7" i="4"/>
  <c r="U28" i="4"/>
  <c r="T16" i="6"/>
  <c r="U42" i="4"/>
  <c r="U35" i="4"/>
  <c r="U21" i="4"/>
  <c r="T26" i="6"/>
  <c r="V13" i="8"/>
  <c r="T14" i="6"/>
  <c r="U36" i="4"/>
  <c r="T8" i="6"/>
  <c r="T25" i="5"/>
  <c r="T19" i="6"/>
  <c r="T9" i="6"/>
  <c r="T6" i="6"/>
  <c r="T18" i="6"/>
  <c r="I28" i="4"/>
  <c r="H28" i="6"/>
  <c r="I22" i="7"/>
  <c r="I7" i="4"/>
  <c r="I42" i="4"/>
  <c r="H12" i="6"/>
  <c r="I14" i="4"/>
  <c r="H15" i="5"/>
  <c r="H17" i="6"/>
  <c r="I21" i="4"/>
  <c r="K21" i="3"/>
  <c r="I15" i="4"/>
  <c r="J8" i="8"/>
  <c r="H25" i="5"/>
  <c r="I35" i="4"/>
  <c r="H32" i="6"/>
  <c r="I25" i="7"/>
  <c r="H8" i="6"/>
  <c r="H11" i="6"/>
  <c r="V36" i="4"/>
  <c r="U15" i="5"/>
  <c r="U29" i="6"/>
  <c r="U9" i="6"/>
  <c r="W9" i="8"/>
  <c r="U52" i="6"/>
  <c r="U6" i="6"/>
  <c r="U32" i="6"/>
  <c r="U26" i="6"/>
  <c r="U12" i="6"/>
  <c r="P26" i="6"/>
  <c r="P7" i="6"/>
  <c r="V22" i="7"/>
  <c r="U19" i="6"/>
  <c r="Q35" i="4"/>
  <c r="V21" i="4"/>
  <c r="P16" i="6"/>
  <c r="Q21" i="4"/>
  <c r="P27" i="6"/>
  <c r="U16" i="6"/>
  <c r="Q28" i="4"/>
  <c r="V49" i="4"/>
  <c r="V35" i="4"/>
  <c r="P17" i="6"/>
  <c r="V7" i="4"/>
  <c r="V28" i="4"/>
  <c r="P33" i="6"/>
  <c r="R14" i="8"/>
  <c r="V15" i="4"/>
  <c r="Q7" i="4"/>
  <c r="V14" i="4"/>
  <c r="P12" i="6"/>
  <c r="Q49" i="4"/>
  <c r="P13" i="6"/>
  <c r="Q36" i="4"/>
  <c r="P25" i="9"/>
  <c r="Q14" i="4"/>
  <c r="R7" i="8"/>
  <c r="P6" i="6"/>
  <c r="F22" i="7"/>
  <c r="F49" i="4"/>
  <c r="E15" i="5"/>
  <c r="F35" i="4"/>
  <c r="F36" i="4"/>
  <c r="E26" i="6"/>
  <c r="E9" i="6"/>
  <c r="F28" i="4"/>
  <c r="E29" i="6"/>
  <c r="E12" i="6"/>
  <c r="E32" i="6"/>
  <c r="E6" i="6"/>
  <c r="F15" i="4"/>
  <c r="E16" i="6"/>
  <c r="F21" i="4"/>
  <c r="E15" i="9"/>
  <c r="F7" i="4"/>
  <c r="F14" i="4"/>
  <c r="E19" i="6"/>
  <c r="I25" i="5"/>
  <c r="J42" i="4"/>
  <c r="K8" i="8"/>
  <c r="I6" i="6"/>
  <c r="I8" i="6"/>
  <c r="J21" i="4"/>
  <c r="L21" i="3"/>
  <c r="I15" i="9"/>
  <c r="J14" i="4"/>
  <c r="J36" i="4"/>
  <c r="J35" i="4"/>
  <c r="J15" i="4"/>
  <c r="J28" i="4"/>
  <c r="I14" i="6"/>
  <c r="J25" i="7"/>
  <c r="I18" i="6"/>
  <c r="I28" i="6"/>
  <c r="I15" i="5"/>
  <c r="J7" i="4"/>
  <c r="N14" i="4"/>
  <c r="N15" i="4"/>
  <c r="N49" i="4"/>
  <c r="N42" i="4"/>
  <c r="N35" i="4"/>
  <c r="M25" i="9"/>
  <c r="M7" i="6"/>
  <c r="M27" i="6"/>
  <c r="N21" i="4"/>
  <c r="M25" i="5"/>
  <c r="N36" i="4"/>
  <c r="M34" i="6"/>
  <c r="M11" i="6"/>
  <c r="N28" i="4"/>
  <c r="P21" i="3"/>
  <c r="M15" i="5"/>
  <c r="M14" i="6"/>
  <c r="M17" i="6"/>
  <c r="N7" i="4"/>
  <c r="S29" i="4"/>
  <c r="S24" i="10"/>
  <c r="S43" i="4"/>
  <c r="S22" i="4"/>
  <c r="S24" i="2"/>
  <c r="S8" i="4"/>
  <c r="S8" i="2"/>
  <c r="U25" i="3"/>
  <c r="M27" i="7"/>
  <c r="L9" i="6"/>
  <c r="M35" i="4"/>
  <c r="L15" i="5"/>
  <c r="M15" i="4"/>
  <c r="O21" i="3"/>
  <c r="M42" i="4"/>
  <c r="M14" i="4"/>
  <c r="M7" i="4"/>
  <c r="L34" i="6"/>
  <c r="M21" i="4"/>
  <c r="N14" i="8"/>
  <c r="L8" i="6"/>
  <c r="L11" i="6"/>
  <c r="M28" i="4"/>
  <c r="L14" i="6"/>
  <c r="L13" i="6"/>
  <c r="L25" i="9"/>
  <c r="M49" i="4"/>
  <c r="R13" i="6"/>
  <c r="R9" i="6"/>
  <c r="S15" i="4"/>
  <c r="R8" i="6"/>
  <c r="S49" i="4"/>
  <c r="S36" i="4"/>
  <c r="U21" i="3"/>
  <c r="R15" i="5"/>
  <c r="R19" i="6"/>
  <c r="T13" i="8"/>
  <c r="S21" i="4"/>
  <c r="R25" i="5"/>
  <c r="S26" i="7"/>
  <c r="S7" i="4"/>
  <c r="S14" i="4"/>
  <c r="R12" i="6"/>
  <c r="R33" i="6"/>
  <c r="R18" i="6"/>
  <c r="R29" i="6"/>
  <c r="L35" i="4"/>
  <c r="L25" i="7"/>
  <c r="K34" i="6"/>
  <c r="K18" i="6"/>
  <c r="L14" i="4"/>
  <c r="L27" i="7"/>
  <c r="N21" i="3"/>
  <c r="K25" i="5"/>
  <c r="K15" i="5"/>
  <c r="K15" i="9"/>
  <c r="L15" i="4"/>
  <c r="K11" i="6"/>
  <c r="K28" i="6"/>
  <c r="K8" i="6"/>
  <c r="M8" i="8"/>
  <c r="L7" i="4"/>
  <c r="K14" i="6"/>
  <c r="L28" i="4"/>
  <c r="L42" i="4"/>
  <c r="F24" i="2"/>
  <c r="F43" i="4"/>
  <c r="F29" i="4"/>
  <c r="F16" i="10"/>
  <c r="F8" i="2"/>
  <c r="F8" i="4"/>
  <c r="F50" i="4"/>
  <c r="E56" i="6"/>
  <c r="K8" i="4"/>
  <c r="J13" i="9"/>
  <c r="K29" i="4"/>
  <c r="K43" i="4"/>
  <c r="K50" i="4"/>
  <c r="K24" i="2"/>
  <c r="K8" i="2"/>
  <c r="K22" i="4"/>
  <c r="H19" i="9"/>
  <c r="H21" i="9"/>
  <c r="H17" i="9"/>
  <c r="H20" i="9"/>
  <c r="H42" i="6"/>
  <c r="H38" i="6"/>
  <c r="H48" i="6"/>
  <c r="H21" i="6"/>
  <c r="G22" i="4"/>
  <c r="G43" i="4"/>
  <c r="G50" i="4"/>
  <c r="F13" i="5"/>
  <c r="G8" i="2"/>
  <c r="G29" i="4"/>
  <c r="F56" i="6"/>
  <c r="G8" i="4"/>
  <c r="J29" i="4"/>
  <c r="J8" i="2"/>
  <c r="L25" i="3"/>
  <c r="J43" i="4"/>
  <c r="I13" i="5"/>
  <c r="I13" i="9"/>
  <c r="J8" i="4"/>
  <c r="J50" i="4"/>
  <c r="F42" i="6"/>
  <c r="G12" i="7"/>
  <c r="F22" i="6"/>
  <c r="F24" i="6"/>
  <c r="F46" i="6"/>
  <c r="F19" i="5"/>
  <c r="F17" i="9"/>
  <c r="F21" i="5"/>
  <c r="F18" i="9"/>
  <c r="W22" i="4"/>
  <c r="W8" i="2"/>
  <c r="W24" i="10"/>
  <c r="W29" i="4"/>
  <c r="W24" i="2"/>
  <c r="W8" i="4"/>
  <c r="W50" i="4"/>
  <c r="V56" i="6"/>
  <c r="I24" i="2"/>
  <c r="I8" i="2"/>
  <c r="I43" i="4"/>
  <c r="I16" i="10"/>
  <c r="K25" i="3"/>
  <c r="H24" i="5"/>
  <c r="I50" i="4"/>
  <c r="I22" i="4"/>
  <c r="P49" i="4"/>
  <c r="O11" i="6"/>
  <c r="P35" i="4"/>
  <c r="O27" i="6"/>
  <c r="O34" i="6"/>
  <c r="O14" i="6"/>
  <c r="O7" i="6"/>
  <c r="O13" i="6"/>
  <c r="O33" i="6"/>
  <c r="Q10" i="8"/>
  <c r="O53" i="6"/>
  <c r="P27" i="7"/>
  <c r="O17" i="6"/>
  <c r="P14" i="4"/>
  <c r="P42" i="4"/>
  <c r="Q14" i="8"/>
  <c r="R21" i="3"/>
  <c r="P7" i="4"/>
  <c r="Q7" i="8"/>
  <c r="P21" i="4"/>
  <c r="V50" i="4"/>
  <c r="V8" i="2"/>
  <c r="V22" i="4"/>
  <c r="V29" i="4"/>
  <c r="V8" i="4"/>
  <c r="V24" i="2"/>
  <c r="V43" i="4"/>
  <c r="U56" i="6"/>
  <c r="L41" i="6"/>
  <c r="L18" i="5"/>
  <c r="L21" i="9"/>
  <c r="L21" i="6"/>
  <c r="L44" i="6"/>
  <c r="L20" i="5"/>
  <c r="L21" i="5"/>
  <c r="L23" i="6"/>
  <c r="L24" i="6"/>
  <c r="J15" i="5"/>
  <c r="L8" i="8"/>
  <c r="J25" i="5"/>
  <c r="K25" i="7"/>
  <c r="M21" i="3"/>
  <c r="J28" i="6"/>
  <c r="J13" i="6"/>
  <c r="J15" i="9"/>
  <c r="J7" i="6"/>
  <c r="J14" i="6"/>
  <c r="J27" i="6"/>
  <c r="K35" i="4"/>
  <c r="K7" i="4"/>
  <c r="J18" i="6"/>
  <c r="J8" i="6"/>
  <c r="K27" i="7"/>
  <c r="K15" i="4"/>
  <c r="J17" i="6"/>
  <c r="J34" i="6"/>
  <c r="Q25" i="3"/>
  <c r="N13" i="5"/>
  <c r="N57" i="6"/>
  <c r="O22" i="4"/>
  <c r="O8" i="2"/>
  <c r="N23" i="9"/>
  <c r="N23" i="5"/>
  <c r="O29" i="4"/>
  <c r="O24" i="2"/>
  <c r="Q17" i="6"/>
  <c r="R49" i="4"/>
  <c r="R36" i="4"/>
  <c r="R21" i="4"/>
  <c r="R26" i="7"/>
  <c r="Q19" i="6"/>
  <c r="R28" i="4"/>
  <c r="R42" i="4"/>
  <c r="Q33" i="6"/>
  <c r="R15" i="4"/>
  <c r="R14" i="4"/>
  <c r="R7" i="4"/>
  <c r="Q9" i="6"/>
  <c r="S14" i="8"/>
  <c r="Q7" i="6"/>
  <c r="Q13" i="6"/>
  <c r="Q27" i="6"/>
  <c r="S7" i="8"/>
  <c r="Q29" i="6"/>
  <c r="M29" i="4"/>
  <c r="O14" i="3"/>
  <c r="L7" i="9"/>
  <c r="L7" i="5"/>
  <c r="M7" i="2"/>
  <c r="L24" i="9"/>
  <c r="M50" i="4"/>
  <c r="O25" i="3"/>
  <c r="M8" i="2"/>
  <c r="M22" i="4"/>
  <c r="L11" i="9"/>
  <c r="G6" i="6"/>
  <c r="G15" i="5"/>
  <c r="H7" i="4"/>
  <c r="G18" i="6"/>
  <c r="H22" i="7"/>
  <c r="G32" i="6"/>
  <c r="H36" i="4"/>
  <c r="G26" i="6"/>
  <c r="G12" i="6"/>
  <c r="H15" i="4"/>
  <c r="G16" i="6"/>
  <c r="H28" i="4"/>
  <c r="I8" i="8"/>
  <c r="G8" i="6"/>
  <c r="H35" i="4"/>
  <c r="J21" i="3"/>
  <c r="G25" i="5"/>
  <c r="G28" i="6"/>
  <c r="H25" i="7"/>
  <c r="J48" i="6"/>
  <c r="J44" i="6"/>
  <c r="J24" i="6"/>
  <c r="J21" i="5"/>
  <c r="J19" i="9"/>
  <c r="J20" i="5"/>
  <c r="J20" i="9"/>
  <c r="J38" i="6"/>
  <c r="W32" i="6"/>
  <c r="W25" i="5"/>
  <c r="X28" i="4"/>
  <c r="W28" i="6"/>
  <c r="X36" i="4"/>
  <c r="X22" i="7"/>
  <c r="W12" i="6"/>
  <c r="Y13" i="8"/>
  <c r="W8" i="6"/>
  <c r="X15" i="4"/>
  <c r="W18" i="6"/>
  <c r="W6" i="6"/>
  <c r="W26" i="6"/>
  <c r="X7" i="4"/>
  <c r="X25" i="7"/>
  <c r="X35" i="4"/>
  <c r="Z21" i="3"/>
  <c r="W16" i="6"/>
  <c r="W15" i="5"/>
  <c r="L14" i="8"/>
  <c r="J12" i="6"/>
  <c r="J16" i="6"/>
  <c r="K21" i="4"/>
  <c r="J26" i="6"/>
  <c r="J29" i="6"/>
  <c r="J6" i="6"/>
  <c r="K49" i="4"/>
  <c r="L7" i="8"/>
  <c r="J32" i="6"/>
  <c r="L10" i="8"/>
  <c r="J53" i="6"/>
  <c r="J33" i="6"/>
  <c r="J9" i="6"/>
  <c r="K22" i="7"/>
  <c r="K28" i="4"/>
  <c r="K36" i="4"/>
  <c r="L13" i="8"/>
  <c r="L9" i="8"/>
  <c r="J52" i="6"/>
  <c r="K42" i="4"/>
  <c r="K14" i="4"/>
  <c r="J19" i="6"/>
  <c r="K26" i="7"/>
  <c r="R8" i="4"/>
  <c r="R29" i="4"/>
  <c r="R50" i="4"/>
  <c r="R24" i="2"/>
  <c r="R43" i="4"/>
  <c r="R8" i="2"/>
  <c r="Q13" i="5"/>
  <c r="R22" i="4"/>
  <c r="E13" i="8"/>
  <c r="C29" i="6"/>
  <c r="D14" i="4"/>
  <c r="D26" i="7"/>
  <c r="C27" i="6"/>
  <c r="D49" i="4"/>
  <c r="D28" i="4"/>
  <c r="C16" i="6"/>
  <c r="D21" i="4"/>
  <c r="F21" i="3"/>
  <c r="C13" i="6"/>
  <c r="C7" i="6"/>
  <c r="C19" i="6"/>
  <c r="C9" i="6"/>
  <c r="D42" i="4"/>
  <c r="C26" i="6"/>
  <c r="D36" i="4"/>
  <c r="C33" i="6"/>
  <c r="C6" i="6"/>
  <c r="P57" i="6"/>
  <c r="Q8" i="4"/>
  <c r="Q29" i="4"/>
  <c r="Q8" i="2"/>
  <c r="P24" i="5"/>
  <c r="S25" i="3"/>
  <c r="Q24" i="2"/>
  <c r="P13" i="5"/>
  <c r="K24" i="6"/>
  <c r="K21" i="9"/>
  <c r="K20" i="9"/>
  <c r="K21" i="5"/>
  <c r="K44" i="6"/>
  <c r="K21" i="6"/>
  <c r="L11" i="7"/>
  <c r="K41" i="6"/>
  <c r="K18" i="5"/>
  <c r="Y50" i="4"/>
  <c r="Y24" i="2"/>
  <c r="X24" i="5"/>
  <c r="X58" i="6"/>
  <c r="Y8" i="2"/>
  <c r="Y22" i="4"/>
  <c r="Y43" i="4"/>
  <c r="AA25" i="3"/>
  <c r="L24" i="2"/>
  <c r="L50" i="4"/>
  <c r="L22" i="4"/>
  <c r="K24" i="9"/>
  <c r="L8" i="2"/>
  <c r="L8" i="4"/>
  <c r="N25" i="3"/>
  <c r="K11" i="9"/>
  <c r="H12" i="7"/>
  <c r="G48" i="6"/>
  <c r="G18" i="9"/>
  <c r="G22" i="6"/>
  <c r="G38" i="6"/>
  <c r="G19" i="9"/>
  <c r="G17" i="9"/>
  <c r="G42" i="6"/>
  <c r="I7" i="8"/>
  <c r="H14" i="4"/>
  <c r="I9" i="8"/>
  <c r="G52" i="6"/>
  <c r="H21" i="4"/>
  <c r="I10" i="8"/>
  <c r="G53" i="6"/>
  <c r="H27" i="7"/>
  <c r="G13" i="6"/>
  <c r="G33" i="6"/>
  <c r="I6" i="8"/>
  <c r="G51" i="6"/>
  <c r="G27" i="6"/>
  <c r="G9" i="6"/>
  <c r="G19" i="6"/>
  <c r="H15" i="7"/>
  <c r="H44" i="11"/>
  <c r="H52" i="10"/>
  <c r="G11" i="6"/>
  <c r="H42" i="4"/>
  <c r="G17" i="6"/>
  <c r="G29" i="6"/>
  <c r="I14" i="8"/>
  <c r="H26" i="7"/>
  <c r="G7" i="6"/>
  <c r="I13" i="8"/>
  <c r="H49" i="4"/>
  <c r="N29" i="4"/>
  <c r="M24" i="5"/>
  <c r="N50" i="4"/>
  <c r="N8" i="4"/>
  <c r="N43" i="4"/>
  <c r="N22" i="4"/>
  <c r="N24" i="2"/>
  <c r="N8" i="2"/>
  <c r="R25" i="3"/>
  <c r="O57" i="6"/>
  <c r="O24" i="9"/>
  <c r="P8" i="2"/>
  <c r="O24" i="5"/>
  <c r="P29" i="4"/>
  <c r="P24" i="2"/>
  <c r="P22" i="4"/>
  <c r="C13" i="5"/>
  <c r="D8" i="4"/>
  <c r="D24" i="2"/>
  <c r="F25" i="3"/>
  <c r="C24" i="5"/>
  <c r="D8" i="2"/>
  <c r="C56" i="6"/>
  <c r="D16" i="10"/>
  <c r="C25" i="7"/>
  <c r="C35" i="4"/>
  <c r="C49" i="4"/>
  <c r="C36" i="4"/>
  <c r="C26" i="7"/>
  <c r="C28" i="4"/>
  <c r="D9" i="8"/>
  <c r="C14" i="4"/>
  <c r="E21" i="3"/>
  <c r="C7" i="4"/>
  <c r="C15" i="4"/>
  <c r="D10" i="8"/>
  <c r="C42" i="4"/>
  <c r="D7" i="8"/>
  <c r="D13" i="8"/>
  <c r="C27" i="7"/>
  <c r="C21" i="4"/>
  <c r="D14" i="8"/>
  <c r="H43" i="4"/>
  <c r="J25" i="3"/>
  <c r="G11" i="9"/>
  <c r="H8" i="4"/>
  <c r="G13" i="9"/>
  <c r="G58" i="6"/>
  <c r="H8" i="2"/>
  <c r="H24" i="2"/>
  <c r="W19" i="6"/>
  <c r="W14" i="6"/>
  <c r="Y9" i="8"/>
  <c r="W52" i="6"/>
  <c r="W34" i="6"/>
  <c r="W33" i="6"/>
  <c r="W27" i="6"/>
  <c r="W9" i="6"/>
  <c r="Y10" i="8"/>
  <c r="W53" i="6"/>
  <c r="X26" i="7"/>
  <c r="Y6" i="8"/>
  <c r="W51" i="6"/>
  <c r="Y14" i="8"/>
  <c r="Y7" i="8"/>
  <c r="W7" i="6"/>
  <c r="W13" i="6"/>
  <c r="X14" i="4"/>
  <c r="X21" i="4"/>
  <c r="X42" i="4"/>
  <c r="W11" i="6"/>
  <c r="X27" i="7"/>
  <c r="W29" i="6"/>
  <c r="X49" i="4"/>
  <c r="W17" i="6"/>
  <c r="S56" i="6"/>
  <c r="T29" i="4"/>
  <c r="T8" i="2"/>
  <c r="S13" i="5"/>
  <c r="T8" i="4"/>
  <c r="V25" i="3"/>
  <c r="S24" i="5"/>
  <c r="T24" i="2"/>
  <c r="O35" i="4"/>
  <c r="P7" i="8"/>
  <c r="O15" i="4"/>
  <c r="N19" i="6"/>
  <c r="O7" i="4"/>
  <c r="N25" i="9"/>
  <c r="N6" i="6"/>
  <c r="N16" i="6"/>
  <c r="N11" i="6"/>
  <c r="O36" i="4"/>
  <c r="N27" i="6"/>
  <c r="O27" i="7"/>
  <c r="O42" i="4"/>
  <c r="N7" i="6"/>
  <c r="N17" i="6"/>
  <c r="N14" i="6"/>
  <c r="N9" i="6"/>
  <c r="O14" i="4"/>
  <c r="Q21" i="3"/>
  <c r="M47" i="6"/>
  <c r="M37" i="6"/>
  <c r="N13" i="7"/>
  <c r="M20" i="5"/>
  <c r="M21" i="6"/>
  <c r="M41" i="6"/>
  <c r="M18" i="5"/>
  <c r="N11" i="7"/>
  <c r="M21" i="5"/>
  <c r="X24" i="10"/>
  <c r="X8" i="2"/>
  <c r="X24" i="2"/>
  <c r="Z25" i="3"/>
  <c r="W58" i="6"/>
  <c r="X43" i="4"/>
  <c r="X8" i="4"/>
  <c r="W13" i="5"/>
  <c r="E17" i="9"/>
  <c r="E49" i="6"/>
  <c r="E42" i="6"/>
  <c r="E36" i="6"/>
  <c r="E17" i="5"/>
  <c r="E46" i="6"/>
  <c r="E19" i="5"/>
  <c r="E22" i="6"/>
  <c r="F12" i="7"/>
  <c r="E20" i="5"/>
  <c r="O21" i="5"/>
  <c r="O21" i="6"/>
  <c r="O37" i="6"/>
  <c r="O43" i="6"/>
  <c r="O47" i="6"/>
  <c r="P13" i="7"/>
  <c r="O23" i="6"/>
  <c r="O20" i="5"/>
  <c r="V8" i="6"/>
  <c r="V34" i="6"/>
  <c r="V33" i="6"/>
  <c r="X6" i="8"/>
  <c r="V51" i="6"/>
  <c r="V17" i="6"/>
  <c r="X7" i="8"/>
  <c r="V28" i="6"/>
  <c r="V25" i="9"/>
  <c r="W42" i="4"/>
  <c r="V18" i="6"/>
  <c r="W27" i="7"/>
  <c r="V15" i="5"/>
  <c r="V7" i="6"/>
  <c r="W7" i="4"/>
  <c r="V15" i="9"/>
  <c r="W14" i="4"/>
  <c r="X8" i="8"/>
  <c r="V13" i="6"/>
  <c r="V25" i="5"/>
  <c r="X14" i="8"/>
  <c r="W35" i="4"/>
  <c r="V27" i="6"/>
  <c r="R15" i="9"/>
  <c r="T7" i="8"/>
  <c r="T9" i="8"/>
  <c r="R52" i="6"/>
  <c r="R14" i="6"/>
  <c r="R27" i="6"/>
  <c r="S22" i="7"/>
  <c r="R11" i="6"/>
  <c r="S25" i="7"/>
  <c r="T10" i="8"/>
  <c r="R53" i="6"/>
  <c r="T6" i="8"/>
  <c r="R51" i="6"/>
  <c r="S28" i="4"/>
  <c r="T14" i="8"/>
  <c r="R25" i="9"/>
  <c r="S27" i="7"/>
  <c r="T8" i="8"/>
  <c r="S42" i="4"/>
  <c r="R34" i="6"/>
  <c r="R7" i="6"/>
  <c r="R28" i="6"/>
  <c r="S35" i="4"/>
  <c r="R32" i="6"/>
  <c r="R17" i="6"/>
  <c r="I21" i="3"/>
  <c r="F14" i="6"/>
  <c r="F6" i="6"/>
  <c r="G22" i="7"/>
  <c r="F16" i="6"/>
  <c r="F9" i="6"/>
  <c r="F15" i="9"/>
  <c r="F11" i="6"/>
  <c r="G26" i="7"/>
  <c r="F32" i="6"/>
  <c r="G21" i="4"/>
  <c r="G49" i="4"/>
  <c r="F19" i="6"/>
  <c r="G36" i="4"/>
  <c r="F12" i="6"/>
  <c r="G15" i="4"/>
  <c r="G28" i="4"/>
  <c r="F26" i="6"/>
  <c r="F29" i="6"/>
  <c r="T21" i="4"/>
  <c r="S16" i="6"/>
  <c r="S26" i="6"/>
  <c r="T28" i="4"/>
  <c r="U14" i="8"/>
  <c r="U13" i="8"/>
  <c r="S33" i="6"/>
  <c r="S6" i="6"/>
  <c r="T14" i="4"/>
  <c r="T42" i="4"/>
  <c r="V21" i="3"/>
  <c r="S19" i="6"/>
  <c r="U7" i="8"/>
  <c r="T26" i="7"/>
  <c r="S13" i="6"/>
  <c r="S29" i="6"/>
  <c r="T49" i="4"/>
  <c r="T36" i="4"/>
  <c r="S9" i="6"/>
  <c r="W22" i="7"/>
  <c r="V32" i="6"/>
  <c r="V12" i="6"/>
  <c r="V19" i="6"/>
  <c r="W21" i="4"/>
  <c r="V29" i="6"/>
  <c r="W15" i="4"/>
  <c r="Y21" i="3"/>
  <c r="V11" i="6"/>
  <c r="V9" i="6"/>
  <c r="W28" i="4"/>
  <c r="W26" i="7"/>
  <c r="V26" i="6"/>
  <c r="W36" i="4"/>
  <c r="V6" i="6"/>
  <c r="W49" i="4"/>
  <c r="V14" i="6"/>
  <c r="V16" i="6"/>
  <c r="X9" i="8"/>
  <c r="V52" i="6"/>
  <c r="H14" i="8"/>
  <c r="G27" i="7"/>
  <c r="G25" i="7"/>
  <c r="F15" i="5"/>
  <c r="H6" i="8"/>
  <c r="F51" i="6"/>
  <c r="F18" i="6"/>
  <c r="H7" i="8"/>
  <c r="H9" i="8"/>
  <c r="F52" i="6"/>
  <c r="F25" i="9"/>
  <c r="F27" i="6"/>
  <c r="F17" i="6"/>
  <c r="G7" i="4"/>
  <c r="F34" i="6"/>
  <c r="F13" i="6"/>
  <c r="G42" i="4"/>
  <c r="F33" i="6"/>
  <c r="F8" i="6"/>
  <c r="F25" i="5"/>
  <c r="F7" i="6"/>
  <c r="G14" i="4"/>
  <c r="G35" i="4"/>
  <c r="F28" i="6"/>
  <c r="Q43" i="6"/>
  <c r="Q49" i="6"/>
  <c r="Q20" i="5"/>
  <c r="Q37" i="6"/>
  <c r="R13" i="7"/>
  <c r="Q39" i="6"/>
  <c r="Q23" i="6"/>
  <c r="Q47" i="6"/>
  <c r="E14" i="8"/>
  <c r="C18" i="6"/>
  <c r="C28" i="6"/>
  <c r="C32" i="6"/>
  <c r="C11" i="6"/>
  <c r="C34" i="6"/>
  <c r="D25" i="7"/>
  <c r="E7" i="8"/>
  <c r="D15" i="4"/>
  <c r="C15" i="5"/>
  <c r="C12" i="6"/>
  <c r="D27" i="7"/>
  <c r="E6" i="8"/>
  <c r="C51" i="6"/>
  <c r="C25" i="5"/>
  <c r="C17" i="6"/>
  <c r="D7" i="4"/>
  <c r="C14" i="6"/>
  <c r="C8" i="6"/>
  <c r="E8" i="8"/>
  <c r="E10" i="8"/>
  <c r="C53" i="6"/>
  <c r="C25" i="9"/>
  <c r="D35" i="4"/>
  <c r="I22" i="6"/>
  <c r="I24" i="6"/>
  <c r="I21" i="5"/>
  <c r="I18" i="9"/>
  <c r="I38" i="6"/>
  <c r="I44" i="6"/>
  <c r="I48" i="6"/>
  <c r="I42" i="6"/>
  <c r="U22" i="6"/>
  <c r="U20" i="5"/>
  <c r="U46" i="6"/>
  <c r="U19" i="5"/>
  <c r="U49" i="6"/>
  <c r="U39" i="6"/>
  <c r="U42" i="6"/>
  <c r="V12" i="7"/>
  <c r="U36" i="6"/>
  <c r="U17" i="5"/>
  <c r="D18" i="9"/>
  <c r="D20" i="5"/>
  <c r="D21" i="5"/>
  <c r="D36" i="6"/>
  <c r="D17" i="5"/>
  <c r="D19" i="9"/>
  <c r="D39" i="6"/>
  <c r="D49" i="6"/>
  <c r="E12" i="7"/>
  <c r="L21" i="4"/>
  <c r="K17" i="6"/>
  <c r="K32" i="6"/>
  <c r="L22" i="7"/>
  <c r="L36" i="4"/>
  <c r="K6" i="6"/>
  <c r="K9" i="6"/>
  <c r="K19" i="6"/>
  <c r="K26" i="6"/>
  <c r="K29" i="6"/>
  <c r="K7" i="6"/>
  <c r="K13" i="6"/>
  <c r="M7" i="8"/>
  <c r="L26" i="7"/>
  <c r="K12" i="6"/>
  <c r="M9" i="8"/>
  <c r="K52" i="6"/>
  <c r="K33" i="6"/>
  <c r="K16" i="6"/>
  <c r="K27" i="6"/>
  <c r="L49" i="4"/>
  <c r="M6" i="8"/>
  <c r="K51" i="6"/>
  <c r="M13" i="8"/>
  <c r="E24" i="2"/>
  <c r="D56" i="6"/>
  <c r="E8" i="4"/>
  <c r="G25" i="3"/>
  <c r="E29" i="4"/>
  <c r="E8" i="2"/>
  <c r="E43" i="4"/>
  <c r="D13" i="5"/>
  <c r="N21" i="6"/>
  <c r="N21" i="9"/>
  <c r="N21" i="5"/>
  <c r="N37" i="6"/>
  <c r="O13" i="7"/>
  <c r="O11" i="7"/>
  <c r="N41" i="6"/>
  <c r="N18" i="5"/>
  <c r="N47" i="6"/>
  <c r="W25" i="3"/>
  <c r="T13" i="5"/>
  <c r="U24" i="2"/>
  <c r="U29" i="4"/>
  <c r="U43" i="4"/>
  <c r="U8" i="2"/>
  <c r="T56" i="6"/>
  <c r="U8" i="4"/>
  <c r="N26" i="6"/>
  <c r="P6" i="8"/>
  <c r="N51" i="6"/>
  <c r="N15" i="5"/>
  <c r="N25" i="5"/>
  <c r="N32" i="6"/>
  <c r="N8" i="6"/>
  <c r="N15" i="9"/>
  <c r="O28" i="4"/>
  <c r="N13" i="6"/>
  <c r="N18" i="6"/>
  <c r="P13" i="8"/>
  <c r="O25" i="7"/>
  <c r="O49" i="4"/>
  <c r="N34" i="6"/>
  <c r="N33" i="6"/>
  <c r="N28" i="6"/>
  <c r="O21" i="4"/>
  <c r="N12" i="6"/>
  <c r="N29" i="6"/>
  <c r="P8" i="8"/>
  <c r="O26" i="7"/>
  <c r="O22" i="7"/>
  <c r="Q13" i="7"/>
  <c r="Q61" i="11"/>
  <c r="P43" i="6"/>
  <c r="P21" i="6"/>
  <c r="P47" i="6"/>
  <c r="P37" i="6"/>
  <c r="P20" i="5"/>
  <c r="P23" i="6"/>
  <c r="T43" i="6"/>
  <c r="T39" i="6"/>
  <c r="T49" i="6"/>
  <c r="T20" i="5"/>
  <c r="T23" i="6"/>
  <c r="T21" i="5"/>
  <c r="T36" i="6"/>
  <c r="T17" i="5"/>
  <c r="U12" i="7"/>
  <c r="R37" i="6"/>
  <c r="R23" i="6"/>
  <c r="R49" i="6"/>
  <c r="R39" i="6"/>
  <c r="R22" i="6"/>
  <c r="S13" i="7"/>
  <c r="R43" i="6"/>
  <c r="R20" i="5"/>
  <c r="T25" i="7"/>
  <c r="U8" i="8"/>
  <c r="S32" i="6"/>
  <c r="S7" i="6"/>
  <c r="T15" i="4"/>
  <c r="S15" i="5"/>
  <c r="S12" i="6"/>
  <c r="S18" i="6"/>
  <c r="S15" i="9"/>
  <c r="S25" i="9"/>
  <c r="U10" i="8"/>
  <c r="S53" i="6"/>
  <c r="T35" i="4"/>
  <c r="S25" i="5"/>
  <c r="S11" i="6"/>
  <c r="T27" i="7"/>
  <c r="T7" i="4"/>
  <c r="S27" i="6"/>
  <c r="S34" i="6"/>
  <c r="S28" i="6"/>
  <c r="S8" i="6"/>
  <c r="S17" i="6"/>
  <c r="S14" i="6"/>
  <c r="V42" i="6"/>
  <c r="V24" i="6"/>
  <c r="V21" i="5"/>
  <c r="V22" i="6"/>
  <c r="W12" i="7"/>
  <c r="V36" i="6"/>
  <c r="V17" i="5"/>
  <c r="V39" i="6"/>
  <c r="V46" i="6"/>
  <c r="V19" i="5"/>
  <c r="H29" i="6"/>
  <c r="J9" i="8"/>
  <c r="H52" i="6"/>
  <c r="H6" i="6"/>
  <c r="H14" i="6"/>
  <c r="H9" i="6"/>
  <c r="H13" i="6"/>
  <c r="I27" i="7"/>
  <c r="H33" i="6"/>
  <c r="H18" i="6"/>
  <c r="H16" i="6"/>
  <c r="H27" i="6"/>
  <c r="H26" i="6"/>
  <c r="H19" i="6"/>
  <c r="H7" i="6"/>
  <c r="I36" i="4"/>
  <c r="J13" i="8"/>
  <c r="J14" i="8"/>
  <c r="J7" i="8"/>
  <c r="J6" i="8"/>
  <c r="H51" i="6"/>
  <c r="J10" i="8"/>
  <c r="H53" i="6"/>
  <c r="I49" i="4"/>
  <c r="I26" i="7"/>
  <c r="Q6" i="8"/>
  <c r="O51" i="6"/>
  <c r="O16" i="6"/>
  <c r="Q9" i="8"/>
  <c r="O52" i="6"/>
  <c r="O28" i="6"/>
  <c r="Q13" i="8"/>
  <c r="P25" i="7"/>
  <c r="P22" i="7"/>
  <c r="O12" i="6"/>
  <c r="P36" i="4"/>
  <c r="O26" i="6"/>
  <c r="Q8" i="8"/>
  <c r="O18" i="6"/>
  <c r="P28" i="4"/>
  <c r="O29" i="6"/>
  <c r="P15" i="4"/>
  <c r="O6" i="6"/>
  <c r="O9" i="6"/>
  <c r="O32" i="6"/>
  <c r="O25" i="5"/>
  <c r="O15" i="5"/>
  <c r="O8" i="6"/>
  <c r="O19" i="6"/>
  <c r="W36" i="6"/>
  <c r="W17" i="5"/>
  <c r="X12" i="7"/>
  <c r="W49" i="6"/>
  <c r="W46" i="6"/>
  <c r="W19" i="5"/>
  <c r="W42" i="6"/>
  <c r="W38" i="6"/>
  <c r="W48" i="6"/>
  <c r="W22" i="6"/>
  <c r="I19" i="6"/>
  <c r="K14" i="8"/>
  <c r="K9" i="8"/>
  <c r="I52" i="6"/>
  <c r="J22" i="7"/>
  <c r="I32" i="6"/>
  <c r="I29" i="6"/>
  <c r="I17" i="6"/>
  <c r="I9" i="6"/>
  <c r="J26" i="7"/>
  <c r="I7" i="6"/>
  <c r="I16" i="6"/>
  <c r="I13" i="6"/>
  <c r="I11" i="6"/>
  <c r="K13" i="8"/>
  <c r="K7" i="8"/>
  <c r="I34" i="6"/>
  <c r="I12" i="6"/>
  <c r="I27" i="6"/>
  <c r="K10" i="8"/>
  <c r="I53" i="6"/>
  <c r="J49" i="4"/>
  <c r="I33" i="6"/>
  <c r="I26" i="6"/>
  <c r="C36" i="6"/>
  <c r="C17" i="5"/>
  <c r="C20" i="5"/>
  <c r="C47" i="6"/>
  <c r="C49" i="6"/>
  <c r="C46" i="6"/>
  <c r="C19" i="5"/>
  <c r="C43" i="6"/>
  <c r="C39" i="6"/>
  <c r="C23" i="6"/>
  <c r="X21" i="6"/>
  <c r="X22" i="6"/>
  <c r="X46" i="6"/>
  <c r="X19" i="5"/>
  <c r="X48" i="6"/>
  <c r="Y12" i="7"/>
  <c r="X42" i="6"/>
  <c r="X36" i="6"/>
  <c r="X17" i="5"/>
  <c r="X38" i="6"/>
  <c r="W7" i="8"/>
  <c r="U17" i="6"/>
  <c r="U28" i="6"/>
  <c r="U8" i="6"/>
  <c r="V27" i="7"/>
  <c r="U14" i="6"/>
  <c r="V26" i="7"/>
  <c r="U13" i="6"/>
  <c r="V25" i="7"/>
  <c r="U7" i="6"/>
  <c r="X21" i="3"/>
  <c r="U34" i="6"/>
  <c r="U11" i="6"/>
  <c r="U15" i="9"/>
  <c r="U27" i="6"/>
  <c r="U33" i="6"/>
  <c r="U18" i="6"/>
  <c r="U25" i="9"/>
  <c r="V42" i="4"/>
  <c r="U25" i="5"/>
  <c r="W14" i="8"/>
  <c r="X36" i="12"/>
  <c r="S46" i="6"/>
  <c r="S19" i="5"/>
  <c r="S43" i="6"/>
  <c r="S23" i="6"/>
  <c r="S20" i="5"/>
  <c r="S37" i="6"/>
  <c r="S39" i="6"/>
  <c r="S36" i="6"/>
  <c r="S17" i="5"/>
  <c r="S49" i="6"/>
  <c r="R10" i="8"/>
  <c r="P53" i="6"/>
  <c r="Q42" i="4"/>
  <c r="P25" i="5"/>
  <c r="R13" i="8"/>
  <c r="Q25" i="7"/>
  <c r="R8" i="8"/>
  <c r="R6" i="8"/>
  <c r="P51" i="6"/>
  <c r="P28" i="6"/>
  <c r="P34" i="6"/>
  <c r="Q27" i="7"/>
  <c r="R9" i="8"/>
  <c r="P52" i="6"/>
  <c r="P8" i="6"/>
  <c r="P15" i="9"/>
  <c r="P32" i="6"/>
  <c r="Q15" i="4"/>
  <c r="P14" i="6"/>
  <c r="P18" i="6"/>
  <c r="Q26" i="7"/>
  <c r="P15" i="5"/>
  <c r="P11" i="6"/>
  <c r="Q22" i="7"/>
  <c r="S21" i="3"/>
  <c r="X13" i="6"/>
  <c r="Y22" i="7"/>
  <c r="Z13" i="8"/>
  <c r="Y36" i="4"/>
  <c r="X14" i="6"/>
  <c r="X9" i="6"/>
  <c r="Y27" i="7"/>
  <c r="X29" i="6"/>
  <c r="Z8" i="8"/>
  <c r="Y35" i="4"/>
  <c r="X16" i="6"/>
  <c r="X6" i="6"/>
  <c r="Z7" i="8"/>
  <c r="X19" i="6"/>
  <c r="Z6" i="8"/>
  <c r="X51" i="6"/>
  <c r="Y26" i="7"/>
  <c r="Z9" i="8"/>
  <c r="X52" i="6"/>
  <c r="X26" i="6"/>
  <c r="Z10" i="8"/>
  <c r="X53" i="6"/>
  <c r="Z14" i="8"/>
  <c r="X27" i="6"/>
  <c r="X33" i="6"/>
  <c r="E13" i="6"/>
  <c r="G14" i="8"/>
  <c r="F8" i="7"/>
  <c r="F42" i="11"/>
  <c r="F50" i="10"/>
  <c r="H11" i="3"/>
  <c r="E34" i="6"/>
  <c r="F26" i="7"/>
  <c r="H21" i="3"/>
  <c r="E18" i="6"/>
  <c r="F42" i="4"/>
  <c r="E33" i="6"/>
  <c r="E28" i="6"/>
  <c r="G7" i="8"/>
  <c r="F27" i="7"/>
  <c r="E7" i="6"/>
  <c r="E8" i="6"/>
  <c r="E17" i="6"/>
  <c r="E14" i="6"/>
  <c r="E11" i="6"/>
  <c r="E27" i="6"/>
  <c r="G9" i="8"/>
  <c r="E52" i="6"/>
  <c r="F25" i="7"/>
  <c r="E25" i="5"/>
  <c r="E25" i="9"/>
  <c r="N8" i="8"/>
  <c r="M36" i="4"/>
  <c r="L18" i="6"/>
  <c r="L26" i="6"/>
  <c r="L12" i="6"/>
  <c r="L6" i="6"/>
  <c r="L25" i="5"/>
  <c r="L28" i="6"/>
  <c r="N10" i="8"/>
  <c r="L53" i="6"/>
  <c r="L33" i="6"/>
  <c r="N6" i="8"/>
  <c r="L51" i="6"/>
  <c r="M25" i="7"/>
  <c r="L19" i="6"/>
  <c r="L32" i="6"/>
  <c r="L17" i="6"/>
  <c r="L15" i="9"/>
  <c r="M22" i="7"/>
  <c r="N13" i="8"/>
  <c r="M26" i="7"/>
  <c r="N9" i="8"/>
  <c r="L52" i="6"/>
  <c r="L29" i="6"/>
  <c r="L16" i="6"/>
  <c r="Q32" i="6"/>
  <c r="Q11" i="6"/>
  <c r="Q18" i="6"/>
  <c r="Q14" i="6"/>
  <c r="Q8" i="6"/>
  <c r="Q34" i="6"/>
  <c r="Q12" i="6"/>
  <c r="S10" i="8"/>
  <c r="Q53" i="6"/>
  <c r="S6" i="8"/>
  <c r="Q51" i="6"/>
  <c r="Q16" i="6"/>
  <c r="Q28" i="6"/>
  <c r="R22" i="7"/>
  <c r="R35" i="4"/>
  <c r="Q26" i="6"/>
  <c r="Q15" i="5"/>
  <c r="Q6" i="6"/>
  <c r="S8" i="8"/>
  <c r="Q25" i="5"/>
  <c r="R25" i="7"/>
  <c r="S13" i="8"/>
  <c r="R27" i="7"/>
  <c r="T21" i="3"/>
  <c r="T17" i="6"/>
  <c r="T34" i="6"/>
  <c r="T7" i="6"/>
  <c r="T28" i="6"/>
  <c r="T11" i="6"/>
  <c r="T29" i="6"/>
  <c r="T27" i="6"/>
  <c r="V14" i="8"/>
  <c r="V10" i="8"/>
  <c r="T53" i="6"/>
  <c r="V6" i="8"/>
  <c r="T51" i="6"/>
  <c r="T33" i="6"/>
  <c r="V8" i="8"/>
  <c r="U15" i="4"/>
  <c r="T15" i="5"/>
  <c r="T25" i="9"/>
  <c r="T13" i="6"/>
  <c r="U25" i="7"/>
  <c r="T32" i="6"/>
  <c r="T12" i="6"/>
  <c r="T15" i="9"/>
  <c r="U27" i="7"/>
  <c r="V7" i="8"/>
  <c r="M18" i="6"/>
  <c r="M32" i="6"/>
  <c r="M33" i="6"/>
  <c r="M15" i="9"/>
  <c r="P37" i="12"/>
  <c r="M8" i="6"/>
  <c r="M12" i="6"/>
  <c r="N26" i="7"/>
  <c r="M9" i="6"/>
  <c r="M28" i="6"/>
  <c r="M16" i="6"/>
  <c r="N25" i="7"/>
  <c r="O6" i="8"/>
  <c r="M51" i="6"/>
  <c r="M6" i="6"/>
  <c r="M26" i="6"/>
  <c r="N22" i="7"/>
  <c r="M29" i="6"/>
  <c r="O8" i="8"/>
  <c r="M13" i="6"/>
  <c r="O13" i="8"/>
  <c r="O10" i="8"/>
  <c r="M53" i="6"/>
  <c r="M19" i="6"/>
  <c r="D27" i="6"/>
  <c r="F10" i="8"/>
  <c r="D53" i="6"/>
  <c r="D32" i="6"/>
  <c r="D13" i="6"/>
  <c r="D11" i="6"/>
  <c r="D7" i="6"/>
  <c r="F7" i="8"/>
  <c r="D25" i="9"/>
  <c r="E26" i="7"/>
  <c r="D29" i="6"/>
  <c r="D33" i="6"/>
  <c r="D17" i="6"/>
  <c r="E25" i="7"/>
  <c r="D16" i="6"/>
  <c r="F14" i="8"/>
  <c r="F8" i="8"/>
  <c r="D26" i="6"/>
  <c r="E27" i="7"/>
  <c r="F13" i="8"/>
  <c r="F6" i="8"/>
  <c r="D51" i="6"/>
  <c r="D12" i="6"/>
  <c r="D34" i="6"/>
  <c r="K13" i="9"/>
  <c r="N23" i="12"/>
  <c r="K13" i="5"/>
  <c r="N11" i="12"/>
  <c r="K23" i="9"/>
  <c r="K23" i="5"/>
  <c r="N14" i="3"/>
  <c r="K7" i="9"/>
  <c r="K7" i="5"/>
  <c r="L7" i="2"/>
  <c r="L24" i="10"/>
  <c r="L64" i="11"/>
  <c r="L72" i="10"/>
  <c r="N28" i="12"/>
  <c r="L40" i="11"/>
  <c r="L28" i="11"/>
  <c r="L48" i="10"/>
  <c r="L36" i="10"/>
  <c r="L29" i="4"/>
  <c r="L34" i="11"/>
  <c r="L42" i="10"/>
  <c r="K57" i="6"/>
  <c r="L43" i="4"/>
  <c r="K56" i="6"/>
  <c r="N9" i="12"/>
  <c r="L25" i="11"/>
  <c r="L33" i="10"/>
  <c r="L26" i="11"/>
  <c r="L34" i="10"/>
  <c r="K58" i="6"/>
  <c r="N10" i="12"/>
  <c r="L63" i="11"/>
  <c r="L71" i="10"/>
  <c r="K24" i="5"/>
  <c r="D21" i="2"/>
  <c r="D67" i="10"/>
  <c r="D63" i="10"/>
  <c r="D68" i="10"/>
  <c r="D13" i="2"/>
  <c r="D69" i="10"/>
  <c r="D66" i="10"/>
  <c r="D39" i="4"/>
  <c r="I29" i="4"/>
  <c r="K8" i="12"/>
  <c r="H13" i="5"/>
  <c r="K26" i="12"/>
  <c r="H11" i="9"/>
  <c r="I8" i="4"/>
  <c r="I27" i="11"/>
  <c r="I35" i="10"/>
  <c r="K14" i="3"/>
  <c r="H7" i="9"/>
  <c r="H7" i="5"/>
  <c r="I7" i="2"/>
  <c r="H57" i="6"/>
  <c r="I40" i="11"/>
  <c r="I28" i="11"/>
  <c r="I48" i="10"/>
  <c r="I36" i="10"/>
  <c r="K24" i="12"/>
  <c r="I24" i="10"/>
  <c r="K11" i="12"/>
  <c r="H23" i="9"/>
  <c r="H23" i="5"/>
  <c r="H24" i="9"/>
  <c r="K23" i="12"/>
  <c r="H13" i="9"/>
  <c r="H58" i="6"/>
  <c r="I39" i="11"/>
  <c r="I47" i="10"/>
  <c r="H56" i="6"/>
  <c r="I35" i="11"/>
  <c r="I43" i="10"/>
  <c r="K17" i="12"/>
  <c r="E66" i="10"/>
  <c r="E39" i="4"/>
  <c r="E13" i="2"/>
  <c r="E68" i="10"/>
  <c r="E69" i="10"/>
  <c r="E67" i="10"/>
  <c r="E63" i="10"/>
  <c r="E21" i="2"/>
  <c r="F24" i="10"/>
  <c r="H20" i="12"/>
  <c r="F22" i="4"/>
  <c r="F27" i="11"/>
  <c r="F35" i="10"/>
  <c r="E23" i="9"/>
  <c r="E23" i="5"/>
  <c r="H18" i="12"/>
  <c r="E13" i="9"/>
  <c r="H14" i="3"/>
  <c r="E7" i="9"/>
  <c r="E7" i="5"/>
  <c r="F7" i="2"/>
  <c r="F35" i="11"/>
  <c r="F43" i="10"/>
  <c r="E24" i="9"/>
  <c r="E58" i="6"/>
  <c r="E24" i="5"/>
  <c r="E11" i="9"/>
  <c r="H28" i="12"/>
  <c r="E13" i="5"/>
  <c r="H10" i="12"/>
  <c r="H8" i="12"/>
  <c r="H26" i="12"/>
  <c r="H38" i="12"/>
  <c r="E57" i="6"/>
  <c r="H25" i="3"/>
  <c r="H17" i="12"/>
  <c r="S7" i="11"/>
  <c r="S14" i="11"/>
  <c r="S9" i="11"/>
  <c r="S33" i="11"/>
  <c r="S41" i="10"/>
  <c r="R31" i="9"/>
  <c r="S16" i="11"/>
  <c r="S15" i="11"/>
  <c r="S22" i="11"/>
  <c r="S24" i="11"/>
  <c r="S32" i="10"/>
  <c r="R33" i="5"/>
  <c r="S10" i="11"/>
  <c r="R31" i="5"/>
  <c r="S21" i="11"/>
  <c r="R30" i="9"/>
  <c r="R30" i="5"/>
  <c r="R34" i="9"/>
  <c r="R33" i="9"/>
  <c r="R32" i="5"/>
  <c r="S11" i="11"/>
  <c r="S56" i="11"/>
  <c r="R32" i="9"/>
  <c r="S32" i="11"/>
  <c r="S40" i="10"/>
  <c r="J66" i="10"/>
  <c r="J39" i="4"/>
  <c r="J63" i="10"/>
  <c r="J67" i="10"/>
  <c r="J69" i="10"/>
  <c r="J21" i="2"/>
  <c r="J68" i="10"/>
  <c r="J13" i="2"/>
  <c r="C33" i="11"/>
  <c r="C41" i="10"/>
  <c r="C10" i="11"/>
  <c r="C6" i="11"/>
  <c r="E6" i="3"/>
  <c r="C10" i="4"/>
  <c r="C56" i="11"/>
  <c r="C22" i="11"/>
  <c r="C14" i="11"/>
  <c r="C15" i="11"/>
  <c r="C13" i="11"/>
  <c r="C9" i="11"/>
  <c r="C21" i="11"/>
  <c r="C17" i="11"/>
  <c r="C31" i="11"/>
  <c r="C39" i="10"/>
  <c r="C32" i="11"/>
  <c r="C40" i="10"/>
  <c r="F10" i="12"/>
  <c r="C24" i="9"/>
  <c r="D39" i="11"/>
  <c r="D47" i="10"/>
  <c r="C11" i="9"/>
  <c r="C57" i="6"/>
  <c r="D25" i="11"/>
  <c r="D33" i="10"/>
  <c r="D34" i="11"/>
  <c r="D42" i="10"/>
  <c r="F8" i="12"/>
  <c r="F9" i="12"/>
  <c r="F14" i="3"/>
  <c r="C7" i="9"/>
  <c r="C7" i="5"/>
  <c r="D7" i="2"/>
  <c r="F23" i="12"/>
  <c r="F20" i="12"/>
  <c r="D50" i="4"/>
  <c r="F14" i="12"/>
  <c r="D43" i="4"/>
  <c r="F19" i="12"/>
  <c r="D26" i="11"/>
  <c r="D34" i="10"/>
  <c r="D22" i="4"/>
  <c r="D29" i="4"/>
  <c r="D65" i="11"/>
  <c r="D73" i="10"/>
  <c r="F28" i="12"/>
  <c r="C58" i="6"/>
  <c r="U67" i="10"/>
  <c r="U69" i="10"/>
  <c r="U63" i="10"/>
  <c r="U68" i="10"/>
  <c r="U13" i="2"/>
  <c r="U66" i="10"/>
  <c r="U39" i="4"/>
  <c r="U21" i="2"/>
  <c r="U16" i="10"/>
  <c r="W12" i="12"/>
  <c r="T13" i="9"/>
  <c r="W10" i="12"/>
  <c r="U22" i="4"/>
  <c r="W18" i="12"/>
  <c r="U65" i="11"/>
  <c r="U73" i="10"/>
  <c r="T57" i="6"/>
  <c r="W14" i="3"/>
  <c r="T7" i="9"/>
  <c r="T7" i="5"/>
  <c r="U7" i="2"/>
  <c r="T58" i="6"/>
  <c r="T11" i="9"/>
  <c r="U34" i="11"/>
  <c r="U42" i="10"/>
  <c r="W20" i="12"/>
  <c r="W22" i="12"/>
  <c r="U35" i="11"/>
  <c r="U43" i="10"/>
  <c r="T23" i="9"/>
  <c r="T23" i="5"/>
  <c r="W27" i="12"/>
  <c r="U64" i="11"/>
  <c r="U72" i="10"/>
  <c r="U26" i="11"/>
  <c r="U34" i="10"/>
  <c r="T24" i="5"/>
  <c r="T24" i="9"/>
  <c r="U50" i="4"/>
  <c r="U58" i="6"/>
  <c r="U57" i="6"/>
  <c r="V39" i="11"/>
  <c r="V47" i="10"/>
  <c r="V24" i="10"/>
  <c r="X20" i="12"/>
  <c r="X25" i="3"/>
  <c r="X29" i="12"/>
  <c r="V16" i="10"/>
  <c r="V27" i="11"/>
  <c r="V35" i="10"/>
  <c r="U24" i="9"/>
  <c r="V65" i="11"/>
  <c r="V73" i="10"/>
  <c r="X26" i="12"/>
  <c r="X14" i="3"/>
  <c r="U7" i="9"/>
  <c r="U7" i="5"/>
  <c r="V7" i="2"/>
  <c r="V26" i="11"/>
  <c r="V34" i="10"/>
  <c r="X11" i="12"/>
  <c r="X18" i="12"/>
  <c r="U24" i="5"/>
  <c r="U13" i="5"/>
  <c r="U13" i="9"/>
  <c r="U23" i="9"/>
  <c r="U23" i="5"/>
  <c r="U11" i="9"/>
  <c r="V35" i="11"/>
  <c r="V43" i="10"/>
  <c r="W13" i="9"/>
  <c r="X50" i="4"/>
  <c r="X26" i="11"/>
  <c r="X34" i="10"/>
  <c r="X16" i="10"/>
  <c r="Z14" i="3"/>
  <c r="W7" i="9"/>
  <c r="W7" i="5"/>
  <c r="X7" i="2"/>
  <c r="X64" i="11"/>
  <c r="X72" i="10"/>
  <c r="W57" i="6"/>
  <c r="W23" i="9"/>
  <c r="W23" i="5"/>
  <c r="X22" i="4"/>
  <c r="X29" i="4"/>
  <c r="Z27" i="12"/>
  <c r="Z26" i="12"/>
  <c r="X35" i="11"/>
  <c r="X43" i="10"/>
  <c r="Z8" i="12"/>
  <c r="W56" i="6"/>
  <c r="X34" i="11"/>
  <c r="X42" i="10"/>
  <c r="Z24" i="12"/>
  <c r="W24" i="9"/>
  <c r="W24" i="5"/>
  <c r="W11" i="9"/>
  <c r="Z16" i="12"/>
  <c r="Z18" i="12"/>
  <c r="T22" i="12"/>
  <c r="R25" i="11"/>
  <c r="R33" i="10"/>
  <c r="T25" i="3"/>
  <c r="Q57" i="6"/>
  <c r="T23" i="12"/>
  <c r="T16" i="12"/>
  <c r="T11" i="12"/>
  <c r="T15" i="12"/>
  <c r="Q24" i="9"/>
  <c r="R34" i="11"/>
  <c r="R42" i="10"/>
  <c r="Q58" i="6"/>
  <c r="R63" i="11"/>
  <c r="R71" i="10"/>
  <c r="R24" i="10"/>
  <c r="Q56" i="6"/>
  <c r="R16" i="10"/>
  <c r="R39" i="11"/>
  <c r="R47" i="10"/>
  <c r="Q11" i="9"/>
  <c r="Q23" i="9"/>
  <c r="Q23" i="5"/>
  <c r="Q13" i="9"/>
  <c r="T10" i="12"/>
  <c r="Q24" i="5"/>
  <c r="T12" i="12"/>
  <c r="K67" i="10"/>
  <c r="K66" i="10"/>
  <c r="K39" i="4"/>
  <c r="K63" i="10"/>
  <c r="K21" i="2"/>
  <c r="K69" i="10"/>
  <c r="K68" i="10"/>
  <c r="K13" i="2"/>
  <c r="C15" i="12"/>
  <c r="C25" i="12"/>
  <c r="C14" i="3"/>
  <c r="C38" i="12"/>
  <c r="C25" i="3"/>
  <c r="C8" i="12"/>
  <c r="C41" i="12"/>
  <c r="C23" i="12"/>
  <c r="C26" i="12"/>
  <c r="C17" i="12"/>
  <c r="C14" i="12"/>
  <c r="V28" i="12"/>
  <c r="T64" i="11"/>
  <c r="T72" i="10"/>
  <c r="T27" i="11"/>
  <c r="T35" i="10"/>
  <c r="T43" i="4"/>
  <c r="T50" i="4"/>
  <c r="V14" i="12"/>
  <c r="S58" i="6"/>
  <c r="V20" i="12"/>
  <c r="T34" i="11"/>
  <c r="T42" i="10"/>
  <c r="V14" i="3"/>
  <c r="S7" i="9"/>
  <c r="S7" i="5"/>
  <c r="T7" i="2"/>
  <c r="T39" i="11"/>
  <c r="T47" i="10"/>
  <c r="T22" i="4"/>
  <c r="T25" i="11"/>
  <c r="T33" i="10"/>
  <c r="S57" i="6"/>
  <c r="T63" i="11"/>
  <c r="T71" i="10"/>
  <c r="T65" i="11"/>
  <c r="T73" i="10"/>
  <c r="S24" i="9"/>
  <c r="T26" i="11"/>
  <c r="T34" i="10"/>
  <c r="V10" i="12"/>
  <c r="V12" i="12"/>
  <c r="S11" i="9"/>
  <c r="T16" i="10"/>
  <c r="G21" i="11"/>
  <c r="G56" i="11"/>
  <c r="F32" i="9"/>
  <c r="G9" i="11"/>
  <c r="F33" i="9"/>
  <c r="G19" i="11"/>
  <c r="F33" i="5"/>
  <c r="G12" i="11"/>
  <c r="G15" i="11"/>
  <c r="F30" i="9"/>
  <c r="F30" i="5"/>
  <c r="G14" i="11"/>
  <c r="G8" i="11"/>
  <c r="F31" i="5"/>
  <c r="G13" i="11"/>
  <c r="G17" i="11"/>
  <c r="G31" i="11"/>
  <c r="G39" i="10"/>
  <c r="F31" i="9"/>
  <c r="F32" i="5"/>
  <c r="G33" i="11"/>
  <c r="G41" i="10"/>
  <c r="G10" i="11"/>
  <c r="F34" i="9"/>
  <c r="Y16" i="10"/>
  <c r="Y39" i="11"/>
  <c r="Y47" i="10"/>
  <c r="X57" i="6"/>
  <c r="X56" i="6"/>
  <c r="X11" i="9"/>
  <c r="AA16" i="12"/>
  <c r="Y35" i="11"/>
  <c r="Y43" i="10"/>
  <c r="AA14" i="12"/>
  <c r="O13" i="9"/>
  <c r="O23" i="9"/>
  <c r="O23" i="5"/>
  <c r="AA8" i="12"/>
  <c r="AA11" i="12"/>
  <c r="O11" i="9"/>
  <c r="R12" i="12"/>
  <c r="X13" i="5"/>
  <c r="X24" i="9"/>
  <c r="P16" i="10"/>
  <c r="R39" i="12"/>
  <c r="Y24" i="10"/>
  <c r="X23" i="9"/>
  <c r="X23" i="5"/>
  <c r="P26" i="11"/>
  <c r="P34" i="10"/>
  <c r="O56" i="6"/>
  <c r="AA24" i="12"/>
  <c r="AA14" i="3"/>
  <c r="X7" i="9"/>
  <c r="X7" i="5"/>
  <c r="Y7" i="2"/>
  <c r="P34" i="11"/>
  <c r="P42" i="10"/>
  <c r="O58" i="6"/>
  <c r="Y29" i="4"/>
  <c r="Y65" i="11"/>
  <c r="Y73" i="10"/>
  <c r="P43" i="4"/>
  <c r="P50" i="4"/>
  <c r="AA26" i="12"/>
  <c r="R14" i="3"/>
  <c r="O7" i="9"/>
  <c r="O7" i="5"/>
  <c r="P7" i="2"/>
  <c r="Y8" i="4"/>
  <c r="P8" i="4"/>
  <c r="AA12" i="12"/>
  <c r="R24" i="12"/>
  <c r="X13" i="9"/>
  <c r="P27" i="11"/>
  <c r="P35" i="10"/>
  <c r="R9" i="12"/>
  <c r="P24" i="10"/>
  <c r="R18" i="12"/>
  <c r="O13" i="5"/>
  <c r="R27" i="12"/>
  <c r="R15" i="12"/>
  <c r="I18" i="12"/>
  <c r="F24" i="5"/>
  <c r="I10" i="12"/>
  <c r="I25" i="3"/>
  <c r="G24" i="10"/>
  <c r="I14" i="3"/>
  <c r="F7" i="9"/>
  <c r="F7" i="5"/>
  <c r="G7" i="2"/>
  <c r="F57" i="6"/>
  <c r="G63" i="11"/>
  <c r="G71" i="10"/>
  <c r="F23" i="9"/>
  <c r="F23" i="5"/>
  <c r="I19" i="12"/>
  <c r="G66" i="11"/>
  <c r="G74" i="10"/>
  <c r="F13" i="9"/>
  <c r="G16" i="10"/>
  <c r="G35" i="11"/>
  <c r="G43" i="10"/>
  <c r="F24" i="9"/>
  <c r="I28" i="12"/>
  <c r="F11" i="9"/>
  <c r="F58" i="6"/>
  <c r="G24" i="2"/>
  <c r="I8" i="12"/>
  <c r="I25" i="12"/>
  <c r="I26" i="12"/>
  <c r="Y66" i="10"/>
  <c r="Y39" i="4"/>
  <c r="Y13" i="2"/>
  <c r="Y63" i="10"/>
  <c r="Y21" i="2"/>
  <c r="Y69" i="10"/>
  <c r="Y68" i="10"/>
  <c r="Y67" i="10"/>
  <c r="O8" i="4"/>
  <c r="N11" i="9"/>
  <c r="N58" i="6"/>
  <c r="Q10" i="12"/>
  <c r="O63" i="11"/>
  <c r="O71" i="10"/>
  <c r="N24" i="9"/>
  <c r="O24" i="10"/>
  <c r="O16" i="10"/>
  <c r="O50" i="4"/>
  <c r="O35" i="11"/>
  <c r="O43" i="10"/>
  <c r="Q14" i="3"/>
  <c r="N7" i="9"/>
  <c r="N7" i="5"/>
  <c r="O7" i="2"/>
  <c r="N13" i="9"/>
  <c r="O27" i="11"/>
  <c r="O35" i="10"/>
  <c r="O25" i="11"/>
  <c r="O33" i="10"/>
  <c r="N56" i="6"/>
  <c r="O43" i="4"/>
  <c r="Q16" i="12"/>
  <c r="N24" i="5"/>
  <c r="Q17" i="12"/>
  <c r="Q28" i="12"/>
  <c r="O40" i="11"/>
  <c r="O28" i="11"/>
  <c r="O48" i="10"/>
  <c r="O36" i="10"/>
  <c r="Q9" i="12"/>
  <c r="R56" i="6"/>
  <c r="R58" i="6"/>
  <c r="S16" i="10"/>
  <c r="S39" i="11"/>
  <c r="S47" i="10"/>
  <c r="R13" i="5"/>
  <c r="U41" i="12"/>
  <c r="U20" i="12"/>
  <c r="U15" i="12"/>
  <c r="R57" i="6"/>
  <c r="U12" i="12"/>
  <c r="S25" i="11"/>
  <c r="S33" i="10"/>
  <c r="R11" i="9"/>
  <c r="U24" i="12"/>
  <c r="S27" i="11"/>
  <c r="S35" i="10"/>
  <c r="S50" i="4"/>
  <c r="R13" i="9"/>
  <c r="U10" i="12"/>
  <c r="R24" i="5"/>
  <c r="U11" i="12"/>
  <c r="U14" i="3"/>
  <c r="R7" i="9"/>
  <c r="R7" i="5"/>
  <c r="S7" i="2"/>
  <c r="R24" i="9"/>
  <c r="R23" i="9"/>
  <c r="R23" i="5"/>
  <c r="M20" i="12"/>
  <c r="K24" i="10"/>
  <c r="J58" i="6"/>
  <c r="M11" i="12"/>
  <c r="M25" i="3"/>
  <c r="J24" i="9"/>
  <c r="J11" i="9"/>
  <c r="K26" i="11"/>
  <c r="K34" i="10"/>
  <c r="K25" i="11"/>
  <c r="K33" i="10"/>
  <c r="J13" i="5"/>
  <c r="M10" i="12"/>
  <c r="M15" i="12"/>
  <c r="J57" i="6"/>
  <c r="J56" i="6"/>
  <c r="M9" i="12"/>
  <c r="J24" i="5"/>
  <c r="K16" i="10"/>
  <c r="M14" i="3"/>
  <c r="J7" i="9"/>
  <c r="J7" i="5"/>
  <c r="K7" i="2"/>
  <c r="K63" i="11"/>
  <c r="K71" i="10"/>
  <c r="K39" i="11"/>
  <c r="K47" i="10"/>
  <c r="J23" i="9"/>
  <c r="J23" i="5"/>
  <c r="M24" i="12"/>
  <c r="L23" i="9"/>
  <c r="L23" i="5"/>
  <c r="M64" i="11"/>
  <c r="M72" i="10"/>
  <c r="O22" i="12"/>
  <c r="O9" i="12"/>
  <c r="O18" i="12"/>
  <c r="L13" i="9"/>
  <c r="M27" i="11"/>
  <c r="M35" i="10"/>
  <c r="M25" i="11"/>
  <c r="M33" i="10"/>
  <c r="M24" i="2"/>
  <c r="L58" i="6"/>
  <c r="L57" i="6"/>
  <c r="M26" i="11"/>
  <c r="M34" i="10"/>
  <c r="M43" i="4"/>
  <c r="L56" i="6"/>
  <c r="L24" i="5"/>
  <c r="M24" i="10"/>
  <c r="O11" i="12"/>
  <c r="M66" i="11"/>
  <c r="M74" i="10"/>
  <c r="O8" i="12"/>
  <c r="O12" i="12"/>
  <c r="M8" i="4"/>
  <c r="L13" i="5"/>
  <c r="N35" i="11"/>
  <c r="N43" i="10"/>
  <c r="M56" i="6"/>
  <c r="P9" i="12"/>
  <c r="M13" i="9"/>
  <c r="N25" i="11"/>
  <c r="N33" i="10"/>
  <c r="P25" i="3"/>
  <c r="M57" i="6"/>
  <c r="P26" i="12"/>
  <c r="M23" i="9"/>
  <c r="M23" i="5"/>
  <c r="N16" i="10"/>
  <c r="M11" i="9"/>
  <c r="M58" i="6"/>
  <c r="P17" i="12"/>
  <c r="N24" i="10"/>
  <c r="P11" i="12"/>
  <c r="N64" i="11"/>
  <c r="N72" i="10"/>
  <c r="P14" i="3"/>
  <c r="M7" i="9"/>
  <c r="M7" i="5"/>
  <c r="N7" i="2"/>
  <c r="N66" i="11"/>
  <c r="N74" i="10"/>
  <c r="P8" i="12"/>
  <c r="P20" i="12"/>
  <c r="N27" i="11"/>
  <c r="N35" i="10"/>
  <c r="M13" i="5"/>
  <c r="I21" i="2"/>
  <c r="I13" i="2"/>
  <c r="I63" i="10"/>
  <c r="I69" i="10"/>
  <c r="I68" i="10"/>
  <c r="I67" i="10"/>
  <c r="I66" i="10"/>
  <c r="I39" i="4"/>
  <c r="I14" i="11"/>
  <c r="I57" i="11"/>
  <c r="I24" i="4"/>
  <c r="I17" i="11"/>
  <c r="I19" i="11"/>
  <c r="I10" i="11"/>
  <c r="I22" i="11"/>
  <c r="I11" i="11"/>
  <c r="H33" i="5"/>
  <c r="H30" i="9"/>
  <c r="H30" i="5"/>
  <c r="I33" i="11"/>
  <c r="I41" i="10"/>
  <c r="I15" i="11"/>
  <c r="I31" i="11"/>
  <c r="I39" i="10"/>
  <c r="H31" i="5"/>
  <c r="H32" i="5"/>
  <c r="H33" i="9"/>
  <c r="I8" i="11"/>
  <c r="I13" i="11"/>
  <c r="H31" i="9"/>
  <c r="H32" i="9"/>
  <c r="I21" i="11"/>
  <c r="I12" i="11"/>
  <c r="N21" i="2"/>
  <c r="N63" i="10"/>
  <c r="N66" i="10"/>
  <c r="N39" i="4"/>
  <c r="N68" i="10"/>
  <c r="N67" i="10"/>
  <c r="N69" i="10"/>
  <c r="N13" i="2"/>
  <c r="Y8" i="11"/>
  <c r="Y24" i="11"/>
  <c r="Y32" i="10"/>
  <c r="X32" i="9"/>
  <c r="Y14" i="11"/>
  <c r="Y19" i="11"/>
  <c r="X30" i="9"/>
  <c r="X30" i="5"/>
  <c r="X31" i="5"/>
  <c r="X31" i="9"/>
  <c r="Y12" i="11"/>
  <c r="X32" i="5"/>
  <c r="X33" i="9"/>
  <c r="Y31" i="11"/>
  <c r="Y39" i="10"/>
  <c r="Y22" i="11"/>
  <c r="Y15" i="11"/>
  <c r="Y13" i="11"/>
  <c r="X33" i="5"/>
  <c r="Y7" i="11"/>
  <c r="Y10" i="11"/>
  <c r="Y21" i="11"/>
  <c r="Y16" i="11"/>
  <c r="Y33" i="11"/>
  <c r="Y41" i="10"/>
  <c r="X22" i="11"/>
  <c r="W31" i="9"/>
  <c r="X13" i="11"/>
  <c r="X19" i="11"/>
  <c r="W34" i="9"/>
  <c r="H24" i="10"/>
  <c r="X8" i="11"/>
  <c r="X56" i="11"/>
  <c r="J26" i="12"/>
  <c r="G56" i="6"/>
  <c r="H50" i="4"/>
  <c r="W30" i="9"/>
  <c r="W30" i="5"/>
  <c r="W32" i="9"/>
  <c r="X7" i="11"/>
  <c r="H26" i="11"/>
  <c r="H34" i="10"/>
  <c r="H16" i="10"/>
  <c r="X10" i="11"/>
  <c r="H29" i="4"/>
  <c r="J40" i="12"/>
  <c r="X21" i="11"/>
  <c r="X31" i="11"/>
  <c r="X39" i="10"/>
  <c r="W33" i="5"/>
  <c r="J15" i="12"/>
  <c r="X24" i="11"/>
  <c r="X32" i="10"/>
  <c r="G57" i="6"/>
  <c r="G24" i="5"/>
  <c r="X14" i="11"/>
  <c r="J8" i="12"/>
  <c r="H22" i="4"/>
  <c r="X15" i="11"/>
  <c r="J18" i="12"/>
  <c r="G23" i="9"/>
  <c r="G23" i="5"/>
  <c r="X12" i="11"/>
  <c r="J9" i="12"/>
  <c r="W32" i="5"/>
  <c r="H34" i="11"/>
  <c r="H42" i="10"/>
  <c r="H65" i="11"/>
  <c r="H73" i="10"/>
  <c r="G24" i="9"/>
  <c r="W33" i="9"/>
  <c r="H35" i="11"/>
  <c r="H43" i="10"/>
  <c r="W31" i="5"/>
  <c r="J14" i="3"/>
  <c r="G7" i="9"/>
  <c r="G7" i="5"/>
  <c r="H7" i="2"/>
  <c r="G13" i="5"/>
  <c r="C33" i="9"/>
  <c r="D15" i="11"/>
  <c r="D9" i="11"/>
  <c r="C32" i="9"/>
  <c r="D22" i="11"/>
  <c r="C33" i="5"/>
  <c r="C32" i="5"/>
  <c r="D33" i="11"/>
  <c r="D41" i="10"/>
  <c r="D31" i="11"/>
  <c r="D39" i="10"/>
  <c r="C31" i="5"/>
  <c r="D10" i="11"/>
  <c r="C30" i="9"/>
  <c r="C30" i="5"/>
  <c r="C31" i="9"/>
  <c r="D56" i="11"/>
  <c r="D19" i="11"/>
  <c r="D11" i="11"/>
  <c r="D7" i="11"/>
  <c r="D16" i="11"/>
  <c r="D24" i="11"/>
  <c r="D32" i="10"/>
  <c r="C34" i="9"/>
  <c r="D14" i="11"/>
  <c r="G28" i="12"/>
  <c r="D11" i="9"/>
  <c r="E22" i="4"/>
  <c r="G10" i="12"/>
  <c r="G14" i="3"/>
  <c r="D7" i="9"/>
  <c r="D7" i="5"/>
  <c r="E7" i="2"/>
  <c r="G27" i="12"/>
  <c r="D57" i="6"/>
  <c r="E26" i="11"/>
  <c r="E34" i="10"/>
  <c r="D24" i="5"/>
  <c r="D24" i="9"/>
  <c r="D13" i="9"/>
  <c r="G9" i="12"/>
  <c r="D23" i="9"/>
  <c r="D23" i="5"/>
  <c r="D58" i="6"/>
  <c r="E16" i="10"/>
  <c r="G22" i="12"/>
  <c r="G8" i="12"/>
  <c r="E35" i="11"/>
  <c r="E43" i="10"/>
  <c r="G20" i="12"/>
  <c r="E65" i="11"/>
  <c r="E73" i="10"/>
  <c r="E50" i="4"/>
  <c r="E34" i="11"/>
  <c r="E42" i="10"/>
  <c r="V23" i="9"/>
  <c r="V23" i="5"/>
  <c r="Y38" i="12"/>
  <c r="Y25" i="3"/>
  <c r="V58" i="6"/>
  <c r="W43" i="4"/>
  <c r="W65" i="11"/>
  <c r="W73" i="10"/>
  <c r="Y19" i="12"/>
  <c r="W25" i="11"/>
  <c r="W33" i="10"/>
  <c r="Y14" i="3"/>
  <c r="V7" i="9"/>
  <c r="V7" i="5"/>
  <c r="W7" i="2"/>
  <c r="W39" i="11"/>
  <c r="W47" i="10"/>
  <c r="W26" i="11"/>
  <c r="W34" i="10"/>
  <c r="V13" i="5"/>
  <c r="V57" i="6"/>
  <c r="V11" i="9"/>
  <c r="V13" i="9"/>
  <c r="Y26" i="12"/>
  <c r="W35" i="11"/>
  <c r="W43" i="10"/>
  <c r="Y18" i="12"/>
  <c r="V24" i="5"/>
  <c r="Y16" i="12"/>
  <c r="W16" i="10"/>
  <c r="V24" i="9"/>
  <c r="T34" i="9"/>
  <c r="T33" i="9"/>
  <c r="U15" i="11"/>
  <c r="U7" i="11"/>
  <c r="T31" i="9"/>
  <c r="U8" i="11"/>
  <c r="U33" i="11"/>
  <c r="U41" i="10"/>
  <c r="T30" i="9"/>
  <c r="T30" i="5"/>
  <c r="U31" i="11"/>
  <c r="U39" i="10"/>
  <c r="U19" i="11"/>
  <c r="T32" i="5"/>
  <c r="U9" i="11"/>
  <c r="T31" i="5"/>
  <c r="T33" i="5"/>
  <c r="U57" i="11"/>
  <c r="U24" i="4"/>
  <c r="U10" i="11"/>
  <c r="U16" i="11"/>
  <c r="U24" i="11"/>
  <c r="U32" i="10"/>
  <c r="U17" i="11"/>
  <c r="U11" i="11"/>
  <c r="U13" i="11"/>
  <c r="M57" i="11"/>
  <c r="M24" i="4"/>
  <c r="M17" i="11"/>
  <c r="M32" i="11"/>
  <c r="M40" i="10"/>
  <c r="L33" i="9"/>
  <c r="L31" i="5"/>
  <c r="M31" i="11"/>
  <c r="M39" i="10"/>
  <c r="M7" i="11"/>
  <c r="M15" i="11"/>
  <c r="L30" i="9"/>
  <c r="L30" i="5"/>
  <c r="L34" i="9"/>
  <c r="M8" i="11"/>
  <c r="M11" i="11"/>
  <c r="M56" i="11"/>
  <c r="M12" i="11"/>
  <c r="M9" i="11"/>
  <c r="L33" i="5"/>
  <c r="L32" i="9"/>
  <c r="M16" i="11"/>
  <c r="L32" i="5"/>
  <c r="L31" i="9"/>
  <c r="M19" i="11"/>
  <c r="E30" i="9"/>
  <c r="E30" i="5"/>
  <c r="E31" i="9"/>
  <c r="E34" i="9"/>
  <c r="F8" i="11"/>
  <c r="E33" i="5"/>
  <c r="F7" i="11"/>
  <c r="F12" i="11"/>
  <c r="F13" i="11"/>
  <c r="F9" i="11"/>
  <c r="F10" i="11"/>
  <c r="F57" i="11"/>
  <c r="F24" i="4"/>
  <c r="F24" i="11"/>
  <c r="F32" i="10"/>
  <c r="E33" i="9"/>
  <c r="F19" i="11"/>
  <c r="F33" i="11"/>
  <c r="F41" i="10"/>
  <c r="F22" i="11"/>
  <c r="E31" i="5"/>
  <c r="F56" i="11"/>
  <c r="F11" i="11"/>
  <c r="E32" i="5"/>
  <c r="F32" i="11"/>
  <c r="F40" i="10"/>
  <c r="V32" i="9"/>
  <c r="W10" i="11"/>
  <c r="W13" i="11"/>
  <c r="V32" i="5"/>
  <c r="W22" i="11"/>
  <c r="W21" i="11"/>
  <c r="V31" i="5"/>
  <c r="W31" i="11"/>
  <c r="W39" i="10"/>
  <c r="V31" i="9"/>
  <c r="V30" i="9"/>
  <c r="V30" i="5"/>
  <c r="W17" i="11"/>
  <c r="W56" i="11"/>
  <c r="W14" i="11"/>
  <c r="W9" i="11"/>
  <c r="V33" i="5"/>
  <c r="W19" i="11"/>
  <c r="W15" i="11"/>
  <c r="V34" i="9"/>
  <c r="W11" i="11"/>
  <c r="V33" i="9"/>
  <c r="W33" i="11"/>
  <c r="W41" i="10"/>
  <c r="N13" i="11"/>
  <c r="N8" i="11"/>
  <c r="N57" i="11"/>
  <c r="N24" i="4"/>
  <c r="M31" i="5"/>
  <c r="M34" i="9"/>
  <c r="N24" i="11"/>
  <c r="N32" i="10"/>
  <c r="N10" i="11"/>
  <c r="M33" i="9"/>
  <c r="N19" i="11"/>
  <c r="M31" i="9"/>
  <c r="M32" i="5"/>
  <c r="N17" i="11"/>
  <c r="M30" i="9"/>
  <c r="M30" i="5"/>
  <c r="N11" i="11"/>
  <c r="N32" i="11"/>
  <c r="N40" i="10"/>
  <c r="N9" i="11"/>
  <c r="M33" i="5"/>
  <c r="N7" i="11"/>
  <c r="M32" i="9"/>
  <c r="N16" i="11"/>
  <c r="N12" i="11"/>
  <c r="P21" i="2"/>
  <c r="P67" i="10"/>
  <c r="P13" i="2"/>
  <c r="P63" i="10"/>
  <c r="P66" i="10"/>
  <c r="P39" i="4"/>
  <c r="P69" i="10"/>
  <c r="P68" i="10"/>
  <c r="H22" i="11"/>
  <c r="H12" i="11"/>
  <c r="G32" i="5"/>
  <c r="H19" i="11"/>
  <c r="H31" i="11"/>
  <c r="H39" i="10"/>
  <c r="G32" i="9"/>
  <c r="G30" i="9"/>
  <c r="G30" i="5"/>
  <c r="H21" i="11"/>
  <c r="H24" i="11"/>
  <c r="H32" i="10"/>
  <c r="G33" i="9"/>
  <c r="G31" i="5"/>
  <c r="H13" i="11"/>
  <c r="H7" i="11"/>
  <c r="H56" i="11"/>
  <c r="H8" i="11"/>
  <c r="G33" i="5"/>
  <c r="H10" i="11"/>
  <c r="G31" i="9"/>
  <c r="H14" i="11"/>
  <c r="G34" i="9"/>
  <c r="H15" i="11"/>
  <c r="P7" i="11"/>
  <c r="P19" i="11"/>
  <c r="P21" i="11"/>
  <c r="K32" i="5"/>
  <c r="O33" i="5"/>
  <c r="K30" i="9"/>
  <c r="K30" i="5"/>
  <c r="P32" i="11"/>
  <c r="P40" i="10"/>
  <c r="P11" i="11"/>
  <c r="L16" i="11"/>
  <c r="L8" i="11"/>
  <c r="O32" i="9"/>
  <c r="O32" i="5"/>
  <c r="L12" i="11"/>
  <c r="L7" i="11"/>
  <c r="P15" i="11"/>
  <c r="L17" i="11"/>
  <c r="P57" i="11"/>
  <c r="P24" i="4"/>
  <c r="L19" i="11"/>
  <c r="O31" i="9"/>
  <c r="K31" i="5"/>
  <c r="O34" i="9"/>
  <c r="P12" i="11"/>
  <c r="L33" i="11"/>
  <c r="L41" i="10"/>
  <c r="P9" i="11"/>
  <c r="K34" i="9"/>
  <c r="P10" i="11"/>
  <c r="L24" i="11"/>
  <c r="L32" i="10"/>
  <c r="L9" i="11"/>
  <c r="P13" i="11"/>
  <c r="L57" i="11"/>
  <c r="L24" i="4"/>
  <c r="O30" i="9"/>
  <c r="O30" i="5"/>
  <c r="P16" i="11"/>
  <c r="P22" i="11"/>
  <c r="P56" i="11"/>
  <c r="O31" i="5"/>
  <c r="L32" i="11"/>
  <c r="L40" i="10"/>
  <c r="L56" i="11"/>
  <c r="K32" i="9"/>
  <c r="L11" i="11"/>
  <c r="K33" i="9"/>
  <c r="K33" i="5"/>
  <c r="L14" i="11"/>
  <c r="E16" i="11"/>
  <c r="D34" i="9"/>
  <c r="E10" i="11"/>
  <c r="D33" i="5"/>
  <c r="E56" i="11"/>
  <c r="E31" i="11"/>
  <c r="E39" i="10"/>
  <c r="E19" i="11"/>
  <c r="E7" i="11"/>
  <c r="E57" i="11"/>
  <c r="E24" i="4"/>
  <c r="E9" i="11"/>
  <c r="E33" i="11"/>
  <c r="E41" i="10"/>
  <c r="D31" i="9"/>
  <c r="D30" i="9"/>
  <c r="D30" i="5"/>
  <c r="D31" i="5"/>
  <c r="E13" i="11"/>
  <c r="E24" i="11"/>
  <c r="E32" i="10"/>
  <c r="D32" i="5"/>
  <c r="D33" i="9"/>
  <c r="E11" i="11"/>
  <c r="E15" i="11"/>
  <c r="D32" i="9"/>
  <c r="I23" i="9"/>
  <c r="I23" i="5"/>
  <c r="J26" i="11"/>
  <c r="J34" i="10"/>
  <c r="J24" i="10"/>
  <c r="I24" i="9"/>
  <c r="J40" i="11"/>
  <c r="J28" i="11"/>
  <c r="J48" i="10"/>
  <c r="J36" i="10"/>
  <c r="I57" i="6"/>
  <c r="L11" i="12"/>
  <c r="J66" i="11"/>
  <c r="J74" i="10"/>
  <c r="L14" i="12"/>
  <c r="J24" i="2"/>
  <c r="L25" i="12"/>
  <c r="J22" i="4"/>
  <c r="L12" i="12"/>
  <c r="I58" i="6"/>
  <c r="I56" i="6"/>
  <c r="L22" i="12"/>
  <c r="L14" i="3"/>
  <c r="I7" i="9"/>
  <c r="I7" i="5"/>
  <c r="J7" i="2"/>
  <c r="J39" i="11"/>
  <c r="J47" i="10"/>
  <c r="L16" i="12"/>
  <c r="J16" i="10"/>
  <c r="L24" i="12"/>
  <c r="I24" i="5"/>
  <c r="T17" i="11"/>
  <c r="T15" i="11"/>
  <c r="S31" i="5"/>
  <c r="T56" i="11"/>
  <c r="T8" i="11"/>
  <c r="T10" i="11"/>
  <c r="T24" i="11"/>
  <c r="T32" i="10"/>
  <c r="T33" i="11"/>
  <c r="T41" i="10"/>
  <c r="T7" i="11"/>
  <c r="T14" i="11"/>
  <c r="S31" i="9"/>
  <c r="T22" i="11"/>
  <c r="S33" i="9"/>
  <c r="S34" i="9"/>
  <c r="S33" i="5"/>
  <c r="T9" i="11"/>
  <c r="S32" i="9"/>
  <c r="T11" i="11"/>
  <c r="T16" i="11"/>
  <c r="S32" i="5"/>
  <c r="S30" i="9"/>
  <c r="S30" i="5"/>
  <c r="K17" i="11"/>
  <c r="K33" i="11"/>
  <c r="K41" i="10"/>
  <c r="K32" i="11"/>
  <c r="K40" i="10"/>
  <c r="J33" i="5"/>
  <c r="J31" i="5"/>
  <c r="K10" i="11"/>
  <c r="K14" i="11"/>
  <c r="J33" i="9"/>
  <c r="K13" i="11"/>
  <c r="K9" i="11"/>
  <c r="K24" i="11"/>
  <c r="K32" i="10"/>
  <c r="K19" i="11"/>
  <c r="J31" i="9"/>
  <c r="J32" i="5"/>
  <c r="K8" i="11"/>
  <c r="K21" i="11"/>
  <c r="J34" i="9"/>
  <c r="J30" i="9"/>
  <c r="J30" i="5"/>
  <c r="K16" i="11"/>
  <c r="K12" i="11"/>
  <c r="J32" i="9"/>
  <c r="P34" i="9"/>
  <c r="P30" i="9"/>
  <c r="P30" i="5"/>
  <c r="P33" i="9"/>
  <c r="Q16" i="11"/>
  <c r="Q22" i="11"/>
  <c r="Q12" i="11"/>
  <c r="Q9" i="11"/>
  <c r="P32" i="9"/>
  <c r="Q14" i="11"/>
  <c r="P33" i="5"/>
  <c r="P31" i="9"/>
  <c r="P31" i="5"/>
  <c r="Q57" i="11"/>
  <c r="Q24" i="4"/>
  <c r="Q7" i="11"/>
  <c r="Q11" i="11"/>
  <c r="Q15" i="11"/>
  <c r="Q13" i="11"/>
  <c r="Q21" i="11"/>
  <c r="Q31" i="11"/>
  <c r="Q39" i="10"/>
  <c r="Q8" i="11"/>
  <c r="P32" i="5"/>
  <c r="V32" i="11"/>
  <c r="V40" i="10"/>
  <c r="V16" i="11"/>
  <c r="U31" i="5"/>
  <c r="U33" i="5"/>
  <c r="U33" i="9"/>
  <c r="V8" i="11"/>
  <c r="V10" i="11"/>
  <c r="V22" i="11"/>
  <c r="V13" i="11"/>
  <c r="V57" i="11"/>
  <c r="V24" i="4"/>
  <c r="U32" i="5"/>
  <c r="U34" i="9"/>
  <c r="V19" i="11"/>
  <c r="U31" i="9"/>
  <c r="V33" i="11"/>
  <c r="V41" i="10"/>
  <c r="V7" i="11"/>
  <c r="U30" i="9"/>
  <c r="U30" i="5"/>
  <c r="V11" i="11"/>
  <c r="V9" i="11"/>
  <c r="V24" i="11"/>
  <c r="V32" i="10"/>
  <c r="V17" i="11"/>
  <c r="Q69" i="10"/>
  <c r="Q66" i="10"/>
  <c r="Q39" i="4"/>
  <c r="Q68" i="10"/>
  <c r="Q13" i="2"/>
  <c r="Q63" i="10"/>
  <c r="Q67" i="10"/>
  <c r="Q21" i="2"/>
  <c r="L68" i="10"/>
  <c r="L21" i="2"/>
  <c r="L69" i="10"/>
  <c r="L63" i="10"/>
  <c r="L13" i="2"/>
  <c r="L66" i="10"/>
  <c r="L39" i="4"/>
  <c r="L67" i="10"/>
  <c r="C8" i="4"/>
  <c r="C27" i="11"/>
  <c r="C35" i="10"/>
  <c r="C43" i="4"/>
  <c r="E11" i="12"/>
  <c r="C24" i="10"/>
  <c r="E12" i="12"/>
  <c r="C25" i="11"/>
  <c r="C33" i="10"/>
  <c r="C34" i="11"/>
  <c r="C42" i="10"/>
  <c r="E15" i="12"/>
  <c r="C24" i="2"/>
  <c r="E14" i="3"/>
  <c r="C7" i="2"/>
  <c r="C22" i="4"/>
  <c r="C8" i="2"/>
  <c r="C50" i="4"/>
  <c r="E23" i="12"/>
  <c r="C29" i="4"/>
  <c r="E25" i="3"/>
  <c r="C63" i="11"/>
  <c r="C71" i="10"/>
  <c r="C16" i="10"/>
  <c r="E20" i="12"/>
  <c r="C39" i="11"/>
  <c r="C47" i="10"/>
  <c r="W67" i="10"/>
  <c r="W13" i="2"/>
  <c r="W68" i="10"/>
  <c r="W21" i="2"/>
  <c r="W69" i="10"/>
  <c r="W63" i="10"/>
  <c r="W66" i="10"/>
  <c r="W39" i="4"/>
  <c r="J33" i="11"/>
  <c r="J41" i="10"/>
  <c r="I31" i="5"/>
  <c r="J14" i="11"/>
  <c r="I33" i="5"/>
  <c r="J8" i="11"/>
  <c r="J22" i="11"/>
  <c r="I33" i="9"/>
  <c r="J7" i="11"/>
  <c r="J10" i="11"/>
  <c r="J21" i="11"/>
  <c r="J13" i="11"/>
  <c r="I32" i="5"/>
  <c r="J9" i="11"/>
  <c r="I31" i="9"/>
  <c r="J17" i="11"/>
  <c r="J15" i="11"/>
  <c r="J31" i="11"/>
  <c r="J39" i="10"/>
  <c r="J32" i="11"/>
  <c r="J40" i="10"/>
  <c r="J12" i="11"/>
  <c r="I32" i="9"/>
  <c r="I30" i="9"/>
  <c r="I30" i="5"/>
  <c r="Q16" i="10"/>
  <c r="P13" i="9"/>
  <c r="S26" i="12"/>
  <c r="Q25" i="11"/>
  <c r="Q33" i="10"/>
  <c r="Q43" i="4"/>
  <c r="S8" i="12"/>
  <c r="Q24" i="10"/>
  <c r="Q65" i="11"/>
  <c r="Q73" i="10"/>
  <c r="S14" i="3"/>
  <c r="P7" i="9"/>
  <c r="P7" i="5"/>
  <c r="Q7" i="2"/>
  <c r="S15" i="12"/>
  <c r="Q50" i="4"/>
  <c r="S25" i="12"/>
  <c r="Q66" i="11"/>
  <c r="Q74" i="10"/>
  <c r="Q22" i="4"/>
  <c r="P23" i="9"/>
  <c r="P23" i="5"/>
  <c r="P11" i="9"/>
  <c r="S23" i="12"/>
  <c r="P58" i="6"/>
  <c r="Q27" i="11"/>
  <c r="Q35" i="10"/>
  <c r="S17" i="12"/>
  <c r="P24" i="9"/>
  <c r="P56" i="6"/>
  <c r="Q30" i="9"/>
  <c r="Q30" i="5"/>
  <c r="Q34" i="9"/>
  <c r="R13" i="11"/>
  <c r="R7" i="11"/>
  <c r="Q32" i="5"/>
  <c r="R22" i="11"/>
  <c r="Q31" i="5"/>
  <c r="R8" i="11"/>
  <c r="R17" i="11"/>
  <c r="Q33" i="9"/>
  <c r="R15" i="11"/>
  <c r="R11" i="11"/>
  <c r="Q32" i="9"/>
  <c r="Q31" i="9"/>
  <c r="R31" i="11"/>
  <c r="R39" i="10"/>
  <c r="R24" i="11"/>
  <c r="R32" i="10"/>
  <c r="R12" i="11"/>
  <c r="R14" i="11"/>
  <c r="R21" i="11"/>
  <c r="R16" i="11"/>
  <c r="Q33" i="5"/>
  <c r="G56" i="12"/>
  <c r="E25" i="11"/>
  <c r="E33" i="10"/>
  <c r="E64" i="11"/>
  <c r="E72" i="10"/>
  <c r="G38" i="12"/>
  <c r="G82" i="12"/>
  <c r="G74" i="12"/>
  <c r="G16" i="12"/>
  <c r="G73" i="12"/>
  <c r="G51" i="12"/>
  <c r="G44" i="12"/>
  <c r="G35" i="13"/>
  <c r="E29" i="10"/>
  <c r="G40" i="12"/>
  <c r="G8" i="13"/>
  <c r="G55" i="12"/>
  <c r="E63" i="11"/>
  <c r="E71" i="10"/>
  <c r="G18" i="12"/>
  <c r="G24" i="12"/>
  <c r="E27" i="11"/>
  <c r="E35" i="10"/>
  <c r="G12" i="12"/>
  <c r="G26" i="12"/>
  <c r="E24" i="10"/>
  <c r="G86" i="12"/>
  <c r="D16" i="12"/>
  <c r="D25" i="12"/>
  <c r="D18" i="12"/>
  <c r="D11" i="12"/>
  <c r="C12" i="8"/>
  <c r="D15" i="12"/>
  <c r="D25" i="3"/>
  <c r="D12" i="12"/>
  <c r="D23" i="12"/>
  <c r="D10" i="12"/>
  <c r="D22" i="12"/>
  <c r="D14" i="3"/>
  <c r="Y56" i="12"/>
  <c r="W34" i="11"/>
  <c r="W42" i="10"/>
  <c r="W66" i="11"/>
  <c r="W74" i="10"/>
  <c r="W27" i="11"/>
  <c r="W35" i="10"/>
  <c r="Y68" i="12"/>
  <c r="Y40" i="12"/>
  <c r="Y28" i="12"/>
  <c r="Y65" i="12"/>
  <c r="Y24" i="12"/>
  <c r="Y25" i="12"/>
  <c r="Y41" i="13"/>
  <c r="W29" i="11"/>
  <c r="W37" i="10"/>
  <c r="Y70" i="12"/>
  <c r="Y10" i="12"/>
  <c r="Y52" i="12"/>
  <c r="Y22" i="12"/>
  <c r="Y44" i="12"/>
  <c r="Y8" i="12"/>
  <c r="Y84" i="12"/>
  <c r="Y71" i="12"/>
  <c r="W63" i="11"/>
  <c r="W71" i="10"/>
  <c r="Y14" i="12"/>
  <c r="Y69" i="12"/>
  <c r="S68" i="10"/>
  <c r="S63" i="10"/>
  <c r="S67" i="10"/>
  <c r="S21" i="2"/>
  <c r="S66" i="10"/>
  <c r="S39" i="4"/>
  <c r="S13" i="2"/>
  <c r="S69" i="10"/>
  <c r="E49" i="12"/>
  <c r="E57" i="12"/>
  <c r="E48" i="13"/>
  <c r="E65" i="12"/>
  <c r="E56" i="12"/>
  <c r="E28" i="12"/>
  <c r="E12" i="13"/>
  <c r="E38" i="12"/>
  <c r="E24" i="12"/>
  <c r="E26" i="12"/>
  <c r="E85" i="12"/>
  <c r="E8" i="12"/>
  <c r="E18" i="12"/>
  <c r="E44" i="12"/>
  <c r="C65" i="11"/>
  <c r="C73" i="10"/>
  <c r="E73" i="12"/>
  <c r="E72" i="12"/>
  <c r="E10" i="12"/>
  <c r="E47" i="13"/>
  <c r="E81" i="12"/>
  <c r="E52" i="12"/>
  <c r="E32" i="13"/>
  <c r="C26" i="10"/>
  <c r="N17" i="12"/>
  <c r="N86" i="12"/>
  <c r="L35" i="11"/>
  <c r="L43" i="10"/>
  <c r="N50" i="12"/>
  <c r="N14" i="12"/>
  <c r="N46" i="12"/>
  <c r="N59" i="12"/>
  <c r="N43" i="12"/>
  <c r="L16" i="10"/>
  <c r="N55" i="12"/>
  <c r="N25" i="12"/>
  <c r="N75" i="12"/>
  <c r="N27" i="12"/>
  <c r="N29" i="12"/>
  <c r="N22" i="12"/>
  <c r="N83" i="12"/>
  <c r="N19" i="12"/>
  <c r="N82" i="12"/>
  <c r="L66" i="11"/>
  <c r="L74" i="10"/>
  <c r="L39" i="11"/>
  <c r="L47" i="10"/>
  <c r="N74" i="12"/>
  <c r="N39" i="12"/>
  <c r="T66" i="10"/>
  <c r="T39" i="4"/>
  <c r="T63" i="10"/>
  <c r="T68" i="10"/>
  <c r="T21" i="2"/>
  <c r="T69" i="10"/>
  <c r="T67" i="10"/>
  <c r="T13" i="2"/>
  <c r="C66" i="10"/>
  <c r="C39" i="4"/>
  <c r="C13" i="2"/>
  <c r="C69" i="10"/>
  <c r="C63" i="10"/>
  <c r="C21" i="2"/>
  <c r="C67" i="10"/>
  <c r="C68" i="10"/>
  <c r="U58" i="12"/>
  <c r="U69" i="12"/>
  <c r="U50" i="12"/>
  <c r="U26" i="13"/>
  <c r="S63" i="11"/>
  <c r="S71" i="10"/>
  <c r="U8" i="12"/>
  <c r="U28" i="12"/>
  <c r="U35" i="13"/>
  <c r="S29" i="10"/>
  <c r="S65" i="11"/>
  <c r="S73" i="10"/>
  <c r="U42" i="13"/>
  <c r="S30" i="11"/>
  <c r="S38" i="10"/>
  <c r="S34" i="11"/>
  <c r="S42" i="10"/>
  <c r="U83" i="12"/>
  <c r="U59" i="12"/>
  <c r="U18" i="12"/>
  <c r="U53" i="12"/>
  <c r="U26" i="12"/>
  <c r="U49" i="12"/>
  <c r="U52" i="12"/>
  <c r="U23" i="12"/>
  <c r="U57" i="12"/>
  <c r="U39" i="12"/>
  <c r="U45" i="12"/>
  <c r="D27" i="11"/>
  <c r="D35" i="10"/>
  <c r="F72" i="12"/>
  <c r="F65" i="12"/>
  <c r="F40" i="12"/>
  <c r="F49" i="12"/>
  <c r="F17" i="13"/>
  <c r="C13" i="9"/>
  <c r="F38" i="12"/>
  <c r="F90" i="12"/>
  <c r="F14" i="13"/>
  <c r="F26" i="12"/>
  <c r="F12" i="13"/>
  <c r="C23" i="9"/>
  <c r="C23" i="5"/>
  <c r="D64" i="11"/>
  <c r="D72" i="10"/>
  <c r="F73" i="12"/>
  <c r="F16" i="12"/>
  <c r="D63" i="11"/>
  <c r="D71" i="10"/>
  <c r="F12" i="12"/>
  <c r="D24" i="10"/>
  <c r="F81" i="12"/>
  <c r="F18" i="12"/>
  <c r="F56" i="12"/>
  <c r="G68" i="10"/>
  <c r="G21" i="2"/>
  <c r="G66" i="10"/>
  <c r="G39" i="4"/>
  <c r="G13" i="2"/>
  <c r="G69" i="10"/>
  <c r="G63" i="10"/>
  <c r="G67" i="10"/>
  <c r="P9" i="8"/>
  <c r="N52" i="6"/>
  <c r="Q34" i="12"/>
  <c r="P14" i="8"/>
  <c r="Q37" i="12"/>
  <c r="Q63" i="12"/>
  <c r="Q76" i="12"/>
  <c r="Q35" i="12"/>
  <c r="O8" i="7"/>
  <c r="O42" i="11"/>
  <c r="O50" i="10"/>
  <c r="Q11" i="3"/>
  <c r="O20" i="7"/>
  <c r="O62" i="11"/>
  <c r="O70" i="10"/>
  <c r="Q80" i="12"/>
  <c r="Q67" i="12"/>
  <c r="O7" i="7"/>
  <c r="O47" i="11"/>
  <c r="O55" i="10"/>
  <c r="Q12" i="3"/>
  <c r="P10" i="8"/>
  <c r="N53" i="6"/>
  <c r="O15" i="7"/>
  <c r="O44" i="11"/>
  <c r="O52" i="10"/>
  <c r="Q62" i="12"/>
  <c r="Q60" i="12"/>
  <c r="O16" i="7"/>
  <c r="O45" i="11"/>
  <c r="O53" i="10"/>
  <c r="Q87" i="12"/>
  <c r="Q30" i="12"/>
  <c r="Q33" i="12"/>
  <c r="Q61" i="12"/>
  <c r="Q32" i="12"/>
  <c r="X70" i="12"/>
  <c r="V63" i="11"/>
  <c r="V71" i="10"/>
  <c r="V25" i="11"/>
  <c r="V33" i="10"/>
  <c r="X24" i="12"/>
  <c r="X44" i="12"/>
  <c r="X68" i="12"/>
  <c r="X38" i="12"/>
  <c r="X10" i="12"/>
  <c r="X18" i="13"/>
  <c r="X77" i="12"/>
  <c r="X8" i="12"/>
  <c r="X28" i="12"/>
  <c r="V66" i="11"/>
  <c r="V74" i="10"/>
  <c r="X78" i="12"/>
  <c r="X52" i="12"/>
  <c r="X16" i="12"/>
  <c r="V34" i="11"/>
  <c r="V42" i="10"/>
  <c r="X14" i="13"/>
  <c r="X17" i="12"/>
  <c r="X58" i="12"/>
  <c r="X49" i="12"/>
  <c r="X14" i="12"/>
  <c r="W45" i="12"/>
  <c r="W23" i="13"/>
  <c r="W84" i="12"/>
  <c r="W16" i="12"/>
  <c r="W44" i="12"/>
  <c r="W26" i="12"/>
  <c r="U27" i="11"/>
  <c r="U35" i="10"/>
  <c r="U24" i="10"/>
  <c r="W77" i="12"/>
  <c r="W49" i="12"/>
  <c r="U63" i="11"/>
  <c r="U71" i="10"/>
  <c r="W57" i="12"/>
  <c r="W8" i="12"/>
  <c r="W9" i="12"/>
  <c r="W83" i="12"/>
  <c r="W58" i="12"/>
  <c r="W24" i="12"/>
  <c r="W41" i="12"/>
  <c r="W38" i="12"/>
  <c r="W41" i="13"/>
  <c r="U29" i="11"/>
  <c r="U37" i="10"/>
  <c r="W28" i="12"/>
  <c r="U25" i="11"/>
  <c r="U33" i="10"/>
  <c r="I72" i="12"/>
  <c r="G65" i="11"/>
  <c r="G73" i="10"/>
  <c r="I24" i="12"/>
  <c r="I52" i="12"/>
  <c r="I55" i="12"/>
  <c r="I16" i="12"/>
  <c r="I22" i="12"/>
  <c r="I14" i="12"/>
  <c r="I26" i="13"/>
  <c r="I56" i="12"/>
  <c r="G27" i="11"/>
  <c r="G35" i="10"/>
  <c r="G34" i="11"/>
  <c r="G42" i="10"/>
  <c r="I40" i="12"/>
  <c r="G26" i="11"/>
  <c r="G34" i="10"/>
  <c r="G25" i="11"/>
  <c r="G33" i="10"/>
  <c r="I81" i="12"/>
  <c r="I65" i="12"/>
  <c r="I38" i="12"/>
  <c r="I44" i="12"/>
  <c r="I46" i="12"/>
  <c r="G39" i="11"/>
  <c r="G47" i="10"/>
  <c r="I14" i="13"/>
  <c r="H55" i="12"/>
  <c r="H16" i="12"/>
  <c r="H81" i="12"/>
  <c r="H24" i="12"/>
  <c r="H56" i="12"/>
  <c r="F66" i="11"/>
  <c r="F74" i="10"/>
  <c r="H14" i="13"/>
  <c r="H65" i="12"/>
  <c r="H51" i="12"/>
  <c r="F63" i="11"/>
  <c r="F71" i="10"/>
  <c r="F39" i="11"/>
  <c r="F47" i="10"/>
  <c r="H49" i="12"/>
  <c r="H14" i="12"/>
  <c r="F34" i="11"/>
  <c r="F42" i="10"/>
  <c r="H74" i="12"/>
  <c r="H44" i="12"/>
  <c r="Q45" i="12"/>
  <c r="Q8" i="13"/>
  <c r="H29" i="12"/>
  <c r="Q15" i="12"/>
  <c r="O34" i="11"/>
  <c r="O42" i="10"/>
  <c r="H11" i="12"/>
  <c r="F65" i="11"/>
  <c r="F73" i="10"/>
  <c r="Q90" i="12"/>
  <c r="F26" i="11"/>
  <c r="F34" i="10"/>
  <c r="Q31" i="13"/>
  <c r="O25" i="10"/>
  <c r="F25" i="11"/>
  <c r="F33" i="10"/>
  <c r="Q43" i="12"/>
  <c r="Q14" i="13"/>
  <c r="H52" i="12"/>
  <c r="Q12" i="12"/>
  <c r="Q32" i="13"/>
  <c r="O26" i="10"/>
  <c r="Q19" i="12"/>
  <c r="Q27" i="12"/>
  <c r="Q54" i="12"/>
  <c r="Q23" i="13"/>
  <c r="Q25" i="12"/>
  <c r="Q82" i="12"/>
  <c r="O64" i="11"/>
  <c r="O72" i="10"/>
  <c r="O26" i="11"/>
  <c r="O34" i="10"/>
  <c r="Q23" i="12"/>
  <c r="Q53" i="12"/>
  <c r="O66" i="11"/>
  <c r="O74" i="10"/>
  <c r="Q50" i="12"/>
  <c r="S75" i="12"/>
  <c r="S50" i="12"/>
  <c r="S10" i="13"/>
  <c r="S39" i="12"/>
  <c r="Q35" i="11"/>
  <c r="Q43" i="10"/>
  <c r="S58" i="12"/>
  <c r="S10" i="12"/>
  <c r="S12" i="12"/>
  <c r="S28" i="12"/>
  <c r="Q39" i="11"/>
  <c r="Q47" i="10"/>
  <c r="S41" i="12"/>
  <c r="S74" i="12"/>
  <c r="Q63" i="11"/>
  <c r="Q71" i="10"/>
  <c r="S20" i="12"/>
  <c r="S77" i="12"/>
  <c r="S59" i="12"/>
  <c r="S84" i="12"/>
  <c r="S14" i="12"/>
  <c r="Q40" i="11"/>
  <c r="Q28" i="11"/>
  <c r="Q48" i="10"/>
  <c r="Q36" i="10"/>
  <c r="S45" i="12"/>
  <c r="S90" i="12"/>
  <c r="S53" i="12"/>
  <c r="L74" i="12"/>
  <c r="J64" i="11"/>
  <c r="J72" i="10"/>
  <c r="L49" i="13"/>
  <c r="L40" i="12"/>
  <c r="L48" i="13"/>
  <c r="L8" i="12"/>
  <c r="L27" i="12"/>
  <c r="L38" i="12"/>
  <c r="L9" i="12"/>
  <c r="L75" i="12"/>
  <c r="J65" i="11"/>
  <c r="J73" i="10"/>
  <c r="L46" i="12"/>
  <c r="L10" i="13"/>
  <c r="I11" i="9"/>
  <c r="L73" i="12"/>
  <c r="L29" i="12"/>
  <c r="L51" i="12"/>
  <c r="L54" i="12"/>
  <c r="L43" i="12"/>
  <c r="L19" i="12"/>
  <c r="L82" i="12"/>
  <c r="J27" i="11"/>
  <c r="J35" i="10"/>
  <c r="Z22" i="12"/>
  <c r="Z56" i="12"/>
  <c r="Z14" i="12"/>
  <c r="Z70" i="12"/>
  <c r="Z68" i="12"/>
  <c r="Z44" i="12"/>
  <c r="Z65" i="12"/>
  <c r="Z11" i="12"/>
  <c r="Z29" i="12"/>
  <c r="Z32" i="13"/>
  <c r="X26" i="10"/>
  <c r="Z78" i="12"/>
  <c r="X39" i="11"/>
  <c r="X47" i="10"/>
  <c r="X27" i="11"/>
  <c r="X35" i="10"/>
  <c r="Z40" i="12"/>
  <c r="X65" i="11"/>
  <c r="X73" i="10"/>
  <c r="Z15" i="12"/>
  <c r="Z9" i="12"/>
  <c r="Z52" i="12"/>
  <c r="Z69" i="12"/>
  <c r="Z77" i="12"/>
  <c r="Z49" i="12"/>
  <c r="Z23" i="13"/>
  <c r="O33" i="11"/>
  <c r="O41" i="10"/>
  <c r="O17" i="11"/>
  <c r="O9" i="11"/>
  <c r="N33" i="9"/>
  <c r="O57" i="11"/>
  <c r="O24" i="4"/>
  <c r="O24" i="11"/>
  <c r="O32" i="10"/>
  <c r="N31" i="9"/>
  <c r="O14" i="11"/>
  <c r="N30" i="9"/>
  <c r="N30" i="5"/>
  <c r="O21" i="11"/>
  <c r="O10" i="11"/>
  <c r="N32" i="9"/>
  <c r="N32" i="5"/>
  <c r="O13" i="11"/>
  <c r="O19" i="11"/>
  <c r="N34" i="9"/>
  <c r="O7" i="11"/>
  <c r="N33" i="5"/>
  <c r="O11" i="11"/>
  <c r="N31" i="5"/>
  <c r="O12" i="11"/>
  <c r="P66" i="11"/>
  <c r="P74" i="10"/>
  <c r="R14" i="12"/>
  <c r="R90" i="12"/>
  <c r="P64" i="11"/>
  <c r="P72" i="10"/>
  <c r="R41" i="12"/>
  <c r="R82" i="12"/>
  <c r="R45" i="12"/>
  <c r="R74" i="12"/>
  <c r="R54" i="12"/>
  <c r="R25" i="12"/>
  <c r="R19" i="12"/>
  <c r="R17" i="12"/>
  <c r="R77" i="12"/>
  <c r="R8" i="13"/>
  <c r="R53" i="12"/>
  <c r="P39" i="11"/>
  <c r="P47" i="10"/>
  <c r="P35" i="11"/>
  <c r="P43" i="10"/>
  <c r="R59" i="12"/>
  <c r="R43" i="12"/>
  <c r="P40" i="11"/>
  <c r="P28" i="11"/>
  <c r="P48" i="10"/>
  <c r="P36" i="10"/>
  <c r="R23" i="12"/>
  <c r="R20" i="12"/>
  <c r="P50" i="12"/>
  <c r="N26" i="11"/>
  <c r="N34" i="10"/>
  <c r="P45" i="12"/>
  <c r="P15" i="12"/>
  <c r="P86" i="12"/>
  <c r="P22" i="12"/>
  <c r="P25" i="12"/>
  <c r="N34" i="11"/>
  <c r="N42" i="10"/>
  <c r="P59" i="12"/>
  <c r="P23" i="12"/>
  <c r="P54" i="12"/>
  <c r="P19" i="12"/>
  <c r="N65" i="11"/>
  <c r="N73" i="10"/>
  <c r="P39" i="12"/>
  <c r="P29" i="12"/>
  <c r="P27" i="12"/>
  <c r="P46" i="12"/>
  <c r="P55" i="12"/>
  <c r="P90" i="12"/>
  <c r="M24" i="9"/>
  <c r="P83" i="12"/>
  <c r="P43" i="12"/>
  <c r="C12" i="13"/>
  <c r="C68" i="12"/>
  <c r="C71" i="12"/>
  <c r="C20" i="12"/>
  <c r="C27" i="12"/>
  <c r="C86" i="12"/>
  <c r="C53" i="12"/>
  <c r="C69" i="12"/>
  <c r="C50" i="12"/>
  <c r="C36" i="13"/>
  <c r="C24" i="13"/>
  <c r="C12" i="12"/>
  <c r="C45" i="12"/>
  <c r="C52" i="12"/>
  <c r="C39" i="12"/>
  <c r="C28" i="12"/>
  <c r="C10" i="13"/>
  <c r="C10" i="12"/>
  <c r="C9" i="12"/>
  <c r="C78" i="12"/>
  <c r="C49" i="12"/>
  <c r="C58" i="12"/>
  <c r="O75" i="12"/>
  <c r="O55" i="12"/>
  <c r="O19" i="12"/>
  <c r="O59" i="12"/>
  <c r="O86" i="12"/>
  <c r="O54" i="12"/>
  <c r="O83" i="12"/>
  <c r="O25" i="12"/>
  <c r="M40" i="11"/>
  <c r="M28" i="11"/>
  <c r="M48" i="10"/>
  <c r="M36" i="10"/>
  <c r="O39" i="12"/>
  <c r="O46" i="12"/>
  <c r="O17" i="12"/>
  <c r="M34" i="11"/>
  <c r="M42" i="10"/>
  <c r="O29" i="12"/>
  <c r="O82" i="12"/>
  <c r="O50" i="12"/>
  <c r="O27" i="12"/>
  <c r="M39" i="11"/>
  <c r="M47" i="10"/>
  <c r="O15" i="12"/>
  <c r="M35" i="11"/>
  <c r="M43" i="10"/>
  <c r="M65" i="11"/>
  <c r="M73" i="10"/>
  <c r="M16" i="10"/>
  <c r="H39" i="11"/>
  <c r="H47" i="10"/>
  <c r="H25" i="11"/>
  <c r="H33" i="10"/>
  <c r="J24" i="12"/>
  <c r="J22" i="12"/>
  <c r="J11" i="12"/>
  <c r="J14" i="12"/>
  <c r="J16" i="12"/>
  <c r="J90" i="12"/>
  <c r="J52" i="12"/>
  <c r="J29" i="12"/>
  <c r="J35" i="13"/>
  <c r="H29" i="10"/>
  <c r="J72" i="12"/>
  <c r="H63" i="11"/>
  <c r="H71" i="10"/>
  <c r="H27" i="11"/>
  <c r="H35" i="10"/>
  <c r="J56" i="12"/>
  <c r="J86" i="12"/>
  <c r="J65" i="12"/>
  <c r="H64" i="11"/>
  <c r="H72" i="10"/>
  <c r="J27" i="12"/>
  <c r="J44" i="12"/>
  <c r="J51" i="12"/>
  <c r="J46" i="12"/>
  <c r="K51" i="12"/>
  <c r="K40" i="12"/>
  <c r="K19" i="12"/>
  <c r="K18" i="12"/>
  <c r="K29" i="12"/>
  <c r="I34" i="11"/>
  <c r="I42" i="10"/>
  <c r="K16" i="12"/>
  <c r="K26" i="13"/>
  <c r="K22" i="12"/>
  <c r="K12" i="12"/>
  <c r="K75" i="12"/>
  <c r="K38" i="12"/>
  <c r="K82" i="12"/>
  <c r="K8" i="13"/>
  <c r="K54" i="12"/>
  <c r="K14" i="12"/>
  <c r="K44" i="12"/>
  <c r="K43" i="12"/>
  <c r="K56" i="12"/>
  <c r="I65" i="11"/>
  <c r="I73" i="10"/>
  <c r="K73" i="12"/>
  <c r="K24" i="13"/>
  <c r="V9" i="12"/>
  <c r="V57" i="12"/>
  <c r="S23" i="9"/>
  <c r="S23" i="5"/>
  <c r="T24" i="10"/>
  <c r="V45" i="12"/>
  <c r="V90" i="12"/>
  <c r="V41" i="12"/>
  <c r="V23" i="12"/>
  <c r="V18" i="12"/>
  <c r="V58" i="12"/>
  <c r="V16" i="12"/>
  <c r="V19" i="12"/>
  <c r="V26" i="12"/>
  <c r="V42" i="13"/>
  <c r="T30" i="11"/>
  <c r="T38" i="10"/>
  <c r="V8" i="12"/>
  <c r="V38" i="12"/>
  <c r="V53" i="12"/>
  <c r="V39" i="12"/>
  <c r="V49" i="12"/>
  <c r="V83" i="12"/>
  <c r="V15" i="12"/>
  <c r="S13" i="9"/>
  <c r="D53" i="12"/>
  <c r="D52" i="12"/>
  <c r="D58" i="12"/>
  <c r="D65" i="12"/>
  <c r="D78" i="12"/>
  <c r="D8" i="13"/>
  <c r="D68" i="12"/>
  <c r="D20" i="12"/>
  <c r="D81" i="12"/>
  <c r="D10" i="13"/>
  <c r="D36" i="13"/>
  <c r="D28" i="12"/>
  <c r="D44" i="12"/>
  <c r="D39" i="12"/>
  <c r="D49" i="12"/>
  <c r="D57" i="12"/>
  <c r="D17" i="12"/>
  <c r="D69" i="12"/>
  <c r="D50" i="12"/>
  <c r="D72" i="12"/>
  <c r="D41" i="12"/>
  <c r="D12" i="13"/>
  <c r="O67" i="10"/>
  <c r="O68" i="10"/>
  <c r="O21" i="2"/>
  <c r="O63" i="10"/>
  <c r="O66" i="10"/>
  <c r="O39" i="4"/>
  <c r="O69" i="10"/>
  <c r="O13" i="2"/>
  <c r="M56" i="12"/>
  <c r="M16" i="12"/>
  <c r="M12" i="13"/>
  <c r="M55" i="12"/>
  <c r="M32" i="13"/>
  <c r="K26" i="10"/>
  <c r="M43" i="12"/>
  <c r="M14" i="12"/>
  <c r="K64" i="11"/>
  <c r="K72" i="10"/>
  <c r="M73" i="12"/>
  <c r="M46" i="12"/>
  <c r="M51" i="12"/>
  <c r="M40" i="12"/>
  <c r="K35" i="11"/>
  <c r="K43" i="10"/>
  <c r="M74" i="12"/>
  <c r="M29" i="12"/>
  <c r="M27" i="12"/>
  <c r="M81" i="12"/>
  <c r="M22" i="12"/>
  <c r="M38" i="12"/>
  <c r="M17" i="12"/>
  <c r="M54" i="12"/>
  <c r="M19" i="12"/>
  <c r="T28" i="12"/>
  <c r="T18" i="12"/>
  <c r="T53" i="12"/>
  <c r="T75" i="12"/>
  <c r="T9" i="13"/>
  <c r="T24" i="13"/>
  <c r="T20" i="12"/>
  <c r="T58" i="12"/>
  <c r="R40" i="11"/>
  <c r="R28" i="11"/>
  <c r="R48" i="10"/>
  <c r="R36" i="10"/>
  <c r="R35" i="11"/>
  <c r="R43" i="10"/>
  <c r="T78" i="12"/>
  <c r="T50" i="12"/>
  <c r="T59" i="12"/>
  <c r="T74" i="12"/>
  <c r="T12" i="13"/>
  <c r="T39" i="12"/>
  <c r="T14" i="3"/>
  <c r="Q7" i="9"/>
  <c r="Q7" i="5"/>
  <c r="R7" i="2"/>
  <c r="T31" i="13"/>
  <c r="R25" i="10"/>
  <c r="T17" i="12"/>
  <c r="T41" i="12"/>
  <c r="T25" i="12"/>
  <c r="R66" i="11"/>
  <c r="R74" i="10"/>
  <c r="Y40" i="11"/>
  <c r="Y28" i="11"/>
  <c r="Y48" i="10"/>
  <c r="Y36" i="10"/>
  <c r="AA38" i="12"/>
  <c r="AA68" i="12"/>
  <c r="Y34" i="11"/>
  <c r="Y42" i="10"/>
  <c r="AA58" i="12"/>
  <c r="AA44" i="12"/>
  <c r="AA26" i="13"/>
  <c r="Y27" i="11"/>
  <c r="Y35" i="10"/>
  <c r="AA29" i="12"/>
  <c r="AA9" i="13"/>
  <c r="AA70" i="12"/>
  <c r="AA52" i="12"/>
  <c r="AA40" i="12"/>
  <c r="AA17" i="12"/>
  <c r="AA51" i="12"/>
  <c r="AA22" i="12"/>
  <c r="AA23" i="12"/>
  <c r="AA57" i="12"/>
  <c r="AA19" i="12"/>
  <c r="AA56" i="12"/>
  <c r="AA69" i="12"/>
  <c r="AA18" i="12"/>
  <c r="F80" i="12"/>
  <c r="D20" i="7"/>
  <c r="D62" i="11"/>
  <c r="D70" i="10"/>
  <c r="F36" i="12"/>
  <c r="C15" i="9"/>
  <c r="D15" i="7"/>
  <c r="D44" i="11"/>
  <c r="D52" i="10"/>
  <c r="F66" i="12"/>
  <c r="D22" i="7"/>
  <c r="F32" i="12"/>
  <c r="D8" i="7"/>
  <c r="D42" i="11"/>
  <c r="D50" i="10"/>
  <c r="F11" i="3"/>
  <c r="F35" i="12"/>
  <c r="F33" i="12"/>
  <c r="D7" i="7"/>
  <c r="D47" i="11"/>
  <c r="D55" i="10"/>
  <c r="F12" i="3"/>
  <c r="F30" i="12"/>
  <c r="F34" i="12"/>
  <c r="F79" i="12"/>
  <c r="F37" i="12"/>
  <c r="F67" i="12"/>
  <c r="F57" i="13"/>
  <c r="D18" i="7"/>
  <c r="D49" i="11"/>
  <c r="D57" i="10"/>
  <c r="F87" i="12"/>
  <c r="D16" i="7"/>
  <c r="D45" i="11"/>
  <c r="D53" i="10"/>
  <c r="F10" i="14"/>
  <c r="E9" i="8"/>
  <c r="C52" i="6"/>
  <c r="E58" i="12"/>
  <c r="E19" i="12"/>
  <c r="E25" i="13"/>
  <c r="E59" i="12"/>
  <c r="E9" i="12"/>
  <c r="C26" i="11"/>
  <c r="C34" i="10"/>
  <c r="E39" i="12"/>
  <c r="C35" i="11"/>
  <c r="C43" i="10"/>
  <c r="E10" i="13"/>
  <c r="E27" i="12"/>
  <c r="E41" i="12"/>
  <c r="C64" i="11"/>
  <c r="C72" i="10"/>
  <c r="C40" i="11"/>
  <c r="C28" i="11"/>
  <c r="C48" i="10"/>
  <c r="C36" i="10"/>
  <c r="E25" i="12"/>
  <c r="E50" i="12"/>
  <c r="E17" i="12"/>
  <c r="E45" i="12"/>
  <c r="E53" i="12"/>
  <c r="C66" i="11"/>
  <c r="C74" i="10"/>
  <c r="E29" i="12"/>
  <c r="E13" i="13"/>
  <c r="E69" i="12"/>
  <c r="N49" i="12"/>
  <c r="N57" i="12"/>
  <c r="N49" i="13"/>
  <c r="N8" i="12"/>
  <c r="N32" i="13"/>
  <c r="L26" i="10"/>
  <c r="N71" i="12"/>
  <c r="N18" i="12"/>
  <c r="N65" i="12"/>
  <c r="N26" i="12"/>
  <c r="N44" i="12"/>
  <c r="N72" i="12"/>
  <c r="N51" i="12"/>
  <c r="N73" i="12"/>
  <c r="N81" i="12"/>
  <c r="N24" i="12"/>
  <c r="L27" i="11"/>
  <c r="L35" i="10"/>
  <c r="N56" i="12"/>
  <c r="L65" i="11"/>
  <c r="L73" i="10"/>
  <c r="N52" i="12"/>
  <c r="N40" i="12"/>
  <c r="N16" i="12"/>
  <c r="N38" i="12"/>
  <c r="R66" i="10"/>
  <c r="R39" i="4"/>
  <c r="R69" i="10"/>
  <c r="R68" i="10"/>
  <c r="R63" i="10"/>
  <c r="R13" i="2"/>
  <c r="R67" i="10"/>
  <c r="R21" i="2"/>
  <c r="D67" i="12"/>
  <c r="C13" i="8"/>
  <c r="D34" i="12"/>
  <c r="D33" i="12"/>
  <c r="C10" i="8"/>
  <c r="M21" i="2"/>
  <c r="C9" i="8"/>
  <c r="D66" i="12"/>
  <c r="M69" i="10"/>
  <c r="C14" i="8"/>
  <c r="D35" i="12"/>
  <c r="D60" i="12"/>
  <c r="C8" i="8"/>
  <c r="M63" i="10"/>
  <c r="C7" i="8"/>
  <c r="M13" i="2"/>
  <c r="M68" i="10"/>
  <c r="C6" i="8"/>
  <c r="M66" i="10"/>
  <c r="M39" i="4"/>
  <c r="D21" i="3"/>
  <c r="M67" i="10"/>
  <c r="D37" i="12"/>
  <c r="D30" i="12"/>
  <c r="D36" i="12"/>
  <c r="D88" i="12"/>
  <c r="D11" i="3"/>
  <c r="D12" i="3"/>
  <c r="F63" i="10"/>
  <c r="F13" i="2"/>
  <c r="F69" i="10"/>
  <c r="F67" i="10"/>
  <c r="F21" i="2"/>
  <c r="F68" i="10"/>
  <c r="F66" i="10"/>
  <c r="F39" i="4"/>
  <c r="V68" i="10"/>
  <c r="V66" i="10"/>
  <c r="V39" i="4"/>
  <c r="V63" i="10"/>
  <c r="V69" i="10"/>
  <c r="V13" i="2"/>
  <c r="V21" i="2"/>
  <c r="V67" i="10"/>
  <c r="U75" i="12"/>
  <c r="U17" i="12"/>
  <c r="U46" i="12"/>
  <c r="S26" i="11"/>
  <c r="S34" i="10"/>
  <c r="S40" i="11"/>
  <c r="S28" i="11"/>
  <c r="S48" i="10"/>
  <c r="S36" i="10"/>
  <c r="U25" i="12"/>
  <c r="U10" i="13"/>
  <c r="U29" i="12"/>
  <c r="U43" i="12"/>
  <c r="U9" i="12"/>
  <c r="U51" i="12"/>
  <c r="U73" i="12"/>
  <c r="S66" i="11"/>
  <c r="S74" i="10"/>
  <c r="U19" i="12"/>
  <c r="S64" i="11"/>
  <c r="S72" i="10"/>
  <c r="U12" i="13"/>
  <c r="U50" i="13"/>
  <c r="S35" i="11"/>
  <c r="S43" i="10"/>
  <c r="U27" i="12"/>
  <c r="U81" i="12"/>
  <c r="U74" i="12"/>
  <c r="U8" i="13"/>
  <c r="K30" i="12"/>
  <c r="K33" i="12"/>
  <c r="H34" i="6"/>
  <c r="K79" i="12"/>
  <c r="K32" i="12"/>
  <c r="K88" i="12"/>
  <c r="I16" i="7"/>
  <c r="I45" i="11"/>
  <c r="I53" i="10"/>
  <c r="K34" i="12"/>
  <c r="K63" i="12"/>
  <c r="K37" i="12"/>
  <c r="I7" i="7"/>
  <c r="I47" i="11"/>
  <c r="I55" i="10"/>
  <c r="K12" i="3"/>
  <c r="K35" i="12"/>
  <c r="K67" i="12"/>
  <c r="K36" i="12"/>
  <c r="K60" i="12"/>
  <c r="K61" i="12"/>
  <c r="K66" i="12"/>
  <c r="K65" i="13"/>
  <c r="I19" i="7"/>
  <c r="I50" i="11"/>
  <c r="I58" i="10"/>
  <c r="I18" i="4"/>
  <c r="I20" i="2"/>
  <c r="I20" i="7"/>
  <c r="I62" i="11"/>
  <c r="I70" i="10"/>
  <c r="H25" i="9"/>
  <c r="H15" i="9"/>
  <c r="I8" i="7"/>
  <c r="I42" i="11"/>
  <c r="I50" i="10"/>
  <c r="K11" i="3"/>
  <c r="I45" i="12"/>
  <c r="I17" i="13"/>
  <c r="I15" i="12"/>
  <c r="I53" i="12"/>
  <c r="I77" i="12"/>
  <c r="I20" i="12"/>
  <c r="I78" i="12"/>
  <c r="I9" i="13"/>
  <c r="I36" i="13"/>
  <c r="G30" i="10"/>
  <c r="I59" i="12"/>
  <c r="I12" i="12"/>
  <c r="I71" i="12"/>
  <c r="I58" i="12"/>
  <c r="I68" i="12"/>
  <c r="I39" i="12"/>
  <c r="I49" i="12"/>
  <c r="I41" i="12"/>
  <c r="I69" i="12"/>
  <c r="I33" i="13"/>
  <c r="G27" i="10"/>
  <c r="I23" i="12"/>
  <c r="I70" i="12"/>
  <c r="G40" i="11"/>
  <c r="G28" i="11"/>
  <c r="G48" i="10"/>
  <c r="G36" i="10"/>
  <c r="H21" i="2"/>
  <c r="H63" i="10"/>
  <c r="H69" i="10"/>
  <c r="H68" i="10"/>
  <c r="H67" i="10"/>
  <c r="H66" i="10"/>
  <c r="H39" i="4"/>
  <c r="H13" i="2"/>
  <c r="S22" i="12"/>
  <c r="S29" i="12"/>
  <c r="S65" i="12"/>
  <c r="S19" i="12"/>
  <c r="S24" i="12"/>
  <c r="S27" i="12"/>
  <c r="S86" i="12"/>
  <c r="S46" i="12"/>
  <c r="S24" i="13"/>
  <c r="S11" i="12"/>
  <c r="S40" i="12"/>
  <c r="S15" i="13"/>
  <c r="S9" i="12"/>
  <c r="S50" i="13"/>
  <c r="S43" i="12"/>
  <c r="S49" i="13"/>
  <c r="S17" i="13"/>
  <c r="Q64" i="11"/>
  <c r="Q72" i="10"/>
  <c r="S81" i="12"/>
  <c r="S55" i="12"/>
  <c r="Q26" i="11"/>
  <c r="Q34" i="10"/>
  <c r="S51" i="12"/>
  <c r="X67" i="10"/>
  <c r="X63" i="10"/>
  <c r="X21" i="2"/>
  <c r="X68" i="10"/>
  <c r="X13" i="2"/>
  <c r="X66" i="10"/>
  <c r="X39" i="4"/>
  <c r="X69" i="10"/>
  <c r="C54" i="13"/>
  <c r="C10" i="3"/>
  <c r="C9" i="3"/>
  <c r="G17" i="12"/>
  <c r="G72" i="12"/>
  <c r="G41" i="12"/>
  <c r="G15" i="12"/>
  <c r="G49" i="12"/>
  <c r="G48" i="13"/>
  <c r="G50" i="12"/>
  <c r="G77" i="12"/>
  <c r="G71" i="12"/>
  <c r="G65" i="12"/>
  <c r="E40" i="11"/>
  <c r="E28" i="11"/>
  <c r="E48" i="10"/>
  <c r="E36" i="10"/>
  <c r="E66" i="11"/>
  <c r="E74" i="10"/>
  <c r="G58" i="12"/>
  <c r="G23" i="12"/>
  <c r="G85" i="12"/>
  <c r="G57" i="12"/>
  <c r="G25" i="12"/>
  <c r="G39" i="12"/>
  <c r="G45" i="12"/>
  <c r="G17" i="13"/>
  <c r="G19" i="12"/>
  <c r="G70" i="12"/>
  <c r="Z83" i="12"/>
  <c r="X25" i="11"/>
  <c r="X33" i="10"/>
  <c r="Z23" i="12"/>
  <c r="Z39" i="12"/>
  <c r="Z17" i="13"/>
  <c r="Z53" i="12"/>
  <c r="Z59" i="12"/>
  <c r="Z54" i="12"/>
  <c r="Z28" i="12"/>
  <c r="Z41" i="12"/>
  <c r="Z12" i="12"/>
  <c r="Z75" i="12"/>
  <c r="Z20" i="12"/>
  <c r="Z50" i="13"/>
  <c r="Z25" i="12"/>
  <c r="Z50" i="12"/>
  <c r="X66" i="11"/>
  <c r="X74" i="10"/>
  <c r="X63" i="11"/>
  <c r="X71" i="10"/>
  <c r="Z45" i="12"/>
  <c r="X40" i="11"/>
  <c r="X28" i="11"/>
  <c r="X48" i="10"/>
  <c r="X36" i="10"/>
  <c r="Z10" i="12"/>
  <c r="Z14" i="13"/>
  <c r="X30" i="12"/>
  <c r="X32" i="12"/>
  <c r="X35" i="12"/>
  <c r="W10" i="8"/>
  <c r="U53" i="6"/>
  <c r="V8" i="7"/>
  <c r="V42" i="11"/>
  <c r="V50" i="10"/>
  <c r="X11" i="3"/>
  <c r="W13" i="8"/>
  <c r="X34" i="12"/>
  <c r="X87" i="12"/>
  <c r="W6" i="8"/>
  <c r="U51" i="6"/>
  <c r="W8" i="8"/>
  <c r="X61" i="12"/>
  <c r="X62" i="12"/>
  <c r="X37" i="12"/>
  <c r="X89" i="12"/>
  <c r="V7" i="7"/>
  <c r="V47" i="11"/>
  <c r="V55" i="10"/>
  <c r="X12" i="3"/>
  <c r="V15" i="7"/>
  <c r="V44" i="11"/>
  <c r="V52" i="10"/>
  <c r="V20" i="7"/>
  <c r="V62" i="11"/>
  <c r="V70" i="10"/>
  <c r="X79" i="12"/>
  <c r="X67" i="12"/>
  <c r="V16" i="7"/>
  <c r="V45" i="11"/>
  <c r="V53" i="10"/>
  <c r="X63" i="12"/>
  <c r="X33" i="12"/>
  <c r="F54" i="12"/>
  <c r="F83" i="12"/>
  <c r="F39" i="12"/>
  <c r="F70" i="12"/>
  <c r="F84" i="12"/>
  <c r="F27" i="12"/>
  <c r="F45" i="12"/>
  <c r="F34" i="13"/>
  <c r="D28" i="10"/>
  <c r="D35" i="11"/>
  <c r="D43" i="10"/>
  <c r="F17" i="12"/>
  <c r="F50" i="12"/>
  <c r="F53" i="12"/>
  <c r="F58" i="12"/>
  <c r="D40" i="11"/>
  <c r="D28" i="11"/>
  <c r="D48" i="10"/>
  <c r="D36" i="10"/>
  <c r="F85" i="12"/>
  <c r="F11" i="12"/>
  <c r="D66" i="11"/>
  <c r="D74" i="10"/>
  <c r="F15" i="12"/>
  <c r="F41" i="12"/>
  <c r="F29" i="12"/>
  <c r="F57" i="12"/>
  <c r="F25" i="12"/>
  <c r="Y78" i="12"/>
  <c r="Y23" i="13"/>
  <c r="Y17" i="12"/>
  <c r="Y43" i="12"/>
  <c r="Y14" i="13"/>
  <c r="Y41" i="12"/>
  <c r="Y17" i="13"/>
  <c r="Y75" i="12"/>
  <c r="W40" i="11"/>
  <c r="W28" i="11"/>
  <c r="W48" i="10"/>
  <c r="W36" i="10"/>
  <c r="Y54" i="12"/>
  <c r="Y58" i="12"/>
  <c r="Y39" i="12"/>
  <c r="Y15" i="12"/>
  <c r="Y20" i="12"/>
  <c r="Y23" i="12"/>
  <c r="Y42" i="13"/>
  <c r="W30" i="11"/>
  <c r="W38" i="10"/>
  <c r="Y45" i="12"/>
  <c r="Y59" i="12"/>
  <c r="Y49" i="12"/>
  <c r="Y77" i="12"/>
  <c r="Y12" i="12"/>
  <c r="Y53" i="12"/>
  <c r="W73" i="12"/>
  <c r="W45" i="13"/>
  <c r="W17" i="12"/>
  <c r="W81" i="12"/>
  <c r="W15" i="12"/>
  <c r="W23" i="12"/>
  <c r="U66" i="11"/>
  <c r="U74" i="10"/>
  <c r="W54" i="12"/>
  <c r="W90" i="12"/>
  <c r="W43" i="12"/>
  <c r="W12" i="13"/>
  <c r="W50" i="12"/>
  <c r="W85" i="12"/>
  <c r="W39" i="12"/>
  <c r="W46" i="12"/>
  <c r="W74" i="12"/>
  <c r="W82" i="12"/>
  <c r="W19" i="12"/>
  <c r="W55" i="12"/>
  <c r="W25" i="12"/>
  <c r="U40" i="11"/>
  <c r="U28" i="11"/>
  <c r="U48" i="10"/>
  <c r="U36" i="10"/>
  <c r="W24" i="13"/>
  <c r="O56" i="12"/>
  <c r="O78" i="12"/>
  <c r="O44" i="12"/>
  <c r="O71" i="12"/>
  <c r="O28" i="12"/>
  <c r="O81" i="12"/>
  <c r="O40" i="12"/>
  <c r="O65" i="12"/>
  <c r="O25" i="13"/>
  <c r="O24" i="12"/>
  <c r="O14" i="12"/>
  <c r="O16" i="12"/>
  <c r="O72" i="12"/>
  <c r="O52" i="12"/>
  <c r="O38" i="12"/>
  <c r="M63" i="11"/>
  <c r="M71" i="10"/>
  <c r="O49" i="12"/>
  <c r="O10" i="12"/>
  <c r="O85" i="12"/>
  <c r="O26" i="12"/>
  <c r="O57" i="12"/>
  <c r="O69" i="12"/>
  <c r="J68" i="12"/>
  <c r="J53" i="12"/>
  <c r="J59" i="12"/>
  <c r="J39" i="12"/>
  <c r="J20" i="12"/>
  <c r="J50" i="12"/>
  <c r="J41" i="12"/>
  <c r="J12" i="12"/>
  <c r="H40" i="11"/>
  <c r="H28" i="11"/>
  <c r="H48" i="10"/>
  <c r="H36" i="10"/>
  <c r="J45" i="12"/>
  <c r="J33" i="13"/>
  <c r="H27" i="10"/>
  <c r="J10" i="12"/>
  <c r="J25" i="12"/>
  <c r="J69" i="12"/>
  <c r="J70" i="12"/>
  <c r="J85" i="12"/>
  <c r="J78" i="12"/>
  <c r="J28" i="12"/>
  <c r="J23" i="12"/>
  <c r="J49" i="12"/>
  <c r="H66" i="11"/>
  <c r="H74" i="10"/>
  <c r="J15" i="13"/>
  <c r="O39" i="11"/>
  <c r="O47" i="10"/>
  <c r="Q18" i="12"/>
  <c r="Q29" i="12"/>
  <c r="Q86" i="12"/>
  <c r="Q55" i="12"/>
  <c r="Q44" i="12"/>
  <c r="Q70" i="12"/>
  <c r="Q69" i="12"/>
  <c r="Q52" i="12"/>
  <c r="Q22" i="12"/>
  <c r="Q26" i="12"/>
  <c r="Q51" i="12"/>
  <c r="Q73" i="12"/>
  <c r="Q15" i="13"/>
  <c r="Q14" i="12"/>
  <c r="Q11" i="12"/>
  <c r="Q85" i="12"/>
  <c r="Q46" i="12"/>
  <c r="Q24" i="12"/>
  <c r="Q38" i="12"/>
  <c r="O65" i="11"/>
  <c r="O73" i="10"/>
  <c r="Q8" i="12"/>
  <c r="H68" i="12"/>
  <c r="H23" i="12"/>
  <c r="H50" i="12"/>
  <c r="H58" i="12"/>
  <c r="H78" i="12"/>
  <c r="H39" i="12"/>
  <c r="H53" i="12"/>
  <c r="H12" i="12"/>
  <c r="H85" i="12"/>
  <c r="H17" i="13"/>
  <c r="H9" i="12"/>
  <c r="H15" i="12"/>
  <c r="H70" i="12"/>
  <c r="H45" i="12"/>
  <c r="H71" i="12"/>
  <c r="H84" i="12"/>
  <c r="F64" i="11"/>
  <c r="F72" i="10"/>
  <c r="H34" i="13"/>
  <c r="F28" i="10"/>
  <c r="F40" i="11"/>
  <c r="F28" i="11"/>
  <c r="F48" i="10"/>
  <c r="F36" i="10"/>
  <c r="H77" i="12"/>
  <c r="H25" i="12"/>
  <c r="H27" i="12"/>
  <c r="C21" i="3"/>
  <c r="C61" i="12"/>
  <c r="C35" i="12"/>
  <c r="C33" i="12"/>
  <c r="C89" i="12"/>
  <c r="C30" i="12"/>
  <c r="C76" i="12"/>
  <c r="C32" i="12"/>
  <c r="C12" i="3"/>
  <c r="C11" i="3"/>
  <c r="C60" i="12"/>
  <c r="C67" i="12"/>
  <c r="C88" i="12"/>
  <c r="X23" i="12"/>
  <c r="X54" i="12"/>
  <c r="X86" i="12"/>
  <c r="X33" i="13"/>
  <c r="V27" i="10"/>
  <c r="X27" i="12"/>
  <c r="V64" i="11"/>
  <c r="V72" i="10"/>
  <c r="X74" i="12"/>
  <c r="X43" i="12"/>
  <c r="V40" i="11"/>
  <c r="V28" i="11"/>
  <c r="V48" i="10"/>
  <c r="V36" i="10"/>
  <c r="X12" i="12"/>
  <c r="X25" i="12"/>
  <c r="X15" i="12"/>
  <c r="X44" i="13"/>
  <c r="X53" i="12"/>
  <c r="X83" i="12"/>
  <c r="X8" i="13"/>
  <c r="X9" i="12"/>
  <c r="X82" i="12"/>
  <c r="X45" i="12"/>
  <c r="X39" i="12"/>
  <c r="X50" i="12"/>
  <c r="X19" i="12"/>
  <c r="V17" i="12"/>
  <c r="T40" i="11"/>
  <c r="T28" i="11"/>
  <c r="T48" i="10"/>
  <c r="T36" i="10"/>
  <c r="V51" i="12"/>
  <c r="T35" i="11"/>
  <c r="T43" i="10"/>
  <c r="V25" i="12"/>
  <c r="V29" i="12"/>
  <c r="V46" i="12"/>
  <c r="V24" i="13"/>
  <c r="V12" i="13"/>
  <c r="V27" i="12"/>
  <c r="V22" i="12"/>
  <c r="V11" i="12"/>
  <c r="T66" i="11"/>
  <c r="T74" i="10"/>
  <c r="V55" i="12"/>
  <c r="V85" i="12"/>
  <c r="V73" i="12"/>
  <c r="V10" i="13"/>
  <c r="V54" i="12"/>
  <c r="V82" i="12"/>
  <c r="V44" i="13"/>
  <c r="V50" i="12"/>
  <c r="V72" i="12"/>
  <c r="L41" i="12"/>
  <c r="L45" i="12"/>
  <c r="J34" i="11"/>
  <c r="J42" i="10"/>
  <c r="L52" i="12"/>
  <c r="L23" i="12"/>
  <c r="L18" i="12"/>
  <c r="L57" i="12"/>
  <c r="L13" i="13"/>
  <c r="L49" i="12"/>
  <c r="L20" i="12"/>
  <c r="L44" i="12"/>
  <c r="L53" i="12"/>
  <c r="J63" i="11"/>
  <c r="J71" i="10"/>
  <c r="L58" i="12"/>
  <c r="L28" i="12"/>
  <c r="L70" i="12"/>
  <c r="L10" i="12"/>
  <c r="L26" i="12"/>
  <c r="L68" i="12"/>
  <c r="L11" i="13"/>
  <c r="L15" i="12"/>
  <c r="J25" i="11"/>
  <c r="J33" i="10"/>
  <c r="R61" i="12"/>
  <c r="P15" i="7"/>
  <c r="P44" i="11"/>
  <c r="P52" i="10"/>
  <c r="R62" i="12"/>
  <c r="O25" i="9"/>
  <c r="R32" i="12"/>
  <c r="P26" i="7"/>
  <c r="P7" i="7"/>
  <c r="P47" i="11"/>
  <c r="P55" i="10"/>
  <c r="R12" i="3"/>
  <c r="R37" i="12"/>
  <c r="R30" i="12"/>
  <c r="R35" i="12"/>
  <c r="O15" i="9"/>
  <c r="P16" i="7"/>
  <c r="P45" i="11"/>
  <c r="P53" i="10"/>
  <c r="R67" i="12"/>
  <c r="R80" i="12"/>
  <c r="R34" i="12"/>
  <c r="R76" i="12"/>
  <c r="R36" i="12"/>
  <c r="R89" i="12"/>
  <c r="R60" i="12"/>
  <c r="R33" i="12"/>
  <c r="P8" i="7"/>
  <c r="P42" i="11"/>
  <c r="P50" i="10"/>
  <c r="R11" i="3"/>
  <c r="P20" i="7"/>
  <c r="P62" i="11"/>
  <c r="P70" i="10"/>
  <c r="X16" i="7"/>
  <c r="X45" i="11"/>
  <c r="X53" i="10"/>
  <c r="Z60" i="12"/>
  <c r="Z34" i="12"/>
  <c r="Z88" i="12"/>
  <c r="Z33" i="12"/>
  <c r="Z36" i="12"/>
  <c r="Z79" i="12"/>
  <c r="Z32" i="12"/>
  <c r="Z35" i="12"/>
  <c r="Z30" i="12"/>
  <c r="Z76" i="12"/>
  <c r="X7" i="7"/>
  <c r="X47" i="11"/>
  <c r="X55" i="10"/>
  <c r="Z12" i="3"/>
  <c r="Z37" i="12"/>
  <c r="Y8" i="8"/>
  <c r="X15" i="7"/>
  <c r="X44" i="11"/>
  <c r="X52" i="10"/>
  <c r="X20" i="7"/>
  <c r="X62" i="11"/>
  <c r="X70" i="10"/>
  <c r="Z66" i="12"/>
  <c r="Z61" i="12"/>
  <c r="Z87" i="12"/>
  <c r="W25" i="9"/>
  <c r="X8" i="7"/>
  <c r="X42" i="11"/>
  <c r="X50" i="10"/>
  <c r="Z11" i="3"/>
  <c r="W15" i="9"/>
  <c r="J34" i="12"/>
  <c r="J79" i="12"/>
  <c r="J66" i="12"/>
  <c r="H7" i="7"/>
  <c r="H47" i="11"/>
  <c r="H55" i="10"/>
  <c r="J12" i="3"/>
  <c r="G14" i="6"/>
  <c r="H8" i="7"/>
  <c r="H42" i="11"/>
  <c r="H50" i="10"/>
  <c r="J11" i="3"/>
  <c r="J36" i="12"/>
  <c r="H20" i="7"/>
  <c r="H62" i="11"/>
  <c r="H70" i="10"/>
  <c r="J62" i="12"/>
  <c r="J33" i="12"/>
  <c r="J63" i="12"/>
  <c r="J61" i="12"/>
  <c r="J89" i="12"/>
  <c r="H16" i="7"/>
  <c r="H45" i="11"/>
  <c r="H53" i="10"/>
  <c r="G34" i="6"/>
  <c r="J35" i="12"/>
  <c r="J32" i="12"/>
  <c r="G25" i="9"/>
  <c r="J37" i="12"/>
  <c r="G15" i="9"/>
  <c r="J30" i="12"/>
  <c r="J76" i="12"/>
  <c r="T43" i="12"/>
  <c r="T44" i="13"/>
  <c r="T55" i="12"/>
  <c r="T8" i="13"/>
  <c r="T56" i="12"/>
  <c r="T40" i="12"/>
  <c r="T65" i="12"/>
  <c r="T27" i="12"/>
  <c r="T19" i="12"/>
  <c r="R26" i="11"/>
  <c r="R34" i="10"/>
  <c r="T18" i="13"/>
  <c r="R64" i="11"/>
  <c r="R72" i="10"/>
  <c r="T10" i="13"/>
  <c r="T29" i="12"/>
  <c r="T9" i="12"/>
  <c r="T24" i="12"/>
  <c r="T15" i="14"/>
  <c r="T51" i="12"/>
  <c r="T14" i="12"/>
  <c r="T81" i="12"/>
  <c r="T86" i="12"/>
  <c r="T72" i="12"/>
  <c r="W63" i="12"/>
  <c r="W34" i="12"/>
  <c r="W67" i="12"/>
  <c r="W35" i="12"/>
  <c r="U16" i="7"/>
  <c r="U45" i="11"/>
  <c r="U53" i="10"/>
  <c r="U7" i="7"/>
  <c r="U47" i="11"/>
  <c r="U55" i="10"/>
  <c r="W12" i="3"/>
  <c r="W37" i="12"/>
  <c r="U22" i="7"/>
  <c r="W60" i="12"/>
  <c r="W80" i="12"/>
  <c r="W33" i="12"/>
  <c r="W11" i="14"/>
  <c r="W36" i="12"/>
  <c r="W61" i="12"/>
  <c r="U8" i="7"/>
  <c r="U42" i="11"/>
  <c r="U50" i="10"/>
  <c r="W11" i="3"/>
  <c r="U20" i="7"/>
  <c r="U62" i="11"/>
  <c r="U70" i="10"/>
  <c r="U15" i="7"/>
  <c r="U44" i="11"/>
  <c r="U52" i="10"/>
  <c r="V9" i="8"/>
  <c r="T52" i="6"/>
  <c r="W56" i="13"/>
  <c r="W30" i="12"/>
  <c r="W87" i="12"/>
  <c r="U26" i="7"/>
  <c r="Y8" i="7"/>
  <c r="Y42" i="11"/>
  <c r="Y50" i="10"/>
  <c r="AA11" i="3"/>
  <c r="Y15" i="7"/>
  <c r="Y44" i="11"/>
  <c r="Y52" i="10"/>
  <c r="AA67" i="12"/>
  <c r="AA61" i="12"/>
  <c r="X25" i="9"/>
  <c r="AA34" i="12"/>
  <c r="Y16" i="7"/>
  <c r="Y45" i="11"/>
  <c r="Y53" i="10"/>
  <c r="AA36" i="12"/>
  <c r="Y7" i="7"/>
  <c r="Y47" i="11"/>
  <c r="Y55" i="10"/>
  <c r="AA12" i="3"/>
  <c r="AA79" i="12"/>
  <c r="AA32" i="12"/>
  <c r="AA89" i="12"/>
  <c r="AA66" i="12"/>
  <c r="AA30" i="12"/>
  <c r="AA76" i="12"/>
  <c r="Y20" i="7"/>
  <c r="Y62" i="11"/>
  <c r="Y70" i="10"/>
  <c r="AA33" i="12"/>
  <c r="X15" i="9"/>
  <c r="AA35" i="12"/>
  <c r="AA37" i="12"/>
  <c r="AA60" i="12"/>
  <c r="X34" i="6"/>
  <c r="AA41" i="12"/>
  <c r="AA59" i="12"/>
  <c r="AA20" i="12"/>
  <c r="AA90" i="12"/>
  <c r="AA45" i="12"/>
  <c r="Y63" i="11"/>
  <c r="Y71" i="10"/>
  <c r="AA15" i="12"/>
  <c r="AA28" i="12"/>
  <c r="AA10" i="12"/>
  <c r="AA54" i="12"/>
  <c r="AA50" i="12"/>
  <c r="AA25" i="12"/>
  <c r="AA83" i="12"/>
  <c r="AA39" i="12"/>
  <c r="AA73" i="12"/>
  <c r="AA14" i="13"/>
  <c r="AA86" i="12"/>
  <c r="Y25" i="11"/>
  <c r="Y33" i="10"/>
  <c r="Y66" i="11"/>
  <c r="Y74" i="10"/>
  <c r="AA17" i="13"/>
  <c r="AA75" i="12"/>
  <c r="AA53" i="12"/>
  <c r="F7" i="7"/>
  <c r="F47" i="11"/>
  <c r="F55" i="10"/>
  <c r="H12" i="3"/>
  <c r="H33" i="12"/>
  <c r="H89" i="12"/>
  <c r="G8" i="8"/>
  <c r="H80" i="12"/>
  <c r="G6" i="8"/>
  <c r="E51" i="6"/>
  <c r="F15" i="7"/>
  <c r="F44" i="11"/>
  <c r="F52" i="10"/>
  <c r="H62" i="12"/>
  <c r="G10" i="8"/>
  <c r="E53" i="6"/>
  <c r="H30" i="12"/>
  <c r="H36" i="12"/>
  <c r="H37" i="12"/>
  <c r="H35" i="12"/>
  <c r="H87" i="12"/>
  <c r="G13" i="8"/>
  <c r="H63" i="12"/>
  <c r="H32" i="12"/>
  <c r="H79" i="12"/>
  <c r="H67" i="12"/>
  <c r="F16" i="7"/>
  <c r="F45" i="11"/>
  <c r="F53" i="10"/>
  <c r="H34" i="12"/>
  <c r="F20" i="7"/>
  <c r="F62" i="11"/>
  <c r="F70" i="10"/>
  <c r="M12" i="12"/>
  <c r="M18" i="12"/>
  <c r="M57" i="12"/>
  <c r="M84" i="12"/>
  <c r="M28" i="12"/>
  <c r="M13" i="13"/>
  <c r="M33" i="13"/>
  <c r="K27" i="10"/>
  <c r="M26" i="12"/>
  <c r="M23" i="12"/>
  <c r="M68" i="12"/>
  <c r="M71" i="12"/>
  <c r="K34" i="11"/>
  <c r="K42" i="10"/>
  <c r="M41" i="12"/>
  <c r="M8" i="12"/>
  <c r="M49" i="12"/>
  <c r="M11" i="13"/>
  <c r="M52" i="12"/>
  <c r="K65" i="11"/>
  <c r="K73" i="10"/>
  <c r="M18" i="13"/>
  <c r="M65" i="12"/>
  <c r="K27" i="11"/>
  <c r="K35" i="10"/>
  <c r="M58" i="12"/>
  <c r="K25" i="12"/>
  <c r="K53" i="12"/>
  <c r="K58" i="12"/>
  <c r="K50" i="12"/>
  <c r="K41" i="12"/>
  <c r="K85" i="12"/>
  <c r="K9" i="13"/>
  <c r="K68" i="12"/>
  <c r="K69" i="12"/>
  <c r="I63" i="11"/>
  <c r="I71" i="10"/>
  <c r="K52" i="12"/>
  <c r="K11" i="13"/>
  <c r="K15" i="12"/>
  <c r="I66" i="11"/>
  <c r="I74" i="10"/>
  <c r="K39" i="12"/>
  <c r="K28" i="12"/>
  <c r="K20" i="12"/>
  <c r="K45" i="12"/>
  <c r="K70" i="12"/>
  <c r="K10" i="12"/>
  <c r="I25" i="11"/>
  <c r="I33" i="10"/>
  <c r="K57" i="12"/>
  <c r="R22" i="12"/>
  <c r="R69" i="12"/>
  <c r="R68" i="12"/>
  <c r="P25" i="11"/>
  <c r="P33" i="10"/>
  <c r="R57" i="12"/>
  <c r="R38" i="12"/>
  <c r="R11" i="12"/>
  <c r="R15" i="13"/>
  <c r="R51" i="12"/>
  <c r="R52" i="12"/>
  <c r="R29" i="12"/>
  <c r="R55" i="12"/>
  <c r="R20" i="14"/>
  <c r="R40" i="12"/>
  <c r="R26" i="12"/>
  <c r="R46" i="12"/>
  <c r="R70" i="12"/>
  <c r="R71" i="12"/>
  <c r="P65" i="11"/>
  <c r="P73" i="10"/>
  <c r="R44" i="12"/>
  <c r="R8" i="12"/>
  <c r="R16" i="12"/>
  <c r="P24" i="12"/>
  <c r="P38" i="12"/>
  <c r="P49" i="12"/>
  <c r="P18" i="12"/>
  <c r="P70" i="12"/>
  <c r="P57" i="12"/>
  <c r="P28" i="12"/>
  <c r="N63" i="11"/>
  <c r="N71" i="10"/>
  <c r="P72" i="12"/>
  <c r="P71" i="12"/>
  <c r="P78" i="12"/>
  <c r="P56" i="12"/>
  <c r="P44" i="12"/>
  <c r="P73" i="12"/>
  <c r="P40" i="12"/>
  <c r="P16" i="12"/>
  <c r="N39" i="11"/>
  <c r="N47" i="10"/>
  <c r="P14" i="12"/>
  <c r="P41" i="12"/>
  <c r="P84" i="12"/>
  <c r="P69" i="12"/>
  <c r="P10" i="12"/>
  <c r="U60" i="12"/>
  <c r="R26" i="6"/>
  <c r="U88" i="12"/>
  <c r="U63" i="12"/>
  <c r="U30" i="12"/>
  <c r="S8" i="7"/>
  <c r="S42" i="11"/>
  <c r="S50" i="10"/>
  <c r="U11" i="3"/>
  <c r="S16" i="7"/>
  <c r="S45" i="11"/>
  <c r="S53" i="10"/>
  <c r="S20" i="7"/>
  <c r="S62" i="11"/>
  <c r="S70" i="10"/>
  <c r="U36" i="12"/>
  <c r="U35" i="12"/>
  <c r="U37" i="12"/>
  <c r="U63" i="13"/>
  <c r="S15" i="7"/>
  <c r="S44" i="11"/>
  <c r="S52" i="10"/>
  <c r="U33" i="12"/>
  <c r="U76" i="12"/>
  <c r="R6" i="6"/>
  <c r="U79" i="12"/>
  <c r="U32" i="12"/>
  <c r="U62" i="12"/>
  <c r="R16" i="6"/>
  <c r="S7" i="7"/>
  <c r="S47" i="11"/>
  <c r="S55" i="10"/>
  <c r="U12" i="3"/>
  <c r="U66" i="12"/>
  <c r="G37" i="12"/>
  <c r="E20" i="7"/>
  <c r="E62" i="11"/>
  <c r="E70" i="10"/>
  <c r="G61" i="12"/>
  <c r="G30" i="12"/>
  <c r="G80" i="12"/>
  <c r="E15" i="7"/>
  <c r="E44" i="11"/>
  <c r="E52" i="10"/>
  <c r="E7" i="7"/>
  <c r="E47" i="11"/>
  <c r="E55" i="10"/>
  <c r="G12" i="3"/>
  <c r="G89" i="12"/>
  <c r="E16" i="7"/>
  <c r="E45" i="11"/>
  <c r="E53" i="10"/>
  <c r="F9" i="8"/>
  <c r="D52" i="6"/>
  <c r="D15" i="9"/>
  <c r="G35" i="12"/>
  <c r="G36" i="12"/>
  <c r="G67" i="12"/>
  <c r="G79" i="12"/>
  <c r="G63" i="12"/>
  <c r="E22" i="7"/>
  <c r="E8" i="7"/>
  <c r="E42" i="11"/>
  <c r="E50" i="10"/>
  <c r="G11" i="3"/>
  <c r="G87" i="12"/>
  <c r="G60" i="12"/>
  <c r="G34" i="12"/>
  <c r="G33" i="12"/>
  <c r="P79" i="12"/>
  <c r="N20" i="7"/>
  <c r="N62" i="11"/>
  <c r="N70" i="10"/>
  <c r="P33" i="12"/>
  <c r="P62" i="12"/>
  <c r="N7" i="7"/>
  <c r="N47" i="11"/>
  <c r="N55" i="10"/>
  <c r="P12" i="3"/>
  <c r="P32" i="12"/>
  <c r="P34" i="12"/>
  <c r="P63" i="12"/>
  <c r="P66" i="12"/>
  <c r="P35" i="12"/>
  <c r="O9" i="8"/>
  <c r="M52" i="6"/>
  <c r="O14" i="8"/>
  <c r="N8" i="7"/>
  <c r="N42" i="11"/>
  <c r="N50" i="10"/>
  <c r="P11" i="3"/>
  <c r="P60" i="12"/>
  <c r="N27" i="7"/>
  <c r="P36" i="12"/>
  <c r="P76" i="12"/>
  <c r="P88" i="12"/>
  <c r="P30" i="12"/>
  <c r="N15" i="7"/>
  <c r="N44" i="11"/>
  <c r="N52" i="10"/>
  <c r="N16" i="7"/>
  <c r="N45" i="11"/>
  <c r="N53" i="10"/>
  <c r="O7" i="8"/>
  <c r="C16" i="7"/>
  <c r="C45" i="11"/>
  <c r="C53" i="10"/>
  <c r="E66" i="12"/>
  <c r="E36" i="12"/>
  <c r="E33" i="12"/>
  <c r="E63" i="12"/>
  <c r="C8" i="7"/>
  <c r="C42" i="11"/>
  <c r="C50" i="10"/>
  <c r="E11" i="3"/>
  <c r="E60" i="12"/>
  <c r="E30" i="12"/>
  <c r="E67" i="12"/>
  <c r="D8" i="8"/>
  <c r="D6" i="8"/>
  <c r="E62" i="13"/>
  <c r="E35" i="12"/>
  <c r="C22" i="7"/>
  <c r="C7" i="7"/>
  <c r="C47" i="11"/>
  <c r="C55" i="10"/>
  <c r="E12" i="3"/>
  <c r="E76" i="12"/>
  <c r="C15" i="7"/>
  <c r="C44" i="11"/>
  <c r="C52" i="10"/>
  <c r="C20" i="7"/>
  <c r="C62" i="11"/>
  <c r="C70" i="10"/>
  <c r="E79" i="12"/>
  <c r="E32" i="12"/>
  <c r="E37" i="12"/>
  <c r="E34" i="12"/>
  <c r="T8" i="7"/>
  <c r="T42" i="11"/>
  <c r="T50" i="10"/>
  <c r="V11" i="3"/>
  <c r="T16" i="7"/>
  <c r="T45" i="11"/>
  <c r="T53" i="10"/>
  <c r="V32" i="12"/>
  <c r="V76" i="12"/>
  <c r="T20" i="7"/>
  <c r="T62" i="11"/>
  <c r="T70" i="10"/>
  <c r="V35" i="12"/>
  <c r="T22" i="7"/>
  <c r="V67" i="12"/>
  <c r="V30" i="12"/>
  <c r="V34" i="12"/>
  <c r="V60" i="12"/>
  <c r="V36" i="12"/>
  <c r="V37" i="12"/>
  <c r="V33" i="12"/>
  <c r="V66" i="12"/>
  <c r="T7" i="7"/>
  <c r="T47" i="11"/>
  <c r="T55" i="10"/>
  <c r="V12" i="3"/>
  <c r="V80" i="12"/>
  <c r="U9" i="8"/>
  <c r="S52" i="6"/>
  <c r="V79" i="12"/>
  <c r="U6" i="8"/>
  <c r="S51" i="6"/>
  <c r="V63" i="12"/>
  <c r="T15" i="7"/>
  <c r="T44" i="11"/>
  <c r="T52" i="10"/>
  <c r="I37" i="12"/>
  <c r="G16" i="7"/>
  <c r="G45" i="11"/>
  <c r="G53" i="10"/>
  <c r="I88" i="12"/>
  <c r="G15" i="7"/>
  <c r="G44" i="11"/>
  <c r="G52" i="10"/>
  <c r="I62" i="12"/>
  <c r="G7" i="7"/>
  <c r="G47" i="11"/>
  <c r="G55" i="10"/>
  <c r="I12" i="3"/>
  <c r="H13" i="8"/>
  <c r="I35" i="12"/>
  <c r="G20" i="7"/>
  <c r="G62" i="11"/>
  <c r="G70" i="10"/>
  <c r="I33" i="12"/>
  <c r="I87" i="12"/>
  <c r="I36" i="12"/>
  <c r="I30" i="12"/>
  <c r="H8" i="8"/>
  <c r="I89" i="12"/>
  <c r="I32" i="12"/>
  <c r="I63" i="12"/>
  <c r="I8" i="14"/>
  <c r="H10" i="8"/>
  <c r="F53" i="6"/>
  <c r="I34" i="12"/>
  <c r="G8" i="7"/>
  <c r="G42" i="11"/>
  <c r="G50" i="10"/>
  <c r="I11" i="3"/>
  <c r="I61" i="12"/>
  <c r="L33" i="12"/>
  <c r="L63" i="12"/>
  <c r="J7" i="7"/>
  <c r="J47" i="11"/>
  <c r="J55" i="10"/>
  <c r="L12" i="3"/>
  <c r="J8" i="7"/>
  <c r="J42" i="11"/>
  <c r="J50" i="10"/>
  <c r="L11" i="3"/>
  <c r="L67" i="12"/>
  <c r="L61" i="12"/>
  <c r="J20" i="7"/>
  <c r="J62" i="11"/>
  <c r="J70" i="10"/>
  <c r="L60" i="12"/>
  <c r="L89" i="12"/>
  <c r="J15" i="7"/>
  <c r="J44" i="11"/>
  <c r="J52" i="10"/>
  <c r="L66" i="12"/>
  <c r="L80" i="12"/>
  <c r="L87" i="12"/>
  <c r="I25" i="9"/>
  <c r="L60" i="13"/>
  <c r="J16" i="7"/>
  <c r="J45" i="11"/>
  <c r="J53" i="10"/>
  <c r="L35" i="12"/>
  <c r="K6" i="8"/>
  <c r="I51" i="6"/>
  <c r="L34" i="12"/>
  <c r="L32" i="12"/>
  <c r="J27" i="7"/>
  <c r="L30" i="12"/>
  <c r="C41" i="13"/>
  <c r="C77" i="12"/>
  <c r="C44" i="12"/>
  <c r="C9" i="13"/>
  <c r="C51" i="12"/>
  <c r="C43" i="12"/>
  <c r="C24" i="12"/>
  <c r="C74" i="12"/>
  <c r="C19" i="12"/>
  <c r="C59" i="12"/>
  <c r="C11" i="12"/>
  <c r="C18" i="12"/>
  <c r="C55" i="12"/>
  <c r="C22" i="12"/>
  <c r="C40" i="12"/>
  <c r="C54" i="12"/>
  <c r="C75" i="12"/>
  <c r="C83" i="12"/>
  <c r="C29" i="12"/>
  <c r="C65" i="12"/>
  <c r="C16" i="12"/>
  <c r="C46" i="12"/>
  <c r="O63" i="12"/>
  <c r="L7" i="6"/>
  <c r="O80" i="12"/>
  <c r="L27" i="6"/>
  <c r="O36" i="12"/>
  <c r="O35" i="12"/>
  <c r="O66" i="12"/>
  <c r="M20" i="7"/>
  <c r="M62" i="11"/>
  <c r="M70" i="10"/>
  <c r="M7" i="7"/>
  <c r="M47" i="11"/>
  <c r="M55" i="10"/>
  <c r="O12" i="3"/>
  <c r="O33" i="12"/>
  <c r="O34" i="12"/>
  <c r="O32" i="12"/>
  <c r="O88" i="12"/>
  <c r="M16" i="7"/>
  <c r="M45" i="11"/>
  <c r="M53" i="10"/>
  <c r="O30" i="12"/>
  <c r="O62" i="12"/>
  <c r="O37" i="12"/>
  <c r="O79" i="12"/>
  <c r="O89" i="12"/>
  <c r="N7" i="8"/>
  <c r="M8" i="7"/>
  <c r="M42" i="11"/>
  <c r="M50" i="10"/>
  <c r="O11" i="3"/>
  <c r="M15" i="7"/>
  <c r="M44" i="11"/>
  <c r="M52" i="10"/>
  <c r="Y36" i="12"/>
  <c r="Y37" i="12"/>
  <c r="W15" i="7"/>
  <c r="W44" i="11"/>
  <c r="W52" i="10"/>
  <c r="Y35" i="12"/>
  <c r="W20" i="7"/>
  <c r="W62" i="11"/>
  <c r="W70" i="10"/>
  <c r="Y61" i="12"/>
  <c r="Y89" i="12"/>
  <c r="X13" i="8"/>
  <c r="Y62" i="12"/>
  <c r="W16" i="7"/>
  <c r="W45" i="11"/>
  <c r="W53" i="10"/>
  <c r="Y30" i="12"/>
  <c r="Y63" i="12"/>
  <c r="W7" i="7"/>
  <c r="W47" i="11"/>
  <c r="W55" i="10"/>
  <c r="Y12" i="3"/>
  <c r="Y34" i="12"/>
  <c r="W25" i="7"/>
  <c r="Y87" i="12"/>
  <c r="Y56" i="13"/>
  <c r="Y33" i="12"/>
  <c r="Y32" i="12"/>
  <c r="W8" i="7"/>
  <c r="W42" i="11"/>
  <c r="W50" i="10"/>
  <c r="Y11" i="3"/>
  <c r="X10" i="8"/>
  <c r="V53" i="6"/>
  <c r="Y67" i="12"/>
  <c r="D74" i="12"/>
  <c r="D19" i="12"/>
  <c r="D43" i="12"/>
  <c r="D90" i="12"/>
  <c r="D55" i="12"/>
  <c r="D38" i="12"/>
  <c r="D46" i="13"/>
  <c r="D40" i="12"/>
  <c r="D56" i="12"/>
  <c r="D27" i="12"/>
  <c r="D29" i="12"/>
  <c r="D26" i="12"/>
  <c r="D59" i="12"/>
  <c r="D9" i="12"/>
  <c r="D14" i="12"/>
  <c r="D75" i="12"/>
  <c r="D24" i="12"/>
  <c r="D11" i="13"/>
  <c r="D8" i="12"/>
  <c r="D23" i="13"/>
  <c r="D51" i="12"/>
  <c r="D18" i="13"/>
  <c r="N13" i="13"/>
  <c r="N70" i="12"/>
  <c r="N46" i="13"/>
  <c r="N85" i="12"/>
  <c r="N12" i="12"/>
  <c r="N45" i="12"/>
  <c r="N54" i="12"/>
  <c r="N58" i="12"/>
  <c r="N25" i="13"/>
  <c r="N20" i="12"/>
  <c r="N14" i="13"/>
  <c r="N78" i="12"/>
  <c r="N17" i="13"/>
  <c r="N11" i="13"/>
  <c r="N15" i="12"/>
  <c r="N84" i="12"/>
  <c r="N41" i="12"/>
  <c r="N68" i="12"/>
  <c r="N41" i="13"/>
  <c r="L29" i="11"/>
  <c r="L37" i="10"/>
  <c r="N77" i="12"/>
  <c r="N47" i="13"/>
  <c r="N36" i="13"/>
  <c r="L30" i="10"/>
  <c r="Q15" i="9"/>
  <c r="T80" i="12"/>
  <c r="T32" i="12"/>
  <c r="T33" i="12"/>
  <c r="T35" i="12"/>
  <c r="R16" i="7"/>
  <c r="R45" i="11"/>
  <c r="R53" i="10"/>
  <c r="T89" i="12"/>
  <c r="R15" i="7"/>
  <c r="R44" i="11"/>
  <c r="R52" i="10"/>
  <c r="T62" i="12"/>
  <c r="T34" i="12"/>
  <c r="T37" i="12"/>
  <c r="T36" i="12"/>
  <c r="T67" i="12"/>
  <c r="R7" i="7"/>
  <c r="R47" i="11"/>
  <c r="R55" i="10"/>
  <c r="T12" i="3"/>
  <c r="R8" i="7"/>
  <c r="R42" i="11"/>
  <c r="R50" i="10"/>
  <c r="T11" i="3"/>
  <c r="S9" i="8"/>
  <c r="Q52" i="6"/>
  <c r="T66" i="12"/>
  <c r="R20" i="7"/>
  <c r="R62" i="11"/>
  <c r="R70" i="10"/>
  <c r="T60" i="12"/>
  <c r="T88" i="12"/>
  <c r="Q25" i="9"/>
  <c r="T30" i="12"/>
  <c r="S76" i="12"/>
  <c r="P9" i="6"/>
  <c r="S87" i="12"/>
  <c r="S36" i="12"/>
  <c r="S30" i="12"/>
  <c r="P29" i="6"/>
  <c r="S62" i="12"/>
  <c r="S80" i="12"/>
  <c r="Q8" i="7"/>
  <c r="Q42" i="11"/>
  <c r="Q50" i="10"/>
  <c r="S11" i="3"/>
  <c r="P19" i="6"/>
  <c r="S35" i="12"/>
  <c r="Q15" i="7"/>
  <c r="Q44" i="11"/>
  <c r="Q52" i="10"/>
  <c r="Q7" i="7"/>
  <c r="Q47" i="11"/>
  <c r="Q55" i="10"/>
  <c r="S12" i="3"/>
  <c r="S33" i="12"/>
  <c r="S60" i="12"/>
  <c r="S34" i="12"/>
  <c r="S32" i="12"/>
  <c r="S61" i="12"/>
  <c r="S67" i="12"/>
  <c r="Q20" i="7"/>
  <c r="Q62" i="11"/>
  <c r="Q70" i="10"/>
  <c r="Q16" i="7"/>
  <c r="Q45" i="11"/>
  <c r="Q53" i="10"/>
  <c r="S58" i="13"/>
  <c r="U13" i="13"/>
  <c r="U38" i="12"/>
  <c r="U34" i="13"/>
  <c r="S28" i="10"/>
  <c r="U86" i="12"/>
  <c r="U44" i="12"/>
  <c r="U55" i="12"/>
  <c r="U11" i="13"/>
  <c r="U45" i="13"/>
  <c r="U71" i="12"/>
  <c r="U84" i="12"/>
  <c r="U33" i="13"/>
  <c r="S27" i="10"/>
  <c r="U15" i="13"/>
  <c r="U65" i="12"/>
  <c r="U72" i="12"/>
  <c r="U78" i="12"/>
  <c r="U16" i="12"/>
  <c r="U56" i="12"/>
  <c r="U22" i="12"/>
  <c r="U14" i="12"/>
  <c r="U25" i="13"/>
  <c r="U18" i="13"/>
  <c r="U40" i="12"/>
  <c r="M87" i="12"/>
  <c r="M37" i="12"/>
  <c r="J25" i="9"/>
  <c r="K15" i="7"/>
  <c r="K44" i="11"/>
  <c r="K52" i="10"/>
  <c r="M35" i="12"/>
  <c r="M33" i="12"/>
  <c r="M32" i="12"/>
  <c r="M80" i="12"/>
  <c r="M89" i="12"/>
  <c r="M12" i="14"/>
  <c r="M36" i="12"/>
  <c r="M67" i="12"/>
  <c r="J11" i="6"/>
  <c r="K20" i="7"/>
  <c r="K62" i="11"/>
  <c r="K70" i="10"/>
  <c r="M66" i="12"/>
  <c r="L6" i="8"/>
  <c r="J51" i="6"/>
  <c r="M61" i="12"/>
  <c r="K7" i="7"/>
  <c r="K47" i="11"/>
  <c r="K55" i="10"/>
  <c r="M12" i="3"/>
  <c r="K8" i="7"/>
  <c r="K42" i="11"/>
  <c r="K50" i="10"/>
  <c r="M11" i="3"/>
  <c r="K16" i="7"/>
  <c r="K45" i="11"/>
  <c r="K53" i="10"/>
  <c r="M34" i="12"/>
  <c r="M30" i="12"/>
  <c r="K40" i="11"/>
  <c r="K28" i="11"/>
  <c r="K48" i="10"/>
  <c r="K36" i="10"/>
  <c r="M32" i="17"/>
  <c r="M77" i="12"/>
  <c r="M83" i="12"/>
  <c r="M45" i="13"/>
  <c r="M70" i="12"/>
  <c r="M47" i="13"/>
  <c r="K66" i="11"/>
  <c r="K74" i="10"/>
  <c r="M42" i="13"/>
  <c r="K30" i="11"/>
  <c r="K38" i="10"/>
  <c r="M21" i="14"/>
  <c r="M9" i="13"/>
  <c r="M59" i="12"/>
  <c r="M72" i="12"/>
  <c r="M85" i="12"/>
  <c r="M23" i="13"/>
  <c r="M39" i="12"/>
  <c r="M30" i="17"/>
  <c r="M8" i="13"/>
  <c r="M50" i="12"/>
  <c r="M25" i="12"/>
  <c r="M45" i="12"/>
  <c r="M10" i="13"/>
  <c r="N32" i="12"/>
  <c r="L15" i="7"/>
  <c r="L44" i="11"/>
  <c r="L52" i="10"/>
  <c r="K25" i="9"/>
  <c r="L8" i="7"/>
  <c r="L42" i="11"/>
  <c r="L50" i="10"/>
  <c r="N11" i="3"/>
  <c r="N37" i="12"/>
  <c r="N61" i="12"/>
  <c r="N66" i="12"/>
  <c r="N34" i="12"/>
  <c r="N87" i="12"/>
  <c r="N33" i="12"/>
  <c r="N28" i="14"/>
  <c r="N35" i="12"/>
  <c r="L7" i="7"/>
  <c r="L47" i="11"/>
  <c r="L55" i="10"/>
  <c r="N12" i="3"/>
  <c r="N62" i="12"/>
  <c r="N80" i="12"/>
  <c r="L16" i="7"/>
  <c r="L45" i="11"/>
  <c r="L53" i="10"/>
  <c r="M10" i="8"/>
  <c r="K53" i="6"/>
  <c r="M14" i="8"/>
  <c r="N58" i="13"/>
  <c r="L20" i="7"/>
  <c r="L62" i="11"/>
  <c r="L70" i="10"/>
  <c r="N36" i="12"/>
  <c r="N30" i="12"/>
  <c r="K74" i="12"/>
  <c r="K59" i="12"/>
  <c r="K12" i="13"/>
  <c r="K10" i="13"/>
  <c r="K15" i="13"/>
  <c r="K72" i="12"/>
  <c r="K18" i="13"/>
  <c r="K49" i="12"/>
  <c r="K7" i="17"/>
  <c r="I64" i="11"/>
  <c r="I72" i="10"/>
  <c r="K45" i="13"/>
  <c r="K44" i="13"/>
  <c r="K65" i="12"/>
  <c r="K81" i="12"/>
  <c r="K9" i="12"/>
  <c r="I26" i="11"/>
  <c r="I34" i="10"/>
  <c r="K41" i="13"/>
  <c r="I29" i="11"/>
  <c r="I37" i="10"/>
  <c r="K90" i="12"/>
  <c r="K25" i="14"/>
  <c r="K83" i="12"/>
  <c r="K27" i="12"/>
  <c r="K42" i="13"/>
  <c r="I30" i="11"/>
  <c r="I38" i="10"/>
  <c r="J19" i="12"/>
  <c r="J46" i="13"/>
  <c r="J74" i="12"/>
  <c r="J47" i="17"/>
  <c r="J55" i="12"/>
  <c r="J31" i="13"/>
  <c r="H25" i="10"/>
  <c r="J83" i="12"/>
  <c r="J42" i="13"/>
  <c r="H30" i="11"/>
  <c r="H38" i="10"/>
  <c r="J8" i="13"/>
  <c r="J58" i="12"/>
  <c r="J12" i="13"/>
  <c r="J10" i="13"/>
  <c r="J77" i="12"/>
  <c r="J54" i="12"/>
  <c r="J81" i="12"/>
  <c r="J43" i="12"/>
  <c r="J26" i="14"/>
  <c r="J18" i="13"/>
  <c r="J17" i="12"/>
  <c r="J50" i="13"/>
  <c r="J75" i="12"/>
  <c r="J24" i="13"/>
  <c r="T33" i="13"/>
  <c r="R27" i="10"/>
  <c r="T48" i="13"/>
  <c r="T73" i="12"/>
  <c r="T69" i="12"/>
  <c r="T84" i="12"/>
  <c r="T71" i="12"/>
  <c r="T44" i="12"/>
  <c r="T22" i="14"/>
  <c r="T26" i="12"/>
  <c r="R27" i="11"/>
  <c r="R35" i="10"/>
  <c r="T13" i="13"/>
  <c r="T34" i="13"/>
  <c r="R28" i="10"/>
  <c r="T46" i="12"/>
  <c r="T82" i="12"/>
  <c r="T68" i="12"/>
  <c r="T57" i="12"/>
  <c r="T49" i="12"/>
  <c r="T8" i="12"/>
  <c r="R65" i="11"/>
  <c r="R73" i="10"/>
  <c r="T38" i="12"/>
  <c r="T52" i="12"/>
  <c r="T11" i="13"/>
  <c r="I83" i="12"/>
  <c r="I31" i="13"/>
  <c r="G25" i="10"/>
  <c r="I9" i="12"/>
  <c r="I41" i="13"/>
  <c r="G29" i="11"/>
  <c r="G37" i="10"/>
  <c r="I51" i="12"/>
  <c r="I15" i="13"/>
  <c r="I10" i="13"/>
  <c r="I90" i="12"/>
  <c r="I16" i="14"/>
  <c r="I8" i="13"/>
  <c r="I42" i="13"/>
  <c r="G30" i="11"/>
  <c r="G38" i="10"/>
  <c r="I11" i="12"/>
  <c r="I43" i="12"/>
  <c r="I74" i="12"/>
  <c r="I17" i="12"/>
  <c r="I29" i="12"/>
  <c r="G64" i="11"/>
  <c r="G72" i="10"/>
  <c r="I27" i="12"/>
  <c r="I24" i="13"/>
  <c r="I75" i="12"/>
  <c r="I46" i="13"/>
  <c r="I54" i="12"/>
  <c r="L46" i="13"/>
  <c r="L32" i="14"/>
  <c r="L17" i="12"/>
  <c r="L15" i="13"/>
  <c r="L77" i="12"/>
  <c r="L85" i="12"/>
  <c r="L59" i="12"/>
  <c r="L24" i="13"/>
  <c r="L18" i="13"/>
  <c r="L12" i="13"/>
  <c r="L9" i="13"/>
  <c r="L83" i="12"/>
  <c r="L50" i="12"/>
  <c r="L65" i="12"/>
  <c r="L81" i="12"/>
  <c r="L90" i="12"/>
  <c r="J35" i="11"/>
  <c r="J43" i="10"/>
  <c r="L39" i="12"/>
  <c r="L8" i="13"/>
  <c r="L34" i="13"/>
  <c r="J28" i="10"/>
  <c r="L56" i="12"/>
  <c r="L72" i="12"/>
  <c r="S35" i="13"/>
  <c r="Q29" i="10"/>
  <c r="S16" i="12"/>
  <c r="S49" i="12"/>
  <c r="S34" i="13"/>
  <c r="Q28" i="10"/>
  <c r="S9" i="13"/>
  <c r="S73" i="12"/>
  <c r="S11" i="13"/>
  <c r="S78" i="12"/>
  <c r="S18" i="12"/>
  <c r="S38" i="12"/>
  <c r="S44" i="12"/>
  <c r="S71" i="12"/>
  <c r="S82" i="12"/>
  <c r="S57" i="12"/>
  <c r="S47" i="13"/>
  <c r="S25" i="14"/>
  <c r="Q34" i="11"/>
  <c r="Q42" i="10"/>
  <c r="S49" i="17"/>
  <c r="S36" i="13"/>
  <c r="Q30" i="10"/>
  <c r="S69" i="12"/>
  <c r="S52" i="12"/>
  <c r="S68" i="12"/>
  <c r="E55" i="12"/>
  <c r="E71" i="12"/>
  <c r="E43" i="12"/>
  <c r="E82" i="12"/>
  <c r="E78" i="12"/>
  <c r="E14" i="13"/>
  <c r="E86" i="12"/>
  <c r="E40" i="12"/>
  <c r="E16" i="12"/>
  <c r="E23" i="13"/>
  <c r="E11" i="13"/>
  <c r="E74" i="12"/>
  <c r="E75" i="12"/>
  <c r="E84" i="12"/>
  <c r="E50" i="13"/>
  <c r="E22" i="12"/>
  <c r="E45" i="13"/>
  <c r="E83" i="12"/>
  <c r="E9" i="13"/>
  <c r="E46" i="12"/>
  <c r="E14" i="12"/>
  <c r="E51" i="12"/>
  <c r="W14" i="12"/>
  <c r="U39" i="11"/>
  <c r="U47" i="10"/>
  <c r="W33" i="13"/>
  <c r="U27" i="10"/>
  <c r="W72" i="12"/>
  <c r="W40" i="12"/>
  <c r="W69" i="12"/>
  <c r="W56" i="12"/>
  <c r="W13" i="13"/>
  <c r="W70" i="12"/>
  <c r="W11" i="13"/>
  <c r="W32" i="13"/>
  <c r="U26" i="10"/>
  <c r="W11" i="12"/>
  <c r="W25" i="13"/>
  <c r="W65" i="12"/>
  <c r="W48" i="13"/>
  <c r="W78" i="12"/>
  <c r="W51" i="12"/>
  <c r="W86" i="12"/>
  <c r="W71" i="12"/>
  <c r="W29" i="12"/>
  <c r="W18" i="13"/>
  <c r="W53" i="12"/>
  <c r="G15" i="13"/>
  <c r="G83" i="12"/>
  <c r="G69" i="12"/>
  <c r="G29" i="12"/>
  <c r="G11" i="12"/>
  <c r="G16" i="14"/>
  <c r="G23" i="13"/>
  <c r="G44" i="13"/>
  <c r="G78" i="12"/>
  <c r="G21" i="14"/>
  <c r="G54" i="12"/>
  <c r="G53" i="12"/>
  <c r="G14" i="12"/>
  <c r="G31" i="13"/>
  <c r="E25" i="10"/>
  <c r="G90" i="12"/>
  <c r="G46" i="12"/>
  <c r="E39" i="11"/>
  <c r="E47" i="10"/>
  <c r="G13" i="13"/>
  <c r="G43" i="12"/>
  <c r="G7" i="17"/>
  <c r="G84" i="12"/>
  <c r="G45" i="13"/>
  <c r="Q41" i="13"/>
  <c r="O29" i="11"/>
  <c r="O37" i="10"/>
  <c r="Q41" i="12"/>
  <c r="Q77" i="12"/>
  <c r="Q56" i="12"/>
  <c r="Q26" i="13"/>
  <c r="Q57" i="12"/>
  <c r="Q40" i="12"/>
  <c r="Q20" i="12"/>
  <c r="Q25" i="13"/>
  <c r="Q36" i="13"/>
  <c r="O30" i="10"/>
  <c r="Q34" i="13"/>
  <c r="O28" i="10"/>
  <c r="Q16" i="14"/>
  <c r="Q75" i="12"/>
  <c r="Q59" i="12"/>
  <c r="Q78" i="12"/>
  <c r="Q49" i="17"/>
  <c r="Q9" i="13"/>
  <c r="Q17" i="13"/>
  <c r="Q72" i="12"/>
  <c r="Q28" i="17"/>
  <c r="Q49" i="12"/>
  <c r="Q68" i="12"/>
  <c r="Z48" i="13"/>
  <c r="Z13" i="13"/>
  <c r="Z25" i="13"/>
  <c r="Z10" i="13"/>
  <c r="Z86" i="12"/>
  <c r="Z8" i="13"/>
  <c r="Z25" i="14"/>
  <c r="Z46" i="13"/>
  <c r="Z43" i="12"/>
  <c r="Z15" i="13"/>
  <c r="Z81" i="12"/>
  <c r="Z90" i="12"/>
  <c r="Z33" i="13"/>
  <c r="X27" i="10"/>
  <c r="Z74" i="12"/>
  <c r="Z51" i="12"/>
  <c r="Z58" i="12"/>
  <c r="Z31" i="13"/>
  <c r="X25" i="10"/>
  <c r="Z46" i="12"/>
  <c r="Z55" i="12"/>
  <c r="Z19" i="12"/>
  <c r="Z72" i="12"/>
  <c r="Z17" i="12"/>
  <c r="F82" i="12"/>
  <c r="F86" i="12"/>
  <c r="F75" i="12"/>
  <c r="F23" i="13"/>
  <c r="F78" i="12"/>
  <c r="F11" i="13"/>
  <c r="F21" i="14"/>
  <c r="F16" i="14"/>
  <c r="F71" i="12"/>
  <c r="F24" i="12"/>
  <c r="F31" i="13"/>
  <c r="D25" i="10"/>
  <c r="F51" i="12"/>
  <c r="F46" i="12"/>
  <c r="F55" i="12"/>
  <c r="F44" i="12"/>
  <c r="F9" i="13"/>
  <c r="F59" i="12"/>
  <c r="F22" i="12"/>
  <c r="F69" i="12"/>
  <c r="F32" i="13"/>
  <c r="D26" i="10"/>
  <c r="F35" i="13"/>
  <c r="D29" i="10"/>
  <c r="F44" i="13"/>
  <c r="H69" i="12"/>
  <c r="H32" i="14"/>
  <c r="H13" i="13"/>
  <c r="H43" i="12"/>
  <c r="H15" i="13"/>
  <c r="H22" i="12"/>
  <c r="H19" i="12"/>
  <c r="H54" i="12"/>
  <c r="H41" i="12"/>
  <c r="H86" i="12"/>
  <c r="H90" i="12"/>
  <c r="H26" i="13"/>
  <c r="H25" i="13"/>
  <c r="H50" i="13"/>
  <c r="H73" i="12"/>
  <c r="H24" i="13"/>
  <c r="H8" i="13"/>
  <c r="H46" i="12"/>
  <c r="H44" i="13"/>
  <c r="H42" i="13"/>
  <c r="F30" i="11"/>
  <c r="F38" i="10"/>
  <c r="H57" i="12"/>
  <c r="H41" i="13"/>
  <c r="F29" i="11"/>
  <c r="F37" i="10"/>
  <c r="AA78" i="12"/>
  <c r="AA72" i="12"/>
  <c r="AA24" i="13"/>
  <c r="AA65" i="12"/>
  <c r="AA27" i="12"/>
  <c r="AA31" i="13"/>
  <c r="Y25" i="10"/>
  <c r="AA43" i="12"/>
  <c r="AA10" i="13"/>
  <c r="AA25" i="13"/>
  <c r="AA74" i="12"/>
  <c r="AA9" i="12"/>
  <c r="AA49" i="12"/>
  <c r="Y64" i="11"/>
  <c r="Y72" i="10"/>
  <c r="Y26" i="11"/>
  <c r="Y34" i="10"/>
  <c r="AA49" i="13"/>
  <c r="AA32" i="13"/>
  <c r="Y26" i="10"/>
  <c r="AA8" i="13"/>
  <c r="AA12" i="13"/>
  <c r="AA85" i="12"/>
  <c r="AA47" i="13"/>
  <c r="AA15" i="13"/>
  <c r="AA81" i="12"/>
  <c r="W64" i="11"/>
  <c r="W72" i="10"/>
  <c r="Y29" i="12"/>
  <c r="Y74" i="12"/>
  <c r="Y13" i="13"/>
  <c r="Y46" i="12"/>
  <c r="Y90" i="12"/>
  <c r="Y82" i="12"/>
  <c r="Y47" i="13"/>
  <c r="Y81" i="12"/>
  <c r="Y55" i="12"/>
  <c r="Y85" i="12"/>
  <c r="Y51" i="12"/>
  <c r="Y9" i="12"/>
  <c r="Y17" i="3"/>
  <c r="Y51" i="17"/>
  <c r="Y27" i="12"/>
  <c r="Y46" i="13"/>
  <c r="Y32" i="17"/>
  <c r="Y15" i="13"/>
  <c r="Y8" i="13"/>
  <c r="Y11" i="12"/>
  <c r="Y33" i="13"/>
  <c r="W27" i="10"/>
  <c r="Y72" i="12"/>
  <c r="N40" i="11"/>
  <c r="N28" i="11"/>
  <c r="N48" i="10"/>
  <c r="N36" i="10"/>
  <c r="P68" i="12"/>
  <c r="P85" i="12"/>
  <c r="P65" i="12"/>
  <c r="P23" i="13"/>
  <c r="P45" i="13"/>
  <c r="P81" i="12"/>
  <c r="P12" i="12"/>
  <c r="P12" i="13"/>
  <c r="P31" i="13"/>
  <c r="N25" i="10"/>
  <c r="P52" i="12"/>
  <c r="P75" i="12"/>
  <c r="P77" i="12"/>
  <c r="P17" i="13"/>
  <c r="P9" i="13"/>
  <c r="P14" i="13"/>
  <c r="P53" i="12"/>
  <c r="P58" i="12"/>
  <c r="P50" i="13"/>
  <c r="P47" i="13"/>
  <c r="P25" i="14"/>
  <c r="P18" i="13"/>
  <c r="V69" i="12"/>
  <c r="V40" i="12"/>
  <c r="V26" i="13"/>
  <c r="V84" i="12"/>
  <c r="V86" i="12"/>
  <c r="V9" i="13"/>
  <c r="V75" i="12"/>
  <c r="V59" i="12"/>
  <c r="V65" i="12"/>
  <c r="V34" i="13"/>
  <c r="T28" i="10"/>
  <c r="V78" i="12"/>
  <c r="V35" i="13"/>
  <c r="T29" i="10"/>
  <c r="V44" i="12"/>
  <c r="V32" i="13"/>
  <c r="T26" i="10"/>
  <c r="V11" i="13"/>
  <c r="V24" i="12"/>
  <c r="V70" i="12"/>
  <c r="V71" i="12"/>
  <c r="V32" i="14"/>
  <c r="V56" i="12"/>
  <c r="V16" i="14"/>
  <c r="V41" i="13"/>
  <c r="T29" i="11"/>
  <c r="T37" i="10"/>
  <c r="X56" i="12"/>
  <c r="X69" i="12"/>
  <c r="X71" i="12"/>
  <c r="X32" i="13"/>
  <c r="V26" i="10"/>
  <c r="X34" i="13"/>
  <c r="V28" i="10"/>
  <c r="X46" i="12"/>
  <c r="X41" i="12"/>
  <c r="X85" i="12"/>
  <c r="X84" i="12"/>
  <c r="X22" i="12"/>
  <c r="X25" i="13"/>
  <c r="X73" i="12"/>
  <c r="X26" i="13"/>
  <c r="X21" i="14"/>
  <c r="X51" i="12"/>
  <c r="X90" i="12"/>
  <c r="X13" i="13"/>
  <c r="X57" i="12"/>
  <c r="X55" i="12"/>
  <c r="X65" i="12"/>
  <c r="X30" i="17"/>
  <c r="X35" i="13"/>
  <c r="V29" i="10"/>
  <c r="O45" i="13"/>
  <c r="O21" i="14"/>
  <c r="O74" i="12"/>
  <c r="O14" i="13"/>
  <c r="O18" i="13"/>
  <c r="O53" i="12"/>
  <c r="O70" i="12"/>
  <c r="O45" i="12"/>
  <c r="O84" i="12"/>
  <c r="O23" i="12"/>
  <c r="O41" i="13"/>
  <c r="M29" i="11"/>
  <c r="M37" i="10"/>
  <c r="O10" i="13"/>
  <c r="O20" i="12"/>
  <c r="O36" i="13"/>
  <c r="M30" i="10"/>
  <c r="O35" i="13"/>
  <c r="M29" i="10"/>
  <c r="O13" i="13"/>
  <c r="O58" i="12"/>
  <c r="O23" i="13"/>
  <c r="O43" i="12"/>
  <c r="O68" i="12"/>
  <c r="O16" i="14"/>
  <c r="O77" i="12"/>
  <c r="C34" i="13"/>
  <c r="C82" i="12"/>
  <c r="C26" i="14"/>
  <c r="C17" i="13"/>
  <c r="C57" i="12"/>
  <c r="C14" i="13"/>
  <c r="C70" i="12"/>
  <c r="C32" i="13"/>
  <c r="C15" i="14"/>
  <c r="C48" i="13"/>
  <c r="C50" i="13"/>
  <c r="C56" i="12"/>
  <c r="C11" i="13"/>
  <c r="C25" i="13"/>
  <c r="C81" i="12"/>
  <c r="C72" i="12"/>
  <c r="C85" i="12"/>
  <c r="C73" i="12"/>
  <c r="C35" i="13"/>
  <c r="C84" i="12"/>
  <c r="C49" i="13"/>
  <c r="C13" i="13"/>
  <c r="D54" i="12"/>
  <c r="D26" i="13"/>
  <c r="D73" i="12"/>
  <c r="D14" i="13"/>
  <c r="D25" i="13"/>
  <c r="D45" i="12"/>
  <c r="D85" i="12"/>
  <c r="D71" i="12"/>
  <c r="D46" i="12"/>
  <c r="D13" i="13"/>
  <c r="D34" i="13"/>
  <c r="D17" i="13"/>
  <c r="D48" i="13"/>
  <c r="D86" i="12"/>
  <c r="D9" i="13"/>
  <c r="D70" i="12"/>
  <c r="D33" i="13"/>
  <c r="D31" i="13"/>
  <c r="D82" i="12"/>
  <c r="D84" i="12"/>
  <c r="D58" i="17"/>
  <c r="D77" i="12"/>
  <c r="R73" i="12"/>
  <c r="R28" i="12"/>
  <c r="R83" i="12"/>
  <c r="P63" i="11"/>
  <c r="P71" i="10"/>
  <c r="R11" i="13"/>
  <c r="R35" i="13"/>
  <c r="P29" i="10"/>
  <c r="R12" i="13"/>
  <c r="R10" i="12"/>
  <c r="R41" i="13"/>
  <c r="P29" i="11"/>
  <c r="P37" i="10"/>
  <c r="R50" i="12"/>
  <c r="R46" i="13"/>
  <c r="R45" i="13"/>
  <c r="R58" i="12"/>
  <c r="R9" i="13"/>
  <c r="R14" i="13"/>
  <c r="R72" i="12"/>
  <c r="R84" i="12"/>
  <c r="R26" i="13"/>
  <c r="R56" i="12"/>
  <c r="R23" i="13"/>
  <c r="R36" i="13"/>
  <c r="P30" i="10"/>
  <c r="R75" i="12"/>
  <c r="AA61" i="17"/>
  <c r="AA18" i="13"/>
  <c r="AA55" i="12"/>
  <c r="AA46" i="13"/>
  <c r="AA46" i="12"/>
  <c r="AA26" i="14"/>
  <c r="AA45" i="13"/>
  <c r="AA42" i="13"/>
  <c r="Y30" i="11"/>
  <c r="Y38" i="10"/>
  <c r="AA35" i="13"/>
  <c r="Y29" i="10"/>
  <c r="AA34" i="13"/>
  <c r="Y28" i="10"/>
  <c r="AA15" i="14"/>
  <c r="AA71" i="12"/>
  <c r="AA77" i="12"/>
  <c r="AA19" i="17"/>
  <c r="AA41" i="13"/>
  <c r="Y29" i="11"/>
  <c r="Y37" i="10"/>
  <c r="AA44" i="13"/>
  <c r="AA11" i="13"/>
  <c r="AA13" i="13"/>
  <c r="AA16" i="14"/>
  <c r="AA21" i="14"/>
  <c r="AA82" i="12"/>
  <c r="AA10" i="17"/>
  <c r="K35" i="13"/>
  <c r="I29" i="10"/>
  <c r="K34" i="13"/>
  <c r="I28" i="10"/>
  <c r="K54" i="17"/>
  <c r="K47" i="13"/>
  <c r="K71" i="12"/>
  <c r="K15" i="14"/>
  <c r="K55" i="12"/>
  <c r="K20" i="14"/>
  <c r="K32" i="13"/>
  <c r="I26" i="10"/>
  <c r="K14" i="13"/>
  <c r="K13" i="13"/>
  <c r="K31" i="13"/>
  <c r="I25" i="10"/>
  <c r="K46" i="12"/>
  <c r="K86" i="12"/>
  <c r="K19" i="17"/>
  <c r="K49" i="13"/>
  <c r="K25" i="13"/>
  <c r="K61" i="17"/>
  <c r="K78" i="12"/>
  <c r="K46" i="13"/>
  <c r="K17" i="13"/>
  <c r="K77" i="12"/>
  <c r="F8" i="13"/>
  <c r="F43" i="12"/>
  <c r="F20" i="14"/>
  <c r="F68" i="12"/>
  <c r="F24" i="13"/>
  <c r="F46" i="13"/>
  <c r="F11" i="17"/>
  <c r="F74" i="12"/>
  <c r="F26" i="13"/>
  <c r="F18" i="3"/>
  <c r="F66" i="17"/>
  <c r="F52" i="12"/>
  <c r="F15" i="13"/>
  <c r="F22" i="14"/>
  <c r="F29" i="17"/>
  <c r="F42" i="13"/>
  <c r="D30" i="11"/>
  <c r="D38" i="10"/>
  <c r="F31" i="17"/>
  <c r="F47" i="17"/>
  <c r="F25" i="14"/>
  <c r="F77" i="12"/>
  <c r="F41" i="13"/>
  <c r="D29" i="11"/>
  <c r="D37" i="10"/>
  <c r="F10" i="13"/>
  <c r="F36" i="13"/>
  <c r="D30" i="10"/>
  <c r="Y10" i="13"/>
  <c r="Y25" i="14"/>
  <c r="Y24" i="13"/>
  <c r="Y36" i="13"/>
  <c r="W30" i="10"/>
  <c r="Y21" i="14"/>
  <c r="Y73" i="12"/>
  <c r="Y12" i="13"/>
  <c r="Y16" i="14"/>
  <c r="Y55" i="17"/>
  <c r="Y26" i="13"/>
  <c r="Y83" i="12"/>
  <c r="Y48" i="13"/>
  <c r="Y44" i="13"/>
  <c r="Y57" i="12"/>
  <c r="Y49" i="13"/>
  <c r="Y31" i="13"/>
  <c r="W25" i="10"/>
  <c r="Y32" i="13"/>
  <c r="W26" i="10"/>
  <c r="Y50" i="12"/>
  <c r="Y11" i="13"/>
  <c r="Y20" i="17"/>
  <c r="Y9" i="13"/>
  <c r="Y54" i="17"/>
  <c r="L11" i="10"/>
  <c r="L14" i="2"/>
  <c r="L65" i="10"/>
  <c r="L25" i="4"/>
  <c r="L6" i="10"/>
  <c r="L11" i="4"/>
  <c r="L12" i="2"/>
  <c r="L6" i="15"/>
  <c r="L22" i="10"/>
  <c r="L7" i="10"/>
  <c r="L9" i="10"/>
  <c r="L13" i="10"/>
  <c r="N27" i="13"/>
  <c r="N16" i="13"/>
  <c r="L18" i="10"/>
  <c r="L15" i="10"/>
  <c r="L8" i="10"/>
  <c r="L10" i="10"/>
  <c r="L17" i="10"/>
  <c r="L12" i="10"/>
  <c r="N51" i="13"/>
  <c r="L38" i="11"/>
  <c r="L46" i="10"/>
  <c r="L53" i="4"/>
  <c r="L18" i="2"/>
  <c r="N37" i="13"/>
  <c r="L23" i="10"/>
  <c r="L46" i="4"/>
  <c r="L14" i="10"/>
  <c r="L19" i="10"/>
  <c r="L20" i="10"/>
  <c r="L21" i="10"/>
  <c r="N19" i="13"/>
  <c r="L62" i="10"/>
  <c r="L32" i="4"/>
  <c r="L16" i="2"/>
  <c r="L64" i="10"/>
  <c r="W46" i="13"/>
  <c r="W9" i="13"/>
  <c r="W49" i="13"/>
  <c r="W52" i="12"/>
  <c r="W15" i="13"/>
  <c r="W22" i="17"/>
  <c r="W38" i="17"/>
  <c r="W8" i="13"/>
  <c r="W40" i="17"/>
  <c r="W17" i="13"/>
  <c r="W58" i="17"/>
  <c r="W26" i="13"/>
  <c r="W59" i="12"/>
  <c r="W35" i="13"/>
  <c r="U29" i="10"/>
  <c r="W68" i="12"/>
  <c r="W75" i="12"/>
  <c r="W8" i="17"/>
  <c r="W31" i="13"/>
  <c r="U25" i="10"/>
  <c r="W50" i="13"/>
  <c r="W44" i="13"/>
  <c r="W26" i="14"/>
  <c r="W10" i="13"/>
  <c r="G25" i="13"/>
  <c r="G10" i="13"/>
  <c r="G46" i="13"/>
  <c r="G52" i="12"/>
  <c r="G27" i="17"/>
  <c r="G50" i="13"/>
  <c r="G32" i="13"/>
  <c r="E26" i="10"/>
  <c r="G12" i="13"/>
  <c r="G9" i="13"/>
  <c r="G11" i="13"/>
  <c r="G26" i="13"/>
  <c r="G49" i="13"/>
  <c r="G75" i="12"/>
  <c r="G24" i="13"/>
  <c r="G59" i="12"/>
  <c r="G33" i="14"/>
  <c r="G45" i="17"/>
  <c r="G81" i="12"/>
  <c r="G18" i="13"/>
  <c r="G41" i="13"/>
  <c r="E29" i="11"/>
  <c r="E37" i="10"/>
  <c r="G68" i="12"/>
  <c r="G33" i="13"/>
  <c r="E27" i="10"/>
  <c r="H29" i="17"/>
  <c r="H18" i="17"/>
  <c r="H59" i="12"/>
  <c r="H75" i="12"/>
  <c r="H10" i="13"/>
  <c r="H9" i="13"/>
  <c r="H12" i="13"/>
  <c r="H83" i="12"/>
  <c r="H32" i="13"/>
  <c r="F26" i="10"/>
  <c r="H33" i="13"/>
  <c r="F27" i="10"/>
  <c r="H15" i="14"/>
  <c r="H40" i="12"/>
  <c r="H22" i="14"/>
  <c r="H18" i="13"/>
  <c r="H72" i="12"/>
  <c r="H70" i="17"/>
  <c r="H82" i="12"/>
  <c r="H73" i="17"/>
  <c r="H25" i="17"/>
  <c r="H35" i="13"/>
  <c r="F29" i="10"/>
  <c r="H27" i="17"/>
  <c r="H23" i="13"/>
  <c r="N69" i="12"/>
  <c r="N18" i="13"/>
  <c r="N50" i="13"/>
  <c r="N39" i="17"/>
  <c r="N24" i="17"/>
  <c r="N57" i="17"/>
  <c r="N31" i="13"/>
  <c r="L25" i="10"/>
  <c r="N15" i="14"/>
  <c r="N44" i="13"/>
  <c r="N9" i="13"/>
  <c r="N26" i="13"/>
  <c r="N10" i="13"/>
  <c r="N45" i="13"/>
  <c r="N12" i="13"/>
  <c r="N28" i="17"/>
  <c r="N33" i="13"/>
  <c r="L27" i="10"/>
  <c r="N42" i="13"/>
  <c r="L30" i="11"/>
  <c r="L38" i="10"/>
  <c r="N34" i="13"/>
  <c r="L28" i="10"/>
  <c r="N8" i="13"/>
  <c r="N24" i="13"/>
  <c r="N53" i="12"/>
  <c r="N90" i="12"/>
  <c r="S56" i="12"/>
  <c r="S44" i="17"/>
  <c r="S48" i="13"/>
  <c r="S83" i="12"/>
  <c r="S55" i="17"/>
  <c r="S42" i="17"/>
  <c r="S15" i="14"/>
  <c r="S45" i="13"/>
  <c r="S32" i="13"/>
  <c r="Q26" i="10"/>
  <c r="S72" i="12"/>
  <c r="S23" i="13"/>
  <c r="S14" i="13"/>
  <c r="S25" i="13"/>
  <c r="S13" i="13"/>
  <c r="S54" i="12"/>
  <c r="S70" i="12"/>
  <c r="S12" i="17"/>
  <c r="S22" i="14"/>
  <c r="S12" i="13"/>
  <c r="S85" i="12"/>
  <c r="S31" i="13"/>
  <c r="Q25" i="10"/>
  <c r="S41" i="13"/>
  <c r="Q29" i="11"/>
  <c r="Q37" i="10"/>
  <c r="P8" i="13"/>
  <c r="P34" i="13"/>
  <c r="N28" i="10"/>
  <c r="P7" i="17"/>
  <c r="P10" i="13"/>
  <c r="P24" i="13"/>
  <c r="P51" i="12"/>
  <c r="P33" i="13"/>
  <c r="N27" i="10"/>
  <c r="P48" i="13"/>
  <c r="P44" i="13"/>
  <c r="P15" i="3"/>
  <c r="P21" i="17"/>
  <c r="P42" i="13"/>
  <c r="N30" i="11"/>
  <c r="N38" i="10"/>
  <c r="P74" i="12"/>
  <c r="P84" i="17"/>
  <c r="P33" i="17"/>
  <c r="P32" i="13"/>
  <c r="N26" i="10"/>
  <c r="M8" i="9"/>
  <c r="M8" i="5"/>
  <c r="P67" i="17"/>
  <c r="P49" i="13"/>
  <c r="P15" i="13"/>
  <c r="P13" i="13"/>
  <c r="P25" i="13"/>
  <c r="P11" i="13"/>
  <c r="P82" i="12"/>
  <c r="Q8" i="17"/>
  <c r="Q84" i="12"/>
  <c r="Q26" i="14"/>
  <c r="Q13" i="13"/>
  <c r="Q65" i="12"/>
  <c r="Q26" i="17"/>
  <c r="Q39" i="12"/>
  <c r="Q81" i="12"/>
  <c r="Q11" i="13"/>
  <c r="Q24" i="13"/>
  <c r="Q20" i="14"/>
  <c r="Q12" i="13"/>
  <c r="Q49" i="13"/>
  <c r="Q58" i="12"/>
  <c r="Q83" i="12"/>
  <c r="Q18" i="13"/>
  <c r="Q71" i="12"/>
  <c r="Q74" i="12"/>
  <c r="Q50" i="13"/>
  <c r="Q42" i="13"/>
  <c r="O30" i="11"/>
  <c r="O38" i="10"/>
  <c r="Q32" i="14"/>
  <c r="Q33" i="13"/>
  <c r="O27" i="10"/>
  <c r="L20" i="14"/>
  <c r="L11" i="17"/>
  <c r="L71" i="12"/>
  <c r="L44" i="13"/>
  <c r="L36" i="13"/>
  <c r="J30" i="10"/>
  <c r="L35" i="13"/>
  <c r="J29" i="10"/>
  <c r="L47" i="13"/>
  <c r="L86" i="12"/>
  <c r="L23" i="17"/>
  <c r="L55" i="12"/>
  <c r="L84" i="12"/>
  <c r="L43" i="17"/>
  <c r="L33" i="13"/>
  <c r="J27" i="10"/>
  <c r="L21" i="14"/>
  <c r="L23" i="13"/>
  <c r="L26" i="13"/>
  <c r="L50" i="17"/>
  <c r="L14" i="13"/>
  <c r="L78" i="12"/>
  <c r="L69" i="12"/>
  <c r="L31" i="13"/>
  <c r="J25" i="10"/>
  <c r="L15" i="14"/>
  <c r="J57" i="12"/>
  <c r="J13" i="13"/>
  <c r="J14" i="13"/>
  <c r="J22" i="14"/>
  <c r="J20" i="14"/>
  <c r="J49" i="13"/>
  <c r="J26" i="13"/>
  <c r="J15" i="14"/>
  <c r="J71" i="12"/>
  <c r="J48" i="13"/>
  <c r="J65" i="17"/>
  <c r="J36" i="13"/>
  <c r="H30" i="10"/>
  <c r="J41" i="13"/>
  <c r="H29" i="11"/>
  <c r="H37" i="10"/>
  <c r="J73" i="12"/>
  <c r="J17" i="13"/>
  <c r="J32" i="13"/>
  <c r="H26" i="10"/>
  <c r="J84" i="12"/>
  <c r="J23" i="13"/>
  <c r="J11" i="13"/>
  <c r="J38" i="12"/>
  <c r="J25" i="13"/>
  <c r="J82" i="12"/>
  <c r="M16" i="14"/>
  <c r="M86" i="12"/>
  <c r="M78" i="12"/>
  <c r="M17" i="13"/>
  <c r="M33" i="17"/>
  <c r="M15" i="13"/>
  <c r="M69" i="12"/>
  <c r="M35" i="13"/>
  <c r="K29" i="10"/>
  <c r="M44" i="13"/>
  <c r="M25" i="13"/>
  <c r="M8" i="17"/>
  <c r="M39" i="17"/>
  <c r="M26" i="14"/>
  <c r="M53" i="12"/>
  <c r="M26" i="13"/>
  <c r="M36" i="13"/>
  <c r="K30" i="10"/>
  <c r="M44" i="12"/>
  <c r="M12" i="17"/>
  <c r="M50" i="17"/>
  <c r="M75" i="12"/>
  <c r="M24" i="13"/>
  <c r="M90" i="12"/>
  <c r="R31" i="13"/>
  <c r="P25" i="10"/>
  <c r="R86" i="12"/>
  <c r="R81" i="12"/>
  <c r="R48" i="13"/>
  <c r="R12" i="17"/>
  <c r="R49" i="12"/>
  <c r="R10" i="13"/>
  <c r="R13" i="13"/>
  <c r="R78" i="12"/>
  <c r="R33" i="14"/>
  <c r="R24" i="17"/>
  <c r="R32" i="14"/>
  <c r="R31" i="17"/>
  <c r="R32" i="13"/>
  <c r="P26" i="10"/>
  <c r="R25" i="13"/>
  <c r="R49" i="13"/>
  <c r="R42" i="13"/>
  <c r="P30" i="11"/>
  <c r="P38" i="10"/>
  <c r="R47" i="13"/>
  <c r="R18" i="13"/>
  <c r="R65" i="12"/>
  <c r="R50" i="13"/>
  <c r="R11" i="17"/>
  <c r="I18" i="17"/>
  <c r="I84" i="12"/>
  <c r="I25" i="17"/>
  <c r="I44" i="13"/>
  <c r="I12" i="13"/>
  <c r="I73" i="17"/>
  <c r="I50" i="13"/>
  <c r="I85" i="12"/>
  <c r="I47" i="13"/>
  <c r="I23" i="13"/>
  <c r="I11" i="13"/>
  <c r="I49" i="13"/>
  <c r="I13" i="13"/>
  <c r="I73" i="12"/>
  <c r="I57" i="12"/>
  <c r="I82" i="12"/>
  <c r="I48" i="13"/>
  <c r="I32" i="13"/>
  <c r="G26" i="10"/>
  <c r="I12" i="17"/>
  <c r="I15" i="3"/>
  <c r="I21" i="17"/>
  <c r="I33" i="14"/>
  <c r="I50" i="12"/>
  <c r="Z71" i="12"/>
  <c r="Z35" i="13"/>
  <c r="X29" i="10"/>
  <c r="Z12" i="13"/>
  <c r="Z73" i="12"/>
  <c r="Z18" i="3"/>
  <c r="Z66" i="17"/>
  <c r="Z24" i="13"/>
  <c r="Z11" i="13"/>
  <c r="Z84" i="12"/>
  <c r="Z49" i="13"/>
  <c r="Z82" i="12"/>
  <c r="Z16" i="14"/>
  <c r="Z58" i="17"/>
  <c r="Z38" i="12"/>
  <c r="Z26" i="13"/>
  <c r="Z18" i="13"/>
  <c r="Z57" i="12"/>
  <c r="Z42" i="13"/>
  <c r="X30" i="11"/>
  <c r="X38" i="10"/>
  <c r="Z20" i="14"/>
  <c r="Z85" i="12"/>
  <c r="Z41" i="13"/>
  <c r="X29" i="11"/>
  <c r="X37" i="10"/>
  <c r="Z26" i="14"/>
  <c r="Z36" i="13"/>
  <c r="X30" i="10"/>
  <c r="D10" i="14"/>
  <c r="D80" i="12"/>
  <c r="D12" i="14"/>
  <c r="D59" i="13"/>
  <c r="D7" i="14"/>
  <c r="D18" i="14"/>
  <c r="D32" i="12"/>
  <c r="D27" i="14"/>
  <c r="D64" i="13"/>
  <c r="D79" i="12"/>
  <c r="D62" i="12"/>
  <c r="D11" i="14"/>
  <c r="D76" i="12"/>
  <c r="D35" i="14"/>
  <c r="D63" i="12"/>
  <c r="D63" i="13"/>
  <c r="D57" i="13"/>
  <c r="D61" i="12"/>
  <c r="D87" i="12"/>
  <c r="D9" i="14"/>
  <c r="D89" i="12"/>
  <c r="D60" i="13"/>
  <c r="U82" i="12"/>
  <c r="U77" i="12"/>
  <c r="U45" i="17"/>
  <c r="U17" i="13"/>
  <c r="U36" i="13"/>
  <c r="S30" i="10"/>
  <c r="U85" i="12"/>
  <c r="U21" i="14"/>
  <c r="U22" i="14"/>
  <c r="U38" i="17"/>
  <c r="U32" i="13"/>
  <c r="S26" i="10"/>
  <c r="U70" i="12"/>
  <c r="U43" i="17"/>
  <c r="U20" i="14"/>
  <c r="U48" i="13"/>
  <c r="U47" i="13"/>
  <c r="U68" i="12"/>
  <c r="U7" i="17"/>
  <c r="U23" i="13"/>
  <c r="U14" i="13"/>
  <c r="U9" i="13"/>
  <c r="U54" i="12"/>
  <c r="U46" i="13"/>
  <c r="Q10" i="14"/>
  <c r="Q64" i="13"/>
  <c r="Q8" i="14"/>
  <c r="Q79" i="12"/>
  <c r="Q17" i="14"/>
  <c r="Q7" i="14"/>
  <c r="Q57" i="13"/>
  <c r="O18" i="7"/>
  <c r="O49" i="11"/>
  <c r="O57" i="10"/>
  <c r="Q18" i="14"/>
  <c r="Q63" i="13"/>
  <c r="Q12" i="14"/>
  <c r="Q61" i="13"/>
  <c r="Q58" i="13"/>
  <c r="Q55" i="13"/>
  <c r="Q36" i="12"/>
  <c r="Q59" i="13"/>
  <c r="Q66" i="12"/>
  <c r="Q89" i="12"/>
  <c r="Q60" i="13"/>
  <c r="Q62" i="13"/>
  <c r="Q35" i="14"/>
  <c r="Q88" i="12"/>
  <c r="Q65" i="13"/>
  <c r="O19" i="7"/>
  <c r="O50" i="11"/>
  <c r="O58" i="10"/>
  <c r="O18" i="4"/>
  <c r="O20" i="2"/>
  <c r="T45" i="12"/>
  <c r="T22" i="17"/>
  <c r="T23" i="13"/>
  <c r="T54" i="12"/>
  <c r="T36" i="13"/>
  <c r="R30" i="10"/>
  <c r="T34" i="17"/>
  <c r="T14" i="13"/>
  <c r="T47" i="13"/>
  <c r="T33" i="14"/>
  <c r="T90" i="12"/>
  <c r="T46" i="13"/>
  <c r="T25" i="13"/>
  <c r="T26" i="13"/>
  <c r="T85" i="12"/>
  <c r="T17" i="13"/>
  <c r="T70" i="12"/>
  <c r="T45" i="13"/>
  <c r="T20" i="14"/>
  <c r="T41" i="13"/>
  <c r="R29" i="11"/>
  <c r="R37" i="10"/>
  <c r="T40" i="17"/>
  <c r="T77" i="12"/>
  <c r="T9" i="17"/>
  <c r="E46" i="13"/>
  <c r="E68" i="12"/>
  <c r="E70" i="12"/>
  <c r="E17" i="13"/>
  <c r="E20" i="17"/>
  <c r="E34" i="13"/>
  <c r="C28" i="10"/>
  <c r="E21" i="14"/>
  <c r="E18" i="13"/>
  <c r="E10" i="17"/>
  <c r="E42" i="13"/>
  <c r="C30" i="11"/>
  <c r="C38" i="10"/>
  <c r="E54" i="12"/>
  <c r="E8" i="13"/>
  <c r="E16" i="14"/>
  <c r="E43" i="17"/>
  <c r="E15" i="13"/>
  <c r="E71" i="17"/>
  <c r="E33" i="13"/>
  <c r="C27" i="10"/>
  <c r="E25" i="14"/>
  <c r="E36" i="13"/>
  <c r="C30" i="10"/>
  <c r="E26" i="13"/>
  <c r="E35" i="13"/>
  <c r="C29" i="10"/>
  <c r="E77" i="12"/>
  <c r="O19" i="17"/>
  <c r="O24" i="13"/>
  <c r="O44" i="13"/>
  <c r="O8" i="13"/>
  <c r="O50" i="17"/>
  <c r="O73" i="12"/>
  <c r="O34" i="13"/>
  <c r="M28" i="10"/>
  <c r="O33" i="13"/>
  <c r="M27" i="10"/>
  <c r="O26" i="13"/>
  <c r="O11" i="13"/>
  <c r="O33" i="14"/>
  <c r="O31" i="13"/>
  <c r="M25" i="10"/>
  <c r="O51" i="12"/>
  <c r="O15" i="13"/>
  <c r="O90" i="12"/>
  <c r="O9" i="13"/>
  <c r="O42" i="13"/>
  <c r="M30" i="11"/>
  <c r="M38" i="10"/>
  <c r="O84" i="17"/>
  <c r="O22" i="14"/>
  <c r="O26" i="17"/>
  <c r="O41" i="12"/>
  <c r="O31" i="17"/>
  <c r="X41" i="13"/>
  <c r="V29" i="11"/>
  <c r="V37" i="10"/>
  <c r="X26" i="14"/>
  <c r="X34" i="17"/>
  <c r="X10" i="13"/>
  <c r="X43" i="17"/>
  <c r="X40" i="12"/>
  <c r="X23" i="13"/>
  <c r="X50" i="13"/>
  <c r="X17" i="13"/>
  <c r="X45" i="17"/>
  <c r="X59" i="12"/>
  <c r="X24" i="13"/>
  <c r="X15" i="3"/>
  <c r="X21" i="17"/>
  <c r="X9" i="13"/>
  <c r="X9" i="17"/>
  <c r="X75" i="12"/>
  <c r="X81" i="12"/>
  <c r="X72" i="12"/>
  <c r="X45" i="13"/>
  <c r="X15" i="13"/>
  <c r="X42" i="13"/>
  <c r="V30" i="11"/>
  <c r="V38" i="10"/>
  <c r="X12" i="13"/>
  <c r="V36" i="13"/>
  <c r="T30" i="10"/>
  <c r="V9" i="18"/>
  <c r="V25" i="13"/>
  <c r="V74" i="12"/>
  <c r="V8" i="17"/>
  <c r="V68" i="12"/>
  <c r="V15" i="14"/>
  <c r="V14" i="13"/>
  <c r="V77" i="12"/>
  <c r="V8" i="13"/>
  <c r="V20" i="14"/>
  <c r="V17" i="13"/>
  <c r="V45" i="13"/>
  <c r="V23" i="13"/>
  <c r="V31" i="13"/>
  <c r="T25" i="10"/>
  <c r="V47" i="13"/>
  <c r="V43" i="12"/>
  <c r="V15" i="13"/>
  <c r="V7" i="17"/>
  <c r="V23" i="17"/>
  <c r="V46" i="13"/>
  <c r="V52" i="12"/>
  <c r="S6" i="10"/>
  <c r="S11" i="4"/>
  <c r="S12" i="2"/>
  <c r="S6" i="15"/>
  <c r="U37" i="13"/>
  <c r="S23" i="10"/>
  <c r="S46" i="4"/>
  <c r="S10" i="10"/>
  <c r="S64" i="10"/>
  <c r="S7" i="10"/>
  <c r="S20" i="10"/>
  <c r="S11" i="10"/>
  <c r="S14" i="2"/>
  <c r="S9" i="10"/>
  <c r="S22" i="10"/>
  <c r="S17" i="10"/>
  <c r="S13" i="10"/>
  <c r="U51" i="13"/>
  <c r="S38" i="11"/>
  <c r="S46" i="10"/>
  <c r="S53" i="4"/>
  <c r="S18" i="2"/>
  <c r="S8" i="10"/>
  <c r="S14" i="10"/>
  <c r="U19" i="13"/>
  <c r="S62" i="10"/>
  <c r="S32" i="4"/>
  <c r="S16" i="2"/>
  <c r="S19" i="10"/>
  <c r="S12" i="10"/>
  <c r="S15" i="10"/>
  <c r="S21" i="10"/>
  <c r="U27" i="13"/>
  <c r="U16" i="13"/>
  <c r="S18" i="10"/>
  <c r="S65" i="10"/>
  <c r="S25" i="4"/>
  <c r="X27" i="14"/>
  <c r="X62" i="13"/>
  <c r="X58" i="13"/>
  <c r="X65" i="13"/>
  <c r="V19" i="7"/>
  <c r="V50" i="11"/>
  <c r="V58" i="10"/>
  <c r="V18" i="4"/>
  <c r="V20" i="2"/>
  <c r="X7" i="14"/>
  <c r="X64" i="13"/>
  <c r="X80" i="12"/>
  <c r="X56" i="13"/>
  <c r="X12" i="14"/>
  <c r="X59" i="13"/>
  <c r="X66" i="12"/>
  <c r="X60" i="12"/>
  <c r="X18" i="14"/>
  <c r="X87" i="17"/>
  <c r="X76" i="12"/>
  <c r="X9" i="14"/>
  <c r="X61" i="13"/>
  <c r="X88" i="12"/>
  <c r="X60" i="13"/>
  <c r="X28" i="14"/>
  <c r="X11" i="14"/>
  <c r="X55" i="13"/>
  <c r="C19" i="13"/>
  <c r="C37" i="13"/>
  <c r="C51" i="13"/>
  <c r="C27" i="13"/>
  <c r="C16" i="13"/>
  <c r="C36" i="12"/>
  <c r="C18" i="14"/>
  <c r="C60" i="13"/>
  <c r="C10" i="14"/>
  <c r="C63" i="13"/>
  <c r="C59" i="13"/>
  <c r="C66" i="12"/>
  <c r="C34" i="12"/>
  <c r="C55" i="13"/>
  <c r="C62" i="12"/>
  <c r="C62" i="13"/>
  <c r="C37" i="12"/>
  <c r="C79" i="12"/>
  <c r="C64" i="13"/>
  <c r="C87" i="12"/>
  <c r="C80" i="12"/>
  <c r="C57" i="13"/>
  <c r="C27" i="14"/>
  <c r="C17" i="14"/>
  <c r="C65" i="13"/>
  <c r="C9" i="14"/>
  <c r="C63" i="12"/>
  <c r="D27" i="13"/>
  <c r="D16" i="13"/>
  <c r="D51" i="13"/>
  <c r="D37" i="13"/>
  <c r="D19" i="13"/>
  <c r="T19" i="13"/>
  <c r="R62" i="10"/>
  <c r="R32" i="4"/>
  <c r="R16" i="2"/>
  <c r="R64" i="10"/>
  <c r="R8" i="10"/>
  <c r="R14" i="10"/>
  <c r="T27" i="13"/>
  <c r="T16" i="13"/>
  <c r="R18" i="10"/>
  <c r="R6" i="10"/>
  <c r="R11" i="4"/>
  <c r="R12" i="2"/>
  <c r="R6" i="15"/>
  <c r="R11" i="10"/>
  <c r="R14" i="2"/>
  <c r="R65" i="10"/>
  <c r="R25" i="4"/>
  <c r="R13" i="10"/>
  <c r="R21" i="10"/>
  <c r="T37" i="13"/>
  <c r="R23" i="10"/>
  <c r="R46" i="4"/>
  <c r="R19" i="10"/>
  <c r="R17" i="10"/>
  <c r="R9" i="10"/>
  <c r="R22" i="10"/>
  <c r="T51" i="13"/>
  <c r="R38" i="11"/>
  <c r="R46" i="10"/>
  <c r="R53" i="4"/>
  <c r="R18" i="2"/>
  <c r="R10" i="10"/>
  <c r="R15" i="10"/>
  <c r="R12" i="10"/>
  <c r="R7" i="10"/>
  <c r="R20" i="10"/>
  <c r="F37" i="13"/>
  <c r="D23" i="10"/>
  <c r="D46" i="4"/>
  <c r="D11" i="10"/>
  <c r="D14" i="2"/>
  <c r="D19" i="10"/>
  <c r="D64" i="10"/>
  <c r="D15" i="10"/>
  <c r="D7" i="10"/>
  <c r="D22" i="10"/>
  <c r="D12" i="10"/>
  <c r="D17" i="10"/>
  <c r="D13" i="10"/>
  <c r="D6" i="10"/>
  <c r="D11" i="4"/>
  <c r="D12" i="2"/>
  <c r="D6" i="15"/>
  <c r="D9" i="10"/>
  <c r="F27" i="13"/>
  <c r="F16" i="13"/>
  <c r="D18" i="10"/>
  <c r="D20" i="10"/>
  <c r="D14" i="10"/>
  <c r="D8" i="10"/>
  <c r="F19" i="13"/>
  <c r="D62" i="10"/>
  <c r="D32" i="4"/>
  <c r="D16" i="2"/>
  <c r="D65" i="10"/>
  <c r="D25" i="4"/>
  <c r="F51" i="13"/>
  <c r="D38" i="11"/>
  <c r="D46" i="10"/>
  <c r="D53" i="4"/>
  <c r="D18" i="2"/>
  <c r="D21" i="10"/>
  <c r="D10" i="10"/>
  <c r="W22" i="10"/>
  <c r="Y19" i="13"/>
  <c r="W62" i="10"/>
  <c r="W32" i="4"/>
  <c r="W16" i="2"/>
  <c r="W15" i="10"/>
  <c r="W8" i="10"/>
  <c r="W14" i="10"/>
  <c r="W13" i="10"/>
  <c r="W6" i="10"/>
  <c r="W11" i="4"/>
  <c r="W12" i="2"/>
  <c r="W6" i="15"/>
  <c r="Y37" i="13"/>
  <c r="W23" i="10"/>
  <c r="W46" i="4"/>
  <c r="W12" i="10"/>
  <c r="Y51" i="13"/>
  <c r="W38" i="11"/>
  <c r="W46" i="10"/>
  <c r="W53" i="4"/>
  <c r="W18" i="2"/>
  <c r="W10" i="10"/>
  <c r="W19" i="10"/>
  <c r="W17" i="10"/>
  <c r="W20" i="10"/>
  <c r="W65" i="10"/>
  <c r="W25" i="4"/>
  <c r="Y27" i="13"/>
  <c r="Y16" i="13"/>
  <c r="W18" i="10"/>
  <c r="W9" i="10"/>
  <c r="W21" i="10"/>
  <c r="W7" i="10"/>
  <c r="W64" i="10"/>
  <c r="W11" i="10"/>
  <c r="W14" i="2"/>
  <c r="C42" i="17"/>
  <c r="C23" i="13"/>
  <c r="C90" i="12"/>
  <c r="C45" i="13"/>
  <c r="C48" i="17"/>
  <c r="C22" i="17"/>
  <c r="C47" i="13"/>
  <c r="C15" i="13"/>
  <c r="C25" i="14"/>
  <c r="C8" i="17"/>
  <c r="C42" i="13"/>
  <c r="C24" i="17"/>
  <c r="C44" i="13"/>
  <c r="C63" i="17"/>
  <c r="C8" i="13"/>
  <c r="C33" i="14"/>
  <c r="C40" i="17"/>
  <c r="C18" i="13"/>
  <c r="C46" i="17"/>
  <c r="C44" i="17"/>
  <c r="C33" i="13"/>
  <c r="C31" i="13"/>
  <c r="W10" i="14"/>
  <c r="W32" i="12"/>
  <c r="W55" i="13"/>
  <c r="W63" i="13"/>
  <c r="W60" i="13"/>
  <c r="W35" i="14"/>
  <c r="W89" i="12"/>
  <c r="W27" i="14"/>
  <c r="W66" i="12"/>
  <c r="W76" i="12"/>
  <c r="W18" i="14"/>
  <c r="W65" i="13"/>
  <c r="U19" i="7"/>
  <c r="U50" i="11"/>
  <c r="U58" i="10"/>
  <c r="U18" i="4"/>
  <c r="U20" i="2"/>
  <c r="W88" i="12"/>
  <c r="W17" i="14"/>
  <c r="W61" i="13"/>
  <c r="W59" i="13"/>
  <c r="W9" i="14"/>
  <c r="W87" i="17"/>
  <c r="W57" i="13"/>
  <c r="U18" i="7"/>
  <c r="U49" i="11"/>
  <c r="U57" i="10"/>
  <c r="W62" i="12"/>
  <c r="W64" i="13"/>
  <c r="W79" i="12"/>
  <c r="N10" i="10"/>
  <c r="P19" i="13"/>
  <c r="N62" i="10"/>
  <c r="N32" i="4"/>
  <c r="N16" i="2"/>
  <c r="N65" i="10"/>
  <c r="N25" i="4"/>
  <c r="N19" i="10"/>
  <c r="N20" i="10"/>
  <c r="N21" i="10"/>
  <c r="N14" i="10"/>
  <c r="P51" i="13"/>
  <c r="N38" i="11"/>
  <c r="N46" i="10"/>
  <c r="N53" i="4"/>
  <c r="N18" i="2"/>
  <c r="N64" i="10"/>
  <c r="N8" i="10"/>
  <c r="P37" i="13"/>
  <c r="N23" i="10"/>
  <c r="N46" i="4"/>
  <c r="N12" i="10"/>
  <c r="N13" i="10"/>
  <c r="N7" i="10"/>
  <c r="N15" i="10"/>
  <c r="N22" i="10"/>
  <c r="N9" i="10"/>
  <c r="N17" i="10"/>
  <c r="P27" i="13"/>
  <c r="P16" i="13"/>
  <c r="N18" i="10"/>
  <c r="N6" i="10"/>
  <c r="N11" i="4"/>
  <c r="N12" i="2"/>
  <c r="N6" i="15"/>
  <c r="N11" i="10"/>
  <c r="N14" i="2"/>
  <c r="T8" i="10"/>
  <c r="T9" i="10"/>
  <c r="T13" i="10"/>
  <c r="T11" i="10"/>
  <c r="T14" i="2"/>
  <c r="T12" i="10"/>
  <c r="T21" i="10"/>
  <c r="T6" i="10"/>
  <c r="T11" i="4"/>
  <c r="T12" i="2"/>
  <c r="T6" i="15"/>
  <c r="T65" i="10"/>
  <c r="T25" i="4"/>
  <c r="V19" i="13"/>
  <c r="T62" i="10"/>
  <c r="T32" i="4"/>
  <c r="T16" i="2"/>
  <c r="V37" i="13"/>
  <c r="T23" i="10"/>
  <c r="T46" i="4"/>
  <c r="T10" i="10"/>
  <c r="T15" i="10"/>
  <c r="V51" i="13"/>
  <c r="T38" i="11"/>
  <c r="T46" i="10"/>
  <c r="T53" i="4"/>
  <c r="T18" i="2"/>
  <c r="T20" i="10"/>
  <c r="T17" i="10"/>
  <c r="V27" i="13"/>
  <c r="V16" i="13"/>
  <c r="T18" i="10"/>
  <c r="T7" i="10"/>
  <c r="T14" i="10"/>
  <c r="T19" i="10"/>
  <c r="T22" i="10"/>
  <c r="T64" i="10"/>
  <c r="X10" i="10"/>
  <c r="Z27" i="13"/>
  <c r="Z16" i="13"/>
  <c r="X18" i="10"/>
  <c r="X21" i="10"/>
  <c r="X6" i="10"/>
  <c r="X11" i="4"/>
  <c r="X12" i="2"/>
  <c r="X6" i="15"/>
  <c r="X17" i="10"/>
  <c r="X11" i="10"/>
  <c r="X14" i="2"/>
  <c r="X9" i="10"/>
  <c r="X22" i="10"/>
  <c r="Z51" i="13"/>
  <c r="X38" i="11"/>
  <c r="X46" i="10"/>
  <c r="X53" i="4"/>
  <c r="X18" i="2"/>
  <c r="X8" i="10"/>
  <c r="X14" i="10"/>
  <c r="X19" i="10"/>
  <c r="X13" i="10"/>
  <c r="X20" i="10"/>
  <c r="Z37" i="13"/>
  <c r="X23" i="10"/>
  <c r="X46" i="4"/>
  <c r="X7" i="10"/>
  <c r="X12" i="10"/>
  <c r="X64" i="10"/>
  <c r="Z19" i="13"/>
  <c r="X62" i="10"/>
  <c r="X32" i="4"/>
  <c r="X16" i="2"/>
  <c r="X65" i="10"/>
  <c r="X25" i="4"/>
  <c r="X15" i="10"/>
  <c r="T76" i="12"/>
  <c r="T63" i="12"/>
  <c r="T79" i="12"/>
  <c r="T11" i="14"/>
  <c r="T63" i="13"/>
  <c r="T35" i="14"/>
  <c r="T55" i="13"/>
  <c r="T10" i="14"/>
  <c r="T34" i="14"/>
  <c r="T27" i="14"/>
  <c r="T65" i="13"/>
  <c r="R19" i="7"/>
  <c r="R50" i="11"/>
  <c r="R58" i="10"/>
  <c r="R18" i="4"/>
  <c r="R20" i="2"/>
  <c r="T87" i="12"/>
  <c r="T28" i="14"/>
  <c r="T17" i="14"/>
  <c r="T9" i="14"/>
  <c r="T61" i="12"/>
  <c r="T60" i="13"/>
  <c r="T58" i="13"/>
  <c r="T62" i="13"/>
  <c r="T59" i="13"/>
  <c r="T57" i="13"/>
  <c r="R18" i="7"/>
  <c r="R49" i="11"/>
  <c r="R57" i="10"/>
  <c r="T7" i="14"/>
  <c r="Y66" i="12"/>
  <c r="Y60" i="12"/>
  <c r="Y27" i="14"/>
  <c r="Y59" i="13"/>
  <c r="Y76" i="12"/>
  <c r="Y34" i="14"/>
  <c r="Y7" i="14"/>
  <c r="Y88" i="12"/>
  <c r="Y57" i="13"/>
  <c r="W18" i="7"/>
  <c r="W49" i="11"/>
  <c r="W57" i="10"/>
  <c r="Y58" i="13"/>
  <c r="Y65" i="13"/>
  <c r="W19" i="7"/>
  <c r="W50" i="11"/>
  <c r="W58" i="10"/>
  <c r="W18" i="4"/>
  <c r="W20" i="2"/>
  <c r="Y12" i="14"/>
  <c r="Y18" i="14"/>
  <c r="Y79" i="12"/>
  <c r="Y10" i="14"/>
  <c r="Y62" i="13"/>
  <c r="Y55" i="13"/>
  <c r="Y80" i="12"/>
  <c r="Y28" i="14"/>
  <c r="Y61" i="13"/>
  <c r="Y9" i="14"/>
  <c r="Y8" i="14"/>
  <c r="I79" i="12"/>
  <c r="I67" i="12"/>
  <c r="I60" i="12"/>
  <c r="I62" i="13"/>
  <c r="I58" i="13"/>
  <c r="I57" i="13"/>
  <c r="G18" i="7"/>
  <c r="G49" i="11"/>
  <c r="G57" i="10"/>
  <c r="I66" i="12"/>
  <c r="I17" i="14"/>
  <c r="I65" i="13"/>
  <c r="G19" i="7"/>
  <c r="G50" i="11"/>
  <c r="G58" i="10"/>
  <c r="G18" i="4"/>
  <c r="G20" i="2"/>
  <c r="I12" i="14"/>
  <c r="I59" i="13"/>
  <c r="I9" i="14"/>
  <c r="I34" i="14"/>
  <c r="I56" i="13"/>
  <c r="I28" i="14"/>
  <c r="I10" i="14"/>
  <c r="I63" i="13"/>
  <c r="I80" i="12"/>
  <c r="I61" i="13"/>
  <c r="I27" i="14"/>
  <c r="I18" i="14"/>
  <c r="I76" i="12"/>
  <c r="E27" i="13"/>
  <c r="E16" i="13"/>
  <c r="C18" i="10"/>
  <c r="E51" i="13"/>
  <c r="C38" i="11"/>
  <c r="C46" i="10"/>
  <c r="C53" i="4"/>
  <c r="C18" i="2"/>
  <c r="C17" i="10"/>
  <c r="C10" i="10"/>
  <c r="C6" i="10"/>
  <c r="C11" i="4"/>
  <c r="C12" i="2"/>
  <c r="C6" i="15"/>
  <c r="E37" i="13"/>
  <c r="C23" i="10"/>
  <c r="C46" i="4"/>
  <c r="C19" i="10"/>
  <c r="C12" i="10"/>
  <c r="C22" i="10"/>
  <c r="C65" i="10"/>
  <c r="C25" i="4"/>
  <c r="C9" i="10"/>
  <c r="C20" i="10"/>
  <c r="C14" i="10"/>
  <c r="C8" i="10"/>
  <c r="C13" i="10"/>
  <c r="C11" i="10"/>
  <c r="C14" i="2"/>
  <c r="C7" i="10"/>
  <c r="C64" i="10"/>
  <c r="E19" i="13"/>
  <c r="C62" i="10"/>
  <c r="C32" i="4"/>
  <c r="C16" i="2"/>
  <c r="C15" i="10"/>
  <c r="C21" i="10"/>
  <c r="I32" i="17"/>
  <c r="I71" i="17"/>
  <c r="I17" i="3"/>
  <c r="I51" i="17"/>
  <c r="I54" i="17"/>
  <c r="I22" i="14"/>
  <c r="I35" i="13"/>
  <c r="G29" i="10"/>
  <c r="I47" i="17"/>
  <c r="I34" i="13"/>
  <c r="G28" i="10"/>
  <c r="I34" i="17"/>
  <c r="I38" i="17"/>
  <c r="I70" i="17"/>
  <c r="I45" i="13"/>
  <c r="I18" i="13"/>
  <c r="I25" i="13"/>
  <c r="F9" i="9"/>
  <c r="F9" i="5"/>
  <c r="I75" i="17"/>
  <c r="I77" i="17"/>
  <c r="I15" i="14"/>
  <c r="I20" i="17"/>
  <c r="I25" i="14"/>
  <c r="I65" i="17"/>
  <c r="I86" i="12"/>
  <c r="I9" i="17"/>
  <c r="D48" i="17"/>
  <c r="D47" i="13"/>
  <c r="D24" i="13"/>
  <c r="D69" i="17"/>
  <c r="D42" i="13"/>
  <c r="D34" i="17"/>
  <c r="D15" i="13"/>
  <c r="D10" i="17"/>
  <c r="D41" i="13"/>
  <c r="D33" i="14"/>
  <c r="D9" i="17"/>
  <c r="D22" i="17"/>
  <c r="D44" i="13"/>
  <c r="D25" i="14"/>
  <c r="D45" i="13"/>
  <c r="D35" i="18"/>
  <c r="D20" i="14"/>
  <c r="D35" i="13"/>
  <c r="D40" i="17"/>
  <c r="D83" i="12"/>
  <c r="D49" i="13"/>
  <c r="D15" i="14"/>
  <c r="E56" i="13"/>
  <c r="E11" i="14"/>
  <c r="E34" i="14"/>
  <c r="E89" i="12"/>
  <c r="E55" i="13"/>
  <c r="E61" i="13"/>
  <c r="E61" i="12"/>
  <c r="E7" i="14"/>
  <c r="E88" i="12"/>
  <c r="E65" i="13"/>
  <c r="C19" i="7"/>
  <c r="C50" i="11"/>
  <c r="C58" i="10"/>
  <c r="C18" i="4"/>
  <c r="C20" i="2"/>
  <c r="E62" i="12"/>
  <c r="E57" i="13"/>
  <c r="C18" i="7"/>
  <c r="C49" i="11"/>
  <c r="C57" i="10"/>
  <c r="E18" i="14"/>
  <c r="E80" i="12"/>
  <c r="E63" i="13"/>
  <c r="E59" i="13"/>
  <c r="E10" i="14"/>
  <c r="E87" i="12"/>
  <c r="E12" i="14"/>
  <c r="E28" i="14"/>
  <c r="E60" i="13"/>
  <c r="E35" i="14"/>
  <c r="P58" i="13"/>
  <c r="P11" i="14"/>
  <c r="P9" i="14"/>
  <c r="P64" i="13"/>
  <c r="P80" i="12"/>
  <c r="P89" i="12"/>
  <c r="P60" i="13"/>
  <c r="P35" i="14"/>
  <c r="P55" i="13"/>
  <c r="P8" i="14"/>
  <c r="P17" i="14"/>
  <c r="P18" i="14"/>
  <c r="P63" i="13"/>
  <c r="P62" i="13"/>
  <c r="P67" i="12"/>
  <c r="P56" i="13"/>
  <c r="P10" i="14"/>
  <c r="P34" i="14"/>
  <c r="P57" i="13"/>
  <c r="N18" i="7"/>
  <c r="N49" i="11"/>
  <c r="N57" i="10"/>
  <c r="P7" i="14"/>
  <c r="P87" i="12"/>
  <c r="P61" i="12"/>
  <c r="N63" i="12"/>
  <c r="N88" i="12"/>
  <c r="N17" i="14"/>
  <c r="N18" i="14"/>
  <c r="N12" i="14"/>
  <c r="N9" i="14"/>
  <c r="N57" i="13"/>
  <c r="L18" i="7"/>
  <c r="L49" i="11"/>
  <c r="L57" i="10"/>
  <c r="N61" i="13"/>
  <c r="N79" i="12"/>
  <c r="N67" i="12"/>
  <c r="N7" i="14"/>
  <c r="N60" i="12"/>
  <c r="N11" i="14"/>
  <c r="N34" i="14"/>
  <c r="N56" i="13"/>
  <c r="N76" i="12"/>
  <c r="N89" i="12"/>
  <c r="N59" i="13"/>
  <c r="N55" i="13"/>
  <c r="N60" i="13"/>
  <c r="N64" i="13"/>
  <c r="N27" i="14"/>
  <c r="Y22" i="10"/>
  <c r="Y14" i="10"/>
  <c r="Y6" i="10"/>
  <c r="Y11" i="4"/>
  <c r="Y12" i="2"/>
  <c r="Y6" i="15"/>
  <c r="AA19" i="13"/>
  <c r="Y62" i="10"/>
  <c r="Y32" i="4"/>
  <c r="Y16" i="2"/>
  <c r="Y13" i="10"/>
  <c r="AA51" i="13"/>
  <c r="Y38" i="11"/>
  <c r="Y46" i="10"/>
  <c r="Y53" i="4"/>
  <c r="Y18" i="2"/>
  <c r="AA37" i="13"/>
  <c r="Y23" i="10"/>
  <c r="Y46" i="4"/>
  <c r="Y15" i="10"/>
  <c r="Y12" i="10"/>
  <c r="Y9" i="10"/>
  <c r="Y7" i="10"/>
  <c r="Y10" i="10"/>
  <c r="Y65" i="10"/>
  <c r="Y25" i="4"/>
  <c r="Y20" i="10"/>
  <c r="AA27" i="13"/>
  <c r="AA16" i="13"/>
  <c r="Y18" i="10"/>
  <c r="Y19" i="10"/>
  <c r="Y17" i="10"/>
  <c r="Y64" i="10"/>
  <c r="Y8" i="10"/>
  <c r="Y21" i="10"/>
  <c r="Y11" i="10"/>
  <c r="Y14" i="2"/>
  <c r="L25" i="17"/>
  <c r="L64" i="17"/>
  <c r="L50" i="13"/>
  <c r="L21" i="18"/>
  <c r="L30" i="17"/>
  <c r="L26" i="14"/>
  <c r="L17" i="13"/>
  <c r="L9" i="17"/>
  <c r="L69" i="17"/>
  <c r="L22" i="14"/>
  <c r="L10" i="17"/>
  <c r="L25" i="13"/>
  <c r="L32" i="13"/>
  <c r="J26" i="10"/>
  <c r="L61" i="17"/>
  <c r="L45" i="13"/>
  <c r="L25" i="14"/>
  <c r="L26" i="17"/>
  <c r="L42" i="13"/>
  <c r="J30" i="11"/>
  <c r="J38" i="10"/>
  <c r="L44" i="17"/>
  <c r="L41" i="13"/>
  <c r="J29" i="11"/>
  <c r="J37" i="10"/>
  <c r="L53" i="17"/>
  <c r="L19" i="3"/>
  <c r="L76" i="17"/>
  <c r="K28" i="14"/>
  <c r="K57" i="13"/>
  <c r="I18" i="7"/>
  <c r="I49" i="11"/>
  <c r="I57" i="10"/>
  <c r="K61" i="13"/>
  <c r="K63" i="13"/>
  <c r="K60" i="13"/>
  <c r="K55" i="13"/>
  <c r="K80" i="12"/>
  <c r="K12" i="14"/>
  <c r="K64" i="13"/>
  <c r="K11" i="14"/>
  <c r="K10" i="14"/>
  <c r="K89" i="12"/>
  <c r="I6" i="7"/>
  <c r="K20" i="3"/>
  <c r="K81" i="17"/>
  <c r="K59" i="13"/>
  <c r="K87" i="12"/>
  <c r="K62" i="12"/>
  <c r="I15" i="7"/>
  <c r="I44" i="11"/>
  <c r="I52" i="10"/>
  <c r="K76" i="12"/>
  <c r="K18" i="14"/>
  <c r="K56" i="13"/>
  <c r="K8" i="14"/>
  <c r="K7" i="14"/>
  <c r="Y18" i="17"/>
  <c r="Y12" i="17"/>
  <c r="Y34" i="17"/>
  <c r="Y86" i="12"/>
  <c r="Y48" i="17"/>
  <c r="Y43" i="17"/>
  <c r="Y15" i="14"/>
  <c r="Y9" i="17"/>
  <c r="Y18" i="13"/>
  <c r="Y50" i="13"/>
  <c r="Y25" i="17"/>
  <c r="Y39" i="17"/>
  <c r="Y45" i="13"/>
  <c r="Y33" i="14"/>
  <c r="Y15" i="3"/>
  <c r="Y21" i="17"/>
  <c r="Y34" i="13"/>
  <c r="W28" i="10"/>
  <c r="Y25" i="13"/>
  <c r="Y65" i="17"/>
  <c r="Y38" i="17"/>
  <c r="Y45" i="17"/>
  <c r="Y35" i="13"/>
  <c r="W29" i="10"/>
  <c r="Y16" i="18"/>
  <c r="Z7" i="14"/>
  <c r="Z62" i="12"/>
  <c r="Z64" i="13"/>
  <c r="Z18" i="14"/>
  <c r="Z67" i="12"/>
  <c r="Z9" i="14"/>
  <c r="Z65" i="13"/>
  <c r="X19" i="7"/>
  <c r="X50" i="11"/>
  <c r="X58" i="10"/>
  <c r="X18" i="4"/>
  <c r="X20" i="2"/>
  <c r="Z27" i="14"/>
  <c r="Z59" i="13"/>
  <c r="Z63" i="12"/>
  <c r="Z11" i="14"/>
  <c r="Z35" i="14"/>
  <c r="Z28" i="14"/>
  <c r="Z89" i="12"/>
  <c r="Z62" i="13"/>
  <c r="Z57" i="13"/>
  <c r="X18" i="7"/>
  <c r="X49" i="11"/>
  <c r="X57" i="10"/>
  <c r="Z56" i="13"/>
  <c r="Z61" i="13"/>
  <c r="Z10" i="14"/>
  <c r="Z58" i="13"/>
  <c r="Z80" i="12"/>
  <c r="Z34" i="14"/>
  <c r="J18" i="14"/>
  <c r="J82" i="17"/>
  <c r="J59" i="13"/>
  <c r="J80" i="12"/>
  <c r="J56" i="13"/>
  <c r="J27" i="14"/>
  <c r="J64" i="13"/>
  <c r="J65" i="13"/>
  <c r="H19" i="7"/>
  <c r="H50" i="11"/>
  <c r="H58" i="10"/>
  <c r="H18" i="4"/>
  <c r="H20" i="2"/>
  <c r="J11" i="14"/>
  <c r="J62" i="13"/>
  <c r="J9" i="14"/>
  <c r="J17" i="14"/>
  <c r="J10" i="14"/>
  <c r="J67" i="12"/>
  <c r="J57" i="13"/>
  <c r="H18" i="7"/>
  <c r="H49" i="11"/>
  <c r="H57" i="10"/>
  <c r="J88" i="12"/>
  <c r="J28" i="14"/>
  <c r="J87" i="12"/>
  <c r="J60" i="12"/>
  <c r="J61" i="13"/>
  <c r="J63" i="13"/>
  <c r="J58" i="13"/>
  <c r="M55" i="13"/>
  <c r="M27" i="14"/>
  <c r="M76" i="12"/>
  <c r="M9" i="14"/>
  <c r="M63" i="12"/>
  <c r="M62" i="12"/>
  <c r="M56" i="13"/>
  <c r="M11" i="14"/>
  <c r="M88" i="12"/>
  <c r="M17" i="14"/>
  <c r="M65" i="13"/>
  <c r="K19" i="7"/>
  <c r="K50" i="11"/>
  <c r="K58" i="10"/>
  <c r="K18" i="4"/>
  <c r="K20" i="2"/>
  <c r="M62" i="13"/>
  <c r="M60" i="12"/>
  <c r="M8" i="14"/>
  <c r="M35" i="14"/>
  <c r="M64" i="13"/>
  <c r="M61" i="13"/>
  <c r="M58" i="13"/>
  <c r="M59" i="13"/>
  <c r="M18" i="14"/>
  <c r="M63" i="13"/>
  <c r="M79" i="12"/>
  <c r="F61" i="12"/>
  <c r="F62" i="13"/>
  <c r="F60" i="13"/>
  <c r="F64" i="13"/>
  <c r="F55" i="13"/>
  <c r="F8" i="14"/>
  <c r="F35" i="14"/>
  <c r="F56" i="13"/>
  <c r="F89" i="12"/>
  <c r="F60" i="12"/>
  <c r="F58" i="13"/>
  <c r="F61" i="13"/>
  <c r="F62" i="12"/>
  <c r="F76" i="12"/>
  <c r="F88" i="12"/>
  <c r="F63" i="12"/>
  <c r="F11" i="14"/>
  <c r="F63" i="13"/>
  <c r="F28" i="14"/>
  <c r="F34" i="14"/>
  <c r="F9" i="14"/>
  <c r="F7" i="14"/>
  <c r="M7" i="10"/>
  <c r="M64" i="10"/>
  <c r="O27" i="13"/>
  <c r="O16" i="13"/>
  <c r="M18" i="10"/>
  <c r="M6" i="10"/>
  <c r="M11" i="4"/>
  <c r="M12" i="2"/>
  <c r="M6" i="15"/>
  <c r="M21" i="10"/>
  <c r="M10" i="10"/>
  <c r="M14" i="10"/>
  <c r="O51" i="13"/>
  <c r="M38" i="11"/>
  <c r="M46" i="10"/>
  <c r="M53" i="4"/>
  <c r="M18" i="2"/>
  <c r="M22" i="10"/>
  <c r="M17" i="10"/>
  <c r="M65" i="10"/>
  <c r="M25" i="4"/>
  <c r="M8" i="10"/>
  <c r="M13" i="10"/>
  <c r="M15" i="10"/>
  <c r="M9" i="10"/>
  <c r="M11" i="10"/>
  <c r="M14" i="2"/>
  <c r="M19" i="10"/>
  <c r="O19" i="13"/>
  <c r="M62" i="10"/>
  <c r="M32" i="4"/>
  <c r="M16" i="2"/>
  <c r="M12" i="10"/>
  <c r="O37" i="13"/>
  <c r="M23" i="10"/>
  <c r="M46" i="4"/>
  <c r="M20" i="10"/>
  <c r="F15" i="14"/>
  <c r="F20" i="17"/>
  <c r="F33" i="13"/>
  <c r="D27" i="10"/>
  <c r="F32" i="14"/>
  <c r="F7" i="17"/>
  <c r="F33" i="14"/>
  <c r="F48" i="13"/>
  <c r="F8" i="17"/>
  <c r="F32" i="17"/>
  <c r="F45" i="13"/>
  <c r="F23" i="17"/>
  <c r="F13" i="13"/>
  <c r="F26" i="14"/>
  <c r="F38" i="17"/>
  <c r="F54" i="17"/>
  <c r="F47" i="13"/>
  <c r="F65" i="17"/>
  <c r="F25" i="13"/>
  <c r="F18" i="13"/>
  <c r="F54" i="18"/>
  <c r="F17" i="3"/>
  <c r="F51" i="17"/>
  <c r="F49" i="13"/>
  <c r="AA12" i="14"/>
  <c r="AA88" i="12"/>
  <c r="AA65" i="13"/>
  <c r="Y19" i="7"/>
  <c r="Y50" i="11"/>
  <c r="Y58" i="10"/>
  <c r="Y18" i="4"/>
  <c r="Y20" i="2"/>
  <c r="AA56" i="13"/>
  <c r="AA63" i="13"/>
  <c r="AA18" i="14"/>
  <c r="AA80" i="12"/>
  <c r="AA64" i="13"/>
  <c r="AA10" i="14"/>
  <c r="AA55" i="13"/>
  <c r="AA46" i="18"/>
  <c r="AA28" i="14"/>
  <c r="AA8" i="14"/>
  <c r="AA34" i="14"/>
  <c r="AA57" i="13"/>
  <c r="Y18" i="7"/>
  <c r="Y49" i="11"/>
  <c r="Y57" i="10"/>
  <c r="AA62" i="12"/>
  <c r="AA87" i="12"/>
  <c r="AA35" i="14"/>
  <c r="AA7" i="14"/>
  <c r="AA59" i="13"/>
  <c r="AA63" i="12"/>
  <c r="AA61" i="13"/>
  <c r="G20" i="10"/>
  <c r="I19" i="13"/>
  <c r="G62" i="10"/>
  <c r="G32" i="4"/>
  <c r="G16" i="2"/>
  <c r="I27" i="13"/>
  <c r="I16" i="13"/>
  <c r="G18" i="10"/>
  <c r="G19" i="10"/>
  <c r="G11" i="10"/>
  <c r="G14" i="2"/>
  <c r="G22" i="10"/>
  <c r="G13" i="10"/>
  <c r="I51" i="13"/>
  <c r="G38" i="11"/>
  <c r="G46" i="10"/>
  <c r="G53" i="4"/>
  <c r="G18" i="2"/>
  <c r="G14" i="10"/>
  <c r="G6" i="10"/>
  <c r="G11" i="4"/>
  <c r="G12" i="2"/>
  <c r="G6" i="15"/>
  <c r="G15" i="10"/>
  <c r="G64" i="10"/>
  <c r="G12" i="10"/>
  <c r="G17" i="10"/>
  <c r="G10" i="10"/>
  <c r="G9" i="10"/>
  <c r="G7" i="10"/>
  <c r="G21" i="10"/>
  <c r="G8" i="10"/>
  <c r="I37" i="13"/>
  <c r="G23" i="10"/>
  <c r="G46" i="4"/>
  <c r="G65" i="10"/>
  <c r="G25" i="4"/>
  <c r="S66" i="12"/>
  <c r="S56" i="13"/>
  <c r="S62" i="13"/>
  <c r="S34" i="14"/>
  <c r="S57" i="13"/>
  <c r="Q18" i="7"/>
  <c r="Q49" i="11"/>
  <c r="Q57" i="10"/>
  <c r="S17" i="14"/>
  <c r="S88" i="12"/>
  <c r="S37" i="12"/>
  <c r="S61" i="13"/>
  <c r="S18" i="14"/>
  <c r="S89" i="12"/>
  <c r="S63" i="13"/>
  <c r="S12" i="14"/>
  <c r="S63" i="12"/>
  <c r="S86" i="17"/>
  <c r="S10" i="14"/>
  <c r="S60" i="13"/>
  <c r="S55" i="13"/>
  <c r="S79" i="12"/>
  <c r="S65" i="13"/>
  <c r="Q19" i="7"/>
  <c r="Q50" i="11"/>
  <c r="Q58" i="10"/>
  <c r="Q18" i="4"/>
  <c r="Q20" i="2"/>
  <c r="S8" i="14"/>
  <c r="S59" i="13"/>
  <c r="L7" i="14"/>
  <c r="L61" i="13"/>
  <c r="L9" i="14"/>
  <c r="J6" i="7"/>
  <c r="L20" i="3"/>
  <c r="L81" i="17"/>
  <c r="L79" i="12"/>
  <c r="L57" i="13"/>
  <c r="J18" i="7"/>
  <c r="J49" i="11"/>
  <c r="J57" i="10"/>
  <c r="L56" i="13"/>
  <c r="L58" i="13"/>
  <c r="L88" i="12"/>
  <c r="L36" i="12"/>
  <c r="L35" i="14"/>
  <c r="L11" i="14"/>
  <c r="L37" i="12"/>
  <c r="L62" i="13"/>
  <c r="L59" i="13"/>
  <c r="L8" i="14"/>
  <c r="L76" i="12"/>
  <c r="L63" i="13"/>
  <c r="L64" i="13"/>
  <c r="L12" i="14"/>
  <c r="L17" i="14"/>
  <c r="L62" i="12"/>
  <c r="S11" i="17"/>
  <c r="S42" i="13"/>
  <c r="Q30" i="11"/>
  <c r="Q38" i="10"/>
  <c r="S16" i="14"/>
  <c r="S18" i="17"/>
  <c r="S18" i="13"/>
  <c r="S33" i="14"/>
  <c r="S24" i="17"/>
  <c r="S33" i="13"/>
  <c r="Q27" i="10"/>
  <c r="S26" i="13"/>
  <c r="S31" i="17"/>
  <c r="S21" i="14"/>
  <c r="S40" i="17"/>
  <c r="S26" i="17"/>
  <c r="S53" i="17"/>
  <c r="S44" i="13"/>
  <c r="S8" i="13"/>
  <c r="S22" i="17"/>
  <c r="S27" i="17"/>
  <c r="S56" i="17"/>
  <c r="S10" i="17"/>
  <c r="P8" i="9"/>
  <c r="P8" i="5"/>
  <c r="S67" i="17"/>
  <c r="S46" i="13"/>
  <c r="P40" i="17"/>
  <c r="P10" i="17"/>
  <c r="P41" i="13"/>
  <c r="N29" i="11"/>
  <c r="N37" i="10"/>
  <c r="P46" i="17"/>
  <c r="P35" i="13"/>
  <c r="N29" i="10"/>
  <c r="P53" i="17"/>
  <c r="P56" i="17"/>
  <c r="P26" i="14"/>
  <c r="P36" i="13"/>
  <c r="N30" i="10"/>
  <c r="P44" i="17"/>
  <c r="P46" i="13"/>
  <c r="P39" i="17"/>
  <c r="P85" i="17"/>
  <c r="P22" i="14"/>
  <c r="P64" i="17"/>
  <c r="P22" i="17"/>
  <c r="P25" i="18"/>
  <c r="P26" i="17"/>
  <c r="P16" i="14"/>
  <c r="P26" i="13"/>
  <c r="P15" i="14"/>
  <c r="P19" i="17"/>
  <c r="H33" i="14"/>
  <c r="H11" i="13"/>
  <c r="H15" i="3"/>
  <c r="H21" i="17"/>
  <c r="H49" i="13"/>
  <c r="H31" i="13"/>
  <c r="F25" i="10"/>
  <c r="H46" i="13"/>
  <c r="E9" i="9"/>
  <c r="E9" i="5"/>
  <c r="H75" i="17"/>
  <c r="H45" i="13"/>
  <c r="H19" i="3"/>
  <c r="H76" i="17"/>
  <c r="H48" i="17"/>
  <c r="H34" i="17"/>
  <c r="H26" i="14"/>
  <c r="H74" i="17"/>
  <c r="H21" i="14"/>
  <c r="H61" i="17"/>
  <c r="H30" i="17"/>
  <c r="H9" i="17"/>
  <c r="H15" i="18"/>
  <c r="H45" i="17"/>
  <c r="H47" i="13"/>
  <c r="H20" i="14"/>
  <c r="H36" i="13"/>
  <c r="F30" i="10"/>
  <c r="H28" i="14"/>
  <c r="H61" i="12"/>
  <c r="H60" i="12"/>
  <c r="H64" i="13"/>
  <c r="H62" i="13"/>
  <c r="H7" i="14"/>
  <c r="H18" i="14"/>
  <c r="H59" i="13"/>
  <c r="H60" i="13"/>
  <c r="H9" i="14"/>
  <c r="H8" i="14"/>
  <c r="H66" i="12"/>
  <c r="H58" i="13"/>
  <c r="H56" i="13"/>
  <c r="H61" i="13"/>
  <c r="H12" i="14"/>
  <c r="H76" i="12"/>
  <c r="H17" i="14"/>
  <c r="H65" i="13"/>
  <c r="F19" i="7"/>
  <c r="F50" i="11"/>
  <c r="F58" i="10"/>
  <c r="F18" i="4"/>
  <c r="F20" i="2"/>
  <c r="H27" i="14"/>
  <c r="H55" i="13"/>
  <c r="H88" i="12"/>
  <c r="V55" i="13"/>
  <c r="V87" i="12"/>
  <c r="V17" i="14"/>
  <c r="V35" i="14"/>
  <c r="V58" i="13"/>
  <c r="V34" i="14"/>
  <c r="V89" i="12"/>
  <c r="V63" i="13"/>
  <c r="V64" i="13"/>
  <c r="V56" i="13"/>
  <c r="V11" i="14"/>
  <c r="V62" i="13"/>
  <c r="V61" i="12"/>
  <c r="V7" i="14"/>
  <c r="V28" i="14"/>
  <c r="V62" i="12"/>
  <c r="V10" i="14"/>
  <c r="V8" i="14"/>
  <c r="V57" i="13"/>
  <c r="T18" i="7"/>
  <c r="T49" i="11"/>
  <c r="T57" i="10"/>
  <c r="V88" i="12"/>
  <c r="V9" i="14"/>
  <c r="V60" i="13"/>
  <c r="G59" i="13"/>
  <c r="G27" i="14"/>
  <c r="G56" i="13"/>
  <c r="G76" i="12"/>
  <c r="G88" i="12"/>
  <c r="G9" i="14"/>
  <c r="G10" i="14"/>
  <c r="G64" i="13"/>
  <c r="G12" i="14"/>
  <c r="G35" i="14"/>
  <c r="G58" i="13"/>
  <c r="G62" i="12"/>
  <c r="G65" i="13"/>
  <c r="E19" i="7"/>
  <c r="E50" i="11"/>
  <c r="E58" i="10"/>
  <c r="E18" i="4"/>
  <c r="E20" i="2"/>
  <c r="G63" i="13"/>
  <c r="G55" i="13"/>
  <c r="G66" i="12"/>
  <c r="G32" i="12"/>
  <c r="G8" i="14"/>
  <c r="G61" i="13"/>
  <c r="G57" i="13"/>
  <c r="E18" i="7"/>
  <c r="E49" i="11"/>
  <c r="E57" i="10"/>
  <c r="G18" i="14"/>
  <c r="G60" i="13"/>
  <c r="U61" i="12"/>
  <c r="U28" i="14"/>
  <c r="U57" i="13"/>
  <c r="S18" i="7"/>
  <c r="S49" i="11"/>
  <c r="S57" i="10"/>
  <c r="U58" i="13"/>
  <c r="U61" i="13"/>
  <c r="U60" i="13"/>
  <c r="U35" i="14"/>
  <c r="U11" i="14"/>
  <c r="U55" i="13"/>
  <c r="U86" i="17"/>
  <c r="U8" i="14"/>
  <c r="U67" i="12"/>
  <c r="U34" i="14"/>
  <c r="U89" i="12"/>
  <c r="U7" i="14"/>
  <c r="U65" i="13"/>
  <c r="S19" i="7"/>
  <c r="S50" i="11"/>
  <c r="S58" i="10"/>
  <c r="S18" i="4"/>
  <c r="S20" i="2"/>
  <c r="U80" i="12"/>
  <c r="U87" i="12"/>
  <c r="U62" i="13"/>
  <c r="U10" i="14"/>
  <c r="U59" i="13"/>
  <c r="U34" i="12"/>
  <c r="K23" i="17"/>
  <c r="K34" i="17"/>
  <c r="K33" i="13"/>
  <c r="I27" i="10"/>
  <c r="K10" i="17"/>
  <c r="K48" i="13"/>
  <c r="K18" i="17"/>
  <c r="K32" i="17"/>
  <c r="K16" i="14"/>
  <c r="K50" i="13"/>
  <c r="K11" i="18"/>
  <c r="K83" i="17"/>
  <c r="K69" i="17"/>
  <c r="K30" i="17"/>
  <c r="K32" i="14"/>
  <c r="K47" i="17"/>
  <c r="K11" i="17"/>
  <c r="K36" i="13"/>
  <c r="I30" i="10"/>
  <c r="K23" i="13"/>
  <c r="K26" i="14"/>
  <c r="K49" i="17"/>
  <c r="K84" i="12"/>
  <c r="K77" i="17"/>
  <c r="U63" i="17"/>
  <c r="U49" i="17"/>
  <c r="U24" i="13"/>
  <c r="U22" i="17"/>
  <c r="U16" i="14"/>
  <c r="U10" i="17"/>
  <c r="U44" i="13"/>
  <c r="U40" i="17"/>
  <c r="U17" i="3"/>
  <c r="U51" i="17"/>
  <c r="U90" i="12"/>
  <c r="U41" i="13"/>
  <c r="S29" i="11"/>
  <c r="S37" i="10"/>
  <c r="U9" i="17"/>
  <c r="U25" i="17"/>
  <c r="U20" i="17"/>
  <c r="U31" i="13"/>
  <c r="S25" i="10"/>
  <c r="U15" i="14"/>
  <c r="U49" i="13"/>
  <c r="U25" i="14"/>
  <c r="U32" i="14"/>
  <c r="U29" i="17"/>
  <c r="U56" i="17"/>
  <c r="U42" i="17"/>
  <c r="R27" i="14"/>
  <c r="R7" i="14"/>
  <c r="R9" i="14"/>
  <c r="R79" i="12"/>
  <c r="R88" i="12"/>
  <c r="R65" i="13"/>
  <c r="P19" i="7"/>
  <c r="P50" i="11"/>
  <c r="P58" i="10"/>
  <c r="P18" i="4"/>
  <c r="P20" i="2"/>
  <c r="R63" i="12"/>
  <c r="R62" i="13"/>
  <c r="R60" i="13"/>
  <c r="R57" i="13"/>
  <c r="P18" i="7"/>
  <c r="P49" i="11"/>
  <c r="P57" i="10"/>
  <c r="R66" i="12"/>
  <c r="R12" i="14"/>
  <c r="R17" i="14"/>
  <c r="R61" i="13"/>
  <c r="R55" i="13"/>
  <c r="R11" i="14"/>
  <c r="R58" i="13"/>
  <c r="R56" i="13"/>
  <c r="R8" i="14"/>
  <c r="R87" i="12"/>
  <c r="R35" i="14"/>
  <c r="R64" i="13"/>
  <c r="O20" i="14"/>
  <c r="O64" i="17"/>
  <c r="O28" i="17"/>
  <c r="O41" i="18"/>
  <c r="O17" i="13"/>
  <c r="O32" i="13"/>
  <c r="M26" i="10"/>
  <c r="O22" i="17"/>
  <c r="O30" i="17"/>
  <c r="O44" i="17"/>
  <c r="O46" i="13"/>
  <c r="O48" i="13"/>
  <c r="O25" i="14"/>
  <c r="O57" i="17"/>
  <c r="O15" i="14"/>
  <c r="O53" i="17"/>
  <c r="O50" i="13"/>
  <c r="O85" i="17"/>
  <c r="O10" i="17"/>
  <c r="O12" i="13"/>
  <c r="O32" i="14"/>
  <c r="O47" i="13"/>
  <c r="O12" i="17"/>
  <c r="Q53" i="17"/>
  <c r="Q59" i="17"/>
  <c r="Q12" i="17"/>
  <c r="Q10" i="17"/>
  <c r="Q48" i="13"/>
  <c r="Q46" i="13"/>
  <c r="Q45" i="13"/>
  <c r="Q46" i="17"/>
  <c r="Q48" i="17"/>
  <c r="Q10" i="13"/>
  <c r="Q44" i="13"/>
  <c r="Q35" i="13"/>
  <c r="O29" i="10"/>
  <c r="Q33" i="17"/>
  <c r="Q60" i="17"/>
  <c r="Q20" i="17"/>
  <c r="Q44" i="17"/>
  <c r="Q24" i="17"/>
  <c r="Q47" i="13"/>
  <c r="Q42" i="17"/>
  <c r="Q21" i="14"/>
  <c r="Q25" i="14"/>
  <c r="Q29" i="17"/>
  <c r="J27" i="13"/>
  <c r="J16" i="13"/>
  <c r="H18" i="10"/>
  <c r="H10" i="10"/>
  <c r="J19" i="13"/>
  <c r="H62" i="10"/>
  <c r="H32" i="4"/>
  <c r="H16" i="2"/>
  <c r="H7" i="10"/>
  <c r="H15" i="10"/>
  <c r="H17" i="10"/>
  <c r="J37" i="13"/>
  <c r="H23" i="10"/>
  <c r="H46" i="4"/>
  <c r="H21" i="10"/>
  <c r="H11" i="10"/>
  <c r="H14" i="2"/>
  <c r="J51" i="13"/>
  <c r="H38" i="11"/>
  <c r="H46" i="10"/>
  <c r="H53" i="4"/>
  <c r="H18" i="2"/>
  <c r="H14" i="10"/>
  <c r="H9" i="10"/>
  <c r="H65" i="10"/>
  <c r="H25" i="4"/>
  <c r="H20" i="10"/>
  <c r="H8" i="10"/>
  <c r="H19" i="10"/>
  <c r="H64" i="10"/>
  <c r="H13" i="10"/>
  <c r="H22" i="10"/>
  <c r="H6" i="10"/>
  <c r="H11" i="4"/>
  <c r="H12" i="2"/>
  <c r="H6" i="15"/>
  <c r="H12" i="10"/>
  <c r="O62" i="13"/>
  <c r="O18" i="14"/>
  <c r="O87" i="12"/>
  <c r="O7" i="14"/>
  <c r="O27" i="14"/>
  <c r="O57" i="13"/>
  <c r="M18" i="7"/>
  <c r="M49" i="11"/>
  <c r="M57" i="10"/>
  <c r="O8" i="14"/>
  <c r="O28" i="14"/>
  <c r="O12" i="14"/>
  <c r="O55" i="13"/>
  <c r="O9" i="14"/>
  <c r="O67" i="12"/>
  <c r="O76" i="12"/>
  <c r="O63" i="13"/>
  <c r="O61" i="13"/>
  <c r="O56" i="13"/>
  <c r="O60" i="13"/>
  <c r="O60" i="12"/>
  <c r="O61" i="12"/>
  <c r="O10" i="14"/>
  <c r="O59" i="13"/>
  <c r="O34" i="14"/>
  <c r="AA50" i="13"/>
  <c r="AA55" i="17"/>
  <c r="AA84" i="12"/>
  <c r="AA33" i="13"/>
  <c r="Y27" i="10"/>
  <c r="AA36" i="13"/>
  <c r="Y30" i="10"/>
  <c r="AA23" i="13"/>
  <c r="AA25" i="14"/>
  <c r="AA18" i="3"/>
  <c r="AA66" i="17"/>
  <c r="AA50" i="17"/>
  <c r="AA48" i="13"/>
  <c r="AA20" i="14"/>
  <c r="AA23" i="17"/>
  <c r="AA48" i="17"/>
  <c r="AA34" i="17"/>
  <c r="AA7" i="17"/>
  <c r="AA47" i="17"/>
  <c r="AA30" i="17"/>
  <c r="AA32" i="14"/>
  <c r="AA62" i="17"/>
  <c r="AA11" i="17"/>
  <c r="AA18" i="17"/>
  <c r="AA32" i="17"/>
  <c r="R34" i="13"/>
  <c r="P28" i="10"/>
  <c r="R16" i="14"/>
  <c r="R71" i="18"/>
  <c r="R38" i="17"/>
  <c r="R63" i="17"/>
  <c r="R42" i="17"/>
  <c r="R85" i="12"/>
  <c r="R24" i="13"/>
  <c r="R33" i="17"/>
  <c r="R33" i="13"/>
  <c r="P27" i="10"/>
  <c r="R60" i="17"/>
  <c r="R49" i="17"/>
  <c r="R15" i="14"/>
  <c r="R21" i="14"/>
  <c r="R20" i="17"/>
  <c r="R17" i="13"/>
  <c r="R26" i="14"/>
  <c r="R22" i="14"/>
  <c r="R46" i="17"/>
  <c r="R44" i="13"/>
  <c r="R19" i="17"/>
  <c r="R8" i="17"/>
  <c r="D9" i="3"/>
  <c r="D54" i="13"/>
  <c r="D10" i="3"/>
  <c r="I11" i="10"/>
  <c r="I14" i="2"/>
  <c r="K19" i="13"/>
  <c r="I62" i="10"/>
  <c r="I32" i="4"/>
  <c r="I16" i="2"/>
  <c r="I6" i="10"/>
  <c r="I11" i="4"/>
  <c r="I12" i="2"/>
  <c r="I6" i="15"/>
  <c r="I12" i="10"/>
  <c r="I20" i="10"/>
  <c r="I8" i="10"/>
  <c r="I15" i="10"/>
  <c r="K37" i="13"/>
  <c r="I23" i="10"/>
  <c r="I46" i="4"/>
  <c r="I64" i="10"/>
  <c r="I19" i="10"/>
  <c r="I13" i="10"/>
  <c r="K27" i="13"/>
  <c r="K16" i="13"/>
  <c r="I18" i="10"/>
  <c r="I22" i="10"/>
  <c r="I9" i="10"/>
  <c r="K51" i="13"/>
  <c r="I38" i="11"/>
  <c r="I46" i="10"/>
  <c r="I53" i="4"/>
  <c r="I18" i="2"/>
  <c r="I7" i="10"/>
  <c r="I14" i="10"/>
  <c r="I17" i="10"/>
  <c r="I65" i="10"/>
  <c r="I25" i="4"/>
  <c r="I10" i="10"/>
  <c r="I21" i="10"/>
  <c r="K21" i="10"/>
  <c r="K65" i="10"/>
  <c r="K25" i="4"/>
  <c r="K22" i="10"/>
  <c r="M51" i="13"/>
  <c r="K38" i="11"/>
  <c r="K46" i="10"/>
  <c r="K53" i="4"/>
  <c r="K18" i="2"/>
  <c r="M27" i="13"/>
  <c r="M16" i="13"/>
  <c r="K18" i="10"/>
  <c r="K8" i="10"/>
  <c r="M19" i="13"/>
  <c r="K62" i="10"/>
  <c r="K32" i="4"/>
  <c r="K16" i="2"/>
  <c r="M37" i="13"/>
  <c r="K23" i="10"/>
  <c r="K46" i="4"/>
  <c r="K64" i="10"/>
  <c r="K6" i="10"/>
  <c r="K11" i="4"/>
  <c r="K12" i="2"/>
  <c r="K6" i="15"/>
  <c r="K12" i="10"/>
  <c r="K7" i="10"/>
  <c r="K13" i="10"/>
  <c r="K9" i="10"/>
  <c r="K20" i="10"/>
  <c r="K14" i="10"/>
  <c r="K19" i="10"/>
  <c r="K15" i="10"/>
  <c r="K17" i="10"/>
  <c r="K10" i="10"/>
  <c r="K11" i="10"/>
  <c r="K14" i="2"/>
  <c r="G17" i="3"/>
  <c r="G51" i="17"/>
  <c r="G74" i="17"/>
  <c r="G36" i="13"/>
  <c r="E30" i="10"/>
  <c r="G20" i="14"/>
  <c r="G58" i="17"/>
  <c r="G11" i="17"/>
  <c r="G42" i="13"/>
  <c r="E30" i="11"/>
  <c r="E38" i="10"/>
  <c r="G38" i="17"/>
  <c r="G18" i="3"/>
  <c r="G66" i="17"/>
  <c r="G22" i="17"/>
  <c r="G8" i="17"/>
  <c r="G14" i="13"/>
  <c r="G20" i="17"/>
  <c r="G47" i="13"/>
  <c r="G18" i="17"/>
  <c r="G40" i="17"/>
  <c r="G25" i="14"/>
  <c r="G26" i="14"/>
  <c r="G34" i="17"/>
  <c r="G34" i="13"/>
  <c r="E28" i="10"/>
  <c r="G32" i="14"/>
  <c r="G23" i="17"/>
  <c r="J68" i="17"/>
  <c r="J43" i="17"/>
  <c r="J25" i="14"/>
  <c r="J23" i="17"/>
  <c r="J44" i="13"/>
  <c r="J25" i="17"/>
  <c r="J47" i="13"/>
  <c r="J12" i="17"/>
  <c r="J45" i="13"/>
  <c r="J9" i="13"/>
  <c r="J27" i="17"/>
  <c r="J19" i="17"/>
  <c r="J32" i="17"/>
  <c r="J16" i="14"/>
  <c r="J7" i="17"/>
  <c r="J57" i="17"/>
  <c r="J28" i="17"/>
  <c r="J9" i="17"/>
  <c r="J11" i="17"/>
  <c r="J62" i="17"/>
  <c r="J34" i="13"/>
  <c r="H28" i="10"/>
  <c r="J54" i="17"/>
  <c r="C55" i="17"/>
  <c r="C19" i="17"/>
  <c r="C21" i="14"/>
  <c r="C27" i="17"/>
  <c r="C18" i="17"/>
  <c r="C22" i="14"/>
  <c r="C55" i="18"/>
  <c r="C12" i="17"/>
  <c r="C11" i="17"/>
  <c r="C10" i="17"/>
  <c r="C26" i="13"/>
  <c r="C10" i="18"/>
  <c r="C22" i="18"/>
  <c r="C29" i="18"/>
  <c r="C67" i="17"/>
  <c r="C88" i="17"/>
  <c r="C46" i="13"/>
  <c r="C56" i="17"/>
  <c r="C31" i="17"/>
  <c r="C26" i="17"/>
  <c r="C33" i="17"/>
  <c r="C16" i="14"/>
  <c r="M41" i="13"/>
  <c r="K29" i="11"/>
  <c r="K37" i="10"/>
  <c r="M68" i="17"/>
  <c r="M54" i="17"/>
  <c r="M32" i="14"/>
  <c r="M24" i="17"/>
  <c r="M31" i="13"/>
  <c r="K25" i="10"/>
  <c r="M34" i="13"/>
  <c r="K28" i="10"/>
  <c r="M46" i="13"/>
  <c r="M47" i="17"/>
  <c r="M46" i="17"/>
  <c r="M48" i="13"/>
  <c r="M14" i="13"/>
  <c r="M82" i="12"/>
  <c r="M57" i="17"/>
  <c r="M50" i="13"/>
  <c r="M22" i="14"/>
  <c r="M9" i="17"/>
  <c r="M28" i="17"/>
  <c r="M15" i="3"/>
  <c r="M21" i="17"/>
  <c r="M61" i="17"/>
  <c r="M33" i="14"/>
  <c r="M49" i="13"/>
  <c r="T35" i="13"/>
  <c r="R29" i="10"/>
  <c r="T83" i="12"/>
  <c r="T48" i="17"/>
  <c r="T15" i="13"/>
  <c r="T33" i="17"/>
  <c r="T32" i="13"/>
  <c r="R26" i="10"/>
  <c r="T25" i="14"/>
  <c r="T50" i="13"/>
  <c r="T56" i="17"/>
  <c r="T49" i="17"/>
  <c r="T8" i="17"/>
  <c r="T12" i="18"/>
  <c r="Q8" i="9"/>
  <c r="Q8" i="5"/>
  <c r="T67" i="17"/>
  <c r="T21" i="14"/>
  <c r="T31" i="17"/>
  <c r="T46" i="17"/>
  <c r="T10" i="17"/>
  <c r="T29" i="17"/>
  <c r="T24" i="17"/>
  <c r="T18" i="17"/>
  <c r="T49" i="13"/>
  <c r="T42" i="13"/>
  <c r="R30" i="11"/>
  <c r="R38" i="10"/>
  <c r="D50" i="13"/>
  <c r="D8" i="17"/>
  <c r="D24" i="17"/>
  <c r="D26" i="17"/>
  <c r="D21" i="14"/>
  <c r="D63" i="17"/>
  <c r="D18" i="17"/>
  <c r="D22" i="14"/>
  <c r="D67" i="17"/>
  <c r="D56" i="18"/>
  <c r="D56" i="17"/>
  <c r="D31" i="17"/>
  <c r="D55" i="17"/>
  <c r="D45" i="17"/>
  <c r="D19" i="18"/>
  <c r="D29" i="17"/>
  <c r="D10" i="18"/>
  <c r="D42" i="17"/>
  <c r="D88" i="17"/>
  <c r="D33" i="17"/>
  <c r="D32" i="13"/>
  <c r="D55" i="18"/>
  <c r="E8" i="17"/>
  <c r="E20" i="14"/>
  <c r="E49" i="13"/>
  <c r="E32" i="14"/>
  <c r="E62" i="17"/>
  <c r="E24" i="13"/>
  <c r="E59" i="17"/>
  <c r="E40" i="17"/>
  <c r="E15" i="14"/>
  <c r="E90" i="12"/>
  <c r="E44" i="13"/>
  <c r="E22" i="17"/>
  <c r="E17" i="3"/>
  <c r="E51" i="17"/>
  <c r="E24" i="17"/>
  <c r="E42" i="17"/>
  <c r="E25" i="17"/>
  <c r="E22" i="14"/>
  <c r="E41" i="13"/>
  <c r="C29" i="11"/>
  <c r="C37" i="10"/>
  <c r="E7" i="17"/>
  <c r="E38" i="17"/>
  <c r="E9" i="17"/>
  <c r="E31" i="13"/>
  <c r="C25" i="10"/>
  <c r="J13" i="10"/>
  <c r="J10" i="10"/>
  <c r="J6" i="10"/>
  <c r="J11" i="4"/>
  <c r="J12" i="2"/>
  <c r="J6" i="15"/>
  <c r="J15" i="10"/>
  <c r="J9" i="10"/>
  <c r="J21" i="10"/>
  <c r="J22" i="10"/>
  <c r="J14" i="10"/>
  <c r="L27" i="13"/>
  <c r="L16" i="13"/>
  <c r="J18" i="10"/>
  <c r="J20" i="10"/>
  <c r="J64" i="10"/>
  <c r="L51" i="13"/>
  <c r="J38" i="11"/>
  <c r="J46" i="10"/>
  <c r="J53" i="4"/>
  <c r="J18" i="2"/>
  <c r="J7" i="10"/>
  <c r="J17" i="10"/>
  <c r="L19" i="13"/>
  <c r="J62" i="10"/>
  <c r="J32" i="4"/>
  <c r="J16" i="2"/>
  <c r="J11" i="10"/>
  <c r="J14" i="2"/>
  <c r="J12" i="10"/>
  <c r="L37" i="13"/>
  <c r="J23" i="10"/>
  <c r="J46" i="4"/>
  <c r="J8" i="10"/>
  <c r="J65" i="10"/>
  <c r="J25" i="4"/>
  <c r="J19" i="10"/>
  <c r="V18" i="3"/>
  <c r="V66" i="17"/>
  <c r="V85" i="17"/>
  <c r="V11" i="17"/>
  <c r="V13" i="13"/>
  <c r="V49" i="13"/>
  <c r="V31" i="17"/>
  <c r="V63" i="17"/>
  <c r="V50" i="13"/>
  <c r="V32" i="17"/>
  <c r="V48" i="13"/>
  <c r="V27" i="17"/>
  <c r="V29" i="17"/>
  <c r="V33" i="13"/>
  <c r="T27" i="10"/>
  <c r="V22" i="17"/>
  <c r="V81" i="12"/>
  <c r="V26" i="14"/>
  <c r="V38" i="17"/>
  <c r="V18" i="13"/>
  <c r="V21" i="14"/>
  <c r="V25" i="14"/>
  <c r="V20" i="17"/>
  <c r="V33" i="14"/>
  <c r="X36" i="13"/>
  <c r="V30" i="10"/>
  <c r="X59" i="17"/>
  <c r="X48" i="13"/>
  <c r="X22" i="14"/>
  <c r="X11" i="13"/>
  <c r="X47" i="17"/>
  <c r="X33" i="14"/>
  <c r="X48" i="17"/>
  <c r="X47" i="13"/>
  <c r="X18" i="17"/>
  <c r="X27" i="17"/>
  <c r="X49" i="13"/>
  <c r="X32" i="14"/>
  <c r="X31" i="13"/>
  <c r="V25" i="10"/>
  <c r="X17" i="3"/>
  <c r="X51" i="17"/>
  <c r="X11" i="17"/>
  <c r="X29" i="17"/>
  <c r="X46" i="13"/>
  <c r="X25" i="17"/>
  <c r="X16" i="14"/>
  <c r="X15" i="14"/>
  <c r="X20" i="14"/>
  <c r="Z43" i="17"/>
  <c r="Z25" i="17"/>
  <c r="Z28" i="17"/>
  <c r="Z16" i="18"/>
  <c r="Z22" i="14"/>
  <c r="Z15" i="14"/>
  <c r="Z45" i="17"/>
  <c r="Z11" i="17"/>
  <c r="Z44" i="13"/>
  <c r="Z12" i="17"/>
  <c r="Z9" i="17"/>
  <c r="Z23" i="17"/>
  <c r="Z9" i="13"/>
  <c r="Z32" i="17"/>
  <c r="Z34" i="13"/>
  <c r="X28" i="10"/>
  <c r="Z45" i="13"/>
  <c r="Z7" i="17"/>
  <c r="Z47" i="13"/>
  <c r="Z55" i="17"/>
  <c r="Z12" i="18"/>
  <c r="Z27" i="17"/>
  <c r="Z19" i="17"/>
  <c r="L19" i="18"/>
  <c r="L47" i="17"/>
  <c r="L77" i="17"/>
  <c r="L54" i="17"/>
  <c r="L48" i="18"/>
  <c r="L15" i="3"/>
  <c r="L21" i="17"/>
  <c r="L62" i="17"/>
  <c r="L70" i="17"/>
  <c r="L11" i="18"/>
  <c r="L72" i="17"/>
  <c r="L29" i="18"/>
  <c r="L39" i="17"/>
  <c r="L7" i="17"/>
  <c r="L32" i="17"/>
  <c r="L71" i="17"/>
  <c r="L27" i="17"/>
  <c r="L16" i="14"/>
  <c r="L18" i="17"/>
  <c r="L83" i="17"/>
  <c r="L45" i="17"/>
  <c r="L33" i="14"/>
  <c r="L34" i="17"/>
  <c r="W42" i="13"/>
  <c r="U30" i="11"/>
  <c r="U38" i="10"/>
  <c r="W29" i="17"/>
  <c r="W63" i="17"/>
  <c r="W16" i="14"/>
  <c r="W21" i="14"/>
  <c r="W34" i="17"/>
  <c r="W20" i="14"/>
  <c r="W23" i="17"/>
  <c r="W7" i="17"/>
  <c r="W18" i="17"/>
  <c r="W11" i="17"/>
  <c r="W20" i="17"/>
  <c r="W32" i="14"/>
  <c r="W36" i="13"/>
  <c r="U30" i="10"/>
  <c r="W34" i="13"/>
  <c r="U28" i="10"/>
  <c r="W27" i="17"/>
  <c r="W25" i="18"/>
  <c r="W47" i="13"/>
  <c r="W59" i="17"/>
  <c r="W33" i="14"/>
  <c r="W18" i="18"/>
  <c r="W14" i="13"/>
  <c r="N33" i="14"/>
  <c r="N83" i="17"/>
  <c r="N35" i="13"/>
  <c r="L29" i="10"/>
  <c r="N23" i="13"/>
  <c r="N23" i="17"/>
  <c r="N12" i="17"/>
  <c r="N7" i="17"/>
  <c r="N8" i="18"/>
  <c r="N60" i="17"/>
  <c r="N9" i="17"/>
  <c r="N22" i="14"/>
  <c r="N20" i="14"/>
  <c r="N15" i="3"/>
  <c r="N21" i="17"/>
  <c r="N8" i="17"/>
  <c r="N15" i="13"/>
  <c r="N42" i="17"/>
  <c r="N68" i="17"/>
  <c r="N19" i="17"/>
  <c r="N48" i="13"/>
  <c r="N30" i="17"/>
  <c r="N32" i="14"/>
  <c r="N21" i="14"/>
  <c r="I26" i="14"/>
  <c r="I63" i="18"/>
  <c r="I62" i="18"/>
  <c r="I21" i="14"/>
  <c r="I43" i="17"/>
  <c r="I39" i="17"/>
  <c r="I29" i="17"/>
  <c r="I55" i="17"/>
  <c r="I18" i="3"/>
  <c r="I66" i="17"/>
  <c r="I27" i="17"/>
  <c r="I11" i="17"/>
  <c r="I72" i="17"/>
  <c r="I42" i="18"/>
  <c r="I45" i="17"/>
  <c r="I13" i="18"/>
  <c r="I22" i="18"/>
  <c r="I48" i="17"/>
  <c r="I22" i="17"/>
  <c r="I8" i="18"/>
  <c r="I58" i="17"/>
  <c r="I15" i="18"/>
  <c r="I59" i="17"/>
  <c r="Q23" i="17"/>
  <c r="Q19" i="17"/>
  <c r="Q15" i="14"/>
  <c r="Q83" i="17"/>
  <c r="Q65" i="17"/>
  <c r="N9" i="9"/>
  <c r="N9" i="5"/>
  <c r="Q75" i="17"/>
  <c r="Q72" i="17"/>
  <c r="Q86" i="18"/>
  <c r="Q39" i="17"/>
  <c r="Q15" i="18"/>
  <c r="Q74" i="17"/>
  <c r="Q47" i="17"/>
  <c r="Q15" i="3"/>
  <c r="Q21" i="17"/>
  <c r="Q7" i="17"/>
  <c r="Q43" i="18"/>
  <c r="Q64" i="17"/>
  <c r="Q84" i="17"/>
  <c r="Q57" i="17"/>
  <c r="Q30" i="17"/>
  <c r="Q50" i="17"/>
  <c r="Q69" i="17"/>
  <c r="Q22" i="18"/>
  <c r="O32" i="17"/>
  <c r="O17" i="18"/>
  <c r="O74" i="17"/>
  <c r="O39" i="17"/>
  <c r="O58" i="17"/>
  <c r="O7" i="17"/>
  <c r="O68" i="17"/>
  <c r="O77" i="17"/>
  <c r="O69" i="17"/>
  <c r="O61" i="17"/>
  <c r="O9" i="17"/>
  <c r="O71" i="17"/>
  <c r="O49" i="13"/>
  <c r="O23" i="17"/>
  <c r="O19" i="3"/>
  <c r="O76" i="17"/>
  <c r="O25" i="17"/>
  <c r="L9" i="9"/>
  <c r="L9" i="5"/>
  <c r="O75" i="17"/>
  <c r="O65" i="17"/>
  <c r="O73" i="17"/>
  <c r="O89" i="18"/>
  <c r="O8" i="18"/>
  <c r="O15" i="3"/>
  <c r="O21" i="17"/>
  <c r="M76" i="18"/>
  <c r="M11" i="17"/>
  <c r="M19" i="18"/>
  <c r="M62" i="17"/>
  <c r="M69" i="17"/>
  <c r="M18" i="17"/>
  <c r="M25" i="17"/>
  <c r="J9" i="9"/>
  <c r="J9" i="5"/>
  <c r="M75" i="17"/>
  <c r="M77" i="17"/>
  <c r="M45" i="17"/>
  <c r="M17" i="3"/>
  <c r="M51" i="17"/>
  <c r="M20" i="14"/>
  <c r="M48" i="18"/>
  <c r="M27" i="17"/>
  <c r="M23" i="17"/>
  <c r="M43" i="17"/>
  <c r="M34" i="17"/>
  <c r="M71" i="17"/>
  <c r="M11" i="18"/>
  <c r="M7" i="17"/>
  <c r="M19" i="3"/>
  <c r="M76" i="17"/>
  <c r="M73" i="17"/>
  <c r="S31" i="18"/>
  <c r="S46" i="17"/>
  <c r="S8" i="17"/>
  <c r="S71" i="18"/>
  <c r="S86" i="18"/>
  <c r="S11" i="18"/>
  <c r="S57" i="17"/>
  <c r="S29" i="18"/>
  <c r="S54" i="17"/>
  <c r="S15" i="18"/>
  <c r="S15" i="3"/>
  <c r="S21" i="17"/>
  <c r="S19" i="17"/>
  <c r="S28" i="17"/>
  <c r="S65" i="17"/>
  <c r="S33" i="17"/>
  <c r="S84" i="17"/>
  <c r="S60" i="17"/>
  <c r="S77" i="17"/>
  <c r="S26" i="14"/>
  <c r="S64" i="17"/>
  <c r="S61" i="17"/>
  <c r="S39" i="17"/>
  <c r="H13" i="18"/>
  <c r="H72" i="17"/>
  <c r="H64" i="18"/>
  <c r="H63" i="17"/>
  <c r="H63" i="18"/>
  <c r="H42" i="17"/>
  <c r="H31" i="17"/>
  <c r="H43" i="17"/>
  <c r="H24" i="17"/>
  <c r="H38" i="17"/>
  <c r="H40" i="17"/>
  <c r="H16" i="14"/>
  <c r="H18" i="3"/>
  <c r="H66" i="17"/>
  <c r="H59" i="17"/>
  <c r="H11" i="17"/>
  <c r="H20" i="17"/>
  <c r="H50" i="17"/>
  <c r="H22" i="17"/>
  <c r="H8" i="17"/>
  <c r="H48" i="13"/>
  <c r="H17" i="3"/>
  <c r="H51" i="17"/>
  <c r="H58" i="17"/>
  <c r="K21" i="14"/>
  <c r="K27" i="17"/>
  <c r="K65" i="17"/>
  <c r="K22" i="14"/>
  <c r="K73" i="17"/>
  <c r="K18" i="3"/>
  <c r="K66" i="17"/>
  <c r="K50" i="17"/>
  <c r="K71" i="17"/>
  <c r="K25" i="17"/>
  <c r="H9" i="9"/>
  <c r="H9" i="5"/>
  <c r="K75" i="17"/>
  <c r="K38" i="17"/>
  <c r="K55" i="17"/>
  <c r="K29" i="17"/>
  <c r="K43" i="17"/>
  <c r="K70" i="17"/>
  <c r="K62" i="17"/>
  <c r="K45" i="17"/>
  <c r="K88" i="17"/>
  <c r="K9" i="17"/>
  <c r="K48" i="17"/>
  <c r="K20" i="17"/>
  <c r="K29" i="18"/>
  <c r="N17" i="18"/>
  <c r="N61" i="17"/>
  <c r="N62" i="17"/>
  <c r="N34" i="17"/>
  <c r="N19" i="3"/>
  <c r="N76" i="17"/>
  <c r="N19" i="18"/>
  <c r="N74" i="17"/>
  <c r="N69" i="17"/>
  <c r="N26" i="18"/>
  <c r="N54" i="17"/>
  <c r="N58" i="17"/>
  <c r="K9" i="9"/>
  <c r="K9" i="5"/>
  <c r="N75" i="17"/>
  <c r="N11" i="18"/>
  <c r="N32" i="17"/>
  <c r="N25" i="17"/>
  <c r="N50" i="17"/>
  <c r="N43" i="17"/>
  <c r="N70" i="17"/>
  <c r="N17" i="3"/>
  <c r="N51" i="17"/>
  <c r="N45" i="17"/>
  <c r="N18" i="17"/>
  <c r="N26" i="14"/>
  <c r="F26" i="17"/>
  <c r="F26" i="18"/>
  <c r="F72" i="17"/>
  <c r="C8" i="9"/>
  <c r="C8" i="5"/>
  <c r="F67" i="17"/>
  <c r="F42" i="17"/>
  <c r="F33" i="17"/>
  <c r="F10" i="17"/>
  <c r="F22" i="17"/>
  <c r="F27" i="17"/>
  <c r="F63" i="17"/>
  <c r="F24" i="17"/>
  <c r="F59" i="17"/>
  <c r="F62" i="17"/>
  <c r="F17" i="18"/>
  <c r="F40" i="17"/>
  <c r="F44" i="17"/>
  <c r="F56" i="18"/>
  <c r="F46" i="17"/>
  <c r="F62" i="18"/>
  <c r="F50" i="13"/>
  <c r="F56" i="17"/>
  <c r="F10" i="18"/>
  <c r="R21" i="18"/>
  <c r="R28" i="17"/>
  <c r="R54" i="17"/>
  <c r="R25" i="14"/>
  <c r="R57" i="17"/>
  <c r="R69" i="17"/>
  <c r="R19" i="3"/>
  <c r="R76" i="17"/>
  <c r="R83" i="17"/>
  <c r="R26" i="17"/>
  <c r="R15" i="3"/>
  <c r="R21" i="17"/>
  <c r="R84" i="17"/>
  <c r="R64" i="17"/>
  <c r="R65" i="17"/>
  <c r="R10" i="17"/>
  <c r="R47" i="17"/>
  <c r="R53" i="17"/>
  <c r="R89" i="18"/>
  <c r="R70" i="17"/>
  <c r="R39" i="17"/>
  <c r="R44" i="17"/>
  <c r="R30" i="17"/>
  <c r="R15" i="18"/>
  <c r="Q27" i="13"/>
  <c r="Q16" i="13"/>
  <c r="O18" i="10"/>
  <c r="O7" i="10"/>
  <c r="Q51" i="13"/>
  <c r="O38" i="11"/>
  <c r="O46" i="10"/>
  <c r="O53" i="4"/>
  <c r="O18" i="2"/>
  <c r="Q19" i="13"/>
  <c r="O62" i="10"/>
  <c r="O32" i="4"/>
  <c r="O16" i="2"/>
  <c r="O19" i="10"/>
  <c r="O12" i="10"/>
  <c r="O8" i="10"/>
  <c r="O14" i="10"/>
  <c r="Q37" i="13"/>
  <c r="O23" i="10"/>
  <c r="O46" i="4"/>
  <c r="O13" i="10"/>
  <c r="O22" i="10"/>
  <c r="O10" i="10"/>
  <c r="O9" i="10"/>
  <c r="O17" i="10"/>
  <c r="O6" i="10"/>
  <c r="O11" i="4"/>
  <c r="O12" i="2"/>
  <c r="O6" i="15"/>
  <c r="O64" i="10"/>
  <c r="O20" i="10"/>
  <c r="O65" i="10"/>
  <c r="O25" i="4"/>
  <c r="O15" i="10"/>
  <c r="O11" i="10"/>
  <c r="O14" i="2"/>
  <c r="O21" i="10"/>
  <c r="J74" i="17"/>
  <c r="J38" i="17"/>
  <c r="J72" i="17"/>
  <c r="J59" i="17"/>
  <c r="J13" i="18"/>
  <c r="J18" i="17"/>
  <c r="J40" i="17"/>
  <c r="J45" i="17"/>
  <c r="J18" i="3"/>
  <c r="J66" i="17"/>
  <c r="J65" i="18"/>
  <c r="J29" i="17"/>
  <c r="J70" i="17"/>
  <c r="J55" i="17"/>
  <c r="J64" i="18"/>
  <c r="J20" i="17"/>
  <c r="J34" i="17"/>
  <c r="J33" i="14"/>
  <c r="J48" i="17"/>
  <c r="J22" i="17"/>
  <c r="J73" i="17"/>
  <c r="J71" i="17"/>
  <c r="J58" i="17"/>
  <c r="U33" i="14"/>
  <c r="U84" i="17"/>
  <c r="R9" i="9"/>
  <c r="R9" i="5"/>
  <c r="U75" i="17"/>
  <c r="U61" i="17"/>
  <c r="U8" i="17"/>
  <c r="U77" i="17"/>
  <c r="R8" i="9"/>
  <c r="R8" i="5"/>
  <c r="U67" i="17"/>
  <c r="U62" i="17"/>
  <c r="U26" i="17"/>
  <c r="U31" i="17"/>
  <c r="U46" i="17"/>
  <c r="U68" i="17"/>
  <c r="U44" i="17"/>
  <c r="U60" i="17"/>
  <c r="U8" i="18"/>
  <c r="U19" i="17"/>
  <c r="U33" i="17"/>
  <c r="U24" i="17"/>
  <c r="U12" i="18"/>
  <c r="U35" i="18"/>
  <c r="U53" i="17"/>
  <c r="U12" i="17"/>
  <c r="X85" i="17"/>
  <c r="X40" i="17"/>
  <c r="X8" i="18"/>
  <c r="X64" i="17"/>
  <c r="X38" i="17"/>
  <c r="X56" i="17"/>
  <c r="X20" i="17"/>
  <c r="X63" i="17"/>
  <c r="X42" i="17"/>
  <c r="X84" i="17"/>
  <c r="X33" i="17"/>
  <c r="X31" i="17"/>
  <c r="X60" i="17"/>
  <c r="X83" i="17"/>
  <c r="X74" i="18"/>
  <c r="U8" i="9"/>
  <c r="U8" i="5"/>
  <c r="X67" i="17"/>
  <c r="X24" i="17"/>
  <c r="X15" i="18"/>
  <c r="X8" i="17"/>
  <c r="X22" i="17"/>
  <c r="X49" i="17"/>
  <c r="X57" i="17"/>
  <c r="P68" i="17"/>
  <c r="P83" i="17"/>
  <c r="P23" i="17"/>
  <c r="P57" i="17"/>
  <c r="P74" i="17"/>
  <c r="P72" i="17"/>
  <c r="P32" i="17"/>
  <c r="P19" i="3"/>
  <c r="P76" i="17"/>
  <c r="P41" i="18"/>
  <c r="P47" i="17"/>
  <c r="P50" i="17"/>
  <c r="P65" i="17"/>
  <c r="P30" i="17"/>
  <c r="P20" i="14"/>
  <c r="P17" i="18"/>
  <c r="P28" i="17"/>
  <c r="P9" i="17"/>
  <c r="P73" i="17"/>
  <c r="P32" i="14"/>
  <c r="P15" i="18"/>
  <c r="P58" i="17"/>
  <c r="P12" i="17"/>
  <c r="V46" i="17"/>
  <c r="V19" i="17"/>
  <c r="V40" i="17"/>
  <c r="V26" i="17"/>
  <c r="V44" i="17"/>
  <c r="V24" i="17"/>
  <c r="E37" i="18"/>
  <c r="V8" i="18"/>
  <c r="E55" i="17"/>
  <c r="V56" i="17"/>
  <c r="V68" i="17"/>
  <c r="E27" i="18"/>
  <c r="E33" i="14"/>
  <c r="V60" i="17"/>
  <c r="E29" i="17"/>
  <c r="V17" i="18"/>
  <c r="E10" i="18"/>
  <c r="E26" i="17"/>
  <c r="V42" i="17"/>
  <c r="V61" i="17"/>
  <c r="V26" i="18"/>
  <c r="E31" i="17"/>
  <c r="E12" i="17"/>
  <c r="V92" i="18"/>
  <c r="S8" i="9"/>
  <c r="S8" i="5"/>
  <c r="V67" i="17"/>
  <c r="V50" i="17"/>
  <c r="E33" i="17"/>
  <c r="E44" i="17"/>
  <c r="V49" i="17"/>
  <c r="V10" i="17"/>
  <c r="E60" i="17"/>
  <c r="E49" i="17"/>
  <c r="V35" i="18"/>
  <c r="E49" i="18"/>
  <c r="V53" i="17"/>
  <c r="E35" i="18"/>
  <c r="V33" i="17"/>
  <c r="E67" i="17"/>
  <c r="E56" i="17"/>
  <c r="E46" i="17"/>
  <c r="E88" i="17"/>
  <c r="E63" i="17"/>
  <c r="E28" i="17"/>
  <c r="E19" i="17"/>
  <c r="W85" i="17"/>
  <c r="W57" i="17"/>
  <c r="W74" i="18"/>
  <c r="W68" i="17"/>
  <c r="W56" i="17"/>
  <c r="W31" i="17"/>
  <c r="W84" i="17"/>
  <c r="W49" i="17"/>
  <c r="W8" i="18"/>
  <c r="W25" i="14"/>
  <c r="W42" i="17"/>
  <c r="W17" i="18"/>
  <c r="W15" i="14"/>
  <c r="W53" i="17"/>
  <c r="W10" i="17"/>
  <c r="W26" i="17"/>
  <c r="W33" i="17"/>
  <c r="T8" i="9"/>
  <c r="T8" i="5"/>
  <c r="W67" i="17"/>
  <c r="W60" i="17"/>
  <c r="W24" i="17"/>
  <c r="W26" i="18"/>
  <c r="W44" i="17"/>
  <c r="P14" i="10"/>
  <c r="R19" i="13"/>
  <c r="P62" i="10"/>
  <c r="P32" i="4"/>
  <c r="P16" i="2"/>
  <c r="P64" i="10"/>
  <c r="R51" i="13"/>
  <c r="P38" i="11"/>
  <c r="P46" i="10"/>
  <c r="P53" i="4"/>
  <c r="P18" i="2"/>
  <c r="P12" i="10"/>
  <c r="P20" i="10"/>
  <c r="P7" i="10"/>
  <c r="P8" i="10"/>
  <c r="R27" i="13"/>
  <c r="R16" i="13"/>
  <c r="P18" i="10"/>
  <c r="P22" i="10"/>
  <c r="P11" i="10"/>
  <c r="P14" i="2"/>
  <c r="P19" i="10"/>
  <c r="P15" i="10"/>
  <c r="P17" i="10"/>
  <c r="R37" i="13"/>
  <c r="P23" i="10"/>
  <c r="P46" i="4"/>
  <c r="P9" i="10"/>
  <c r="P10" i="10"/>
  <c r="P21" i="10"/>
  <c r="P13" i="10"/>
  <c r="P6" i="10"/>
  <c r="P11" i="4"/>
  <c r="P12" i="2"/>
  <c r="P6" i="15"/>
  <c r="P65" i="10"/>
  <c r="P25" i="4"/>
  <c r="Y85" i="17"/>
  <c r="Y64" i="17"/>
  <c r="Y40" i="17"/>
  <c r="Y46" i="17"/>
  <c r="Y24" i="17"/>
  <c r="Y11" i="17"/>
  <c r="Y42" i="18"/>
  <c r="Y63" i="17"/>
  <c r="Y8" i="18"/>
  <c r="Y22" i="14"/>
  <c r="Y92" i="18"/>
  <c r="Y59" i="17"/>
  <c r="Y27" i="17"/>
  <c r="Y18" i="3"/>
  <c r="Y66" i="17"/>
  <c r="Y56" i="17"/>
  <c r="Y29" i="17"/>
  <c r="Y26" i="14"/>
  <c r="Y15" i="18"/>
  <c r="Y22" i="17"/>
  <c r="Y8" i="17"/>
  <c r="V8" i="9"/>
  <c r="V8" i="5"/>
  <c r="Y67" i="17"/>
  <c r="Y31" i="17"/>
  <c r="S50" i="18"/>
  <c r="S73" i="17"/>
  <c r="S47" i="17"/>
  <c r="S20" i="18"/>
  <c r="S67" i="18"/>
  <c r="S9" i="17"/>
  <c r="S32" i="17"/>
  <c r="S17" i="3"/>
  <c r="S51" i="17"/>
  <c r="S10" i="18"/>
  <c r="S72" i="17"/>
  <c r="S23" i="17"/>
  <c r="S43" i="17"/>
  <c r="S20" i="14"/>
  <c r="S69" i="17"/>
  <c r="S71" i="17"/>
  <c r="S45" i="17"/>
  <c r="S58" i="17"/>
  <c r="S70" i="17"/>
  <c r="S7" i="17"/>
  <c r="S32" i="14"/>
  <c r="S30" i="17"/>
  <c r="S25" i="17"/>
  <c r="T28" i="17"/>
  <c r="T42" i="17"/>
  <c r="T19" i="18"/>
  <c r="T60" i="17"/>
  <c r="T64" i="17"/>
  <c r="T69" i="17"/>
  <c r="T61" i="17"/>
  <c r="T39" i="17"/>
  <c r="T19" i="3"/>
  <c r="T76" i="17"/>
  <c r="T11" i="18"/>
  <c r="T54" i="17"/>
  <c r="T68" i="17"/>
  <c r="T44" i="17"/>
  <c r="T15" i="3"/>
  <c r="T21" i="17"/>
  <c r="T83" i="17"/>
  <c r="T26" i="17"/>
  <c r="T65" i="17"/>
  <c r="T12" i="17"/>
  <c r="T19" i="17"/>
  <c r="T53" i="17"/>
  <c r="T77" i="17"/>
  <c r="T31" i="18"/>
  <c r="G44" i="17"/>
  <c r="G56" i="17"/>
  <c r="G63" i="17"/>
  <c r="G31" i="17"/>
  <c r="G49" i="17"/>
  <c r="G48" i="17"/>
  <c r="G26" i="18"/>
  <c r="G54" i="18"/>
  <c r="G10" i="17"/>
  <c r="G33" i="17"/>
  <c r="G26" i="17"/>
  <c r="G10" i="18"/>
  <c r="G59" i="17"/>
  <c r="G16" i="18"/>
  <c r="G17" i="18"/>
  <c r="D8" i="9"/>
  <c r="D8" i="5"/>
  <c r="G67" i="17"/>
  <c r="G24" i="17"/>
  <c r="G42" i="18"/>
  <c r="G15" i="14"/>
  <c r="G29" i="17"/>
  <c r="G19" i="17"/>
  <c r="G42" i="17"/>
  <c r="L55" i="17"/>
  <c r="L60" i="17"/>
  <c r="L13" i="18"/>
  <c r="L40" i="17"/>
  <c r="L32" i="18"/>
  <c r="L20" i="17"/>
  <c r="L42" i="17"/>
  <c r="L18" i="3"/>
  <c r="L66" i="17"/>
  <c r="L88" i="17"/>
  <c r="L29" i="17"/>
  <c r="L10" i="18"/>
  <c r="L31" i="17"/>
  <c r="L9" i="18"/>
  <c r="L33" i="17"/>
  <c r="L63" i="17"/>
  <c r="L24" i="17"/>
  <c r="L38" i="17"/>
  <c r="L59" i="17"/>
  <c r="L22" i="17"/>
  <c r="L8" i="17"/>
  <c r="L66" i="18"/>
  <c r="L48" i="17"/>
  <c r="Z22" i="17"/>
  <c r="Z40" i="17"/>
  <c r="Z8" i="17"/>
  <c r="Z38" i="17"/>
  <c r="Z63" i="17"/>
  <c r="Z56" i="17"/>
  <c r="Z85" i="17"/>
  <c r="Z33" i="14"/>
  <c r="Z34" i="17"/>
  <c r="Z18" i="17"/>
  <c r="Z24" i="17"/>
  <c r="Z31" i="17"/>
  <c r="Z11" i="18"/>
  <c r="Z59" i="17"/>
  <c r="Z64" i="17"/>
  <c r="Z20" i="17"/>
  <c r="Z42" i="18"/>
  <c r="Z21" i="14"/>
  <c r="Z46" i="17"/>
  <c r="Z48" i="17"/>
  <c r="Z21" i="18"/>
  <c r="Z29" i="17"/>
  <c r="C53" i="17"/>
  <c r="C57" i="18"/>
  <c r="C32" i="14"/>
  <c r="C32" i="17"/>
  <c r="C47" i="17"/>
  <c r="C20" i="14"/>
  <c r="C12" i="18"/>
  <c r="C54" i="17"/>
  <c r="C61" i="17"/>
  <c r="C65" i="17"/>
  <c r="C64" i="17"/>
  <c r="C49" i="17"/>
  <c r="C60" i="17"/>
  <c r="C23" i="17"/>
  <c r="C39" i="17"/>
  <c r="C7" i="17"/>
  <c r="C57" i="17"/>
  <c r="C30" i="17"/>
  <c r="C31" i="18"/>
  <c r="C20" i="18"/>
  <c r="C28" i="17"/>
  <c r="C15" i="3"/>
  <c r="C21" i="17"/>
  <c r="D61" i="17"/>
  <c r="D68" i="17"/>
  <c r="D19" i="17"/>
  <c r="D46" i="17"/>
  <c r="D54" i="17"/>
  <c r="D47" i="17"/>
  <c r="D53" i="17"/>
  <c r="D15" i="3"/>
  <c r="D21" i="17"/>
  <c r="D60" i="17"/>
  <c r="D28" i="17"/>
  <c r="D20" i="18"/>
  <c r="D49" i="17"/>
  <c r="D44" i="17"/>
  <c r="D12" i="17"/>
  <c r="D7" i="17"/>
  <c r="D39" i="17"/>
  <c r="D32" i="17"/>
  <c r="D30" i="17"/>
  <c r="D12" i="18"/>
  <c r="D32" i="14"/>
  <c r="D23" i="17"/>
  <c r="D64" i="17"/>
  <c r="AA33" i="14"/>
  <c r="AA29" i="17"/>
  <c r="AA11" i="18"/>
  <c r="AA53" i="17"/>
  <c r="AA43" i="17"/>
  <c r="AA46" i="17"/>
  <c r="AA12" i="18"/>
  <c r="AA21" i="18"/>
  <c r="AA9" i="17"/>
  <c r="AA22" i="17"/>
  <c r="AA45" i="17"/>
  <c r="AA31" i="17"/>
  <c r="AA38" i="17"/>
  <c r="AA63" i="17"/>
  <c r="AA22" i="14"/>
  <c r="AA25" i="17"/>
  <c r="AA20" i="17"/>
  <c r="AA27" i="17"/>
  <c r="AA59" i="17"/>
  <c r="AA40" i="17"/>
  <c r="AA56" i="17"/>
  <c r="AA29" i="18"/>
  <c r="R34" i="17"/>
  <c r="R55" i="17"/>
  <c r="R45" i="17"/>
  <c r="R32" i="17"/>
  <c r="R23" i="17"/>
  <c r="R76" i="18"/>
  <c r="R22" i="18"/>
  <c r="R43" i="18"/>
  <c r="R7" i="17"/>
  <c r="R72" i="17"/>
  <c r="R43" i="17"/>
  <c r="R58" i="17"/>
  <c r="R25" i="17"/>
  <c r="R27" i="17"/>
  <c r="R74" i="17"/>
  <c r="R62" i="17"/>
  <c r="R50" i="17"/>
  <c r="R9" i="17"/>
  <c r="R18" i="17"/>
  <c r="R17" i="3"/>
  <c r="R51" i="17"/>
  <c r="R71" i="17"/>
  <c r="R13" i="18"/>
  <c r="S37" i="13"/>
  <c r="Q23" i="10"/>
  <c r="Q46" i="4"/>
  <c r="Q17" i="10"/>
  <c r="Q64" i="10"/>
  <c r="Q13" i="10"/>
  <c r="Q20" i="10"/>
  <c r="S51" i="13"/>
  <c r="Q38" i="11"/>
  <c r="Q46" i="10"/>
  <c r="Q53" i="4"/>
  <c r="Q18" i="2"/>
  <c r="S27" i="13"/>
  <c r="S16" i="13"/>
  <c r="Q18" i="10"/>
  <c r="Q19" i="10"/>
  <c r="Q21" i="10"/>
  <c r="Q22" i="10"/>
  <c r="Q10" i="10"/>
  <c r="Q11" i="10"/>
  <c r="Q14" i="2"/>
  <c r="Q15" i="10"/>
  <c r="Q14" i="10"/>
  <c r="Q9" i="10"/>
  <c r="S19" i="13"/>
  <c r="Q62" i="10"/>
  <c r="Q32" i="4"/>
  <c r="Q16" i="2"/>
  <c r="Q65" i="10"/>
  <c r="Q25" i="4"/>
  <c r="Q7" i="10"/>
  <c r="Q6" i="10"/>
  <c r="Q11" i="4"/>
  <c r="Q12" i="2"/>
  <c r="Q6" i="15"/>
  <c r="Q8" i="10"/>
  <c r="Q12" i="10"/>
  <c r="Y72" i="17"/>
  <c r="V9" i="9"/>
  <c r="V9" i="5"/>
  <c r="Y75" i="17"/>
  <c r="Y70" i="17"/>
  <c r="Y22" i="18"/>
  <c r="Y61" i="17"/>
  <c r="Y57" i="17"/>
  <c r="Y42" i="17"/>
  <c r="Y49" i="17"/>
  <c r="Y24" i="18"/>
  <c r="Y10" i="17"/>
  <c r="Y71" i="17"/>
  <c r="Y26" i="17"/>
  <c r="Y83" i="17"/>
  <c r="Y73" i="17"/>
  <c r="Y68" i="17"/>
  <c r="Y84" i="17"/>
  <c r="Y28" i="17"/>
  <c r="Y19" i="17"/>
  <c r="Y50" i="17"/>
  <c r="Y77" i="17"/>
  <c r="Y13" i="18"/>
  <c r="Y33" i="17"/>
  <c r="E61" i="17"/>
  <c r="E39" i="17"/>
  <c r="E58" i="18"/>
  <c r="E20" i="18"/>
  <c r="E15" i="3"/>
  <c r="E21" i="17"/>
  <c r="E75" i="17"/>
  <c r="E59" i="18"/>
  <c r="E84" i="17"/>
  <c r="E47" i="17"/>
  <c r="E28" i="18"/>
  <c r="I44" i="17"/>
  <c r="E12" i="18"/>
  <c r="I16" i="18"/>
  <c r="E54" i="17"/>
  <c r="I19" i="17"/>
  <c r="E30" i="17"/>
  <c r="E78" i="18"/>
  <c r="I26" i="17"/>
  <c r="E18" i="18"/>
  <c r="I49" i="17"/>
  <c r="E53" i="17"/>
  <c r="E23" i="17"/>
  <c r="I31" i="17"/>
  <c r="I42" i="17"/>
  <c r="E65" i="17"/>
  <c r="I85" i="17"/>
  <c r="E9" i="18"/>
  <c r="E68" i="17"/>
  <c r="I56" i="17"/>
  <c r="E32" i="17"/>
  <c r="I63" i="17"/>
  <c r="F8" i="9"/>
  <c r="F8" i="5"/>
  <c r="I67" i="17"/>
  <c r="I8" i="17"/>
  <c r="E8" i="18"/>
  <c r="I33" i="17"/>
  <c r="I44" i="18"/>
  <c r="I46" i="17"/>
  <c r="I10" i="17"/>
  <c r="I65" i="18"/>
  <c r="I24" i="18"/>
  <c r="I40" i="17"/>
  <c r="I28" i="17"/>
  <c r="I24" i="17"/>
  <c r="I64" i="17"/>
  <c r="X12" i="17"/>
  <c r="X61" i="17"/>
  <c r="X13" i="18"/>
  <c r="X19" i="17"/>
  <c r="X54" i="17"/>
  <c r="X73" i="17"/>
  <c r="X74" i="17"/>
  <c r="X28" i="17"/>
  <c r="X68" i="17"/>
  <c r="X70" i="17"/>
  <c r="U9" i="9"/>
  <c r="U9" i="5"/>
  <c r="X75" i="17"/>
  <c r="X39" i="17"/>
  <c r="X25" i="14"/>
  <c r="X26" i="17"/>
  <c r="X19" i="3"/>
  <c r="X76" i="17"/>
  <c r="X72" i="17"/>
  <c r="X44" i="17"/>
  <c r="X49" i="18"/>
  <c r="X50" i="17"/>
  <c r="X24" i="18"/>
  <c r="X10" i="17"/>
  <c r="X65" i="17"/>
  <c r="O38" i="18"/>
  <c r="O11" i="17"/>
  <c r="O88" i="17"/>
  <c r="O55" i="17"/>
  <c r="O27" i="17"/>
  <c r="O17" i="3"/>
  <c r="O51" i="17"/>
  <c r="O48" i="17"/>
  <c r="O29" i="17"/>
  <c r="L8" i="9"/>
  <c r="L8" i="5"/>
  <c r="O67" i="17"/>
  <c r="O26" i="14"/>
  <c r="O20" i="17"/>
  <c r="O16" i="18"/>
  <c r="O62" i="17"/>
  <c r="O18" i="3"/>
  <c r="O66" i="17"/>
  <c r="O38" i="17"/>
  <c r="O18" i="17"/>
  <c r="O34" i="17"/>
  <c r="O40" i="17"/>
  <c r="O59" i="17"/>
  <c r="O45" i="17"/>
  <c r="O9" i="18"/>
  <c r="O43" i="17"/>
  <c r="F50" i="17"/>
  <c r="F19" i="17"/>
  <c r="F18" i="18"/>
  <c r="F9" i="18"/>
  <c r="F78" i="18"/>
  <c r="F85" i="17"/>
  <c r="F40" i="18"/>
  <c r="F60" i="17"/>
  <c r="F49" i="18"/>
  <c r="F39" i="17"/>
  <c r="F37" i="18"/>
  <c r="F28" i="17"/>
  <c r="F53" i="17"/>
  <c r="F49" i="17"/>
  <c r="F30" i="17"/>
  <c r="F12" i="17"/>
  <c r="F15" i="3"/>
  <c r="F21" i="17"/>
  <c r="F60" i="18"/>
  <c r="F57" i="18"/>
  <c r="F61" i="17"/>
  <c r="F68" i="17"/>
  <c r="F58" i="18"/>
  <c r="X9" i="9"/>
  <c r="X9" i="5"/>
  <c r="AA75" i="17"/>
  <c r="AA71" i="17"/>
  <c r="AA26" i="17"/>
  <c r="AA68" i="17"/>
  <c r="AA64" i="17"/>
  <c r="AA33" i="17"/>
  <c r="AA24" i="17"/>
  <c r="AA12" i="17"/>
  <c r="AA49" i="17"/>
  <c r="AA8" i="17"/>
  <c r="AA77" i="17"/>
  <c r="AA73" i="17"/>
  <c r="AA69" i="17"/>
  <c r="AA81" i="18"/>
  <c r="AA79" i="18"/>
  <c r="AA28" i="17"/>
  <c r="AA20" i="18"/>
  <c r="AA57" i="17"/>
  <c r="AA44" i="18"/>
  <c r="AA42" i="17"/>
  <c r="AA83" i="17"/>
  <c r="AA44" i="17"/>
  <c r="H57" i="17"/>
  <c r="H12" i="17"/>
  <c r="H60" i="17"/>
  <c r="H10" i="17"/>
  <c r="H56" i="17"/>
  <c r="H28" i="17"/>
  <c r="H46" i="17"/>
  <c r="H68" i="17"/>
  <c r="H26" i="17"/>
  <c r="H19" i="17"/>
  <c r="H85" i="17"/>
  <c r="H39" i="17"/>
  <c r="H33" i="17"/>
  <c r="H83" i="17"/>
  <c r="H24" i="18"/>
  <c r="E8" i="9"/>
  <c r="E8" i="5"/>
  <c r="H67" i="17"/>
  <c r="H64" i="17"/>
  <c r="H25" i="14"/>
  <c r="H49" i="17"/>
  <c r="H44" i="17"/>
  <c r="H16" i="18"/>
  <c r="H7" i="17"/>
  <c r="M42" i="17"/>
  <c r="M20" i="17"/>
  <c r="M29" i="17"/>
  <c r="M18" i="18"/>
  <c r="M51" i="18"/>
  <c r="M63" i="17"/>
  <c r="M55" i="17"/>
  <c r="M66" i="18"/>
  <c r="M31" i="17"/>
  <c r="M18" i="3"/>
  <c r="M66" i="17"/>
  <c r="M88" i="17"/>
  <c r="M22" i="17"/>
  <c r="M60" i="17"/>
  <c r="M48" i="17"/>
  <c r="M27" i="18"/>
  <c r="M59" i="17"/>
  <c r="J8" i="9"/>
  <c r="J8" i="5"/>
  <c r="M67" i="17"/>
  <c r="M38" i="17"/>
  <c r="M40" i="17"/>
  <c r="M9" i="18"/>
  <c r="M10" i="17"/>
  <c r="M10" i="18"/>
  <c r="Q11" i="17"/>
  <c r="Q73" i="17"/>
  <c r="Q25" i="17"/>
  <c r="Q62" i="17"/>
  <c r="Q12" i="18"/>
  <c r="Q18" i="3"/>
  <c r="Q66" i="17"/>
  <c r="Q38" i="17"/>
  <c r="Q27" i="17"/>
  <c r="Q88" i="17"/>
  <c r="Q55" i="17"/>
  <c r="Q17" i="3"/>
  <c r="Q51" i="17"/>
  <c r="Q71" i="17"/>
  <c r="Q32" i="17"/>
  <c r="Q58" i="17"/>
  <c r="Q63" i="17"/>
  <c r="Q45" i="17"/>
  <c r="Q43" i="17"/>
  <c r="Q13" i="18"/>
  <c r="Q22" i="14"/>
  <c r="Q34" i="17"/>
  <c r="Q18" i="17"/>
  <c r="Q9" i="17"/>
  <c r="E15" i="10"/>
  <c r="E20" i="10"/>
  <c r="G27" i="13"/>
  <c r="G16" i="13"/>
  <c r="E18" i="10"/>
  <c r="E64" i="10"/>
  <c r="G51" i="13"/>
  <c r="E38" i="11"/>
  <c r="E46" i="10"/>
  <c r="E53" i="4"/>
  <c r="E18" i="2"/>
  <c r="E8" i="10"/>
  <c r="E17" i="10"/>
  <c r="E13" i="10"/>
  <c r="E19" i="10"/>
  <c r="E7" i="10"/>
  <c r="E65" i="10"/>
  <c r="E25" i="4"/>
  <c r="E22" i="10"/>
  <c r="E21" i="10"/>
  <c r="E11" i="10"/>
  <c r="E14" i="2"/>
  <c r="E10" i="10"/>
  <c r="E6" i="10"/>
  <c r="E11" i="4"/>
  <c r="E12" i="2"/>
  <c r="E6" i="15"/>
  <c r="G37" i="13"/>
  <c r="E23" i="10"/>
  <c r="E46" i="4"/>
  <c r="E9" i="10"/>
  <c r="G19" i="13"/>
  <c r="E62" i="10"/>
  <c r="E32" i="4"/>
  <c r="E16" i="2"/>
  <c r="E14" i="10"/>
  <c r="E12" i="10"/>
  <c r="T17" i="3"/>
  <c r="T51" i="17"/>
  <c r="T32" i="17"/>
  <c r="T43" i="17"/>
  <c r="T62" i="17"/>
  <c r="T74" i="17"/>
  <c r="T45" i="17"/>
  <c r="T20" i="18"/>
  <c r="T72" i="17"/>
  <c r="T7" i="17"/>
  <c r="T10" i="18"/>
  <c r="T30" i="17"/>
  <c r="T32" i="14"/>
  <c r="T67" i="18"/>
  <c r="T88" i="17"/>
  <c r="T50" i="18"/>
  <c r="T26" i="14"/>
  <c r="T33" i="18"/>
  <c r="T70" i="17"/>
  <c r="T25" i="17"/>
  <c r="T23" i="17"/>
  <c r="T47" i="17"/>
  <c r="T58" i="17"/>
  <c r="V37" i="18"/>
  <c r="V70" i="17"/>
  <c r="V25" i="17"/>
  <c r="V77" i="17"/>
  <c r="V58" i="17"/>
  <c r="V17" i="3"/>
  <c r="V51" i="17"/>
  <c r="V9" i="17"/>
  <c r="V54" i="17"/>
  <c r="V12" i="17"/>
  <c r="V15" i="3"/>
  <c r="V21" i="17"/>
  <c r="V39" i="17"/>
  <c r="S9" i="9"/>
  <c r="S9" i="5"/>
  <c r="V75" i="17"/>
  <c r="V19" i="3"/>
  <c r="V76" i="17"/>
  <c r="V10" i="18"/>
  <c r="V30" i="17"/>
  <c r="V65" i="17"/>
  <c r="V74" i="17"/>
  <c r="V22" i="14"/>
  <c r="V28" i="17"/>
  <c r="V47" i="17"/>
  <c r="V43" i="17"/>
  <c r="V72" i="17"/>
  <c r="U33" i="18"/>
  <c r="U18" i="17"/>
  <c r="U32" i="17"/>
  <c r="U65" i="17"/>
  <c r="U39" i="17"/>
  <c r="U19" i="3"/>
  <c r="U76" i="17"/>
  <c r="U58" i="17"/>
  <c r="U34" i="17"/>
  <c r="U71" i="17"/>
  <c r="U47" i="17"/>
  <c r="U69" i="17"/>
  <c r="U23" i="17"/>
  <c r="U28" i="17"/>
  <c r="U59" i="17"/>
  <c r="U70" i="17"/>
  <c r="U27" i="18"/>
  <c r="U10" i="18"/>
  <c r="U54" i="17"/>
  <c r="U30" i="17"/>
  <c r="U20" i="18"/>
  <c r="U15" i="3"/>
  <c r="U21" i="17"/>
  <c r="U88" i="17"/>
  <c r="K42" i="17"/>
  <c r="K40" i="17"/>
  <c r="K26" i="17"/>
  <c r="K32" i="18"/>
  <c r="K12" i="17"/>
  <c r="K59" i="17"/>
  <c r="K63" i="17"/>
  <c r="K12" i="18"/>
  <c r="K64" i="17"/>
  <c r="K20" i="18"/>
  <c r="K13" i="18"/>
  <c r="K113" i="18"/>
  <c r="K44" i="17"/>
  <c r="K31" i="17"/>
  <c r="K46" i="17"/>
  <c r="K53" i="17"/>
  <c r="K33" i="14"/>
  <c r="K8" i="17"/>
  <c r="K33" i="17"/>
  <c r="K56" i="17"/>
  <c r="K24" i="17"/>
  <c r="K22" i="17"/>
  <c r="W51" i="13"/>
  <c r="U38" i="11"/>
  <c r="U46" i="10"/>
  <c r="U53" i="4"/>
  <c r="U18" i="2"/>
  <c r="U65" i="10"/>
  <c r="U25" i="4"/>
  <c r="U10" i="10"/>
  <c r="W27" i="13"/>
  <c r="W16" i="13"/>
  <c r="U18" i="10"/>
  <c r="U17" i="10"/>
  <c r="U13" i="10"/>
  <c r="U11" i="10"/>
  <c r="U14" i="2"/>
  <c r="U14" i="10"/>
  <c r="U8" i="10"/>
  <c r="U22" i="10"/>
  <c r="W37" i="13"/>
  <c r="U23" i="10"/>
  <c r="U46" i="4"/>
  <c r="W19" i="13"/>
  <c r="U62" i="10"/>
  <c r="U32" i="4"/>
  <c r="U16" i="2"/>
  <c r="U6" i="10"/>
  <c r="U11" i="4"/>
  <c r="U12" i="2"/>
  <c r="U6" i="15"/>
  <c r="U12" i="10"/>
  <c r="U64" i="10"/>
  <c r="U20" i="10"/>
  <c r="U9" i="10"/>
  <c r="U15" i="10"/>
  <c r="U21" i="10"/>
  <c r="U7" i="10"/>
  <c r="U19" i="10"/>
  <c r="G60" i="17"/>
  <c r="G47" i="17"/>
  <c r="G30" i="17"/>
  <c r="G18" i="18"/>
  <c r="G8" i="18"/>
  <c r="G84" i="17"/>
  <c r="G39" i="17"/>
  <c r="G40" i="18"/>
  <c r="G65" i="17"/>
  <c r="G12" i="17"/>
  <c r="G60" i="18"/>
  <c r="G53" i="17"/>
  <c r="G57" i="17"/>
  <c r="G68" i="17"/>
  <c r="G28" i="17"/>
  <c r="G59" i="18"/>
  <c r="G85" i="17"/>
  <c r="G50" i="17"/>
  <c r="G15" i="3"/>
  <c r="G21" i="17"/>
  <c r="G32" i="17"/>
  <c r="G54" i="17"/>
  <c r="G61" i="17"/>
  <c r="N9" i="18"/>
  <c r="N38" i="18"/>
  <c r="N31" i="17"/>
  <c r="N29" i="17"/>
  <c r="N20" i="17"/>
  <c r="N11" i="17"/>
  <c r="N59" i="17"/>
  <c r="N38" i="17"/>
  <c r="N55" i="17"/>
  <c r="N16" i="14"/>
  <c r="N40" i="17"/>
  <c r="N88" i="17"/>
  <c r="N51" i="18"/>
  <c r="N27" i="17"/>
  <c r="N22" i="17"/>
  <c r="K8" i="9"/>
  <c r="K8" i="5"/>
  <c r="N67" i="17"/>
  <c r="N48" i="17"/>
  <c r="N46" i="17"/>
  <c r="N18" i="18"/>
  <c r="N18" i="3"/>
  <c r="N66" i="17"/>
  <c r="N33" i="17"/>
  <c r="N27" i="18"/>
  <c r="W18" i="3"/>
  <c r="W66" i="17"/>
  <c r="W16" i="18"/>
  <c r="W30" i="17"/>
  <c r="W39" i="17"/>
  <c r="W10" i="18"/>
  <c r="W54" i="17"/>
  <c r="W69" i="17"/>
  <c r="W28" i="17"/>
  <c r="W47" i="17"/>
  <c r="W74" i="17"/>
  <c r="W15" i="3"/>
  <c r="W21" i="17"/>
  <c r="W32" i="17"/>
  <c r="W77" i="17"/>
  <c r="W81" i="18"/>
  <c r="W50" i="17"/>
  <c r="W12" i="17"/>
  <c r="W19" i="17"/>
  <c r="T9" i="9"/>
  <c r="T9" i="5"/>
  <c r="W75" i="17"/>
  <c r="W61" i="17"/>
  <c r="W73" i="17"/>
  <c r="W37" i="18"/>
  <c r="W65" i="17"/>
  <c r="H19" i="13"/>
  <c r="F62" i="10"/>
  <c r="F32" i="4"/>
  <c r="F16" i="2"/>
  <c r="F17" i="10"/>
  <c r="F21" i="10"/>
  <c r="H37" i="13"/>
  <c r="F23" i="10"/>
  <c r="F46" i="4"/>
  <c r="F6" i="10"/>
  <c r="F11" i="4"/>
  <c r="F12" i="2"/>
  <c r="F6" i="15"/>
  <c r="F11" i="10"/>
  <c r="F14" i="2"/>
  <c r="F10" i="10"/>
  <c r="F14" i="10"/>
  <c r="F22" i="10"/>
  <c r="F15" i="10"/>
  <c r="F12" i="10"/>
  <c r="F9" i="10"/>
  <c r="F7" i="10"/>
  <c r="F13" i="10"/>
  <c r="F64" i="10"/>
  <c r="H51" i="13"/>
  <c r="F38" i="11"/>
  <c r="F46" i="10"/>
  <c r="F53" i="4"/>
  <c r="F18" i="2"/>
  <c r="F8" i="10"/>
  <c r="F65" i="10"/>
  <c r="F25" i="4"/>
  <c r="F19" i="10"/>
  <c r="F20" i="10"/>
  <c r="H27" i="13"/>
  <c r="H16" i="13"/>
  <c r="F18" i="10"/>
  <c r="C43" i="17"/>
  <c r="C33" i="18"/>
  <c r="C9" i="17"/>
  <c r="C71" i="17"/>
  <c r="C73" i="17"/>
  <c r="C69" i="17"/>
  <c r="C72" i="17"/>
  <c r="C17" i="3"/>
  <c r="C51" i="17"/>
  <c r="C58" i="17"/>
  <c r="C77" i="17"/>
  <c r="C15" i="18"/>
  <c r="C29" i="17"/>
  <c r="C84" i="17"/>
  <c r="C45" i="17"/>
  <c r="C20" i="17"/>
  <c r="C28" i="18"/>
  <c r="C11" i="18"/>
  <c r="C70" i="17"/>
  <c r="C62" i="17"/>
  <c r="C38" i="17"/>
  <c r="C25" i="17"/>
  <c r="C34" i="17"/>
  <c r="Z83" i="17"/>
  <c r="Z42" i="17"/>
  <c r="Z54" i="17"/>
  <c r="Z49" i="17"/>
  <c r="Z72" i="17"/>
  <c r="Z49" i="18"/>
  <c r="Z39" i="17"/>
  <c r="Z70" i="17"/>
  <c r="Z33" i="17"/>
  <c r="Z10" i="17"/>
  <c r="Z26" i="17"/>
  <c r="Z57" i="17"/>
  <c r="Z44" i="17"/>
  <c r="Z50" i="17"/>
  <c r="Z61" i="17"/>
  <c r="Z74" i="17"/>
  <c r="Z13" i="18"/>
  <c r="Z44" i="18"/>
  <c r="Z73" i="17"/>
  <c r="Z15" i="3"/>
  <c r="Z21" i="17"/>
  <c r="Z71" i="17"/>
  <c r="Z68" i="17"/>
  <c r="J31" i="17"/>
  <c r="J24" i="17"/>
  <c r="J21" i="14"/>
  <c r="J44" i="17"/>
  <c r="J64" i="17"/>
  <c r="J56" i="17"/>
  <c r="J32" i="14"/>
  <c r="J63" i="17"/>
  <c r="J33" i="17"/>
  <c r="J44" i="18"/>
  <c r="J46" i="17"/>
  <c r="J85" i="17"/>
  <c r="J15" i="3"/>
  <c r="J21" i="17"/>
  <c r="J21" i="18"/>
  <c r="J42" i="17"/>
  <c r="J39" i="17"/>
  <c r="J8" i="17"/>
  <c r="J16" i="18"/>
  <c r="J12" i="18"/>
  <c r="J26" i="17"/>
  <c r="J49" i="17"/>
  <c r="J10" i="17"/>
  <c r="P59" i="17"/>
  <c r="P20" i="17"/>
  <c r="P11" i="17"/>
  <c r="P16" i="18"/>
  <c r="P38" i="17"/>
  <c r="P31" i="17"/>
  <c r="P18" i="17"/>
  <c r="P48" i="17"/>
  <c r="P33" i="14"/>
  <c r="P18" i="3"/>
  <c r="P66" i="17"/>
  <c r="P43" i="17"/>
  <c r="P24" i="18"/>
  <c r="P17" i="3"/>
  <c r="P51" i="17"/>
  <c r="P55" i="17"/>
  <c r="P27" i="17"/>
  <c r="P21" i="14"/>
  <c r="P62" i="17"/>
  <c r="P34" i="17"/>
  <c r="P9" i="18"/>
  <c r="P8" i="17"/>
  <c r="P25" i="17"/>
  <c r="P29" i="17"/>
  <c r="D80" i="18"/>
  <c r="D38" i="17"/>
  <c r="D11" i="18"/>
  <c r="D33" i="18"/>
  <c r="D17" i="3"/>
  <c r="D51" i="17"/>
  <c r="D26" i="14"/>
  <c r="D72" i="17"/>
  <c r="D20" i="17"/>
  <c r="D18" i="18"/>
  <c r="D65" i="17"/>
  <c r="D28" i="18"/>
  <c r="D27" i="17"/>
  <c r="D77" i="17"/>
  <c r="D74" i="17"/>
  <c r="D19" i="3"/>
  <c r="D76" i="17"/>
  <c r="D43" i="17"/>
  <c r="D83" i="17"/>
  <c r="D16" i="14"/>
  <c r="D70" i="17"/>
  <c r="D25" i="17"/>
  <c r="D62" i="17"/>
  <c r="D11" i="17"/>
  <c r="G25" i="17"/>
  <c r="G53" i="18"/>
  <c r="G82" i="18"/>
  <c r="D9" i="9"/>
  <c r="D9" i="5"/>
  <c r="G75" i="17"/>
  <c r="G63" i="18"/>
  <c r="G56" i="18"/>
  <c r="G57" i="18"/>
  <c r="G73" i="17"/>
  <c r="G61" i="18"/>
  <c r="G84" i="18"/>
  <c r="G77" i="17"/>
  <c r="G24" i="18"/>
  <c r="G43" i="17"/>
  <c r="G37" i="18"/>
  <c r="G35" i="18"/>
  <c r="G25" i="18"/>
  <c r="G65" i="18"/>
  <c r="G28" i="18"/>
  <c r="G22" i="14"/>
  <c r="G9" i="17"/>
  <c r="G69" i="17"/>
  <c r="G64" i="18"/>
  <c r="N78" i="18"/>
  <c r="N70" i="18"/>
  <c r="N25" i="14"/>
  <c r="N44" i="17"/>
  <c r="N10" i="17"/>
  <c r="N71" i="18"/>
  <c r="N64" i="17"/>
  <c r="N41" i="18"/>
  <c r="N32" i="18"/>
  <c r="N71" i="17"/>
  <c r="N25" i="18"/>
  <c r="N62" i="18"/>
  <c r="N85" i="17"/>
  <c r="N29" i="18"/>
  <c r="N48" i="18"/>
  <c r="N21" i="18"/>
  <c r="N26" i="17"/>
  <c r="N64" i="18"/>
  <c r="N65" i="18"/>
  <c r="N66" i="18"/>
  <c r="N34" i="18"/>
  <c r="N53" i="17"/>
  <c r="V19" i="10"/>
  <c r="V10" i="10"/>
  <c r="V65" i="10"/>
  <c r="V25" i="4"/>
  <c r="X37" i="13"/>
  <c r="V23" i="10"/>
  <c r="V46" i="4"/>
  <c r="X27" i="13"/>
  <c r="X16" i="13"/>
  <c r="V18" i="10"/>
  <c r="X19" i="13"/>
  <c r="V62" i="10"/>
  <c r="V32" i="4"/>
  <c r="V16" i="2"/>
  <c r="V17" i="10"/>
  <c r="V11" i="10"/>
  <c r="V14" i="2"/>
  <c r="V20" i="10"/>
  <c r="V64" i="10"/>
  <c r="V21" i="10"/>
  <c r="X51" i="13"/>
  <c r="V38" i="11"/>
  <c r="V46" i="10"/>
  <c r="V53" i="4"/>
  <c r="V18" i="2"/>
  <c r="V22" i="10"/>
  <c r="V8" i="10"/>
  <c r="V9" i="10"/>
  <c r="V12" i="10"/>
  <c r="V13" i="10"/>
  <c r="V6" i="10"/>
  <c r="V11" i="4"/>
  <c r="V12" i="2"/>
  <c r="V6" i="15"/>
  <c r="V7" i="10"/>
  <c r="V15" i="10"/>
  <c r="V14" i="10"/>
  <c r="I21" i="18"/>
  <c r="I80" i="18"/>
  <c r="I68" i="17"/>
  <c r="I23" i="17"/>
  <c r="I57" i="17"/>
  <c r="I57" i="18"/>
  <c r="I20" i="14"/>
  <c r="I61" i="18"/>
  <c r="I84" i="17"/>
  <c r="I54" i="18"/>
  <c r="I59" i="18"/>
  <c r="I58" i="18"/>
  <c r="I61" i="17"/>
  <c r="I50" i="17"/>
  <c r="I40" i="18"/>
  <c r="I7" i="17"/>
  <c r="I26" i="18"/>
  <c r="I53" i="18"/>
  <c r="I30" i="17"/>
  <c r="I32" i="14"/>
  <c r="I83" i="17"/>
  <c r="I70" i="18"/>
  <c r="H26" i="18"/>
  <c r="H10" i="18"/>
  <c r="H8" i="18"/>
  <c r="H60" i="18"/>
  <c r="H54" i="17"/>
  <c r="H58" i="18"/>
  <c r="H37" i="18"/>
  <c r="H84" i="17"/>
  <c r="H77" i="17"/>
  <c r="H28" i="18"/>
  <c r="H18" i="18"/>
  <c r="H55" i="18"/>
  <c r="H56" i="18"/>
  <c r="H47" i="17"/>
  <c r="H40" i="18"/>
  <c r="H32" i="17"/>
  <c r="H65" i="17"/>
  <c r="H54" i="18"/>
  <c r="H49" i="18"/>
  <c r="H35" i="18"/>
  <c r="H23" i="17"/>
  <c r="H44" i="18"/>
  <c r="C9" i="9"/>
  <c r="C9" i="5"/>
  <c r="F75" i="17"/>
  <c r="F33" i="18"/>
  <c r="F12" i="18"/>
  <c r="F34" i="17"/>
  <c r="P38" i="18"/>
  <c r="F18" i="17"/>
  <c r="F43" i="17"/>
  <c r="F19" i="3"/>
  <c r="F76" i="17"/>
  <c r="P11" i="18"/>
  <c r="P69" i="17"/>
  <c r="F28" i="18"/>
  <c r="P34" i="18"/>
  <c r="F70" i="17"/>
  <c r="F58" i="17"/>
  <c r="P19" i="18"/>
  <c r="F25" i="17"/>
  <c r="P60" i="17"/>
  <c r="P63" i="18"/>
  <c r="F42" i="18"/>
  <c r="F9" i="17"/>
  <c r="P32" i="18"/>
  <c r="P70" i="18"/>
  <c r="F77" i="17"/>
  <c r="F45" i="17"/>
  <c r="P53" i="18"/>
  <c r="P24" i="17"/>
  <c r="P88" i="17"/>
  <c r="P27" i="18"/>
  <c r="F74" i="17"/>
  <c r="P49" i="17"/>
  <c r="F35" i="18"/>
  <c r="P51" i="18"/>
  <c r="P22" i="18"/>
  <c r="P42" i="17"/>
  <c r="P78" i="18"/>
  <c r="F16" i="18"/>
  <c r="F64" i="12"/>
  <c r="F75" i="18"/>
  <c r="P29" i="18"/>
  <c r="F86" i="18"/>
  <c r="P133" i="18"/>
  <c r="P43" i="18"/>
  <c r="P64" i="18"/>
  <c r="F20" i="18"/>
  <c r="F8" i="18"/>
  <c r="K34" i="18"/>
  <c r="K63" i="18"/>
  <c r="K60" i="18"/>
  <c r="K61" i="18"/>
  <c r="K48" i="18"/>
  <c r="K15" i="3"/>
  <c r="K21" i="17"/>
  <c r="K42" i="18"/>
  <c r="K19" i="18"/>
  <c r="K59" i="18"/>
  <c r="K53" i="18"/>
  <c r="K21" i="18"/>
  <c r="K65" i="18"/>
  <c r="K39" i="17"/>
  <c r="K70" i="18"/>
  <c r="K57" i="17"/>
  <c r="K24" i="18"/>
  <c r="K76" i="18"/>
  <c r="K78" i="18"/>
  <c r="K44" i="18"/>
  <c r="K85" i="17"/>
  <c r="K68" i="17"/>
  <c r="K28" i="17"/>
  <c r="E93" i="18"/>
  <c r="E40" i="18"/>
  <c r="E18" i="17"/>
  <c r="E62" i="18"/>
  <c r="E55" i="18"/>
  <c r="E77" i="17"/>
  <c r="E45" i="17"/>
  <c r="E61" i="18"/>
  <c r="E19" i="3"/>
  <c r="E76" i="17"/>
  <c r="E26" i="18"/>
  <c r="E11" i="17"/>
  <c r="E70" i="17"/>
  <c r="E69" i="17"/>
  <c r="E27" i="17"/>
  <c r="E34" i="17"/>
  <c r="E89" i="18"/>
  <c r="E31" i="18"/>
  <c r="E58" i="17"/>
  <c r="E70" i="18"/>
  <c r="E72" i="17"/>
  <c r="E26" i="14"/>
  <c r="E33" i="18"/>
  <c r="M32" i="18"/>
  <c r="M17" i="18"/>
  <c r="M42" i="18"/>
  <c r="M44" i="17"/>
  <c r="M61" i="18"/>
  <c r="M83" i="17"/>
  <c r="M34" i="18"/>
  <c r="M38" i="18"/>
  <c r="M24" i="18"/>
  <c r="M13" i="18"/>
  <c r="M44" i="18"/>
  <c r="M53" i="17"/>
  <c r="M19" i="17"/>
  <c r="M64" i="17"/>
  <c r="M21" i="18"/>
  <c r="M25" i="14"/>
  <c r="M29" i="18"/>
  <c r="M63" i="18"/>
  <c r="M58" i="18"/>
  <c r="M26" i="17"/>
  <c r="M15" i="14"/>
  <c r="M53" i="18"/>
  <c r="L19" i="17"/>
  <c r="L12" i="17"/>
  <c r="L64" i="18"/>
  <c r="L24" i="18"/>
  <c r="L63" i="18"/>
  <c r="L62" i="18"/>
  <c r="L28" i="17"/>
  <c r="L27" i="18"/>
  <c r="L42" i="18"/>
  <c r="L51" i="18"/>
  <c r="L28" i="18"/>
  <c r="L46" i="17"/>
  <c r="L44" i="18"/>
  <c r="L59" i="18"/>
  <c r="L56" i="17"/>
  <c r="L68" i="17"/>
  <c r="L16" i="18"/>
  <c r="L57" i="17"/>
  <c r="L73" i="17"/>
  <c r="L34" i="18"/>
  <c r="L85" i="17"/>
  <c r="L84" i="18"/>
  <c r="O15" i="18"/>
  <c r="O65" i="18"/>
  <c r="O51" i="18"/>
  <c r="O8" i="17"/>
  <c r="O48" i="18"/>
  <c r="O67" i="18"/>
  <c r="O101" i="18"/>
  <c r="O29" i="18"/>
  <c r="O34" i="18"/>
  <c r="O11" i="18"/>
  <c r="O46" i="17"/>
  <c r="O33" i="17"/>
  <c r="O49" i="17"/>
  <c r="O60" i="17"/>
  <c r="O64" i="18"/>
  <c r="O42" i="17"/>
  <c r="O27" i="18"/>
  <c r="O19" i="18"/>
  <c r="O53" i="18"/>
  <c r="O25" i="18"/>
  <c r="O32" i="18"/>
  <c r="O24" i="17"/>
  <c r="J49" i="18"/>
  <c r="J70" i="18"/>
  <c r="J61" i="17"/>
  <c r="J24" i="18"/>
  <c r="J26" i="18"/>
  <c r="J53" i="18"/>
  <c r="J62" i="18"/>
  <c r="J58" i="18"/>
  <c r="J30" i="17"/>
  <c r="J80" i="18"/>
  <c r="J42" i="18"/>
  <c r="J11" i="18"/>
  <c r="J113" i="18"/>
  <c r="J61" i="18"/>
  <c r="J50" i="17"/>
  <c r="G9" i="9"/>
  <c r="G9" i="5"/>
  <c r="J75" i="17"/>
  <c r="J66" i="18"/>
  <c r="J8" i="18"/>
  <c r="J29" i="18"/>
  <c r="J83" i="17"/>
  <c r="J92" i="18"/>
  <c r="J32" i="18"/>
  <c r="S51" i="18"/>
  <c r="S127" i="18"/>
  <c r="S22" i="18"/>
  <c r="S29" i="17"/>
  <c r="S20" i="17"/>
  <c r="S48" i="17"/>
  <c r="S62" i="17"/>
  <c r="S88" i="17"/>
  <c r="S43" i="18"/>
  <c r="S12" i="18"/>
  <c r="S76" i="18"/>
  <c r="S41" i="18"/>
  <c r="S74" i="17"/>
  <c r="S95" i="18"/>
  <c r="S133" i="18"/>
  <c r="S34" i="17"/>
  <c r="S28" i="18"/>
  <c r="S17" i="18"/>
  <c r="S25" i="18"/>
  <c r="S63" i="17"/>
  <c r="S38" i="17"/>
  <c r="S33" i="18"/>
  <c r="X31" i="18"/>
  <c r="X16" i="18"/>
  <c r="X67" i="18"/>
  <c r="X7" i="17"/>
  <c r="X10" i="18"/>
  <c r="X18" i="3"/>
  <c r="X66" i="17"/>
  <c r="X37" i="18"/>
  <c r="X26" i="18"/>
  <c r="X20" i="18"/>
  <c r="X86" i="18"/>
  <c r="X23" i="17"/>
  <c r="X76" i="18"/>
  <c r="X58" i="17"/>
  <c r="X18" i="18"/>
  <c r="X35" i="18"/>
  <c r="X50" i="18"/>
  <c r="X33" i="18"/>
  <c r="X40" i="18"/>
  <c r="X89" i="18"/>
  <c r="X28" i="18"/>
  <c r="X77" i="17"/>
  <c r="X32" i="17"/>
  <c r="R48" i="17"/>
  <c r="R41" i="18"/>
  <c r="R78" i="18"/>
  <c r="R22" i="17"/>
  <c r="R40" i="17"/>
  <c r="R50" i="18"/>
  <c r="R9" i="18"/>
  <c r="R27" i="18"/>
  <c r="R66" i="18"/>
  <c r="R12" i="18"/>
  <c r="R17" i="18"/>
  <c r="R29" i="17"/>
  <c r="R56" i="17"/>
  <c r="R88" i="17"/>
  <c r="R93" i="18"/>
  <c r="R51" i="18"/>
  <c r="R18" i="3"/>
  <c r="R66" i="17"/>
  <c r="R20" i="18"/>
  <c r="O8" i="9"/>
  <c r="O8" i="5"/>
  <c r="R67" i="17"/>
  <c r="R38" i="18"/>
  <c r="R25" i="18"/>
  <c r="R114" i="18"/>
  <c r="Y7" i="17"/>
  <c r="Y30" i="17"/>
  <c r="Y10" i="18"/>
  <c r="Y20" i="14"/>
  <c r="Y23" i="17"/>
  <c r="Y86" i="18"/>
  <c r="Y26" i="18"/>
  <c r="Y33" i="18"/>
  <c r="Y18" i="18"/>
  <c r="Y47" i="17"/>
  <c r="Y44" i="18"/>
  <c r="Y67" i="18"/>
  <c r="Y71" i="18"/>
  <c r="Y32" i="14"/>
  <c r="Y58" i="17"/>
  <c r="Y21" i="18"/>
  <c r="Y37" i="18"/>
  <c r="Y83" i="18"/>
  <c r="Y28" i="18"/>
  <c r="Y40" i="18"/>
  <c r="Y20" i="18"/>
  <c r="Y35" i="18"/>
  <c r="T27" i="17"/>
  <c r="T20" i="17"/>
  <c r="T11" i="17"/>
  <c r="T35" i="18"/>
  <c r="T22" i="18"/>
  <c r="T63" i="17"/>
  <c r="T28" i="18"/>
  <c r="T76" i="18"/>
  <c r="T55" i="17"/>
  <c r="T18" i="18"/>
  <c r="T84" i="17"/>
  <c r="T15" i="18"/>
  <c r="T43" i="18"/>
  <c r="T41" i="18"/>
  <c r="T38" i="18"/>
  <c r="T17" i="18"/>
  <c r="T71" i="18"/>
  <c r="T25" i="18"/>
  <c r="T16" i="14"/>
  <c r="T38" i="17"/>
  <c r="T93" i="18"/>
  <c r="T74" i="18"/>
  <c r="Q40" i="17"/>
  <c r="Q17" i="18"/>
  <c r="Q34" i="18"/>
  <c r="Q27" i="18"/>
  <c r="Q127" i="18"/>
  <c r="Q11" i="18"/>
  <c r="Q33" i="14"/>
  <c r="Q56" i="17"/>
  <c r="Q31" i="17"/>
  <c r="Q25" i="18"/>
  <c r="Q114" i="18"/>
  <c r="Q48" i="18"/>
  <c r="Q66" i="18"/>
  <c r="Q19" i="3"/>
  <c r="Q76" i="17"/>
  <c r="Q19" i="18"/>
  <c r="Q31" i="18"/>
  <c r="Q9" i="18"/>
  <c r="Q29" i="18"/>
  <c r="N8" i="9"/>
  <c r="N8" i="5"/>
  <c r="Q67" i="17"/>
  <c r="Q38" i="18"/>
  <c r="Q22" i="17"/>
  <c r="Q65" i="18"/>
  <c r="U11" i="17"/>
  <c r="U72" i="17"/>
  <c r="U27" i="17"/>
  <c r="U38" i="18"/>
  <c r="U18" i="18"/>
  <c r="U41" i="18"/>
  <c r="U15" i="18"/>
  <c r="U74" i="17"/>
  <c r="U83" i="18"/>
  <c r="U37" i="18"/>
  <c r="U25" i="18"/>
  <c r="U67" i="18"/>
  <c r="U9" i="18"/>
  <c r="U55" i="17"/>
  <c r="U50" i="18"/>
  <c r="U43" i="18"/>
  <c r="U31" i="18"/>
  <c r="U66" i="18"/>
  <c r="U26" i="18"/>
  <c r="U28" i="18"/>
  <c r="U22" i="18"/>
  <c r="U26" i="14"/>
  <c r="P44" i="18"/>
  <c r="P49" i="18"/>
  <c r="P117" i="18"/>
  <c r="P62" i="18"/>
  <c r="P8" i="18"/>
  <c r="P42" i="18"/>
  <c r="P59" i="18"/>
  <c r="P40" i="18"/>
  <c r="P26" i="18"/>
  <c r="M9" i="9"/>
  <c r="M9" i="5"/>
  <c r="P75" i="17"/>
  <c r="P64" i="12"/>
  <c r="P75" i="18"/>
  <c r="P71" i="17"/>
  <c r="P55" i="18"/>
  <c r="P13" i="18"/>
  <c r="P56" i="18"/>
  <c r="P60" i="18"/>
  <c r="P82" i="18"/>
  <c r="P21" i="18"/>
  <c r="P80" i="18"/>
  <c r="P58" i="18"/>
  <c r="P101" i="18"/>
  <c r="P54" i="18"/>
  <c r="AA85" i="17"/>
  <c r="AA15" i="3"/>
  <c r="AA21" i="17"/>
  <c r="AA19" i="18"/>
  <c r="AA42" i="18"/>
  <c r="AA65" i="17"/>
  <c r="AA26" i="18"/>
  <c r="AA24" i="18"/>
  <c r="AA88" i="17"/>
  <c r="AA32" i="18"/>
  <c r="AA37" i="18"/>
  <c r="AA40" i="18"/>
  <c r="AA83" i="18"/>
  <c r="AA55" i="18"/>
  <c r="AA54" i="17"/>
  <c r="AA13" i="18"/>
  <c r="AA8" i="18"/>
  <c r="AA35" i="18"/>
  <c r="AA49" i="18"/>
  <c r="AA39" i="17"/>
  <c r="AA16" i="18"/>
  <c r="AA56" i="18"/>
  <c r="AA70" i="17"/>
  <c r="W43" i="17"/>
  <c r="W42" i="18"/>
  <c r="W72" i="17"/>
  <c r="W9" i="17"/>
  <c r="W31" i="18"/>
  <c r="W28" i="18"/>
  <c r="W79" i="18"/>
  <c r="W20" i="18"/>
  <c r="W50" i="18"/>
  <c r="W22" i="14"/>
  <c r="W35" i="18"/>
  <c r="W40" i="18"/>
  <c r="W12" i="18"/>
  <c r="W25" i="17"/>
  <c r="W22" i="18"/>
  <c r="W17" i="3"/>
  <c r="W51" i="17"/>
  <c r="W89" i="18"/>
  <c r="W70" i="17"/>
  <c r="W24" i="18"/>
  <c r="W43" i="18"/>
  <c r="W33" i="18"/>
  <c r="W45" i="17"/>
  <c r="C69" i="18"/>
  <c r="C90" i="17"/>
  <c r="C34" i="14"/>
  <c r="C86" i="17"/>
  <c r="C36" i="18"/>
  <c r="C61" i="13"/>
  <c r="C73" i="18"/>
  <c r="C45" i="18"/>
  <c r="C35" i="14"/>
  <c r="C28" i="14"/>
  <c r="C47" i="18"/>
  <c r="C82" i="17"/>
  <c r="C58" i="13"/>
  <c r="C8" i="14"/>
  <c r="C68" i="18"/>
  <c r="C56" i="13"/>
  <c r="C88" i="18"/>
  <c r="C11" i="14"/>
  <c r="C12" i="14"/>
  <c r="C7" i="14"/>
  <c r="C20" i="3"/>
  <c r="C81" i="17"/>
  <c r="C93" i="17"/>
  <c r="D59" i="18"/>
  <c r="D84" i="17"/>
  <c r="D102" i="18"/>
  <c r="D72" i="18"/>
  <c r="D37" i="18"/>
  <c r="D116" i="18"/>
  <c r="D9" i="18"/>
  <c r="D49" i="18"/>
  <c r="D31" i="18"/>
  <c r="D15" i="18"/>
  <c r="D38" i="18"/>
  <c r="D77" i="18"/>
  <c r="D43" i="18"/>
  <c r="D25" i="18"/>
  <c r="D60" i="18"/>
  <c r="D54" i="18"/>
  <c r="D78" i="18"/>
  <c r="D50" i="18"/>
  <c r="D22" i="18"/>
  <c r="D58" i="18"/>
  <c r="D41" i="18"/>
  <c r="D17" i="18"/>
  <c r="Z30" i="17"/>
  <c r="Z33" i="18"/>
  <c r="Z37" i="18"/>
  <c r="Z28" i="18"/>
  <c r="W9" i="9"/>
  <c r="W9" i="5"/>
  <c r="Z75" i="17"/>
  <c r="Z65" i="17"/>
  <c r="Z18" i="18"/>
  <c r="Z62" i="17"/>
  <c r="Z26" i="18"/>
  <c r="Z20" i="18"/>
  <c r="Z47" i="17"/>
  <c r="Z24" i="18"/>
  <c r="Z10" i="18"/>
  <c r="Z29" i="18"/>
  <c r="Z74" i="18"/>
  <c r="Z32" i="14"/>
  <c r="Z35" i="18"/>
  <c r="Z54" i="18"/>
  <c r="Z93" i="18"/>
  <c r="Z31" i="18"/>
  <c r="Z77" i="17"/>
  <c r="Z8" i="18"/>
  <c r="V31" i="18"/>
  <c r="V33" i="18"/>
  <c r="V15" i="18"/>
  <c r="V43" i="18"/>
  <c r="V50" i="18"/>
  <c r="V16" i="18"/>
  <c r="V62" i="17"/>
  <c r="V20" i="18"/>
  <c r="V66" i="18"/>
  <c r="V41" i="18"/>
  <c r="V45" i="17"/>
  <c r="V49" i="18"/>
  <c r="V34" i="17"/>
  <c r="V59" i="17"/>
  <c r="V84" i="17"/>
  <c r="V81" i="18"/>
  <c r="V18" i="17"/>
  <c r="V18" i="18"/>
  <c r="V12" i="18"/>
  <c r="V22" i="18"/>
  <c r="V40" i="18"/>
  <c r="V28" i="18"/>
  <c r="C9" i="18"/>
  <c r="C116" i="18"/>
  <c r="C77" i="18"/>
  <c r="C27" i="18"/>
  <c r="C32" i="18"/>
  <c r="C21" i="18"/>
  <c r="C41" i="18"/>
  <c r="C81" i="18"/>
  <c r="C74" i="17"/>
  <c r="C43" i="18"/>
  <c r="C67" i="18"/>
  <c r="C19" i="3"/>
  <c r="C76" i="17"/>
  <c r="C35" i="18"/>
  <c r="C50" i="18"/>
  <c r="C51" i="18"/>
  <c r="C72" i="18"/>
  <c r="C34" i="18"/>
  <c r="C19" i="18"/>
  <c r="C48" i="18"/>
  <c r="C83" i="18"/>
  <c r="C17" i="18"/>
  <c r="C25" i="18"/>
  <c r="T27" i="18"/>
  <c r="T58" i="18"/>
  <c r="T44" i="18"/>
  <c r="T71" i="17"/>
  <c r="T9" i="18"/>
  <c r="T48" i="18"/>
  <c r="T21" i="18"/>
  <c r="T34" i="18"/>
  <c r="T13" i="18"/>
  <c r="T51" i="18"/>
  <c r="T80" i="18"/>
  <c r="T32" i="18"/>
  <c r="T64" i="12"/>
  <c r="T75" i="18"/>
  <c r="T62" i="18"/>
  <c r="T55" i="18"/>
  <c r="T56" i="18"/>
  <c r="T60" i="18"/>
  <c r="T64" i="18"/>
  <c r="T59" i="18"/>
  <c r="T70" i="18"/>
  <c r="T84" i="18"/>
  <c r="T29" i="18"/>
  <c r="K35" i="18"/>
  <c r="K16" i="18"/>
  <c r="K10" i="18"/>
  <c r="K33" i="18"/>
  <c r="K40" i="18"/>
  <c r="K72" i="17"/>
  <c r="K56" i="18"/>
  <c r="K72" i="18"/>
  <c r="K55" i="18"/>
  <c r="K77" i="18"/>
  <c r="K57" i="18"/>
  <c r="K22" i="18"/>
  <c r="K8" i="18"/>
  <c r="K49" i="18"/>
  <c r="K31" i="18"/>
  <c r="K26" i="18"/>
  <c r="K37" i="18"/>
  <c r="K80" i="18"/>
  <c r="K28" i="18"/>
  <c r="K18" i="18"/>
  <c r="K84" i="17"/>
  <c r="K50" i="18"/>
  <c r="R90" i="18"/>
  <c r="R40" i="18"/>
  <c r="R60" i="18"/>
  <c r="R44" i="18"/>
  <c r="R73" i="17"/>
  <c r="R19" i="18"/>
  <c r="R11" i="18"/>
  <c r="R85" i="17"/>
  <c r="R64" i="18"/>
  <c r="R57" i="18"/>
  <c r="R53" i="18"/>
  <c r="R24" i="18"/>
  <c r="R29" i="18"/>
  <c r="R42" i="18"/>
  <c r="R34" i="18"/>
  <c r="R32" i="18"/>
  <c r="R58" i="18"/>
  <c r="R56" i="18"/>
  <c r="R61" i="18"/>
  <c r="R16" i="18"/>
  <c r="R62" i="18"/>
  <c r="R54" i="18"/>
  <c r="E13" i="21"/>
  <c r="E67" i="18"/>
  <c r="E32" i="18"/>
  <c r="E121" i="18"/>
  <c r="E15" i="18"/>
  <c r="E74" i="18"/>
  <c r="E11" i="18"/>
  <c r="E81" i="18"/>
  <c r="E34" i="18"/>
  <c r="E38" i="18"/>
  <c r="E50" i="18"/>
  <c r="E21" i="18"/>
  <c r="E22" i="18"/>
  <c r="E74" i="17"/>
  <c r="E19" i="18"/>
  <c r="E29" i="18"/>
  <c r="E25" i="18"/>
  <c r="E17" i="18"/>
  <c r="E48" i="18"/>
  <c r="E43" i="18"/>
  <c r="E41" i="18"/>
  <c r="E48" i="17"/>
  <c r="I119" i="18"/>
  <c r="I81" i="18"/>
  <c r="I25" i="18"/>
  <c r="I31" i="18"/>
  <c r="I17" i="18"/>
  <c r="I10" i="18"/>
  <c r="I82" i="18"/>
  <c r="I55" i="18"/>
  <c r="I18" i="18"/>
  <c r="I33" i="18"/>
  <c r="I79" i="18"/>
  <c r="I50" i="18"/>
  <c r="I28" i="18"/>
  <c r="I12" i="18"/>
  <c r="I74" i="17"/>
  <c r="I41" i="18"/>
  <c r="I43" i="18"/>
  <c r="I37" i="18"/>
  <c r="I35" i="18"/>
  <c r="I38" i="18"/>
  <c r="I20" i="18"/>
  <c r="I60" i="17"/>
  <c r="S19" i="18"/>
  <c r="S32" i="18"/>
  <c r="S70" i="18"/>
  <c r="S19" i="3"/>
  <c r="S76" i="17"/>
  <c r="S65" i="18"/>
  <c r="S63" i="18"/>
  <c r="S9" i="18"/>
  <c r="S55" i="18"/>
  <c r="S83" i="17"/>
  <c r="S27" i="18"/>
  <c r="S13" i="18"/>
  <c r="S84" i="18"/>
  <c r="S61" i="18"/>
  <c r="S48" i="18"/>
  <c r="S60" i="18"/>
  <c r="S44" i="18"/>
  <c r="S117" i="18"/>
  <c r="S21" i="18"/>
  <c r="S34" i="18"/>
  <c r="S64" i="18"/>
  <c r="S57" i="18"/>
  <c r="S53" i="18"/>
  <c r="G137" i="18"/>
  <c r="G41" i="18"/>
  <c r="G27" i="18"/>
  <c r="G19" i="3"/>
  <c r="G76" i="17"/>
  <c r="G31" i="18"/>
  <c r="G50" i="18"/>
  <c r="G72" i="17"/>
  <c r="G83" i="18"/>
  <c r="G15" i="18"/>
  <c r="G88" i="17"/>
  <c r="G20" i="18"/>
  <c r="G93" i="18"/>
  <c r="G12" i="18"/>
  <c r="G19" i="18"/>
  <c r="G33" i="18"/>
  <c r="G43" i="18"/>
  <c r="G22" i="18"/>
  <c r="G64" i="12"/>
  <c r="G75" i="18"/>
  <c r="G9" i="18"/>
  <c r="G70" i="17"/>
  <c r="G101" i="18"/>
  <c r="G38" i="18"/>
  <c r="V19" i="18"/>
  <c r="V88" i="17"/>
  <c r="V94" i="18"/>
  <c r="V70" i="18"/>
  <c r="V29" i="18"/>
  <c r="V65" i="18"/>
  <c r="V69" i="17"/>
  <c r="V38" i="18"/>
  <c r="V48" i="18"/>
  <c r="V27" i="18"/>
  <c r="V57" i="18"/>
  <c r="V58" i="18"/>
  <c r="V62" i="18"/>
  <c r="V25" i="18"/>
  <c r="V56" i="18"/>
  <c r="V78" i="18"/>
  <c r="V60" i="18"/>
  <c r="V34" i="18"/>
  <c r="V11" i="18"/>
  <c r="V53" i="18"/>
  <c r="V32" i="18"/>
  <c r="V51" i="18"/>
  <c r="M26" i="18"/>
  <c r="M33" i="18"/>
  <c r="M31" i="18"/>
  <c r="M56" i="17"/>
  <c r="M102" i="18"/>
  <c r="M12" i="18"/>
  <c r="M40" i="18"/>
  <c r="M49" i="18"/>
  <c r="M57" i="18"/>
  <c r="M55" i="18"/>
  <c r="M28" i="18"/>
  <c r="M16" i="18"/>
  <c r="M85" i="17"/>
  <c r="M35" i="18"/>
  <c r="M37" i="18"/>
  <c r="M59" i="18"/>
  <c r="M77" i="18"/>
  <c r="M20" i="18"/>
  <c r="M70" i="17"/>
  <c r="M54" i="18"/>
  <c r="M8" i="18"/>
  <c r="M64" i="12"/>
  <c r="M75" i="18"/>
  <c r="F34" i="18"/>
  <c r="F72" i="18"/>
  <c r="F48" i="18"/>
  <c r="F88" i="17"/>
  <c r="F11" i="18"/>
  <c r="F29" i="18"/>
  <c r="F15" i="18"/>
  <c r="F77" i="18"/>
  <c r="F38" i="18"/>
  <c r="F25" i="18"/>
  <c r="F27" i="18"/>
  <c r="F121" i="18"/>
  <c r="F50" i="18"/>
  <c r="F74" i="18"/>
  <c r="F31" i="18"/>
  <c r="F41" i="18"/>
  <c r="F43" i="18"/>
  <c r="F84" i="17"/>
  <c r="F51" i="18"/>
  <c r="F19" i="18"/>
  <c r="F22" i="18"/>
  <c r="F69" i="17"/>
  <c r="Q64" i="12"/>
  <c r="Q75" i="18"/>
  <c r="Q90" i="18"/>
  <c r="Q42" i="18"/>
  <c r="Q49" i="18"/>
  <c r="Q44" i="18"/>
  <c r="Q8" i="18"/>
  <c r="Q72" i="18"/>
  <c r="Q54" i="18"/>
  <c r="Q57" i="18"/>
  <c r="Q94" i="18"/>
  <c r="Q63" i="18"/>
  <c r="Q55" i="18"/>
  <c r="Q40" i="18"/>
  <c r="Q16" i="18"/>
  <c r="Q62" i="18"/>
  <c r="Q32" i="18"/>
  <c r="Q21" i="18"/>
  <c r="Q24" i="18"/>
  <c r="Q59" i="18"/>
  <c r="Q53" i="18"/>
  <c r="Q85" i="17"/>
  <c r="Q26" i="18"/>
  <c r="N94" i="18"/>
  <c r="N60" i="18"/>
  <c r="N84" i="18"/>
  <c r="N16" i="18"/>
  <c r="N40" i="18"/>
  <c r="N77" i="17"/>
  <c r="N10" i="18"/>
  <c r="N61" i="18"/>
  <c r="N24" i="18"/>
  <c r="N33" i="18"/>
  <c r="N44" i="18"/>
  <c r="N49" i="18"/>
  <c r="N57" i="18"/>
  <c r="N82" i="18"/>
  <c r="N37" i="18"/>
  <c r="N13" i="18"/>
  <c r="N42" i="18"/>
  <c r="N54" i="18"/>
  <c r="N58" i="18"/>
  <c r="N73" i="17"/>
  <c r="N28" i="18"/>
  <c r="N20" i="18"/>
  <c r="L90" i="18"/>
  <c r="L18" i="18"/>
  <c r="L12" i="18"/>
  <c r="L72" i="18"/>
  <c r="L33" i="18"/>
  <c r="L49" i="18"/>
  <c r="L8" i="18"/>
  <c r="L40" i="18"/>
  <c r="I9" i="9"/>
  <c r="I9" i="5"/>
  <c r="L75" i="17"/>
  <c r="L49" i="17"/>
  <c r="L60" i="18"/>
  <c r="L50" i="18"/>
  <c r="L22" i="18"/>
  <c r="L56" i="18"/>
  <c r="L65" i="17"/>
  <c r="L20" i="18"/>
  <c r="L137" i="18"/>
  <c r="L35" i="18"/>
  <c r="L77" i="18"/>
  <c r="L26" i="18"/>
  <c r="L54" i="18"/>
  <c r="L31" i="18"/>
  <c r="H22" i="18"/>
  <c r="H33" i="18"/>
  <c r="H17" i="18"/>
  <c r="H41" i="18"/>
  <c r="H27" i="18"/>
  <c r="H20" i="18"/>
  <c r="H12" i="18"/>
  <c r="H31" i="18"/>
  <c r="H69" i="17"/>
  <c r="H74" i="18"/>
  <c r="H43" i="18"/>
  <c r="H50" i="18"/>
  <c r="H67" i="18"/>
  <c r="H83" i="18"/>
  <c r="H119" i="18"/>
  <c r="H88" i="17"/>
  <c r="H51" i="18"/>
  <c r="H38" i="18"/>
  <c r="H9" i="18"/>
  <c r="H64" i="12"/>
  <c r="H75" i="18"/>
  <c r="H53" i="17"/>
  <c r="H25" i="18"/>
  <c r="X66" i="18"/>
  <c r="X34" i="18"/>
  <c r="X64" i="18"/>
  <c r="X12" i="18"/>
  <c r="X19" i="18"/>
  <c r="X48" i="18"/>
  <c r="X51" i="18"/>
  <c r="X27" i="18"/>
  <c r="X78" i="18"/>
  <c r="X88" i="17"/>
  <c r="X25" i="18"/>
  <c r="X38" i="18"/>
  <c r="X63" i="18"/>
  <c r="X102" i="18"/>
  <c r="X41" i="18"/>
  <c r="X17" i="18"/>
  <c r="X43" i="18"/>
  <c r="X22" i="18"/>
  <c r="X53" i="17"/>
  <c r="X64" i="12"/>
  <c r="X75" i="18"/>
  <c r="X69" i="17"/>
  <c r="X9" i="18"/>
  <c r="V45" i="18"/>
  <c r="V59" i="13"/>
  <c r="V93" i="17"/>
  <c r="V65" i="13"/>
  <c r="T19" i="7"/>
  <c r="T50" i="11"/>
  <c r="T58" i="10"/>
  <c r="T18" i="4"/>
  <c r="T20" i="2"/>
  <c r="V27" i="14"/>
  <c r="V69" i="18"/>
  <c r="V46" i="18"/>
  <c r="V82" i="17"/>
  <c r="V36" i="18"/>
  <c r="V61" i="13"/>
  <c r="V107" i="18"/>
  <c r="V86" i="17"/>
  <c r="V73" i="18"/>
  <c r="T6" i="7"/>
  <c r="V20" i="3"/>
  <c r="V81" i="17"/>
  <c r="V90" i="17"/>
  <c r="V109" i="18"/>
  <c r="V47" i="18"/>
  <c r="V18" i="14"/>
  <c r="V88" i="18"/>
  <c r="V87" i="17"/>
  <c r="V12" i="14"/>
  <c r="V68" i="18"/>
  <c r="O26" i="18"/>
  <c r="O28" i="18"/>
  <c r="O40" i="18"/>
  <c r="O57" i="18"/>
  <c r="O49" i="18"/>
  <c r="O21" i="18"/>
  <c r="O55" i="18"/>
  <c r="O13" i="18"/>
  <c r="O70" i="17"/>
  <c r="O35" i="18"/>
  <c r="O83" i="17"/>
  <c r="O24" i="18"/>
  <c r="O44" i="18"/>
  <c r="O54" i="17"/>
  <c r="O82" i="18"/>
  <c r="O56" i="18"/>
  <c r="O59" i="18"/>
  <c r="O42" i="18"/>
  <c r="O10" i="18"/>
  <c r="O61" i="18"/>
  <c r="O18" i="18"/>
  <c r="O37" i="18"/>
  <c r="J33" i="18"/>
  <c r="J43" i="18"/>
  <c r="J15" i="18"/>
  <c r="J18" i="18"/>
  <c r="J41" i="18"/>
  <c r="G8" i="9"/>
  <c r="G8" i="5"/>
  <c r="J67" i="17"/>
  <c r="J37" i="18"/>
  <c r="J22" i="18"/>
  <c r="J72" i="18"/>
  <c r="J17" i="3"/>
  <c r="J51" i="17"/>
  <c r="J20" i="18"/>
  <c r="J31" i="18"/>
  <c r="J77" i="17"/>
  <c r="J10" i="18"/>
  <c r="J84" i="17"/>
  <c r="J90" i="18"/>
  <c r="J54" i="18"/>
  <c r="J56" i="18"/>
  <c r="J35" i="18"/>
  <c r="J25" i="18"/>
  <c r="J102" i="18"/>
  <c r="J28" i="18"/>
  <c r="AA18" i="18"/>
  <c r="AA41" i="18"/>
  <c r="AA31" i="18"/>
  <c r="AA15" i="18"/>
  <c r="AA22" i="18"/>
  <c r="AA58" i="17"/>
  <c r="AA93" i="18"/>
  <c r="AA65" i="18"/>
  <c r="AA28" i="18"/>
  <c r="AA38" i="18"/>
  <c r="AA84" i="17"/>
  <c r="AA50" i="18"/>
  <c r="AA64" i="12"/>
  <c r="AA75" i="18"/>
  <c r="AA25" i="18"/>
  <c r="AA74" i="17"/>
  <c r="AA33" i="18"/>
  <c r="AA72" i="17"/>
  <c r="AA80" i="18"/>
  <c r="AA10" i="18"/>
  <c r="AA51" i="18"/>
  <c r="AA43" i="18"/>
  <c r="AA70" i="18"/>
  <c r="D44" i="18"/>
  <c r="D59" i="17"/>
  <c r="D50" i="17"/>
  <c r="D51" i="18"/>
  <c r="D21" i="18"/>
  <c r="D71" i="17"/>
  <c r="D57" i="17"/>
  <c r="D42" i="18"/>
  <c r="D48" i="18"/>
  <c r="D123" i="18"/>
  <c r="D18" i="3"/>
  <c r="D66" i="17"/>
  <c r="D34" i="18"/>
  <c r="D27" i="18"/>
  <c r="D32" i="18"/>
  <c r="D13" i="18"/>
  <c r="D67" i="18"/>
  <c r="D29" i="18"/>
  <c r="D85" i="17"/>
  <c r="D16" i="18"/>
  <c r="D79" i="18"/>
  <c r="D73" i="17"/>
  <c r="D24" i="18"/>
  <c r="W64" i="18"/>
  <c r="W60" i="18"/>
  <c r="W15" i="18"/>
  <c r="W59" i="18"/>
  <c r="W94" i="18"/>
  <c r="W41" i="18"/>
  <c r="W53" i="18"/>
  <c r="W65" i="18"/>
  <c r="W46" i="17"/>
  <c r="W61" i="18"/>
  <c r="W38" i="18"/>
  <c r="W19" i="3"/>
  <c r="W76" i="17"/>
  <c r="W88" i="17"/>
  <c r="W48" i="18"/>
  <c r="W32" i="18"/>
  <c r="W62" i="17"/>
  <c r="W9" i="18"/>
  <c r="W11" i="18"/>
  <c r="W27" i="18"/>
  <c r="W63" i="18"/>
  <c r="W80" i="18"/>
  <c r="W19" i="18"/>
  <c r="U64" i="17"/>
  <c r="U62" i="18"/>
  <c r="U48" i="18"/>
  <c r="U53" i="18"/>
  <c r="U21" i="18"/>
  <c r="U82" i="18"/>
  <c r="U59" i="18"/>
  <c r="U65" i="18"/>
  <c r="U44" i="18"/>
  <c r="U55" i="18"/>
  <c r="U19" i="18"/>
  <c r="U11" i="18"/>
  <c r="U29" i="18"/>
  <c r="U63" i="18"/>
  <c r="U17" i="18"/>
  <c r="U34" i="18"/>
  <c r="U48" i="17"/>
  <c r="U58" i="18"/>
  <c r="U83" i="17"/>
  <c r="U32" i="18"/>
  <c r="U13" i="18"/>
  <c r="U61" i="18"/>
  <c r="Y50" i="18"/>
  <c r="Y48" i="18"/>
  <c r="Y74" i="17"/>
  <c r="Y62" i="18"/>
  <c r="Y19" i="3"/>
  <c r="Y76" i="17"/>
  <c r="Y16" i="3"/>
  <c r="Y35" i="17"/>
  <c r="Y6" i="19"/>
  <c r="Y31" i="18"/>
  <c r="Y82" i="18"/>
  <c r="Y12" i="18"/>
  <c r="Y64" i="12"/>
  <c r="Y75" i="18"/>
  <c r="Y41" i="18"/>
  <c r="Y61" i="18"/>
  <c r="Y60" i="17"/>
  <c r="Y9" i="18"/>
  <c r="Y44" i="17"/>
  <c r="Y38" i="18"/>
  <c r="Y17" i="18"/>
  <c r="Y43" i="18"/>
  <c r="Y63" i="18"/>
  <c r="Y51" i="18"/>
  <c r="Y25" i="18"/>
  <c r="Y78" i="18"/>
  <c r="C64" i="18"/>
  <c r="C42" i="18"/>
  <c r="C112" i="18"/>
  <c r="C40" i="18"/>
  <c r="C18" i="3"/>
  <c r="C66" i="17"/>
  <c r="C123" i="18"/>
  <c r="C85" i="17"/>
  <c r="C65" i="18"/>
  <c r="C8" i="18"/>
  <c r="C59" i="17"/>
  <c r="C92" i="18"/>
  <c r="C83" i="17"/>
  <c r="C13" i="18"/>
  <c r="C50" i="17"/>
  <c r="C75" i="17"/>
  <c r="C26" i="18"/>
  <c r="C71" i="18"/>
  <c r="C44" i="18"/>
  <c r="C24" i="18"/>
  <c r="C53" i="18"/>
  <c r="C16" i="18"/>
  <c r="C63" i="18"/>
  <c r="Z87" i="17"/>
  <c r="Z45" i="18"/>
  <c r="Z68" i="18"/>
  <c r="Z36" i="18"/>
  <c r="Z82" i="17"/>
  <c r="Z8" i="14"/>
  <c r="Z63" i="13"/>
  <c r="Z86" i="17"/>
  <c r="Z90" i="17"/>
  <c r="Z85" i="18"/>
  <c r="X6" i="7"/>
  <c r="Z20" i="3"/>
  <c r="Z81" i="17"/>
  <c r="Z91" i="18"/>
  <c r="Z47" i="18"/>
  <c r="Z104" i="18"/>
  <c r="Z73" i="18"/>
  <c r="Z60" i="13"/>
  <c r="Z17" i="14"/>
  <c r="Z110" i="18"/>
  <c r="Z93" i="17"/>
  <c r="Z55" i="13"/>
  <c r="Z12" i="14"/>
  <c r="Z46" i="18"/>
  <c r="Z60" i="17"/>
  <c r="Z84" i="18"/>
  <c r="Z70" i="18"/>
  <c r="Z43" i="18"/>
  <c r="Z62" i="18"/>
  <c r="Z48" i="18"/>
  <c r="W8" i="9"/>
  <c r="W8" i="5"/>
  <c r="Z67" i="17"/>
  <c r="Z41" i="18"/>
  <c r="Z22" i="18"/>
  <c r="Z84" i="17"/>
  <c r="Z27" i="18"/>
  <c r="Z17" i="3"/>
  <c r="Z51" i="17"/>
  <c r="Z17" i="18"/>
  <c r="Z9" i="18"/>
  <c r="Z25" i="18"/>
  <c r="Z61" i="18"/>
  <c r="Z19" i="3"/>
  <c r="Z76" i="17"/>
  <c r="Z38" i="18"/>
  <c r="Z64" i="18"/>
  <c r="Z51" i="18"/>
  <c r="Z65" i="18"/>
  <c r="Z15" i="18"/>
  <c r="L82" i="17"/>
  <c r="L27" i="14"/>
  <c r="L85" i="18"/>
  <c r="L55" i="13"/>
  <c r="L87" i="17"/>
  <c r="L18" i="14"/>
  <c r="L86" i="17"/>
  <c r="L36" i="18"/>
  <c r="L90" i="17"/>
  <c r="L46" i="18"/>
  <c r="L10" i="14"/>
  <c r="L73" i="18"/>
  <c r="L28" i="14"/>
  <c r="L65" i="13"/>
  <c r="J19" i="7"/>
  <c r="J50" i="11"/>
  <c r="J58" i="10"/>
  <c r="J18" i="4"/>
  <c r="J20" i="2"/>
  <c r="L45" i="18"/>
  <c r="L34" i="14"/>
  <c r="L91" i="18"/>
  <c r="L47" i="18"/>
  <c r="L96" i="18"/>
  <c r="L93" i="17"/>
  <c r="L68" i="18"/>
  <c r="L87" i="18"/>
  <c r="S83" i="18"/>
  <c r="S37" i="18"/>
  <c r="S50" i="17"/>
  <c r="S24" i="18"/>
  <c r="S58" i="18"/>
  <c r="S35" i="18"/>
  <c r="S68" i="17"/>
  <c r="S85" i="17"/>
  <c r="S26" i="18"/>
  <c r="S18" i="3"/>
  <c r="S66" i="17"/>
  <c r="S81" i="18"/>
  <c r="P9" i="9"/>
  <c r="P9" i="5"/>
  <c r="S75" i="17"/>
  <c r="S59" i="17"/>
  <c r="S42" i="18"/>
  <c r="S62" i="18"/>
  <c r="S18" i="18"/>
  <c r="S16" i="18"/>
  <c r="S90" i="18"/>
  <c r="S114" i="18"/>
  <c r="S8" i="18"/>
  <c r="S49" i="18"/>
  <c r="S40" i="18"/>
  <c r="F17" i="14"/>
  <c r="F93" i="17"/>
  <c r="F36" i="18"/>
  <c r="F87" i="17"/>
  <c r="F18" i="14"/>
  <c r="F12" i="14"/>
  <c r="F103" i="18"/>
  <c r="F45" i="18"/>
  <c r="F47" i="18"/>
  <c r="F96" i="18"/>
  <c r="F65" i="13"/>
  <c r="D19" i="7"/>
  <c r="D50" i="11"/>
  <c r="D58" i="10"/>
  <c r="D18" i="4"/>
  <c r="D20" i="2"/>
  <c r="F59" i="13"/>
  <c r="F69" i="18"/>
  <c r="D6" i="7"/>
  <c r="F20" i="3"/>
  <c r="F81" i="17"/>
  <c r="F82" i="17"/>
  <c r="F88" i="18"/>
  <c r="F68" i="18"/>
  <c r="F46" i="18"/>
  <c r="F27" i="14"/>
  <c r="F90" i="17"/>
  <c r="F86" i="17"/>
  <c r="F91" i="18"/>
  <c r="I103" i="18"/>
  <c r="I90" i="17"/>
  <c r="I55" i="13"/>
  <c r="I130" i="18"/>
  <c r="I86" i="17"/>
  <c r="I68" i="18"/>
  <c r="I46" i="18"/>
  <c r="I47" i="18"/>
  <c r="I82" i="17"/>
  <c r="G6" i="7"/>
  <c r="I20" i="3"/>
  <c r="I81" i="17"/>
  <c r="I64" i="13"/>
  <c r="I60" i="13"/>
  <c r="I96" i="18"/>
  <c r="I11" i="14"/>
  <c r="I73" i="18"/>
  <c r="I7" i="14"/>
  <c r="I93" i="17"/>
  <c r="I87" i="17"/>
  <c r="I35" i="14"/>
  <c r="I45" i="18"/>
  <c r="I88" i="18"/>
  <c r="I36" i="18"/>
  <c r="R82" i="17"/>
  <c r="R36" i="18"/>
  <c r="R45" i="18"/>
  <c r="R18" i="14"/>
  <c r="R90" i="17"/>
  <c r="R96" i="18"/>
  <c r="R87" i="17"/>
  <c r="R28" i="14"/>
  <c r="R47" i="18"/>
  <c r="R10" i="14"/>
  <c r="R69" i="18"/>
  <c r="R93" i="17"/>
  <c r="R130" i="18"/>
  <c r="R86" i="17"/>
  <c r="R59" i="13"/>
  <c r="R46" i="18"/>
  <c r="P6" i="7"/>
  <c r="R20" i="3"/>
  <c r="R81" i="17"/>
  <c r="R34" i="14"/>
  <c r="R73" i="18"/>
  <c r="R63" i="13"/>
  <c r="R106" i="18"/>
  <c r="R87" i="18"/>
  <c r="S35" i="14"/>
  <c r="S46" i="18"/>
  <c r="S45" i="18"/>
  <c r="S28" i="14"/>
  <c r="S47" i="18"/>
  <c r="S106" i="18"/>
  <c r="S82" i="17"/>
  <c r="S93" i="17"/>
  <c r="S87" i="17"/>
  <c r="S87" i="18"/>
  <c r="S90" i="17"/>
  <c r="S9" i="14"/>
  <c r="S11" i="14"/>
  <c r="S68" i="18"/>
  <c r="Q6" i="7"/>
  <c r="S20" i="3"/>
  <c r="S81" i="17"/>
  <c r="S64" i="13"/>
  <c r="S73" i="18"/>
  <c r="S69" i="18"/>
  <c r="S7" i="14"/>
  <c r="S36" i="18"/>
  <c r="S27" i="14"/>
  <c r="S105" i="18"/>
  <c r="W104" i="18"/>
  <c r="W93" i="17"/>
  <c r="W45" i="18"/>
  <c r="W58" i="13"/>
  <c r="W86" i="17"/>
  <c r="W107" i="18"/>
  <c r="W7" i="14"/>
  <c r="W47" i="18"/>
  <c r="W109" i="18"/>
  <c r="W82" i="17"/>
  <c r="W108" i="18"/>
  <c r="W12" i="14"/>
  <c r="W8" i="14"/>
  <c r="U6" i="7"/>
  <c r="W20" i="3"/>
  <c r="W81" i="17"/>
  <c r="W69" i="18"/>
  <c r="W28" i="14"/>
  <c r="W46" i="18"/>
  <c r="W62" i="13"/>
  <c r="W36" i="18"/>
  <c r="W90" i="17"/>
  <c r="W34" i="14"/>
  <c r="W85" i="18"/>
  <c r="X10" i="14"/>
  <c r="X142" i="18"/>
  <c r="X104" i="18"/>
  <c r="X63" i="13"/>
  <c r="X57" i="13"/>
  <c r="V18" i="7"/>
  <c r="V49" i="11"/>
  <c r="V57" i="10"/>
  <c r="X36" i="18"/>
  <c r="X93" i="17"/>
  <c r="X46" i="18"/>
  <c r="X8" i="14"/>
  <c r="X45" i="18"/>
  <c r="V6" i="7"/>
  <c r="X20" i="3"/>
  <c r="X81" i="17"/>
  <c r="X86" i="17"/>
  <c r="X90" i="17"/>
  <c r="X88" i="18"/>
  <c r="X109" i="18"/>
  <c r="X15" i="20"/>
  <c r="X17" i="14"/>
  <c r="X108" i="18"/>
  <c r="X35" i="14"/>
  <c r="X82" i="17"/>
  <c r="X34" i="14"/>
  <c r="X47" i="18"/>
  <c r="Y27" i="18"/>
  <c r="Y55" i="18"/>
  <c r="Y27" i="21"/>
  <c r="Y89" i="18"/>
  <c r="Y34" i="18"/>
  <c r="Y88" i="17"/>
  <c r="Y53" i="17"/>
  <c r="Y77" i="18"/>
  <c r="Y94" i="18"/>
  <c r="Y11" i="18"/>
  <c r="Y53" i="18"/>
  <c r="Y29" i="18"/>
  <c r="Y19" i="18"/>
  <c r="Y56" i="18"/>
  <c r="Y93" i="18"/>
  <c r="Y57" i="18"/>
  <c r="Y62" i="17"/>
  <c r="Y70" i="18"/>
  <c r="Y69" i="17"/>
  <c r="Y58" i="18"/>
  <c r="Y59" i="18"/>
  <c r="Y54" i="18"/>
  <c r="I88" i="17"/>
  <c r="I56" i="18"/>
  <c r="I53" i="17"/>
  <c r="I11" i="18"/>
  <c r="I67" i="18"/>
  <c r="I48" i="18"/>
  <c r="I19" i="3"/>
  <c r="I76" i="17"/>
  <c r="I93" i="18"/>
  <c r="I64" i="12"/>
  <c r="I75" i="18"/>
  <c r="I34" i="18"/>
  <c r="I29" i="18"/>
  <c r="I83" i="18"/>
  <c r="I86" i="18"/>
  <c r="I19" i="18"/>
  <c r="I62" i="17"/>
  <c r="I72" i="18"/>
  <c r="I102" i="18"/>
  <c r="I92" i="18"/>
  <c r="I27" i="18"/>
  <c r="I51" i="18"/>
  <c r="I69" i="17"/>
  <c r="I9" i="18"/>
  <c r="D65" i="13"/>
  <c r="D62" i="13"/>
  <c r="D82" i="17"/>
  <c r="D20" i="3"/>
  <c r="D81" i="17"/>
  <c r="D130" i="18"/>
  <c r="D8" i="14"/>
  <c r="D87" i="17"/>
  <c r="D68" i="18"/>
  <c r="D47" i="18"/>
  <c r="D55" i="13"/>
  <c r="D90" i="17"/>
  <c r="D28" i="14"/>
  <c r="D61" i="13"/>
  <c r="D17" i="14"/>
  <c r="D93" i="17"/>
  <c r="D45" i="18"/>
  <c r="D34" i="14"/>
  <c r="D36" i="18"/>
  <c r="D69" i="18"/>
  <c r="D56" i="13"/>
  <c r="D58" i="13"/>
  <c r="D86" i="17"/>
  <c r="K71" i="18"/>
  <c r="K74" i="17"/>
  <c r="K66" i="18"/>
  <c r="K51" i="18"/>
  <c r="K58" i="17"/>
  <c r="K25" i="18"/>
  <c r="K119" i="18"/>
  <c r="K9" i="18"/>
  <c r="K54" i="18"/>
  <c r="K95" i="18"/>
  <c r="K41" i="18"/>
  <c r="H8" i="9"/>
  <c r="H8" i="5"/>
  <c r="K67" i="17"/>
  <c r="K43" i="18"/>
  <c r="K38" i="18"/>
  <c r="K15" i="18"/>
  <c r="K27" i="18"/>
  <c r="K17" i="3"/>
  <c r="K51" i="17"/>
  <c r="K19" i="3"/>
  <c r="K76" i="17"/>
  <c r="K92" i="18"/>
  <c r="K60" i="17"/>
  <c r="K17" i="18"/>
  <c r="K79" i="18"/>
  <c r="E134" i="18"/>
  <c r="E50" i="17"/>
  <c r="E86" i="18"/>
  <c r="E18" i="3"/>
  <c r="E66" i="17"/>
  <c r="E85" i="17"/>
  <c r="E83" i="17"/>
  <c r="E16" i="18"/>
  <c r="E64" i="17"/>
  <c r="E73" i="17"/>
  <c r="E53" i="18"/>
  <c r="E63" i="18"/>
  <c r="E116" i="18"/>
  <c r="E13" i="18"/>
  <c r="E56" i="18"/>
  <c r="E112" i="18"/>
  <c r="E66" i="18"/>
  <c r="E64" i="12"/>
  <c r="E75" i="18"/>
  <c r="E44" i="18"/>
  <c r="E57" i="17"/>
  <c r="E24" i="18"/>
  <c r="E65" i="18"/>
  <c r="E42" i="18"/>
  <c r="F66" i="18"/>
  <c r="F63" i="18"/>
  <c r="F48" i="17"/>
  <c r="F67" i="18"/>
  <c r="F57" i="17"/>
  <c r="F64" i="17"/>
  <c r="F13" i="18"/>
  <c r="F71" i="17"/>
  <c r="F89" i="18"/>
  <c r="F65" i="18"/>
  <c r="F73" i="17"/>
  <c r="F83" i="18"/>
  <c r="F83" i="17"/>
  <c r="F53" i="18"/>
  <c r="F81" i="18"/>
  <c r="F55" i="17"/>
  <c r="F76" i="18"/>
  <c r="F24" i="18"/>
  <c r="F21" i="18"/>
  <c r="F32" i="18"/>
  <c r="F112" i="18"/>
  <c r="F137" i="18"/>
  <c r="I8" i="9"/>
  <c r="I8" i="5"/>
  <c r="L67" i="17"/>
  <c r="L38" i="18"/>
  <c r="L74" i="18"/>
  <c r="L70" i="18"/>
  <c r="L119" i="18"/>
  <c r="L61" i="18"/>
  <c r="L58" i="17"/>
  <c r="L67" i="18"/>
  <c r="L57" i="18"/>
  <c r="L43" i="18"/>
  <c r="L74" i="17"/>
  <c r="L117" i="18"/>
  <c r="L41" i="18"/>
  <c r="L15" i="18"/>
  <c r="L84" i="17"/>
  <c r="L25" i="18"/>
  <c r="L14" i="21"/>
  <c r="L17" i="18"/>
  <c r="L71" i="18"/>
  <c r="L113" i="18"/>
  <c r="L80" i="18"/>
  <c r="L17" i="3"/>
  <c r="L51" i="17"/>
  <c r="T16" i="18"/>
  <c r="T18" i="3"/>
  <c r="T66" i="17"/>
  <c r="T54" i="18"/>
  <c r="T49" i="18"/>
  <c r="T24" i="18"/>
  <c r="T42" i="18"/>
  <c r="T72" i="18"/>
  <c r="T57" i="17"/>
  <c r="T137" i="18"/>
  <c r="T26" i="18"/>
  <c r="T65" i="18"/>
  <c r="T59" i="17"/>
  <c r="T53" i="18"/>
  <c r="T50" i="17"/>
  <c r="T95" i="18"/>
  <c r="T90" i="18"/>
  <c r="T37" i="18"/>
  <c r="T8" i="18"/>
  <c r="Q9" i="9"/>
  <c r="Q9" i="5"/>
  <c r="T75" i="17"/>
  <c r="T40" i="18"/>
  <c r="T85" i="17"/>
  <c r="T73" i="17"/>
  <c r="AA17" i="3"/>
  <c r="AA51" i="17"/>
  <c r="AA111" i="18"/>
  <c r="X8" i="9"/>
  <c r="X8" i="5"/>
  <c r="AA67" i="17"/>
  <c r="AA63" i="18"/>
  <c r="AA86" i="18"/>
  <c r="AA60" i="17"/>
  <c r="AA17" i="18"/>
  <c r="AA19" i="3"/>
  <c r="AA76" i="17"/>
  <c r="AA48" i="18"/>
  <c r="AA16" i="3"/>
  <c r="AA35" i="17"/>
  <c r="AA6" i="19"/>
  <c r="AA122" i="18"/>
  <c r="AA61" i="18"/>
  <c r="AA54" i="18"/>
  <c r="AA53" i="18"/>
  <c r="AA60" i="18"/>
  <c r="AA59" i="18"/>
  <c r="AA72" i="18"/>
  <c r="AA27" i="18"/>
  <c r="AA9" i="18"/>
  <c r="AA57" i="18"/>
  <c r="AA34" i="18"/>
  <c r="AA66" i="18"/>
  <c r="U94" i="18"/>
  <c r="U76" i="18"/>
  <c r="U60" i="18"/>
  <c r="U50" i="17"/>
  <c r="U95" i="18"/>
  <c r="U16" i="18"/>
  <c r="U117" i="18"/>
  <c r="U81" i="18"/>
  <c r="U18" i="3"/>
  <c r="U66" i="17"/>
  <c r="U73" i="17"/>
  <c r="U78" i="18"/>
  <c r="U57" i="17"/>
  <c r="U71" i="18"/>
  <c r="U85" i="17"/>
  <c r="U24" i="18"/>
  <c r="U49" i="18"/>
  <c r="U77" i="18"/>
  <c r="U56" i="18"/>
  <c r="U40" i="18"/>
  <c r="U72" i="18"/>
  <c r="U42" i="18"/>
  <c r="U84" i="18"/>
  <c r="AA69" i="18"/>
  <c r="AA82" i="17"/>
  <c r="AA17" i="14"/>
  <c r="AA104" i="18"/>
  <c r="AA60" i="13"/>
  <c r="AA110" i="18"/>
  <c r="AA45" i="18"/>
  <c r="AA58" i="13"/>
  <c r="AA9" i="14"/>
  <c r="AA27" i="14"/>
  <c r="AA36" i="18"/>
  <c r="AA62" i="13"/>
  <c r="AA68" i="18"/>
  <c r="AA96" i="18"/>
  <c r="AA93" i="17"/>
  <c r="Y6" i="7"/>
  <c r="AA20" i="3"/>
  <c r="AA81" i="17"/>
  <c r="AA90" i="17"/>
  <c r="AA86" i="17"/>
  <c r="AA88" i="18"/>
  <c r="AA87" i="17"/>
  <c r="AA108" i="18"/>
  <c r="AA11" i="14"/>
  <c r="P81" i="18"/>
  <c r="P54" i="17"/>
  <c r="P28" i="18"/>
  <c r="P20" i="18"/>
  <c r="P35" i="18"/>
  <c r="P79" i="18"/>
  <c r="P61" i="17"/>
  <c r="P70" i="17"/>
  <c r="P31" i="18"/>
  <c r="P12" i="18"/>
  <c r="P37" i="18"/>
  <c r="P77" i="17"/>
  <c r="P18" i="18"/>
  <c r="P74" i="18"/>
  <c r="P66" i="18"/>
  <c r="P76" i="18"/>
  <c r="P114" i="18"/>
  <c r="P90" i="18"/>
  <c r="P45" i="17"/>
  <c r="P57" i="18"/>
  <c r="P10" i="18"/>
  <c r="P63" i="17"/>
  <c r="V71" i="17"/>
  <c r="V67" i="18"/>
  <c r="V64" i="17"/>
  <c r="V13" i="18"/>
  <c r="V33" i="21"/>
  <c r="V48" i="17"/>
  <c r="V86" i="18"/>
  <c r="V76" i="18"/>
  <c r="V117" i="18"/>
  <c r="V127" i="18"/>
  <c r="V21" i="18"/>
  <c r="V42" i="18"/>
  <c r="V77" i="18"/>
  <c r="V55" i="17"/>
  <c r="V83" i="17"/>
  <c r="V63" i="18"/>
  <c r="V54" i="18"/>
  <c r="V24" i="18"/>
  <c r="V73" i="17"/>
  <c r="V84" i="18"/>
  <c r="V57" i="17"/>
  <c r="V89" i="18"/>
  <c r="M67" i="18"/>
  <c r="M22" i="18"/>
  <c r="M72" i="17"/>
  <c r="M49" i="17"/>
  <c r="M127" i="18"/>
  <c r="M65" i="17"/>
  <c r="M92" i="18"/>
  <c r="M82" i="18"/>
  <c r="M123" i="18"/>
  <c r="M41" i="18"/>
  <c r="M74" i="17"/>
  <c r="M50" i="18"/>
  <c r="M64" i="18"/>
  <c r="M43" i="18"/>
  <c r="M58" i="17"/>
  <c r="M70" i="18"/>
  <c r="M14" i="21"/>
  <c r="M84" i="17"/>
  <c r="M25" i="18"/>
  <c r="M74" i="18"/>
  <c r="M15" i="18"/>
  <c r="M95" i="18"/>
  <c r="O86" i="17"/>
  <c r="O93" i="17"/>
  <c r="O11" i="14"/>
  <c r="O46" i="18"/>
  <c r="O85" i="18"/>
  <c r="O82" i="17"/>
  <c r="O64" i="13"/>
  <c r="O47" i="18"/>
  <c r="O90" i="17"/>
  <c r="O91" i="18"/>
  <c r="O68" i="18"/>
  <c r="O35" i="14"/>
  <c r="O45" i="18"/>
  <c r="O17" i="14"/>
  <c r="O88" i="18"/>
  <c r="O73" i="18"/>
  <c r="O87" i="17"/>
  <c r="O36" i="18"/>
  <c r="O96" i="18"/>
  <c r="O65" i="13"/>
  <c r="M19" i="7"/>
  <c r="M50" i="11"/>
  <c r="M58" i="10"/>
  <c r="M18" i="4"/>
  <c r="M20" i="2"/>
  <c r="O58" i="13"/>
  <c r="M6" i="7"/>
  <c r="O20" i="3"/>
  <c r="O81" i="17"/>
  <c r="G82" i="17"/>
  <c r="G45" i="18"/>
  <c r="G69" i="18"/>
  <c r="G85" i="18"/>
  <c r="G87" i="17"/>
  <c r="G11" i="14"/>
  <c r="G86" i="17"/>
  <c r="E6" i="7"/>
  <c r="G20" i="3"/>
  <c r="G81" i="17"/>
  <c r="G34" i="14"/>
  <c r="G104" i="18"/>
  <c r="G17" i="14"/>
  <c r="G47" i="18"/>
  <c r="G36" i="18"/>
  <c r="G46" i="18"/>
  <c r="G62" i="13"/>
  <c r="G103" i="18"/>
  <c r="G73" i="18"/>
  <c r="G93" i="17"/>
  <c r="G90" i="17"/>
  <c r="G110" i="18"/>
  <c r="G7" i="14"/>
  <c r="G28" i="14"/>
  <c r="N77" i="18"/>
  <c r="N55" i="18"/>
  <c r="N74" i="18"/>
  <c r="N47" i="17"/>
  <c r="N31" i="18"/>
  <c r="N59" i="18"/>
  <c r="N83" i="18"/>
  <c r="N72" i="18"/>
  <c r="N101" i="18"/>
  <c r="N81" i="18"/>
  <c r="N43" i="18"/>
  <c r="N56" i="17"/>
  <c r="N72" i="17"/>
  <c r="N15" i="18"/>
  <c r="N63" i="17"/>
  <c r="N49" i="17"/>
  <c r="N12" i="18"/>
  <c r="N102" i="18"/>
  <c r="N22" i="18"/>
  <c r="N65" i="17"/>
  <c r="N84" i="17"/>
  <c r="N113" i="18"/>
  <c r="R95" i="18"/>
  <c r="O9" i="9"/>
  <c r="O9" i="5"/>
  <c r="R75" i="17"/>
  <c r="R77" i="17"/>
  <c r="R67" i="18"/>
  <c r="R18" i="18"/>
  <c r="R55" i="18"/>
  <c r="R35" i="18"/>
  <c r="R68" i="17"/>
  <c r="R26" i="18"/>
  <c r="R8" i="18"/>
  <c r="R37" i="18"/>
  <c r="R61" i="17"/>
  <c r="R82" i="18"/>
  <c r="R33" i="18"/>
  <c r="R101" i="18"/>
  <c r="R28" i="18"/>
  <c r="R49" i="18"/>
  <c r="R77" i="18"/>
  <c r="R84" i="18"/>
  <c r="R10" i="18"/>
  <c r="R79" i="18"/>
  <c r="R59" i="17"/>
  <c r="H80" i="18"/>
  <c r="H86" i="18"/>
  <c r="H92" i="18"/>
  <c r="H11" i="18"/>
  <c r="H62" i="17"/>
  <c r="H71" i="17"/>
  <c r="H61" i="18"/>
  <c r="H125" i="18"/>
  <c r="H21" i="18"/>
  <c r="H65" i="18"/>
  <c r="H55" i="17"/>
  <c r="H138" i="18"/>
  <c r="H32" i="18"/>
  <c r="H66" i="18"/>
  <c r="H70" i="18"/>
  <c r="H71" i="18"/>
  <c r="H78" i="18"/>
  <c r="H29" i="18"/>
  <c r="H34" i="18"/>
  <c r="H48" i="18"/>
  <c r="H93" i="18"/>
  <c r="H19" i="18"/>
  <c r="Q68" i="17"/>
  <c r="Q101" i="18"/>
  <c r="Q35" i="18"/>
  <c r="Q20" i="18"/>
  <c r="Q82" i="18"/>
  <c r="Q77" i="18"/>
  <c r="Q79" i="18"/>
  <c r="Q71" i="18"/>
  <c r="Q70" i="17"/>
  <c r="Q61" i="17"/>
  <c r="Q64" i="18"/>
  <c r="Q18" i="18"/>
  <c r="Q74" i="18"/>
  <c r="Q77" i="17"/>
  <c r="Q95" i="18"/>
  <c r="Q37" i="18"/>
  <c r="Q33" i="18"/>
  <c r="Q50" i="18"/>
  <c r="Q60" i="18"/>
  <c r="Q54" i="17"/>
  <c r="Q28" i="18"/>
  <c r="Q10" i="18"/>
  <c r="J17" i="18"/>
  <c r="J77" i="18"/>
  <c r="J53" i="17"/>
  <c r="J48" i="18"/>
  <c r="J133" i="18"/>
  <c r="J59" i="18"/>
  <c r="J69" i="17"/>
  <c r="J27" i="18"/>
  <c r="J60" i="17"/>
  <c r="J121" i="18"/>
  <c r="J86" i="18"/>
  <c r="J93" i="18"/>
  <c r="J38" i="18"/>
  <c r="J19" i="18"/>
  <c r="J138" i="18"/>
  <c r="J34" i="18"/>
  <c r="J19" i="3"/>
  <c r="J76" i="17"/>
  <c r="J9" i="18"/>
  <c r="J76" i="18"/>
  <c r="J63" i="18"/>
  <c r="J88" i="17"/>
  <c r="J51" i="18"/>
  <c r="G121" i="18"/>
  <c r="G89" i="18"/>
  <c r="G55" i="17"/>
  <c r="G123" i="18"/>
  <c r="G112" i="18"/>
  <c r="G71" i="17"/>
  <c r="G62" i="17"/>
  <c r="G58" i="18"/>
  <c r="G67" i="18"/>
  <c r="G46" i="17"/>
  <c r="G32" i="18"/>
  <c r="G13" i="18"/>
  <c r="G83" i="17"/>
  <c r="G29" i="18"/>
  <c r="G64" i="17"/>
  <c r="G44" i="18"/>
  <c r="G81" i="18"/>
  <c r="G11" i="18"/>
  <c r="G48" i="18"/>
  <c r="G71" i="18"/>
  <c r="G21" i="18"/>
  <c r="G116" i="18"/>
  <c r="X83" i="18"/>
  <c r="X46" i="17"/>
  <c r="X81" i="18"/>
  <c r="X55" i="18"/>
  <c r="X60" i="18"/>
  <c r="X65" i="18"/>
  <c r="X11" i="18"/>
  <c r="X27" i="21"/>
  <c r="X62" i="17"/>
  <c r="X21" i="18"/>
  <c r="X56" i="18"/>
  <c r="X114" i="18"/>
  <c r="X120" i="18"/>
  <c r="X32" i="18"/>
  <c r="X115" i="18"/>
  <c r="X54" i="18"/>
  <c r="X44" i="18"/>
  <c r="X61" i="18"/>
  <c r="X55" i="17"/>
  <c r="X71" i="17"/>
  <c r="X29" i="18"/>
  <c r="X58" i="18"/>
  <c r="W71" i="17"/>
  <c r="W54" i="18"/>
  <c r="W64" i="12"/>
  <c r="W75" i="18"/>
  <c r="W58" i="18"/>
  <c r="W55" i="17"/>
  <c r="W84" i="18"/>
  <c r="W72" i="18"/>
  <c r="W21" i="18"/>
  <c r="W13" i="18"/>
  <c r="W95" i="18"/>
  <c r="W44" i="18"/>
  <c r="W56" i="18"/>
  <c r="W64" i="17"/>
  <c r="W57" i="18"/>
  <c r="W29" i="18"/>
  <c r="W83" i="17"/>
  <c r="W15" i="21"/>
  <c r="W67" i="18"/>
  <c r="W71" i="18"/>
  <c r="W114" i="18"/>
  <c r="W48" i="17"/>
  <c r="W117" i="18"/>
  <c r="M10" i="14"/>
  <c r="M47" i="18"/>
  <c r="M82" i="17"/>
  <c r="M57" i="13"/>
  <c r="K18" i="7"/>
  <c r="K49" i="11"/>
  <c r="K57" i="10"/>
  <c r="M103" i="18"/>
  <c r="M69" i="18"/>
  <c r="M68" i="18"/>
  <c r="M60" i="13"/>
  <c r="M93" i="17"/>
  <c r="M34" i="14"/>
  <c r="M90" i="17"/>
  <c r="M19" i="20"/>
  <c r="M86" i="17"/>
  <c r="M85" i="18"/>
  <c r="M36" i="18"/>
  <c r="M46" i="18"/>
  <c r="M87" i="17"/>
  <c r="K6" i="7"/>
  <c r="M20" i="3"/>
  <c r="M81" i="17"/>
  <c r="M28" i="14"/>
  <c r="M96" i="18"/>
  <c r="M7" i="14"/>
  <c r="M73" i="18"/>
  <c r="E82" i="17"/>
  <c r="E90" i="17"/>
  <c r="E64" i="13"/>
  <c r="E27" i="14"/>
  <c r="E104" i="18"/>
  <c r="E18" i="20"/>
  <c r="E86" i="17"/>
  <c r="E17" i="14"/>
  <c r="E107" i="18"/>
  <c r="E69" i="18"/>
  <c r="E47" i="18"/>
  <c r="E8" i="14"/>
  <c r="E45" i="18"/>
  <c r="E85" i="18"/>
  <c r="E87" i="18"/>
  <c r="E87" i="17"/>
  <c r="E58" i="13"/>
  <c r="E46" i="18"/>
  <c r="E93" i="17"/>
  <c r="C6" i="7"/>
  <c r="E20" i="3"/>
  <c r="E81" i="17"/>
  <c r="E73" i="18"/>
  <c r="E9" i="14"/>
  <c r="K9" i="14"/>
  <c r="K34" i="14"/>
  <c r="K36" i="18"/>
  <c r="K62" i="13"/>
  <c r="K69" i="18"/>
  <c r="K90" i="17"/>
  <c r="K88" i="18"/>
  <c r="K103" i="18"/>
  <c r="K58" i="13"/>
  <c r="K82" i="17"/>
  <c r="K27" i="14"/>
  <c r="K86" i="17"/>
  <c r="K104" i="18"/>
  <c r="K35" i="14"/>
  <c r="K93" i="17"/>
  <c r="K45" i="18"/>
  <c r="K46" i="18"/>
  <c r="K85" i="18"/>
  <c r="K91" i="18"/>
  <c r="K87" i="17"/>
  <c r="K68" i="18"/>
  <c r="J104" i="18"/>
  <c r="K17" i="14"/>
  <c r="J35" i="14"/>
  <c r="J90" i="17"/>
  <c r="H6" i="7"/>
  <c r="J20" i="3"/>
  <c r="J81" i="17"/>
  <c r="J73" i="18"/>
  <c r="J88" i="18"/>
  <c r="J55" i="13"/>
  <c r="J46" i="18"/>
  <c r="J69" i="18"/>
  <c r="J45" i="18"/>
  <c r="J87" i="18"/>
  <c r="J36" i="18"/>
  <c r="J47" i="18"/>
  <c r="J87" i="17"/>
  <c r="J68" i="18"/>
  <c r="J60" i="13"/>
  <c r="J7" i="14"/>
  <c r="J34" i="14"/>
  <c r="J86" i="17"/>
  <c r="J12" i="14"/>
  <c r="J93" i="17"/>
  <c r="J8" i="14"/>
  <c r="P68" i="18"/>
  <c r="P47" i="18"/>
  <c r="P69" i="18"/>
  <c r="N6" i="7"/>
  <c r="P20" i="3"/>
  <c r="P81" i="17"/>
  <c r="P65" i="13"/>
  <c r="N19" i="7"/>
  <c r="N50" i="11"/>
  <c r="N58" i="10"/>
  <c r="N18" i="4"/>
  <c r="N20" i="2"/>
  <c r="P46" i="18"/>
  <c r="P93" i="17"/>
  <c r="P88" i="18"/>
  <c r="P12" i="14"/>
  <c r="P91" i="18"/>
  <c r="P28" i="14"/>
  <c r="P90" i="17"/>
  <c r="P36" i="18"/>
  <c r="P86" i="17"/>
  <c r="P87" i="17"/>
  <c r="P59" i="13"/>
  <c r="P45" i="18"/>
  <c r="P87" i="18"/>
  <c r="P61" i="13"/>
  <c r="P27" i="14"/>
  <c r="P130" i="18"/>
  <c r="P82" i="17"/>
  <c r="C95" i="18"/>
  <c r="C119" i="18"/>
  <c r="C93" i="18"/>
  <c r="C125" i="18"/>
  <c r="C89" i="18"/>
  <c r="C58" i="18"/>
  <c r="C62" i="18"/>
  <c r="C61" i="18"/>
  <c r="C49" i="18"/>
  <c r="C60" i="18"/>
  <c r="C18" i="18"/>
  <c r="C70" i="18"/>
  <c r="C90" i="18"/>
  <c r="C30" i="21"/>
  <c r="C37" i="18"/>
  <c r="C68" i="17"/>
  <c r="C79" i="18"/>
  <c r="C78" i="18"/>
  <c r="C84" i="18"/>
  <c r="C111" i="18"/>
  <c r="C76" i="18"/>
  <c r="C113" i="18"/>
  <c r="U93" i="17"/>
  <c r="U56" i="13"/>
  <c r="U87" i="18"/>
  <c r="U96" i="18"/>
  <c r="U69" i="18"/>
  <c r="U73" i="18"/>
  <c r="U87" i="17"/>
  <c r="U18" i="14"/>
  <c r="U90" i="17"/>
  <c r="U105" i="18"/>
  <c r="U46" i="18"/>
  <c r="U47" i="18"/>
  <c r="U45" i="18"/>
  <c r="U82" i="17"/>
  <c r="U9" i="14"/>
  <c r="U64" i="13"/>
  <c r="S6" i="7"/>
  <c r="U20" i="3"/>
  <c r="U81" i="17"/>
  <c r="U12" i="14"/>
  <c r="U107" i="18"/>
  <c r="U27" i="14"/>
  <c r="U17" i="14"/>
  <c r="U109" i="18"/>
  <c r="Z80" i="18"/>
  <c r="Z53" i="18"/>
  <c r="Z81" i="18"/>
  <c r="Z72" i="18"/>
  <c r="Z86" i="18"/>
  <c r="Z69" i="17"/>
  <c r="Z78" i="18"/>
  <c r="Z32" i="18"/>
  <c r="Z19" i="18"/>
  <c r="Z94" i="18"/>
  <c r="Z58" i="18"/>
  <c r="Z56" i="18"/>
  <c r="Z88" i="17"/>
  <c r="Z50" i="18"/>
  <c r="Z34" i="18"/>
  <c r="Z124" i="18"/>
  <c r="Z63" i="18"/>
  <c r="Z89" i="18"/>
  <c r="Z53" i="17"/>
  <c r="Z67" i="18"/>
  <c r="Z59" i="18"/>
  <c r="Z71" i="18"/>
  <c r="Y45" i="18"/>
  <c r="Y86" i="17"/>
  <c r="Y93" i="17"/>
  <c r="Y64" i="13"/>
  <c r="Y15" i="20"/>
  <c r="Y60" i="13"/>
  <c r="Y36" i="18"/>
  <c r="Y35" i="14"/>
  <c r="Y63" i="13"/>
  <c r="Y73" i="18"/>
  <c r="Y46" i="18"/>
  <c r="Y11" i="14"/>
  <c r="Y107" i="18"/>
  <c r="Y105" i="18"/>
  <c r="Y110" i="18"/>
  <c r="W6" i="7"/>
  <c r="Y20" i="3"/>
  <c r="Y81" i="17"/>
  <c r="Y87" i="17"/>
  <c r="Y90" i="17"/>
  <c r="Y68" i="18"/>
  <c r="Y69" i="18"/>
  <c r="Y82" i="17"/>
  <c r="Y17" i="14"/>
  <c r="Q11" i="14"/>
  <c r="Q91" i="18"/>
  <c r="Q90" i="17"/>
  <c r="Q56" i="13"/>
  <c r="Q93" i="17"/>
  <c r="Q45" i="18"/>
  <c r="Q28" i="14"/>
  <c r="Q88" i="18"/>
  <c r="Q47" i="18"/>
  <c r="Q85" i="18"/>
  <c r="Q87" i="18"/>
  <c r="Q36" i="18"/>
  <c r="Q46" i="18"/>
  <c r="Q86" i="17"/>
  <c r="Q82" i="17"/>
  <c r="O6" i="7"/>
  <c r="Q20" i="3"/>
  <c r="Q81" i="17"/>
  <c r="Q87" i="17"/>
  <c r="Q9" i="14"/>
  <c r="Q69" i="18"/>
  <c r="Q27" i="14"/>
  <c r="Q34" i="14"/>
  <c r="Q106" i="18"/>
  <c r="O123" i="18"/>
  <c r="O22" i="18"/>
  <c r="O63" i="17"/>
  <c r="O72" i="18"/>
  <c r="O33" i="18"/>
  <c r="O80" i="18"/>
  <c r="O31" i="18"/>
  <c r="O56" i="17"/>
  <c r="O34" i="21"/>
  <c r="O92" i="18"/>
  <c r="O79" i="18"/>
  <c r="O102" i="18"/>
  <c r="O47" i="17"/>
  <c r="O74" i="18"/>
  <c r="O20" i="18"/>
  <c r="O50" i="18"/>
  <c r="O72" i="17"/>
  <c r="O116" i="18"/>
  <c r="O12" i="18"/>
  <c r="O62" i="18"/>
  <c r="O77" i="18"/>
  <c r="O66" i="18"/>
  <c r="T8" i="14"/>
  <c r="T12" i="14"/>
  <c r="T18" i="14"/>
  <c r="T82" i="17"/>
  <c r="T96" i="18"/>
  <c r="T68" i="18"/>
  <c r="T105" i="18"/>
  <c r="T47" i="18"/>
  <c r="T45" i="18"/>
  <c r="T36" i="18"/>
  <c r="T90" i="17"/>
  <c r="T61" i="13"/>
  <c r="T64" i="13"/>
  <c r="T87" i="17"/>
  <c r="R6" i="7"/>
  <c r="T20" i="3"/>
  <c r="T81" i="17"/>
  <c r="T69" i="18"/>
  <c r="T86" i="17"/>
  <c r="T93" i="17"/>
  <c r="T20" i="20"/>
  <c r="T87" i="18"/>
  <c r="T103" i="18"/>
  <c r="T56" i="13"/>
  <c r="H87" i="17"/>
  <c r="H57" i="13"/>
  <c r="F18" i="7"/>
  <c r="F49" i="11"/>
  <c r="F57" i="10"/>
  <c r="H90" i="17"/>
  <c r="H46" i="18"/>
  <c r="H104" i="18"/>
  <c r="H110" i="18"/>
  <c r="H11" i="14"/>
  <c r="H93" i="17"/>
  <c r="F6" i="7"/>
  <c r="H20" i="3"/>
  <c r="H81" i="17"/>
  <c r="H47" i="18"/>
  <c r="H45" i="18"/>
  <c r="H34" i="14"/>
  <c r="H63" i="13"/>
  <c r="H73" i="18"/>
  <c r="H35" i="14"/>
  <c r="H86" i="17"/>
  <c r="H82" i="17"/>
  <c r="H69" i="18"/>
  <c r="H10" i="14"/>
  <c r="H91" i="18"/>
  <c r="H103" i="18"/>
  <c r="H36" i="18"/>
  <c r="D62" i="18"/>
  <c r="D84" i="18"/>
  <c r="D86" i="18"/>
  <c r="D65" i="18"/>
  <c r="D76" i="18"/>
  <c r="D57" i="18"/>
  <c r="D13" i="21"/>
  <c r="D111" i="18"/>
  <c r="D71" i="18"/>
  <c r="D53" i="18"/>
  <c r="D40" i="18"/>
  <c r="D82" i="18"/>
  <c r="D94" i="18"/>
  <c r="D30" i="21"/>
  <c r="D75" i="17"/>
  <c r="D26" i="18"/>
  <c r="D114" i="18"/>
  <c r="D74" i="18"/>
  <c r="D8" i="18"/>
  <c r="D95" i="18"/>
  <c r="D64" i="18"/>
  <c r="D66" i="18"/>
  <c r="K58" i="18"/>
  <c r="K86" i="18"/>
  <c r="K84" i="18"/>
  <c r="K62" i="18"/>
  <c r="K111" i="18"/>
  <c r="K14" i="21"/>
  <c r="K67" i="18"/>
  <c r="K101" i="18"/>
  <c r="K94" i="18"/>
  <c r="K74" i="18"/>
  <c r="K9" i="20"/>
  <c r="K100" i="18"/>
  <c r="K93" i="18"/>
  <c r="K64" i="18"/>
  <c r="K90" i="18"/>
  <c r="K83" i="18"/>
  <c r="K81" i="18"/>
  <c r="K115" i="18"/>
  <c r="K125" i="18"/>
  <c r="K89" i="18"/>
  <c r="K50" i="21"/>
  <c r="K64" i="12"/>
  <c r="K75" i="18"/>
  <c r="K124" i="18"/>
  <c r="N86" i="17"/>
  <c r="N68" i="18"/>
  <c r="N103" i="18"/>
  <c r="N65" i="13"/>
  <c r="L19" i="7"/>
  <c r="L50" i="11"/>
  <c r="L58" i="10"/>
  <c r="L18" i="4"/>
  <c r="L20" i="2"/>
  <c r="N8" i="14"/>
  <c r="N87" i="17"/>
  <c r="N62" i="13"/>
  <c r="N85" i="18"/>
  <c r="N90" i="17"/>
  <c r="N93" i="17"/>
  <c r="L6" i="7"/>
  <c r="N20" i="3"/>
  <c r="N81" i="17"/>
  <c r="N46" i="18"/>
  <c r="N104" i="18"/>
  <c r="N63" i="13"/>
  <c r="N109" i="18"/>
  <c r="N47" i="18"/>
  <c r="N35" i="14"/>
  <c r="N82" i="17"/>
  <c r="N88" i="18"/>
  <c r="N45" i="18"/>
  <c r="N10" i="14"/>
  <c r="N36" i="18"/>
  <c r="E72" i="18"/>
  <c r="E131" i="18"/>
  <c r="E60" i="18"/>
  <c r="E71" i="18"/>
  <c r="E76" i="18"/>
  <c r="E101" i="18"/>
  <c r="E94" i="18"/>
  <c r="E77" i="18"/>
  <c r="E79" i="18"/>
  <c r="E114" i="18"/>
  <c r="E111" i="18"/>
  <c r="E51" i="18"/>
  <c r="E64" i="18"/>
  <c r="E136" i="18"/>
  <c r="E90" i="18"/>
  <c r="E82" i="18"/>
  <c r="E128" i="18"/>
  <c r="E57" i="18"/>
  <c r="E102" i="18"/>
  <c r="E120" i="18"/>
  <c r="E84" i="18"/>
  <c r="E16" i="22"/>
  <c r="J22" i="21"/>
  <c r="J78" i="18"/>
  <c r="J128" i="18"/>
  <c r="J55" i="18"/>
  <c r="J17" i="21"/>
  <c r="J60" i="18"/>
  <c r="J115" i="18"/>
  <c r="J67" i="18"/>
  <c r="J94" i="18"/>
  <c r="J50" i="18"/>
  <c r="J122" i="18"/>
  <c r="J71" i="18"/>
  <c r="J120" i="18"/>
  <c r="J139" i="18"/>
  <c r="J89" i="18"/>
  <c r="J131" i="18"/>
  <c r="J40" i="18"/>
  <c r="J81" i="18"/>
  <c r="J101" i="18"/>
  <c r="J84" i="18"/>
  <c r="J57" i="18"/>
  <c r="J79" i="18"/>
  <c r="V126" i="18"/>
  <c r="V74" i="18"/>
  <c r="V101" i="18"/>
  <c r="V80" i="18"/>
  <c r="V121" i="18"/>
  <c r="V59" i="18"/>
  <c r="V125" i="18"/>
  <c r="V112" i="18"/>
  <c r="V82" i="18"/>
  <c r="V119" i="18"/>
  <c r="V72" i="18"/>
  <c r="V44" i="18"/>
  <c r="V102" i="18"/>
  <c r="V138" i="18"/>
  <c r="V90" i="18"/>
  <c r="V128" i="18"/>
  <c r="V116" i="18"/>
  <c r="V61" i="18"/>
  <c r="V64" i="18"/>
  <c r="V55" i="18"/>
  <c r="V93" i="18"/>
  <c r="V83" i="18"/>
  <c r="F124" i="18"/>
  <c r="F44" i="18"/>
  <c r="F102" i="18"/>
  <c r="F90" i="18"/>
  <c r="F114" i="18"/>
  <c r="F61" i="18"/>
  <c r="F55" i="18"/>
  <c r="F111" i="18"/>
  <c r="F95" i="18"/>
  <c r="F134" i="18"/>
  <c r="F64" i="18"/>
  <c r="F101" i="18"/>
  <c r="F70" i="18"/>
  <c r="F118" i="18"/>
  <c r="F84" i="18"/>
  <c r="F128" i="18"/>
  <c r="F59" i="18"/>
  <c r="F116" i="18"/>
  <c r="F94" i="18"/>
  <c r="F135" i="18"/>
  <c r="F82" i="18"/>
  <c r="F122" i="18"/>
  <c r="Y101" i="18"/>
  <c r="Y64" i="18"/>
  <c r="Y66" i="18"/>
  <c r="Y116" i="18"/>
  <c r="Y102" i="18"/>
  <c r="Y79" i="18"/>
  <c r="Y123" i="18"/>
  <c r="Y112" i="18"/>
  <c r="Y81" i="18"/>
  <c r="Y32" i="18"/>
  <c r="Y126" i="18"/>
  <c r="Y42" i="21"/>
  <c r="Y60" i="18"/>
  <c r="Y139" i="18"/>
  <c r="Y113" i="18"/>
  <c r="Y95" i="18"/>
  <c r="Y65" i="18"/>
  <c r="Y74" i="18"/>
  <c r="Y49" i="18"/>
  <c r="Y119" i="18"/>
  <c r="Y114" i="18"/>
  <c r="Y90" i="18"/>
  <c r="L53" i="18"/>
  <c r="L95" i="18"/>
  <c r="L111" i="18"/>
  <c r="L79" i="18"/>
  <c r="L58" i="18"/>
  <c r="L135" i="18"/>
  <c r="L65" i="18"/>
  <c r="L37" i="18"/>
  <c r="L9" i="20"/>
  <c r="L100" i="18"/>
  <c r="L101" i="18"/>
  <c r="L134" i="18"/>
  <c r="L94" i="18"/>
  <c r="L78" i="18"/>
  <c r="L124" i="18"/>
  <c r="L83" i="18"/>
  <c r="L115" i="18"/>
  <c r="L17" i="21"/>
  <c r="L55" i="18"/>
  <c r="L76" i="18"/>
  <c r="L86" i="18"/>
  <c r="L64" i="12"/>
  <c r="L75" i="18"/>
  <c r="L120" i="18"/>
  <c r="N93" i="18"/>
  <c r="N76" i="18"/>
  <c r="N95" i="18"/>
  <c r="N89" i="18"/>
  <c r="N56" i="18"/>
  <c r="N63" i="18"/>
  <c r="N111" i="18"/>
  <c r="N53" i="18"/>
  <c r="N67" i="18"/>
  <c r="N17" i="22"/>
  <c r="N64" i="12"/>
  <c r="N75" i="18"/>
  <c r="N138" i="18"/>
  <c r="N35" i="18"/>
  <c r="N114" i="18"/>
  <c r="N86" i="18"/>
  <c r="N116" i="18"/>
  <c r="N50" i="18"/>
  <c r="N129" i="18"/>
  <c r="N80" i="18"/>
  <c r="N122" i="18"/>
  <c r="N118" i="18"/>
  <c r="N90" i="18"/>
  <c r="M136" i="18"/>
  <c r="M139" i="18"/>
  <c r="M65" i="18"/>
  <c r="M83" i="18"/>
  <c r="M119" i="18"/>
  <c r="M115" i="18"/>
  <c r="M93" i="18"/>
  <c r="M111" i="18"/>
  <c r="M78" i="18"/>
  <c r="M60" i="18"/>
  <c r="M112" i="18"/>
  <c r="M118" i="18"/>
  <c r="M79" i="18"/>
  <c r="M120" i="18"/>
  <c r="M84" i="18"/>
  <c r="M86" i="18"/>
  <c r="M56" i="18"/>
  <c r="M62" i="18"/>
  <c r="M81" i="18"/>
  <c r="M71" i="18"/>
  <c r="M126" i="18"/>
  <c r="M89" i="18"/>
  <c r="H94" i="18"/>
  <c r="H57" i="18"/>
  <c r="H9" i="21"/>
  <c r="H81" i="18"/>
  <c r="H62" i="18"/>
  <c r="H101" i="18"/>
  <c r="H42" i="18"/>
  <c r="H84" i="18"/>
  <c r="H89" i="18"/>
  <c r="H126" i="18"/>
  <c r="H76" i="18"/>
  <c r="H52" i="21"/>
  <c r="H59" i="18"/>
  <c r="H82" i="18"/>
  <c r="H136" i="18"/>
  <c r="H117" i="18"/>
  <c r="H120" i="18"/>
  <c r="H53" i="18"/>
  <c r="H112" i="18"/>
  <c r="H79" i="18"/>
  <c r="H90" i="18"/>
  <c r="H95" i="18"/>
  <c r="P128" i="18"/>
  <c r="P94" i="18"/>
  <c r="P131" i="18"/>
  <c r="P113" i="18"/>
  <c r="P50" i="18"/>
  <c r="P33" i="18"/>
  <c r="P67" i="18"/>
  <c r="P112" i="18"/>
  <c r="P65" i="18"/>
  <c r="P10" i="21"/>
  <c r="P124" i="18"/>
  <c r="P72" i="18"/>
  <c r="P93" i="18"/>
  <c r="P118" i="18"/>
  <c r="P61" i="18"/>
  <c r="P102" i="18"/>
  <c r="P83" i="18"/>
  <c r="P92" i="18"/>
  <c r="P122" i="18"/>
  <c r="P86" i="18"/>
  <c r="P125" i="18"/>
  <c r="P48" i="18"/>
  <c r="I49" i="18"/>
  <c r="I94" i="18"/>
  <c r="I121" i="18"/>
  <c r="I32" i="18"/>
  <c r="I115" i="18"/>
  <c r="I117" i="18"/>
  <c r="I71" i="18"/>
  <c r="I76" i="18"/>
  <c r="I64" i="18"/>
  <c r="I89" i="18"/>
  <c r="I66" i="18"/>
  <c r="I78" i="18"/>
  <c r="I90" i="18"/>
  <c r="I8" i="20"/>
  <c r="I99" i="18"/>
  <c r="I126" i="18"/>
  <c r="I112" i="18"/>
  <c r="I95" i="18"/>
  <c r="I60" i="18"/>
  <c r="I77" i="18"/>
  <c r="I129" i="18"/>
  <c r="I9" i="21"/>
  <c r="I74" i="18"/>
  <c r="X38" i="22"/>
  <c r="X123" i="18"/>
  <c r="X57" i="18"/>
  <c r="X92" i="18"/>
  <c r="X70" i="18"/>
  <c r="X62" i="18"/>
  <c r="X59" i="18"/>
  <c r="X84" i="18"/>
  <c r="X90" i="18"/>
  <c r="X112" i="18"/>
  <c r="X80" i="18"/>
  <c r="X42" i="18"/>
  <c r="X82" i="18"/>
  <c r="X79" i="18"/>
  <c r="X101" i="18"/>
  <c r="X15" i="21"/>
  <c r="X23" i="3"/>
  <c r="X18" i="21"/>
  <c r="V23" i="2"/>
  <c r="X71" i="18"/>
  <c r="X53" i="18"/>
  <c r="X116" i="18"/>
  <c r="X72" i="18"/>
  <c r="X124" i="18"/>
  <c r="T86" i="18"/>
  <c r="T78" i="18"/>
  <c r="T25" i="21"/>
  <c r="T112" i="18"/>
  <c r="T63" i="18"/>
  <c r="T11" i="21"/>
  <c r="T94" i="18"/>
  <c r="T77" i="18"/>
  <c r="T102" i="18"/>
  <c r="T92" i="18"/>
  <c r="T113" i="18"/>
  <c r="T61" i="18"/>
  <c r="T57" i="18"/>
  <c r="T83" i="18"/>
  <c r="T126" i="18"/>
  <c r="T111" i="18"/>
  <c r="T82" i="18"/>
  <c r="T89" i="18"/>
  <c r="T118" i="18"/>
  <c r="T15" i="21"/>
  <c r="T79" i="18"/>
  <c r="T66" i="18"/>
  <c r="C38" i="18"/>
  <c r="C80" i="18"/>
  <c r="C24" i="21"/>
  <c r="C114" i="18"/>
  <c r="C66" i="18"/>
  <c r="C129" i="18"/>
  <c r="C16" i="21"/>
  <c r="C101" i="18"/>
  <c r="C82" i="18"/>
  <c r="C64" i="12"/>
  <c r="C75" i="18"/>
  <c r="C8" i="21"/>
  <c r="C117" i="18"/>
  <c r="C122" i="18"/>
  <c r="C7" i="20"/>
  <c r="C98" i="18"/>
  <c r="C133" i="18"/>
  <c r="C56" i="18"/>
  <c r="C54" i="18"/>
  <c r="C86" i="18"/>
  <c r="C102" i="18"/>
  <c r="C59" i="18"/>
  <c r="C118" i="18"/>
  <c r="C21" i="21"/>
  <c r="AA84" i="18"/>
  <c r="AA128" i="18"/>
  <c r="AA62" i="18"/>
  <c r="AA101" i="18"/>
  <c r="AA76" i="18"/>
  <c r="AA89" i="18"/>
  <c r="AA71" i="18"/>
  <c r="AA112" i="18"/>
  <c r="AA114" i="18"/>
  <c r="AA78" i="18"/>
  <c r="AA92" i="18"/>
  <c r="AA58" i="18"/>
  <c r="AA90" i="18"/>
  <c r="AA67" i="18"/>
  <c r="AA94" i="18"/>
  <c r="AA117" i="18"/>
  <c r="AA64" i="18"/>
  <c r="AA121" i="18"/>
  <c r="AA125" i="18"/>
  <c r="AA7" i="21"/>
  <c r="AA77" i="18"/>
  <c r="AA95" i="18"/>
  <c r="G79" i="18"/>
  <c r="G66" i="18"/>
  <c r="G117" i="18"/>
  <c r="G76" i="18"/>
  <c r="G62" i="18"/>
  <c r="G133" i="18"/>
  <c r="G51" i="18"/>
  <c r="G55" i="18"/>
  <c r="G80" i="18"/>
  <c r="G34" i="18"/>
  <c r="G77" i="18"/>
  <c r="G49" i="18"/>
  <c r="G78" i="18"/>
  <c r="G102" i="18"/>
  <c r="G74" i="18"/>
  <c r="G95" i="18"/>
  <c r="G92" i="18"/>
  <c r="G135" i="18"/>
  <c r="G72" i="18"/>
  <c r="G22" i="21"/>
  <c r="G70" i="18"/>
  <c r="G125" i="18"/>
  <c r="S121" i="18"/>
  <c r="S72" i="18"/>
  <c r="S123" i="18"/>
  <c r="S59" i="18"/>
  <c r="S135" i="18"/>
  <c r="S64" i="12"/>
  <c r="S75" i="18"/>
  <c r="S89" i="18"/>
  <c r="S113" i="18"/>
  <c r="S93" i="18"/>
  <c r="S38" i="18"/>
  <c r="S54" i="18"/>
  <c r="S122" i="18"/>
  <c r="S66" i="18"/>
  <c r="S79" i="18"/>
  <c r="S56" i="18"/>
  <c r="S92" i="18"/>
  <c r="S80" i="18"/>
  <c r="S102" i="18"/>
  <c r="S77" i="18"/>
  <c r="S120" i="18"/>
  <c r="S111" i="18"/>
  <c r="S78" i="18"/>
  <c r="O46" i="6"/>
  <c r="O19" i="5"/>
  <c r="O19" i="9"/>
  <c r="R65" i="21"/>
  <c r="O39" i="6"/>
  <c r="O49" i="6"/>
  <c r="O20" i="9"/>
  <c r="O18" i="9"/>
  <c r="O17" i="9"/>
  <c r="O36" i="6"/>
  <c r="O17" i="5"/>
  <c r="P14" i="7"/>
  <c r="P43" i="11"/>
  <c r="P51" i="10"/>
  <c r="R9" i="3"/>
  <c r="O42" i="6"/>
  <c r="O24" i="6"/>
  <c r="O22" i="6"/>
  <c r="R54" i="13"/>
  <c r="P17" i="7"/>
  <c r="P48" i="11"/>
  <c r="P56" i="10"/>
  <c r="R10" i="3"/>
  <c r="P17" i="4"/>
  <c r="O21" i="9"/>
  <c r="O38" i="6"/>
  <c r="P61" i="11"/>
  <c r="O48" i="6"/>
  <c r="O44" i="6"/>
  <c r="P12" i="7"/>
  <c r="O41" i="6"/>
  <c r="O18" i="5"/>
  <c r="P11" i="7"/>
  <c r="R48" i="18"/>
  <c r="R111" i="18"/>
  <c r="R63" i="18"/>
  <c r="R115" i="18"/>
  <c r="R113" i="18"/>
  <c r="R120" i="18"/>
  <c r="R74" i="18"/>
  <c r="R80" i="18"/>
  <c r="R94" i="18"/>
  <c r="R70" i="18"/>
  <c r="R81" i="18"/>
  <c r="R64" i="12"/>
  <c r="R75" i="18"/>
  <c r="R116" i="18"/>
  <c r="R72" i="18"/>
  <c r="R112" i="18"/>
  <c r="R65" i="18"/>
  <c r="R128" i="18"/>
  <c r="R86" i="18"/>
  <c r="R134" i="18"/>
  <c r="R92" i="18"/>
  <c r="R31" i="18"/>
  <c r="R59" i="18"/>
  <c r="J37" i="6"/>
  <c r="J49" i="6"/>
  <c r="J36" i="6"/>
  <c r="J17" i="5"/>
  <c r="J21" i="9"/>
  <c r="J39" i="6"/>
  <c r="J42" i="6"/>
  <c r="J22" i="6"/>
  <c r="J18" i="9"/>
  <c r="J17" i="9"/>
  <c r="M54" i="13"/>
  <c r="K17" i="7"/>
  <c r="K48" i="11"/>
  <c r="K56" i="10"/>
  <c r="M10" i="3"/>
  <c r="K17" i="4"/>
  <c r="J23" i="6"/>
  <c r="K12" i="7"/>
  <c r="K11" i="7"/>
  <c r="M7" i="23"/>
  <c r="K14" i="7"/>
  <c r="K43" i="11"/>
  <c r="K51" i="10"/>
  <c r="M9" i="3"/>
  <c r="K61" i="11"/>
  <c r="J43" i="6"/>
  <c r="J46" i="6"/>
  <c r="J19" i="5"/>
  <c r="K13" i="7"/>
  <c r="J21" i="6"/>
  <c r="J47" i="6"/>
  <c r="J41" i="6"/>
  <c r="J18" i="5"/>
  <c r="O84" i="18"/>
  <c r="O60" i="18"/>
  <c r="O70" i="18"/>
  <c r="O63" i="18"/>
  <c r="O54" i="18"/>
  <c r="O111" i="18"/>
  <c r="O94" i="18"/>
  <c r="O83" i="18"/>
  <c r="O81" i="18"/>
  <c r="O121" i="18"/>
  <c r="O86" i="18"/>
  <c r="O25" i="21"/>
  <c r="O129" i="18"/>
  <c r="O64" i="12"/>
  <c r="O75" i="18"/>
  <c r="O58" i="18"/>
  <c r="O90" i="18"/>
  <c r="O10" i="21"/>
  <c r="O95" i="18"/>
  <c r="O43" i="18"/>
  <c r="O71" i="18"/>
  <c r="O118" i="18"/>
  <c r="O76" i="18"/>
  <c r="R42" i="6"/>
  <c r="S14" i="7"/>
  <c r="S43" i="11"/>
  <c r="S51" i="10"/>
  <c r="U9" i="3"/>
  <c r="R21" i="9"/>
  <c r="S12" i="7"/>
  <c r="R21" i="6"/>
  <c r="R47" i="6"/>
  <c r="R18" i="9"/>
  <c r="R36" i="6"/>
  <c r="R17" i="5"/>
  <c r="R20" i="9"/>
  <c r="R24" i="6"/>
  <c r="U65" i="21"/>
  <c r="S11" i="7"/>
  <c r="R46" i="6"/>
  <c r="R19" i="5"/>
  <c r="R41" i="6"/>
  <c r="R18" i="5"/>
  <c r="R44" i="6"/>
  <c r="R19" i="9"/>
  <c r="S61" i="11"/>
  <c r="U54" i="13"/>
  <c r="S17" i="7"/>
  <c r="S48" i="11"/>
  <c r="S56" i="10"/>
  <c r="U10" i="3"/>
  <c r="S17" i="4"/>
  <c r="R48" i="6"/>
  <c r="R17" i="9"/>
  <c r="R38" i="6"/>
  <c r="R21" i="5"/>
  <c r="H41" i="6"/>
  <c r="H18" i="5"/>
  <c r="I61" i="11"/>
  <c r="I13" i="7"/>
  <c r="H21" i="5"/>
  <c r="H43" i="6"/>
  <c r="K13" i="23"/>
  <c r="I58" i="11"/>
  <c r="I38" i="4"/>
  <c r="I12" i="7"/>
  <c r="H20" i="5"/>
  <c r="K54" i="13"/>
  <c r="I17" i="7"/>
  <c r="I48" i="11"/>
  <c r="I56" i="10"/>
  <c r="K10" i="3"/>
  <c r="I17" i="4"/>
  <c r="H22" i="6"/>
  <c r="H49" i="6"/>
  <c r="H37" i="6"/>
  <c r="H46" i="6"/>
  <c r="H19" i="5"/>
  <c r="H39" i="6"/>
  <c r="H24" i="6"/>
  <c r="H36" i="6"/>
  <c r="H17" i="5"/>
  <c r="H18" i="9"/>
  <c r="I14" i="7"/>
  <c r="I43" i="11"/>
  <c r="I51" i="10"/>
  <c r="K9" i="3"/>
  <c r="H47" i="6"/>
  <c r="H23" i="6"/>
  <c r="H44" i="6"/>
  <c r="I11" i="7"/>
  <c r="Z77" i="18"/>
  <c r="Z15" i="22"/>
  <c r="Z128" i="18"/>
  <c r="Z118" i="18"/>
  <c r="Z40" i="18"/>
  <c r="Z102" i="18"/>
  <c r="Z27" i="21"/>
  <c r="Z112" i="18"/>
  <c r="Z123" i="18"/>
  <c r="Z55" i="18"/>
  <c r="Z25" i="21"/>
  <c r="Z92" i="18"/>
  <c r="Z79" i="18"/>
  <c r="Z90" i="18"/>
  <c r="Z57" i="18"/>
  <c r="Z60" i="18"/>
  <c r="Z82" i="18"/>
  <c r="Z7" i="21"/>
  <c r="Z117" i="18"/>
  <c r="Z83" i="18"/>
  <c r="Z66" i="18"/>
  <c r="Z76" i="18"/>
  <c r="W93" i="18"/>
  <c r="W113" i="18"/>
  <c r="W49" i="18"/>
  <c r="W83" i="18"/>
  <c r="W116" i="18"/>
  <c r="W43" i="21"/>
  <c r="W102" i="18"/>
  <c r="W62" i="18"/>
  <c r="W76" i="18"/>
  <c r="W78" i="18"/>
  <c r="W11" i="21"/>
  <c r="W101" i="18"/>
  <c r="W51" i="18"/>
  <c r="W77" i="18"/>
  <c r="W119" i="18"/>
  <c r="W34" i="18"/>
  <c r="W82" i="18"/>
  <c r="W55" i="18"/>
  <c r="W23" i="3"/>
  <c r="W18" i="21"/>
  <c r="U23" i="2"/>
  <c r="W66" i="18"/>
  <c r="W118" i="18"/>
  <c r="W70" i="18"/>
  <c r="M14" i="7"/>
  <c r="M43" i="11"/>
  <c r="M51" i="10"/>
  <c r="O9" i="3"/>
  <c r="L47" i="6"/>
  <c r="L37" i="6"/>
  <c r="L19" i="9"/>
  <c r="L39" i="6"/>
  <c r="L43" i="6"/>
  <c r="L18" i="9"/>
  <c r="L49" i="6"/>
  <c r="M13" i="7"/>
  <c r="M11" i="7"/>
  <c r="L22" i="6"/>
  <c r="L20" i="9"/>
  <c r="L38" i="6"/>
  <c r="O54" i="13"/>
  <c r="M17" i="7"/>
  <c r="M48" i="11"/>
  <c r="M56" i="10"/>
  <c r="O10" i="3"/>
  <c r="M17" i="4"/>
  <c r="M61" i="11"/>
  <c r="L48" i="6"/>
  <c r="L36" i="6"/>
  <c r="L17" i="5"/>
  <c r="L46" i="6"/>
  <c r="L19" i="5"/>
  <c r="M12" i="7"/>
  <c r="L42" i="6"/>
  <c r="O13" i="23"/>
  <c r="M58" i="11"/>
  <c r="M38" i="4"/>
  <c r="L17" i="9"/>
  <c r="Q41" i="18"/>
  <c r="Q115" i="18"/>
  <c r="Q51" i="18"/>
  <c r="Q83" i="18"/>
  <c r="Q70" i="18"/>
  <c r="Q118" i="18"/>
  <c r="Q93" i="18"/>
  <c r="Q121" i="18"/>
  <c r="Q84" i="18"/>
  <c r="Q134" i="18"/>
  <c r="Q58" i="18"/>
  <c r="Q89" i="18"/>
  <c r="Q102" i="18"/>
  <c r="Q131" i="18"/>
  <c r="Q56" i="18"/>
  <c r="Q80" i="18"/>
  <c r="Q67" i="18"/>
  <c r="Q61" i="18"/>
  <c r="Q81" i="18"/>
  <c r="Q78" i="18"/>
  <c r="Q92" i="18"/>
  <c r="Q123" i="18"/>
  <c r="U70" i="18"/>
  <c r="U119" i="18"/>
  <c r="U86" i="18"/>
  <c r="U121" i="18"/>
  <c r="U102" i="18"/>
  <c r="U79" i="18"/>
  <c r="U101" i="18"/>
  <c r="U64" i="12"/>
  <c r="U75" i="18"/>
  <c r="U51" i="18"/>
  <c r="U38" i="22"/>
  <c r="U120" i="18"/>
  <c r="U125" i="18"/>
  <c r="U43" i="21"/>
  <c r="U64" i="18"/>
  <c r="U115" i="18"/>
  <c r="U74" i="18"/>
  <c r="U89" i="18"/>
  <c r="U111" i="18"/>
  <c r="U118" i="18"/>
  <c r="U54" i="18"/>
  <c r="U57" i="18"/>
  <c r="U80" i="18"/>
  <c r="G24" i="6"/>
  <c r="G47" i="6"/>
  <c r="G41" i="6"/>
  <c r="G18" i="5"/>
  <c r="G49" i="6"/>
  <c r="G39" i="6"/>
  <c r="G43" i="6"/>
  <c r="G20" i="9"/>
  <c r="J54" i="13"/>
  <c r="H17" i="7"/>
  <c r="H48" i="11"/>
  <c r="H56" i="10"/>
  <c r="J10" i="3"/>
  <c r="H17" i="4"/>
  <c r="G46" i="6"/>
  <c r="G19" i="5"/>
  <c r="H14" i="7"/>
  <c r="H43" i="11"/>
  <c r="H51" i="10"/>
  <c r="J9" i="3"/>
  <c r="G37" i="6"/>
  <c r="G21" i="9"/>
  <c r="G21" i="5"/>
  <c r="H61" i="11"/>
  <c r="G20" i="5"/>
  <c r="G21" i="6"/>
  <c r="G36" i="6"/>
  <c r="G17" i="5"/>
  <c r="G44" i="6"/>
  <c r="G23" i="6"/>
  <c r="H11" i="7"/>
  <c r="J7" i="23"/>
  <c r="H13" i="7"/>
  <c r="E18" i="9"/>
  <c r="F61" i="11"/>
  <c r="E47" i="6"/>
  <c r="E48" i="6"/>
  <c r="E38" i="6"/>
  <c r="E19" i="9"/>
  <c r="E41" i="6"/>
  <c r="E18" i="5"/>
  <c r="F55" i="11"/>
  <c r="H59" i="21"/>
  <c r="E21" i="6"/>
  <c r="E37" i="6"/>
  <c r="E23" i="6"/>
  <c r="E24" i="6"/>
  <c r="F14" i="7"/>
  <c r="F43" i="11"/>
  <c r="F51" i="10"/>
  <c r="H9" i="3"/>
  <c r="E20" i="9"/>
  <c r="E21" i="9"/>
  <c r="E43" i="6"/>
  <c r="E39" i="6"/>
  <c r="E21" i="5"/>
  <c r="H54" i="13"/>
  <c r="F17" i="7"/>
  <c r="F48" i="11"/>
  <c r="F56" i="10"/>
  <c r="H10" i="3"/>
  <c r="F17" i="4"/>
  <c r="E44" i="6"/>
  <c r="F11" i="7"/>
  <c r="F13" i="7"/>
  <c r="D136" i="18"/>
  <c r="D83" i="18"/>
  <c r="D28" i="21"/>
  <c r="D127" i="18"/>
  <c r="D61" i="18"/>
  <c r="D90" i="18"/>
  <c r="D24" i="21"/>
  <c r="D89" i="18"/>
  <c r="D128" i="18"/>
  <c r="D92" i="18"/>
  <c r="D70" i="18"/>
  <c r="D7" i="20"/>
  <c r="D98" i="18"/>
  <c r="D129" i="18"/>
  <c r="D64" i="12"/>
  <c r="D75" i="18"/>
  <c r="D6" i="20"/>
  <c r="D97" i="18"/>
  <c r="D7" i="21"/>
  <c r="D118" i="18"/>
  <c r="D81" i="18"/>
  <c r="D21" i="21"/>
  <c r="D16" i="3"/>
  <c r="D35" i="17"/>
  <c r="D6" i="19"/>
  <c r="D63" i="18"/>
  <c r="D112" i="18"/>
  <c r="K18" i="9"/>
  <c r="K38" i="6"/>
  <c r="K23" i="6"/>
  <c r="K43" i="6"/>
  <c r="L61" i="11"/>
  <c r="N54" i="13"/>
  <c r="L17" i="7"/>
  <c r="L48" i="11"/>
  <c r="L56" i="10"/>
  <c r="N10" i="3"/>
  <c r="L17" i="4"/>
  <c r="K22" i="6"/>
  <c r="K49" i="6"/>
  <c r="K47" i="6"/>
  <c r="K17" i="9"/>
  <c r="K39" i="6"/>
  <c r="N9" i="24"/>
  <c r="K19" i="9"/>
  <c r="K36" i="6"/>
  <c r="K17" i="5"/>
  <c r="K20" i="5"/>
  <c r="K46" i="6"/>
  <c r="K19" i="5"/>
  <c r="K48" i="6"/>
  <c r="L14" i="7"/>
  <c r="L43" i="11"/>
  <c r="L51" i="10"/>
  <c r="N9" i="3"/>
  <c r="L12" i="7"/>
  <c r="K42" i="6"/>
  <c r="K37" i="6"/>
  <c r="L13" i="7"/>
  <c r="J10" i="22"/>
  <c r="J123" i="18"/>
  <c r="J137" i="18"/>
  <c r="J124" i="18"/>
  <c r="J118" i="18"/>
  <c r="J35" i="21"/>
  <c r="J21" i="21"/>
  <c r="J82" i="18"/>
  <c r="J126" i="18"/>
  <c r="J64" i="12"/>
  <c r="J75" i="18"/>
  <c r="J134" i="18"/>
  <c r="J117" i="18"/>
  <c r="J50" i="21"/>
  <c r="J13" i="21"/>
  <c r="J83" i="18"/>
  <c r="J9" i="21"/>
  <c r="J136" i="18"/>
  <c r="J16" i="21"/>
  <c r="J8" i="20"/>
  <c r="J99" i="18"/>
  <c r="J74" i="18"/>
  <c r="J7" i="21"/>
  <c r="J114" i="18"/>
  <c r="U22" i="21"/>
  <c r="U139" i="18"/>
  <c r="U137" i="18"/>
  <c r="U133" i="18"/>
  <c r="U21" i="22"/>
  <c r="U44" i="21"/>
  <c r="U90" i="18"/>
  <c r="U8" i="20"/>
  <c r="U99" i="18"/>
  <c r="U10" i="21"/>
  <c r="U17" i="21"/>
  <c r="U14" i="21"/>
  <c r="U9" i="20"/>
  <c r="U100" i="18"/>
  <c r="U135" i="18"/>
  <c r="U24" i="21"/>
  <c r="U28" i="21"/>
  <c r="U134" i="18"/>
  <c r="U116" i="18"/>
  <c r="U136" i="18"/>
  <c r="U13" i="21"/>
  <c r="U30" i="21"/>
  <c r="U123" i="18"/>
  <c r="U112" i="18"/>
  <c r="O78" i="18"/>
  <c r="O134" i="18"/>
  <c r="O124" i="18"/>
  <c r="O93" i="18"/>
  <c r="O136" i="18"/>
  <c r="O22" i="21"/>
  <c r="O125" i="18"/>
  <c r="O113" i="18"/>
  <c r="O139" i="18"/>
  <c r="O12" i="21"/>
  <c r="O24" i="22"/>
  <c r="O16" i="3"/>
  <c r="O35" i="17"/>
  <c r="O6" i="19"/>
  <c r="O16" i="21"/>
  <c r="O133" i="18"/>
  <c r="O21" i="21"/>
  <c r="O47" i="21"/>
  <c r="O8" i="21"/>
  <c r="O127" i="18"/>
  <c r="O126" i="18"/>
  <c r="O137" i="18"/>
  <c r="O117" i="18"/>
  <c r="O24" i="21"/>
  <c r="P120" i="18"/>
  <c r="P134" i="18"/>
  <c r="P7" i="21"/>
  <c r="P28" i="21"/>
  <c r="P116" i="18"/>
  <c r="P115" i="18"/>
  <c r="P34" i="21"/>
  <c r="P16" i="3"/>
  <c r="P35" i="17"/>
  <c r="P6" i="19"/>
  <c r="P95" i="18"/>
  <c r="P6" i="20"/>
  <c r="P97" i="18"/>
  <c r="P8" i="20"/>
  <c r="P99" i="18"/>
  <c r="P46" i="21"/>
  <c r="P84" i="18"/>
  <c r="P17" i="21"/>
  <c r="P71" i="18"/>
  <c r="P77" i="18"/>
  <c r="P13" i="21"/>
  <c r="P9" i="20"/>
  <c r="P100" i="18"/>
  <c r="P127" i="18"/>
  <c r="P14" i="21"/>
  <c r="P136" i="18"/>
  <c r="P21" i="21"/>
  <c r="G8" i="21"/>
  <c r="G19" i="22"/>
  <c r="G126" i="18"/>
  <c r="G131" i="18"/>
  <c r="G10" i="22"/>
  <c r="G30" i="21"/>
  <c r="G114" i="18"/>
  <c r="G11" i="21"/>
  <c r="G12" i="21"/>
  <c r="G46" i="22"/>
  <c r="G129" i="18"/>
  <c r="G6" i="20"/>
  <c r="G97" i="18"/>
  <c r="G118" i="18"/>
  <c r="G94" i="18"/>
  <c r="G128" i="18"/>
  <c r="G15" i="21"/>
  <c r="G86" i="18"/>
  <c r="G36" i="21"/>
  <c r="G134" i="18"/>
  <c r="G115" i="18"/>
  <c r="G7" i="20"/>
  <c r="G98" i="18"/>
  <c r="G119" i="18"/>
  <c r="I135" i="18"/>
  <c r="I139" i="18"/>
  <c r="I16" i="3"/>
  <c r="I35" i="17"/>
  <c r="I6" i="19"/>
  <c r="I131" i="18"/>
  <c r="I60" i="21"/>
  <c r="G25" i="2"/>
  <c r="I127" i="18"/>
  <c r="I84" i="18"/>
  <c r="I23" i="3"/>
  <c r="I18" i="21"/>
  <c r="G23" i="2"/>
  <c r="I54" i="21"/>
  <c r="I9" i="20"/>
  <c r="I100" i="18"/>
  <c r="I133" i="18"/>
  <c r="I113" i="18"/>
  <c r="I52" i="21"/>
  <c r="I12" i="21"/>
  <c r="I16" i="21"/>
  <c r="I27" i="21"/>
  <c r="I111" i="18"/>
  <c r="I35" i="21"/>
  <c r="I28" i="21"/>
  <c r="I114" i="18"/>
  <c r="I7" i="20"/>
  <c r="I98" i="18"/>
  <c r="I13" i="21"/>
  <c r="M6" i="20"/>
  <c r="M97" i="18"/>
  <c r="M7" i="20"/>
  <c r="M98" i="18"/>
  <c r="M30" i="21"/>
  <c r="M90" i="18"/>
  <c r="M12" i="21"/>
  <c r="M129" i="18"/>
  <c r="M9" i="21"/>
  <c r="M31" i="21"/>
  <c r="M135" i="18"/>
  <c r="M101" i="18"/>
  <c r="M122" i="18"/>
  <c r="M8" i="21"/>
  <c r="M80" i="18"/>
  <c r="M113" i="18"/>
  <c r="M72" i="18"/>
  <c r="M10" i="21"/>
  <c r="M117" i="18"/>
  <c r="M125" i="18"/>
  <c r="M131" i="18"/>
  <c r="M128" i="18"/>
  <c r="M24" i="21"/>
  <c r="M138" i="18"/>
  <c r="Q9" i="24"/>
  <c r="N49" i="6"/>
  <c r="N46" i="6"/>
  <c r="N19" i="5"/>
  <c r="Q54" i="13"/>
  <c r="O17" i="7"/>
  <c r="O48" i="11"/>
  <c r="O56" i="10"/>
  <c r="Q10" i="3"/>
  <c r="O17" i="4"/>
  <c r="O61" i="11"/>
  <c r="N23" i="6"/>
  <c r="N17" i="9"/>
  <c r="N20" i="5"/>
  <c r="N20" i="9"/>
  <c r="N43" i="6"/>
  <c r="N22" i="6"/>
  <c r="N19" i="9"/>
  <c r="N39" i="6"/>
  <c r="N18" i="9"/>
  <c r="N48" i="6"/>
  <c r="N44" i="6"/>
  <c r="O12" i="7"/>
  <c r="O14" i="7"/>
  <c r="O43" i="11"/>
  <c r="O51" i="10"/>
  <c r="Q9" i="3"/>
  <c r="N38" i="6"/>
  <c r="N42" i="6"/>
  <c r="N24" i="6"/>
  <c r="N36" i="6"/>
  <c r="N17" i="5"/>
  <c r="R7" i="20"/>
  <c r="R98" i="18"/>
  <c r="R126" i="18"/>
  <c r="R17" i="22"/>
  <c r="R125" i="18"/>
  <c r="R83" i="18"/>
  <c r="R131" i="18"/>
  <c r="R28" i="21"/>
  <c r="R8" i="20"/>
  <c r="R99" i="18"/>
  <c r="R19" i="22"/>
  <c r="R26" i="21"/>
  <c r="R13" i="21"/>
  <c r="R9" i="20"/>
  <c r="R100" i="18"/>
  <c r="R11" i="22"/>
  <c r="R9" i="21"/>
  <c r="R27" i="21"/>
  <c r="R17" i="21"/>
  <c r="R123" i="18"/>
  <c r="R6" i="20"/>
  <c r="R97" i="18"/>
  <c r="R122" i="18"/>
  <c r="R138" i="18"/>
  <c r="R129" i="18"/>
  <c r="R8" i="21"/>
  <c r="F9" i="21"/>
  <c r="F23" i="21"/>
  <c r="F92" i="18"/>
  <c r="F13" i="21"/>
  <c r="F8" i="21"/>
  <c r="F25" i="21"/>
  <c r="F13" i="22"/>
  <c r="F80" i="18"/>
  <c r="F17" i="21"/>
  <c r="F127" i="18"/>
  <c r="F7" i="21"/>
  <c r="F16" i="3"/>
  <c r="F35" i="17"/>
  <c r="F6" i="19"/>
  <c r="F138" i="18"/>
  <c r="F71" i="18"/>
  <c r="F24" i="3"/>
  <c r="F37" i="21"/>
  <c r="F26" i="21"/>
  <c r="F11" i="21"/>
  <c r="F93" i="18"/>
  <c r="F31" i="21"/>
  <c r="F119" i="18"/>
  <c r="F22" i="21"/>
  <c r="F79" i="18"/>
  <c r="T7" i="20"/>
  <c r="T98" i="18"/>
  <c r="T129" i="18"/>
  <c r="T116" i="18"/>
  <c r="T127" i="18"/>
  <c r="T128" i="18"/>
  <c r="T10" i="21"/>
  <c r="T13" i="21"/>
  <c r="T11" i="22"/>
  <c r="T123" i="18"/>
  <c r="T30" i="21"/>
  <c r="T121" i="18"/>
  <c r="T139" i="18"/>
  <c r="T8" i="20"/>
  <c r="T99" i="18"/>
  <c r="T9" i="21"/>
  <c r="T6" i="20"/>
  <c r="T97" i="18"/>
  <c r="T136" i="18"/>
  <c r="T33" i="21"/>
  <c r="T81" i="18"/>
  <c r="T124" i="18"/>
  <c r="T120" i="18"/>
  <c r="T21" i="21"/>
  <c r="T24" i="21"/>
  <c r="N12" i="21"/>
  <c r="N21" i="21"/>
  <c r="N92" i="18"/>
  <c r="N133" i="18"/>
  <c r="N134" i="18"/>
  <c r="N124" i="18"/>
  <c r="N15" i="21"/>
  <c r="N117" i="18"/>
  <c r="N9" i="21"/>
  <c r="N16" i="21"/>
  <c r="N48" i="21"/>
  <c r="N79" i="18"/>
  <c r="N42" i="22"/>
  <c r="N8" i="20"/>
  <c r="N99" i="18"/>
  <c r="N126" i="18"/>
  <c r="N135" i="18"/>
  <c r="N127" i="18"/>
  <c r="N31" i="21"/>
  <c r="N13" i="21"/>
  <c r="N7" i="20"/>
  <c r="N98" i="18"/>
  <c r="N47" i="21"/>
  <c r="N136" i="18"/>
  <c r="S21" i="21"/>
  <c r="S125" i="18"/>
  <c r="S112" i="18"/>
  <c r="S137" i="18"/>
  <c r="S8" i="21"/>
  <c r="S82" i="18"/>
  <c r="S24" i="21"/>
  <c r="S7" i="20"/>
  <c r="S98" i="18"/>
  <c r="S12" i="21"/>
  <c r="S74" i="18"/>
  <c r="S136" i="18"/>
  <c r="S26" i="21"/>
  <c r="S23" i="3"/>
  <c r="S18" i="21"/>
  <c r="Q23" i="2"/>
  <c r="S138" i="18"/>
  <c r="S16" i="21"/>
  <c r="S45" i="21"/>
  <c r="S129" i="18"/>
  <c r="S116" i="18"/>
  <c r="S119" i="18"/>
  <c r="S139" i="18"/>
  <c r="S101" i="18"/>
  <c r="S46" i="21"/>
  <c r="K137" i="18"/>
  <c r="K114" i="18"/>
  <c r="K117" i="18"/>
  <c r="K12" i="21"/>
  <c r="K7" i="20"/>
  <c r="K98" i="18"/>
  <c r="K82" i="18"/>
  <c r="K26" i="21"/>
  <c r="K6" i="20"/>
  <c r="K97" i="18"/>
  <c r="K133" i="18"/>
  <c r="K16" i="3"/>
  <c r="K35" i="17"/>
  <c r="K6" i="19"/>
  <c r="K7" i="21"/>
  <c r="K127" i="18"/>
  <c r="K29" i="21"/>
  <c r="K131" i="18"/>
  <c r="K8" i="20"/>
  <c r="K99" i="18"/>
  <c r="K11" i="21"/>
  <c r="K8" i="21"/>
  <c r="K31" i="22"/>
  <c r="K128" i="18"/>
  <c r="K60" i="21"/>
  <c r="I25" i="2"/>
  <c r="K129" i="18"/>
  <c r="K16" i="21"/>
  <c r="H72" i="18"/>
  <c r="H36" i="21"/>
  <c r="H122" i="18"/>
  <c r="H29" i="21"/>
  <c r="H23" i="3"/>
  <c r="H18" i="21"/>
  <c r="F23" i="2"/>
  <c r="H77" i="18"/>
  <c r="H102" i="18"/>
  <c r="H54" i="21"/>
  <c r="H21" i="21"/>
  <c r="H23" i="21"/>
  <c r="H133" i="18"/>
  <c r="H27" i="21"/>
  <c r="H13" i="22"/>
  <c r="H32" i="21"/>
  <c r="H135" i="18"/>
  <c r="H7" i="21"/>
  <c r="H11" i="21"/>
  <c r="H15" i="21"/>
  <c r="H128" i="18"/>
  <c r="H115" i="18"/>
  <c r="M24" i="6"/>
  <c r="H114" i="18"/>
  <c r="M48" i="6"/>
  <c r="P54" i="13"/>
  <c r="N17" i="7"/>
  <c r="N48" i="11"/>
  <c r="N56" i="10"/>
  <c r="P10" i="3"/>
  <c r="N17" i="4"/>
  <c r="H24" i="21"/>
  <c r="M18" i="9"/>
  <c r="P20" i="23"/>
  <c r="M46" i="6"/>
  <c r="M19" i="5"/>
  <c r="M49" i="6"/>
  <c r="M19" i="9"/>
  <c r="N12" i="7"/>
  <c r="M36" i="6"/>
  <c r="M17" i="5"/>
  <c r="M17" i="9"/>
  <c r="M44" i="6"/>
  <c r="N61" i="11"/>
  <c r="N14" i="7"/>
  <c r="N43" i="11"/>
  <c r="N51" i="10"/>
  <c r="P9" i="3"/>
  <c r="M20" i="9"/>
  <c r="M43" i="6"/>
  <c r="M39" i="6"/>
  <c r="M21" i="9"/>
  <c r="M23" i="6"/>
  <c r="M38" i="6"/>
  <c r="M22" i="6"/>
  <c r="M42" i="6"/>
  <c r="V26" i="21"/>
  <c r="V111" i="18"/>
  <c r="V8" i="21"/>
  <c r="V95" i="18"/>
  <c r="V134" i="18"/>
  <c r="V6" i="20"/>
  <c r="V97" i="18"/>
  <c r="V118" i="18"/>
  <c r="V44" i="21"/>
  <c r="V135" i="18"/>
  <c r="V22" i="21"/>
  <c r="V13" i="21"/>
  <c r="V9" i="21"/>
  <c r="V17" i="21"/>
  <c r="V16" i="3"/>
  <c r="V35" i="17"/>
  <c r="V6" i="19"/>
  <c r="V114" i="18"/>
  <c r="V124" i="18"/>
  <c r="V11" i="21"/>
  <c r="V137" i="18"/>
  <c r="V79" i="18"/>
  <c r="V122" i="18"/>
  <c r="V71" i="18"/>
  <c r="V64" i="12"/>
  <c r="V75" i="18"/>
  <c r="W92" i="18"/>
  <c r="W115" i="18"/>
  <c r="W133" i="18"/>
  <c r="W14" i="21"/>
  <c r="W22" i="21"/>
  <c r="W112" i="18"/>
  <c r="W9" i="20"/>
  <c r="W100" i="18"/>
  <c r="W129" i="18"/>
  <c r="W7" i="20"/>
  <c r="W98" i="18"/>
  <c r="W134" i="18"/>
  <c r="W123" i="18"/>
  <c r="W137" i="18"/>
  <c r="W121" i="18"/>
  <c r="W131" i="18"/>
  <c r="W135" i="18"/>
  <c r="W125" i="18"/>
  <c r="W128" i="18"/>
  <c r="W6" i="20"/>
  <c r="W97" i="18"/>
  <c r="W86" i="18"/>
  <c r="W8" i="21"/>
  <c r="W21" i="22"/>
  <c r="W126" i="18"/>
  <c r="I20" i="5"/>
  <c r="I20" i="9"/>
  <c r="J13" i="7"/>
  <c r="I36" i="6"/>
  <c r="I17" i="5"/>
  <c r="J55" i="11"/>
  <c r="L59" i="21"/>
  <c r="J14" i="7"/>
  <c r="J43" i="11"/>
  <c r="J51" i="10"/>
  <c r="L9" i="3"/>
  <c r="L54" i="13"/>
  <c r="J17" i="7"/>
  <c r="J48" i="11"/>
  <c r="J56" i="10"/>
  <c r="L10" i="3"/>
  <c r="J17" i="4"/>
  <c r="I19" i="9"/>
  <c r="I43" i="6"/>
  <c r="I21" i="6"/>
  <c r="I37" i="6"/>
  <c r="I39" i="6"/>
  <c r="I17" i="9"/>
  <c r="I47" i="6"/>
  <c r="J12" i="7"/>
  <c r="I41" i="6"/>
  <c r="I18" i="5"/>
  <c r="I23" i="6"/>
  <c r="I49" i="6"/>
  <c r="I46" i="6"/>
  <c r="I19" i="5"/>
  <c r="J61" i="11"/>
  <c r="I21" i="9"/>
  <c r="J11" i="7"/>
  <c r="T13" i="7"/>
  <c r="S20" i="9"/>
  <c r="S41" i="6"/>
  <c r="S18" i="5"/>
  <c r="S47" i="6"/>
  <c r="S42" i="6"/>
  <c r="T14" i="7"/>
  <c r="T43" i="11"/>
  <c r="T51" i="10"/>
  <c r="V9" i="3"/>
  <c r="Q17" i="21"/>
  <c r="S19" i="9"/>
  <c r="Q10" i="21"/>
  <c r="T61" i="11"/>
  <c r="Q26" i="21"/>
  <c r="S21" i="9"/>
  <c r="Q138" i="18"/>
  <c r="S44" i="6"/>
  <c r="Q116" i="18"/>
  <c r="Q125" i="18"/>
  <c r="V65" i="21"/>
  <c r="Q28" i="21"/>
  <c r="S18" i="9"/>
  <c r="S38" i="6"/>
  <c r="Q8" i="21"/>
  <c r="Q16" i="3"/>
  <c r="Q35" i="17"/>
  <c r="Q6" i="19"/>
  <c r="T11" i="7"/>
  <c r="Q139" i="18"/>
  <c r="Q42" i="22"/>
  <c r="S17" i="9"/>
  <c r="Q76" i="18"/>
  <c r="S21" i="6"/>
  <c r="S22" i="6"/>
  <c r="Q9" i="20"/>
  <c r="Q100" i="18"/>
  <c r="S48" i="6"/>
  <c r="S21" i="5"/>
  <c r="Q45" i="21"/>
  <c r="V54" i="13"/>
  <c r="T17" i="7"/>
  <c r="T48" i="11"/>
  <c r="T56" i="10"/>
  <c r="V10" i="3"/>
  <c r="T17" i="4"/>
  <c r="Q122" i="18"/>
  <c r="S24" i="6"/>
  <c r="Q22" i="21"/>
  <c r="T12" i="7"/>
  <c r="Q113" i="18"/>
  <c r="Q137" i="18"/>
  <c r="Q14" i="21"/>
  <c r="Q135" i="18"/>
  <c r="Q124" i="18"/>
  <c r="Q24" i="22"/>
  <c r="D21" i="9"/>
  <c r="G11" i="24"/>
  <c r="D37" i="6"/>
  <c r="E11" i="7"/>
  <c r="D44" i="6"/>
  <c r="D21" i="6"/>
  <c r="D17" i="9"/>
  <c r="D23" i="6"/>
  <c r="D41" i="6"/>
  <c r="D18" i="5"/>
  <c r="E61" i="11"/>
  <c r="D42" i="6"/>
  <c r="D20" i="9"/>
  <c r="D46" i="6"/>
  <c r="D19" i="5"/>
  <c r="D38" i="6"/>
  <c r="E13" i="7"/>
  <c r="G54" i="13"/>
  <c r="E17" i="7"/>
  <c r="E48" i="11"/>
  <c r="E56" i="10"/>
  <c r="G10" i="3"/>
  <c r="E17" i="4"/>
  <c r="D47" i="6"/>
  <c r="D24" i="6"/>
  <c r="D43" i="6"/>
  <c r="E14" i="7"/>
  <c r="E43" i="11"/>
  <c r="E51" i="10"/>
  <c r="G9" i="3"/>
  <c r="D22" i="6"/>
  <c r="D48" i="6"/>
  <c r="Z134" i="18"/>
  <c r="Z120" i="18"/>
  <c r="Z101" i="18"/>
  <c r="Z122" i="18"/>
  <c r="Z17" i="21"/>
  <c r="Z138" i="18"/>
  <c r="Z113" i="18"/>
  <c r="Z16" i="21"/>
  <c r="Z30" i="21"/>
  <c r="Z28" i="21"/>
  <c r="Z9" i="21"/>
  <c r="Z121" i="18"/>
  <c r="Z8" i="20"/>
  <c r="Z99" i="18"/>
  <c r="Z114" i="18"/>
  <c r="Z136" i="18"/>
  <c r="Z139" i="18"/>
  <c r="Z22" i="21"/>
  <c r="Z137" i="18"/>
  <c r="Z64" i="12"/>
  <c r="Z75" i="18"/>
  <c r="Z115" i="18"/>
  <c r="Z126" i="18"/>
  <c r="Z13" i="21"/>
  <c r="L122" i="18"/>
  <c r="L23" i="3"/>
  <c r="L18" i="21"/>
  <c r="J23" i="2"/>
  <c r="L138" i="18"/>
  <c r="L92" i="18"/>
  <c r="L136" i="18"/>
  <c r="L81" i="18"/>
  <c r="L126" i="18"/>
  <c r="L46" i="22"/>
  <c r="L23" i="21"/>
  <c r="L15" i="21"/>
  <c r="L7" i="21"/>
  <c r="L118" i="18"/>
  <c r="L129" i="18"/>
  <c r="L82" i="18"/>
  <c r="L116" i="18"/>
  <c r="L112" i="18"/>
  <c r="L102" i="18"/>
  <c r="L128" i="18"/>
  <c r="L6" i="20"/>
  <c r="L97" i="18"/>
  <c r="L89" i="18"/>
  <c r="L131" i="18"/>
  <c r="L11" i="21"/>
  <c r="U21" i="6"/>
  <c r="V11" i="7"/>
  <c r="V14" i="7"/>
  <c r="V43" i="11"/>
  <c r="V51" i="10"/>
  <c r="X9" i="3"/>
  <c r="U43" i="6"/>
  <c r="U24" i="6"/>
  <c r="X65" i="21"/>
  <c r="U18" i="9"/>
  <c r="U21" i="5"/>
  <c r="U17" i="9"/>
  <c r="U41" i="6"/>
  <c r="U18" i="5"/>
  <c r="U37" i="6"/>
  <c r="U48" i="6"/>
  <c r="U21" i="9"/>
  <c r="U44" i="6"/>
  <c r="U38" i="6"/>
  <c r="U47" i="6"/>
  <c r="X54" i="13"/>
  <c r="V17" i="7"/>
  <c r="V48" i="11"/>
  <c r="V56" i="10"/>
  <c r="X10" i="3"/>
  <c r="V17" i="4"/>
  <c r="U23" i="6"/>
  <c r="V61" i="11"/>
  <c r="U20" i="9"/>
  <c r="U19" i="9"/>
  <c r="V13" i="7"/>
  <c r="X23" i="21"/>
  <c r="X119" i="18"/>
  <c r="X93" i="18"/>
  <c r="X21" i="21"/>
  <c r="X94" i="18"/>
  <c r="X7" i="21"/>
  <c r="X24" i="21"/>
  <c r="X133" i="18"/>
  <c r="X117" i="18"/>
  <c r="X9" i="21"/>
  <c r="X77" i="18"/>
  <c r="X135" i="18"/>
  <c r="X128" i="18"/>
  <c r="X95" i="18"/>
  <c r="X138" i="18"/>
  <c r="X42" i="21"/>
  <c r="X122" i="18"/>
  <c r="X125" i="18"/>
  <c r="X126" i="18"/>
  <c r="X11" i="21"/>
  <c r="X136" i="18"/>
  <c r="X139" i="18"/>
  <c r="AA9" i="20"/>
  <c r="AA100" i="18"/>
  <c r="AA115" i="18"/>
  <c r="AA12" i="21"/>
  <c r="AA14" i="21"/>
  <c r="AA10" i="21"/>
  <c r="AA131" i="18"/>
  <c r="AA74" i="18"/>
  <c r="AA82" i="18"/>
  <c r="AA29" i="21"/>
  <c r="AA25" i="21"/>
  <c r="AA124" i="18"/>
  <c r="AA129" i="18"/>
  <c r="AA26" i="21"/>
  <c r="AA133" i="18"/>
  <c r="AA8" i="21"/>
  <c r="AA137" i="18"/>
  <c r="AA11" i="21"/>
  <c r="AA8" i="20"/>
  <c r="AA99" i="18"/>
  <c r="AA119" i="18"/>
  <c r="AA40" i="21"/>
  <c r="AA6" i="20"/>
  <c r="AA97" i="18"/>
  <c r="AA7" i="20"/>
  <c r="AA98" i="18"/>
  <c r="E16" i="21"/>
  <c r="E119" i="18"/>
  <c r="E117" i="18"/>
  <c r="E24" i="21"/>
  <c r="E40" i="21"/>
  <c r="E95" i="18"/>
  <c r="E83" i="18"/>
  <c r="E54" i="18"/>
  <c r="E123" i="18"/>
  <c r="E8" i="20"/>
  <c r="E99" i="18"/>
  <c r="E137" i="18"/>
  <c r="E80" i="18"/>
  <c r="E24" i="3"/>
  <c r="E37" i="21"/>
  <c r="E135" i="18"/>
  <c r="E139" i="18"/>
  <c r="E133" i="18"/>
  <c r="E125" i="18"/>
  <c r="E115" i="18"/>
  <c r="E16" i="3"/>
  <c r="E35" i="17"/>
  <c r="E6" i="19"/>
  <c r="E118" i="18"/>
  <c r="E127" i="18"/>
  <c r="E10" i="21"/>
  <c r="Y111" i="18"/>
  <c r="Y80" i="18"/>
  <c r="Y135" i="18"/>
  <c r="Y9" i="20"/>
  <c r="Y100" i="18"/>
  <c r="Y76" i="18"/>
  <c r="Y13" i="21"/>
  <c r="Y31" i="21"/>
  <c r="Y16" i="21"/>
  <c r="Y84" i="18"/>
  <c r="Y7" i="20"/>
  <c r="Y98" i="18"/>
  <c r="Y10" i="21"/>
  <c r="Y8" i="22"/>
  <c r="Y115" i="18"/>
  <c r="Y9" i="21"/>
  <c r="Y133" i="18"/>
  <c r="Y72" i="18"/>
  <c r="Y124" i="18"/>
  <c r="Y127" i="18"/>
  <c r="Y8" i="20"/>
  <c r="Y99" i="18"/>
  <c r="Y23" i="3"/>
  <c r="Y18" i="21"/>
  <c r="W23" i="2"/>
  <c r="Y121" i="18"/>
  <c r="Y131" i="18"/>
  <c r="Q38" i="6"/>
  <c r="Q21" i="9"/>
  <c r="Q44" i="6"/>
  <c r="Q19" i="9"/>
  <c r="Q48" i="6"/>
  <c r="Q20" i="9"/>
  <c r="Q21" i="5"/>
  <c r="Q41" i="6"/>
  <c r="Q18" i="5"/>
  <c r="R61" i="11"/>
  <c r="Q36" i="6"/>
  <c r="Q17" i="5"/>
  <c r="Q17" i="9"/>
  <c r="Q42" i="6"/>
  <c r="Q22" i="6"/>
  <c r="Q18" i="9"/>
  <c r="Q46" i="6"/>
  <c r="Q19" i="5"/>
  <c r="T13" i="23"/>
  <c r="R58" i="11"/>
  <c r="R38" i="4"/>
  <c r="T54" i="13"/>
  <c r="R17" i="7"/>
  <c r="R48" i="11"/>
  <c r="R56" i="10"/>
  <c r="T10" i="3"/>
  <c r="R17" i="4"/>
  <c r="R11" i="7"/>
  <c r="Q24" i="6"/>
  <c r="R12" i="7"/>
  <c r="Q21" i="6"/>
  <c r="R14" i="7"/>
  <c r="R43" i="11"/>
  <c r="R51" i="10"/>
  <c r="T9" i="3"/>
  <c r="D141" i="18"/>
  <c r="D87" i="18"/>
  <c r="D106" i="18"/>
  <c r="D109" i="18"/>
  <c r="D46" i="18"/>
  <c r="D103" i="18"/>
  <c r="D107" i="18"/>
  <c r="D88" i="18"/>
  <c r="D96" i="18"/>
  <c r="D110" i="18"/>
  <c r="D132" i="18"/>
  <c r="D85" i="18"/>
  <c r="D142" i="18"/>
  <c r="D20" i="20"/>
  <c r="D140" i="18"/>
  <c r="D17" i="20"/>
  <c r="D73" i="18"/>
  <c r="D104" i="18"/>
  <c r="D105" i="18"/>
  <c r="D91" i="18"/>
  <c r="D108" i="18"/>
  <c r="D12" i="20"/>
  <c r="C135" i="18"/>
  <c r="C26" i="21"/>
  <c r="C15" i="21"/>
  <c r="C23" i="3"/>
  <c r="C18" i="21"/>
  <c r="C139" i="18"/>
  <c r="C134" i="18"/>
  <c r="C28" i="21"/>
  <c r="C120" i="18"/>
  <c r="C17" i="21"/>
  <c r="C137" i="18"/>
  <c r="C127" i="18"/>
  <c r="C9" i="22"/>
  <c r="C138" i="18"/>
  <c r="C12" i="21"/>
  <c r="C41" i="21"/>
  <c r="C10" i="21"/>
  <c r="C16" i="3"/>
  <c r="C35" i="17"/>
  <c r="C6" i="19"/>
  <c r="C136" i="18"/>
  <c r="C121" i="18"/>
  <c r="C74" i="18"/>
  <c r="C33" i="21"/>
  <c r="C42" i="21"/>
  <c r="C14" i="20"/>
  <c r="C103" i="18"/>
  <c r="C132" i="18"/>
  <c r="C107" i="18"/>
  <c r="C96" i="18"/>
  <c r="C141" i="18"/>
  <c r="C130" i="18"/>
  <c r="C109" i="18"/>
  <c r="C85" i="18"/>
  <c r="C104" i="18"/>
  <c r="C46" i="18"/>
  <c r="C12" i="20"/>
  <c r="C20" i="20"/>
  <c r="C18" i="20"/>
  <c r="C106" i="18"/>
  <c r="C87" i="18"/>
  <c r="C87" i="17"/>
  <c r="C105" i="18"/>
  <c r="C17" i="20"/>
  <c r="C15" i="20"/>
  <c r="C13" i="20"/>
  <c r="C91" i="18"/>
  <c r="D8" i="20"/>
  <c r="D99" i="18"/>
  <c r="D9" i="21"/>
  <c r="D40" i="21"/>
  <c r="D8" i="21"/>
  <c r="D25" i="21"/>
  <c r="D33" i="21"/>
  <c r="D11" i="21"/>
  <c r="D139" i="18"/>
  <c r="D121" i="18"/>
  <c r="D126" i="18"/>
  <c r="D42" i="21"/>
  <c r="D10" i="21"/>
  <c r="D41" i="21"/>
  <c r="D9" i="22"/>
  <c r="D125" i="18"/>
  <c r="D93" i="18"/>
  <c r="D120" i="18"/>
  <c r="D15" i="21"/>
  <c r="D113" i="18"/>
  <c r="D26" i="21"/>
  <c r="D124" i="18"/>
  <c r="D137" i="18"/>
  <c r="T21" i="9"/>
  <c r="T19" i="9"/>
  <c r="W23" i="23"/>
  <c r="T48" i="6"/>
  <c r="T42" i="6"/>
  <c r="T20" i="9"/>
  <c r="T47" i="6"/>
  <c r="T46" i="6"/>
  <c r="T19" i="5"/>
  <c r="U14" i="7"/>
  <c r="U43" i="11"/>
  <c r="U51" i="10"/>
  <c r="W9" i="3"/>
  <c r="T37" i="6"/>
  <c r="T24" i="6"/>
  <c r="T18" i="9"/>
  <c r="T21" i="6"/>
  <c r="U13" i="7"/>
  <c r="T44" i="6"/>
  <c r="T38" i="6"/>
  <c r="T17" i="9"/>
  <c r="U11" i="7"/>
  <c r="W54" i="13"/>
  <c r="U17" i="7"/>
  <c r="U48" i="11"/>
  <c r="U56" i="10"/>
  <c r="W10" i="3"/>
  <c r="U17" i="4"/>
  <c r="T41" i="6"/>
  <c r="T18" i="5"/>
  <c r="T22" i="6"/>
  <c r="U61" i="11"/>
  <c r="P21" i="5"/>
  <c r="P21" i="9"/>
  <c r="Q11" i="7"/>
  <c r="Q12" i="7"/>
  <c r="P24" i="6"/>
  <c r="Q14" i="7"/>
  <c r="Q43" i="11"/>
  <c r="Q51" i="10"/>
  <c r="S9" i="3"/>
  <c r="P17" i="9"/>
  <c r="P39" i="6"/>
  <c r="S14" i="23"/>
  <c r="P49" i="6"/>
  <c r="P18" i="9"/>
  <c r="P20" i="9"/>
  <c r="S54" i="13"/>
  <c r="Q17" i="7"/>
  <c r="Q48" i="11"/>
  <c r="Q56" i="10"/>
  <c r="S10" i="3"/>
  <c r="Q17" i="4"/>
  <c r="P48" i="6"/>
  <c r="P46" i="6"/>
  <c r="P19" i="5"/>
  <c r="P22" i="6"/>
  <c r="P44" i="6"/>
  <c r="P36" i="6"/>
  <c r="P17" i="5"/>
  <c r="P19" i="9"/>
  <c r="P38" i="6"/>
  <c r="P41" i="6"/>
  <c r="P18" i="5"/>
  <c r="P42" i="6"/>
  <c r="Q48" i="21"/>
  <c r="Q62" i="21"/>
  <c r="Q31" i="21"/>
  <c r="Q21" i="21"/>
  <c r="Q12" i="21"/>
  <c r="Q34" i="22"/>
  <c r="Q50" i="21"/>
  <c r="Q47" i="21"/>
  <c r="Q7" i="20"/>
  <c r="Q98" i="18"/>
  <c r="Q35" i="21"/>
  <c r="Q23" i="21"/>
  <c r="Q10" i="22"/>
  <c r="Q119" i="18"/>
  <c r="Q120" i="18"/>
  <c r="Q23" i="3"/>
  <c r="Q18" i="21"/>
  <c r="O23" i="2"/>
  <c r="Q52" i="21"/>
  <c r="Q129" i="18"/>
  <c r="Q111" i="18"/>
  <c r="Q14" i="22"/>
  <c r="Q49" i="21"/>
  <c r="Q136" i="18"/>
  <c r="Q34" i="21"/>
  <c r="M62" i="21"/>
  <c r="M94" i="18"/>
  <c r="M49" i="21"/>
  <c r="M27" i="22"/>
  <c r="M35" i="21"/>
  <c r="M7" i="21"/>
  <c r="M16" i="21"/>
  <c r="M23" i="21"/>
  <c r="M48" i="21"/>
  <c r="M133" i="18"/>
  <c r="M25" i="21"/>
  <c r="M36" i="21"/>
  <c r="M46" i="22"/>
  <c r="M10" i="22"/>
  <c r="M52" i="21"/>
  <c r="M60" i="21"/>
  <c r="K25" i="2"/>
  <c r="M16" i="3"/>
  <c r="M35" i="17"/>
  <c r="M6" i="19"/>
  <c r="M29" i="21"/>
  <c r="M54" i="21"/>
  <c r="M23" i="3"/>
  <c r="M18" i="21"/>
  <c r="K23" i="2"/>
  <c r="M27" i="21"/>
  <c r="M124" i="18"/>
  <c r="O31" i="22"/>
  <c r="O23" i="21"/>
  <c r="O16" i="22"/>
  <c r="O115" i="18"/>
  <c r="O27" i="22"/>
  <c r="O31" i="21"/>
  <c r="O35" i="21"/>
  <c r="O29" i="21"/>
  <c r="O49" i="21"/>
  <c r="O60" i="21"/>
  <c r="M25" i="2"/>
  <c r="O120" i="18"/>
  <c r="O7" i="21"/>
  <c r="O9" i="20"/>
  <c r="O100" i="18"/>
  <c r="O138" i="18"/>
  <c r="O34" i="22"/>
  <c r="O131" i="18"/>
  <c r="O122" i="18"/>
  <c r="O50" i="21"/>
  <c r="O22" i="22"/>
  <c r="O54" i="21"/>
  <c r="O14" i="21"/>
  <c r="O52" i="21"/>
  <c r="K62" i="21"/>
  <c r="K122" i="18"/>
  <c r="K49" i="21"/>
  <c r="K32" i="21"/>
  <c r="K10" i="22"/>
  <c r="K121" i="18"/>
  <c r="K13" i="22"/>
  <c r="K126" i="18"/>
  <c r="K40" i="21"/>
  <c r="K9" i="21"/>
  <c r="K25" i="21"/>
  <c r="K25" i="22"/>
  <c r="K35" i="21"/>
  <c r="K135" i="18"/>
  <c r="K52" i="21"/>
  <c r="K36" i="21"/>
  <c r="K10" i="21"/>
  <c r="K23" i="3"/>
  <c r="K18" i="21"/>
  <c r="I23" i="2"/>
  <c r="K16" i="22"/>
  <c r="K112" i="18"/>
  <c r="K24" i="3"/>
  <c r="K37" i="21"/>
  <c r="K27" i="21"/>
  <c r="J28" i="22"/>
  <c r="J135" i="18"/>
  <c r="J35" i="22"/>
  <c r="J112" i="18"/>
  <c r="J29" i="21"/>
  <c r="J6" i="20"/>
  <c r="J97" i="18"/>
  <c r="J27" i="21"/>
  <c r="J54" i="21"/>
  <c r="J9" i="22"/>
  <c r="J40" i="21"/>
  <c r="J11" i="21"/>
  <c r="J47" i="22"/>
  <c r="J20" i="22"/>
  <c r="J52" i="21"/>
  <c r="J42" i="21"/>
  <c r="J30" i="21"/>
  <c r="J23" i="3"/>
  <c r="J18" i="21"/>
  <c r="H23" i="2"/>
  <c r="J24" i="21"/>
  <c r="J25" i="21"/>
  <c r="J13" i="22"/>
  <c r="J119" i="18"/>
  <c r="J32" i="21"/>
  <c r="W31" i="6"/>
  <c r="Z64" i="21"/>
  <c r="Z20" i="24"/>
  <c r="Z106" i="18"/>
  <c r="Z69" i="18"/>
  <c r="Z14" i="20"/>
  <c r="Z88" i="18"/>
  <c r="Z87" i="18"/>
  <c r="Z26" i="24"/>
  <c r="Z96" i="18"/>
  <c r="Z13" i="20"/>
  <c r="Z108" i="18"/>
  <c r="Z103" i="18"/>
  <c r="Z130" i="18"/>
  <c r="Z107" i="18"/>
  <c r="Z17" i="20"/>
  <c r="Z15" i="20"/>
  <c r="Z12" i="24"/>
  <c r="Z142" i="18"/>
  <c r="Z19" i="20"/>
  <c r="Z105" i="18"/>
  <c r="Z18" i="20"/>
  <c r="Z140" i="18"/>
  <c r="R42" i="22"/>
  <c r="R24" i="22"/>
  <c r="R62" i="21"/>
  <c r="R15" i="21"/>
  <c r="R21" i="21"/>
  <c r="R23" i="21"/>
  <c r="R60" i="21"/>
  <c r="P25" i="2"/>
  <c r="R39" i="22"/>
  <c r="R16" i="3"/>
  <c r="R35" i="17"/>
  <c r="R6" i="19"/>
  <c r="R127" i="18"/>
  <c r="R118" i="18"/>
  <c r="R34" i="21"/>
  <c r="R11" i="21"/>
  <c r="R14" i="22"/>
  <c r="R50" i="21"/>
  <c r="R10" i="21"/>
  <c r="R136" i="18"/>
  <c r="R31" i="21"/>
  <c r="R12" i="21"/>
  <c r="R27" i="22"/>
  <c r="R102" i="18"/>
  <c r="R48" i="21"/>
  <c r="T114" i="18"/>
  <c r="T46" i="21"/>
  <c r="T49" i="21"/>
  <c r="T48" i="21"/>
  <c r="T31" i="21"/>
  <c r="T7" i="21"/>
  <c r="T26" i="21"/>
  <c r="T34" i="21"/>
  <c r="T125" i="18"/>
  <c r="T17" i="21"/>
  <c r="T16" i="3"/>
  <c r="T35" i="17"/>
  <c r="T6" i="19"/>
  <c r="T29" i="21"/>
  <c r="T17" i="22"/>
  <c r="T8" i="21"/>
  <c r="T12" i="21"/>
  <c r="T34" i="22"/>
  <c r="T42" i="22"/>
  <c r="T19" i="22"/>
  <c r="T24" i="22"/>
  <c r="T28" i="21"/>
  <c r="T134" i="18"/>
  <c r="T35" i="21"/>
  <c r="V96" i="18"/>
  <c r="V14" i="20"/>
  <c r="V141" i="18"/>
  <c r="V20" i="20"/>
  <c r="V26" i="24"/>
  <c r="V110" i="18"/>
  <c r="V12" i="20"/>
  <c r="V106" i="18"/>
  <c r="V87" i="18"/>
  <c r="V19" i="20"/>
  <c r="V105" i="18"/>
  <c r="V91" i="18"/>
  <c r="V104" i="18"/>
  <c r="V140" i="18"/>
  <c r="V103" i="18"/>
  <c r="V132" i="18"/>
  <c r="V18" i="20"/>
  <c r="V108" i="18"/>
  <c r="V130" i="18"/>
  <c r="V17" i="20"/>
  <c r="V85" i="18"/>
  <c r="V142" i="18"/>
  <c r="H140" i="18"/>
  <c r="H20" i="20"/>
  <c r="H106" i="18"/>
  <c r="H130" i="18"/>
  <c r="H96" i="18"/>
  <c r="H141" i="18"/>
  <c r="H88" i="18"/>
  <c r="H12" i="20"/>
  <c r="H15" i="20"/>
  <c r="H132" i="18"/>
  <c r="H142" i="18"/>
  <c r="H107" i="18"/>
  <c r="H85" i="18"/>
  <c r="H87" i="18"/>
  <c r="H17" i="20"/>
  <c r="H19" i="20"/>
  <c r="H109" i="18"/>
  <c r="H108" i="18"/>
  <c r="H68" i="18"/>
  <c r="H27" i="24"/>
  <c r="H18" i="20"/>
  <c r="H105" i="18"/>
  <c r="I6" i="20"/>
  <c r="I97" i="18"/>
  <c r="I123" i="18"/>
  <c r="I33" i="21"/>
  <c r="I22" i="21"/>
  <c r="I116" i="18"/>
  <c r="I12" i="22"/>
  <c r="I28" i="22"/>
  <c r="I137" i="18"/>
  <c r="I15" i="21"/>
  <c r="I24" i="21"/>
  <c r="I10" i="21"/>
  <c r="I101" i="18"/>
  <c r="I41" i="21"/>
  <c r="I42" i="21"/>
  <c r="I128" i="18"/>
  <c r="I43" i="21"/>
  <c r="I11" i="21"/>
  <c r="I32" i="22"/>
  <c r="I32" i="21"/>
  <c r="I40" i="21"/>
  <c r="I24" i="3"/>
  <c r="I37" i="21"/>
  <c r="I124" i="18"/>
  <c r="X18" i="20"/>
  <c r="X110" i="18"/>
  <c r="V23" i="7"/>
  <c r="X63" i="21"/>
  <c r="X103" i="18"/>
  <c r="X107" i="18"/>
  <c r="X87" i="18"/>
  <c r="X12" i="20"/>
  <c r="X19" i="20"/>
  <c r="X106" i="18"/>
  <c r="X96" i="18"/>
  <c r="X130" i="18"/>
  <c r="X73" i="18"/>
  <c r="X69" i="18"/>
  <c r="X132" i="18"/>
  <c r="X141" i="18"/>
  <c r="X20" i="20"/>
  <c r="X91" i="18"/>
  <c r="X85" i="18"/>
  <c r="X140" i="18"/>
  <c r="X17" i="20"/>
  <c r="X68" i="18"/>
  <c r="X105" i="18"/>
  <c r="N9" i="22"/>
  <c r="N14" i="21"/>
  <c r="N115" i="18"/>
  <c r="N47" i="22"/>
  <c r="N60" i="21"/>
  <c r="L25" i="2"/>
  <c r="N119" i="18"/>
  <c r="N46" i="22"/>
  <c r="N23" i="21"/>
  <c r="N25" i="21"/>
  <c r="N131" i="18"/>
  <c r="N7" i="21"/>
  <c r="N54" i="21"/>
  <c r="N31" i="22"/>
  <c r="N9" i="20"/>
  <c r="N100" i="18"/>
  <c r="N24" i="3"/>
  <c r="N37" i="21"/>
  <c r="N36" i="21"/>
  <c r="N35" i="22"/>
  <c r="N43" i="22"/>
  <c r="N120" i="18"/>
  <c r="N27" i="21"/>
  <c r="N23" i="3"/>
  <c r="N18" i="21"/>
  <c r="L23" i="2"/>
  <c r="N29" i="21"/>
  <c r="L43" i="22"/>
  <c r="L22" i="21"/>
  <c r="L133" i="18"/>
  <c r="L27" i="21"/>
  <c r="L16" i="21"/>
  <c r="L32" i="21"/>
  <c r="L41" i="21"/>
  <c r="L20" i="22"/>
  <c r="L9" i="22"/>
  <c r="L50" i="21"/>
  <c r="L29" i="21"/>
  <c r="L40" i="21"/>
  <c r="L25" i="21"/>
  <c r="L62" i="21"/>
  <c r="L49" i="21"/>
  <c r="L35" i="22"/>
  <c r="L25" i="22"/>
  <c r="L13" i="22"/>
  <c r="L121" i="18"/>
  <c r="L114" i="18"/>
  <c r="L36" i="21"/>
  <c r="L9" i="21"/>
  <c r="G16" i="3"/>
  <c r="G35" i="17"/>
  <c r="G6" i="19"/>
  <c r="G16" i="22"/>
  <c r="G8" i="22"/>
  <c r="G139" i="18"/>
  <c r="G127" i="18"/>
  <c r="G10" i="21"/>
  <c r="G13" i="21"/>
  <c r="G113" i="18"/>
  <c r="G26" i="21"/>
  <c r="G24" i="3"/>
  <c r="G37" i="21"/>
  <c r="G42" i="21"/>
  <c r="G33" i="21"/>
  <c r="G9" i="20"/>
  <c r="G100" i="18"/>
  <c r="G23" i="3"/>
  <c r="G18" i="21"/>
  <c r="E23" i="2"/>
  <c r="G24" i="21"/>
  <c r="G14" i="21"/>
  <c r="G41" i="21"/>
  <c r="G17" i="21"/>
  <c r="G111" i="18"/>
  <c r="G44" i="21"/>
  <c r="G43" i="21"/>
  <c r="G8" i="20"/>
  <c r="G99" i="18"/>
  <c r="S62" i="21"/>
  <c r="S60" i="21"/>
  <c r="Q25" i="2"/>
  <c r="S34" i="22"/>
  <c r="S47" i="21"/>
  <c r="S28" i="21"/>
  <c r="S118" i="18"/>
  <c r="S17" i="21"/>
  <c r="S50" i="21"/>
  <c r="S115" i="18"/>
  <c r="S48" i="21"/>
  <c r="S34" i="21"/>
  <c r="S10" i="21"/>
  <c r="S31" i="21"/>
  <c r="S23" i="21"/>
  <c r="S16" i="3"/>
  <c r="S35" i="17"/>
  <c r="S6" i="19"/>
  <c r="S134" i="18"/>
  <c r="S10" i="22"/>
  <c r="S49" i="21"/>
  <c r="S15" i="21"/>
  <c r="S9" i="20"/>
  <c r="S100" i="18"/>
  <c r="S131" i="18"/>
  <c r="S14" i="22"/>
  <c r="P31" i="22"/>
  <c r="P7" i="20"/>
  <c r="P98" i="18"/>
  <c r="P12" i="21"/>
  <c r="P129" i="18"/>
  <c r="P16" i="21"/>
  <c r="P27" i="22"/>
  <c r="P16" i="22"/>
  <c r="P22" i="22"/>
  <c r="P11" i="21"/>
  <c r="P9" i="21"/>
  <c r="P111" i="18"/>
  <c r="P54" i="21"/>
  <c r="P36" i="21"/>
  <c r="P23" i="21"/>
  <c r="P29" i="21"/>
  <c r="P126" i="18"/>
  <c r="P50" i="21"/>
  <c r="P25" i="21"/>
  <c r="P35" i="21"/>
  <c r="P13" i="22"/>
  <c r="P138" i="18"/>
  <c r="P62" i="21"/>
  <c r="T106" i="18"/>
  <c r="T130" i="18"/>
  <c r="T104" i="18"/>
  <c r="T107" i="18"/>
  <c r="T132" i="18"/>
  <c r="T12" i="20"/>
  <c r="T14" i="20"/>
  <c r="T141" i="18"/>
  <c r="T85" i="18"/>
  <c r="T109" i="18"/>
  <c r="T23" i="24"/>
  <c r="T142" i="18"/>
  <c r="T17" i="20"/>
  <c r="T91" i="18"/>
  <c r="T73" i="18"/>
  <c r="R23" i="7"/>
  <c r="T63" i="21"/>
  <c r="T108" i="18"/>
  <c r="T19" i="20"/>
  <c r="T110" i="18"/>
  <c r="T140" i="18"/>
  <c r="T88" i="18"/>
  <c r="T46" i="18"/>
  <c r="U129" i="18"/>
  <c r="U8" i="21"/>
  <c r="U93" i="18"/>
  <c r="U128" i="18"/>
  <c r="U26" i="21"/>
  <c r="U16" i="3"/>
  <c r="U35" i="17"/>
  <c r="U6" i="19"/>
  <c r="U114" i="18"/>
  <c r="U49" i="21"/>
  <c r="U47" i="21"/>
  <c r="U10" i="22"/>
  <c r="U21" i="21"/>
  <c r="U131" i="18"/>
  <c r="U16" i="21"/>
  <c r="U127" i="18"/>
  <c r="U45" i="21"/>
  <c r="U15" i="21"/>
  <c r="U48" i="21"/>
  <c r="U7" i="20"/>
  <c r="U98" i="18"/>
  <c r="U46" i="21"/>
  <c r="U31" i="21"/>
  <c r="U12" i="21"/>
  <c r="U113" i="18"/>
  <c r="J13" i="20"/>
  <c r="J85" i="18"/>
  <c r="J14" i="20"/>
  <c r="J96" i="18"/>
  <c r="J105" i="18"/>
  <c r="J15" i="20"/>
  <c r="J132" i="18"/>
  <c r="J107" i="18"/>
  <c r="J20" i="20"/>
  <c r="J19" i="20"/>
  <c r="J17" i="20"/>
  <c r="J106" i="18"/>
  <c r="J130" i="18"/>
  <c r="J12" i="20"/>
  <c r="J110" i="18"/>
  <c r="J91" i="18"/>
  <c r="J18" i="20"/>
  <c r="J142" i="18"/>
  <c r="J140" i="18"/>
  <c r="J103" i="18"/>
  <c r="J108" i="18"/>
  <c r="H23" i="7"/>
  <c r="J63" i="21"/>
  <c r="X20" i="5"/>
  <c r="Y88" i="18"/>
  <c r="Y47" i="18"/>
  <c r="X47" i="6"/>
  <c r="X41" i="6"/>
  <c r="X18" i="5"/>
  <c r="Y130" i="18"/>
  <c r="X21" i="5"/>
  <c r="Y23" i="24"/>
  <c r="Y91" i="18"/>
  <c r="X23" i="6"/>
  <c r="Y141" i="18"/>
  <c r="Y106" i="18"/>
  <c r="X39" i="6"/>
  <c r="Y108" i="18"/>
  <c r="Y14" i="7"/>
  <c r="Y43" i="11"/>
  <c r="Y51" i="10"/>
  <c r="AA9" i="3"/>
  <c r="W23" i="7"/>
  <c r="Y63" i="21"/>
  <c r="X37" i="6"/>
  <c r="AA16" i="23"/>
  <c r="Y12" i="24"/>
  <c r="X20" i="9"/>
  <c r="Y103" i="18"/>
  <c r="Y96" i="18"/>
  <c r="Y61" i="11"/>
  <c r="Y12" i="20"/>
  <c r="Y132" i="18"/>
  <c r="Y87" i="18"/>
  <c r="Y142" i="18"/>
  <c r="Y109" i="18"/>
  <c r="X19" i="9"/>
  <c r="Y85" i="18"/>
  <c r="Y20" i="20"/>
  <c r="Y18" i="20"/>
  <c r="Y13" i="20"/>
  <c r="X24" i="6"/>
  <c r="V31" i="6"/>
  <c r="Y64" i="21"/>
  <c r="AA54" i="13"/>
  <c r="Y17" i="7"/>
  <c r="Y48" i="11"/>
  <c r="Y56" i="10"/>
  <c r="AA10" i="3"/>
  <c r="Y17" i="4"/>
  <c r="X49" i="6"/>
  <c r="Y13" i="7"/>
  <c r="X43" i="6"/>
  <c r="Y11" i="7"/>
  <c r="X44" i="6"/>
  <c r="X21" i="9"/>
  <c r="X18" i="9"/>
  <c r="X17" i="9"/>
  <c r="Y23" i="23"/>
  <c r="W14" i="7"/>
  <c r="W43" i="11"/>
  <c r="W51" i="10"/>
  <c r="Y9" i="3"/>
  <c r="V47" i="6"/>
  <c r="V19" i="9"/>
  <c r="V43" i="6"/>
  <c r="W11" i="7"/>
  <c r="W61" i="11"/>
  <c r="V17" i="9"/>
  <c r="V41" i="6"/>
  <c r="V18" i="5"/>
  <c r="V20" i="9"/>
  <c r="V49" i="6"/>
  <c r="V23" i="6"/>
  <c r="V21" i="9"/>
  <c r="W13" i="7"/>
  <c r="V37" i="6"/>
  <c r="V18" i="9"/>
  <c r="V21" i="6"/>
  <c r="Y54" i="13"/>
  <c r="W17" i="7"/>
  <c r="W48" i="11"/>
  <c r="W56" i="10"/>
  <c r="Y10" i="3"/>
  <c r="W17" i="4"/>
  <c r="V48" i="6"/>
  <c r="V20" i="5"/>
  <c r="V38" i="6"/>
  <c r="V44" i="6"/>
  <c r="F9" i="22"/>
  <c r="F10" i="21"/>
  <c r="F120" i="18"/>
  <c r="F15" i="22"/>
  <c r="F30" i="21"/>
  <c r="F28" i="22"/>
  <c r="F139" i="18"/>
  <c r="F117" i="18"/>
  <c r="F32" i="21"/>
  <c r="F32" i="22"/>
  <c r="F24" i="21"/>
  <c r="F125" i="18"/>
  <c r="F15" i="21"/>
  <c r="F44" i="21"/>
  <c r="F40" i="21"/>
  <c r="F33" i="21"/>
  <c r="F21" i="21"/>
  <c r="F136" i="18"/>
  <c r="F123" i="18"/>
  <c r="F28" i="21"/>
  <c r="F126" i="18"/>
  <c r="F6" i="20"/>
  <c r="F97" i="18"/>
  <c r="E41" i="21"/>
  <c r="E9" i="20"/>
  <c r="E100" i="18"/>
  <c r="E45" i="21"/>
  <c r="E15" i="21"/>
  <c r="E14" i="21"/>
  <c r="E12" i="21"/>
  <c r="E7" i="20"/>
  <c r="E98" i="18"/>
  <c r="E28" i="21"/>
  <c r="E18" i="22"/>
  <c r="E8" i="22"/>
  <c r="E113" i="18"/>
  <c r="E12" i="22"/>
  <c r="E8" i="21"/>
  <c r="E26" i="21"/>
  <c r="E44" i="21"/>
  <c r="E46" i="21"/>
  <c r="E30" i="21"/>
  <c r="E17" i="21"/>
  <c r="E21" i="21"/>
  <c r="E129" i="18"/>
  <c r="E22" i="21"/>
  <c r="E43" i="21"/>
  <c r="V34" i="21"/>
  <c r="V31" i="21"/>
  <c r="V17" i="22"/>
  <c r="V139" i="18"/>
  <c r="V10" i="22"/>
  <c r="V21" i="21"/>
  <c r="V19" i="22"/>
  <c r="V48" i="21"/>
  <c r="V28" i="21"/>
  <c r="V123" i="18"/>
  <c r="V39" i="22"/>
  <c r="V120" i="18"/>
  <c r="V24" i="21"/>
  <c r="V46" i="21"/>
  <c r="V30" i="21"/>
  <c r="V23" i="21"/>
  <c r="V47" i="21"/>
  <c r="V15" i="21"/>
  <c r="V7" i="21"/>
  <c r="V13" i="22"/>
  <c r="V136" i="18"/>
  <c r="V10" i="21"/>
  <c r="S88" i="18"/>
  <c r="S12" i="20"/>
  <c r="S18" i="20"/>
  <c r="S130" i="18"/>
  <c r="S141" i="18"/>
  <c r="S104" i="18"/>
  <c r="S14" i="20"/>
  <c r="S13" i="20"/>
  <c r="S19" i="20"/>
  <c r="S20" i="20"/>
  <c r="S108" i="18"/>
  <c r="S96" i="18"/>
  <c r="S85" i="18"/>
  <c r="Q23" i="7"/>
  <c r="S63" i="21"/>
  <c r="S103" i="18"/>
  <c r="S140" i="18"/>
  <c r="S17" i="20"/>
  <c r="S132" i="18"/>
  <c r="S91" i="18"/>
  <c r="S15" i="20"/>
  <c r="S107" i="18"/>
  <c r="S109" i="18"/>
  <c r="H22" i="21"/>
  <c r="H26" i="21"/>
  <c r="H118" i="18"/>
  <c r="H13" i="21"/>
  <c r="H8" i="21"/>
  <c r="H121" i="18"/>
  <c r="H137" i="18"/>
  <c r="H33" i="21"/>
  <c r="H116" i="18"/>
  <c r="H42" i="21"/>
  <c r="H25" i="22"/>
  <c r="H8" i="20"/>
  <c r="H99" i="18"/>
  <c r="H124" i="18"/>
  <c r="H8" i="22"/>
  <c r="H17" i="21"/>
  <c r="H15" i="22"/>
  <c r="H30" i="21"/>
  <c r="H32" i="22"/>
  <c r="H47" i="22"/>
  <c r="H139" i="18"/>
  <c r="H134" i="18"/>
  <c r="H123" i="18"/>
  <c r="Y15" i="21"/>
  <c r="Y38" i="22"/>
  <c r="Y41" i="21"/>
  <c r="Y137" i="18"/>
  <c r="Y129" i="18"/>
  <c r="Y22" i="21"/>
  <c r="Y45" i="21"/>
  <c r="Y21" i="22"/>
  <c r="Y24" i="21"/>
  <c r="Y6" i="20"/>
  <c r="Y97" i="18"/>
  <c r="Y8" i="21"/>
  <c r="Y39" i="22"/>
  <c r="Y11" i="21"/>
  <c r="Y128" i="18"/>
  <c r="Y12" i="21"/>
  <c r="Y14" i="22"/>
  <c r="Y44" i="21"/>
  <c r="Y33" i="21"/>
  <c r="Y43" i="21"/>
  <c r="Y117" i="18"/>
  <c r="Y34" i="21"/>
  <c r="Y125" i="18"/>
  <c r="Z11" i="21"/>
  <c r="Z11" i="22"/>
  <c r="Z33" i="21"/>
  <c r="Z47" i="21"/>
  <c r="Z15" i="21"/>
  <c r="Z133" i="18"/>
  <c r="Z24" i="21"/>
  <c r="Z38" i="22"/>
  <c r="Z6" i="20"/>
  <c r="Z97" i="18"/>
  <c r="Z131" i="18"/>
  <c r="Z21" i="21"/>
  <c r="Z42" i="21"/>
  <c r="Z119" i="18"/>
  <c r="Z23" i="3"/>
  <c r="Z18" i="21"/>
  <c r="X23" i="2"/>
  <c r="Z8" i="21"/>
  <c r="Z46" i="21"/>
  <c r="Z135" i="18"/>
  <c r="Z43" i="21"/>
  <c r="Z125" i="18"/>
  <c r="Z116" i="18"/>
  <c r="Z32" i="21"/>
  <c r="Z44" i="21"/>
  <c r="X30" i="21"/>
  <c r="X22" i="21"/>
  <c r="X46" i="21"/>
  <c r="X17" i="22"/>
  <c r="X26" i="21"/>
  <c r="X13" i="21"/>
  <c r="X33" i="21"/>
  <c r="X121" i="18"/>
  <c r="X45" i="21"/>
  <c r="X134" i="18"/>
  <c r="X137" i="18"/>
  <c r="X118" i="18"/>
  <c r="X21" i="22"/>
  <c r="X8" i="20"/>
  <c r="X99" i="18"/>
  <c r="X11" i="22"/>
  <c r="X19" i="22"/>
  <c r="X17" i="21"/>
  <c r="X44" i="21"/>
  <c r="X48" i="21"/>
  <c r="X8" i="21"/>
  <c r="X39" i="22"/>
  <c r="X34" i="21"/>
  <c r="W17" i="22"/>
  <c r="W47" i="21"/>
  <c r="W14" i="22"/>
  <c r="W13" i="21"/>
  <c r="W139" i="18"/>
  <c r="W33" i="21"/>
  <c r="W30" i="21"/>
  <c r="W12" i="21"/>
  <c r="W10" i="21"/>
  <c r="W127" i="18"/>
  <c r="W28" i="21"/>
  <c r="W45" i="21"/>
  <c r="W24" i="21"/>
  <c r="W26" i="21"/>
  <c r="W10" i="22"/>
  <c r="W16" i="3"/>
  <c r="W35" i="17"/>
  <c r="W6" i="19"/>
  <c r="W44" i="21"/>
  <c r="W8" i="20"/>
  <c r="W99" i="18"/>
  <c r="W111" i="18"/>
  <c r="W17" i="21"/>
  <c r="W19" i="22"/>
  <c r="W46" i="21"/>
  <c r="AA139" i="18"/>
  <c r="AA23" i="3"/>
  <c r="AA18" i="21"/>
  <c r="Y23" i="2"/>
  <c r="AA25" i="22"/>
  <c r="AA41" i="21"/>
  <c r="AA126" i="18"/>
  <c r="AA135" i="18"/>
  <c r="AA9" i="21"/>
  <c r="AA16" i="21"/>
  <c r="AA33" i="21"/>
  <c r="AA30" i="21"/>
  <c r="AA127" i="18"/>
  <c r="AA42" i="21"/>
  <c r="AA13" i="21"/>
  <c r="AA113" i="18"/>
  <c r="AA32" i="21"/>
  <c r="AA43" i="21"/>
  <c r="AA47" i="21"/>
  <c r="AA22" i="21"/>
  <c r="AA27" i="21"/>
  <c r="AA123" i="18"/>
  <c r="AA116" i="18"/>
  <c r="AA24" i="21"/>
  <c r="D13" i="7"/>
  <c r="C17" i="9"/>
  <c r="C37" i="6"/>
  <c r="D14" i="7"/>
  <c r="D43" i="11"/>
  <c r="D51" i="10"/>
  <c r="F9" i="3"/>
  <c r="C20" i="9"/>
  <c r="C21" i="9"/>
  <c r="C19" i="9"/>
  <c r="F54" i="13"/>
  <c r="D17" i="7"/>
  <c r="D48" i="11"/>
  <c r="D56" i="10"/>
  <c r="F10" i="3"/>
  <c r="D17" i="4"/>
  <c r="C22" i="6"/>
  <c r="D61" i="11"/>
  <c r="D12" i="7"/>
  <c r="C44" i="6"/>
  <c r="C42" i="6"/>
  <c r="C21" i="5"/>
  <c r="C18" i="9"/>
  <c r="F65" i="21"/>
  <c r="C38" i="6"/>
  <c r="C48" i="6"/>
  <c r="C21" i="6"/>
  <c r="C41" i="6"/>
  <c r="C18" i="5"/>
  <c r="D11" i="7"/>
  <c r="C24" i="6"/>
  <c r="P109" i="18"/>
  <c r="P110" i="18"/>
  <c r="P140" i="18"/>
  <c r="P12" i="20"/>
  <c r="P17" i="20"/>
  <c r="P19" i="20"/>
  <c r="P15" i="20"/>
  <c r="N23" i="7"/>
  <c r="P63" i="21"/>
  <c r="M31" i="6"/>
  <c r="P64" i="21"/>
  <c r="P96" i="18"/>
  <c r="P85" i="18"/>
  <c r="P13" i="20"/>
  <c r="P23" i="24"/>
  <c r="P103" i="18"/>
  <c r="P132" i="18"/>
  <c r="P106" i="18"/>
  <c r="P108" i="18"/>
  <c r="P142" i="18"/>
  <c r="P73" i="18"/>
  <c r="P14" i="20"/>
  <c r="P104" i="18"/>
  <c r="P107" i="18"/>
  <c r="AA103" i="18"/>
  <c r="AA20" i="20"/>
  <c r="X31" i="6"/>
  <c r="AA64" i="21"/>
  <c r="AA105" i="18"/>
  <c r="AA142" i="18"/>
  <c r="AA85" i="18"/>
  <c r="AA91" i="18"/>
  <c r="AA109" i="18"/>
  <c r="AA107" i="18"/>
  <c r="AA130" i="18"/>
  <c r="AA18" i="20"/>
  <c r="AA141" i="18"/>
  <c r="AA47" i="18"/>
  <c r="AA15" i="20"/>
  <c r="AA132" i="18"/>
  <c r="AA106" i="18"/>
  <c r="AA12" i="24"/>
  <c r="AA140" i="18"/>
  <c r="AA13" i="20"/>
  <c r="AA87" i="18"/>
  <c r="AA12" i="20"/>
  <c r="AA73" i="18"/>
  <c r="N13" i="20"/>
  <c r="N110" i="18"/>
  <c r="N17" i="20"/>
  <c r="N108" i="18"/>
  <c r="N12" i="20"/>
  <c r="N130" i="18"/>
  <c r="N96" i="18"/>
  <c r="N91" i="18"/>
  <c r="N69" i="18"/>
  <c r="N14" i="20"/>
  <c r="N18" i="20"/>
  <c r="N142" i="18"/>
  <c r="N73" i="18"/>
  <c r="N140" i="18"/>
  <c r="N87" i="18"/>
  <c r="N106" i="18"/>
  <c r="N107" i="18"/>
  <c r="N19" i="20"/>
  <c r="N105" i="18"/>
  <c r="N132" i="18"/>
  <c r="L23" i="7"/>
  <c r="N63" i="21"/>
  <c r="N15" i="20"/>
  <c r="E12" i="20"/>
  <c r="E64" i="21"/>
  <c r="E68" i="18"/>
  <c r="E14" i="20"/>
  <c r="E103" i="18"/>
  <c r="E15" i="20"/>
  <c r="E105" i="18"/>
  <c r="E141" i="18"/>
  <c r="E91" i="18"/>
  <c r="E88" i="18"/>
  <c r="E109" i="18"/>
  <c r="E130" i="18"/>
  <c r="E20" i="20"/>
  <c r="E132" i="18"/>
  <c r="E108" i="18"/>
  <c r="E106" i="18"/>
  <c r="E36" i="18"/>
  <c r="E19" i="20"/>
  <c r="E13" i="20"/>
  <c r="E110" i="18"/>
  <c r="E17" i="20"/>
  <c r="E96" i="18"/>
  <c r="C12" i="7"/>
  <c r="C11" i="7"/>
  <c r="E54" i="13"/>
  <c r="C17" i="7"/>
  <c r="C48" i="11"/>
  <c r="C56" i="10"/>
  <c r="E10" i="3"/>
  <c r="C17" i="4"/>
  <c r="C13" i="7"/>
  <c r="E65" i="21"/>
  <c r="C61" i="11"/>
  <c r="C14" i="7"/>
  <c r="C43" i="11"/>
  <c r="C51" i="10"/>
  <c r="E9" i="3"/>
  <c r="Q96" i="18"/>
  <c r="Q140" i="18"/>
  <c r="Q132" i="18"/>
  <c r="Q110" i="18"/>
  <c r="Q105" i="18"/>
  <c r="Q107" i="18"/>
  <c r="Q109" i="18"/>
  <c r="Q141" i="18"/>
  <c r="Q142" i="18"/>
  <c r="Q17" i="20"/>
  <c r="Q103" i="18"/>
  <c r="Q13" i="20"/>
  <c r="Q68" i="18"/>
  <c r="Q73" i="18"/>
  <c r="Q15" i="20"/>
  <c r="Q14" i="20"/>
  <c r="Q19" i="20"/>
  <c r="N31" i="6"/>
  <c r="Q64" i="21"/>
  <c r="Q108" i="18"/>
  <c r="Q104" i="18"/>
  <c r="Q20" i="20"/>
  <c r="Q18" i="20"/>
  <c r="W15" i="20"/>
  <c r="W141" i="18"/>
  <c r="W20" i="20"/>
  <c r="W14" i="20"/>
  <c r="W88" i="18"/>
  <c r="W15" i="24"/>
  <c r="W68" i="18"/>
  <c r="W103" i="18"/>
  <c r="U23" i="7"/>
  <c r="W63" i="21"/>
  <c r="W110" i="18"/>
  <c r="W91" i="18"/>
  <c r="W18" i="20"/>
  <c r="W17" i="20"/>
  <c r="W96" i="18"/>
  <c r="W13" i="20"/>
  <c r="W87" i="18"/>
  <c r="W12" i="20"/>
  <c r="W105" i="18"/>
  <c r="W132" i="18"/>
  <c r="T31" i="6"/>
  <c r="W64" i="21"/>
  <c r="W73" i="18"/>
  <c r="W130" i="18"/>
  <c r="R141" i="18"/>
  <c r="R107" i="18"/>
  <c r="R91" i="18"/>
  <c r="R132" i="18"/>
  <c r="R12" i="20"/>
  <c r="R14" i="20"/>
  <c r="R68" i="18"/>
  <c r="R103" i="18"/>
  <c r="R13" i="20"/>
  <c r="R88" i="18"/>
  <c r="R110" i="18"/>
  <c r="R85" i="18"/>
  <c r="R142" i="18"/>
  <c r="R105" i="18"/>
  <c r="P23" i="7"/>
  <c r="R63" i="21"/>
  <c r="R19" i="20"/>
  <c r="R31" i="24"/>
  <c r="R140" i="18"/>
  <c r="R109" i="18"/>
  <c r="R17" i="20"/>
  <c r="R104" i="18"/>
  <c r="R108" i="18"/>
  <c r="L104" i="18"/>
  <c r="L103" i="18"/>
  <c r="L69" i="18"/>
  <c r="L109" i="18"/>
  <c r="L14" i="20"/>
  <c r="L130" i="18"/>
  <c r="L107" i="18"/>
  <c r="L17" i="20"/>
  <c r="L20" i="20"/>
  <c r="L18" i="20"/>
  <c r="L106" i="18"/>
  <c r="L132" i="18"/>
  <c r="L13" i="20"/>
  <c r="L19" i="20"/>
  <c r="L88" i="18"/>
  <c r="L12" i="20"/>
  <c r="L140" i="18"/>
  <c r="L15" i="20"/>
  <c r="L105" i="18"/>
  <c r="L108" i="18"/>
  <c r="L110" i="18"/>
  <c r="L142" i="18"/>
  <c r="D36" i="22"/>
  <c r="D46" i="21"/>
  <c r="D14" i="21"/>
  <c r="D48" i="21"/>
  <c r="D122" i="18"/>
  <c r="D17" i="21"/>
  <c r="D115" i="18"/>
  <c r="D138" i="18"/>
  <c r="D133" i="18"/>
  <c r="D131" i="18"/>
  <c r="D9" i="20"/>
  <c r="D100" i="18"/>
  <c r="D34" i="21"/>
  <c r="D11" i="22"/>
  <c r="D23" i="21"/>
  <c r="D12" i="22"/>
  <c r="D134" i="18"/>
  <c r="D117" i="18"/>
  <c r="D26" i="22"/>
  <c r="D15" i="22"/>
  <c r="D101" i="18"/>
  <c r="D12" i="21"/>
  <c r="D31" i="21"/>
  <c r="U88" i="18"/>
  <c r="U20" i="20"/>
  <c r="U68" i="18"/>
  <c r="U103" i="18"/>
  <c r="U15" i="20"/>
  <c r="U17" i="20"/>
  <c r="U91" i="18"/>
  <c r="U141" i="18"/>
  <c r="U12" i="20"/>
  <c r="U106" i="18"/>
  <c r="U104" i="18"/>
  <c r="U130" i="18"/>
  <c r="U36" i="18"/>
  <c r="U13" i="20"/>
  <c r="U85" i="18"/>
  <c r="U110" i="18"/>
  <c r="U19" i="20"/>
  <c r="R31" i="6"/>
  <c r="U64" i="21"/>
  <c r="U132" i="18"/>
  <c r="U18" i="20"/>
  <c r="U108" i="18"/>
  <c r="U14" i="20"/>
  <c r="C46" i="21"/>
  <c r="C124" i="18"/>
  <c r="C45" i="21"/>
  <c r="C30" i="22"/>
  <c r="C47" i="21"/>
  <c r="C48" i="21"/>
  <c r="C115" i="18"/>
  <c r="C12" i="22"/>
  <c r="C23" i="21"/>
  <c r="C34" i="21"/>
  <c r="C14" i="21"/>
  <c r="C8" i="22"/>
  <c r="C94" i="18"/>
  <c r="C31" i="21"/>
  <c r="C9" i="20"/>
  <c r="C100" i="18"/>
  <c r="C131" i="18"/>
  <c r="C7" i="21"/>
  <c r="C49" i="21"/>
  <c r="C43" i="21"/>
  <c r="C25" i="21"/>
  <c r="C33" i="22"/>
  <c r="C126" i="18"/>
  <c r="K141" i="18"/>
  <c r="K12" i="20"/>
  <c r="K73" i="18"/>
  <c r="K105" i="18"/>
  <c r="K107" i="18"/>
  <c r="K13" i="20"/>
  <c r="K110" i="18"/>
  <c r="K14" i="20"/>
  <c r="K132" i="18"/>
  <c r="K108" i="18"/>
  <c r="K31" i="24"/>
  <c r="K18" i="20"/>
  <c r="K109" i="18"/>
  <c r="K20" i="20"/>
  <c r="K130" i="18"/>
  <c r="K106" i="18"/>
  <c r="K47" i="18"/>
  <c r="K87" i="18"/>
  <c r="K140" i="18"/>
  <c r="K142" i="18"/>
  <c r="K96" i="18"/>
  <c r="K15" i="20"/>
  <c r="M13" i="21"/>
  <c r="M35" i="22"/>
  <c r="M11" i="21"/>
  <c r="M26" i="21"/>
  <c r="M25" i="22"/>
  <c r="M24" i="3"/>
  <c r="M37" i="21"/>
  <c r="M114" i="18"/>
  <c r="M18" i="22"/>
  <c r="M40" i="21"/>
  <c r="M9" i="20"/>
  <c r="M100" i="18"/>
  <c r="M41" i="21"/>
  <c r="M137" i="18"/>
  <c r="M121" i="18"/>
  <c r="M8" i="22"/>
  <c r="M32" i="21"/>
  <c r="M15" i="21"/>
  <c r="M22" i="21"/>
  <c r="M22" i="22"/>
  <c r="M116" i="18"/>
  <c r="M8" i="20"/>
  <c r="M99" i="18"/>
  <c r="M16" i="22"/>
  <c r="M33" i="21"/>
  <c r="G141" i="18"/>
  <c r="G87" i="18"/>
  <c r="G18" i="20"/>
  <c r="G13" i="20"/>
  <c r="G132" i="18"/>
  <c r="G107" i="18"/>
  <c r="G68" i="18"/>
  <c r="G20" i="20"/>
  <c r="G91" i="18"/>
  <c r="G88" i="18"/>
  <c r="G14" i="20"/>
  <c r="G96" i="18"/>
  <c r="G12" i="20"/>
  <c r="G105" i="18"/>
  <c r="G31" i="24"/>
  <c r="G17" i="20"/>
  <c r="G109" i="18"/>
  <c r="G106" i="18"/>
  <c r="G108" i="18"/>
  <c r="G15" i="20"/>
  <c r="G19" i="20"/>
  <c r="G130" i="18"/>
  <c r="K33" i="21"/>
  <c r="K123" i="18"/>
  <c r="K118" i="18"/>
  <c r="K28" i="22"/>
  <c r="K44" i="22"/>
  <c r="K47" i="22"/>
  <c r="K32" i="22"/>
  <c r="K24" i="21"/>
  <c r="K15" i="21"/>
  <c r="K139" i="18"/>
  <c r="K18" i="22"/>
  <c r="K102" i="18"/>
  <c r="K43" i="21"/>
  <c r="K12" i="22"/>
  <c r="K30" i="21"/>
  <c r="K13" i="21"/>
  <c r="K17" i="21"/>
  <c r="K42" i="21"/>
  <c r="K22" i="21"/>
  <c r="K41" i="21"/>
  <c r="K134" i="18"/>
  <c r="K116" i="18"/>
  <c r="O114" i="18"/>
  <c r="O135" i="18"/>
  <c r="O128" i="18"/>
  <c r="O32" i="21"/>
  <c r="O9" i="21"/>
  <c r="O7" i="20"/>
  <c r="O98" i="18"/>
  <c r="O11" i="21"/>
  <c r="O9" i="22"/>
  <c r="O20" i="22"/>
  <c r="O12" i="22"/>
  <c r="O44" i="22"/>
  <c r="O112" i="18"/>
  <c r="O23" i="3"/>
  <c r="O18" i="21"/>
  <c r="M23" i="2"/>
  <c r="O43" i="22"/>
  <c r="O27" i="21"/>
  <c r="O36" i="21"/>
  <c r="O6" i="20"/>
  <c r="O97" i="18"/>
  <c r="O24" i="3"/>
  <c r="O37" i="21"/>
  <c r="O119" i="18"/>
  <c r="O13" i="21"/>
  <c r="O8" i="20"/>
  <c r="O99" i="18"/>
  <c r="O43" i="21"/>
  <c r="T54" i="21"/>
  <c r="T50" i="21"/>
  <c r="T117" i="18"/>
  <c r="T23" i="21"/>
  <c r="T9" i="22"/>
  <c r="T27" i="21"/>
  <c r="T32" i="21"/>
  <c r="T40" i="21"/>
  <c r="T14" i="21"/>
  <c r="T16" i="21"/>
  <c r="T133" i="18"/>
  <c r="T60" i="21"/>
  <c r="R25" i="2"/>
  <c r="T131" i="18"/>
  <c r="T115" i="18"/>
  <c r="T138" i="18"/>
  <c r="T122" i="18"/>
  <c r="T101" i="18"/>
  <c r="T24" i="3"/>
  <c r="T37" i="21"/>
  <c r="T9" i="20"/>
  <c r="T100" i="18"/>
  <c r="T36" i="21"/>
  <c r="T62" i="21"/>
  <c r="T40" i="22"/>
  <c r="I107" i="18"/>
  <c r="I105" i="18"/>
  <c r="I110" i="18"/>
  <c r="I142" i="18"/>
  <c r="I18" i="20"/>
  <c r="I15" i="20"/>
  <c r="I17" i="20"/>
  <c r="I109" i="18"/>
  <c r="I12" i="20"/>
  <c r="I132" i="18"/>
  <c r="I85" i="18"/>
  <c r="I69" i="18"/>
  <c r="I104" i="18"/>
  <c r="I87" i="18"/>
  <c r="I13" i="20"/>
  <c r="I20" i="20"/>
  <c r="I14" i="20"/>
  <c r="I106" i="18"/>
  <c r="I91" i="18"/>
  <c r="F31" i="6"/>
  <c r="I64" i="21"/>
  <c r="I108" i="18"/>
  <c r="I141" i="18"/>
  <c r="R32" i="21"/>
  <c r="R30" i="22"/>
  <c r="R25" i="21"/>
  <c r="R23" i="3"/>
  <c r="R18" i="21"/>
  <c r="P23" i="2"/>
  <c r="R42" i="21"/>
  <c r="R119" i="18"/>
  <c r="R41" i="21"/>
  <c r="R36" i="21"/>
  <c r="R121" i="18"/>
  <c r="R135" i="18"/>
  <c r="R43" i="22"/>
  <c r="R24" i="3"/>
  <c r="R37" i="21"/>
  <c r="R14" i="21"/>
  <c r="R52" i="21"/>
  <c r="R40" i="22"/>
  <c r="R117" i="18"/>
  <c r="R133" i="18"/>
  <c r="R16" i="21"/>
  <c r="R40" i="21"/>
  <c r="R13" i="22"/>
  <c r="R7" i="21"/>
  <c r="R124" i="18"/>
  <c r="O13" i="20"/>
  <c r="O19" i="20"/>
  <c r="L31" i="6"/>
  <c r="O64" i="21"/>
  <c r="O105" i="18"/>
  <c r="O109" i="18"/>
  <c r="O107" i="18"/>
  <c r="O87" i="18"/>
  <c r="O15" i="20"/>
  <c r="O130" i="18"/>
  <c r="O17" i="20"/>
  <c r="O141" i="18"/>
  <c r="O106" i="18"/>
  <c r="O104" i="18"/>
  <c r="O12" i="20"/>
  <c r="O110" i="18"/>
  <c r="O69" i="18"/>
  <c r="O140" i="18"/>
  <c r="O108" i="18"/>
  <c r="O18" i="20"/>
  <c r="O142" i="18"/>
  <c r="O20" i="20"/>
  <c r="O103" i="18"/>
  <c r="L42" i="21"/>
  <c r="L8" i="21"/>
  <c r="L8" i="20"/>
  <c r="L99" i="18"/>
  <c r="L45" i="21"/>
  <c r="L48" i="22"/>
  <c r="L11" i="22"/>
  <c r="L13" i="21"/>
  <c r="L10" i="21"/>
  <c r="L125" i="18"/>
  <c r="L44" i="21"/>
  <c r="L46" i="21"/>
  <c r="L93" i="18"/>
  <c r="L127" i="18"/>
  <c r="L24" i="21"/>
  <c r="L123" i="18"/>
  <c r="L33" i="21"/>
  <c r="L28" i="21"/>
  <c r="L26" i="21"/>
  <c r="L30" i="21"/>
  <c r="L16" i="3"/>
  <c r="L35" i="17"/>
  <c r="L6" i="19"/>
  <c r="L139" i="18"/>
  <c r="L8" i="22"/>
  <c r="H16" i="3"/>
  <c r="H35" i="17"/>
  <c r="H6" i="19"/>
  <c r="H113" i="18"/>
  <c r="H9" i="20"/>
  <c r="H100" i="18"/>
  <c r="H12" i="21"/>
  <c r="H127" i="18"/>
  <c r="H111" i="18"/>
  <c r="H31" i="21"/>
  <c r="H36" i="22"/>
  <c r="H131" i="18"/>
  <c r="H6" i="20"/>
  <c r="H97" i="18"/>
  <c r="H46" i="21"/>
  <c r="H49" i="22"/>
  <c r="H129" i="18"/>
  <c r="H11" i="22"/>
  <c r="H28" i="21"/>
  <c r="H23" i="22"/>
  <c r="H7" i="20"/>
  <c r="H98" i="18"/>
  <c r="H44" i="21"/>
  <c r="H45" i="21"/>
  <c r="H34" i="21"/>
  <c r="H10" i="21"/>
  <c r="H14" i="21"/>
  <c r="V50" i="21"/>
  <c r="V29" i="21"/>
  <c r="V23" i="22"/>
  <c r="V129" i="18"/>
  <c r="V60" i="21"/>
  <c r="T25" i="2"/>
  <c r="V113" i="18"/>
  <c r="V36" i="21"/>
  <c r="V9" i="22"/>
  <c r="V24" i="3"/>
  <c r="V37" i="21"/>
  <c r="M105" i="18"/>
  <c r="V14" i="21"/>
  <c r="M15" i="20"/>
  <c r="V52" i="21"/>
  <c r="V131" i="18"/>
  <c r="V12" i="21"/>
  <c r="M140" i="18"/>
  <c r="M107" i="18"/>
  <c r="M87" i="18"/>
  <c r="V133" i="18"/>
  <c r="V54" i="21"/>
  <c r="M20" i="20"/>
  <c r="M12" i="20"/>
  <c r="V40" i="22"/>
  <c r="M14" i="20"/>
  <c r="V7" i="20"/>
  <c r="V98" i="18"/>
  <c r="V8" i="20"/>
  <c r="V99" i="18"/>
  <c r="M13" i="20"/>
  <c r="V9" i="20"/>
  <c r="V100" i="18"/>
  <c r="M91" i="18"/>
  <c r="V115" i="18"/>
  <c r="V25" i="21"/>
  <c r="V35" i="21"/>
  <c r="M141" i="18"/>
  <c r="M109" i="18"/>
  <c r="M18" i="20"/>
  <c r="M110" i="18"/>
  <c r="M88" i="18"/>
  <c r="M142" i="18"/>
  <c r="M130" i="18"/>
  <c r="M104" i="18"/>
  <c r="M106" i="18"/>
  <c r="M45" i="18"/>
  <c r="M108" i="18"/>
  <c r="M132" i="18"/>
  <c r="J11" i="22"/>
  <c r="J33" i="21"/>
  <c r="J127" i="18"/>
  <c r="J47" i="21"/>
  <c r="J44" i="21"/>
  <c r="J43" i="21"/>
  <c r="J116" i="18"/>
  <c r="J36" i="22"/>
  <c r="J95" i="18"/>
  <c r="J28" i="21"/>
  <c r="J16" i="3"/>
  <c r="J35" i="17"/>
  <c r="J6" i="19"/>
  <c r="J129" i="18"/>
  <c r="J111" i="18"/>
  <c r="J46" i="21"/>
  <c r="J34" i="21"/>
  <c r="J15" i="22"/>
  <c r="J26" i="21"/>
  <c r="J48" i="22"/>
  <c r="J10" i="21"/>
  <c r="J8" i="21"/>
  <c r="J15" i="21"/>
  <c r="J125" i="18"/>
  <c r="E27" i="21"/>
  <c r="E7" i="21"/>
  <c r="E23" i="21"/>
  <c r="E33" i="22"/>
  <c r="E26" i="22"/>
  <c r="E138" i="18"/>
  <c r="E31" i="21"/>
  <c r="E126" i="18"/>
  <c r="E23" i="3"/>
  <c r="E18" i="21"/>
  <c r="C23" i="2"/>
  <c r="E47" i="21"/>
  <c r="E35" i="21"/>
  <c r="E49" i="21"/>
  <c r="E25" i="21"/>
  <c r="E10" i="22"/>
  <c r="E124" i="18"/>
  <c r="E122" i="18"/>
  <c r="E92" i="18"/>
  <c r="E23" i="22"/>
  <c r="E60" i="21"/>
  <c r="C25" i="2"/>
  <c r="E48" i="21"/>
  <c r="E29" i="21"/>
  <c r="E9" i="21"/>
  <c r="N42" i="21"/>
  <c r="N121" i="18"/>
  <c r="N6" i="20"/>
  <c r="N97" i="18"/>
  <c r="N40" i="21"/>
  <c r="N137" i="18"/>
  <c r="N43" i="21"/>
  <c r="N18" i="22"/>
  <c r="N48" i="22"/>
  <c r="N30" i="21"/>
  <c r="N123" i="18"/>
  <c r="N125" i="18"/>
  <c r="N128" i="18"/>
  <c r="N139" i="18"/>
  <c r="N15" i="22"/>
  <c r="N11" i="21"/>
  <c r="N20" i="22"/>
  <c r="N44" i="22"/>
  <c r="N22" i="21"/>
  <c r="N44" i="21"/>
  <c r="N24" i="21"/>
  <c r="N112" i="18"/>
  <c r="N8" i="21"/>
  <c r="F19" i="20"/>
  <c r="F140" i="18"/>
  <c r="F109" i="18"/>
  <c r="F105" i="18"/>
  <c r="F110" i="18"/>
  <c r="F108" i="18"/>
  <c r="F12" i="20"/>
  <c r="F18" i="20"/>
  <c r="F106" i="18"/>
  <c r="F141" i="18"/>
  <c r="F130" i="18"/>
  <c r="F132" i="18"/>
  <c r="F17" i="20"/>
  <c r="F87" i="18"/>
  <c r="F73" i="18"/>
  <c r="F107" i="18"/>
  <c r="F142" i="18"/>
  <c r="F104" i="18"/>
  <c r="F14" i="20"/>
  <c r="F13" i="20"/>
  <c r="F20" i="20"/>
  <c r="F85" i="18"/>
  <c r="E33" i="21"/>
  <c r="E20" i="22"/>
  <c r="E34" i="22"/>
  <c r="E27" i="22"/>
  <c r="E35" i="22"/>
  <c r="E14" i="22"/>
  <c r="E19" i="22"/>
  <c r="E62" i="21"/>
  <c r="E32" i="21"/>
  <c r="E6" i="20"/>
  <c r="E97" i="18"/>
  <c r="E50" i="21"/>
  <c r="E42" i="21"/>
  <c r="E31" i="22"/>
  <c r="E9" i="22"/>
  <c r="E11" i="21"/>
  <c r="E42" i="22"/>
  <c r="E38" i="22"/>
  <c r="E30" i="22"/>
  <c r="E11" i="22"/>
  <c r="E24" i="22"/>
  <c r="E43" i="22"/>
  <c r="E52" i="21"/>
  <c r="C54" i="21"/>
  <c r="C13" i="22"/>
  <c r="C22" i="22"/>
  <c r="C16" i="22"/>
  <c r="C35" i="22"/>
  <c r="C31" i="22"/>
  <c r="C18" i="22"/>
  <c r="C34" i="22"/>
  <c r="C23" i="22"/>
  <c r="C11" i="22"/>
  <c r="C20" i="22"/>
  <c r="C47" i="22"/>
  <c r="C46" i="22"/>
  <c r="C44" i="22"/>
  <c r="C15" i="22"/>
  <c r="C27" i="22"/>
  <c r="C28" i="22"/>
  <c r="C40" i="22"/>
  <c r="C36" i="21"/>
  <c r="C45" i="22"/>
  <c r="C32" i="22"/>
  <c r="C49" i="22"/>
  <c r="I122" i="18"/>
  <c r="I23" i="22"/>
  <c r="I138" i="18"/>
  <c r="I44" i="21"/>
  <c r="I134" i="18"/>
  <c r="I31" i="21"/>
  <c r="I125" i="18"/>
  <c r="I45" i="22"/>
  <c r="I26" i="21"/>
  <c r="I21" i="21"/>
  <c r="I45" i="21"/>
  <c r="I18" i="22"/>
  <c r="I15" i="22"/>
  <c r="I23" i="21"/>
  <c r="I17" i="21"/>
  <c r="I120" i="18"/>
  <c r="I136" i="18"/>
  <c r="I14" i="22"/>
  <c r="I34" i="21"/>
  <c r="I8" i="21"/>
  <c r="I118" i="18"/>
  <c r="I8" i="22"/>
  <c r="W18" i="9"/>
  <c r="W44" i="6"/>
  <c r="W21" i="5"/>
  <c r="W21" i="9"/>
  <c r="W47" i="6"/>
  <c r="W23" i="6"/>
  <c r="W21" i="6"/>
  <c r="W20" i="5"/>
  <c r="W19" i="9"/>
  <c r="Z15" i="23"/>
  <c r="X59" i="11"/>
  <c r="W37" i="6"/>
  <c r="W39" i="6"/>
  <c r="X13" i="7"/>
  <c r="W20" i="9"/>
  <c r="X61" i="11"/>
  <c r="W24" i="6"/>
  <c r="W41" i="6"/>
  <c r="W18" i="5"/>
  <c r="X14" i="7"/>
  <c r="X43" i="11"/>
  <c r="X51" i="10"/>
  <c r="Z9" i="3"/>
  <c r="Z54" i="13"/>
  <c r="X17" i="7"/>
  <c r="X48" i="11"/>
  <c r="X56" i="10"/>
  <c r="Z10" i="3"/>
  <c r="X17" i="4"/>
  <c r="W43" i="6"/>
  <c r="W17" i="9"/>
  <c r="X11" i="7"/>
  <c r="F12" i="21"/>
  <c r="F26" i="22"/>
  <c r="F14" i="21"/>
  <c r="F8" i="20"/>
  <c r="F99" i="18"/>
  <c r="F35" i="21"/>
  <c r="F113" i="18"/>
  <c r="F7" i="20"/>
  <c r="F98" i="18"/>
  <c r="F115" i="18"/>
  <c r="F48" i="21"/>
  <c r="F133" i="18"/>
  <c r="F131" i="18"/>
  <c r="F34" i="21"/>
  <c r="F9" i="20"/>
  <c r="F100" i="18"/>
  <c r="F46" i="21"/>
  <c r="F129" i="18"/>
  <c r="F27" i="21"/>
  <c r="F29" i="21"/>
  <c r="F17" i="22"/>
  <c r="F16" i="21"/>
  <c r="F21" i="22"/>
  <c r="F33" i="22"/>
  <c r="F47" i="21"/>
  <c r="X35" i="21"/>
  <c r="X54" i="21"/>
  <c r="X127" i="18"/>
  <c r="X131" i="18"/>
  <c r="X52" i="21"/>
  <c r="X111" i="18"/>
  <c r="X9" i="20"/>
  <c r="X100" i="18"/>
  <c r="X14" i="21"/>
  <c r="X7" i="20"/>
  <c r="X98" i="18"/>
  <c r="X23" i="22"/>
  <c r="X13" i="22"/>
  <c r="X50" i="21"/>
  <c r="X31" i="21"/>
  <c r="X6" i="20"/>
  <c r="X97" i="18"/>
  <c r="X36" i="21"/>
  <c r="X49" i="21"/>
  <c r="X113" i="18"/>
  <c r="X129" i="18"/>
  <c r="X10" i="21"/>
  <c r="X16" i="3"/>
  <c r="X35" i="17"/>
  <c r="X6" i="19"/>
  <c r="X12" i="21"/>
  <c r="X28" i="21"/>
  <c r="Q27" i="21"/>
  <c r="Q16" i="21"/>
  <c r="Q41" i="21"/>
  <c r="Q8" i="20"/>
  <c r="Q99" i="18"/>
  <c r="Q7" i="21"/>
  <c r="Q29" i="21"/>
  <c r="Q13" i="21"/>
  <c r="Q54" i="21"/>
  <c r="Q12" i="22"/>
  <c r="Q22" i="22"/>
  <c r="Q16" i="22"/>
  <c r="Q33" i="21"/>
  <c r="Q117" i="18"/>
  <c r="Q112" i="18"/>
  <c r="Q32" i="21"/>
  <c r="Q6" i="20"/>
  <c r="Q97" i="18"/>
  <c r="Q25" i="21"/>
  <c r="Q126" i="18"/>
  <c r="Q9" i="21"/>
  <c r="Q133" i="18"/>
  <c r="Q128" i="18"/>
  <c r="Q11" i="21"/>
  <c r="P24" i="21"/>
  <c r="P43" i="21"/>
  <c r="P139" i="18"/>
  <c r="P137" i="18"/>
  <c r="P27" i="21"/>
  <c r="P121" i="18"/>
  <c r="P40" i="21"/>
  <c r="P119" i="18"/>
  <c r="P23" i="3"/>
  <c r="P18" i="21"/>
  <c r="N23" i="2"/>
  <c r="P135" i="18"/>
  <c r="P44" i="22"/>
  <c r="P89" i="18"/>
  <c r="P20" i="22"/>
  <c r="P32" i="21"/>
  <c r="P41" i="21"/>
  <c r="P42" i="21"/>
  <c r="P15" i="22"/>
  <c r="P22" i="21"/>
  <c r="P44" i="21"/>
  <c r="P15" i="21"/>
  <c r="P9" i="22"/>
  <c r="P123" i="18"/>
  <c r="U29" i="21"/>
  <c r="U9" i="21"/>
  <c r="U60" i="21"/>
  <c r="S25" i="2"/>
  <c r="U33" i="22"/>
  <c r="U8" i="22"/>
  <c r="U126" i="18"/>
  <c r="U124" i="18"/>
  <c r="U12" i="22"/>
  <c r="U24" i="3"/>
  <c r="U37" i="21"/>
  <c r="U27" i="21"/>
  <c r="U23" i="3"/>
  <c r="U18" i="21"/>
  <c r="S23" i="2"/>
  <c r="U92" i="18"/>
  <c r="U122" i="18"/>
  <c r="U7" i="21"/>
  <c r="U16" i="22"/>
  <c r="U25" i="21"/>
  <c r="U138" i="18"/>
  <c r="U40" i="21"/>
  <c r="U35" i="21"/>
  <c r="U32" i="21"/>
  <c r="U23" i="21"/>
  <c r="U41" i="21"/>
  <c r="W26" i="22"/>
  <c r="W90" i="18"/>
  <c r="W21" i="21"/>
  <c r="W136" i="18"/>
  <c r="W16" i="22"/>
  <c r="W8" i="22"/>
  <c r="W124" i="18"/>
  <c r="W7" i="21"/>
  <c r="W40" i="22"/>
  <c r="W33" i="22"/>
  <c r="W24" i="3"/>
  <c r="W37" i="21"/>
  <c r="W120" i="18"/>
  <c r="W29" i="21"/>
  <c r="W25" i="21"/>
  <c r="W23" i="21"/>
  <c r="W62" i="21"/>
  <c r="W16" i="21"/>
  <c r="W35" i="21"/>
  <c r="W36" i="21"/>
  <c r="W52" i="21"/>
  <c r="W138" i="18"/>
  <c r="W122" i="18"/>
  <c r="F21" i="9"/>
  <c r="F49" i="6"/>
  <c r="F36" i="6"/>
  <c r="F17" i="5"/>
  <c r="F38" i="6"/>
  <c r="F23" i="6"/>
  <c r="G14" i="7"/>
  <c r="G43" i="11"/>
  <c r="G51" i="10"/>
  <c r="I9" i="3"/>
  <c r="F41" i="6"/>
  <c r="F18" i="5"/>
  <c r="G13" i="7"/>
  <c r="F19" i="9"/>
  <c r="F48" i="6"/>
  <c r="F37" i="6"/>
  <c r="F44" i="6"/>
  <c r="F20" i="9"/>
  <c r="F47" i="6"/>
  <c r="F39" i="6"/>
  <c r="F21" i="6"/>
  <c r="F20" i="5"/>
  <c r="G61" i="11"/>
  <c r="I54" i="13"/>
  <c r="G17" i="7"/>
  <c r="G48" i="11"/>
  <c r="G56" i="10"/>
  <c r="I10" i="3"/>
  <c r="G17" i="4"/>
  <c r="I18" i="23"/>
  <c r="G11" i="7"/>
  <c r="F43" i="6"/>
  <c r="AA35" i="21"/>
  <c r="AA31" i="21"/>
  <c r="AA13" i="22"/>
  <c r="AA134" i="18"/>
  <c r="AA49" i="21"/>
  <c r="AA118" i="18"/>
  <c r="AA36" i="21"/>
  <c r="AA21" i="21"/>
  <c r="AA60" i="21"/>
  <c r="Y25" i="2"/>
  <c r="AA15" i="21"/>
  <c r="AA102" i="18"/>
  <c r="AA20" i="22"/>
  <c r="AA17" i="21"/>
  <c r="AA16" i="22"/>
  <c r="AA138" i="18"/>
  <c r="AA10" i="22"/>
  <c r="AA136" i="18"/>
  <c r="AA34" i="21"/>
  <c r="AA62" i="21"/>
  <c r="AA120" i="18"/>
  <c r="AA50" i="21"/>
  <c r="AA28" i="22"/>
  <c r="Y40" i="21"/>
  <c r="Y28" i="21"/>
  <c r="Y60" i="21"/>
  <c r="W25" i="2"/>
  <c r="Y32" i="22"/>
  <c r="Y120" i="18"/>
  <c r="Y138" i="18"/>
  <c r="Y21" i="21"/>
  <c r="Y17" i="21"/>
  <c r="Y62" i="21"/>
  <c r="Y136" i="18"/>
  <c r="Y14" i="21"/>
  <c r="Y49" i="21"/>
  <c r="Y134" i="18"/>
  <c r="Y54" i="21"/>
  <c r="Y26" i="21"/>
  <c r="Y24" i="3"/>
  <c r="Y37" i="21"/>
  <c r="Y23" i="21"/>
  <c r="Y52" i="21"/>
  <c r="Y35" i="21"/>
  <c r="Y118" i="18"/>
  <c r="Y122" i="18"/>
  <c r="Y28" i="22"/>
  <c r="D16" i="21"/>
  <c r="D24" i="3"/>
  <c r="D37" i="21"/>
  <c r="D38" i="22"/>
  <c r="D30" i="22"/>
  <c r="D62" i="21"/>
  <c r="D50" i="21"/>
  <c r="D14" i="22"/>
  <c r="D17" i="22"/>
  <c r="D29" i="21"/>
  <c r="D27" i="21"/>
  <c r="D60" i="21"/>
  <c r="D135" i="18"/>
  <c r="D22" i="21"/>
  <c r="D21" i="22"/>
  <c r="D23" i="3"/>
  <c r="D18" i="21"/>
  <c r="D52" i="21"/>
  <c r="D32" i="21"/>
  <c r="D35" i="21"/>
  <c r="D36" i="21"/>
  <c r="D54" i="21"/>
  <c r="D119" i="18"/>
  <c r="D49" i="21"/>
  <c r="G26" i="24"/>
  <c r="G29" i="24"/>
  <c r="G13" i="24"/>
  <c r="E23" i="7"/>
  <c r="G63" i="21"/>
  <c r="G48" i="24"/>
  <c r="G16" i="24"/>
  <c r="G46" i="24"/>
  <c r="G79" i="24"/>
  <c r="G55" i="24"/>
  <c r="G142" i="18"/>
  <c r="G22" i="24"/>
  <c r="G54" i="24"/>
  <c r="D31" i="6"/>
  <c r="G64" i="21"/>
  <c r="G84" i="24"/>
  <c r="G32" i="24"/>
  <c r="G25" i="24"/>
  <c r="G80" i="24"/>
  <c r="G52" i="24"/>
  <c r="G140" i="18"/>
  <c r="G20" i="24"/>
  <c r="G17" i="24"/>
  <c r="G23" i="24"/>
  <c r="S8" i="22"/>
  <c r="S8" i="20"/>
  <c r="S99" i="18"/>
  <c r="S42" i="21"/>
  <c r="S94" i="18"/>
  <c r="S9" i="21"/>
  <c r="S128" i="18"/>
  <c r="S52" i="21"/>
  <c r="S6" i="20"/>
  <c r="S97" i="18"/>
  <c r="S126" i="18"/>
  <c r="S24" i="3"/>
  <c r="S37" i="21"/>
  <c r="S9" i="22"/>
  <c r="S41" i="21"/>
  <c r="S22" i="21"/>
  <c r="S32" i="21"/>
  <c r="S124" i="18"/>
  <c r="S29" i="21"/>
  <c r="S27" i="21"/>
  <c r="S14" i="21"/>
  <c r="S11" i="21"/>
  <c r="S12" i="22"/>
  <c r="S7" i="21"/>
  <c r="S25" i="21"/>
  <c r="Z13" i="22"/>
  <c r="Z26" i="21"/>
  <c r="Z34" i="21"/>
  <c r="Z95" i="18"/>
  <c r="Z49" i="21"/>
  <c r="Z9" i="22"/>
  <c r="Z129" i="18"/>
  <c r="Z31" i="21"/>
  <c r="Z10" i="21"/>
  <c r="Z23" i="21"/>
  <c r="Z12" i="21"/>
  <c r="Z54" i="21"/>
  <c r="Z9" i="20"/>
  <c r="Z100" i="18"/>
  <c r="Z50" i="21"/>
  <c r="Z7" i="20"/>
  <c r="Z98" i="18"/>
  <c r="Z48" i="21"/>
  <c r="Z18" i="22"/>
  <c r="Z127" i="18"/>
  <c r="Z52" i="21"/>
  <c r="Z111" i="18"/>
  <c r="Z16" i="3"/>
  <c r="Z35" i="17"/>
  <c r="Z6" i="19"/>
  <c r="Z36" i="22"/>
  <c r="G120" i="18"/>
  <c r="G28" i="21"/>
  <c r="G25" i="21"/>
  <c r="G136" i="18"/>
  <c r="G21" i="22"/>
  <c r="G46" i="21"/>
  <c r="G14" i="22"/>
  <c r="G17" i="22"/>
  <c r="G36" i="22"/>
  <c r="G23" i="21"/>
  <c r="G62" i="21"/>
  <c r="G21" i="21"/>
  <c r="G35" i="21"/>
  <c r="G90" i="18"/>
  <c r="G138" i="18"/>
  <c r="G47" i="21"/>
  <c r="G23" i="22"/>
  <c r="G16" i="21"/>
  <c r="G7" i="21"/>
  <c r="G45" i="21"/>
  <c r="G124" i="18"/>
  <c r="G122" i="18"/>
  <c r="C24" i="3"/>
  <c r="C37" i="21"/>
  <c r="C10" i="22"/>
  <c r="C11" i="21"/>
  <c r="C9" i="21"/>
  <c r="C8" i="20"/>
  <c r="C99" i="18"/>
  <c r="C29" i="21"/>
  <c r="C6" i="20"/>
  <c r="C97" i="18"/>
  <c r="C50" i="21"/>
  <c r="C22" i="21"/>
  <c r="C128" i="18"/>
  <c r="C27" i="21"/>
  <c r="C60" i="21"/>
  <c r="C52" i="21"/>
  <c r="C35" i="21"/>
  <c r="C13" i="21"/>
  <c r="C62" i="21"/>
  <c r="C38" i="22"/>
  <c r="C44" i="21"/>
  <c r="C19" i="22"/>
  <c r="C39" i="22"/>
  <c r="C32" i="21"/>
  <c r="C14" i="22"/>
  <c r="T44" i="22"/>
  <c r="T41" i="22"/>
  <c r="T31" i="22"/>
  <c r="T15" i="22"/>
  <c r="T43" i="22"/>
  <c r="T22" i="22"/>
  <c r="T23" i="3"/>
  <c r="T18" i="21"/>
  <c r="R23" i="2"/>
  <c r="T16" i="22"/>
  <c r="T42" i="21"/>
  <c r="T12" i="22"/>
  <c r="T119" i="18"/>
  <c r="T30" i="22"/>
  <c r="T22" i="21"/>
  <c r="T26" i="22"/>
  <c r="T14" i="22"/>
  <c r="T135" i="18"/>
  <c r="T47" i="22"/>
  <c r="T41" i="21"/>
  <c r="T44" i="21"/>
  <c r="T27" i="22"/>
  <c r="T52" i="21"/>
  <c r="T20" i="22"/>
  <c r="Q24" i="21"/>
  <c r="Q11" i="22"/>
  <c r="Q25" i="22"/>
  <c r="Q13" i="22"/>
  <c r="Q35" i="22"/>
  <c r="Q48" i="22"/>
  <c r="Q46" i="22"/>
  <c r="Q24" i="3"/>
  <c r="Q37" i="21"/>
  <c r="Q46" i="21"/>
  <c r="Q44" i="21"/>
  <c r="Q47" i="22"/>
  <c r="Q28" i="22"/>
  <c r="Q30" i="21"/>
  <c r="Q9" i="22"/>
  <c r="Q31" i="22"/>
  <c r="Q41" i="22"/>
  <c r="Q20" i="22"/>
  <c r="Q60" i="21"/>
  <c r="O25" i="2"/>
  <c r="Q15" i="21"/>
  <c r="Q49" i="22"/>
  <c r="Q43" i="21"/>
  <c r="Q18" i="22"/>
  <c r="L32" i="22"/>
  <c r="L48" i="21"/>
  <c r="L36" i="22"/>
  <c r="L49" i="22"/>
  <c r="L43" i="21"/>
  <c r="L45" i="22"/>
  <c r="L7" i="20"/>
  <c r="L98" i="18"/>
  <c r="L21" i="21"/>
  <c r="L19" i="22"/>
  <c r="L34" i="21"/>
  <c r="L47" i="21"/>
  <c r="L12" i="21"/>
  <c r="L26" i="22"/>
  <c r="L38" i="22"/>
  <c r="L15" i="22"/>
  <c r="L21" i="22"/>
  <c r="L33" i="22"/>
  <c r="L31" i="21"/>
  <c r="L17" i="22"/>
  <c r="L28" i="22"/>
  <c r="L54" i="21"/>
  <c r="L10" i="22"/>
  <c r="W22" i="22"/>
  <c r="W12" i="22"/>
  <c r="W24" i="22"/>
  <c r="W47" i="22"/>
  <c r="W31" i="21"/>
  <c r="W43" i="22"/>
  <c r="W45" i="22"/>
  <c r="W31" i="22"/>
  <c r="W27" i="21"/>
  <c r="W9" i="21"/>
  <c r="W34" i="22"/>
  <c r="W41" i="21"/>
  <c r="W41" i="22"/>
  <c r="W9" i="22"/>
  <c r="W27" i="22"/>
  <c r="W40" i="21"/>
  <c r="W49" i="22"/>
  <c r="W49" i="21"/>
  <c r="W42" i="21"/>
  <c r="W30" i="22"/>
  <c r="W46" i="22"/>
  <c r="W42" i="22"/>
  <c r="V49" i="21"/>
  <c r="V32" i="21"/>
  <c r="V27" i="22"/>
  <c r="V45" i="22"/>
  <c r="V44" i="22"/>
  <c r="V27" i="21"/>
  <c r="V23" i="3"/>
  <c r="V18" i="21"/>
  <c r="T23" i="2"/>
  <c r="V41" i="22"/>
  <c r="V15" i="22"/>
  <c r="V24" i="22"/>
  <c r="V12" i="22"/>
  <c r="V26" i="22"/>
  <c r="V42" i="21"/>
  <c r="V22" i="22"/>
  <c r="V20" i="22"/>
  <c r="V34" i="22"/>
  <c r="V42" i="22"/>
  <c r="V40" i="21"/>
  <c r="V14" i="22"/>
  <c r="V49" i="22"/>
  <c r="V16" i="21"/>
  <c r="V16" i="22"/>
  <c r="X14" i="22"/>
  <c r="X15" i="22"/>
  <c r="X43" i="22"/>
  <c r="X10" i="22"/>
  <c r="X26" i="22"/>
  <c r="X40" i="21"/>
  <c r="X16" i="21"/>
  <c r="X30" i="22"/>
  <c r="X31" i="22"/>
  <c r="X29" i="21"/>
  <c r="X48" i="22"/>
  <c r="X32" i="21"/>
  <c r="X25" i="21"/>
  <c r="X33" i="22"/>
  <c r="X24" i="22"/>
  <c r="X8" i="22"/>
  <c r="X49" i="22"/>
  <c r="X42" i="22"/>
  <c r="X22" i="22"/>
  <c r="X47" i="21"/>
  <c r="X40" i="22"/>
  <c r="X12" i="22"/>
  <c r="U52" i="21"/>
  <c r="U24" i="22"/>
  <c r="U33" i="21"/>
  <c r="U34" i="22"/>
  <c r="U44" i="22"/>
  <c r="U27" i="22"/>
  <c r="U47" i="22"/>
  <c r="U43" i="22"/>
  <c r="U48" i="22"/>
  <c r="U35" i="22"/>
  <c r="U11" i="21"/>
  <c r="U45" i="22"/>
  <c r="U42" i="21"/>
  <c r="U20" i="22"/>
  <c r="U14" i="22"/>
  <c r="U42" i="22"/>
  <c r="U31" i="22"/>
  <c r="U9" i="22"/>
  <c r="U6" i="20"/>
  <c r="U97" i="18"/>
  <c r="U49" i="22"/>
  <c r="U18" i="22"/>
  <c r="U30" i="22"/>
  <c r="M43" i="21"/>
  <c r="M134" i="18"/>
  <c r="M15" i="22"/>
  <c r="M26" i="22"/>
  <c r="M45" i="22"/>
  <c r="M21" i="22"/>
  <c r="M33" i="22"/>
  <c r="M28" i="21"/>
  <c r="M45" i="21"/>
  <c r="M50" i="21"/>
  <c r="M47" i="21"/>
  <c r="M19" i="22"/>
  <c r="M21" i="21"/>
  <c r="M13" i="22"/>
  <c r="M34" i="21"/>
  <c r="M28" i="22"/>
  <c r="M17" i="21"/>
  <c r="M14" i="22"/>
  <c r="M23" i="22"/>
  <c r="M11" i="22"/>
  <c r="M36" i="22"/>
  <c r="M17" i="22"/>
  <c r="O26" i="21"/>
  <c r="O13" i="22"/>
  <c r="O23" i="22"/>
  <c r="O62" i="21"/>
  <c r="O17" i="21"/>
  <c r="O46" i="21"/>
  <c r="O32" i="22"/>
  <c r="O48" i="21"/>
  <c r="O28" i="21"/>
  <c r="O41" i="22"/>
  <c r="O48" i="22"/>
  <c r="O45" i="21"/>
  <c r="O11" i="22"/>
  <c r="O33" i="21"/>
  <c r="O25" i="22"/>
  <c r="O30" i="21"/>
  <c r="O15" i="21"/>
  <c r="O14" i="22"/>
  <c r="O41" i="21"/>
  <c r="O8" i="22"/>
  <c r="O49" i="22"/>
  <c r="O18" i="22"/>
  <c r="K45" i="22"/>
  <c r="K19" i="22"/>
  <c r="K31" i="21"/>
  <c r="K120" i="18"/>
  <c r="K23" i="21"/>
  <c r="K26" i="22"/>
  <c r="K39" i="22"/>
  <c r="K34" i="21"/>
  <c r="K54" i="21"/>
  <c r="K15" i="22"/>
  <c r="K21" i="22"/>
  <c r="K138" i="18"/>
  <c r="K38" i="22"/>
  <c r="K17" i="22"/>
  <c r="K23" i="22"/>
  <c r="K30" i="22"/>
  <c r="K8" i="22"/>
  <c r="K21" i="21"/>
  <c r="K45" i="21"/>
  <c r="K47" i="21"/>
  <c r="K136" i="18"/>
  <c r="K36" i="22"/>
  <c r="R22" i="22"/>
  <c r="R16" i="22"/>
  <c r="R44" i="21"/>
  <c r="R30" i="21"/>
  <c r="R45" i="22"/>
  <c r="R33" i="21"/>
  <c r="R49" i="22"/>
  <c r="R44" i="22"/>
  <c r="R22" i="21"/>
  <c r="R139" i="18"/>
  <c r="R46" i="21"/>
  <c r="R9" i="22"/>
  <c r="R46" i="22"/>
  <c r="R18" i="22"/>
  <c r="R31" i="22"/>
  <c r="R43" i="21"/>
  <c r="R20" i="22"/>
  <c r="R25" i="22"/>
  <c r="R137" i="18"/>
  <c r="R24" i="21"/>
  <c r="R48" i="22"/>
  <c r="R35" i="21"/>
  <c r="I39" i="22"/>
  <c r="I30" i="22"/>
  <c r="I25" i="21"/>
  <c r="I47" i="21"/>
  <c r="I40" i="22"/>
  <c r="I24" i="22"/>
  <c r="I21" i="22"/>
  <c r="I33" i="22"/>
  <c r="I14" i="21"/>
  <c r="I62" i="21"/>
  <c r="I38" i="22"/>
  <c r="I19" i="22"/>
  <c r="I10" i="22"/>
  <c r="I29" i="21"/>
  <c r="I7" i="21"/>
  <c r="I41" i="22"/>
  <c r="I26" i="22"/>
  <c r="I36" i="21"/>
  <c r="I17" i="22"/>
  <c r="I34" i="22"/>
  <c r="I16" i="22"/>
  <c r="I49" i="21"/>
  <c r="N16" i="3"/>
  <c r="N35" i="17"/>
  <c r="N6" i="19"/>
  <c r="N8" i="22"/>
  <c r="N41" i="21"/>
  <c r="N11" i="22"/>
  <c r="N25" i="22"/>
  <c r="N34" i="21"/>
  <c r="N36" i="22"/>
  <c r="N28" i="22"/>
  <c r="N23" i="22"/>
  <c r="N13" i="22"/>
  <c r="N32" i="22"/>
  <c r="N62" i="21"/>
  <c r="N45" i="21"/>
  <c r="N50" i="21"/>
  <c r="N17" i="21"/>
  <c r="N32" i="21"/>
  <c r="N28" i="21"/>
  <c r="N10" i="22"/>
  <c r="N10" i="21"/>
  <c r="N26" i="21"/>
  <c r="N19" i="22"/>
  <c r="N46" i="21"/>
  <c r="G40" i="21"/>
  <c r="G33" i="22"/>
  <c r="G34" i="22"/>
  <c r="G27" i="21"/>
  <c r="G60" i="21"/>
  <c r="E25" i="2"/>
  <c r="G29" i="21"/>
  <c r="G22" i="22"/>
  <c r="G42" i="22"/>
  <c r="G9" i="21"/>
  <c r="G24" i="22"/>
  <c r="G18" i="22"/>
  <c r="G12" i="22"/>
  <c r="G40" i="22"/>
  <c r="G9" i="22"/>
  <c r="G41" i="22"/>
  <c r="G26" i="22"/>
  <c r="G31" i="22"/>
  <c r="G30" i="22"/>
  <c r="G31" i="21"/>
  <c r="G52" i="21"/>
  <c r="G27" i="22"/>
  <c r="G49" i="21"/>
  <c r="Y40" i="22"/>
  <c r="Y25" i="21"/>
  <c r="Y23" i="22"/>
  <c r="Y33" i="22"/>
  <c r="Y24" i="22"/>
  <c r="Y26" i="22"/>
  <c r="Y34" i="22"/>
  <c r="Y22" i="22"/>
  <c r="Y15" i="22"/>
  <c r="Y27" i="22"/>
  <c r="Y47" i="21"/>
  <c r="Y10" i="22"/>
  <c r="Y29" i="21"/>
  <c r="Y7" i="21"/>
  <c r="Y30" i="22"/>
  <c r="Y44" i="22"/>
  <c r="Y43" i="22"/>
  <c r="Y41" i="22"/>
  <c r="Y12" i="22"/>
  <c r="Y19" i="22"/>
  <c r="Y36" i="21"/>
  <c r="Y17" i="22"/>
  <c r="F23" i="3"/>
  <c r="F18" i="21"/>
  <c r="D23" i="2"/>
  <c r="F36" i="21"/>
  <c r="F10" i="22"/>
  <c r="F40" i="22"/>
  <c r="F41" i="22"/>
  <c r="F20" i="22"/>
  <c r="F24" i="22"/>
  <c r="F38" i="22"/>
  <c r="F19" i="22"/>
  <c r="F39" i="22"/>
  <c r="F16" i="22"/>
  <c r="F49" i="21"/>
  <c r="F22" i="22"/>
  <c r="F60" i="21"/>
  <c r="D25" i="2"/>
  <c r="F52" i="21"/>
  <c r="F14" i="22"/>
  <c r="F12" i="22"/>
  <c r="F42" i="21"/>
  <c r="F34" i="22"/>
  <c r="F50" i="21"/>
  <c r="F54" i="21"/>
  <c r="F27" i="22"/>
  <c r="Z27" i="22"/>
  <c r="Z21" i="22"/>
  <c r="Z34" i="22"/>
  <c r="Z40" i="21"/>
  <c r="Z40" i="22"/>
  <c r="Z23" i="22"/>
  <c r="Z24" i="22"/>
  <c r="Z30" i="22"/>
  <c r="Z19" i="22"/>
  <c r="Z14" i="21"/>
  <c r="Z29" i="21"/>
  <c r="Z33" i="22"/>
  <c r="Z8" i="22"/>
  <c r="Z41" i="22"/>
  <c r="Z10" i="22"/>
  <c r="Z12" i="22"/>
  <c r="Z46" i="22"/>
  <c r="Z17" i="22"/>
  <c r="Z45" i="21"/>
  <c r="Z36" i="21"/>
  <c r="Z48" i="22"/>
  <c r="Z14" i="22"/>
  <c r="J14" i="22"/>
  <c r="J9" i="20"/>
  <c r="J100" i="18"/>
  <c r="J21" i="22"/>
  <c r="J19" i="22"/>
  <c r="J23" i="22"/>
  <c r="J31" i="21"/>
  <c r="J38" i="22"/>
  <c r="J30" i="22"/>
  <c r="J8" i="22"/>
  <c r="J12" i="22"/>
  <c r="J33" i="22"/>
  <c r="J45" i="21"/>
  <c r="J48" i="21"/>
  <c r="J24" i="22"/>
  <c r="J17" i="22"/>
  <c r="J41" i="22"/>
  <c r="J12" i="21"/>
  <c r="J14" i="21"/>
  <c r="J36" i="21"/>
  <c r="J23" i="21"/>
  <c r="J49" i="21"/>
  <c r="J7" i="20"/>
  <c r="J98" i="18"/>
  <c r="AA24" i="22"/>
  <c r="AA17" i="22"/>
  <c r="AA44" i="22"/>
  <c r="AA43" i="22"/>
  <c r="AA12" i="22"/>
  <c r="AA54" i="21"/>
  <c r="AA30" i="22"/>
  <c r="AA52" i="21"/>
  <c r="AA45" i="21"/>
  <c r="AA23" i="22"/>
  <c r="AA42" i="22"/>
  <c r="AA8" i="22"/>
  <c r="AA41" i="22"/>
  <c r="AA24" i="3"/>
  <c r="AA37" i="21"/>
  <c r="AA39" i="22"/>
  <c r="AA23" i="21"/>
  <c r="AA15" i="22"/>
  <c r="AA21" i="22"/>
  <c r="AA19" i="22"/>
  <c r="AA48" i="22"/>
  <c r="AA38" i="22"/>
  <c r="AA26" i="22"/>
  <c r="H47" i="21"/>
  <c r="H17" i="22"/>
  <c r="H16" i="22"/>
  <c r="H48" i="21"/>
  <c r="H35" i="21"/>
  <c r="H14" i="22"/>
  <c r="H33" i="22"/>
  <c r="H16" i="21"/>
  <c r="H12" i="22"/>
  <c r="H39" i="22"/>
  <c r="H26" i="22"/>
  <c r="H49" i="21"/>
  <c r="H40" i="21"/>
  <c r="H30" i="22"/>
  <c r="H10" i="22"/>
  <c r="H25" i="21"/>
  <c r="H19" i="22"/>
  <c r="H40" i="22"/>
  <c r="H38" i="22"/>
  <c r="H50" i="21"/>
  <c r="H21" i="22"/>
  <c r="H24" i="22"/>
  <c r="P28" i="22"/>
  <c r="P45" i="21"/>
  <c r="P48" i="21"/>
  <c r="P10" i="22"/>
  <c r="P17" i="22"/>
  <c r="P47" i="21"/>
  <c r="P26" i="21"/>
  <c r="P32" i="22"/>
  <c r="P24" i="3"/>
  <c r="P37" i="21"/>
  <c r="P21" i="22"/>
  <c r="P11" i="22"/>
  <c r="P60" i="21"/>
  <c r="N25" i="2"/>
  <c r="P46" i="22"/>
  <c r="P8" i="21"/>
  <c r="P23" i="22"/>
  <c r="P30" i="21"/>
  <c r="P18" i="22"/>
  <c r="P35" i="22"/>
  <c r="P45" i="22"/>
  <c r="P48" i="22"/>
  <c r="P8" i="22"/>
  <c r="P25" i="22"/>
  <c r="S32" i="22"/>
  <c r="S16" i="22"/>
  <c r="S13" i="22"/>
  <c r="S44" i="22"/>
  <c r="S49" i="22"/>
  <c r="S44" i="21"/>
  <c r="S43" i="21"/>
  <c r="S28" i="22"/>
  <c r="S27" i="22"/>
  <c r="S47" i="22"/>
  <c r="S46" i="22"/>
  <c r="S45" i="22"/>
  <c r="S36" i="22"/>
  <c r="S33" i="21"/>
  <c r="S35" i="21"/>
  <c r="S35" i="22"/>
  <c r="S11" i="22"/>
  <c r="S30" i="21"/>
  <c r="S18" i="22"/>
  <c r="S13" i="21"/>
  <c r="S20" i="22"/>
  <c r="S22" i="22"/>
  <c r="T67" i="24"/>
  <c r="T7" i="23"/>
  <c r="T10" i="24"/>
  <c r="T8" i="23"/>
  <c r="T15" i="23"/>
  <c r="R59" i="11"/>
  <c r="T62" i="24"/>
  <c r="T65" i="21"/>
  <c r="T39" i="24"/>
  <c r="T20" i="23"/>
  <c r="T16" i="23"/>
  <c r="T11" i="24"/>
  <c r="T17" i="23"/>
  <c r="T37" i="24"/>
  <c r="T9" i="23"/>
  <c r="T40" i="24"/>
  <c r="T41" i="24"/>
  <c r="T18" i="23"/>
  <c r="T9" i="24"/>
  <c r="T19" i="23"/>
  <c r="R60" i="11"/>
  <c r="R55" i="11"/>
  <c r="T59" i="21"/>
  <c r="T10" i="23"/>
  <c r="T8" i="24"/>
  <c r="Z13" i="23"/>
  <c r="X58" i="11"/>
  <c r="X38" i="4"/>
  <c r="Z68" i="24"/>
  <c r="Z62" i="24"/>
  <c r="Z17" i="23"/>
  <c r="Z37" i="24"/>
  <c r="Z9" i="23"/>
  <c r="Z7" i="23"/>
  <c r="Z10" i="24"/>
  <c r="X55" i="11"/>
  <c r="Z59" i="21"/>
  <c r="Z16" i="23"/>
  <c r="Z8" i="23"/>
  <c r="Z18" i="23"/>
  <c r="Z10" i="23"/>
  <c r="Z23" i="23"/>
  <c r="Z34" i="24"/>
  <c r="Z8" i="24"/>
  <c r="Z65" i="21"/>
  <c r="Z14" i="23"/>
  <c r="Z67" i="24"/>
  <c r="Z11" i="24"/>
  <c r="Z9" i="24"/>
  <c r="Z20" i="23"/>
  <c r="D22" i="22"/>
  <c r="D44" i="21"/>
  <c r="D42" i="22"/>
  <c r="D43" i="22"/>
  <c r="D13" i="22"/>
  <c r="D25" i="22"/>
  <c r="D40" i="22"/>
  <c r="D44" i="22"/>
  <c r="D43" i="21"/>
  <c r="D41" i="22"/>
  <c r="D35" i="22"/>
  <c r="D8" i="22"/>
  <c r="D27" i="22"/>
  <c r="D20" i="22"/>
  <c r="D16" i="22"/>
  <c r="D34" i="22"/>
  <c r="D31" i="22"/>
  <c r="D45" i="21"/>
  <c r="D28" i="22"/>
  <c r="D24" i="22"/>
  <c r="D18" i="22"/>
  <c r="D47" i="22"/>
  <c r="S30" i="24"/>
  <c r="S18" i="24"/>
  <c r="S22" i="24"/>
  <c r="S45" i="24"/>
  <c r="S13" i="24"/>
  <c r="S42" i="24"/>
  <c r="S43" i="24"/>
  <c r="S110" i="18"/>
  <c r="S24" i="24"/>
  <c r="S12" i="24"/>
  <c r="R13" i="24"/>
  <c r="S77" i="24"/>
  <c r="S29" i="24"/>
  <c r="R15" i="20"/>
  <c r="R52" i="24"/>
  <c r="S57" i="24"/>
  <c r="S21" i="24"/>
  <c r="R42" i="24"/>
  <c r="S31" i="24"/>
  <c r="O31" i="6"/>
  <c r="R64" i="21"/>
  <c r="R27" i="24"/>
  <c r="S20" i="24"/>
  <c r="S16" i="24"/>
  <c r="R18" i="20"/>
  <c r="S15" i="24"/>
  <c r="R49" i="24"/>
  <c r="R15" i="24"/>
  <c r="S73" i="24"/>
  <c r="R20" i="20"/>
  <c r="R12" i="24"/>
  <c r="R18" i="24"/>
  <c r="R60" i="24"/>
  <c r="S142" i="18"/>
  <c r="S87" i="24"/>
  <c r="R25" i="24"/>
  <c r="P31" i="6"/>
  <c r="S64" i="21"/>
  <c r="R45" i="24"/>
  <c r="R29" i="24"/>
  <c r="R21" i="24"/>
  <c r="R23" i="24"/>
  <c r="R17" i="24"/>
  <c r="R43" i="24"/>
  <c r="R30" i="24"/>
  <c r="R53" i="24"/>
  <c r="X20" i="23"/>
  <c r="X23" i="23"/>
  <c r="X9" i="23"/>
  <c r="X10" i="24"/>
  <c r="X7" i="23"/>
  <c r="X34" i="24"/>
  <c r="X18" i="23"/>
  <c r="X38" i="24"/>
  <c r="X7" i="24"/>
  <c r="X10" i="23"/>
  <c r="X15" i="23"/>
  <c r="V59" i="11"/>
  <c r="X33" i="24"/>
  <c r="X37" i="24"/>
  <c r="X16" i="23"/>
  <c r="X14" i="23"/>
  <c r="X17" i="23"/>
  <c r="X19" i="23"/>
  <c r="V60" i="11"/>
  <c r="V55" i="11"/>
  <c r="X59" i="21"/>
  <c r="X8" i="24"/>
  <c r="X11" i="24"/>
  <c r="X39" i="24"/>
  <c r="X13" i="23"/>
  <c r="V58" i="11"/>
  <c r="V38" i="4"/>
  <c r="V10" i="24"/>
  <c r="V41" i="24"/>
  <c r="V7" i="24"/>
  <c r="V9" i="23"/>
  <c r="V37" i="24"/>
  <c r="V18" i="23"/>
  <c r="V8" i="24"/>
  <c r="V38" i="24"/>
  <c r="V40" i="24"/>
  <c r="V20" i="23"/>
  <c r="V14" i="23"/>
  <c r="V13" i="25"/>
  <c r="V7" i="23"/>
  <c r="T55" i="11"/>
  <c r="V59" i="21"/>
  <c r="V9" i="24"/>
  <c r="V15" i="23"/>
  <c r="T59" i="11"/>
  <c r="V34" i="24"/>
  <c r="V19" i="23"/>
  <c r="T60" i="11"/>
  <c r="V13" i="23"/>
  <c r="T58" i="11"/>
  <c r="T38" i="4"/>
  <c r="V8" i="23"/>
  <c r="V16" i="23"/>
  <c r="V17" i="23"/>
  <c r="S55" i="11"/>
  <c r="U59" i="21"/>
  <c r="U34" i="24"/>
  <c r="U10" i="24"/>
  <c r="U20" i="23"/>
  <c r="U33" i="24"/>
  <c r="U18" i="23"/>
  <c r="U19" i="23"/>
  <c r="S60" i="11"/>
  <c r="U7" i="24"/>
  <c r="U17" i="23"/>
  <c r="U11" i="24"/>
  <c r="U8" i="23"/>
  <c r="U16" i="23"/>
  <c r="U9" i="24"/>
  <c r="U39" i="24"/>
  <c r="U7" i="23"/>
  <c r="U10" i="23"/>
  <c r="U14" i="23"/>
  <c r="U8" i="24"/>
  <c r="U41" i="24"/>
  <c r="U13" i="23"/>
  <c r="S58" i="11"/>
  <c r="S38" i="4"/>
  <c r="U9" i="23"/>
  <c r="U38" i="24"/>
  <c r="C29" i="24"/>
  <c r="C140" i="18"/>
  <c r="C22" i="24"/>
  <c r="C47" i="24"/>
  <c r="C30" i="24"/>
  <c r="C25" i="24"/>
  <c r="C46" i="24"/>
  <c r="C24" i="24"/>
  <c r="C18" i="24"/>
  <c r="C19" i="20"/>
  <c r="C20" i="24"/>
  <c r="C61" i="24"/>
  <c r="C142" i="18"/>
  <c r="C108" i="18"/>
  <c r="C21" i="24"/>
  <c r="C110" i="18"/>
  <c r="C19" i="24"/>
  <c r="C73" i="24"/>
  <c r="C87" i="24"/>
  <c r="C64" i="21"/>
  <c r="C15" i="24"/>
  <c r="C63" i="21"/>
  <c r="V10" i="5"/>
  <c r="Y8" i="25"/>
  <c r="W9" i="2"/>
  <c r="Y45" i="22"/>
  <c r="Y10" i="25"/>
  <c r="Y52" i="17"/>
  <c r="Y18" i="22"/>
  <c r="Y31" i="22"/>
  <c r="Y25" i="22"/>
  <c r="Y9" i="22"/>
  <c r="Y46" i="21"/>
  <c r="Y20" i="22"/>
  <c r="Y36" i="22"/>
  <c r="Y47" i="22"/>
  <c r="Y46" i="22"/>
  <c r="Y49" i="22"/>
  <c r="Y30" i="21"/>
  <c r="Y50" i="21"/>
  <c r="Y48" i="21"/>
  <c r="Y32" i="21"/>
  <c r="Y16" i="22"/>
  <c r="Y48" i="22"/>
  <c r="Y11" i="22"/>
  <c r="Y35" i="22"/>
  <c r="Y13" i="22"/>
  <c r="P18" i="20"/>
  <c r="P25" i="24"/>
  <c r="P12" i="24"/>
  <c r="P30" i="24"/>
  <c r="P27" i="24"/>
  <c r="P32" i="24"/>
  <c r="P105" i="18"/>
  <c r="P79" i="24"/>
  <c r="P24" i="24"/>
  <c r="P22" i="24"/>
  <c r="P49" i="24"/>
  <c r="P20" i="20"/>
  <c r="P141" i="18"/>
  <c r="P16" i="24"/>
  <c r="P21" i="24"/>
  <c r="P31" i="24"/>
  <c r="P55" i="24"/>
  <c r="P17" i="24"/>
  <c r="P78" i="24"/>
  <c r="P15" i="24"/>
  <c r="P19" i="24"/>
  <c r="P34" i="25"/>
  <c r="P89" i="17"/>
  <c r="L19" i="23"/>
  <c r="J60" i="11"/>
  <c r="L7" i="24"/>
  <c r="L7" i="23"/>
  <c r="L20" i="23"/>
  <c r="L13" i="23"/>
  <c r="J58" i="11"/>
  <c r="J38" i="4"/>
  <c r="L11" i="24"/>
  <c r="L40" i="24"/>
  <c r="L10" i="23"/>
  <c r="L38" i="24"/>
  <c r="L17" i="23"/>
  <c r="L15" i="23"/>
  <c r="J59" i="11"/>
  <c r="L18" i="23"/>
  <c r="L68" i="24"/>
  <c r="L8" i="23"/>
  <c r="L10" i="24"/>
  <c r="L9" i="23"/>
  <c r="L14" i="23"/>
  <c r="L8" i="24"/>
  <c r="L41" i="24"/>
  <c r="L16" i="23"/>
  <c r="L23" i="23"/>
  <c r="L65" i="21"/>
  <c r="G8" i="24"/>
  <c r="G16" i="23"/>
  <c r="G23" i="23"/>
  <c r="G7" i="23"/>
  <c r="G9" i="23"/>
  <c r="E55" i="11"/>
  <c r="G59" i="21"/>
  <c r="G69" i="24"/>
  <c r="G65" i="21"/>
  <c r="G10" i="23"/>
  <c r="G17" i="23"/>
  <c r="H17" i="24"/>
  <c r="G33" i="24"/>
  <c r="H57" i="24"/>
  <c r="G9" i="24"/>
  <c r="F23" i="7"/>
  <c r="H63" i="21"/>
  <c r="H46" i="24"/>
  <c r="G8" i="23"/>
  <c r="G34" i="24"/>
  <c r="H22" i="24"/>
  <c r="G15" i="25"/>
  <c r="H12" i="24"/>
  <c r="G14" i="23"/>
  <c r="H21" i="24"/>
  <c r="G15" i="23"/>
  <c r="E59" i="11"/>
  <c r="G10" i="24"/>
  <c r="E31" i="6"/>
  <c r="H64" i="21"/>
  <c r="H25" i="24"/>
  <c r="H54" i="24"/>
  <c r="G18" i="23"/>
  <c r="G41" i="24"/>
  <c r="H23" i="24"/>
  <c r="H61" i="24"/>
  <c r="G20" i="23"/>
  <c r="G65" i="24"/>
  <c r="H47" i="24"/>
  <c r="H13" i="24"/>
  <c r="H48" i="24"/>
  <c r="H15" i="24"/>
  <c r="H18" i="24"/>
  <c r="H13" i="20"/>
  <c r="H14" i="20"/>
  <c r="H24" i="24"/>
  <c r="H32" i="24"/>
  <c r="H19" i="24"/>
  <c r="E15" i="23"/>
  <c r="C59" i="11"/>
  <c r="E19" i="23"/>
  <c r="C60" i="11"/>
  <c r="E20" i="23"/>
  <c r="E66" i="24"/>
  <c r="E17" i="23"/>
  <c r="C55" i="11"/>
  <c r="E59" i="21"/>
  <c r="E37" i="24"/>
  <c r="E9" i="24"/>
  <c r="E10" i="23"/>
  <c r="E34" i="24"/>
  <c r="E14" i="23"/>
  <c r="E13" i="23"/>
  <c r="C58" i="11"/>
  <c r="C38" i="4"/>
  <c r="E16" i="23"/>
  <c r="E38" i="24"/>
  <c r="E8" i="24"/>
  <c r="E7" i="23"/>
  <c r="E33" i="24"/>
  <c r="E11" i="24"/>
  <c r="E7" i="24"/>
  <c r="E9" i="23"/>
  <c r="E8" i="23"/>
  <c r="E18" i="23"/>
  <c r="M21" i="24"/>
  <c r="M71" i="24"/>
  <c r="M42" i="24"/>
  <c r="M52" i="24"/>
  <c r="M80" i="24"/>
  <c r="M25" i="24"/>
  <c r="M17" i="20"/>
  <c r="M31" i="24"/>
  <c r="J31" i="6"/>
  <c r="M64" i="21"/>
  <c r="M26" i="24"/>
  <c r="M32" i="24"/>
  <c r="M47" i="24"/>
  <c r="M15" i="24"/>
  <c r="M22" i="24"/>
  <c r="M24" i="24"/>
  <c r="K23" i="7"/>
  <c r="M63" i="21"/>
  <c r="M55" i="24"/>
  <c r="M19" i="24"/>
  <c r="M54" i="24"/>
  <c r="M16" i="24"/>
  <c r="M13" i="24"/>
  <c r="M43" i="24"/>
  <c r="J9" i="23"/>
  <c r="J20" i="23"/>
  <c r="J41" i="24"/>
  <c r="J8" i="23"/>
  <c r="J69" i="24"/>
  <c r="J68" i="24"/>
  <c r="J9" i="24"/>
  <c r="J65" i="21"/>
  <c r="J11" i="24"/>
  <c r="J8" i="24"/>
  <c r="J10" i="23"/>
  <c r="J19" i="23"/>
  <c r="H60" i="11"/>
  <c r="J66" i="24"/>
  <c r="J13" i="23"/>
  <c r="H58" i="11"/>
  <c r="H38" i="4"/>
  <c r="J14" i="23"/>
  <c r="H55" i="11"/>
  <c r="J59" i="21"/>
  <c r="J18" i="23"/>
  <c r="J34" i="24"/>
  <c r="J16" i="23"/>
  <c r="J10" i="24"/>
  <c r="J17" i="23"/>
  <c r="J15" i="23"/>
  <c r="H59" i="11"/>
  <c r="E23" i="24"/>
  <c r="E140" i="18"/>
  <c r="E31" i="24"/>
  <c r="E26" i="24"/>
  <c r="E59" i="24"/>
  <c r="E18" i="24"/>
  <c r="E19" i="24"/>
  <c r="E57" i="24"/>
  <c r="E24" i="24"/>
  <c r="C23" i="7"/>
  <c r="E63" i="21"/>
  <c r="E12" i="24"/>
  <c r="E17" i="24"/>
  <c r="E29" i="24"/>
  <c r="E142" i="18"/>
  <c r="E27" i="24"/>
  <c r="E20" i="24"/>
  <c r="E50" i="24"/>
  <c r="E22" i="24"/>
  <c r="E16" i="24"/>
  <c r="E25" i="24"/>
  <c r="E13" i="24"/>
  <c r="E48" i="24"/>
  <c r="W15" i="23"/>
  <c r="U59" i="11"/>
  <c r="W65" i="21"/>
  <c r="W20" i="23"/>
  <c r="U55" i="11"/>
  <c r="W59" i="21"/>
  <c r="W37" i="24"/>
  <c r="W65" i="24"/>
  <c r="W39" i="24"/>
  <c r="W9" i="24"/>
  <c r="W13" i="23"/>
  <c r="U58" i="11"/>
  <c r="U38" i="4"/>
  <c r="W8" i="23"/>
  <c r="W17" i="23"/>
  <c r="W9" i="23"/>
  <c r="W18" i="23"/>
  <c r="W34" i="24"/>
  <c r="W10" i="23"/>
  <c r="W38" i="24"/>
  <c r="W14" i="23"/>
  <c r="W8" i="24"/>
  <c r="W16" i="23"/>
  <c r="W7" i="24"/>
  <c r="W11" i="24"/>
  <c r="W7" i="23"/>
  <c r="D18" i="24"/>
  <c r="D20" i="24"/>
  <c r="D14" i="20"/>
  <c r="D21" i="24"/>
  <c r="D15" i="24"/>
  <c r="D26" i="24"/>
  <c r="D51" i="24"/>
  <c r="D86" i="24"/>
  <c r="D56" i="24"/>
  <c r="D29" i="24"/>
  <c r="D15" i="20"/>
  <c r="D13" i="20"/>
  <c r="D18" i="20"/>
  <c r="D19" i="20"/>
  <c r="D63" i="21"/>
  <c r="D27" i="24"/>
  <c r="D17" i="24"/>
  <c r="D64" i="21"/>
  <c r="D16" i="24"/>
  <c r="D32" i="24"/>
  <c r="D54" i="24"/>
  <c r="D23" i="24"/>
  <c r="W16" i="24"/>
  <c r="W50" i="24"/>
  <c r="W142" i="18"/>
  <c r="W52" i="24"/>
  <c r="W24" i="24"/>
  <c r="W43" i="24"/>
  <c r="W32" i="24"/>
  <c r="W17" i="24"/>
  <c r="W106" i="18"/>
  <c r="W29" i="24"/>
  <c r="W21" i="24"/>
  <c r="W53" i="24"/>
  <c r="W20" i="24"/>
  <c r="W42" i="24"/>
  <c r="W18" i="24"/>
  <c r="W19" i="20"/>
  <c r="W84" i="24"/>
  <c r="W140" i="18"/>
  <c r="W13" i="24"/>
  <c r="W25" i="24"/>
  <c r="W74" i="24"/>
  <c r="W23" i="24"/>
  <c r="N65" i="21"/>
  <c r="N8" i="23"/>
  <c r="N9" i="23"/>
  <c r="N23" i="23"/>
  <c r="N10" i="24"/>
  <c r="N8" i="24"/>
  <c r="N15" i="23"/>
  <c r="L59" i="11"/>
  <c r="N18" i="23"/>
  <c r="N16" i="23"/>
  <c r="N13" i="23"/>
  <c r="L58" i="11"/>
  <c r="L38" i="4"/>
  <c r="N17" i="23"/>
  <c r="N10" i="23"/>
  <c r="N11" i="24"/>
  <c r="N39" i="24"/>
  <c r="N19" i="23"/>
  <c r="L60" i="11"/>
  <c r="N33" i="24"/>
  <c r="N14" i="23"/>
  <c r="L55" i="11"/>
  <c r="N59" i="21"/>
  <c r="N41" i="24"/>
  <c r="N65" i="24"/>
  <c r="N7" i="23"/>
  <c r="N7" i="24"/>
  <c r="K13" i="24"/>
  <c r="K55" i="24"/>
  <c r="K19" i="24"/>
  <c r="K20" i="24"/>
  <c r="K73" i="24"/>
  <c r="K22" i="24"/>
  <c r="K27" i="24"/>
  <c r="K16" i="24"/>
  <c r="K48" i="24"/>
  <c r="I23" i="7"/>
  <c r="K63" i="21"/>
  <c r="K24" i="24"/>
  <c r="K17" i="20"/>
  <c r="K51" i="24"/>
  <c r="K12" i="24"/>
  <c r="K30" i="24"/>
  <c r="K19" i="20"/>
  <c r="K57" i="24"/>
  <c r="K26" i="24"/>
  <c r="K77" i="24"/>
  <c r="K17" i="24"/>
  <c r="K52" i="24"/>
  <c r="H31" i="6"/>
  <c r="K64" i="21"/>
  <c r="O51" i="24"/>
  <c r="O24" i="24"/>
  <c r="O31" i="24"/>
  <c r="M23" i="7"/>
  <c r="O63" i="21"/>
  <c r="O47" i="24"/>
  <c r="O43" i="24"/>
  <c r="O14" i="20"/>
  <c r="O18" i="24"/>
  <c r="O16" i="24"/>
  <c r="O22" i="24"/>
  <c r="O19" i="24"/>
  <c r="O17" i="24"/>
  <c r="O45" i="24"/>
  <c r="O25" i="24"/>
  <c r="O132" i="18"/>
  <c r="O29" i="24"/>
  <c r="O13" i="24"/>
  <c r="O20" i="24"/>
  <c r="O26" i="24"/>
  <c r="O48" i="24"/>
  <c r="O30" i="24"/>
  <c r="O12" i="24"/>
  <c r="C65" i="21"/>
  <c r="C23" i="23"/>
  <c r="C20" i="23"/>
  <c r="C19" i="23"/>
  <c r="C10" i="23"/>
  <c r="C9" i="23"/>
  <c r="C37" i="24"/>
  <c r="C8" i="23"/>
  <c r="C13" i="23"/>
  <c r="C7" i="24"/>
  <c r="C10" i="24"/>
  <c r="C18" i="23"/>
  <c r="C9" i="24"/>
  <c r="C8" i="24"/>
  <c r="C17" i="23"/>
  <c r="C7" i="23"/>
  <c r="C14" i="23"/>
  <c r="C15" i="23"/>
  <c r="C59" i="21"/>
  <c r="C16" i="23"/>
  <c r="C33" i="24"/>
  <c r="C11" i="24"/>
  <c r="K16" i="23"/>
  <c r="K18" i="23"/>
  <c r="K9" i="23"/>
  <c r="K20" i="23"/>
  <c r="K7" i="24"/>
  <c r="K65" i="21"/>
  <c r="K8" i="23"/>
  <c r="I55" i="11"/>
  <c r="K59" i="21"/>
  <c r="K34" i="24"/>
  <c r="K14" i="23"/>
  <c r="K9" i="24"/>
  <c r="K10" i="24"/>
  <c r="K23" i="23"/>
  <c r="K40" i="24"/>
  <c r="K7" i="23"/>
  <c r="K65" i="24"/>
  <c r="K33" i="24"/>
  <c r="K11" i="24"/>
  <c r="K19" i="23"/>
  <c r="I60" i="11"/>
  <c r="K17" i="23"/>
  <c r="K10" i="23"/>
  <c r="K39" i="24"/>
  <c r="Z23" i="24"/>
  <c r="Z50" i="24"/>
  <c r="Z30" i="24"/>
  <c r="Z15" i="24"/>
  <c r="Z20" i="20"/>
  <c r="Z13" i="24"/>
  <c r="X23" i="7"/>
  <c r="Z63" i="21"/>
  <c r="Z21" i="24"/>
  <c r="Z87" i="24"/>
  <c r="Z42" i="24"/>
  <c r="Z141" i="18"/>
  <c r="Z17" i="24"/>
  <c r="Z27" i="24"/>
  <c r="Z73" i="24"/>
  <c r="Z25" i="24"/>
  <c r="Z19" i="24"/>
  <c r="Z132" i="18"/>
  <c r="Z43" i="24"/>
  <c r="Z12" i="20"/>
  <c r="Z109" i="18"/>
  <c r="Z22" i="24"/>
  <c r="Z31" i="24"/>
  <c r="X13" i="20"/>
  <c r="X15" i="24"/>
  <c r="X18" i="24"/>
  <c r="X12" i="24"/>
  <c r="X43" i="24"/>
  <c r="X52" i="24"/>
  <c r="X17" i="24"/>
  <c r="X30" i="24"/>
  <c r="U31" i="6"/>
  <c r="X64" i="21"/>
  <c r="X23" i="24"/>
  <c r="X45" i="24"/>
  <c r="X46" i="24"/>
  <c r="X13" i="24"/>
  <c r="X14" i="20"/>
  <c r="X22" i="24"/>
  <c r="X19" i="24"/>
  <c r="X55" i="24"/>
  <c r="X24" i="24"/>
  <c r="X27" i="24"/>
  <c r="X29" i="24"/>
  <c r="X16" i="24"/>
  <c r="X49" i="24"/>
  <c r="J31" i="24"/>
  <c r="J74" i="24"/>
  <c r="J19" i="24"/>
  <c r="J32" i="24"/>
  <c r="J46" i="24"/>
  <c r="J13" i="24"/>
  <c r="J15" i="24"/>
  <c r="J109" i="18"/>
  <c r="J78" i="24"/>
  <c r="G31" i="6"/>
  <c r="J64" i="21"/>
  <c r="J52" i="24"/>
  <c r="J26" i="24"/>
  <c r="J43" i="24"/>
  <c r="J21" i="24"/>
  <c r="J22" i="24"/>
  <c r="J141" i="18"/>
  <c r="J54" i="24"/>
  <c r="J25" i="24"/>
  <c r="J20" i="24"/>
  <c r="J17" i="24"/>
  <c r="J27" i="24"/>
  <c r="J16" i="24"/>
  <c r="Q12" i="20"/>
  <c r="Q12" i="24"/>
  <c r="Q49" i="24"/>
  <c r="Q74" i="24"/>
  <c r="Q16" i="24"/>
  <c r="Q55" i="24"/>
  <c r="O23" i="7"/>
  <c r="Q63" i="21"/>
  <c r="Q130" i="18"/>
  <c r="Q15" i="24"/>
  <c r="Q88" i="24"/>
  <c r="Q32" i="24"/>
  <c r="Q51" i="24"/>
  <c r="Q22" i="24"/>
  <c r="Q42" i="24"/>
  <c r="Q24" i="24"/>
  <c r="Q48" i="24"/>
  <c r="Q18" i="24"/>
  <c r="Q31" i="24"/>
  <c r="Q20" i="24"/>
  <c r="Q13" i="24"/>
  <c r="Q21" i="24"/>
  <c r="Q26" i="24"/>
  <c r="AA45" i="24"/>
  <c r="AA22" i="24"/>
  <c r="AA42" i="24"/>
  <c r="Y23" i="7"/>
  <c r="AA63" i="21"/>
  <c r="AA49" i="24"/>
  <c r="AA19" i="20"/>
  <c r="AA50" i="24"/>
  <c r="AA43" i="24"/>
  <c r="AA13" i="24"/>
  <c r="AA17" i="20"/>
  <c r="AA17" i="24"/>
  <c r="AA20" i="24"/>
  <c r="AA53" i="24"/>
  <c r="AA29" i="24"/>
  <c r="AA14" i="20"/>
  <c r="AA16" i="24"/>
  <c r="AA26" i="24"/>
  <c r="AA27" i="24"/>
  <c r="AA77" i="24"/>
  <c r="AA19" i="24"/>
  <c r="AA46" i="24"/>
  <c r="AA57" i="24"/>
  <c r="M55" i="11"/>
  <c r="O59" i="21"/>
  <c r="O7" i="24"/>
  <c r="O65" i="21"/>
  <c r="O39" i="24"/>
  <c r="O38" i="24"/>
  <c r="O40" i="24"/>
  <c r="O37" i="24"/>
  <c r="O19" i="23"/>
  <c r="M60" i="11"/>
  <c r="O14" i="23"/>
  <c r="O33" i="24"/>
  <c r="O17" i="23"/>
  <c r="O8" i="24"/>
  <c r="O15" i="23"/>
  <c r="M59" i="11"/>
  <c r="O11" i="24"/>
  <c r="O18" i="23"/>
  <c r="O16" i="23"/>
  <c r="O20" i="23"/>
  <c r="O10" i="23"/>
  <c r="O9" i="24"/>
  <c r="O8" i="23"/>
  <c r="O7" i="23"/>
  <c r="O23" i="23"/>
  <c r="R10" i="24"/>
  <c r="R19" i="23"/>
  <c r="P60" i="11"/>
  <c r="R7" i="23"/>
  <c r="P55" i="11"/>
  <c r="R59" i="21"/>
  <c r="R41" i="24"/>
  <c r="R34" i="24"/>
  <c r="R8" i="24"/>
  <c r="R11" i="24"/>
  <c r="R18" i="23"/>
  <c r="R14" i="23"/>
  <c r="R13" i="23"/>
  <c r="P58" i="11"/>
  <c r="P38" i="4"/>
  <c r="R23" i="23"/>
  <c r="R15" i="23"/>
  <c r="P59" i="11"/>
  <c r="R9" i="23"/>
  <c r="R40" i="24"/>
  <c r="R65" i="24"/>
  <c r="R37" i="24"/>
  <c r="R10" i="23"/>
  <c r="R8" i="23"/>
  <c r="R38" i="24"/>
  <c r="R17" i="23"/>
  <c r="R7" i="24"/>
  <c r="Y19" i="20"/>
  <c r="Y26" i="24"/>
  <c r="Y104" i="18"/>
  <c r="Y29" i="24"/>
  <c r="Y13" i="24"/>
  <c r="Y50" i="24"/>
  <c r="Y14" i="20"/>
  <c r="Y32" i="24"/>
  <c r="Y47" i="24"/>
  <c r="Y30" i="24"/>
  <c r="Y57" i="24"/>
  <c r="Y18" i="24"/>
  <c r="Y140" i="18"/>
  <c r="Y60" i="24"/>
  <c r="Y15" i="24"/>
  <c r="Y17" i="20"/>
  <c r="Y16" i="24"/>
  <c r="Y46" i="24"/>
  <c r="Y20" i="24"/>
  <c r="Y22" i="24"/>
  <c r="Y88" i="24"/>
  <c r="Y48" i="24"/>
  <c r="N51" i="24"/>
  <c r="N22" i="24"/>
  <c r="N61" i="24"/>
  <c r="N32" i="24"/>
  <c r="N21" i="24"/>
  <c r="N23" i="24"/>
  <c r="N25" i="24"/>
  <c r="N18" i="24"/>
  <c r="K31" i="6"/>
  <c r="N64" i="21"/>
  <c r="N57" i="24"/>
  <c r="N20" i="20"/>
  <c r="N19" i="24"/>
  <c r="N16" i="24"/>
  <c r="N12" i="24"/>
  <c r="N26" i="24"/>
  <c r="N49" i="24"/>
  <c r="N24" i="24"/>
  <c r="N42" i="24"/>
  <c r="N141" i="18"/>
  <c r="N30" i="24"/>
  <c r="N17" i="24"/>
  <c r="N15" i="24"/>
  <c r="Y20" i="23"/>
  <c r="Y40" i="24"/>
  <c r="Y33" i="24"/>
  <c r="Y39" i="24"/>
  <c r="Y14" i="23"/>
  <c r="Y13" i="23"/>
  <c r="W58" i="11"/>
  <c r="W38" i="4"/>
  <c r="Y10" i="23"/>
  <c r="Y65" i="21"/>
  <c r="Y19" i="23"/>
  <c r="W60" i="11"/>
  <c r="Y7" i="23"/>
  <c r="Y8" i="23"/>
  <c r="Y16" i="23"/>
  <c r="Y11" i="24"/>
  <c r="Y15" i="25"/>
  <c r="Y18" i="23"/>
  <c r="Y41" i="24"/>
  <c r="Y15" i="23"/>
  <c r="W59" i="11"/>
  <c r="Y9" i="24"/>
  <c r="Y38" i="24"/>
  <c r="Y8" i="24"/>
  <c r="Y9" i="23"/>
  <c r="W55" i="11"/>
  <c r="Y59" i="21"/>
  <c r="D10" i="24"/>
  <c r="D23" i="23"/>
  <c r="D8" i="23"/>
  <c r="D15" i="23"/>
  <c r="D33" i="24"/>
  <c r="D10" i="23"/>
  <c r="D38" i="24"/>
  <c r="D39" i="24"/>
  <c r="D19" i="23"/>
  <c r="D16" i="23"/>
  <c r="D9" i="23"/>
  <c r="D59" i="21"/>
  <c r="D65" i="21"/>
  <c r="D18" i="23"/>
  <c r="D20" i="23"/>
  <c r="D8" i="24"/>
  <c r="D11" i="24"/>
  <c r="D13" i="23"/>
  <c r="D34" i="24"/>
  <c r="D7" i="23"/>
  <c r="D9" i="24"/>
  <c r="D17" i="23"/>
  <c r="T60" i="24"/>
  <c r="T86" i="24"/>
  <c r="T13" i="20"/>
  <c r="T53" i="24"/>
  <c r="T32" i="24"/>
  <c r="T15" i="24"/>
  <c r="T29" i="24"/>
  <c r="T55" i="24"/>
  <c r="T12" i="24"/>
  <c r="T21" i="24"/>
  <c r="T20" i="24"/>
  <c r="Q31" i="6"/>
  <c r="T64" i="21"/>
  <c r="T71" i="24"/>
  <c r="T18" i="24"/>
  <c r="T49" i="24"/>
  <c r="I18" i="24"/>
  <c r="I19" i="24"/>
  <c r="T18" i="20"/>
  <c r="T30" i="24"/>
  <c r="T52" i="24"/>
  <c r="I15" i="24"/>
  <c r="I12" i="24"/>
  <c r="T26" i="24"/>
  <c r="I32" i="24"/>
  <c r="I51" i="24"/>
  <c r="I23" i="24"/>
  <c r="T25" i="24"/>
  <c r="I22" i="24"/>
  <c r="T15" i="20"/>
  <c r="I13" i="24"/>
  <c r="G23" i="7"/>
  <c r="I63" i="21"/>
  <c r="I52" i="24"/>
  <c r="I50" i="24"/>
  <c r="T16" i="24"/>
  <c r="I140" i="18"/>
  <c r="I35" i="25"/>
  <c r="I29" i="24"/>
  <c r="I30" i="24"/>
  <c r="I20" i="24"/>
  <c r="I42" i="24"/>
  <c r="I16" i="24"/>
  <c r="I48" i="24"/>
  <c r="I19" i="20"/>
  <c r="I26" i="24"/>
  <c r="P8" i="24"/>
  <c r="P16" i="23"/>
  <c r="P8" i="23"/>
  <c r="P10" i="23"/>
  <c r="P9" i="24"/>
  <c r="P40" i="24"/>
  <c r="P23" i="23"/>
  <c r="P14" i="23"/>
  <c r="P10" i="24"/>
  <c r="P17" i="23"/>
  <c r="P19" i="23"/>
  <c r="N60" i="11"/>
  <c r="P39" i="24"/>
  <c r="P13" i="23"/>
  <c r="N58" i="11"/>
  <c r="N38" i="4"/>
  <c r="P7" i="23"/>
  <c r="P7" i="24"/>
  <c r="P9" i="23"/>
  <c r="P38" i="24"/>
  <c r="P65" i="21"/>
  <c r="P33" i="24"/>
  <c r="N55" i="11"/>
  <c r="P59" i="21"/>
  <c r="P15" i="23"/>
  <c r="N59" i="11"/>
  <c r="P41" i="24"/>
  <c r="F30" i="24"/>
  <c r="F27" i="24"/>
  <c r="F17" i="24"/>
  <c r="F12" i="24"/>
  <c r="F47" i="24"/>
  <c r="F26" i="24"/>
  <c r="F46" i="24"/>
  <c r="F50" i="24"/>
  <c r="F70" i="24"/>
  <c r="D23" i="7"/>
  <c r="F63" i="21"/>
  <c r="F15" i="20"/>
  <c r="F60" i="24"/>
  <c r="C31" i="6"/>
  <c r="F64" i="21"/>
  <c r="F21" i="24"/>
  <c r="F24" i="24"/>
  <c r="F18" i="24"/>
  <c r="F57" i="24"/>
  <c r="F16" i="24"/>
  <c r="F15" i="24"/>
  <c r="F23" i="24"/>
  <c r="F13" i="24"/>
  <c r="F20" i="24"/>
  <c r="V18" i="24"/>
  <c r="V21" i="24"/>
  <c r="V13" i="20"/>
  <c r="V31" i="24"/>
  <c r="V15" i="24"/>
  <c r="V17" i="24"/>
  <c r="V16" i="24"/>
  <c r="V45" i="24"/>
  <c r="S31" i="6"/>
  <c r="V64" i="21"/>
  <c r="V24" i="24"/>
  <c r="V25" i="24"/>
  <c r="V60" i="24"/>
  <c r="V27" i="24"/>
  <c r="V55" i="24"/>
  <c r="V48" i="24"/>
  <c r="T23" i="7"/>
  <c r="V63" i="21"/>
  <c r="V89" i="24"/>
  <c r="V20" i="24"/>
  <c r="V12" i="24"/>
  <c r="V30" i="24"/>
  <c r="V15" i="20"/>
  <c r="V23" i="24"/>
  <c r="AA11" i="22"/>
  <c r="AA14" i="22"/>
  <c r="AA45" i="22"/>
  <c r="AA47" i="22"/>
  <c r="AA28" i="21"/>
  <c r="AA36" i="22"/>
  <c r="AA31" i="22"/>
  <c r="AA48" i="21"/>
  <c r="AA46" i="22"/>
  <c r="AA33" i="22"/>
  <c r="AA27" i="22"/>
  <c r="AA9" i="22"/>
  <c r="AA9" i="25"/>
  <c r="AA41" i="17"/>
  <c r="AA49" i="22"/>
  <c r="AA34" i="22"/>
  <c r="AA40" i="22"/>
  <c r="AA46" i="21"/>
  <c r="AA32" i="22"/>
  <c r="AA44" i="21"/>
  <c r="AA18" i="22"/>
  <c r="AA22" i="22"/>
  <c r="AA35" i="22"/>
  <c r="AA65" i="21"/>
  <c r="AA19" i="23"/>
  <c r="Y60" i="11"/>
  <c r="AA13" i="23"/>
  <c r="Y58" i="11"/>
  <c r="Y38" i="4"/>
  <c r="AA7" i="23"/>
  <c r="AA10" i="24"/>
  <c r="Y55" i="11"/>
  <c r="AA59" i="21"/>
  <c r="AA11" i="24"/>
  <c r="AA9" i="24"/>
  <c r="AA17" i="23"/>
  <c r="AA41" i="24"/>
  <c r="AA18" i="23"/>
  <c r="AA38" i="24"/>
  <c r="AA15" i="23"/>
  <c r="Y59" i="11"/>
  <c r="AA12" i="25"/>
  <c r="AA34" i="24"/>
  <c r="AA7" i="24"/>
  <c r="AA14" i="23"/>
  <c r="AA8" i="23"/>
  <c r="AA10" i="23"/>
  <c r="AA20" i="23"/>
  <c r="AA9" i="23"/>
  <c r="AA33" i="24"/>
  <c r="F23" i="23"/>
  <c r="F18" i="23"/>
  <c r="F9" i="23"/>
  <c r="F20" i="23"/>
  <c r="F8" i="23"/>
  <c r="F7" i="24"/>
  <c r="F10" i="24"/>
  <c r="D55" i="11"/>
  <c r="F59" i="21"/>
  <c r="F8" i="24"/>
  <c r="F14" i="23"/>
  <c r="F19" i="23"/>
  <c r="D60" i="11"/>
  <c r="F34" i="24"/>
  <c r="F16" i="23"/>
  <c r="F15" i="23"/>
  <c r="D59" i="11"/>
  <c r="F17" i="23"/>
  <c r="F39" i="24"/>
  <c r="F37" i="24"/>
  <c r="F7" i="23"/>
  <c r="F18" i="25"/>
  <c r="F38" i="24"/>
  <c r="F13" i="23"/>
  <c r="D58" i="11"/>
  <c r="D38" i="4"/>
  <c r="F9" i="24"/>
  <c r="Q55" i="11"/>
  <c r="S59" i="21"/>
  <c r="S7" i="24"/>
  <c r="S9" i="23"/>
  <c r="S12" i="25"/>
  <c r="S7" i="23"/>
  <c r="S9" i="24"/>
  <c r="S17" i="23"/>
  <c r="S19" i="23"/>
  <c r="Q60" i="11"/>
  <c r="S39" i="24"/>
  <c r="S23" i="23"/>
  <c r="S20" i="23"/>
  <c r="S15" i="23"/>
  <c r="Q59" i="11"/>
  <c r="S16" i="23"/>
  <c r="S33" i="24"/>
  <c r="S18" i="23"/>
  <c r="S37" i="24"/>
  <c r="S65" i="21"/>
  <c r="S10" i="23"/>
  <c r="S11" i="24"/>
  <c r="S13" i="23"/>
  <c r="Q58" i="11"/>
  <c r="Q38" i="4"/>
  <c r="S10" i="24"/>
  <c r="S8" i="23"/>
  <c r="L141" i="18"/>
  <c r="L42" i="24"/>
  <c r="L47" i="24"/>
  <c r="L29" i="24"/>
  <c r="L21" i="24"/>
  <c r="L12" i="24"/>
  <c r="L18" i="24"/>
  <c r="L32" i="24"/>
  <c r="L81" i="24"/>
  <c r="L50" i="24"/>
  <c r="L19" i="24"/>
  <c r="L25" i="24"/>
  <c r="J23" i="7"/>
  <c r="L63" i="21"/>
  <c r="I31" i="6"/>
  <c r="L64" i="21"/>
  <c r="L13" i="24"/>
  <c r="L27" i="24"/>
  <c r="L56" i="24"/>
  <c r="L23" i="24"/>
  <c r="L20" i="24"/>
  <c r="L60" i="24"/>
  <c r="L15" i="24"/>
  <c r="L17" i="24"/>
  <c r="U17" i="24"/>
  <c r="U142" i="18"/>
  <c r="U27" i="24"/>
  <c r="U22" i="24"/>
  <c r="U46" i="24"/>
  <c r="U48" i="24"/>
  <c r="U61" i="24"/>
  <c r="U31" i="24"/>
  <c r="U140" i="18"/>
  <c r="U23" i="24"/>
  <c r="U42" i="24"/>
  <c r="U12" i="24"/>
  <c r="U29" i="24"/>
  <c r="U18" i="24"/>
  <c r="S23" i="7"/>
  <c r="U63" i="21"/>
  <c r="U24" i="24"/>
  <c r="U20" i="24"/>
  <c r="U54" i="24"/>
  <c r="U13" i="24"/>
  <c r="U16" i="24"/>
  <c r="U19" i="24"/>
  <c r="U43" i="24"/>
  <c r="Q43" i="22"/>
  <c r="Q42" i="21"/>
  <c r="Q30" i="22"/>
  <c r="Q45" i="22"/>
  <c r="Q39" i="22"/>
  <c r="Q21" i="22"/>
  <c r="Q44" i="22"/>
  <c r="Q36" i="22"/>
  <c r="Q33" i="22"/>
  <c r="Q15" i="22"/>
  <c r="Q38" i="22"/>
  <c r="Q32" i="22"/>
  <c r="Q36" i="21"/>
  <c r="Q40" i="21"/>
  <c r="Q19" i="22"/>
  <c r="Q27" i="22"/>
  <c r="Q40" i="22"/>
  <c r="Q17" i="22"/>
  <c r="Q26" i="22"/>
  <c r="Q8" i="22"/>
  <c r="Q23" i="22"/>
  <c r="Q9" i="25"/>
  <c r="Q41" i="17"/>
  <c r="H24" i="3"/>
  <c r="H37" i="21"/>
  <c r="H45" i="22"/>
  <c r="H34" i="22"/>
  <c r="H18" i="22"/>
  <c r="H43" i="22"/>
  <c r="H41" i="21"/>
  <c r="H46" i="22"/>
  <c r="H22" i="22"/>
  <c r="H28" i="22"/>
  <c r="H20" i="22"/>
  <c r="H62" i="21"/>
  <c r="H41" i="22"/>
  <c r="H60" i="21"/>
  <c r="F25" i="2"/>
  <c r="H27" i="22"/>
  <c r="H42" i="22"/>
  <c r="H43" i="21"/>
  <c r="H44" i="22"/>
  <c r="H48" i="22"/>
  <c r="H31" i="22"/>
  <c r="E10" i="9"/>
  <c r="H8" i="26"/>
  <c r="H9" i="22"/>
  <c r="H35" i="22"/>
  <c r="W11" i="22"/>
  <c r="W34" i="21"/>
  <c r="W48" i="21"/>
  <c r="W28" i="22"/>
  <c r="W23" i="22"/>
  <c r="W35" i="22"/>
  <c r="W20" i="22"/>
  <c r="W60" i="21"/>
  <c r="U25" i="2"/>
  <c r="W13" i="22"/>
  <c r="W32" i="21"/>
  <c r="W36" i="22"/>
  <c r="W48" i="22"/>
  <c r="W54" i="21"/>
  <c r="W38" i="22"/>
  <c r="W44" i="22"/>
  <c r="W39" i="22"/>
  <c r="T10" i="9"/>
  <c r="W8" i="26"/>
  <c r="W15" i="22"/>
  <c r="W25" i="22"/>
  <c r="W32" i="22"/>
  <c r="W18" i="22"/>
  <c r="W50" i="21"/>
  <c r="H39" i="24"/>
  <c r="H40" i="24"/>
  <c r="H18" i="23"/>
  <c r="H14" i="23"/>
  <c r="H38" i="24"/>
  <c r="H10" i="23"/>
  <c r="H17" i="23"/>
  <c r="H23" i="23"/>
  <c r="H13" i="23"/>
  <c r="F58" i="11"/>
  <c r="F38" i="4"/>
  <c r="H15" i="23"/>
  <c r="F59" i="11"/>
  <c r="H19" i="23"/>
  <c r="F60" i="11"/>
  <c r="H16" i="23"/>
  <c r="H7" i="24"/>
  <c r="H33" i="24"/>
  <c r="H65" i="21"/>
  <c r="H8" i="24"/>
  <c r="H34" i="24"/>
  <c r="H20" i="23"/>
  <c r="H10" i="24"/>
  <c r="H7" i="23"/>
  <c r="H9" i="23"/>
  <c r="H11" i="24"/>
  <c r="G39" i="22"/>
  <c r="G43" i="22"/>
  <c r="G54" i="21"/>
  <c r="G28" i="22"/>
  <c r="G34" i="21"/>
  <c r="G50" i="21"/>
  <c r="G44" i="22"/>
  <c r="G48" i="21"/>
  <c r="G15" i="22"/>
  <c r="G47" i="22"/>
  <c r="G38" i="22"/>
  <c r="G20" i="22"/>
  <c r="G49" i="22"/>
  <c r="G45" i="22"/>
  <c r="G32" i="22"/>
  <c r="G48" i="22"/>
  <c r="D10" i="9"/>
  <c r="G8" i="26"/>
  <c r="G11" i="22"/>
  <c r="G13" i="22"/>
  <c r="G32" i="21"/>
  <c r="G25" i="22"/>
  <c r="G35" i="22"/>
  <c r="I36" i="22"/>
  <c r="I47" i="22"/>
  <c r="I48" i="22"/>
  <c r="I25" i="22"/>
  <c r="I46" i="21"/>
  <c r="I30" i="21"/>
  <c r="I43" i="22"/>
  <c r="I13" i="22"/>
  <c r="I27" i="22"/>
  <c r="I48" i="21"/>
  <c r="I22" i="22"/>
  <c r="I35" i="22"/>
  <c r="I31" i="22"/>
  <c r="I20" i="22"/>
  <c r="I11" i="22"/>
  <c r="I44" i="22"/>
  <c r="I46" i="22"/>
  <c r="I9" i="26"/>
  <c r="I9" i="22"/>
  <c r="I42" i="22"/>
  <c r="I50" i="21"/>
  <c r="I49" i="22"/>
  <c r="U11" i="22"/>
  <c r="U32" i="22"/>
  <c r="U23" i="22"/>
  <c r="U39" i="22"/>
  <c r="U22" i="22"/>
  <c r="U41" i="22"/>
  <c r="U36" i="21"/>
  <c r="U26" i="22"/>
  <c r="U34" i="21"/>
  <c r="U15" i="22"/>
  <c r="U50" i="21"/>
  <c r="U46" i="22"/>
  <c r="U28" i="22"/>
  <c r="R10" i="5"/>
  <c r="U8" i="25"/>
  <c r="S9" i="2"/>
  <c r="U40" i="22"/>
  <c r="U36" i="22"/>
  <c r="U13" i="22"/>
  <c r="U54" i="21"/>
  <c r="U17" i="22"/>
  <c r="U19" i="22"/>
  <c r="U25" i="22"/>
  <c r="U62" i="21"/>
  <c r="S38" i="22"/>
  <c r="S21" i="22"/>
  <c r="S42" i="22"/>
  <c r="S40" i="22"/>
  <c r="S31" i="22"/>
  <c r="S41" i="22"/>
  <c r="S36" i="21"/>
  <c r="S30" i="22"/>
  <c r="S19" i="22"/>
  <c r="S33" i="22"/>
  <c r="S23" i="22"/>
  <c r="S48" i="22"/>
  <c r="S40" i="21"/>
  <c r="S25" i="22"/>
  <c r="S54" i="21"/>
  <c r="S24" i="22"/>
  <c r="S17" i="22"/>
  <c r="S43" i="22"/>
  <c r="S26" i="22"/>
  <c r="S10" i="25"/>
  <c r="S52" i="17"/>
  <c r="S39" i="22"/>
  <c r="S15" i="22"/>
  <c r="M23" i="23"/>
  <c r="M10" i="23"/>
  <c r="M20" i="23"/>
  <c r="M9" i="24"/>
  <c r="M11" i="24"/>
  <c r="M40" i="24"/>
  <c r="M10" i="24"/>
  <c r="M33" i="24"/>
  <c r="M37" i="24"/>
  <c r="M9" i="23"/>
  <c r="M14" i="23"/>
  <c r="M17" i="23"/>
  <c r="M15" i="23"/>
  <c r="K59" i="11"/>
  <c r="K55" i="11"/>
  <c r="M59" i="21"/>
  <c r="M7" i="24"/>
  <c r="M66" i="24"/>
  <c r="M8" i="24"/>
  <c r="M19" i="23"/>
  <c r="K60" i="11"/>
  <c r="M8" i="23"/>
  <c r="M65" i="21"/>
  <c r="M16" i="23"/>
  <c r="M18" i="23"/>
  <c r="R10" i="22"/>
  <c r="R41" i="22"/>
  <c r="R23" i="22"/>
  <c r="R38" i="22"/>
  <c r="R12" i="22"/>
  <c r="R15" i="22"/>
  <c r="R54" i="21"/>
  <c r="R26" i="22"/>
  <c r="R21" i="22"/>
  <c r="R47" i="21"/>
  <c r="R45" i="21"/>
  <c r="R33" i="22"/>
  <c r="R8" i="22"/>
  <c r="R47" i="22"/>
  <c r="R49" i="21"/>
  <c r="R29" i="21"/>
  <c r="R32" i="22"/>
  <c r="R36" i="22"/>
  <c r="R34" i="22"/>
  <c r="R28" i="22"/>
  <c r="R35" i="22"/>
  <c r="O10" i="5"/>
  <c r="R8" i="25"/>
  <c r="P9" i="2"/>
  <c r="I13" i="23"/>
  <c r="G58" i="11"/>
  <c r="G38" i="4"/>
  <c r="I7" i="24"/>
  <c r="I16" i="23"/>
  <c r="I9" i="23"/>
  <c r="I8" i="23"/>
  <c r="I17" i="23"/>
  <c r="I14" i="23"/>
  <c r="I40" i="24"/>
  <c r="I37" i="24"/>
  <c r="I33" i="24"/>
  <c r="G55" i="11"/>
  <c r="I59" i="21"/>
  <c r="I7" i="23"/>
  <c r="I10" i="23"/>
  <c r="I23" i="23"/>
  <c r="I41" i="24"/>
  <c r="I19" i="23"/>
  <c r="G60" i="11"/>
  <c r="I65" i="21"/>
  <c r="I11" i="24"/>
  <c r="I20" i="23"/>
  <c r="I8" i="24"/>
  <c r="I15" i="23"/>
  <c r="G59" i="11"/>
  <c r="I9" i="24"/>
  <c r="Q13" i="23"/>
  <c r="O58" i="11"/>
  <c r="O38" i="4"/>
  <c r="Q9" i="23"/>
  <c r="Q7" i="24"/>
  <c r="Q19" i="23"/>
  <c r="O60" i="11"/>
  <c r="Q10" i="23"/>
  <c r="Q8" i="23"/>
  <c r="Q17" i="23"/>
  <c r="O55" i="11"/>
  <c r="Q59" i="21"/>
  <c r="Q68" i="24"/>
  <c r="Q14" i="23"/>
  <c r="Q65" i="21"/>
  <c r="Q20" i="23"/>
  <c r="Q41" i="24"/>
  <c r="Q33" i="24"/>
  <c r="Q23" i="23"/>
  <c r="Q69" i="24"/>
  <c r="Q16" i="23"/>
  <c r="Q10" i="24"/>
  <c r="Q91" i="24"/>
  <c r="Q7" i="23"/>
  <c r="Q15" i="23"/>
  <c r="O59" i="11"/>
  <c r="Q39" i="24"/>
  <c r="Z24" i="3"/>
  <c r="Z37" i="21"/>
  <c r="Z39" i="22"/>
  <c r="Z47" i="22"/>
  <c r="Z28" i="22"/>
  <c r="Z35" i="22"/>
  <c r="Z32" i="22"/>
  <c r="Z42" i="22"/>
  <c r="Z45" i="22"/>
  <c r="Z44" i="22"/>
  <c r="Z26" i="22"/>
  <c r="Z22" i="22"/>
  <c r="Z49" i="22"/>
  <c r="Z35" i="21"/>
  <c r="Z62" i="21"/>
  <c r="Z41" i="21"/>
  <c r="Z25" i="22"/>
  <c r="W10" i="9"/>
  <c r="Z8" i="26"/>
  <c r="Z43" i="22"/>
  <c r="Z60" i="21"/>
  <c r="X25" i="2"/>
  <c r="Z16" i="22"/>
  <c r="Z31" i="22"/>
  <c r="Z20" i="22"/>
  <c r="X60" i="21"/>
  <c r="V25" i="2"/>
  <c r="X35" i="22"/>
  <c r="X9" i="22"/>
  <c r="X28" i="22"/>
  <c r="X25" i="22"/>
  <c r="X43" i="21"/>
  <c r="X36" i="22"/>
  <c r="X18" i="22"/>
  <c r="X47" i="22"/>
  <c r="X62" i="21"/>
  <c r="X44" i="22"/>
  <c r="X46" i="22"/>
  <c r="X16" i="22"/>
  <c r="X32" i="22"/>
  <c r="X20" i="22"/>
  <c r="X27" i="22"/>
  <c r="X9" i="25"/>
  <c r="X41" i="17"/>
  <c r="X41" i="21"/>
  <c r="X34" i="22"/>
  <c r="X45" i="22"/>
  <c r="X24" i="3"/>
  <c r="X37" i="21"/>
  <c r="X41" i="22"/>
  <c r="T35" i="22"/>
  <c r="T49" i="22"/>
  <c r="T46" i="22"/>
  <c r="T23" i="22"/>
  <c r="T47" i="21"/>
  <c r="T36" i="22"/>
  <c r="T25" i="22"/>
  <c r="T28" i="22"/>
  <c r="T21" i="22"/>
  <c r="T39" i="22"/>
  <c r="T43" i="21"/>
  <c r="T33" i="22"/>
  <c r="T8" i="22"/>
  <c r="T38" i="22"/>
  <c r="T45" i="21"/>
  <c r="T13" i="22"/>
  <c r="T45" i="22"/>
  <c r="T32" i="22"/>
  <c r="T10" i="22"/>
  <c r="Q10" i="5"/>
  <c r="T8" i="25"/>
  <c r="R9" i="2"/>
  <c r="T18" i="22"/>
  <c r="T48" i="22"/>
  <c r="P43" i="22"/>
  <c r="P34" i="22"/>
  <c r="P47" i="22"/>
  <c r="P38" i="22"/>
  <c r="P12" i="22"/>
  <c r="P14" i="22"/>
  <c r="P9" i="25"/>
  <c r="P41" i="17"/>
  <c r="P33" i="22"/>
  <c r="P19" i="22"/>
  <c r="P42" i="22"/>
  <c r="P36" i="22"/>
  <c r="P31" i="21"/>
  <c r="P40" i="22"/>
  <c r="P24" i="22"/>
  <c r="P26" i="22"/>
  <c r="P49" i="22"/>
  <c r="P39" i="22"/>
  <c r="P41" i="22"/>
  <c r="P30" i="22"/>
  <c r="P52" i="21"/>
  <c r="P33" i="21"/>
  <c r="P49" i="21"/>
  <c r="V28" i="22"/>
  <c r="V43" i="22"/>
  <c r="V31" i="22"/>
  <c r="V25" i="22"/>
  <c r="V62" i="21"/>
  <c r="V35" i="22"/>
  <c r="V33" i="22"/>
  <c r="V8" i="22"/>
  <c r="V36" i="22"/>
  <c r="V30" i="22"/>
  <c r="V11" i="22"/>
  <c r="V47" i="22"/>
  <c r="V41" i="21"/>
  <c r="V43" i="21"/>
  <c r="V45" i="21"/>
  <c r="V32" i="22"/>
  <c r="V18" i="22"/>
  <c r="V46" i="22"/>
  <c r="V38" i="22"/>
  <c r="V10" i="25"/>
  <c r="V52" i="17"/>
  <c r="V21" i="22"/>
  <c r="V48" i="22"/>
  <c r="E28" i="22"/>
  <c r="E41" i="22"/>
  <c r="E46" i="22"/>
  <c r="E54" i="21"/>
  <c r="E45" i="22"/>
  <c r="E36" i="21"/>
  <c r="E40" i="22"/>
  <c r="E32" i="22"/>
  <c r="E13" i="22"/>
  <c r="E39" i="22"/>
  <c r="E47" i="22"/>
  <c r="E15" i="22"/>
  <c r="E34" i="21"/>
  <c r="E9" i="25"/>
  <c r="E41" i="17"/>
  <c r="E44" i="22"/>
  <c r="E21" i="22"/>
  <c r="E25" i="22"/>
  <c r="E17" i="22"/>
  <c r="E36" i="22"/>
  <c r="E22" i="22"/>
  <c r="E49" i="22"/>
  <c r="E48" i="22"/>
  <c r="X73" i="24"/>
  <c r="X26" i="24"/>
  <c r="X32" i="24"/>
  <c r="X88" i="24"/>
  <c r="X57" i="24"/>
  <c r="X48" i="24"/>
  <c r="X70" i="24"/>
  <c r="X84" i="24"/>
  <c r="X75" i="24"/>
  <c r="X25" i="24"/>
  <c r="X86" i="24"/>
  <c r="X21" i="24"/>
  <c r="X34" i="25"/>
  <c r="X89" i="17"/>
  <c r="X31" i="24"/>
  <c r="X50" i="24"/>
  <c r="X71" i="24"/>
  <c r="X56" i="24"/>
  <c r="X54" i="24"/>
  <c r="X87" i="24"/>
  <c r="X76" i="24"/>
  <c r="X61" i="24"/>
  <c r="X53" i="24"/>
  <c r="C89" i="24"/>
  <c r="C16" i="24"/>
  <c r="C43" i="24"/>
  <c r="C31" i="24"/>
  <c r="C26" i="24"/>
  <c r="C23" i="24"/>
  <c r="C49" i="24"/>
  <c r="C84" i="24"/>
  <c r="C71" i="24"/>
  <c r="C74" i="24"/>
  <c r="C48" i="24"/>
  <c r="C83" i="24"/>
  <c r="C51" i="24"/>
  <c r="C82" i="24"/>
  <c r="C27" i="24"/>
  <c r="C59" i="24"/>
  <c r="C52" i="24"/>
  <c r="C13" i="24"/>
  <c r="C12" i="24"/>
  <c r="C53" i="24"/>
  <c r="C81" i="24"/>
  <c r="C86" i="24"/>
  <c r="F41" i="21"/>
  <c r="F44" i="22"/>
  <c r="F47" i="22"/>
  <c r="F46" i="22"/>
  <c r="F48" i="22"/>
  <c r="F62" i="21"/>
  <c r="F30" i="22"/>
  <c r="F23" i="22"/>
  <c r="F42" i="22"/>
  <c r="F49" i="22"/>
  <c r="F43" i="22"/>
  <c r="F18" i="22"/>
  <c r="F25" i="22"/>
  <c r="F43" i="21"/>
  <c r="F11" i="22"/>
  <c r="F35" i="22"/>
  <c r="F36" i="22"/>
  <c r="F8" i="22"/>
  <c r="F10" i="25"/>
  <c r="F52" i="17"/>
  <c r="F31" i="22"/>
  <c r="F45" i="21"/>
  <c r="F45" i="22"/>
  <c r="P81" i="24"/>
  <c r="P20" i="24"/>
  <c r="P73" i="24"/>
  <c r="P51" i="24"/>
  <c r="P27" i="26"/>
  <c r="P61" i="24"/>
  <c r="P30" i="26"/>
  <c r="P46" i="24"/>
  <c r="P45" i="24"/>
  <c r="P76" i="24"/>
  <c r="P80" i="24"/>
  <c r="P13" i="24"/>
  <c r="P18" i="24"/>
  <c r="P26" i="26"/>
  <c r="P77" i="24"/>
  <c r="P54" i="24"/>
  <c r="P35" i="25"/>
  <c r="P56" i="24"/>
  <c r="P89" i="24"/>
  <c r="P47" i="24"/>
  <c r="P53" i="24"/>
  <c r="P42" i="24"/>
  <c r="V13" i="24"/>
  <c r="V83" i="24"/>
  <c r="V52" i="24"/>
  <c r="V70" i="24"/>
  <c r="V53" i="24"/>
  <c r="V87" i="24"/>
  <c r="V50" i="24"/>
  <c r="V51" i="24"/>
  <c r="V19" i="24"/>
  <c r="V32" i="26"/>
  <c r="V74" i="24"/>
  <c r="V73" i="24"/>
  <c r="V46" i="24"/>
  <c r="V29" i="24"/>
  <c r="V49" i="24"/>
  <c r="V75" i="24"/>
  <c r="V88" i="24"/>
  <c r="V59" i="24"/>
  <c r="V71" i="24"/>
  <c r="V78" i="24"/>
  <c r="V77" i="24"/>
  <c r="V32" i="24"/>
  <c r="D73" i="24"/>
  <c r="D42" i="24"/>
  <c r="D48" i="24"/>
  <c r="D74" i="24"/>
  <c r="D53" i="24"/>
  <c r="D71" i="24"/>
  <c r="D49" i="24"/>
  <c r="D19" i="24"/>
  <c r="D60" i="24"/>
  <c r="D13" i="24"/>
  <c r="D25" i="24"/>
  <c r="D57" i="24"/>
  <c r="D22" i="24"/>
  <c r="D50" i="24"/>
  <c r="D55" i="24"/>
  <c r="D12" i="24"/>
  <c r="D30" i="24"/>
  <c r="D43" i="24"/>
  <c r="D31" i="24"/>
  <c r="D84" i="24"/>
  <c r="D77" i="24"/>
  <c r="D81" i="24"/>
  <c r="Q45" i="24"/>
  <c r="N14" i="9"/>
  <c r="Q31" i="26"/>
  <c r="Q50" i="24"/>
  <c r="Q43" i="24"/>
  <c r="Q75" i="24"/>
  <c r="Q76" i="24"/>
  <c r="Q53" i="24"/>
  <c r="Q56" i="24"/>
  <c r="Q61" i="24"/>
  <c r="Q80" i="24"/>
  <c r="Q28" i="26"/>
  <c r="Q35" i="25"/>
  <c r="Q23" i="24"/>
  <c r="Q60" i="24"/>
  <c r="Q79" i="24"/>
  <c r="Q27" i="24"/>
  <c r="Q29" i="24"/>
  <c r="Q25" i="24"/>
  <c r="Q47" i="24"/>
  <c r="Q30" i="24"/>
  <c r="Q89" i="24"/>
  <c r="Q17" i="24"/>
  <c r="Y75" i="24"/>
  <c r="Y84" i="24"/>
  <c r="Y34" i="26"/>
  <c r="Y24" i="24"/>
  <c r="Y43" i="24"/>
  <c r="Y55" i="24"/>
  <c r="Y83" i="24"/>
  <c r="Y61" i="24"/>
  <c r="Y76" i="24"/>
  <c r="Y21" i="24"/>
  <c r="Y71" i="24"/>
  <c r="Y53" i="24"/>
  <c r="Y19" i="24"/>
  <c r="Y82" i="24"/>
  <c r="Y70" i="24"/>
  <c r="Y42" i="24"/>
  <c r="Y59" i="24"/>
  <c r="Y52" i="24"/>
  <c r="Y89" i="24"/>
  <c r="Y17" i="24"/>
  <c r="Y54" i="24"/>
  <c r="Y31" i="24"/>
  <c r="J86" i="24"/>
  <c r="J29" i="24"/>
  <c r="J73" i="24"/>
  <c r="J49" i="24"/>
  <c r="J55" i="24"/>
  <c r="J24" i="24"/>
  <c r="J45" i="24"/>
  <c r="J48" i="24"/>
  <c r="J12" i="24"/>
  <c r="J84" i="24"/>
  <c r="J47" i="24"/>
  <c r="J79" i="24"/>
  <c r="J23" i="24"/>
  <c r="J83" i="24"/>
  <c r="J30" i="24"/>
  <c r="J50" i="24"/>
  <c r="J70" i="24"/>
  <c r="J82" i="24"/>
  <c r="J59" i="24"/>
  <c r="J60" i="24"/>
  <c r="J42" i="24"/>
  <c r="J53" i="24"/>
  <c r="T48" i="24"/>
  <c r="T80" i="24"/>
  <c r="T31" i="24"/>
  <c r="T47" i="24"/>
  <c r="T51" i="24"/>
  <c r="T75" i="24"/>
  <c r="T74" i="24"/>
  <c r="T73" i="24"/>
  <c r="T43" i="24"/>
  <c r="T79" i="24"/>
  <c r="T19" i="24"/>
  <c r="T45" i="24"/>
  <c r="T17" i="24"/>
  <c r="T34" i="25"/>
  <c r="T89" i="17"/>
  <c r="T76" i="24"/>
  <c r="T61" i="24"/>
  <c r="T56" i="24"/>
  <c r="T22" i="24"/>
  <c r="T13" i="24"/>
  <c r="T77" i="24"/>
  <c r="T89" i="24"/>
  <c r="T27" i="24"/>
  <c r="I59" i="24"/>
  <c r="I80" i="24"/>
  <c r="I78" i="24"/>
  <c r="I57" i="24"/>
  <c r="I77" i="24"/>
  <c r="I83" i="24"/>
  <c r="I84" i="24"/>
  <c r="I54" i="24"/>
  <c r="I31" i="24"/>
  <c r="I55" i="24"/>
  <c r="I56" i="24"/>
  <c r="I60" i="24"/>
  <c r="I43" i="24"/>
  <c r="I82" i="24"/>
  <c r="I71" i="24"/>
  <c r="I21" i="24"/>
  <c r="I70" i="24"/>
  <c r="I17" i="24"/>
  <c r="I79" i="24"/>
  <c r="I45" i="24"/>
  <c r="I46" i="24"/>
  <c r="I24" i="24"/>
  <c r="F79" i="24"/>
  <c r="F51" i="24"/>
  <c r="F54" i="24"/>
  <c r="F73" i="24"/>
  <c r="F19" i="24"/>
  <c r="F53" i="24"/>
  <c r="F88" i="24"/>
  <c r="F25" i="24"/>
  <c r="F87" i="24"/>
  <c r="F83" i="24"/>
  <c r="F32" i="24"/>
  <c r="F35" i="25"/>
  <c r="F52" i="24"/>
  <c r="F59" i="24"/>
  <c r="F29" i="24"/>
  <c r="F82" i="24"/>
  <c r="F42" i="24"/>
  <c r="F74" i="24"/>
  <c r="F48" i="24"/>
  <c r="F31" i="24"/>
  <c r="F71" i="24"/>
  <c r="F55" i="24"/>
  <c r="AA24" i="24"/>
  <c r="AA59" i="24"/>
  <c r="AA52" i="24"/>
  <c r="AA48" i="24"/>
  <c r="AA15" i="24"/>
  <c r="AA31" i="24"/>
  <c r="AA73" i="24"/>
  <c r="AA74" i="24"/>
  <c r="AA87" i="24"/>
  <c r="AA23" i="24"/>
  <c r="AA18" i="24"/>
  <c r="AA30" i="24"/>
  <c r="AA35" i="26"/>
  <c r="AA82" i="24"/>
  <c r="AA76" i="24"/>
  <c r="AA86" i="24"/>
  <c r="AA75" i="24"/>
  <c r="AA21" i="24"/>
  <c r="AA81" i="24"/>
  <c r="AA54" i="24"/>
  <c r="AA61" i="24"/>
  <c r="AA32" i="24"/>
  <c r="R74" i="24"/>
  <c r="R81" i="24"/>
  <c r="R46" i="24"/>
  <c r="R16" i="24"/>
  <c r="R51" i="24"/>
  <c r="R19" i="24"/>
  <c r="R78" i="24"/>
  <c r="R47" i="24"/>
  <c r="R75" i="24"/>
  <c r="R76" i="24"/>
  <c r="R87" i="24"/>
  <c r="R20" i="24"/>
  <c r="R54" i="24"/>
  <c r="R22" i="24"/>
  <c r="R24" i="24"/>
  <c r="R77" i="24"/>
  <c r="R56" i="24"/>
  <c r="R79" i="24"/>
  <c r="R57" i="24"/>
  <c r="R32" i="24"/>
  <c r="R55" i="24"/>
  <c r="R88" i="24"/>
  <c r="Z54" i="24"/>
  <c r="Z51" i="24"/>
  <c r="Z59" i="24"/>
  <c r="Z70" i="24"/>
  <c r="Z60" i="24"/>
  <c r="Z84" i="24"/>
  <c r="Z46" i="24"/>
  <c r="Z75" i="24"/>
  <c r="Z24" i="24"/>
  <c r="Z86" i="24"/>
  <c r="Z55" i="24"/>
  <c r="Z48" i="24"/>
  <c r="Z29" i="24"/>
  <c r="Z45" i="24"/>
  <c r="Z52" i="24"/>
  <c r="Z74" i="24"/>
  <c r="Z88" i="24"/>
  <c r="Z53" i="24"/>
  <c r="Z16" i="24"/>
  <c r="Z83" i="24"/>
  <c r="Z82" i="24"/>
  <c r="Z32" i="24"/>
  <c r="M34" i="25"/>
  <c r="M89" i="17"/>
  <c r="M48" i="24"/>
  <c r="M61" i="24"/>
  <c r="M20" i="24"/>
  <c r="M70" i="24"/>
  <c r="M27" i="24"/>
  <c r="M18" i="24"/>
  <c r="M30" i="24"/>
  <c r="M12" i="24"/>
  <c r="M83" i="24"/>
  <c r="M17" i="24"/>
  <c r="M75" i="24"/>
  <c r="M56" i="24"/>
  <c r="M46" i="24"/>
  <c r="M50" i="24"/>
  <c r="M59" i="24"/>
  <c r="M51" i="24"/>
  <c r="M76" i="24"/>
  <c r="M78" i="24"/>
  <c r="M79" i="24"/>
  <c r="M29" i="24"/>
  <c r="M49" i="24"/>
  <c r="E75" i="24"/>
  <c r="E51" i="24"/>
  <c r="E84" i="24"/>
  <c r="E55" i="24"/>
  <c r="E52" i="24"/>
  <c r="E82" i="24"/>
  <c r="E89" i="24"/>
  <c r="E61" i="24"/>
  <c r="E87" i="24"/>
  <c r="E46" i="24"/>
  <c r="E45" i="24"/>
  <c r="E21" i="24"/>
  <c r="E49" i="24"/>
  <c r="E70" i="24"/>
  <c r="E80" i="24"/>
  <c r="E88" i="24"/>
  <c r="E81" i="24"/>
  <c r="E71" i="24"/>
  <c r="E43" i="24"/>
  <c r="E60" i="24"/>
  <c r="E76" i="24"/>
  <c r="E83" i="24"/>
  <c r="J27" i="22"/>
  <c r="J41" i="21"/>
  <c r="J16" i="22"/>
  <c r="J10" i="26"/>
  <c r="J42" i="22"/>
  <c r="J31" i="22"/>
  <c r="J18" i="22"/>
  <c r="J26" i="22"/>
  <c r="J44" i="22"/>
  <c r="J40" i="22"/>
  <c r="J34" i="22"/>
  <c r="J46" i="22"/>
  <c r="J62" i="21"/>
  <c r="J25" i="22"/>
  <c r="J32" i="22"/>
  <c r="J45" i="22"/>
  <c r="J60" i="21"/>
  <c r="H25" i="2"/>
  <c r="J49" i="22"/>
  <c r="J24" i="3"/>
  <c r="J37" i="21"/>
  <c r="J39" i="22"/>
  <c r="J22" i="22"/>
  <c r="J43" i="22"/>
  <c r="U60" i="24"/>
  <c r="U25" i="24"/>
  <c r="U56" i="24"/>
  <c r="U75" i="24"/>
  <c r="U50" i="24"/>
  <c r="U47" i="24"/>
  <c r="U84" i="24"/>
  <c r="U21" i="24"/>
  <c r="U76" i="24"/>
  <c r="U45" i="24"/>
  <c r="U49" i="24"/>
  <c r="U71" i="24"/>
  <c r="U87" i="24"/>
  <c r="U70" i="24"/>
  <c r="U26" i="24"/>
  <c r="U88" i="24"/>
  <c r="U79" i="24"/>
  <c r="U51" i="24"/>
  <c r="U89" i="24"/>
  <c r="U55" i="24"/>
  <c r="U59" i="24"/>
  <c r="U30" i="24"/>
  <c r="H16" i="24"/>
  <c r="H43" i="24"/>
  <c r="H29" i="24"/>
  <c r="H75" i="24"/>
  <c r="H86" i="24"/>
  <c r="H53" i="24"/>
  <c r="H31" i="24"/>
  <c r="H70" i="24"/>
  <c r="H30" i="24"/>
  <c r="H88" i="24"/>
  <c r="H51" i="24"/>
  <c r="H50" i="24"/>
  <c r="H26" i="24"/>
  <c r="H81" i="24"/>
  <c r="H71" i="24"/>
  <c r="H87" i="24"/>
  <c r="H55" i="24"/>
  <c r="H42" i="24"/>
  <c r="H52" i="24"/>
  <c r="H84" i="24"/>
  <c r="H73" i="24"/>
  <c r="H80" i="24"/>
  <c r="G45" i="24"/>
  <c r="G81" i="24"/>
  <c r="G15" i="24"/>
  <c r="G86" i="24"/>
  <c r="G73" i="24"/>
  <c r="G50" i="24"/>
  <c r="G19" i="24"/>
  <c r="G24" i="24"/>
  <c r="G87" i="24"/>
  <c r="G43" i="24"/>
  <c r="G60" i="24"/>
  <c r="G61" i="24"/>
  <c r="G57" i="24"/>
  <c r="G18" i="24"/>
  <c r="G27" i="24"/>
  <c r="G82" i="24"/>
  <c r="G21" i="24"/>
  <c r="G56" i="24"/>
  <c r="G49" i="24"/>
  <c r="G74" i="24"/>
  <c r="G59" i="24"/>
  <c r="G53" i="24"/>
  <c r="O46" i="22"/>
  <c r="O15" i="22"/>
  <c r="O26" i="22"/>
  <c r="O30" i="22"/>
  <c r="O38" i="22"/>
  <c r="O44" i="21"/>
  <c r="O33" i="22"/>
  <c r="O17" i="22"/>
  <c r="O36" i="22"/>
  <c r="O21" i="22"/>
  <c r="O40" i="21"/>
  <c r="O19" i="22"/>
  <c r="O40" i="22"/>
  <c r="O35" i="22"/>
  <c r="O47" i="22"/>
  <c r="O45" i="22"/>
  <c r="O42" i="21"/>
  <c r="O10" i="22"/>
  <c r="O28" i="22"/>
  <c r="O10" i="25"/>
  <c r="O52" i="17"/>
  <c r="O42" i="22"/>
  <c r="O39" i="22"/>
  <c r="W26" i="24"/>
  <c r="W59" i="24"/>
  <c r="W49" i="24"/>
  <c r="W86" i="24"/>
  <c r="W46" i="24"/>
  <c r="W79" i="24"/>
  <c r="W22" i="24"/>
  <c r="W34" i="25"/>
  <c r="W89" i="17"/>
  <c r="W78" i="24"/>
  <c r="W61" i="24"/>
  <c r="W31" i="24"/>
  <c r="W56" i="24"/>
  <c r="W27" i="24"/>
  <c r="W73" i="24"/>
  <c r="W60" i="24"/>
  <c r="W77" i="24"/>
  <c r="W47" i="24"/>
  <c r="W48" i="24"/>
  <c r="W19" i="24"/>
  <c r="W87" i="24"/>
  <c r="W54" i="24"/>
  <c r="W55" i="24"/>
  <c r="O77" i="24"/>
  <c r="O76" i="24"/>
  <c r="O89" i="24"/>
  <c r="O23" i="24"/>
  <c r="O27" i="24"/>
  <c r="O49" i="24"/>
  <c r="O15" i="24"/>
  <c r="O81" i="24"/>
  <c r="O82" i="24"/>
  <c r="O21" i="24"/>
  <c r="O57" i="24"/>
  <c r="O74" i="24"/>
  <c r="O54" i="24"/>
  <c r="O88" i="24"/>
  <c r="O56" i="24"/>
  <c r="O52" i="24"/>
  <c r="O59" i="24"/>
  <c r="O32" i="24"/>
  <c r="O78" i="24"/>
  <c r="O55" i="24"/>
  <c r="O50" i="24"/>
  <c r="O53" i="24"/>
  <c r="K14" i="22"/>
  <c r="K44" i="21"/>
  <c r="K42" i="22"/>
  <c r="K49" i="22"/>
  <c r="K40" i="22"/>
  <c r="K34" i="22"/>
  <c r="K46" i="22"/>
  <c r="K24" i="22"/>
  <c r="K20" i="22"/>
  <c r="K9" i="22"/>
  <c r="K28" i="21"/>
  <c r="K27" i="22"/>
  <c r="K22" i="22"/>
  <c r="K35" i="22"/>
  <c r="K33" i="22"/>
  <c r="K43" i="22"/>
  <c r="K11" i="22"/>
  <c r="K48" i="22"/>
  <c r="K41" i="22"/>
  <c r="K48" i="21"/>
  <c r="K46" i="21"/>
  <c r="K9" i="25"/>
  <c r="K41" i="17"/>
  <c r="D20" i="25"/>
  <c r="D13" i="25"/>
  <c r="D7" i="24"/>
  <c r="D14" i="28"/>
  <c r="D19" i="26"/>
  <c r="D40" i="24"/>
  <c r="D69" i="24"/>
  <c r="D37" i="24"/>
  <c r="D68" i="24"/>
  <c r="D91" i="24"/>
  <c r="D67" i="24"/>
  <c r="D15" i="25"/>
  <c r="D13" i="26"/>
  <c r="D12" i="26"/>
  <c r="D20" i="26"/>
  <c r="D90" i="24"/>
  <c r="D15" i="26"/>
  <c r="D14" i="23"/>
  <c r="D16" i="25"/>
  <c r="D41" i="24"/>
  <c r="D62" i="24"/>
  <c r="D9" i="28"/>
  <c r="S23" i="24"/>
  <c r="S53" i="24"/>
  <c r="S89" i="24"/>
  <c r="S25" i="24"/>
  <c r="S82" i="24"/>
  <c r="S86" i="24"/>
  <c r="S50" i="24"/>
  <c r="S71" i="24"/>
  <c r="S32" i="24"/>
  <c r="S61" i="24"/>
  <c r="S54" i="24"/>
  <c r="S74" i="24"/>
  <c r="S26" i="24"/>
  <c r="S25" i="26"/>
  <c r="S46" i="24"/>
  <c r="S27" i="24"/>
  <c r="S47" i="24"/>
  <c r="S78" i="24"/>
  <c r="S49" i="24"/>
  <c r="S51" i="24"/>
  <c r="S19" i="24"/>
  <c r="S81" i="24"/>
  <c r="M12" i="22"/>
  <c r="M9" i="22"/>
  <c r="M49" i="22"/>
  <c r="M43" i="22"/>
  <c r="M46" i="21"/>
  <c r="M40" i="22"/>
  <c r="M31" i="22"/>
  <c r="M34" i="22"/>
  <c r="M20" i="22"/>
  <c r="M42" i="21"/>
  <c r="M41" i="22"/>
  <c r="M48" i="22"/>
  <c r="M32" i="22"/>
  <c r="M47" i="22"/>
  <c r="M39" i="22"/>
  <c r="M30" i="22"/>
  <c r="M44" i="22"/>
  <c r="M10" i="26"/>
  <c r="M42" i="22"/>
  <c r="M44" i="21"/>
  <c r="M38" i="22"/>
  <c r="M24" i="22"/>
  <c r="L44" i="22"/>
  <c r="L24" i="3"/>
  <c r="L37" i="21"/>
  <c r="L23" i="22"/>
  <c r="L12" i="22"/>
  <c r="L35" i="21"/>
  <c r="L47" i="22"/>
  <c r="L42" i="22"/>
  <c r="L27" i="22"/>
  <c r="L24" i="22"/>
  <c r="L41" i="22"/>
  <c r="L31" i="22"/>
  <c r="L60" i="21"/>
  <c r="J25" i="2"/>
  <c r="L16" i="22"/>
  <c r="L18" i="22"/>
  <c r="L39" i="22"/>
  <c r="L10" i="25"/>
  <c r="L52" i="17"/>
  <c r="L22" i="22"/>
  <c r="L30" i="22"/>
  <c r="L14" i="22"/>
  <c r="L52" i="21"/>
  <c r="L40" i="22"/>
  <c r="L34" i="22"/>
  <c r="K45" i="24"/>
  <c r="K82" i="24"/>
  <c r="K25" i="24"/>
  <c r="K15" i="24"/>
  <c r="K86" i="24"/>
  <c r="K32" i="24"/>
  <c r="K46" i="24"/>
  <c r="K23" i="24"/>
  <c r="K21" i="24"/>
  <c r="K42" i="24"/>
  <c r="K29" i="24"/>
  <c r="K50" i="24"/>
  <c r="K59" i="24"/>
  <c r="K53" i="24"/>
  <c r="K43" i="24"/>
  <c r="K81" i="24"/>
  <c r="K78" i="24"/>
  <c r="K87" i="24"/>
  <c r="K18" i="24"/>
  <c r="K54" i="24"/>
  <c r="K80" i="24"/>
  <c r="K56" i="24"/>
  <c r="L22" i="24"/>
  <c r="L57" i="24"/>
  <c r="L43" i="24"/>
  <c r="L26" i="24"/>
  <c r="L30" i="24"/>
  <c r="L83" i="24"/>
  <c r="L77" i="24"/>
  <c r="L46" i="24"/>
  <c r="L70" i="24"/>
  <c r="L82" i="24"/>
  <c r="L48" i="24"/>
  <c r="L45" i="24"/>
  <c r="L49" i="24"/>
  <c r="L53" i="24"/>
  <c r="L24" i="24"/>
  <c r="L71" i="24"/>
  <c r="L52" i="24"/>
  <c r="L84" i="24"/>
  <c r="L80" i="24"/>
  <c r="L76" i="24"/>
  <c r="L86" i="24"/>
  <c r="L31" i="24"/>
  <c r="N75" i="24"/>
  <c r="N45" i="24"/>
  <c r="N46" i="24"/>
  <c r="N70" i="24"/>
  <c r="N53" i="24"/>
  <c r="N59" i="24"/>
  <c r="N27" i="24"/>
  <c r="N78" i="24"/>
  <c r="N20" i="24"/>
  <c r="N83" i="24"/>
  <c r="N81" i="24"/>
  <c r="N29" i="24"/>
  <c r="N56" i="24"/>
  <c r="N80" i="24"/>
  <c r="N79" i="24"/>
  <c r="N86" i="24"/>
  <c r="N82" i="24"/>
  <c r="N54" i="24"/>
  <c r="N47" i="24"/>
  <c r="N48" i="24"/>
  <c r="N50" i="24"/>
  <c r="N35" i="25"/>
  <c r="N41" i="22"/>
  <c r="N21" i="22"/>
  <c r="N16" i="22"/>
  <c r="N34" i="22"/>
  <c r="N26" i="22"/>
  <c r="N40" i="22"/>
  <c r="N52" i="21"/>
  <c r="N49" i="22"/>
  <c r="N33" i="21"/>
  <c r="N49" i="21"/>
  <c r="N24" i="22"/>
  <c r="N35" i="21"/>
  <c r="N14" i="22"/>
  <c r="N33" i="22"/>
  <c r="N10" i="26"/>
  <c r="N30" i="22"/>
  <c r="N38" i="22"/>
  <c r="N22" i="22"/>
  <c r="N39" i="22"/>
  <c r="N12" i="22"/>
  <c r="N27" i="22"/>
  <c r="N45" i="22"/>
  <c r="V20" i="25"/>
  <c r="V13" i="26"/>
  <c r="V12" i="25"/>
  <c r="V65" i="24"/>
  <c r="V69" i="24"/>
  <c r="V66" i="24"/>
  <c r="V62" i="24"/>
  <c r="V67" i="24"/>
  <c r="V16" i="26"/>
  <c r="V8" i="28"/>
  <c r="V20" i="26"/>
  <c r="V15" i="26"/>
  <c r="V19" i="25"/>
  <c r="V11" i="24"/>
  <c r="V33" i="24"/>
  <c r="V10" i="23"/>
  <c r="V23" i="23"/>
  <c r="V39" i="24"/>
  <c r="V12" i="26"/>
  <c r="V90" i="24"/>
  <c r="V18" i="25"/>
  <c r="V16" i="25"/>
  <c r="J14" i="28"/>
  <c r="J13" i="25"/>
  <c r="J20" i="25"/>
  <c r="J62" i="24"/>
  <c r="J33" i="24"/>
  <c r="J37" i="24"/>
  <c r="J23" i="23"/>
  <c r="J67" i="24"/>
  <c r="J90" i="24"/>
  <c r="J91" i="24"/>
  <c r="J19" i="25"/>
  <c r="J65" i="24"/>
  <c r="J7" i="24"/>
  <c r="J20" i="26"/>
  <c r="J38" i="24"/>
  <c r="J12" i="25"/>
  <c r="J9" i="28"/>
  <c r="J15" i="25"/>
  <c r="J11" i="28"/>
  <c r="J18" i="25"/>
  <c r="J12" i="26"/>
  <c r="J40" i="24"/>
  <c r="D45" i="24"/>
  <c r="D89" i="24"/>
  <c r="D24" i="24"/>
  <c r="D34" i="25"/>
  <c r="D89" i="17"/>
  <c r="D35" i="25"/>
  <c r="D79" i="24"/>
  <c r="D35" i="26"/>
  <c r="D76" i="24"/>
  <c r="D61" i="24"/>
  <c r="D34" i="26"/>
  <c r="D7" i="27"/>
  <c r="D91" i="17"/>
  <c r="D8" i="27"/>
  <c r="D87" i="24"/>
  <c r="D83" i="24"/>
  <c r="D26" i="26"/>
  <c r="D16" i="27"/>
  <c r="D30" i="25"/>
  <c r="D75" i="24"/>
  <c r="D47" i="24"/>
  <c r="D25" i="26"/>
  <c r="D21" i="27"/>
  <c r="D80" i="24"/>
  <c r="D52" i="24"/>
  <c r="F40" i="24"/>
  <c r="F90" i="24"/>
  <c r="F13" i="25"/>
  <c r="F66" i="24"/>
  <c r="F41" i="24"/>
  <c r="F12" i="25"/>
  <c r="F19" i="25"/>
  <c r="F20" i="25"/>
  <c r="F62" i="24"/>
  <c r="F67" i="24"/>
  <c r="F69" i="24"/>
  <c r="F10" i="23"/>
  <c r="F13" i="26"/>
  <c r="F6" i="28"/>
  <c r="F65" i="24"/>
  <c r="F33" i="24"/>
  <c r="F12" i="26"/>
  <c r="F91" i="24"/>
  <c r="F16" i="25"/>
  <c r="F20" i="26"/>
  <c r="F15" i="26"/>
  <c r="F11" i="24"/>
  <c r="M19" i="25"/>
  <c r="M65" i="24"/>
  <c r="M19" i="26"/>
  <c r="M15" i="26"/>
  <c r="M68" i="24"/>
  <c r="M41" i="24"/>
  <c r="M24" i="23"/>
  <c r="M22" i="30"/>
  <c r="M15" i="25"/>
  <c r="M91" i="24"/>
  <c r="M38" i="24"/>
  <c r="M18" i="25"/>
  <c r="M13" i="23"/>
  <c r="K58" i="11"/>
  <c r="K38" i="4"/>
  <c r="M12" i="26"/>
  <c r="M13" i="25"/>
  <c r="M12" i="25"/>
  <c r="M67" i="24"/>
  <c r="M34" i="24"/>
  <c r="M90" i="24"/>
  <c r="M20" i="25"/>
  <c r="M16" i="26"/>
  <c r="M39" i="24"/>
  <c r="M18" i="26"/>
  <c r="K16" i="25"/>
  <c r="K20" i="26"/>
  <c r="K24" i="23"/>
  <c r="K22" i="30"/>
  <c r="K68" i="24"/>
  <c r="K8" i="28"/>
  <c r="K69" i="24"/>
  <c r="K15" i="23"/>
  <c r="I59" i="11"/>
  <c r="K41" i="24"/>
  <c r="K62" i="24"/>
  <c r="K12" i="26"/>
  <c r="K20" i="25"/>
  <c r="K8" i="24"/>
  <c r="K12" i="25"/>
  <c r="K67" i="24"/>
  <c r="K18" i="26"/>
  <c r="K37" i="24"/>
  <c r="K15" i="25"/>
  <c r="K19" i="26"/>
  <c r="K91" i="24"/>
  <c r="K18" i="25"/>
  <c r="K90" i="24"/>
  <c r="K38" i="24"/>
  <c r="O68" i="24"/>
  <c r="M34" i="29"/>
  <c r="O12" i="25"/>
  <c r="O34" i="24"/>
  <c r="O66" i="24"/>
  <c r="O16" i="26"/>
  <c r="O15" i="26"/>
  <c r="O10" i="24"/>
  <c r="O91" i="24"/>
  <c r="O69" i="24"/>
  <c r="O15" i="25"/>
  <c r="O65" i="24"/>
  <c r="O12" i="26"/>
  <c r="O16" i="25"/>
  <c r="O19" i="25"/>
  <c r="O19" i="26"/>
  <c r="O11" i="28"/>
  <c r="O90" i="24"/>
  <c r="O18" i="25"/>
  <c r="O41" i="24"/>
  <c r="O62" i="24"/>
  <c r="O9" i="23"/>
  <c r="G16" i="25"/>
  <c r="G40" i="24"/>
  <c r="G12" i="26"/>
  <c r="G13" i="25"/>
  <c r="G19" i="23"/>
  <c r="E60" i="11"/>
  <c r="G39" i="24"/>
  <c r="G19" i="26"/>
  <c r="G62" i="24"/>
  <c r="G67" i="24"/>
  <c r="G7" i="24"/>
  <c r="G18" i="25"/>
  <c r="G37" i="24"/>
  <c r="G90" i="24"/>
  <c r="G13" i="26"/>
  <c r="G13" i="23"/>
  <c r="E58" i="11"/>
  <c r="E38" i="4"/>
  <c r="G20" i="25"/>
  <c r="G12" i="25"/>
  <c r="G91" i="24"/>
  <c r="G20" i="26"/>
  <c r="G6" i="28"/>
  <c r="G38" i="24"/>
  <c r="G68" i="24"/>
  <c r="I65" i="24"/>
  <c r="I14" i="28"/>
  <c r="I12" i="25"/>
  <c r="I39" i="24"/>
  <c r="I18" i="26"/>
  <c r="I90" i="24"/>
  <c r="I10" i="24"/>
  <c r="I20" i="25"/>
  <c r="I19" i="25"/>
  <c r="I69" i="24"/>
  <c r="I38" i="24"/>
  <c r="I67" i="24"/>
  <c r="I18" i="25"/>
  <c r="I12" i="26"/>
  <c r="I20" i="26"/>
  <c r="I11" i="28"/>
  <c r="I15" i="25"/>
  <c r="I13" i="26"/>
  <c r="I34" i="24"/>
  <c r="I13" i="25"/>
  <c r="I66" i="24"/>
  <c r="I19" i="26"/>
  <c r="X60" i="24"/>
  <c r="X42" i="24"/>
  <c r="X10" i="27"/>
  <c r="X25" i="25"/>
  <c r="X35" i="25"/>
  <c r="X80" i="24"/>
  <c r="X51" i="24"/>
  <c r="X77" i="24"/>
  <c r="X22" i="27"/>
  <c r="X89" i="24"/>
  <c r="X82" i="24"/>
  <c r="X81" i="24"/>
  <c r="X17" i="30"/>
  <c r="X7" i="27"/>
  <c r="X91" i="17"/>
  <c r="X25" i="26"/>
  <c r="U14" i="9"/>
  <c r="X31" i="26"/>
  <c r="X32" i="26"/>
  <c r="X26" i="26"/>
  <c r="X28" i="26"/>
  <c r="X47" i="24"/>
  <c r="X30" i="26"/>
  <c r="X79" i="24"/>
  <c r="X20" i="24"/>
  <c r="Q34" i="24"/>
  <c r="Q38" i="24"/>
  <c r="Q6" i="28"/>
  <c r="Q11" i="24"/>
  <c r="Q15" i="25"/>
  <c r="Q12" i="25"/>
  <c r="Q19" i="25"/>
  <c r="Q18" i="26"/>
  <c r="Q13" i="26"/>
  <c r="Q13" i="25"/>
  <c r="Q16" i="26"/>
  <c r="Q14" i="28"/>
  <c r="Q16" i="25"/>
  <c r="Q62" i="24"/>
  <c r="Q12" i="26"/>
  <c r="Q18" i="23"/>
  <c r="Q37" i="24"/>
  <c r="Q66" i="24"/>
  <c r="Q8" i="24"/>
  <c r="Q67" i="24"/>
  <c r="Q10" i="28"/>
  <c r="Q20" i="25"/>
  <c r="E77" i="24"/>
  <c r="E47" i="24"/>
  <c r="E27" i="26"/>
  <c r="E42" i="24"/>
  <c r="E35" i="26"/>
  <c r="E32" i="24"/>
  <c r="E74" i="24"/>
  <c r="E15" i="24"/>
  <c r="E31" i="26"/>
  <c r="E34" i="25"/>
  <c r="E89" i="17"/>
  <c r="E30" i="26"/>
  <c r="E22" i="27"/>
  <c r="E30" i="24"/>
  <c r="E8" i="27"/>
  <c r="E79" i="24"/>
  <c r="E6" i="27"/>
  <c r="E54" i="24"/>
  <c r="E25" i="26"/>
  <c r="E35" i="25"/>
  <c r="E56" i="24"/>
  <c r="E26" i="26"/>
  <c r="E10" i="27"/>
  <c r="E25" i="25"/>
  <c r="AA23" i="23"/>
  <c r="AA10" i="28"/>
  <c r="AA12" i="26"/>
  <c r="AA16" i="25"/>
  <c r="AA90" i="24"/>
  <c r="AA62" i="24"/>
  <c r="AA13" i="26"/>
  <c r="AA15" i="26"/>
  <c r="AA91" i="24"/>
  <c r="AA20" i="26"/>
  <c r="AA67" i="24"/>
  <c r="AA37" i="24"/>
  <c r="AA15" i="25"/>
  <c r="AA20" i="25"/>
  <c r="AA65" i="24"/>
  <c r="AA8" i="24"/>
  <c r="AA19" i="26"/>
  <c r="AA69" i="24"/>
  <c r="AA68" i="24"/>
  <c r="AA18" i="25"/>
  <c r="AA40" i="24"/>
  <c r="AA39" i="24"/>
  <c r="N38" i="24"/>
  <c r="N19" i="26"/>
  <c r="N16" i="25"/>
  <c r="N20" i="26"/>
  <c r="N15" i="25"/>
  <c r="N12" i="25"/>
  <c r="N91" i="24"/>
  <c r="N68" i="24"/>
  <c r="N19" i="25"/>
  <c r="N62" i="24"/>
  <c r="N67" i="24"/>
  <c r="N37" i="24"/>
  <c r="N40" i="24"/>
  <c r="N90" i="24"/>
  <c r="N9" i="28"/>
  <c r="N13" i="25"/>
  <c r="N18" i="25"/>
  <c r="N69" i="24"/>
  <c r="N34" i="24"/>
  <c r="N16" i="26"/>
  <c r="N66" i="24"/>
  <c r="N20" i="23"/>
  <c r="C26" i="26"/>
  <c r="C54" i="24"/>
  <c r="C32" i="26"/>
  <c r="C42" i="24"/>
  <c r="C60" i="24"/>
  <c r="C17" i="24"/>
  <c r="C7" i="27"/>
  <c r="C91" i="17"/>
  <c r="C50" i="24"/>
  <c r="C78" i="24"/>
  <c r="C45" i="24"/>
  <c r="C8" i="27"/>
  <c r="C56" i="24"/>
  <c r="C57" i="24"/>
  <c r="C32" i="24"/>
  <c r="C21" i="27"/>
  <c r="C77" i="24"/>
  <c r="C18" i="27"/>
  <c r="C32" i="25"/>
  <c r="C35" i="25"/>
  <c r="C34" i="26"/>
  <c r="C25" i="26"/>
  <c r="C76" i="24"/>
  <c r="C79" i="24"/>
  <c r="P90" i="24"/>
  <c r="P16" i="25"/>
  <c r="P34" i="24"/>
  <c r="P18" i="26"/>
  <c r="P67" i="24"/>
  <c r="P12" i="26"/>
  <c r="P6" i="28"/>
  <c r="P13" i="25"/>
  <c r="P37" i="24"/>
  <c r="P15" i="25"/>
  <c r="P68" i="24"/>
  <c r="P19" i="26"/>
  <c r="P66" i="24"/>
  <c r="P12" i="25"/>
  <c r="P62" i="24"/>
  <c r="P11" i="24"/>
  <c r="P16" i="26"/>
  <c r="P8" i="28"/>
  <c r="P18" i="23"/>
  <c r="P91" i="24"/>
  <c r="P19" i="25"/>
  <c r="P20" i="25"/>
  <c r="C40" i="24"/>
  <c r="C67" i="24"/>
  <c r="C18" i="25"/>
  <c r="C69" i="24"/>
  <c r="C39" i="24"/>
  <c r="C90" i="24"/>
  <c r="C41" i="24"/>
  <c r="C13" i="26"/>
  <c r="C34" i="24"/>
  <c r="C13" i="28"/>
  <c r="C92" i="17"/>
  <c r="C12" i="25"/>
  <c r="C91" i="24"/>
  <c r="C62" i="24"/>
  <c r="C19" i="25"/>
  <c r="C20" i="25"/>
  <c r="C66" i="24"/>
  <c r="C15" i="26"/>
  <c r="C65" i="24"/>
  <c r="C16" i="25"/>
  <c r="C20" i="26"/>
  <c r="C13" i="25"/>
  <c r="C68" i="24"/>
  <c r="L39" i="24"/>
  <c r="L15" i="25"/>
  <c r="L62" i="24"/>
  <c r="L90" i="24"/>
  <c r="L18" i="26"/>
  <c r="L9" i="24"/>
  <c r="L12" i="26"/>
  <c r="L13" i="26"/>
  <c r="L8" i="28"/>
  <c r="L33" i="24"/>
  <c r="L69" i="24"/>
  <c r="L19" i="26"/>
  <c r="L20" i="25"/>
  <c r="L65" i="24"/>
  <c r="L19" i="25"/>
  <c r="L34" i="24"/>
  <c r="L18" i="25"/>
  <c r="L12" i="25"/>
  <c r="L16" i="25"/>
  <c r="L66" i="24"/>
  <c r="L6" i="28"/>
  <c r="L67" i="24"/>
  <c r="S69" i="24"/>
  <c r="Q34" i="29"/>
  <c r="S19" i="26"/>
  <c r="S65" i="24"/>
  <c r="S62" i="24"/>
  <c r="S15" i="26"/>
  <c r="S41" i="24"/>
  <c r="S68" i="24"/>
  <c r="S20" i="25"/>
  <c r="S90" i="24"/>
  <c r="S91" i="24"/>
  <c r="S13" i="25"/>
  <c r="S19" i="25"/>
  <c r="S8" i="24"/>
  <c r="S13" i="26"/>
  <c r="S66" i="24"/>
  <c r="S67" i="24"/>
  <c r="S11" i="28"/>
  <c r="S34" i="24"/>
  <c r="S16" i="25"/>
  <c r="S40" i="24"/>
  <c r="S18" i="25"/>
  <c r="Q52" i="24"/>
  <c r="Q27" i="26"/>
  <c r="Q59" i="24"/>
  <c r="Q6" i="27"/>
  <c r="Q70" i="24"/>
  <c r="Q46" i="24"/>
  <c r="Q35" i="26"/>
  <c r="Q34" i="25"/>
  <c r="Q89" i="17"/>
  <c r="Q87" i="24"/>
  <c r="Q86" i="24"/>
  <c r="Q19" i="24"/>
  <c r="Q78" i="24"/>
  <c r="Q83" i="24"/>
  <c r="Q30" i="26"/>
  <c r="Q54" i="24"/>
  <c r="Q81" i="24"/>
  <c r="Q73" i="24"/>
  <c r="Q82" i="24"/>
  <c r="Q71" i="24"/>
  <c r="Q84" i="24"/>
  <c r="O20" i="29"/>
  <c r="Q9" i="27"/>
  <c r="F89" i="24"/>
  <c r="C14" i="9"/>
  <c r="F31" i="26"/>
  <c r="F6" i="27"/>
  <c r="F75" i="24"/>
  <c r="F49" i="24"/>
  <c r="F76" i="24"/>
  <c r="F84" i="24"/>
  <c r="F77" i="24"/>
  <c r="F22" i="27"/>
  <c r="F27" i="26"/>
  <c r="F34" i="26"/>
  <c r="F28" i="26"/>
  <c r="F32" i="26"/>
  <c r="F86" i="24"/>
  <c r="F22" i="24"/>
  <c r="F14" i="27"/>
  <c r="F28" i="25"/>
  <c r="F35" i="26"/>
  <c r="F81" i="24"/>
  <c r="F56" i="24"/>
  <c r="F9" i="27"/>
  <c r="F45" i="24"/>
  <c r="F78" i="24"/>
  <c r="Z7" i="24"/>
  <c r="Z18" i="25"/>
  <c r="Z20" i="25"/>
  <c r="Z15" i="25"/>
  <c r="Z20" i="26"/>
  <c r="Z16" i="26"/>
  <c r="Z38" i="24"/>
  <c r="Z65" i="24"/>
  <c r="Z40" i="24"/>
  <c r="Z41" i="24"/>
  <c r="Z90" i="24"/>
  <c r="Z15" i="26"/>
  <c r="Z13" i="25"/>
  <c r="Z91" i="24"/>
  <c r="Z33" i="24"/>
  <c r="Z19" i="25"/>
  <c r="Z66" i="24"/>
  <c r="Z12" i="25"/>
  <c r="Z10" i="28"/>
  <c r="Z69" i="24"/>
  <c r="Z19" i="23"/>
  <c r="X60" i="11"/>
  <c r="Z12" i="26"/>
  <c r="P48" i="24"/>
  <c r="N20" i="29"/>
  <c r="P35" i="26"/>
  <c r="P12" i="27"/>
  <c r="P26" i="25"/>
  <c r="P83" i="24"/>
  <c r="P59" i="24"/>
  <c r="P43" i="24"/>
  <c r="P18" i="27"/>
  <c r="P32" i="25"/>
  <c r="P60" i="24"/>
  <c r="P57" i="24"/>
  <c r="P74" i="24"/>
  <c r="P26" i="24"/>
  <c r="P82" i="24"/>
  <c r="P29" i="24"/>
  <c r="P86" i="24"/>
  <c r="P71" i="24"/>
  <c r="P88" i="24"/>
  <c r="P84" i="24"/>
  <c r="P70" i="24"/>
  <c r="P13" i="27"/>
  <c r="P27" i="25"/>
  <c r="P52" i="24"/>
  <c r="M14" i="9"/>
  <c r="P31" i="26"/>
  <c r="R16" i="26"/>
  <c r="R9" i="24"/>
  <c r="R18" i="26"/>
  <c r="R68" i="24"/>
  <c r="R15" i="26"/>
  <c r="R62" i="24"/>
  <c r="R16" i="25"/>
  <c r="R12" i="25"/>
  <c r="R69" i="24"/>
  <c r="R66" i="24"/>
  <c r="R33" i="24"/>
  <c r="R20" i="23"/>
  <c r="R18" i="25"/>
  <c r="R16" i="23"/>
  <c r="R19" i="26"/>
  <c r="R15" i="25"/>
  <c r="R39" i="24"/>
  <c r="R91" i="24"/>
  <c r="R19" i="25"/>
  <c r="R13" i="25"/>
  <c r="R12" i="26"/>
  <c r="R14" i="28"/>
  <c r="N14" i="27"/>
  <c r="N28" i="25"/>
  <c r="N16" i="27"/>
  <c r="N30" i="25"/>
  <c r="N43" i="24"/>
  <c r="N8" i="27"/>
  <c r="N55" i="24"/>
  <c r="N88" i="24"/>
  <c r="N9" i="27"/>
  <c r="N73" i="24"/>
  <c r="N34" i="26"/>
  <c r="N7" i="27"/>
  <c r="N91" i="17"/>
  <c r="N34" i="25"/>
  <c r="N89" i="17"/>
  <c r="N31" i="24"/>
  <c r="N74" i="24"/>
  <c r="N84" i="24"/>
  <c r="N60" i="24"/>
  <c r="N87" i="24"/>
  <c r="N13" i="24"/>
  <c r="L26" i="29"/>
  <c r="N28" i="26"/>
  <c r="N76" i="24"/>
  <c r="N77" i="24"/>
  <c r="N21" i="27"/>
  <c r="Y20" i="25"/>
  <c r="Y90" i="24"/>
  <c r="Y13" i="25"/>
  <c r="Y62" i="24"/>
  <c r="Y16" i="25"/>
  <c r="Y12" i="25"/>
  <c r="Y6" i="28"/>
  <c r="Y12" i="26"/>
  <c r="Y17" i="23"/>
  <c r="Y20" i="26"/>
  <c r="Y34" i="24"/>
  <c r="Y15" i="26"/>
  <c r="Y37" i="24"/>
  <c r="Y16" i="26"/>
  <c r="Y69" i="24"/>
  <c r="Y18" i="25"/>
  <c r="Y67" i="24"/>
  <c r="Y7" i="24"/>
  <c r="Y66" i="24"/>
  <c r="Y10" i="24"/>
  <c r="Y65" i="24"/>
  <c r="Y19" i="25"/>
  <c r="T19" i="25"/>
  <c r="T15" i="25"/>
  <c r="T18" i="26"/>
  <c r="T34" i="24"/>
  <c r="T7" i="24"/>
  <c r="T66" i="24"/>
  <c r="T16" i="25"/>
  <c r="T20" i="25"/>
  <c r="T14" i="23"/>
  <c r="T69" i="24"/>
  <c r="T91" i="24"/>
  <c r="T90" i="24"/>
  <c r="T68" i="24"/>
  <c r="T13" i="26"/>
  <c r="T33" i="24"/>
  <c r="T12" i="25"/>
  <c r="T13" i="25"/>
  <c r="T38" i="24"/>
  <c r="T15" i="26"/>
  <c r="T16" i="26"/>
  <c r="T23" i="23"/>
  <c r="T11" i="28"/>
  <c r="Y10" i="27"/>
  <c r="Y25" i="25"/>
  <c r="Y87" i="24"/>
  <c r="Y73" i="24"/>
  <c r="Y81" i="24"/>
  <c r="Y74" i="24"/>
  <c r="Y35" i="25"/>
  <c r="Y26" i="26"/>
  <c r="Y45" i="24"/>
  <c r="Y27" i="24"/>
  <c r="Y56" i="24"/>
  <c r="Y28" i="26"/>
  <c r="Y25" i="26"/>
  <c r="Y34" i="25"/>
  <c r="Y89" i="17"/>
  <c r="Y77" i="24"/>
  <c r="Y51" i="24"/>
  <c r="Y6" i="27"/>
  <c r="Y80" i="24"/>
  <c r="Y79" i="24"/>
  <c r="Y16" i="27"/>
  <c r="Y30" i="25"/>
  <c r="Y78" i="24"/>
  <c r="Y30" i="26"/>
  <c r="Y25" i="24"/>
  <c r="G78" i="24"/>
  <c r="G30" i="24"/>
  <c r="G47" i="24"/>
  <c r="G18" i="27"/>
  <c r="G32" i="25"/>
  <c r="G7" i="27"/>
  <c r="G91" i="17"/>
  <c r="E11" i="29"/>
  <c r="G42" i="24"/>
  <c r="G12" i="24"/>
  <c r="G28" i="26"/>
  <c r="G77" i="24"/>
  <c r="G6" i="27"/>
  <c r="G14" i="27"/>
  <c r="G28" i="25"/>
  <c r="G83" i="24"/>
  <c r="G8" i="27"/>
  <c r="G75" i="24"/>
  <c r="G35" i="25"/>
  <c r="D14" i="9"/>
  <c r="G31" i="26"/>
  <c r="G34" i="25"/>
  <c r="G89" i="17"/>
  <c r="G25" i="26"/>
  <c r="G89" i="24"/>
  <c r="G71" i="24"/>
  <c r="G32" i="26"/>
  <c r="W16" i="25"/>
  <c r="W19" i="23"/>
  <c r="U60" i="11"/>
  <c r="W20" i="25"/>
  <c r="W91" i="24"/>
  <c r="W13" i="25"/>
  <c r="W15" i="26"/>
  <c r="W20" i="26"/>
  <c r="W15" i="25"/>
  <c r="W40" i="24"/>
  <c r="W12" i="25"/>
  <c r="W62" i="24"/>
  <c r="W41" i="24"/>
  <c r="W10" i="24"/>
  <c r="W13" i="26"/>
  <c r="W69" i="24"/>
  <c r="W67" i="24"/>
  <c r="W90" i="24"/>
  <c r="W33" i="24"/>
  <c r="W66" i="24"/>
  <c r="W18" i="25"/>
  <c r="W19" i="25"/>
  <c r="W68" i="24"/>
  <c r="Z61" i="24"/>
  <c r="Z26" i="26"/>
  <c r="Z81" i="24"/>
  <c r="Z79" i="24"/>
  <c r="Z35" i="26"/>
  <c r="Z57" i="24"/>
  <c r="Z34" i="25"/>
  <c r="Z89" i="17"/>
  <c r="Z27" i="26"/>
  <c r="Z28" i="26"/>
  <c r="Z9" i="27"/>
  <c r="Z78" i="24"/>
  <c r="Z49" i="24"/>
  <c r="Z18" i="24"/>
  <c r="Z35" i="25"/>
  <c r="Z89" i="24"/>
  <c r="Z77" i="24"/>
  <c r="Z47" i="24"/>
  <c r="Z80" i="24"/>
  <c r="Z71" i="24"/>
  <c r="Z34" i="26"/>
  <c r="Z21" i="27"/>
  <c r="Z30" i="26"/>
  <c r="U32" i="24"/>
  <c r="U35" i="25"/>
  <c r="U20" i="27"/>
  <c r="U74" i="24"/>
  <c r="U86" i="24"/>
  <c r="U17" i="27"/>
  <c r="R14" i="5"/>
  <c r="U31" i="25"/>
  <c r="U25" i="26"/>
  <c r="U30" i="26"/>
  <c r="U9" i="27"/>
  <c r="U83" i="24"/>
  <c r="U77" i="24"/>
  <c r="U82" i="24"/>
  <c r="U6" i="27"/>
  <c r="U8" i="27"/>
  <c r="R14" i="9"/>
  <c r="U31" i="26"/>
  <c r="U80" i="24"/>
  <c r="U15" i="24"/>
  <c r="U52" i="24"/>
  <c r="U57" i="24"/>
  <c r="U26" i="26"/>
  <c r="U81" i="24"/>
  <c r="U21" i="27"/>
  <c r="H8" i="23"/>
  <c r="H13" i="26"/>
  <c r="H37" i="24"/>
  <c r="H65" i="24"/>
  <c r="H19" i="25"/>
  <c r="H15" i="25"/>
  <c r="H91" i="24"/>
  <c r="H20" i="25"/>
  <c r="H19" i="26"/>
  <c r="H18" i="25"/>
  <c r="H9" i="24"/>
  <c r="H66" i="24"/>
  <c r="H62" i="24"/>
  <c r="H18" i="26"/>
  <c r="H13" i="25"/>
  <c r="H12" i="26"/>
  <c r="H15" i="26"/>
  <c r="H16" i="25"/>
  <c r="H90" i="24"/>
  <c r="H68" i="24"/>
  <c r="H67" i="24"/>
  <c r="H69" i="24"/>
  <c r="V28" i="26"/>
  <c r="V84" i="24"/>
  <c r="V81" i="24"/>
  <c r="V86" i="24"/>
  <c r="V22" i="24"/>
  <c r="V13" i="27"/>
  <c r="V27" i="25"/>
  <c r="V27" i="26"/>
  <c r="V34" i="26"/>
  <c r="V42" i="24"/>
  <c r="V56" i="24"/>
  <c r="V79" i="24"/>
  <c r="V17" i="30"/>
  <c r="V57" i="24"/>
  <c r="V35" i="25"/>
  <c r="V6" i="27"/>
  <c r="V76" i="24"/>
  <c r="V82" i="24"/>
  <c r="S14" i="9"/>
  <c r="V31" i="26"/>
  <c r="V9" i="27"/>
  <c r="V20" i="27"/>
  <c r="V47" i="24"/>
  <c r="V54" i="24"/>
  <c r="E40" i="24"/>
  <c r="E13" i="25"/>
  <c r="E69" i="24"/>
  <c r="E10" i="24"/>
  <c r="E18" i="25"/>
  <c r="E9" i="28"/>
  <c r="E23" i="23"/>
  <c r="E20" i="26"/>
  <c r="E62" i="24"/>
  <c r="E16" i="25"/>
  <c r="E65" i="24"/>
  <c r="E91" i="24"/>
  <c r="E20" i="25"/>
  <c r="E12" i="25"/>
  <c r="E15" i="25"/>
  <c r="E7" i="28"/>
  <c r="E68" i="24"/>
  <c r="E16" i="26"/>
  <c r="E39" i="24"/>
  <c r="E19" i="25"/>
  <c r="E67" i="24"/>
  <c r="E41" i="24"/>
  <c r="T70" i="24"/>
  <c r="R11" i="29"/>
  <c r="T59" i="24"/>
  <c r="T24" i="24"/>
  <c r="T8" i="27"/>
  <c r="T81" i="24"/>
  <c r="T30" i="26"/>
  <c r="T42" i="24"/>
  <c r="T21" i="27"/>
  <c r="T50" i="24"/>
  <c r="T25" i="26"/>
  <c r="T35" i="25"/>
  <c r="T26" i="26"/>
  <c r="T88" i="24"/>
  <c r="T54" i="24"/>
  <c r="Q14" i="9"/>
  <c r="T31" i="26"/>
  <c r="T87" i="24"/>
  <c r="T84" i="24"/>
  <c r="T83" i="24"/>
  <c r="T57" i="24"/>
  <c r="T12" i="27"/>
  <c r="T26" i="25"/>
  <c r="T78" i="24"/>
  <c r="X13" i="26"/>
  <c r="X19" i="25"/>
  <c r="X67" i="24"/>
  <c r="X18" i="25"/>
  <c r="X90" i="24"/>
  <c r="X16" i="25"/>
  <c r="X13" i="25"/>
  <c r="X62" i="24"/>
  <c r="X18" i="26"/>
  <c r="X65" i="24"/>
  <c r="X8" i="23"/>
  <c r="X40" i="24"/>
  <c r="X69" i="24"/>
  <c r="X6" i="28"/>
  <c r="X68" i="24"/>
  <c r="X15" i="25"/>
  <c r="X20" i="25"/>
  <c r="X9" i="24"/>
  <c r="X91" i="24"/>
  <c r="X66" i="24"/>
  <c r="X15" i="26"/>
  <c r="X14" i="28"/>
  <c r="U23" i="23"/>
  <c r="U18" i="25"/>
  <c r="U37" i="24"/>
  <c r="U69" i="24"/>
  <c r="U20" i="25"/>
  <c r="U12" i="25"/>
  <c r="U68" i="24"/>
  <c r="U40" i="24"/>
  <c r="U66" i="24"/>
  <c r="U16" i="25"/>
  <c r="U15" i="25"/>
  <c r="U10" i="28"/>
  <c r="U8" i="28"/>
  <c r="U18" i="26"/>
  <c r="U15" i="23"/>
  <c r="S59" i="11"/>
  <c r="U13" i="25"/>
  <c r="U67" i="24"/>
  <c r="U16" i="26"/>
  <c r="U65" i="24"/>
  <c r="U62" i="24"/>
  <c r="U19" i="25"/>
  <c r="U91" i="24"/>
  <c r="H45" i="24"/>
  <c r="H56" i="24"/>
  <c r="H34" i="25"/>
  <c r="H89" i="17"/>
  <c r="H82" i="24"/>
  <c r="H77" i="24"/>
  <c r="H60" i="24"/>
  <c r="H74" i="24"/>
  <c r="E14" i="9"/>
  <c r="H31" i="26"/>
  <c r="H10" i="27"/>
  <c r="H25" i="25"/>
  <c r="H30" i="26"/>
  <c r="H89" i="24"/>
  <c r="H7" i="27"/>
  <c r="H91" i="17"/>
  <c r="H20" i="24"/>
  <c r="H25" i="26"/>
  <c r="H79" i="24"/>
  <c r="H35" i="25"/>
  <c r="H26" i="26"/>
  <c r="H32" i="26"/>
  <c r="H49" i="24"/>
  <c r="H83" i="24"/>
  <c r="F11" i="29"/>
  <c r="H76" i="24"/>
  <c r="M84" i="24"/>
  <c r="M77" i="24"/>
  <c r="M18" i="27"/>
  <c r="M32" i="25"/>
  <c r="M60" i="24"/>
  <c r="M34" i="26"/>
  <c r="M7" i="27"/>
  <c r="M91" i="17"/>
  <c r="M82" i="24"/>
  <c r="M87" i="24"/>
  <c r="M57" i="24"/>
  <c r="M74" i="24"/>
  <c r="M16" i="27"/>
  <c r="M30" i="25"/>
  <c r="M14" i="27"/>
  <c r="M28" i="25"/>
  <c r="M21" i="27"/>
  <c r="M53" i="24"/>
  <c r="M23" i="24"/>
  <c r="M89" i="24"/>
  <c r="M86" i="24"/>
  <c r="M25" i="26"/>
  <c r="M35" i="26"/>
  <c r="M32" i="26"/>
  <c r="M73" i="24"/>
  <c r="M88" i="24"/>
  <c r="I34" i="25"/>
  <c r="I89" i="17"/>
  <c r="I26" i="26"/>
  <c r="I35" i="26"/>
  <c r="I12" i="27"/>
  <c r="I26" i="25"/>
  <c r="I87" i="24"/>
  <c r="I89" i="24"/>
  <c r="I74" i="24"/>
  <c r="I76" i="24"/>
  <c r="I88" i="24"/>
  <c r="I75" i="24"/>
  <c r="I81" i="24"/>
  <c r="I47" i="24"/>
  <c r="I25" i="24"/>
  <c r="I27" i="24"/>
  <c r="I73" i="24"/>
  <c r="I61" i="24"/>
  <c r="I34" i="26"/>
  <c r="I16" i="27"/>
  <c r="I30" i="25"/>
  <c r="I10" i="27"/>
  <c r="I25" i="25"/>
  <c r="I25" i="26"/>
  <c r="I53" i="24"/>
  <c r="I21" i="27"/>
  <c r="W35" i="25"/>
  <c r="W25" i="26"/>
  <c r="W12" i="24"/>
  <c r="W45" i="24"/>
  <c r="W51" i="24"/>
  <c r="W76" i="24"/>
  <c r="W83" i="24"/>
  <c r="W27" i="26"/>
  <c r="W57" i="24"/>
  <c r="W6" i="27"/>
  <c r="W75" i="24"/>
  <c r="W30" i="24"/>
  <c r="W32" i="26"/>
  <c r="W71" i="24"/>
  <c r="W28" i="26"/>
  <c r="W81" i="24"/>
  <c r="W14" i="27"/>
  <c r="W28" i="25"/>
  <c r="W89" i="24"/>
  <c r="W8" i="27"/>
  <c r="W82" i="24"/>
  <c r="W80" i="24"/>
  <c r="W13" i="27"/>
  <c r="W27" i="25"/>
  <c r="S56" i="24"/>
  <c r="S70" i="24"/>
  <c r="S27" i="26"/>
  <c r="S26" i="26"/>
  <c r="S76" i="24"/>
  <c r="S83" i="24"/>
  <c r="S18" i="27"/>
  <c r="S32" i="25"/>
  <c r="S80" i="24"/>
  <c r="S59" i="24"/>
  <c r="S35" i="25"/>
  <c r="S17" i="24"/>
  <c r="S8" i="27"/>
  <c r="S32" i="26"/>
  <c r="S60" i="24"/>
  <c r="S79" i="24"/>
  <c r="S48" i="24"/>
  <c r="S34" i="25"/>
  <c r="S89" i="17"/>
  <c r="S7" i="27"/>
  <c r="S91" i="17"/>
  <c r="S28" i="26"/>
  <c r="S52" i="24"/>
  <c r="S88" i="24"/>
  <c r="S84" i="24"/>
  <c r="J87" i="24"/>
  <c r="J28" i="26"/>
  <c r="J34" i="26"/>
  <c r="J9" i="27"/>
  <c r="J34" i="25"/>
  <c r="J89" i="17"/>
  <c r="J75" i="24"/>
  <c r="J30" i="26"/>
  <c r="J81" i="24"/>
  <c r="J35" i="25"/>
  <c r="J51" i="24"/>
  <c r="J8" i="27"/>
  <c r="J57" i="24"/>
  <c r="J26" i="26"/>
  <c r="J27" i="26"/>
  <c r="J35" i="26"/>
  <c r="J71" i="24"/>
  <c r="J89" i="24"/>
  <c r="J77" i="24"/>
  <c r="J88" i="24"/>
  <c r="J61" i="24"/>
  <c r="J80" i="24"/>
  <c r="J18" i="24"/>
  <c r="AA88" i="24"/>
  <c r="AA78" i="24"/>
  <c r="AA84" i="24"/>
  <c r="AA8" i="27"/>
  <c r="AA60" i="24"/>
  <c r="AA80" i="24"/>
  <c r="AA17" i="27"/>
  <c r="X14" i="5"/>
  <c r="AA31" i="25"/>
  <c r="AA56" i="24"/>
  <c r="AA70" i="24"/>
  <c r="AA9" i="27"/>
  <c r="AA55" i="24"/>
  <c r="AA32" i="26"/>
  <c r="AA13" i="27"/>
  <c r="AA27" i="25"/>
  <c r="X14" i="9"/>
  <c r="AA31" i="26"/>
  <c r="AA26" i="26"/>
  <c r="AA71" i="24"/>
  <c r="AA89" i="24"/>
  <c r="AA25" i="24"/>
  <c r="AA27" i="26"/>
  <c r="AA51" i="24"/>
  <c r="AA79" i="24"/>
  <c r="AA35" i="25"/>
  <c r="L55" i="24"/>
  <c r="L73" i="24"/>
  <c r="L6" i="27"/>
  <c r="L51" i="24"/>
  <c r="L34" i="25"/>
  <c r="L89" i="17"/>
  <c r="L75" i="24"/>
  <c r="L16" i="24"/>
  <c r="L7" i="27"/>
  <c r="L91" i="17"/>
  <c r="L32" i="26"/>
  <c r="L25" i="26"/>
  <c r="L35" i="25"/>
  <c r="L88" i="24"/>
  <c r="L10" i="27"/>
  <c r="L25" i="25"/>
  <c r="L87" i="24"/>
  <c r="L17" i="27"/>
  <c r="I14" i="5"/>
  <c r="L31" i="25"/>
  <c r="L18" i="27"/>
  <c r="L32" i="25"/>
  <c r="L61" i="24"/>
  <c r="L22" i="27"/>
  <c r="L89" i="24"/>
  <c r="L78" i="24"/>
  <c r="L79" i="24"/>
  <c r="L59" i="24"/>
  <c r="K17" i="27"/>
  <c r="H14" i="5"/>
  <c r="K31" i="25"/>
  <c r="K35" i="25"/>
  <c r="H14" i="9"/>
  <c r="K31" i="26"/>
  <c r="K75" i="24"/>
  <c r="K13" i="27"/>
  <c r="K27" i="25"/>
  <c r="K79" i="24"/>
  <c r="K61" i="24"/>
  <c r="K74" i="24"/>
  <c r="K70" i="24"/>
  <c r="K9" i="27"/>
  <c r="K84" i="24"/>
  <c r="K35" i="26"/>
  <c r="K76" i="24"/>
  <c r="K26" i="26"/>
  <c r="K49" i="24"/>
  <c r="K60" i="24"/>
  <c r="K20" i="27"/>
  <c r="K32" i="26"/>
  <c r="K8" i="27"/>
  <c r="K88" i="24"/>
  <c r="K89" i="24"/>
  <c r="K71" i="24"/>
  <c r="I54" i="11"/>
  <c r="I31" i="4"/>
  <c r="K37" i="25"/>
  <c r="K58" i="21"/>
  <c r="K39" i="26"/>
  <c r="I24" i="11"/>
  <c r="I32" i="10"/>
  <c r="I6" i="11"/>
  <c r="K6" i="3"/>
  <c r="H6" i="16"/>
  <c r="I10" i="4"/>
  <c r="I20" i="11"/>
  <c r="K23" i="25"/>
  <c r="I32" i="11"/>
  <c r="I40" i="10"/>
  <c r="I7" i="11"/>
  <c r="I32" i="29"/>
  <c r="H34" i="5"/>
  <c r="K7" i="13"/>
  <c r="K22" i="13"/>
  <c r="I18" i="11"/>
  <c r="K7" i="3"/>
  <c r="K39" i="25"/>
  <c r="H34" i="9"/>
  <c r="I31" i="29"/>
  <c r="K30" i="13"/>
  <c r="I23" i="11"/>
  <c r="I31" i="10"/>
  <c r="I45" i="4"/>
  <c r="I16" i="11"/>
  <c r="K43" i="13"/>
  <c r="K23" i="26"/>
  <c r="K38" i="26"/>
  <c r="I9" i="11"/>
  <c r="K40" i="13"/>
  <c r="I36" i="11"/>
  <c r="I44" i="10"/>
  <c r="K8" i="3"/>
  <c r="I52" i="4"/>
  <c r="K38" i="25"/>
  <c r="I56" i="11"/>
  <c r="K37" i="26"/>
  <c r="K61" i="21"/>
  <c r="O42" i="24"/>
  <c r="O80" i="24"/>
  <c r="O26" i="26"/>
  <c r="O75" i="24"/>
  <c r="O73" i="24"/>
  <c r="O32" i="26"/>
  <c r="O70" i="24"/>
  <c r="O83" i="24"/>
  <c r="O12" i="27"/>
  <c r="O26" i="25"/>
  <c r="O84" i="24"/>
  <c r="O30" i="26"/>
  <c r="O13" i="27"/>
  <c r="O27" i="25"/>
  <c r="O27" i="26"/>
  <c r="O71" i="24"/>
  <c r="O86" i="24"/>
  <c r="M26" i="29"/>
  <c r="O34" i="26"/>
  <c r="O34" i="25"/>
  <c r="O89" i="17"/>
  <c r="O8" i="27"/>
  <c r="O87" i="24"/>
  <c r="O61" i="24"/>
  <c r="O46" i="24"/>
  <c r="Y54" i="11"/>
  <c r="Y31" i="4"/>
  <c r="AA37" i="25"/>
  <c r="AA58" i="21"/>
  <c r="Y9" i="11"/>
  <c r="AA23" i="26"/>
  <c r="AA38" i="25"/>
  <c r="Y6" i="11"/>
  <c r="AA6" i="3"/>
  <c r="X6" i="16"/>
  <c r="Y10" i="4"/>
  <c r="AA37" i="26"/>
  <c r="Y32" i="11"/>
  <c r="Y40" i="10"/>
  <c r="X34" i="9"/>
  <c r="Y56" i="11"/>
  <c r="Y20" i="11"/>
  <c r="AA23" i="25"/>
  <c r="AA30" i="13"/>
  <c r="Y23" i="11"/>
  <c r="Y31" i="10"/>
  <c r="Y45" i="4"/>
  <c r="AA38" i="26"/>
  <c r="Y57" i="11"/>
  <c r="Y24" i="4"/>
  <c r="Y17" i="11"/>
  <c r="AA7" i="13"/>
  <c r="AA22" i="13"/>
  <c r="Y18" i="11"/>
  <c r="AA7" i="3"/>
  <c r="AA39" i="25"/>
  <c r="Y11" i="11"/>
  <c r="Y31" i="29"/>
  <c r="AA39" i="26"/>
  <c r="AA43" i="13"/>
  <c r="AA40" i="13"/>
  <c r="Y36" i="11"/>
  <c r="Y44" i="10"/>
  <c r="AA8" i="3"/>
  <c r="Y52" i="4"/>
  <c r="AA61" i="21"/>
  <c r="Y32" i="29"/>
  <c r="X34" i="5"/>
  <c r="Q7" i="27"/>
  <c r="Q91" i="17"/>
  <c r="Q14" i="27"/>
  <c r="Q28" i="25"/>
  <c r="Q16" i="27"/>
  <c r="Q30" i="25"/>
  <c r="Q12" i="27"/>
  <c r="Q26" i="25"/>
  <c r="O43" i="29"/>
  <c r="Q57" i="24"/>
  <c r="Q26" i="26"/>
  <c r="Q10" i="27"/>
  <c r="Q25" i="25"/>
  <c r="Q8" i="27"/>
  <c r="Q22" i="27"/>
  <c r="O11" i="29"/>
  <c r="Q17" i="27"/>
  <c r="N14" i="5"/>
  <c r="Q31" i="25"/>
  <c r="Q18" i="27"/>
  <c r="Q32" i="25"/>
  <c r="Q20" i="27"/>
  <c r="Q21" i="27"/>
  <c r="Q25" i="26"/>
  <c r="Q77" i="24"/>
  <c r="Q17" i="30"/>
  <c r="Q34" i="26"/>
  <c r="Q13" i="27"/>
  <c r="Q27" i="25"/>
  <c r="O26" i="29"/>
  <c r="Q32" i="26"/>
  <c r="D9" i="27"/>
  <c r="D31" i="26"/>
  <c r="D32" i="26"/>
  <c r="D18" i="27"/>
  <c r="D32" i="25"/>
  <c r="D59" i="24"/>
  <c r="D82" i="24"/>
  <c r="D78" i="24"/>
  <c r="D17" i="30"/>
  <c r="D27" i="26"/>
  <c r="D6" i="27"/>
  <c r="D30" i="26"/>
  <c r="D10" i="27"/>
  <c r="D25" i="25"/>
  <c r="D17" i="27"/>
  <c r="D31" i="25"/>
  <c r="D28" i="26"/>
  <c r="D13" i="27"/>
  <c r="D27" i="25"/>
  <c r="D20" i="27"/>
  <c r="D46" i="24"/>
  <c r="D14" i="27"/>
  <c r="D28" i="25"/>
  <c r="D12" i="27"/>
  <c r="D26" i="25"/>
  <c r="D22" i="27"/>
  <c r="D70" i="24"/>
  <c r="D88" i="24"/>
  <c r="D38" i="25"/>
  <c r="D40" i="13"/>
  <c r="D8" i="3"/>
  <c r="D23" i="26"/>
  <c r="D43" i="13"/>
  <c r="D7" i="13"/>
  <c r="D22" i="13"/>
  <c r="D7" i="3"/>
  <c r="D39" i="25"/>
  <c r="D6" i="3"/>
  <c r="D61" i="21"/>
  <c r="D39" i="26"/>
  <c r="D37" i="25"/>
  <c r="D58" i="21"/>
  <c r="D37" i="26"/>
  <c r="D30" i="13"/>
  <c r="D23" i="25"/>
  <c r="D38" i="26"/>
  <c r="C55" i="24"/>
  <c r="C9" i="27"/>
  <c r="C35" i="26"/>
  <c r="C28" i="26"/>
  <c r="C13" i="27"/>
  <c r="C27" i="25"/>
  <c r="C12" i="27"/>
  <c r="C26" i="25"/>
  <c r="C30" i="26"/>
  <c r="C17" i="30"/>
  <c r="C6" i="27"/>
  <c r="C17" i="27"/>
  <c r="C31" i="25"/>
  <c r="C16" i="27"/>
  <c r="C30" i="25"/>
  <c r="C22" i="27"/>
  <c r="C10" i="27"/>
  <c r="C25" i="25"/>
  <c r="C27" i="26"/>
  <c r="C75" i="24"/>
  <c r="C20" i="27"/>
  <c r="C14" i="27"/>
  <c r="C28" i="25"/>
  <c r="C88" i="24"/>
  <c r="C34" i="25"/>
  <c r="C89" i="17"/>
  <c r="C80" i="24"/>
  <c r="C70" i="24"/>
  <c r="C31" i="26"/>
  <c r="W30" i="13"/>
  <c r="U23" i="11"/>
  <c r="U31" i="10"/>
  <c r="U45" i="4"/>
  <c r="W37" i="26"/>
  <c r="U54" i="11"/>
  <c r="U31" i="4"/>
  <c r="W37" i="25"/>
  <c r="W58" i="21"/>
  <c r="U20" i="11"/>
  <c r="W23" i="25"/>
  <c r="U31" i="29"/>
  <c r="W39" i="26"/>
  <c r="W38" i="26"/>
  <c r="U32" i="29"/>
  <c r="T34" i="5"/>
  <c r="U56" i="11"/>
  <c r="U32" i="11"/>
  <c r="U40" i="10"/>
  <c r="W38" i="25"/>
  <c r="W23" i="26"/>
  <c r="W61" i="21"/>
  <c r="W7" i="13"/>
  <c r="W22" i="13"/>
  <c r="U18" i="11"/>
  <c r="W7" i="3"/>
  <c r="W39" i="25"/>
  <c r="W40" i="13"/>
  <c r="U36" i="11"/>
  <c r="U44" i="10"/>
  <c r="W8" i="3"/>
  <c r="U52" i="4"/>
  <c r="W43" i="13"/>
  <c r="T32" i="9"/>
  <c r="U6" i="11"/>
  <c r="W6" i="3"/>
  <c r="T6" i="16"/>
  <c r="U10" i="4"/>
  <c r="U14" i="11"/>
  <c r="U21" i="11"/>
  <c r="U22" i="11"/>
  <c r="U12" i="11"/>
  <c r="T23" i="26"/>
  <c r="R33" i="11"/>
  <c r="R41" i="10"/>
  <c r="T7" i="13"/>
  <c r="T22" i="13"/>
  <c r="R18" i="11"/>
  <c r="T7" i="3"/>
  <c r="T39" i="25"/>
  <c r="R32" i="11"/>
  <c r="R40" i="10"/>
  <c r="T43" i="13"/>
  <c r="R32" i="29"/>
  <c r="Q34" i="5"/>
  <c r="R19" i="11"/>
  <c r="R10" i="11"/>
  <c r="R9" i="11"/>
  <c r="T38" i="25"/>
  <c r="R54" i="11"/>
  <c r="R31" i="4"/>
  <c r="T37" i="25"/>
  <c r="T58" i="21"/>
  <c r="T30" i="13"/>
  <c r="R23" i="11"/>
  <c r="R31" i="10"/>
  <c r="R45" i="4"/>
  <c r="T39" i="26"/>
  <c r="T40" i="13"/>
  <c r="R36" i="11"/>
  <c r="R44" i="10"/>
  <c r="T8" i="3"/>
  <c r="R52" i="4"/>
  <c r="R57" i="11"/>
  <c r="R24" i="4"/>
  <c r="R6" i="11"/>
  <c r="T6" i="3"/>
  <c r="Q6" i="16"/>
  <c r="R10" i="4"/>
  <c r="T38" i="26"/>
  <c r="R31" i="29"/>
  <c r="T61" i="21"/>
  <c r="R56" i="11"/>
  <c r="T37" i="26"/>
  <c r="R20" i="11"/>
  <c r="T23" i="25"/>
  <c r="G20" i="29"/>
  <c r="I22" i="27"/>
  <c r="I18" i="27"/>
  <c r="I32" i="25"/>
  <c r="I20" i="27"/>
  <c r="I49" i="24"/>
  <c r="I13" i="27"/>
  <c r="I27" i="25"/>
  <c r="I7" i="27"/>
  <c r="I91" i="17"/>
  <c r="F14" i="9"/>
  <c r="I31" i="26"/>
  <c r="G26" i="29"/>
  <c r="I27" i="26"/>
  <c r="I28" i="26"/>
  <c r="I17" i="30"/>
  <c r="I9" i="27"/>
  <c r="I6" i="27"/>
  <c r="I17" i="27"/>
  <c r="F14" i="5"/>
  <c r="I31" i="25"/>
  <c r="G43" i="29"/>
  <c r="I86" i="24"/>
  <c r="I8" i="27"/>
  <c r="I14" i="27"/>
  <c r="I28" i="25"/>
  <c r="I30" i="26"/>
  <c r="I32" i="26"/>
  <c r="G11" i="29"/>
  <c r="E6" i="11"/>
  <c r="G6" i="3"/>
  <c r="D6" i="16"/>
  <c r="E10" i="4"/>
  <c r="G39" i="26"/>
  <c r="G7" i="13"/>
  <c r="G22" i="13"/>
  <c r="E18" i="11"/>
  <c r="G7" i="3"/>
  <c r="G39" i="25"/>
  <c r="E12" i="11"/>
  <c r="E14" i="11"/>
  <c r="E22" i="11"/>
  <c r="E32" i="11"/>
  <c r="E40" i="10"/>
  <c r="G38" i="26"/>
  <c r="G40" i="13"/>
  <c r="E36" i="11"/>
  <c r="E44" i="10"/>
  <c r="G8" i="3"/>
  <c r="E52" i="4"/>
  <c r="E31" i="29"/>
  <c r="E17" i="11"/>
  <c r="G23" i="26"/>
  <c r="G43" i="13"/>
  <c r="E54" i="11"/>
  <c r="E31" i="4"/>
  <c r="G37" i="25"/>
  <c r="G58" i="21"/>
  <c r="G38" i="25"/>
  <c r="E20" i="11"/>
  <c r="G23" i="25"/>
  <c r="E32" i="29"/>
  <c r="D34" i="5"/>
  <c r="G30" i="13"/>
  <c r="E23" i="11"/>
  <c r="E31" i="10"/>
  <c r="E45" i="4"/>
  <c r="E21" i="11"/>
  <c r="E8" i="11"/>
  <c r="G37" i="26"/>
  <c r="G61" i="21"/>
  <c r="R9" i="27"/>
  <c r="R86" i="24"/>
  <c r="R50" i="24"/>
  <c r="R22" i="27"/>
  <c r="R82" i="24"/>
  <c r="P11" i="29"/>
  <c r="R34" i="25"/>
  <c r="R89" i="17"/>
  <c r="R80" i="24"/>
  <c r="R14" i="27"/>
  <c r="R28" i="25"/>
  <c r="R89" i="24"/>
  <c r="R10" i="27"/>
  <c r="R25" i="25"/>
  <c r="R70" i="24"/>
  <c r="R25" i="26"/>
  <c r="R71" i="24"/>
  <c r="R28" i="26"/>
  <c r="R83" i="24"/>
  <c r="R26" i="24"/>
  <c r="R73" i="24"/>
  <c r="R34" i="26"/>
  <c r="R27" i="26"/>
  <c r="R61" i="24"/>
  <c r="R59" i="24"/>
  <c r="W20" i="29"/>
  <c r="Y17" i="30"/>
  <c r="Y27" i="26"/>
  <c r="Y14" i="27"/>
  <c r="Y28" i="25"/>
  <c r="Y13" i="27"/>
  <c r="Y27" i="25"/>
  <c r="W26" i="29"/>
  <c r="Y21" i="27"/>
  <c r="Y17" i="27"/>
  <c r="V14" i="5"/>
  <c r="Y31" i="25"/>
  <c r="Y20" i="27"/>
  <c r="Y49" i="24"/>
  <c r="W11" i="29"/>
  <c r="W43" i="29"/>
  <c r="Y9" i="27"/>
  <c r="Y12" i="27"/>
  <c r="Y26" i="25"/>
  <c r="Y8" i="27"/>
  <c r="V14" i="9"/>
  <c r="Y31" i="26"/>
  <c r="Y18" i="27"/>
  <c r="Y32" i="25"/>
  <c r="Y32" i="26"/>
  <c r="Y86" i="24"/>
  <c r="Y22" i="27"/>
  <c r="Y7" i="27"/>
  <c r="Y91" i="17"/>
  <c r="Y35" i="26"/>
  <c r="P33" i="11"/>
  <c r="P41" i="10"/>
  <c r="P17" i="11"/>
  <c r="R23" i="26"/>
  <c r="P32" i="29"/>
  <c r="O34" i="5"/>
  <c r="P6" i="11"/>
  <c r="R6" i="3"/>
  <c r="O6" i="16"/>
  <c r="P10" i="4"/>
  <c r="P14" i="11"/>
  <c r="R61" i="21"/>
  <c r="R37" i="26"/>
  <c r="R38" i="25"/>
  <c r="R7" i="13"/>
  <c r="R22" i="13"/>
  <c r="P18" i="11"/>
  <c r="R7" i="3"/>
  <c r="R39" i="25"/>
  <c r="P31" i="29"/>
  <c r="P31" i="11"/>
  <c r="P39" i="10"/>
  <c r="P54" i="11"/>
  <c r="P31" i="4"/>
  <c r="R37" i="25"/>
  <c r="R58" i="21"/>
  <c r="R39" i="26"/>
  <c r="R38" i="26"/>
  <c r="R43" i="13"/>
  <c r="P20" i="11"/>
  <c r="R23" i="25"/>
  <c r="O33" i="9"/>
  <c r="R30" i="13"/>
  <c r="P23" i="11"/>
  <c r="P31" i="10"/>
  <c r="P45" i="4"/>
  <c r="R40" i="13"/>
  <c r="P36" i="11"/>
  <c r="P44" i="10"/>
  <c r="R8" i="3"/>
  <c r="P52" i="4"/>
  <c r="P24" i="11"/>
  <c r="P32" i="10"/>
  <c r="P8" i="11"/>
  <c r="C17" i="22"/>
  <c r="C42" i="22"/>
  <c r="C18" i="28"/>
  <c r="C15" i="17"/>
  <c r="C24" i="22"/>
  <c r="C26" i="22"/>
  <c r="C43" i="22"/>
  <c r="C25" i="22"/>
  <c r="C10" i="26"/>
  <c r="C9" i="25"/>
  <c r="C41" i="17"/>
  <c r="C8" i="26"/>
  <c r="C10" i="25"/>
  <c r="C52" i="17"/>
  <c r="C41" i="22"/>
  <c r="C16" i="28"/>
  <c r="C13" i="17"/>
  <c r="C19" i="28"/>
  <c r="C16" i="17"/>
  <c r="C40" i="21"/>
  <c r="C17" i="28"/>
  <c r="C14" i="17"/>
  <c r="C21" i="22"/>
  <c r="C36" i="22"/>
  <c r="C20" i="28"/>
  <c r="C17" i="17"/>
  <c r="C8" i="25"/>
  <c r="C48" i="22"/>
  <c r="C9" i="26"/>
  <c r="L10" i="11"/>
  <c r="L31" i="11"/>
  <c r="L39" i="10"/>
  <c r="L15" i="11"/>
  <c r="L32" i="29"/>
  <c r="K34" i="5"/>
  <c r="L22" i="11"/>
  <c r="N37" i="26"/>
  <c r="N38" i="25"/>
  <c r="N39" i="26"/>
  <c r="N38" i="26"/>
  <c r="L13" i="11"/>
  <c r="N23" i="26"/>
  <c r="L6" i="11"/>
  <c r="N6" i="3"/>
  <c r="K6" i="16"/>
  <c r="L10" i="4"/>
  <c r="N43" i="13"/>
  <c r="N7" i="13"/>
  <c r="N22" i="13"/>
  <c r="L18" i="11"/>
  <c r="N7" i="3"/>
  <c r="N39" i="25"/>
  <c r="K31" i="9"/>
  <c r="L54" i="11"/>
  <c r="L31" i="4"/>
  <c r="N37" i="25"/>
  <c r="N58" i="21"/>
  <c r="N61" i="21"/>
  <c r="N40" i="13"/>
  <c r="L36" i="11"/>
  <c r="L44" i="10"/>
  <c r="N8" i="3"/>
  <c r="L52" i="4"/>
  <c r="N30" i="13"/>
  <c r="L23" i="11"/>
  <c r="L31" i="10"/>
  <c r="L45" i="4"/>
  <c r="L21" i="11"/>
  <c r="L20" i="11"/>
  <c r="N23" i="25"/>
  <c r="L31" i="29"/>
  <c r="C6" i="3"/>
  <c r="C38" i="25"/>
  <c r="C61" i="21"/>
  <c r="C40" i="13"/>
  <c r="C8" i="3"/>
  <c r="C38" i="26"/>
  <c r="C23" i="26"/>
  <c r="C23" i="25"/>
  <c r="C37" i="25"/>
  <c r="C58" i="21"/>
  <c r="C39" i="26"/>
  <c r="C43" i="13"/>
  <c r="C30" i="13"/>
  <c r="C37" i="26"/>
  <c r="C7" i="13"/>
  <c r="C22" i="13"/>
  <c r="C7" i="3"/>
  <c r="C39" i="25"/>
  <c r="S12" i="11"/>
  <c r="S31" i="29"/>
  <c r="U39" i="26"/>
  <c r="S20" i="11"/>
  <c r="U23" i="25"/>
  <c r="U23" i="26"/>
  <c r="U61" i="21"/>
  <c r="S57" i="11"/>
  <c r="S24" i="4"/>
  <c r="U30" i="13"/>
  <c r="S23" i="11"/>
  <c r="S31" i="10"/>
  <c r="S45" i="4"/>
  <c r="S6" i="11"/>
  <c r="U6" i="3"/>
  <c r="R6" i="16"/>
  <c r="S10" i="4"/>
  <c r="S19" i="11"/>
  <c r="S13" i="11"/>
  <c r="S31" i="11"/>
  <c r="S39" i="10"/>
  <c r="U38" i="26"/>
  <c r="S54" i="11"/>
  <c r="S31" i="4"/>
  <c r="U37" i="25"/>
  <c r="U58" i="21"/>
  <c r="U37" i="26"/>
  <c r="U7" i="13"/>
  <c r="U22" i="13"/>
  <c r="S18" i="11"/>
  <c r="U7" i="3"/>
  <c r="U39" i="25"/>
  <c r="U40" i="13"/>
  <c r="S36" i="11"/>
  <c r="S44" i="10"/>
  <c r="U8" i="3"/>
  <c r="S52" i="4"/>
  <c r="S8" i="11"/>
  <c r="U38" i="25"/>
  <c r="U43" i="13"/>
  <c r="S32" i="29"/>
  <c r="R34" i="5"/>
  <c r="S17" i="11"/>
  <c r="D49" i="22"/>
  <c r="D39" i="22"/>
  <c r="D32" i="22"/>
  <c r="D20" i="28"/>
  <c r="D17" i="17"/>
  <c r="D10" i="25"/>
  <c r="D52" i="17"/>
  <c r="D48" i="22"/>
  <c r="D8" i="25"/>
  <c r="D17" i="28"/>
  <c r="D14" i="17"/>
  <c r="D23" i="22"/>
  <c r="D10" i="26"/>
  <c r="D9" i="25"/>
  <c r="D41" i="17"/>
  <c r="D9" i="26"/>
  <c r="D45" i="22"/>
  <c r="D33" i="22"/>
  <c r="D18" i="28"/>
  <c r="D15" i="17"/>
  <c r="D8" i="26"/>
  <c r="D47" i="21"/>
  <c r="D46" i="22"/>
  <c r="D10" i="22"/>
  <c r="D16" i="28"/>
  <c r="D13" i="17"/>
  <c r="D19" i="22"/>
  <c r="D19" i="28"/>
  <c r="D16" i="17"/>
  <c r="W25" i="34"/>
  <c r="W26" i="34"/>
  <c r="W30" i="34"/>
  <c r="E39" i="26"/>
  <c r="C11" i="11"/>
  <c r="C16" i="11"/>
  <c r="C31" i="29"/>
  <c r="C8" i="11"/>
  <c r="E43" i="13"/>
  <c r="E23" i="26"/>
  <c r="C7" i="11"/>
  <c r="C54" i="11"/>
  <c r="C31" i="4"/>
  <c r="E37" i="25"/>
  <c r="E58" i="21"/>
  <c r="E40" i="13"/>
  <c r="C36" i="11"/>
  <c r="C44" i="10"/>
  <c r="E8" i="3"/>
  <c r="C52" i="4"/>
  <c r="C12" i="11"/>
  <c r="C57" i="11"/>
  <c r="C24" i="4"/>
  <c r="E61" i="21"/>
  <c r="C24" i="11"/>
  <c r="C32" i="10"/>
  <c r="E37" i="26"/>
  <c r="E30" i="13"/>
  <c r="C23" i="11"/>
  <c r="C31" i="10"/>
  <c r="C45" i="4"/>
  <c r="E38" i="26"/>
  <c r="E7" i="13"/>
  <c r="E22" i="13"/>
  <c r="C18" i="11"/>
  <c r="E7" i="3"/>
  <c r="E39" i="25"/>
  <c r="C32" i="29"/>
  <c r="C19" i="11"/>
  <c r="C20" i="11"/>
  <c r="E23" i="25"/>
  <c r="E38" i="25"/>
  <c r="G25" i="34"/>
  <c r="G30" i="34"/>
  <c r="G26" i="34"/>
  <c r="X30" i="34"/>
  <c r="X26" i="34"/>
  <c r="X25" i="34"/>
  <c r="H26" i="34"/>
  <c r="H25" i="34"/>
  <c r="H30" i="34"/>
  <c r="V37" i="26"/>
  <c r="V23" i="26"/>
  <c r="T6" i="11"/>
  <c r="V6" i="3"/>
  <c r="S6" i="16"/>
  <c r="T10" i="4"/>
  <c r="V61" i="21"/>
  <c r="V38" i="25"/>
  <c r="T21" i="11"/>
  <c r="V30" i="13"/>
  <c r="T23" i="11"/>
  <c r="T31" i="10"/>
  <c r="T45" i="4"/>
  <c r="T20" i="11"/>
  <c r="V23" i="25"/>
  <c r="V38" i="26"/>
  <c r="T19" i="11"/>
  <c r="T31" i="29"/>
  <c r="V7" i="13"/>
  <c r="V22" i="13"/>
  <c r="T18" i="11"/>
  <c r="V7" i="3"/>
  <c r="V39" i="25"/>
  <c r="V39" i="26"/>
  <c r="T32" i="11"/>
  <c r="T40" i="10"/>
  <c r="T31" i="11"/>
  <c r="T39" i="10"/>
  <c r="T54" i="11"/>
  <c r="T31" i="4"/>
  <c r="V37" i="25"/>
  <c r="V58" i="21"/>
  <c r="T32" i="29"/>
  <c r="S34" i="5"/>
  <c r="V40" i="13"/>
  <c r="T36" i="11"/>
  <c r="T44" i="10"/>
  <c r="V8" i="3"/>
  <c r="T52" i="4"/>
  <c r="V43" i="13"/>
  <c r="T13" i="11"/>
  <c r="T57" i="11"/>
  <c r="T24" i="4"/>
  <c r="T12" i="11"/>
  <c r="D57" i="11"/>
  <c r="D24" i="4"/>
  <c r="D21" i="11"/>
  <c r="F7" i="13"/>
  <c r="F22" i="13"/>
  <c r="D18" i="11"/>
  <c r="F7" i="3"/>
  <c r="F39" i="25"/>
  <c r="F40" i="13"/>
  <c r="D36" i="11"/>
  <c r="D44" i="10"/>
  <c r="F8" i="3"/>
  <c r="D52" i="4"/>
  <c r="F39" i="26"/>
  <c r="F37" i="26"/>
  <c r="D12" i="11"/>
  <c r="F30" i="13"/>
  <c r="D23" i="11"/>
  <c r="D31" i="10"/>
  <c r="D45" i="4"/>
  <c r="D17" i="11"/>
  <c r="D54" i="11"/>
  <c r="D31" i="4"/>
  <c r="F37" i="25"/>
  <c r="F58" i="21"/>
  <c r="F38" i="25"/>
  <c r="F43" i="13"/>
  <c r="D32" i="29"/>
  <c r="C34" i="5"/>
  <c r="F23" i="26"/>
  <c r="D31" i="29"/>
  <c r="D6" i="11"/>
  <c r="F6" i="3"/>
  <c r="C6" i="16"/>
  <c r="D10" i="4"/>
  <c r="D8" i="11"/>
  <c r="D13" i="11"/>
  <c r="F38" i="26"/>
  <c r="D32" i="11"/>
  <c r="D40" i="10"/>
  <c r="D20" i="11"/>
  <c r="F23" i="25"/>
  <c r="F61" i="21"/>
  <c r="G26" i="26"/>
  <c r="G21" i="27"/>
  <c r="G17" i="27"/>
  <c r="D14" i="5"/>
  <c r="G31" i="25"/>
  <c r="E20" i="29"/>
  <c r="G34" i="26"/>
  <c r="E26" i="29"/>
  <c r="G20" i="27"/>
  <c r="G51" i="24"/>
  <c r="G12" i="27"/>
  <c r="G26" i="25"/>
  <c r="G9" i="27"/>
  <c r="G22" i="27"/>
  <c r="G10" i="27"/>
  <c r="G25" i="25"/>
  <c r="G35" i="26"/>
  <c r="G13" i="27"/>
  <c r="G27" i="25"/>
  <c r="G76" i="24"/>
  <c r="E43" i="29"/>
  <c r="G88" i="24"/>
  <c r="G27" i="26"/>
  <c r="G17" i="30"/>
  <c r="G16" i="27"/>
  <c r="G30" i="25"/>
  <c r="G30" i="26"/>
  <c r="G70" i="24"/>
  <c r="K57" i="11"/>
  <c r="K24" i="4"/>
  <c r="K56" i="11"/>
  <c r="K6" i="11"/>
  <c r="M6" i="3"/>
  <c r="J6" i="16"/>
  <c r="K10" i="4"/>
  <c r="M39" i="26"/>
  <c r="K11" i="11"/>
  <c r="M38" i="26"/>
  <c r="K32" i="29"/>
  <c r="J34" i="5"/>
  <c r="M43" i="13"/>
  <c r="K22" i="11"/>
  <c r="K7" i="11"/>
  <c r="M40" i="13"/>
  <c r="K36" i="11"/>
  <c r="K44" i="10"/>
  <c r="M8" i="3"/>
  <c r="K52" i="4"/>
  <c r="K54" i="11"/>
  <c r="K31" i="4"/>
  <c r="M37" i="25"/>
  <c r="M58" i="21"/>
  <c r="K20" i="11"/>
  <c r="M23" i="25"/>
  <c r="M37" i="26"/>
  <c r="K31" i="29"/>
  <c r="K15" i="11"/>
  <c r="M23" i="26"/>
  <c r="M30" i="13"/>
  <c r="K23" i="11"/>
  <c r="K31" i="10"/>
  <c r="K45" i="4"/>
  <c r="K31" i="11"/>
  <c r="K39" i="10"/>
  <c r="M61" i="21"/>
  <c r="M38" i="25"/>
  <c r="M7" i="13"/>
  <c r="M22" i="13"/>
  <c r="K18" i="11"/>
  <c r="M7" i="3"/>
  <c r="M39" i="25"/>
  <c r="Z10" i="27"/>
  <c r="Z25" i="25"/>
  <c r="Z76" i="24"/>
  <c r="Z25" i="26"/>
  <c r="Z7" i="27"/>
  <c r="Z91" i="17"/>
  <c r="Z17" i="30"/>
  <c r="Z32" i="26"/>
  <c r="Z20" i="27"/>
  <c r="Z16" i="27"/>
  <c r="Z30" i="25"/>
  <c r="W14" i="9"/>
  <c r="Z31" i="26"/>
  <c r="Z22" i="27"/>
  <c r="Z56" i="24"/>
  <c r="Z12" i="27"/>
  <c r="Z26" i="25"/>
  <c r="Z13" i="27"/>
  <c r="Z27" i="25"/>
  <c r="X20" i="29"/>
  <c r="X43" i="29"/>
  <c r="Z14" i="27"/>
  <c r="Z28" i="25"/>
  <c r="Z8" i="27"/>
  <c r="Z6" i="27"/>
  <c r="Z17" i="27"/>
  <c r="W14" i="5"/>
  <c r="Z31" i="25"/>
  <c r="X26" i="29"/>
  <c r="Z18" i="27"/>
  <c r="Z32" i="25"/>
  <c r="X11" i="29"/>
  <c r="J6" i="27"/>
  <c r="J17" i="27"/>
  <c r="G14" i="5"/>
  <c r="J31" i="25"/>
  <c r="J21" i="27"/>
  <c r="G14" i="9"/>
  <c r="J31" i="26"/>
  <c r="J16" i="27"/>
  <c r="J30" i="25"/>
  <c r="J56" i="24"/>
  <c r="J13" i="27"/>
  <c r="J27" i="25"/>
  <c r="J12" i="27"/>
  <c r="J26" i="25"/>
  <c r="H20" i="29"/>
  <c r="J18" i="27"/>
  <c r="J32" i="25"/>
  <c r="J32" i="26"/>
  <c r="J7" i="27"/>
  <c r="J91" i="17"/>
  <c r="J20" i="27"/>
  <c r="J22" i="27"/>
  <c r="H43" i="29"/>
  <c r="J14" i="27"/>
  <c r="J28" i="25"/>
  <c r="H11" i="29"/>
  <c r="J10" i="27"/>
  <c r="J25" i="25"/>
  <c r="J76" i="24"/>
  <c r="J25" i="26"/>
  <c r="J17" i="30"/>
  <c r="H26" i="29"/>
  <c r="J11" i="29"/>
  <c r="L54" i="24"/>
  <c r="L8" i="27"/>
  <c r="L27" i="26"/>
  <c r="L9" i="27"/>
  <c r="L26" i="26"/>
  <c r="J26" i="29"/>
  <c r="L20" i="27"/>
  <c r="L21" i="27"/>
  <c r="L28" i="26"/>
  <c r="L34" i="26"/>
  <c r="J43" i="29"/>
  <c r="L74" i="24"/>
  <c r="L14" i="27"/>
  <c r="L28" i="25"/>
  <c r="L35" i="26"/>
  <c r="L13" i="27"/>
  <c r="L27" i="25"/>
  <c r="L16" i="27"/>
  <c r="L30" i="25"/>
  <c r="I14" i="9"/>
  <c r="L31" i="26"/>
  <c r="L17" i="30"/>
  <c r="L30" i="26"/>
  <c r="L12" i="27"/>
  <c r="L26" i="25"/>
  <c r="J20" i="29"/>
  <c r="F54" i="11"/>
  <c r="F31" i="4"/>
  <c r="H37" i="25"/>
  <c r="H58" i="21"/>
  <c r="F14" i="11"/>
  <c r="H40" i="13"/>
  <c r="F36" i="11"/>
  <c r="F44" i="10"/>
  <c r="H8" i="3"/>
  <c r="F52" i="4"/>
  <c r="F31" i="11"/>
  <c r="F39" i="10"/>
  <c r="F21" i="11"/>
  <c r="F31" i="29"/>
  <c r="H39" i="26"/>
  <c r="H37" i="26"/>
  <c r="F17" i="11"/>
  <c r="F16" i="11"/>
  <c r="E32" i="9"/>
  <c r="H38" i="25"/>
  <c r="H61" i="21"/>
  <c r="F20" i="11"/>
  <c r="H23" i="25"/>
  <c r="H23" i="26"/>
  <c r="H30" i="13"/>
  <c r="F23" i="11"/>
  <c r="F31" i="10"/>
  <c r="F45" i="4"/>
  <c r="F6" i="11"/>
  <c r="H6" i="3"/>
  <c r="E6" i="16"/>
  <c r="F10" i="4"/>
  <c r="H7" i="13"/>
  <c r="H22" i="13"/>
  <c r="F18" i="11"/>
  <c r="H7" i="3"/>
  <c r="H39" i="25"/>
  <c r="H43" i="13"/>
  <c r="H38" i="26"/>
  <c r="F32" i="29"/>
  <c r="E34" i="5"/>
  <c r="F15" i="11"/>
  <c r="W32" i="11"/>
  <c r="W40" i="10"/>
  <c r="Y23" i="26"/>
  <c r="W7" i="11"/>
  <c r="Y30" i="13"/>
  <c r="W23" i="11"/>
  <c r="W31" i="10"/>
  <c r="W45" i="4"/>
  <c r="Y37" i="26"/>
  <c r="Y38" i="25"/>
  <c r="Y43" i="13"/>
  <c r="W24" i="11"/>
  <c r="W32" i="10"/>
  <c r="W8" i="11"/>
  <c r="W54" i="11"/>
  <c r="W31" i="4"/>
  <c r="Y37" i="25"/>
  <c r="Y58" i="21"/>
  <c r="W12" i="11"/>
  <c r="Y39" i="26"/>
  <c r="W32" i="29"/>
  <c r="V34" i="5"/>
  <c r="W16" i="11"/>
  <c r="W57" i="11"/>
  <c r="W24" i="4"/>
  <c r="Y61" i="21"/>
  <c r="W20" i="11"/>
  <c r="Y23" i="25"/>
  <c r="W31" i="29"/>
  <c r="Y38" i="26"/>
  <c r="W6" i="11"/>
  <c r="Y6" i="3"/>
  <c r="V6" i="16"/>
  <c r="W10" i="4"/>
  <c r="Y40" i="13"/>
  <c r="W36" i="11"/>
  <c r="W44" i="10"/>
  <c r="Y8" i="3"/>
  <c r="W52" i="4"/>
  <c r="Y7" i="13"/>
  <c r="Y22" i="13"/>
  <c r="W18" i="11"/>
  <c r="Y7" i="3"/>
  <c r="Y39" i="25"/>
  <c r="K26" i="29"/>
  <c r="J14" i="9"/>
  <c r="M31" i="26"/>
  <c r="M13" i="27"/>
  <c r="M27" i="25"/>
  <c r="M10" i="27"/>
  <c r="M25" i="25"/>
  <c r="K43" i="29"/>
  <c r="M45" i="24"/>
  <c r="K11" i="29"/>
  <c r="M17" i="27"/>
  <c r="J14" i="5"/>
  <c r="M31" i="25"/>
  <c r="M17" i="30"/>
  <c r="M28" i="26"/>
  <c r="M22" i="27"/>
  <c r="M6" i="27"/>
  <c r="M20" i="27"/>
  <c r="M12" i="27"/>
  <c r="M26" i="25"/>
  <c r="M35" i="25"/>
  <c r="M8" i="27"/>
  <c r="M26" i="26"/>
  <c r="M81" i="24"/>
  <c r="M30" i="26"/>
  <c r="M27" i="26"/>
  <c r="K20" i="29"/>
  <c r="M9" i="27"/>
  <c r="N20" i="11"/>
  <c r="P23" i="25"/>
  <c r="P43" i="13"/>
  <c r="N31" i="11"/>
  <c r="N39" i="10"/>
  <c r="N21" i="11"/>
  <c r="P7" i="13"/>
  <c r="P22" i="13"/>
  <c r="N18" i="11"/>
  <c r="P7" i="3"/>
  <c r="P39" i="25"/>
  <c r="P39" i="26"/>
  <c r="P40" i="13"/>
  <c r="N36" i="11"/>
  <c r="N44" i="10"/>
  <c r="P8" i="3"/>
  <c r="N52" i="4"/>
  <c r="N14" i="11"/>
  <c r="N32" i="29"/>
  <c r="M34" i="5"/>
  <c r="N22" i="11"/>
  <c r="N33" i="11"/>
  <c r="N41" i="10"/>
  <c r="P38" i="25"/>
  <c r="N54" i="11"/>
  <c r="N31" i="4"/>
  <c r="P37" i="25"/>
  <c r="P58" i="21"/>
  <c r="P23" i="26"/>
  <c r="N15" i="11"/>
  <c r="P37" i="26"/>
  <c r="P38" i="26"/>
  <c r="P30" i="13"/>
  <c r="N23" i="11"/>
  <c r="N31" i="10"/>
  <c r="N45" i="4"/>
  <c r="P61" i="21"/>
  <c r="N56" i="11"/>
  <c r="N6" i="11"/>
  <c r="P6" i="3"/>
  <c r="M6" i="16"/>
  <c r="N10" i="4"/>
  <c r="N31" i="29"/>
  <c r="M6" i="11"/>
  <c r="O6" i="3"/>
  <c r="L6" i="16"/>
  <c r="M10" i="4"/>
  <c r="O40" i="13"/>
  <c r="M36" i="11"/>
  <c r="M44" i="10"/>
  <c r="O8" i="3"/>
  <c r="M52" i="4"/>
  <c r="M32" i="29"/>
  <c r="L34" i="5"/>
  <c r="O23" i="26"/>
  <c r="O38" i="26"/>
  <c r="M14" i="11"/>
  <c r="M20" i="11"/>
  <c r="O23" i="25"/>
  <c r="M21" i="11"/>
  <c r="M31" i="29"/>
  <c r="O38" i="25"/>
  <c r="O7" i="13"/>
  <c r="O22" i="13"/>
  <c r="M18" i="11"/>
  <c r="O7" i="3"/>
  <c r="O39" i="25"/>
  <c r="O43" i="13"/>
  <c r="M24" i="11"/>
  <c r="M32" i="10"/>
  <c r="M54" i="11"/>
  <c r="M31" i="4"/>
  <c r="O37" i="25"/>
  <c r="O58" i="21"/>
  <c r="O61" i="21"/>
  <c r="M13" i="11"/>
  <c r="O30" i="13"/>
  <c r="M23" i="11"/>
  <c r="M31" i="10"/>
  <c r="M45" i="4"/>
  <c r="O37" i="26"/>
  <c r="O39" i="26"/>
  <c r="M10" i="11"/>
  <c r="M33" i="11"/>
  <c r="M41" i="10"/>
  <c r="M22" i="11"/>
  <c r="O11" i="30"/>
  <c r="O9" i="28"/>
  <c r="O24" i="23"/>
  <c r="O22" i="30"/>
  <c r="O15" i="30"/>
  <c r="O13" i="28"/>
  <c r="O92" i="17"/>
  <c r="O25" i="23"/>
  <c r="O23" i="30"/>
  <c r="O13" i="30"/>
  <c r="O9" i="30"/>
  <c r="O7" i="28"/>
  <c r="O20" i="26"/>
  <c r="O13" i="25"/>
  <c r="O67" i="24"/>
  <c r="O7" i="30"/>
  <c r="O13" i="26"/>
  <c r="O6" i="28"/>
  <c r="O10" i="28"/>
  <c r="O8" i="28"/>
  <c r="O14" i="28"/>
  <c r="O18" i="26"/>
  <c r="O20" i="25"/>
  <c r="O21" i="30"/>
  <c r="O19" i="30"/>
  <c r="W18" i="27"/>
  <c r="W32" i="25"/>
  <c r="U20" i="29"/>
  <c r="T14" i="9"/>
  <c r="W31" i="26"/>
  <c r="W17" i="30"/>
  <c r="U43" i="29"/>
  <c r="W22" i="27"/>
  <c r="W17" i="27"/>
  <c r="T14" i="5"/>
  <c r="W31" i="25"/>
  <c r="W70" i="24"/>
  <c r="W88" i="24"/>
  <c r="W9" i="27"/>
  <c r="U26" i="29"/>
  <c r="W21" i="27"/>
  <c r="W12" i="27"/>
  <c r="W26" i="25"/>
  <c r="W35" i="26"/>
  <c r="W7" i="27"/>
  <c r="W91" i="17"/>
  <c r="W26" i="26"/>
  <c r="W10" i="27"/>
  <c r="W25" i="25"/>
  <c r="W34" i="26"/>
  <c r="W30" i="26"/>
  <c r="U11" i="29"/>
  <c r="W20" i="27"/>
  <c r="W16" i="27"/>
  <c r="W30" i="25"/>
  <c r="R84" i="24"/>
  <c r="U53" i="24"/>
  <c r="R48" i="24"/>
  <c r="O14" i="9"/>
  <c r="R31" i="26"/>
  <c r="R21" i="27"/>
  <c r="U12" i="27"/>
  <c r="U26" i="25"/>
  <c r="S26" i="29"/>
  <c r="R17" i="30"/>
  <c r="U14" i="27"/>
  <c r="U28" i="25"/>
  <c r="R8" i="27"/>
  <c r="U18" i="27"/>
  <c r="U32" i="25"/>
  <c r="R17" i="27"/>
  <c r="O14" i="5"/>
  <c r="R31" i="25"/>
  <c r="U28" i="26"/>
  <c r="R32" i="26"/>
  <c r="R16" i="27"/>
  <c r="R30" i="25"/>
  <c r="U22" i="27"/>
  <c r="U34" i="25"/>
  <c r="U89" i="17"/>
  <c r="P43" i="29"/>
  <c r="U34" i="26"/>
  <c r="P20" i="29"/>
  <c r="R7" i="27"/>
  <c r="R91" i="17"/>
  <c r="R20" i="27"/>
  <c r="U17" i="30"/>
  <c r="R12" i="27"/>
  <c r="R26" i="25"/>
  <c r="P26" i="29"/>
  <c r="S20" i="29"/>
  <c r="R6" i="27"/>
  <c r="R18" i="27"/>
  <c r="R32" i="25"/>
  <c r="R26" i="26"/>
  <c r="R35" i="25"/>
  <c r="R13" i="27"/>
  <c r="R27" i="25"/>
  <c r="R35" i="26"/>
  <c r="R30" i="26"/>
  <c r="U27" i="26"/>
  <c r="U16" i="27"/>
  <c r="U30" i="25"/>
  <c r="U13" i="27"/>
  <c r="U27" i="25"/>
  <c r="U32" i="26"/>
  <c r="S11" i="29"/>
  <c r="U7" i="27"/>
  <c r="U91" i="17"/>
  <c r="U78" i="24"/>
  <c r="U10" i="27"/>
  <c r="U25" i="25"/>
  <c r="U73" i="24"/>
  <c r="U35" i="26"/>
  <c r="S43" i="29"/>
  <c r="I30" i="34"/>
  <c r="I26" i="34"/>
  <c r="I25" i="34"/>
  <c r="J25" i="34"/>
  <c r="J30" i="34"/>
  <c r="J26" i="34"/>
  <c r="Z25" i="34"/>
  <c r="Z26" i="34"/>
  <c r="Z30" i="34"/>
  <c r="V54" i="11"/>
  <c r="V31" i="4"/>
  <c r="X37" i="25"/>
  <c r="X58" i="21"/>
  <c r="X61" i="21"/>
  <c r="V15" i="11"/>
  <c r="X40" i="13"/>
  <c r="V36" i="11"/>
  <c r="V44" i="10"/>
  <c r="X8" i="3"/>
  <c r="V52" i="4"/>
  <c r="V12" i="11"/>
  <c r="X23" i="26"/>
  <c r="X37" i="26"/>
  <c r="X30" i="13"/>
  <c r="V23" i="11"/>
  <c r="V31" i="10"/>
  <c r="V45" i="4"/>
  <c r="X38" i="26"/>
  <c r="X38" i="25"/>
  <c r="X43" i="13"/>
  <c r="V21" i="11"/>
  <c r="U32" i="9"/>
  <c r="X39" i="26"/>
  <c r="V31" i="29"/>
  <c r="V56" i="11"/>
  <c r="V31" i="11"/>
  <c r="V39" i="10"/>
  <c r="V20" i="11"/>
  <c r="X23" i="25"/>
  <c r="V14" i="11"/>
  <c r="X7" i="13"/>
  <c r="X22" i="13"/>
  <c r="V18" i="11"/>
  <c r="X7" i="3"/>
  <c r="X39" i="25"/>
  <c r="V32" i="29"/>
  <c r="U34" i="5"/>
  <c r="V6" i="11"/>
  <c r="X6" i="3"/>
  <c r="U6" i="16"/>
  <c r="V10" i="4"/>
  <c r="H33" i="11"/>
  <c r="H41" i="10"/>
  <c r="J7" i="13"/>
  <c r="J22" i="13"/>
  <c r="H18" i="11"/>
  <c r="J7" i="3"/>
  <c r="J39" i="25"/>
  <c r="H20" i="11"/>
  <c r="J23" i="25"/>
  <c r="J37" i="26"/>
  <c r="J23" i="26"/>
  <c r="J39" i="26"/>
  <c r="H54" i="11"/>
  <c r="H31" i="4"/>
  <c r="J37" i="25"/>
  <c r="J58" i="21"/>
  <c r="J40" i="13"/>
  <c r="H36" i="11"/>
  <c r="H44" i="10"/>
  <c r="J8" i="3"/>
  <c r="H52" i="4"/>
  <c r="H57" i="11"/>
  <c r="H24" i="4"/>
  <c r="H32" i="29"/>
  <c r="G34" i="5"/>
  <c r="J43" i="13"/>
  <c r="J30" i="13"/>
  <c r="H23" i="11"/>
  <c r="H31" i="10"/>
  <c r="H45" i="4"/>
  <c r="J61" i="21"/>
  <c r="H32" i="11"/>
  <c r="H40" i="10"/>
  <c r="J38" i="25"/>
  <c r="H11" i="11"/>
  <c r="H31" i="29"/>
  <c r="J38" i="26"/>
  <c r="H6" i="11"/>
  <c r="J6" i="3"/>
  <c r="G6" i="16"/>
  <c r="H10" i="4"/>
  <c r="H16" i="11"/>
  <c r="H9" i="11"/>
  <c r="H17" i="11"/>
  <c r="E18" i="27"/>
  <c r="E32" i="25"/>
  <c r="C20" i="29"/>
  <c r="C26" i="29"/>
  <c r="E34" i="26"/>
  <c r="E17" i="30"/>
  <c r="C11" i="29"/>
  <c r="C43" i="29"/>
  <c r="E7" i="27"/>
  <c r="E91" i="17"/>
  <c r="E21" i="27"/>
  <c r="E12" i="27"/>
  <c r="E26" i="25"/>
  <c r="E53" i="24"/>
  <c r="E16" i="27"/>
  <c r="E30" i="25"/>
  <c r="E17" i="27"/>
  <c r="E31" i="25"/>
  <c r="E9" i="27"/>
  <c r="E14" i="27"/>
  <c r="E28" i="25"/>
  <c r="E86" i="24"/>
  <c r="E73" i="24"/>
  <c r="E13" i="27"/>
  <c r="E27" i="25"/>
  <c r="E28" i="26"/>
  <c r="E32" i="26"/>
  <c r="E20" i="27"/>
  <c r="E78" i="24"/>
  <c r="Y26" i="34"/>
  <c r="Y30" i="34"/>
  <c r="Y25" i="34"/>
  <c r="I38" i="25"/>
  <c r="G7" i="11"/>
  <c r="G31" i="29"/>
  <c r="I43" i="13"/>
  <c r="I23" i="26"/>
  <c r="G6" i="11"/>
  <c r="I6" i="3"/>
  <c r="F6" i="16"/>
  <c r="G10" i="4"/>
  <c r="I39" i="26"/>
  <c r="G32" i="11"/>
  <c r="G40" i="10"/>
  <c r="G20" i="11"/>
  <c r="I23" i="25"/>
  <c r="G11" i="11"/>
  <c r="G54" i="11"/>
  <c r="G31" i="4"/>
  <c r="I37" i="25"/>
  <c r="I58" i="21"/>
  <c r="G32" i="29"/>
  <c r="F34" i="5"/>
  <c r="I38" i="26"/>
  <c r="I30" i="13"/>
  <c r="G23" i="11"/>
  <c r="G31" i="10"/>
  <c r="G45" i="4"/>
  <c r="I61" i="21"/>
  <c r="I40" i="13"/>
  <c r="G36" i="11"/>
  <c r="G44" i="10"/>
  <c r="I8" i="3"/>
  <c r="G52" i="4"/>
  <c r="I37" i="26"/>
  <c r="I7" i="13"/>
  <c r="I22" i="13"/>
  <c r="G18" i="11"/>
  <c r="I7" i="3"/>
  <c r="I39" i="25"/>
  <c r="G22" i="11"/>
  <c r="G16" i="11"/>
  <c r="G57" i="11"/>
  <c r="G24" i="4"/>
  <c r="G24" i="11"/>
  <c r="G32" i="10"/>
  <c r="K25" i="34"/>
  <c r="K26" i="34"/>
  <c r="K30" i="34"/>
  <c r="O54" i="11"/>
  <c r="O31" i="4"/>
  <c r="Q37" i="25"/>
  <c r="Q58" i="21"/>
  <c r="Q61" i="21"/>
  <c r="O16" i="11"/>
  <c r="Q39" i="26"/>
  <c r="O15" i="11"/>
  <c r="Q23" i="26"/>
  <c r="Q38" i="25"/>
  <c r="O6" i="11"/>
  <c r="Q6" i="3"/>
  <c r="N6" i="16"/>
  <c r="O10" i="4"/>
  <c r="O31" i="29"/>
  <c r="O31" i="11"/>
  <c r="O39" i="10"/>
  <c r="O8" i="11"/>
  <c r="O56" i="11"/>
  <c r="Q40" i="13"/>
  <c r="O36" i="11"/>
  <c r="O44" i="10"/>
  <c r="Q8" i="3"/>
  <c r="O52" i="4"/>
  <c r="Q7" i="13"/>
  <c r="Q22" i="13"/>
  <c r="O18" i="11"/>
  <c r="Q7" i="3"/>
  <c r="Q39" i="25"/>
  <c r="O20" i="11"/>
  <c r="Q23" i="25"/>
  <c r="O32" i="29"/>
  <c r="N34" i="5"/>
  <c r="Q30" i="13"/>
  <c r="O23" i="11"/>
  <c r="O31" i="10"/>
  <c r="O45" i="4"/>
  <c r="Q37" i="26"/>
  <c r="Q43" i="13"/>
  <c r="O32" i="11"/>
  <c r="O40" i="10"/>
  <c r="Q38" i="26"/>
  <c r="O22" i="11"/>
  <c r="Z23" i="26"/>
  <c r="Z37" i="26"/>
  <c r="X17" i="11"/>
  <c r="Z38" i="26"/>
  <c r="Z30" i="13"/>
  <c r="X23" i="11"/>
  <c r="X31" i="10"/>
  <c r="X45" i="4"/>
  <c r="X11" i="11"/>
  <c r="X20" i="11"/>
  <c r="Z23" i="25"/>
  <c r="Z43" i="13"/>
  <c r="X32" i="11"/>
  <c r="X40" i="10"/>
  <c r="X33" i="11"/>
  <c r="X41" i="10"/>
  <c r="Z40" i="13"/>
  <c r="X36" i="11"/>
  <c r="X44" i="10"/>
  <c r="Z8" i="3"/>
  <c r="X52" i="4"/>
  <c r="Z39" i="26"/>
  <c r="Z7" i="13"/>
  <c r="Z22" i="13"/>
  <c r="X18" i="11"/>
  <c r="Z7" i="3"/>
  <c r="Z39" i="25"/>
  <c r="X9" i="11"/>
  <c r="X54" i="11"/>
  <c r="X31" i="4"/>
  <c r="Z37" i="25"/>
  <c r="Z58" i="21"/>
  <c r="Z61" i="21"/>
  <c r="X32" i="29"/>
  <c r="W34" i="5"/>
  <c r="Z38" i="25"/>
  <c r="X6" i="11"/>
  <c r="Z6" i="3"/>
  <c r="W6" i="16"/>
  <c r="X10" i="4"/>
  <c r="X16" i="11"/>
  <c r="X57" i="11"/>
  <c r="X24" i="4"/>
  <c r="X31" i="29"/>
  <c r="AA30" i="34"/>
  <c r="AA26" i="34"/>
  <c r="AA25" i="34"/>
  <c r="L25" i="34"/>
  <c r="L30" i="34"/>
  <c r="L26" i="34"/>
  <c r="P10" i="9"/>
  <c r="S8" i="26"/>
  <c r="S10" i="26"/>
  <c r="Q8" i="29"/>
  <c r="Q30" i="29"/>
  <c r="Q41" i="29"/>
  <c r="Q18" i="29"/>
  <c r="Q39" i="29"/>
  <c r="Q16" i="29"/>
  <c r="S17" i="28"/>
  <c r="S14" i="17"/>
  <c r="S9" i="25"/>
  <c r="S41" i="17"/>
  <c r="Q9" i="29"/>
  <c r="S20" i="28"/>
  <c r="S17" i="17"/>
  <c r="P10" i="5"/>
  <c r="S8" i="25"/>
  <c r="Q9" i="2"/>
  <c r="Q38" i="29"/>
  <c r="Q15" i="29"/>
  <c r="Q25" i="29"/>
  <c r="Q19" i="29"/>
  <c r="Q10" i="29"/>
  <c r="R12" i="8"/>
  <c r="P6" i="9"/>
  <c r="P6" i="5"/>
  <c r="Q6" i="2"/>
  <c r="S18" i="28"/>
  <c r="S15" i="17"/>
  <c r="Q24" i="29"/>
  <c r="Q7" i="29"/>
  <c r="Q29" i="29"/>
  <c r="S19" i="28"/>
  <c r="S16" i="17"/>
  <c r="S9" i="26"/>
  <c r="Q42" i="29"/>
  <c r="Q33" i="29"/>
  <c r="P55" i="6"/>
  <c r="P11" i="5"/>
  <c r="Q10" i="2"/>
  <c r="Q40" i="29"/>
  <c r="Q17" i="29"/>
  <c r="Q36" i="29"/>
  <c r="Q22" i="29"/>
  <c r="Q13" i="29"/>
  <c r="S16" i="28"/>
  <c r="S13" i="17"/>
  <c r="Q37" i="29"/>
  <c r="Q23" i="29"/>
  <c r="Q14" i="29"/>
  <c r="S25" i="34"/>
  <c r="S26" i="34"/>
  <c r="S30" i="34"/>
  <c r="C30" i="34"/>
  <c r="C25" i="34"/>
  <c r="C26" i="34"/>
  <c r="T10" i="27"/>
  <c r="T25" i="25"/>
  <c r="T34" i="26"/>
  <c r="T7" i="27"/>
  <c r="T91" i="17"/>
  <c r="T22" i="27"/>
  <c r="T46" i="24"/>
  <c r="T28" i="26"/>
  <c r="T14" i="27"/>
  <c r="T28" i="25"/>
  <c r="T6" i="27"/>
  <c r="T17" i="27"/>
  <c r="Q14" i="5"/>
  <c r="T31" i="25"/>
  <c r="T17" i="30"/>
  <c r="T20" i="27"/>
  <c r="T32" i="26"/>
  <c r="T82" i="24"/>
  <c r="R26" i="29"/>
  <c r="R43" i="29"/>
  <c r="T27" i="26"/>
  <c r="T35" i="26"/>
  <c r="T16" i="27"/>
  <c r="T30" i="25"/>
  <c r="T13" i="27"/>
  <c r="T27" i="25"/>
  <c r="T9" i="27"/>
  <c r="R20" i="29"/>
  <c r="T18" i="27"/>
  <c r="T32" i="25"/>
  <c r="N20" i="27"/>
  <c r="K14" i="9"/>
  <c r="N31" i="26"/>
  <c r="N22" i="27"/>
  <c r="N6" i="27"/>
  <c r="N17" i="30"/>
  <c r="N17" i="27"/>
  <c r="K14" i="5"/>
  <c r="N31" i="25"/>
  <c r="L43" i="29"/>
  <c r="N18" i="27"/>
  <c r="N32" i="25"/>
  <c r="L11" i="29"/>
  <c r="N25" i="26"/>
  <c r="N35" i="26"/>
  <c r="N30" i="26"/>
  <c r="N10" i="27"/>
  <c r="N25" i="25"/>
  <c r="L20" i="29"/>
  <c r="N52" i="24"/>
  <c r="N27" i="26"/>
  <c r="N89" i="24"/>
  <c r="N13" i="27"/>
  <c r="N27" i="25"/>
  <c r="N26" i="26"/>
  <c r="N12" i="27"/>
  <c r="N26" i="25"/>
  <c r="N32" i="26"/>
  <c r="N71" i="24"/>
  <c r="X9" i="28"/>
  <c r="J6" i="28"/>
  <c r="X20" i="26"/>
  <c r="J15" i="30"/>
  <c r="J16" i="26"/>
  <c r="J13" i="28"/>
  <c r="J92" i="17"/>
  <c r="X21" i="30"/>
  <c r="R29" i="34"/>
  <c r="V34" i="29"/>
  <c r="X7" i="28"/>
  <c r="X7" i="30"/>
  <c r="H34" i="29"/>
  <c r="X15" i="30"/>
  <c r="R27" i="34"/>
  <c r="X9" i="30"/>
  <c r="X13" i="28"/>
  <c r="X92" i="17"/>
  <c r="J19" i="30"/>
  <c r="J7" i="30"/>
  <c r="X11" i="28"/>
  <c r="R41" i="34"/>
  <c r="X8" i="28"/>
  <c r="X11" i="30"/>
  <c r="R36" i="34"/>
  <c r="J9" i="30"/>
  <c r="J15" i="26"/>
  <c r="R8" i="34"/>
  <c r="P21" i="30"/>
  <c r="J19" i="26"/>
  <c r="R35" i="34"/>
  <c r="R44" i="34"/>
  <c r="J18" i="26"/>
  <c r="J7" i="28"/>
  <c r="R46" i="34"/>
  <c r="X12" i="25"/>
  <c r="C19" i="26"/>
  <c r="P11" i="30"/>
  <c r="P13" i="30"/>
  <c r="J10" i="28"/>
  <c r="J8" i="28"/>
  <c r="F11" i="30"/>
  <c r="P69" i="24"/>
  <c r="X12" i="26"/>
  <c r="C7" i="28"/>
  <c r="X10" i="28"/>
  <c r="F11" i="28"/>
  <c r="C13" i="30"/>
  <c r="P7" i="30"/>
  <c r="J21" i="30"/>
  <c r="C14" i="28"/>
  <c r="R7" i="34"/>
  <c r="F68" i="24"/>
  <c r="C9" i="28"/>
  <c r="R37" i="34"/>
  <c r="X25" i="23"/>
  <c r="X23" i="30"/>
  <c r="P65" i="24"/>
  <c r="R38" i="34"/>
  <c r="F25" i="23"/>
  <c r="F23" i="30"/>
  <c r="X19" i="30"/>
  <c r="J16" i="25"/>
  <c r="C19" i="30"/>
  <c r="J13" i="30"/>
  <c r="R40" i="34"/>
  <c r="D34" i="29"/>
  <c r="C9" i="30"/>
  <c r="X13" i="30"/>
  <c r="C15" i="25"/>
  <c r="F21" i="30"/>
  <c r="R45" i="34"/>
  <c r="P9" i="30"/>
  <c r="X24" i="23"/>
  <c r="X22" i="30"/>
  <c r="C18" i="26"/>
  <c r="R31" i="34"/>
  <c r="P19" i="30"/>
  <c r="C38" i="24"/>
  <c r="F13" i="28"/>
  <c r="F92" i="17"/>
  <c r="X41" i="24"/>
  <c r="P15" i="30"/>
  <c r="P14" i="28"/>
  <c r="R42" i="34"/>
  <c r="X16" i="26"/>
  <c r="F9" i="28"/>
  <c r="C21" i="30"/>
  <c r="F7" i="30"/>
  <c r="P13" i="28"/>
  <c r="P92" i="17"/>
  <c r="X19" i="26"/>
  <c r="R39" i="34"/>
  <c r="C16" i="26"/>
  <c r="Q24" i="23"/>
  <c r="Q22" i="30"/>
  <c r="F24" i="23"/>
  <c r="F22" i="30"/>
  <c r="F14" i="28"/>
  <c r="R9" i="34"/>
  <c r="J25" i="23"/>
  <c r="J23" i="30"/>
  <c r="F13" i="30"/>
  <c r="J24" i="23"/>
  <c r="J22" i="30"/>
  <c r="Q11" i="30"/>
  <c r="F16" i="26"/>
  <c r="C7" i="30"/>
  <c r="J11" i="30"/>
  <c r="F10" i="28"/>
  <c r="C24" i="23"/>
  <c r="C22" i="30"/>
  <c r="O34" i="29"/>
  <c r="C6" i="28"/>
  <c r="Q19" i="26"/>
  <c r="J13" i="26"/>
  <c r="P24" i="23"/>
  <c r="P22" i="30"/>
  <c r="P9" i="28"/>
  <c r="Q18" i="25"/>
  <c r="Q65" i="24"/>
  <c r="J39" i="24"/>
  <c r="R10" i="34"/>
  <c r="P20" i="26"/>
  <c r="R43" i="34"/>
  <c r="C11" i="30"/>
  <c r="P10" i="28"/>
  <c r="P25" i="23"/>
  <c r="P23" i="30"/>
  <c r="R28" i="34"/>
  <c r="C25" i="23"/>
  <c r="C23" i="30"/>
  <c r="Q9" i="28"/>
  <c r="Q25" i="23"/>
  <c r="Q23" i="30"/>
  <c r="F18" i="26"/>
  <c r="C12" i="26"/>
  <c r="R47" i="34"/>
  <c r="R34" i="34"/>
  <c r="P18" i="25"/>
  <c r="Q9" i="30"/>
  <c r="F15" i="25"/>
  <c r="C11" i="28"/>
  <c r="C8" i="28"/>
  <c r="F19" i="30"/>
  <c r="Q19" i="30"/>
  <c r="C15" i="30"/>
  <c r="F7" i="28"/>
  <c r="P11" i="28"/>
  <c r="C10" i="28"/>
  <c r="P7" i="28"/>
  <c r="Q7" i="28"/>
  <c r="F8" i="28"/>
  <c r="X20" i="28"/>
  <c r="X17" i="17"/>
  <c r="P13" i="26"/>
  <c r="F15" i="30"/>
  <c r="Q13" i="30"/>
  <c r="F9" i="30"/>
  <c r="P15" i="26"/>
  <c r="V8" i="29"/>
  <c r="V30" i="29"/>
  <c r="F19" i="26"/>
  <c r="N34" i="29"/>
  <c r="X10" i="26"/>
  <c r="Q8" i="28"/>
  <c r="Q15" i="30"/>
  <c r="V41" i="29"/>
  <c r="V18" i="29"/>
  <c r="U10" i="9"/>
  <c r="X8" i="26"/>
  <c r="Q15" i="26"/>
  <c r="Q11" i="28"/>
  <c r="X18" i="28"/>
  <c r="X15" i="17"/>
  <c r="X10" i="25"/>
  <c r="X52" i="17"/>
  <c r="Q21" i="30"/>
  <c r="Q40" i="24"/>
  <c r="V37" i="29"/>
  <c r="V23" i="29"/>
  <c r="V14" i="29"/>
  <c r="V38" i="29"/>
  <c r="V15" i="29"/>
  <c r="Q20" i="26"/>
  <c r="U10" i="5"/>
  <c r="X8" i="25"/>
  <c r="V9" i="2"/>
  <c r="Q7" i="30"/>
  <c r="V7" i="28"/>
  <c r="X19" i="28"/>
  <c r="X16" i="17"/>
  <c r="Q13" i="28"/>
  <c r="Q92" i="17"/>
  <c r="V42" i="29"/>
  <c r="V33" i="29"/>
  <c r="U55" i="6"/>
  <c r="U11" i="5"/>
  <c r="V10" i="2"/>
  <c r="V13" i="28"/>
  <c r="V92" i="17"/>
  <c r="Q90" i="24"/>
  <c r="V24" i="29"/>
  <c r="V9" i="29"/>
  <c r="X16" i="28"/>
  <c r="X13" i="17"/>
  <c r="V9" i="28"/>
  <c r="V36" i="29"/>
  <c r="V22" i="29"/>
  <c r="V13" i="29"/>
  <c r="V19" i="30"/>
  <c r="V25" i="29"/>
  <c r="V19" i="29"/>
  <c r="V10" i="29"/>
  <c r="W12" i="8"/>
  <c r="U6" i="9"/>
  <c r="U6" i="5"/>
  <c r="V6" i="2"/>
  <c r="V11" i="28"/>
  <c r="V13" i="30"/>
  <c r="H8" i="28"/>
  <c r="V9" i="30"/>
  <c r="V10" i="28"/>
  <c r="X17" i="28"/>
  <c r="X14" i="17"/>
  <c r="H25" i="23"/>
  <c r="H23" i="30"/>
  <c r="H7" i="28"/>
  <c r="X9" i="26"/>
  <c r="V21" i="30"/>
  <c r="V15" i="30"/>
  <c r="V39" i="29"/>
  <c r="V16" i="29"/>
  <c r="V14" i="28"/>
  <c r="V25" i="23"/>
  <c r="V23" i="30"/>
  <c r="AA25" i="26"/>
  <c r="V7" i="29"/>
  <c r="V29" i="29"/>
  <c r="AA14" i="27"/>
  <c r="AA28" i="25"/>
  <c r="AA34" i="25"/>
  <c r="AA89" i="17"/>
  <c r="V40" i="29"/>
  <c r="V17" i="29"/>
  <c r="H7" i="30"/>
  <c r="H16" i="26"/>
  <c r="H15" i="30"/>
  <c r="Y43" i="29"/>
  <c r="AA17" i="30"/>
  <c r="F34" i="29"/>
  <c r="V11" i="30"/>
  <c r="AA12" i="27"/>
  <c r="AA26" i="25"/>
  <c r="V19" i="26"/>
  <c r="H9" i="28"/>
  <c r="V18" i="26"/>
  <c r="H24" i="23"/>
  <c r="H22" i="30"/>
  <c r="AA22" i="27"/>
  <c r="H21" i="30"/>
  <c r="V24" i="23"/>
  <c r="V22" i="30"/>
  <c r="AA34" i="26"/>
  <c r="T34" i="29"/>
  <c r="V7" i="30"/>
  <c r="H11" i="30"/>
  <c r="H11" i="28"/>
  <c r="V6" i="28"/>
  <c r="AA47" i="24"/>
  <c r="H13" i="28"/>
  <c r="H92" i="17"/>
  <c r="AA6" i="27"/>
  <c r="V15" i="25"/>
  <c r="H14" i="28"/>
  <c r="Y20" i="29"/>
  <c r="V68" i="24"/>
  <c r="H12" i="25"/>
  <c r="AA21" i="27"/>
  <c r="Y26" i="29"/>
  <c r="V91" i="24"/>
  <c r="H41" i="24"/>
  <c r="AA20" i="27"/>
  <c r="H6" i="28"/>
  <c r="AA10" i="27"/>
  <c r="AA25" i="25"/>
  <c r="H19" i="30"/>
  <c r="AA16" i="27"/>
  <c r="AA30" i="25"/>
  <c r="AA28" i="26"/>
  <c r="H9" i="30"/>
  <c r="AA7" i="27"/>
  <c r="AA91" i="17"/>
  <c r="H10" i="28"/>
  <c r="H13" i="30"/>
  <c r="Y11" i="29"/>
  <c r="H20" i="26"/>
  <c r="AA30" i="26"/>
  <c r="AA18" i="27"/>
  <c r="AA32" i="25"/>
  <c r="AA83" i="24"/>
  <c r="S20" i="27"/>
  <c r="P14" i="9"/>
  <c r="S31" i="26"/>
  <c r="S75" i="24"/>
  <c r="S17" i="30"/>
  <c r="S12" i="27"/>
  <c r="S26" i="25"/>
  <c r="S21" i="27"/>
  <c r="S22" i="27"/>
  <c r="Q20" i="29"/>
  <c r="S14" i="27"/>
  <c r="S28" i="25"/>
  <c r="S16" i="27"/>
  <c r="S30" i="25"/>
  <c r="S10" i="27"/>
  <c r="S25" i="25"/>
  <c r="Q11" i="29"/>
  <c r="S9" i="27"/>
  <c r="S35" i="26"/>
  <c r="S30" i="26"/>
  <c r="S6" i="27"/>
  <c r="S55" i="24"/>
  <c r="Q26" i="29"/>
  <c r="Q43" i="29"/>
  <c r="S34" i="26"/>
  <c r="S13" i="27"/>
  <c r="S27" i="25"/>
  <c r="Z13" i="26"/>
  <c r="S17" i="27"/>
  <c r="P14" i="5"/>
  <c r="S31" i="25"/>
  <c r="Z7" i="30"/>
  <c r="Z9" i="30"/>
  <c r="Z7" i="28"/>
  <c r="Z19" i="26"/>
  <c r="Z21" i="30"/>
  <c r="Z13" i="28"/>
  <c r="Z92" i="17"/>
  <c r="Z25" i="23"/>
  <c r="Z23" i="30"/>
  <c r="Z11" i="30"/>
  <c r="Z9" i="28"/>
  <c r="X34" i="29"/>
  <c r="Z39" i="24"/>
  <c r="Z18" i="26"/>
  <c r="Z19" i="30"/>
  <c r="Z13" i="30"/>
  <c r="Z24" i="23"/>
  <c r="Z22" i="30"/>
  <c r="Z14" i="28"/>
  <c r="Z11" i="28"/>
  <c r="L40" i="29"/>
  <c r="L17" i="29"/>
  <c r="L37" i="29"/>
  <c r="L23" i="29"/>
  <c r="L14" i="29"/>
  <c r="Z16" i="25"/>
  <c r="Z15" i="30"/>
  <c r="N20" i="28"/>
  <c r="N17" i="17"/>
  <c r="Z6" i="28"/>
  <c r="N17" i="28"/>
  <c r="N14" i="17"/>
  <c r="L38" i="29"/>
  <c r="L15" i="29"/>
  <c r="Z8" i="28"/>
  <c r="N10" i="25"/>
  <c r="N52" i="17"/>
  <c r="L36" i="29"/>
  <c r="L22" i="29"/>
  <c r="L13" i="29"/>
  <c r="N9" i="26"/>
  <c r="O17" i="30"/>
  <c r="L25" i="29"/>
  <c r="L19" i="29"/>
  <c r="L10" i="29"/>
  <c r="M12" i="8"/>
  <c r="K6" i="9"/>
  <c r="K6" i="5"/>
  <c r="L6" i="2"/>
  <c r="O14" i="27"/>
  <c r="O28" i="25"/>
  <c r="L7" i="29"/>
  <c r="L29" i="29"/>
  <c r="O6" i="27"/>
  <c r="M43" i="29"/>
  <c r="K10" i="5"/>
  <c r="N8" i="25"/>
  <c r="L9" i="2"/>
  <c r="N16" i="28"/>
  <c r="N13" i="17"/>
  <c r="O20" i="27"/>
  <c r="N18" i="28"/>
  <c r="N15" i="17"/>
  <c r="O79" i="24"/>
  <c r="L41" i="29"/>
  <c r="L18" i="29"/>
  <c r="K10" i="9"/>
  <c r="N8" i="26"/>
  <c r="O35" i="25"/>
  <c r="O17" i="27"/>
  <c r="L14" i="5"/>
  <c r="O31" i="25"/>
  <c r="L42" i="29"/>
  <c r="L33" i="29"/>
  <c r="K55" i="6"/>
  <c r="K11" i="5"/>
  <c r="L10" i="2"/>
  <c r="O10" i="27"/>
  <c r="O25" i="25"/>
  <c r="N9" i="25"/>
  <c r="N41" i="17"/>
  <c r="O60" i="24"/>
  <c r="O18" i="27"/>
  <c r="O32" i="25"/>
  <c r="N19" i="28"/>
  <c r="N16" i="17"/>
  <c r="O22" i="27"/>
  <c r="O25" i="26"/>
  <c r="L9" i="29"/>
  <c r="L24" i="29"/>
  <c r="M11" i="29"/>
  <c r="L39" i="29"/>
  <c r="L16" i="29"/>
  <c r="M20" i="29"/>
  <c r="L8" i="29"/>
  <c r="L30" i="29"/>
  <c r="O16" i="27"/>
  <c r="O30" i="25"/>
  <c r="O28" i="26"/>
  <c r="O9" i="27"/>
  <c r="O21" i="27"/>
  <c r="L14" i="9"/>
  <c r="O31" i="26"/>
  <c r="O7" i="27"/>
  <c r="O91" i="17"/>
  <c r="O35" i="26"/>
  <c r="S16" i="26"/>
  <c r="S12" i="26"/>
  <c r="S13" i="30"/>
  <c r="S8" i="28"/>
  <c r="AA14" i="28"/>
  <c r="AA6" i="28"/>
  <c r="S15" i="25"/>
  <c r="S9" i="28"/>
  <c r="Y34" i="29"/>
  <c r="AA15" i="30"/>
  <c r="S7" i="28"/>
  <c r="S6" i="28"/>
  <c r="AA11" i="28"/>
  <c r="AA9" i="28"/>
  <c r="S20" i="26"/>
  <c r="AA13" i="28"/>
  <c r="AA92" i="17"/>
  <c r="S14" i="28"/>
  <c r="AA19" i="30"/>
  <c r="S21" i="30"/>
  <c r="AA7" i="30"/>
  <c r="S38" i="24"/>
  <c r="AA7" i="28"/>
  <c r="S15" i="30"/>
  <c r="AA16" i="26"/>
  <c r="AA19" i="25"/>
  <c r="S10" i="28"/>
  <c r="S25" i="23"/>
  <c r="S23" i="30"/>
  <c r="AA24" i="23"/>
  <c r="AA22" i="30"/>
  <c r="S24" i="23"/>
  <c r="S22" i="30"/>
  <c r="L20" i="28"/>
  <c r="L17" i="17"/>
  <c r="S13" i="28"/>
  <c r="S92" i="17"/>
  <c r="S9" i="30"/>
  <c r="S11" i="30"/>
  <c r="AA13" i="25"/>
  <c r="L19" i="28"/>
  <c r="L16" i="17"/>
  <c r="AA13" i="30"/>
  <c r="AA8" i="28"/>
  <c r="S7" i="30"/>
  <c r="J38" i="29"/>
  <c r="J15" i="29"/>
  <c r="L10" i="26"/>
  <c r="J24" i="29"/>
  <c r="AA11" i="30"/>
  <c r="L9" i="25"/>
  <c r="L41" i="17"/>
  <c r="AA21" i="30"/>
  <c r="J37" i="29"/>
  <c r="J23" i="29"/>
  <c r="J14" i="29"/>
  <c r="S19" i="30"/>
  <c r="S18" i="26"/>
  <c r="L16" i="28"/>
  <c r="L13" i="17"/>
  <c r="AA66" i="24"/>
  <c r="AA9" i="30"/>
  <c r="K12" i="27"/>
  <c r="K26" i="25"/>
  <c r="I10" i="9"/>
  <c r="L8" i="26"/>
  <c r="I20" i="29"/>
  <c r="J41" i="29"/>
  <c r="J18" i="29"/>
  <c r="AA18" i="26"/>
  <c r="K10" i="27"/>
  <c r="K25" i="25"/>
  <c r="I26" i="29"/>
  <c r="AA25" i="23"/>
  <c r="AA23" i="30"/>
  <c r="F8" i="29"/>
  <c r="F30" i="29"/>
  <c r="I10" i="5"/>
  <c r="L8" i="25"/>
  <c r="J9" i="2"/>
  <c r="J36" i="29"/>
  <c r="J22" i="29"/>
  <c r="J13" i="29"/>
  <c r="H9" i="26"/>
  <c r="I43" i="29"/>
  <c r="K18" i="27"/>
  <c r="K32" i="25"/>
  <c r="F25" i="29"/>
  <c r="F19" i="29"/>
  <c r="F10" i="29"/>
  <c r="G12" i="8"/>
  <c r="E6" i="9"/>
  <c r="E6" i="5"/>
  <c r="F6" i="2"/>
  <c r="J25" i="29"/>
  <c r="J19" i="29"/>
  <c r="J10" i="29"/>
  <c r="K12" i="8"/>
  <c r="I6" i="9"/>
  <c r="I6" i="5"/>
  <c r="J6" i="2"/>
  <c r="F39" i="29"/>
  <c r="F16" i="29"/>
  <c r="J9" i="29"/>
  <c r="J7" i="29"/>
  <c r="J29" i="29"/>
  <c r="K17" i="30"/>
  <c r="K6" i="27"/>
  <c r="E10" i="5"/>
  <c r="H8" i="25"/>
  <c r="F9" i="2"/>
  <c r="J39" i="29"/>
  <c r="J16" i="29"/>
  <c r="F7" i="29"/>
  <c r="F29" i="29"/>
  <c r="I11" i="29"/>
  <c r="F24" i="29"/>
  <c r="K34" i="25"/>
  <c r="K89" i="17"/>
  <c r="J8" i="29"/>
  <c r="J30" i="29"/>
  <c r="J42" i="29"/>
  <c r="J33" i="29"/>
  <c r="I55" i="6"/>
  <c r="I11" i="5"/>
  <c r="J10" i="2"/>
  <c r="K25" i="26"/>
  <c r="H19" i="28"/>
  <c r="H16" i="17"/>
  <c r="L18" i="28"/>
  <c r="L15" i="17"/>
  <c r="K7" i="27"/>
  <c r="K91" i="17"/>
  <c r="H9" i="25"/>
  <c r="H41" i="17"/>
  <c r="F38" i="29"/>
  <c r="F15" i="29"/>
  <c r="J40" i="29"/>
  <c r="J17" i="29"/>
  <c r="K28" i="26"/>
  <c r="K47" i="24"/>
  <c r="L17" i="28"/>
  <c r="L14" i="17"/>
  <c r="F36" i="29"/>
  <c r="F22" i="29"/>
  <c r="F13" i="29"/>
  <c r="H20" i="28"/>
  <c r="H17" i="17"/>
  <c r="K27" i="26"/>
  <c r="D25" i="34"/>
  <c r="L9" i="26"/>
  <c r="F42" i="29"/>
  <c r="F33" i="29"/>
  <c r="E55" i="6"/>
  <c r="E11" i="5"/>
  <c r="F10" i="2"/>
  <c r="D26" i="34"/>
  <c r="K34" i="26"/>
  <c r="K22" i="27"/>
  <c r="H17" i="28"/>
  <c r="H14" i="17"/>
  <c r="D30" i="34"/>
  <c r="K21" i="27"/>
  <c r="H18" i="28"/>
  <c r="H15" i="17"/>
  <c r="K14" i="27"/>
  <c r="K28" i="25"/>
  <c r="F37" i="29"/>
  <c r="F23" i="29"/>
  <c r="F14" i="29"/>
  <c r="K16" i="27"/>
  <c r="K30" i="25"/>
  <c r="H10" i="26"/>
  <c r="H16" i="28"/>
  <c r="H13" i="17"/>
  <c r="H10" i="25"/>
  <c r="H52" i="17"/>
  <c r="F9" i="29"/>
  <c r="K83" i="24"/>
  <c r="F40" i="29"/>
  <c r="F17" i="29"/>
  <c r="K30" i="26"/>
  <c r="F41" i="29"/>
  <c r="F18" i="29"/>
  <c r="F18" i="28"/>
  <c r="F15" i="17"/>
  <c r="E30" i="34"/>
  <c r="F17" i="28"/>
  <c r="F14" i="17"/>
  <c r="F9" i="26"/>
  <c r="E25" i="34"/>
  <c r="D24" i="29"/>
  <c r="E26" i="34"/>
  <c r="D7" i="29"/>
  <c r="D29" i="29"/>
  <c r="D39" i="29"/>
  <c r="D16" i="29"/>
  <c r="D9" i="29"/>
  <c r="F10" i="26"/>
  <c r="C10" i="9"/>
  <c r="F8" i="26"/>
  <c r="D36" i="29"/>
  <c r="D22" i="29"/>
  <c r="D13" i="29"/>
  <c r="M25" i="34"/>
  <c r="M30" i="34"/>
  <c r="D25" i="29"/>
  <c r="D19" i="29"/>
  <c r="D10" i="29"/>
  <c r="E12" i="8"/>
  <c r="C6" i="9"/>
  <c r="C6" i="5"/>
  <c r="D6" i="2"/>
  <c r="M26" i="34"/>
  <c r="D8" i="29"/>
  <c r="D30" i="29"/>
  <c r="T25" i="34"/>
  <c r="D37" i="29"/>
  <c r="D23" i="29"/>
  <c r="D14" i="29"/>
  <c r="D38" i="29"/>
  <c r="D15" i="29"/>
  <c r="T26" i="34"/>
  <c r="D41" i="29"/>
  <c r="D18" i="29"/>
  <c r="T30" i="34"/>
  <c r="F19" i="28"/>
  <c r="F16" i="17"/>
  <c r="F20" i="28"/>
  <c r="F17" i="17"/>
  <c r="D42" i="29"/>
  <c r="D33" i="29"/>
  <c r="C55" i="6"/>
  <c r="C11" i="5"/>
  <c r="D10" i="2"/>
  <c r="F9" i="25"/>
  <c r="F41" i="17"/>
  <c r="D40" i="29"/>
  <c r="D17" i="29"/>
  <c r="C10" i="5"/>
  <c r="F8" i="25"/>
  <c r="D9" i="2"/>
  <c r="G25" i="29"/>
  <c r="G19" i="29"/>
  <c r="G10" i="29"/>
  <c r="H12" i="8"/>
  <c r="F6" i="9"/>
  <c r="F6" i="5"/>
  <c r="G6" i="2"/>
  <c r="F16" i="28"/>
  <c r="F13" i="17"/>
  <c r="I17" i="28"/>
  <c r="I14" i="17"/>
  <c r="G38" i="29"/>
  <c r="G15" i="29"/>
  <c r="I10" i="25"/>
  <c r="I52" i="17"/>
  <c r="I16" i="28"/>
  <c r="I13" i="17"/>
  <c r="G24" i="29"/>
  <c r="G42" i="29"/>
  <c r="G33" i="29"/>
  <c r="F55" i="6"/>
  <c r="F11" i="5"/>
  <c r="G10" i="2"/>
  <c r="I9" i="25"/>
  <c r="I41" i="17"/>
  <c r="I18" i="28"/>
  <c r="I15" i="17"/>
  <c r="G7" i="30"/>
  <c r="G14" i="28"/>
  <c r="G36" i="29"/>
  <c r="G22" i="29"/>
  <c r="G13" i="29"/>
  <c r="G8" i="29"/>
  <c r="G30" i="29"/>
  <c r="G24" i="23"/>
  <c r="G22" i="30"/>
  <c r="G18" i="26"/>
  <c r="G39" i="29"/>
  <c r="G16" i="29"/>
  <c r="F10" i="5"/>
  <c r="I8" i="25"/>
  <c r="G9" i="2"/>
  <c r="G11" i="30"/>
  <c r="C37" i="29"/>
  <c r="C23" i="29"/>
  <c r="C14" i="29"/>
  <c r="G15" i="26"/>
  <c r="I19" i="28"/>
  <c r="I16" i="17"/>
  <c r="G25" i="23"/>
  <c r="G23" i="30"/>
  <c r="F10" i="9"/>
  <c r="I8" i="26"/>
  <c r="G21" i="30"/>
  <c r="G9" i="30"/>
  <c r="G9" i="29"/>
  <c r="G40" i="29"/>
  <c r="G17" i="29"/>
  <c r="I20" i="28"/>
  <c r="I17" i="17"/>
  <c r="G15" i="30"/>
  <c r="G37" i="29"/>
  <c r="G23" i="29"/>
  <c r="G14" i="29"/>
  <c r="G11" i="28"/>
  <c r="G16" i="26"/>
  <c r="G7" i="28"/>
  <c r="E20" i="28"/>
  <c r="E17" i="17"/>
  <c r="G41" i="29"/>
  <c r="G18" i="29"/>
  <c r="G19" i="25"/>
  <c r="I10" i="26"/>
  <c r="G13" i="28"/>
  <c r="G92" i="17"/>
  <c r="G19" i="30"/>
  <c r="G7" i="29"/>
  <c r="G29" i="29"/>
  <c r="G13" i="30"/>
  <c r="E34" i="29"/>
  <c r="G10" i="28"/>
  <c r="G8" i="28"/>
  <c r="E16" i="28"/>
  <c r="E13" i="17"/>
  <c r="V20" i="28"/>
  <c r="V17" i="17"/>
  <c r="G66" i="24"/>
  <c r="T25" i="29"/>
  <c r="T19" i="29"/>
  <c r="T10" i="29"/>
  <c r="U12" i="8"/>
  <c r="S6" i="9"/>
  <c r="S6" i="5"/>
  <c r="T6" i="2"/>
  <c r="V17" i="28"/>
  <c r="V14" i="17"/>
  <c r="T42" i="29"/>
  <c r="T33" i="29"/>
  <c r="S55" i="6"/>
  <c r="S11" i="5"/>
  <c r="T10" i="2"/>
  <c r="G9" i="28"/>
  <c r="C9" i="29"/>
  <c r="E10" i="25"/>
  <c r="E52" i="17"/>
  <c r="P26" i="34"/>
  <c r="V9" i="26"/>
  <c r="V9" i="25"/>
  <c r="V41" i="17"/>
  <c r="C25" i="29"/>
  <c r="C19" i="29"/>
  <c r="C10" i="29"/>
  <c r="D12" i="8"/>
  <c r="C6" i="2"/>
  <c r="P25" i="34"/>
  <c r="C36" i="29"/>
  <c r="C22" i="29"/>
  <c r="C13" i="29"/>
  <c r="P30" i="34"/>
  <c r="E8" i="25"/>
  <c r="C9" i="2"/>
  <c r="T40" i="29"/>
  <c r="T17" i="29"/>
  <c r="C40" i="29"/>
  <c r="C17" i="29"/>
  <c r="T9" i="29"/>
  <c r="C7" i="29"/>
  <c r="C29" i="29"/>
  <c r="T36" i="29"/>
  <c r="T22" i="29"/>
  <c r="T13" i="29"/>
  <c r="V10" i="26"/>
  <c r="T39" i="29"/>
  <c r="T16" i="29"/>
  <c r="E19" i="28"/>
  <c r="E16" i="17"/>
  <c r="F26" i="29"/>
  <c r="E9" i="26"/>
  <c r="S10" i="5"/>
  <c r="V8" i="25"/>
  <c r="T9" i="2"/>
  <c r="C39" i="29"/>
  <c r="C16" i="29"/>
  <c r="C42" i="29"/>
  <c r="C33" i="29"/>
  <c r="C10" i="2"/>
  <c r="V18" i="28"/>
  <c r="V15" i="17"/>
  <c r="H27" i="26"/>
  <c r="T8" i="29"/>
  <c r="T30" i="29"/>
  <c r="H8" i="27"/>
  <c r="H22" i="27"/>
  <c r="E10" i="26"/>
  <c r="V16" i="28"/>
  <c r="V13" i="17"/>
  <c r="E17" i="28"/>
  <c r="E14" i="17"/>
  <c r="H18" i="27"/>
  <c r="H32" i="25"/>
  <c r="E8" i="26"/>
  <c r="T24" i="29"/>
  <c r="H78" i="24"/>
  <c r="H17" i="27"/>
  <c r="E14" i="5"/>
  <c r="H31" i="25"/>
  <c r="C38" i="29"/>
  <c r="C15" i="29"/>
  <c r="V19" i="28"/>
  <c r="V16" i="17"/>
  <c r="T7" i="29"/>
  <c r="T29" i="29"/>
  <c r="C24" i="29"/>
  <c r="H13" i="27"/>
  <c r="H27" i="25"/>
  <c r="H6" i="27"/>
  <c r="E18" i="28"/>
  <c r="E15" i="17"/>
  <c r="T38" i="29"/>
  <c r="T15" i="29"/>
  <c r="H34" i="26"/>
  <c r="C8" i="29"/>
  <c r="C30" i="29"/>
  <c r="X59" i="24"/>
  <c r="S10" i="9"/>
  <c r="V8" i="26"/>
  <c r="H35" i="26"/>
  <c r="C41" i="29"/>
  <c r="C18" i="29"/>
  <c r="X74" i="24"/>
  <c r="T41" i="29"/>
  <c r="T18" i="29"/>
  <c r="H59" i="24"/>
  <c r="V43" i="29"/>
  <c r="X20" i="27"/>
  <c r="X83" i="24"/>
  <c r="T37" i="29"/>
  <c r="T23" i="29"/>
  <c r="T14" i="29"/>
  <c r="H14" i="27"/>
  <c r="H28" i="25"/>
  <c r="H12" i="27"/>
  <c r="H26" i="25"/>
  <c r="X13" i="27"/>
  <c r="X27" i="25"/>
  <c r="V26" i="29"/>
  <c r="H20" i="27"/>
  <c r="X34" i="26"/>
  <c r="F43" i="29"/>
  <c r="H9" i="27"/>
  <c r="X35" i="26"/>
  <c r="X17" i="27"/>
  <c r="U14" i="5"/>
  <c r="X31" i="25"/>
  <c r="F20" i="29"/>
  <c r="H17" i="30"/>
  <c r="V11" i="29"/>
  <c r="X27" i="26"/>
  <c r="H21" i="27"/>
  <c r="X14" i="27"/>
  <c r="X28" i="25"/>
  <c r="X9" i="27"/>
  <c r="H28" i="26"/>
  <c r="H16" i="27"/>
  <c r="H30" i="25"/>
  <c r="V20" i="29"/>
  <c r="X18" i="27"/>
  <c r="X32" i="25"/>
  <c r="X8" i="27"/>
  <c r="P20" i="28"/>
  <c r="P17" i="17"/>
  <c r="X21" i="27"/>
  <c r="N37" i="29"/>
  <c r="N23" i="29"/>
  <c r="N14" i="29"/>
  <c r="X16" i="27"/>
  <c r="X30" i="25"/>
  <c r="P10" i="26"/>
  <c r="X12" i="27"/>
  <c r="X26" i="25"/>
  <c r="P9" i="26"/>
  <c r="X6" i="27"/>
  <c r="N24" i="29"/>
  <c r="P10" i="25"/>
  <c r="P52" i="17"/>
  <c r="P16" i="28"/>
  <c r="P13" i="17"/>
  <c r="X78" i="24"/>
  <c r="P19" i="28"/>
  <c r="P16" i="17"/>
  <c r="N40" i="29"/>
  <c r="N17" i="29"/>
  <c r="N36" i="29"/>
  <c r="N22" i="29"/>
  <c r="N13" i="29"/>
  <c r="M10" i="9"/>
  <c r="P8" i="26"/>
  <c r="M10" i="5"/>
  <c r="P8" i="25"/>
  <c r="N9" i="2"/>
  <c r="N8" i="29"/>
  <c r="N30" i="29"/>
  <c r="N42" i="29"/>
  <c r="N33" i="29"/>
  <c r="M55" i="6"/>
  <c r="M11" i="5"/>
  <c r="N10" i="2"/>
  <c r="P18" i="28"/>
  <c r="P15" i="17"/>
  <c r="N25" i="29"/>
  <c r="N19" i="29"/>
  <c r="N10" i="29"/>
  <c r="O12" i="8"/>
  <c r="M6" i="9"/>
  <c r="M6" i="5"/>
  <c r="N6" i="2"/>
  <c r="N41" i="29"/>
  <c r="N18" i="29"/>
  <c r="N38" i="29"/>
  <c r="N15" i="29"/>
  <c r="N7" i="29"/>
  <c r="N29" i="29"/>
  <c r="Y42" i="22"/>
  <c r="N39" i="29"/>
  <c r="N16" i="29"/>
  <c r="W24" i="29"/>
  <c r="P17" i="28"/>
  <c r="P14" i="17"/>
  <c r="W37" i="29"/>
  <c r="W23" i="29"/>
  <c r="W14" i="29"/>
  <c r="V10" i="9"/>
  <c r="Y8" i="26"/>
  <c r="N9" i="29"/>
  <c r="Y9" i="26"/>
  <c r="W38" i="29"/>
  <c r="W15" i="29"/>
  <c r="W36" i="29"/>
  <c r="W22" i="29"/>
  <c r="W13" i="29"/>
  <c r="Y16" i="28"/>
  <c r="Y13" i="17"/>
  <c r="Y18" i="28"/>
  <c r="Y15" i="17"/>
  <c r="W42" i="29"/>
  <c r="W33" i="29"/>
  <c r="V55" i="6"/>
  <c r="V11" i="5"/>
  <c r="W10" i="2"/>
  <c r="Y19" i="28"/>
  <c r="Y16" i="17"/>
  <c r="Y9" i="25"/>
  <c r="Y41" i="17"/>
  <c r="W39" i="29"/>
  <c r="W16" i="29"/>
  <c r="W41" i="29"/>
  <c r="W18" i="29"/>
  <c r="W9" i="29"/>
  <c r="Y17" i="28"/>
  <c r="Y14" i="17"/>
  <c r="W8" i="29"/>
  <c r="W30" i="29"/>
  <c r="W25" i="29"/>
  <c r="W19" i="29"/>
  <c r="W10" i="29"/>
  <c r="X12" i="8"/>
  <c r="V6" i="9"/>
  <c r="V6" i="5"/>
  <c r="W6" i="2"/>
  <c r="W40" i="29"/>
  <c r="W17" i="29"/>
  <c r="Y20" i="28"/>
  <c r="Y17" i="17"/>
  <c r="W7" i="29"/>
  <c r="W29" i="29"/>
  <c r="Y10" i="26"/>
  <c r="E25" i="29"/>
  <c r="E19" i="29"/>
  <c r="E10" i="29"/>
  <c r="F12" i="8"/>
  <c r="D6" i="9"/>
  <c r="D6" i="5"/>
  <c r="E6" i="2"/>
  <c r="E42" i="29"/>
  <c r="E33" i="29"/>
  <c r="D55" i="6"/>
  <c r="D11" i="5"/>
  <c r="E10" i="2"/>
  <c r="E7" i="29"/>
  <c r="E29" i="29"/>
  <c r="E37" i="29"/>
  <c r="E23" i="29"/>
  <c r="E14" i="29"/>
  <c r="E38" i="29"/>
  <c r="E15" i="29"/>
  <c r="G10" i="26"/>
  <c r="E24" i="29"/>
  <c r="G18" i="28"/>
  <c r="G15" i="17"/>
  <c r="E40" i="29"/>
  <c r="E17" i="29"/>
  <c r="E36" i="29"/>
  <c r="E22" i="29"/>
  <c r="E13" i="29"/>
  <c r="G9" i="26"/>
  <c r="G20" i="28"/>
  <c r="G17" i="17"/>
  <c r="G16" i="28"/>
  <c r="G13" i="17"/>
  <c r="G17" i="28"/>
  <c r="G14" i="17"/>
  <c r="E41" i="29"/>
  <c r="E18" i="29"/>
  <c r="G10" i="25"/>
  <c r="G52" i="17"/>
  <c r="E8" i="29"/>
  <c r="E30" i="29"/>
  <c r="G19" i="28"/>
  <c r="G16" i="17"/>
  <c r="D10" i="5"/>
  <c r="G8" i="25"/>
  <c r="E9" i="2"/>
  <c r="E39" i="29"/>
  <c r="E16" i="29"/>
  <c r="E9" i="29"/>
  <c r="G9" i="25"/>
  <c r="G41" i="17"/>
  <c r="Q30" i="34"/>
  <c r="Q26" i="34"/>
  <c r="Q25" i="34"/>
  <c r="T10" i="5"/>
  <c r="W8" i="25"/>
  <c r="U9" i="2"/>
  <c r="U24" i="29"/>
  <c r="W17" i="28"/>
  <c r="W14" i="17"/>
  <c r="W10" i="25"/>
  <c r="W52" i="17"/>
  <c r="U25" i="29"/>
  <c r="U19" i="29"/>
  <c r="U10" i="29"/>
  <c r="V12" i="8"/>
  <c r="T6" i="9"/>
  <c r="T6" i="5"/>
  <c r="U6" i="2"/>
  <c r="U41" i="29"/>
  <c r="U18" i="29"/>
  <c r="U36" i="29"/>
  <c r="U22" i="29"/>
  <c r="U13" i="29"/>
  <c r="U38" i="29"/>
  <c r="U15" i="29"/>
  <c r="U8" i="29"/>
  <c r="U30" i="29"/>
  <c r="U42" i="29"/>
  <c r="U33" i="29"/>
  <c r="T55" i="6"/>
  <c r="T11" i="5"/>
  <c r="U10" i="2"/>
  <c r="N30" i="34"/>
  <c r="W10" i="26"/>
  <c r="N26" i="34"/>
  <c r="N25" i="34"/>
  <c r="W16" i="28"/>
  <c r="W13" i="17"/>
  <c r="U9" i="29"/>
  <c r="W9" i="25"/>
  <c r="W41" i="17"/>
  <c r="W19" i="28"/>
  <c r="W16" i="17"/>
  <c r="W9" i="26"/>
  <c r="U40" i="29"/>
  <c r="U17" i="29"/>
  <c r="U37" i="29"/>
  <c r="U23" i="29"/>
  <c r="U14" i="29"/>
  <c r="U39" i="29"/>
  <c r="U16" i="29"/>
  <c r="W18" i="28"/>
  <c r="W15" i="17"/>
  <c r="W20" i="28"/>
  <c r="W17" i="17"/>
  <c r="U7" i="29"/>
  <c r="U29" i="29"/>
  <c r="Q54" i="11"/>
  <c r="Q31" i="4"/>
  <c r="S37" i="25"/>
  <c r="S58" i="21"/>
  <c r="Q31" i="29"/>
  <c r="S30" i="13"/>
  <c r="Q23" i="11"/>
  <c r="Q31" i="10"/>
  <c r="Q45" i="4"/>
  <c r="S38" i="26"/>
  <c r="Q6" i="11"/>
  <c r="S6" i="3"/>
  <c r="P6" i="16"/>
  <c r="Q10" i="4"/>
  <c r="T10" i="26"/>
  <c r="T9" i="26"/>
  <c r="U30" i="34"/>
  <c r="S43" i="13"/>
  <c r="U25" i="34"/>
  <c r="R40" i="29"/>
  <c r="R17" i="29"/>
  <c r="U26" i="34"/>
  <c r="T10" i="25"/>
  <c r="T52" i="17"/>
  <c r="Q20" i="11"/>
  <c r="S23" i="25"/>
  <c r="J20" i="28"/>
  <c r="J17" i="17"/>
  <c r="Q56" i="11"/>
  <c r="Q24" i="11"/>
  <c r="Q32" i="10"/>
  <c r="Q32" i="11"/>
  <c r="Q40" i="10"/>
  <c r="T16" i="28"/>
  <c r="T13" i="17"/>
  <c r="R8" i="29"/>
  <c r="R30" i="29"/>
  <c r="T20" i="28"/>
  <c r="T17" i="17"/>
  <c r="Q19" i="11"/>
  <c r="T18" i="28"/>
  <c r="T15" i="17"/>
  <c r="R42" i="29"/>
  <c r="R33" i="29"/>
  <c r="Q55" i="6"/>
  <c r="Q11" i="5"/>
  <c r="R10" i="2"/>
  <c r="S23" i="26"/>
  <c r="R38" i="29"/>
  <c r="R15" i="29"/>
  <c r="Q10" i="9"/>
  <c r="T8" i="26"/>
  <c r="T9" i="25"/>
  <c r="T41" i="17"/>
  <c r="S39" i="26"/>
  <c r="Q33" i="11"/>
  <c r="Q41" i="10"/>
  <c r="S38" i="25"/>
  <c r="R25" i="29"/>
  <c r="R19" i="29"/>
  <c r="R10" i="29"/>
  <c r="S12" i="8"/>
  <c r="Q6" i="9"/>
  <c r="Q6" i="5"/>
  <c r="R6" i="2"/>
  <c r="S61" i="21"/>
  <c r="F17" i="30"/>
  <c r="J19" i="28"/>
  <c r="J16" i="17"/>
  <c r="F30" i="26"/>
  <c r="S7" i="13"/>
  <c r="S22" i="13"/>
  <c r="Q18" i="11"/>
  <c r="S7" i="3"/>
  <c r="S39" i="25"/>
  <c r="R24" i="29"/>
  <c r="J9" i="25"/>
  <c r="J41" i="17"/>
  <c r="R9" i="29"/>
  <c r="F17" i="27"/>
  <c r="C14" i="5"/>
  <c r="F31" i="25"/>
  <c r="S40" i="13"/>
  <c r="Q36" i="11"/>
  <c r="Q44" i="10"/>
  <c r="S8" i="3"/>
  <c r="Q52" i="4"/>
  <c r="Q32" i="29"/>
  <c r="P34" i="5"/>
  <c r="F8" i="27"/>
  <c r="H39" i="29"/>
  <c r="H16" i="29"/>
  <c r="H40" i="29"/>
  <c r="H17" i="29"/>
  <c r="R41" i="29"/>
  <c r="R18" i="29"/>
  <c r="J16" i="28"/>
  <c r="J13" i="17"/>
  <c r="F7" i="27"/>
  <c r="F91" i="17"/>
  <c r="F16" i="27"/>
  <c r="F30" i="25"/>
  <c r="Q10" i="11"/>
  <c r="Q17" i="11"/>
  <c r="J10" i="25"/>
  <c r="J52" i="17"/>
  <c r="T17" i="28"/>
  <c r="T14" i="17"/>
  <c r="F21" i="27"/>
  <c r="T19" i="28"/>
  <c r="T16" i="17"/>
  <c r="R39" i="29"/>
  <c r="R16" i="29"/>
  <c r="H24" i="29"/>
  <c r="S37" i="26"/>
  <c r="J17" i="28"/>
  <c r="J14" i="17"/>
  <c r="M24" i="29"/>
  <c r="H37" i="29"/>
  <c r="H23" i="29"/>
  <c r="H14" i="29"/>
  <c r="F80" i="24"/>
  <c r="F18" i="27"/>
  <c r="F32" i="25"/>
  <c r="F20" i="27"/>
  <c r="O9" i="26"/>
  <c r="D26" i="29"/>
  <c r="O20" i="28"/>
  <c r="O17" i="17"/>
  <c r="R7" i="29"/>
  <c r="R29" i="29"/>
  <c r="D11" i="29"/>
  <c r="R36" i="29"/>
  <c r="R22" i="29"/>
  <c r="R13" i="29"/>
  <c r="M41" i="29"/>
  <c r="M18" i="29"/>
  <c r="J9" i="26"/>
  <c r="O16" i="28"/>
  <c r="O13" i="17"/>
  <c r="G10" i="5"/>
  <c r="J8" i="25"/>
  <c r="H9" i="2"/>
  <c r="M42" i="29"/>
  <c r="M33" i="29"/>
  <c r="L55" i="6"/>
  <c r="L11" i="5"/>
  <c r="M10" i="2"/>
  <c r="L10" i="9"/>
  <c r="O8" i="26"/>
  <c r="R37" i="29"/>
  <c r="R23" i="29"/>
  <c r="R14" i="29"/>
  <c r="F61" i="24"/>
  <c r="F13" i="27"/>
  <c r="F27" i="25"/>
  <c r="F43" i="24"/>
  <c r="H42" i="29"/>
  <c r="H33" i="29"/>
  <c r="G55" i="6"/>
  <c r="G11" i="5"/>
  <c r="H10" i="2"/>
  <c r="O19" i="28"/>
  <c r="O16" i="17"/>
  <c r="H36" i="29"/>
  <c r="H22" i="29"/>
  <c r="H13" i="29"/>
  <c r="M36" i="29"/>
  <c r="M22" i="29"/>
  <c r="M13" i="29"/>
  <c r="H7" i="29"/>
  <c r="H29" i="29"/>
  <c r="M37" i="29"/>
  <c r="M23" i="29"/>
  <c r="M14" i="29"/>
  <c r="O17" i="28"/>
  <c r="O14" i="17"/>
  <c r="O10" i="26"/>
  <c r="F26" i="26"/>
  <c r="L10" i="5"/>
  <c r="O8" i="25"/>
  <c r="M9" i="2"/>
  <c r="H8" i="29"/>
  <c r="H30" i="29"/>
  <c r="F34" i="25"/>
  <c r="F89" i="17"/>
  <c r="H41" i="29"/>
  <c r="H18" i="29"/>
  <c r="H38" i="29"/>
  <c r="H15" i="29"/>
  <c r="G10" i="9"/>
  <c r="J8" i="26"/>
  <c r="F10" i="27"/>
  <c r="F25" i="25"/>
  <c r="M9" i="29"/>
  <c r="H25" i="29"/>
  <c r="H19" i="29"/>
  <c r="H10" i="29"/>
  <c r="I12" i="8"/>
  <c r="G6" i="9"/>
  <c r="G6" i="5"/>
  <c r="H6" i="2"/>
  <c r="D43" i="29"/>
  <c r="O38" i="29"/>
  <c r="O15" i="29"/>
  <c r="F12" i="27"/>
  <c r="F26" i="25"/>
  <c r="M40" i="29"/>
  <c r="M17" i="29"/>
  <c r="J18" i="28"/>
  <c r="J15" i="17"/>
  <c r="K18" i="28"/>
  <c r="K15" i="17"/>
  <c r="O9" i="25"/>
  <c r="O41" i="17"/>
  <c r="Q17" i="28"/>
  <c r="Q14" i="17"/>
  <c r="F25" i="26"/>
  <c r="I39" i="29"/>
  <c r="I16" i="29"/>
  <c r="H9" i="29"/>
  <c r="O18" i="28"/>
  <c r="O15" i="17"/>
  <c r="I7" i="29"/>
  <c r="I29" i="29"/>
  <c r="Q18" i="28"/>
  <c r="Q15" i="17"/>
  <c r="I24" i="29"/>
  <c r="D20" i="29"/>
  <c r="I25" i="29"/>
  <c r="I19" i="29"/>
  <c r="I10" i="29"/>
  <c r="J12" i="8"/>
  <c r="H6" i="9"/>
  <c r="H6" i="5"/>
  <c r="I6" i="2"/>
  <c r="M38" i="29"/>
  <c r="M15" i="29"/>
  <c r="O9" i="29"/>
  <c r="M8" i="29"/>
  <c r="M30" i="29"/>
  <c r="Q20" i="28"/>
  <c r="Q17" i="17"/>
  <c r="O8" i="29"/>
  <c r="O30" i="29"/>
  <c r="K19" i="28"/>
  <c r="K16" i="17"/>
  <c r="M39" i="29"/>
  <c r="M16" i="29"/>
  <c r="O36" i="29"/>
  <c r="O22" i="29"/>
  <c r="O13" i="29"/>
  <c r="S24" i="29"/>
  <c r="S41" i="29"/>
  <c r="S18" i="29"/>
  <c r="M7" i="29"/>
  <c r="M29" i="29"/>
  <c r="O7" i="29"/>
  <c r="O29" i="29"/>
  <c r="H10" i="9"/>
  <c r="K8" i="26"/>
  <c r="M25" i="29"/>
  <c r="M19" i="29"/>
  <c r="M10" i="29"/>
  <c r="N12" i="8"/>
  <c r="L6" i="9"/>
  <c r="L6" i="5"/>
  <c r="M6" i="2"/>
  <c r="U10" i="25"/>
  <c r="U52" i="17"/>
  <c r="O25" i="29"/>
  <c r="O19" i="29"/>
  <c r="O10" i="29"/>
  <c r="P12" i="8"/>
  <c r="N6" i="9"/>
  <c r="N6" i="5"/>
  <c r="O6" i="2"/>
  <c r="K20" i="28"/>
  <c r="K17" i="17"/>
  <c r="U9" i="25"/>
  <c r="U41" i="17"/>
  <c r="Q19" i="28"/>
  <c r="Q16" i="17"/>
  <c r="I36" i="29"/>
  <c r="I22" i="29"/>
  <c r="I13" i="29"/>
  <c r="O41" i="29"/>
  <c r="O18" i="29"/>
  <c r="I37" i="29"/>
  <c r="I23" i="29"/>
  <c r="I14" i="29"/>
  <c r="U20" i="28"/>
  <c r="U17" i="17"/>
  <c r="K17" i="28"/>
  <c r="K14" i="17"/>
  <c r="Q10" i="25"/>
  <c r="Q52" i="17"/>
  <c r="S25" i="29"/>
  <c r="S19" i="29"/>
  <c r="S10" i="29"/>
  <c r="T12" i="8"/>
  <c r="R6" i="9"/>
  <c r="R6" i="5"/>
  <c r="S6" i="2"/>
  <c r="O39" i="29"/>
  <c r="O16" i="29"/>
  <c r="I8" i="29"/>
  <c r="I30" i="29"/>
  <c r="S36" i="29"/>
  <c r="S22" i="29"/>
  <c r="S13" i="29"/>
  <c r="I41" i="29"/>
  <c r="I18" i="29"/>
  <c r="O37" i="29"/>
  <c r="O23" i="29"/>
  <c r="O14" i="29"/>
  <c r="S37" i="29"/>
  <c r="S23" i="29"/>
  <c r="S14" i="29"/>
  <c r="O42" i="29"/>
  <c r="O33" i="29"/>
  <c r="N55" i="6"/>
  <c r="N11" i="5"/>
  <c r="O10" i="2"/>
  <c r="K10" i="26"/>
  <c r="K9" i="26"/>
  <c r="S7" i="29"/>
  <c r="S29" i="29"/>
  <c r="X40" i="29"/>
  <c r="X17" i="29"/>
  <c r="K10" i="25"/>
  <c r="K52" i="17"/>
  <c r="Q10" i="26"/>
  <c r="X39" i="29"/>
  <c r="X16" i="29"/>
  <c r="X38" i="29"/>
  <c r="X15" i="29"/>
  <c r="U17" i="28"/>
  <c r="U14" i="17"/>
  <c r="H10" i="5"/>
  <c r="K8" i="25"/>
  <c r="I9" i="2"/>
  <c r="U18" i="28"/>
  <c r="U15" i="17"/>
  <c r="I40" i="29"/>
  <c r="I17" i="29"/>
  <c r="N10" i="9"/>
  <c r="Q8" i="26"/>
  <c r="U19" i="28"/>
  <c r="U16" i="17"/>
  <c r="N10" i="5"/>
  <c r="Q8" i="25"/>
  <c r="O9" i="2"/>
  <c r="O24" i="29"/>
  <c r="Z20" i="28"/>
  <c r="Z17" i="17"/>
  <c r="Z18" i="28"/>
  <c r="Z15" i="17"/>
  <c r="U10" i="26"/>
  <c r="O40" i="29"/>
  <c r="O17" i="29"/>
  <c r="I38" i="29"/>
  <c r="I15" i="29"/>
  <c r="I42" i="29"/>
  <c r="I33" i="29"/>
  <c r="H55" i="6"/>
  <c r="H11" i="5"/>
  <c r="I10" i="2"/>
  <c r="Q9" i="26"/>
  <c r="X41" i="29"/>
  <c r="X18" i="29"/>
  <c r="Z9" i="26"/>
  <c r="I9" i="29"/>
  <c r="S8" i="29"/>
  <c r="S30" i="29"/>
  <c r="X42" i="29"/>
  <c r="X33" i="29"/>
  <c r="W55" i="6"/>
  <c r="W11" i="5"/>
  <c r="X10" i="2"/>
  <c r="S9" i="29"/>
  <c r="K16" i="28"/>
  <c r="K13" i="17"/>
  <c r="Q16" i="28"/>
  <c r="Q13" i="17"/>
  <c r="S42" i="29"/>
  <c r="S33" i="29"/>
  <c r="R55" i="6"/>
  <c r="R11" i="5"/>
  <c r="S10" i="2"/>
  <c r="Z10" i="25"/>
  <c r="Z52" i="17"/>
  <c r="Z19" i="28"/>
  <c r="Z16" i="17"/>
  <c r="S40" i="29"/>
  <c r="S17" i="29"/>
  <c r="U16" i="28"/>
  <c r="U13" i="17"/>
  <c r="X37" i="29"/>
  <c r="X23" i="29"/>
  <c r="X14" i="29"/>
  <c r="L40" i="13"/>
  <c r="J36" i="11"/>
  <c r="J44" i="10"/>
  <c r="L8" i="3"/>
  <c r="J52" i="4"/>
  <c r="S38" i="29"/>
  <c r="S15" i="29"/>
  <c r="X24" i="29"/>
  <c r="W10" i="5"/>
  <c r="Z8" i="25"/>
  <c r="X9" i="2"/>
  <c r="J11" i="11"/>
  <c r="X7" i="29"/>
  <c r="X29" i="29"/>
  <c r="U9" i="26"/>
  <c r="R10" i="9"/>
  <c r="U8" i="26"/>
  <c r="Z16" i="28"/>
  <c r="Z13" i="17"/>
  <c r="Z17" i="28"/>
  <c r="Z14" i="17"/>
  <c r="L37" i="26"/>
  <c r="J24" i="11"/>
  <c r="J32" i="10"/>
  <c r="S39" i="29"/>
  <c r="S16" i="29"/>
  <c r="J19" i="11"/>
  <c r="X36" i="29"/>
  <c r="X22" i="29"/>
  <c r="X13" i="29"/>
  <c r="L30" i="13"/>
  <c r="J23" i="11"/>
  <c r="J31" i="10"/>
  <c r="J45" i="4"/>
  <c r="Z10" i="26"/>
  <c r="Z9" i="25"/>
  <c r="Z41" i="17"/>
  <c r="L39" i="26"/>
  <c r="X8" i="29"/>
  <c r="X30" i="29"/>
  <c r="X25" i="29"/>
  <c r="X19" i="29"/>
  <c r="X10" i="29"/>
  <c r="Y12" i="8"/>
  <c r="W6" i="9"/>
  <c r="W6" i="5"/>
  <c r="X6" i="2"/>
  <c r="J57" i="11"/>
  <c r="J24" i="4"/>
  <c r="J20" i="11"/>
  <c r="L23" i="25"/>
  <c r="L38" i="26"/>
  <c r="X9" i="29"/>
  <c r="J32" i="29"/>
  <c r="I34" i="5"/>
  <c r="L38" i="25"/>
  <c r="J54" i="11"/>
  <c r="J31" i="4"/>
  <c r="L37" i="25"/>
  <c r="L58" i="21"/>
  <c r="L7" i="13"/>
  <c r="L22" i="13"/>
  <c r="J18" i="11"/>
  <c r="L7" i="3"/>
  <c r="L39" i="25"/>
  <c r="J16" i="11"/>
  <c r="J6" i="11"/>
  <c r="L6" i="3"/>
  <c r="I6" i="16"/>
  <c r="J10" i="4"/>
  <c r="I34" i="9"/>
  <c r="L61" i="21"/>
  <c r="J56" i="11"/>
  <c r="L43" i="13"/>
  <c r="J31" i="29"/>
  <c r="L23" i="26"/>
  <c r="AA10" i="26"/>
  <c r="Y9" i="29"/>
  <c r="AA19" i="28"/>
  <c r="AA16" i="17"/>
  <c r="Y24" i="29"/>
  <c r="Y40" i="29"/>
  <c r="Y17" i="29"/>
  <c r="X10" i="5"/>
  <c r="AA8" i="25"/>
  <c r="Y9" i="2"/>
  <c r="Y37" i="29"/>
  <c r="Y23" i="29"/>
  <c r="Y14" i="29"/>
  <c r="AA16" i="28"/>
  <c r="AA13" i="17"/>
  <c r="X10" i="9"/>
  <c r="AA8" i="26"/>
  <c r="E8" i="28"/>
  <c r="E19" i="30"/>
  <c r="AA18" i="28"/>
  <c r="AA15" i="17"/>
  <c r="E11" i="28"/>
  <c r="AA10" i="25"/>
  <c r="AA52" i="17"/>
  <c r="E15" i="30"/>
  <c r="Y42" i="29"/>
  <c r="Y33" i="29"/>
  <c r="X55" i="6"/>
  <c r="X11" i="5"/>
  <c r="Y10" i="2"/>
  <c r="Y36" i="29"/>
  <c r="Y22" i="29"/>
  <c r="Y13" i="29"/>
  <c r="E11" i="30"/>
  <c r="E12" i="26"/>
  <c r="Y38" i="29"/>
  <c r="Y15" i="29"/>
  <c r="E15" i="26"/>
  <c r="Y25" i="29"/>
  <c r="Y19" i="29"/>
  <c r="Y10" i="29"/>
  <c r="Z12" i="8"/>
  <c r="X6" i="9"/>
  <c r="X6" i="5"/>
  <c r="Y6" i="2"/>
  <c r="E19" i="26"/>
  <c r="E13" i="28"/>
  <c r="E92" i="17"/>
  <c r="Y41" i="29"/>
  <c r="Y18" i="29"/>
  <c r="Y8" i="29"/>
  <c r="Y30" i="29"/>
  <c r="E90" i="24"/>
  <c r="AA17" i="28"/>
  <c r="AA14" i="17"/>
  <c r="E13" i="30"/>
  <c r="Y39" i="29"/>
  <c r="Y16" i="29"/>
  <c r="E25" i="23"/>
  <c r="E23" i="30"/>
  <c r="E9" i="30"/>
  <c r="AA9" i="26"/>
  <c r="AA20" i="28"/>
  <c r="AA17" i="17"/>
  <c r="E18" i="26"/>
  <c r="C34" i="29"/>
  <c r="Y7" i="29"/>
  <c r="Y29" i="29"/>
  <c r="E21" i="30"/>
  <c r="E24" i="23"/>
  <c r="E22" i="30"/>
  <c r="E7" i="30"/>
  <c r="E6" i="28"/>
  <c r="E13" i="26"/>
  <c r="E14" i="28"/>
  <c r="E10" i="28"/>
  <c r="M11" i="30"/>
  <c r="M7" i="30"/>
  <c r="M62" i="24"/>
  <c r="M13" i="28"/>
  <c r="M92" i="17"/>
  <c r="Y24" i="23"/>
  <c r="Y22" i="30"/>
  <c r="M7" i="28"/>
  <c r="K34" i="29"/>
  <c r="Y11" i="28"/>
  <c r="M15" i="30"/>
  <c r="Y14" i="28"/>
  <c r="M6" i="28"/>
  <c r="K9" i="29"/>
  <c r="M14" i="28"/>
  <c r="K38" i="29"/>
  <c r="K15" i="29"/>
  <c r="Y11" i="30"/>
  <c r="K25" i="29"/>
  <c r="K19" i="29"/>
  <c r="K10" i="29"/>
  <c r="L12" i="8"/>
  <c r="J6" i="9"/>
  <c r="J6" i="5"/>
  <c r="K6" i="2"/>
  <c r="Y18" i="26"/>
  <c r="M13" i="26"/>
  <c r="M13" i="30"/>
  <c r="Y68" i="24"/>
  <c r="K24" i="29"/>
  <c r="M19" i="30"/>
  <c r="K7" i="29"/>
  <c r="K29" i="29"/>
  <c r="W34" i="29"/>
  <c r="M21" i="30"/>
  <c r="M9" i="26"/>
  <c r="Y13" i="26"/>
  <c r="M17" i="28"/>
  <c r="M14" i="17"/>
  <c r="M25" i="23"/>
  <c r="M23" i="30"/>
  <c r="M20" i="26"/>
  <c r="M19" i="28"/>
  <c r="M16" i="17"/>
  <c r="K36" i="29"/>
  <c r="K22" i="29"/>
  <c r="K13" i="29"/>
  <c r="Y15" i="30"/>
  <c r="K40" i="29"/>
  <c r="K17" i="29"/>
  <c r="M9" i="28"/>
  <c r="M16" i="25"/>
  <c r="K42" i="29"/>
  <c r="K33" i="29"/>
  <c r="J55" i="6"/>
  <c r="J11" i="5"/>
  <c r="K10" i="2"/>
  <c r="Y21" i="30"/>
  <c r="Y9" i="28"/>
  <c r="J10" i="9"/>
  <c r="M8" i="26"/>
  <c r="Y8" i="28"/>
  <c r="Y13" i="28"/>
  <c r="Y92" i="17"/>
  <c r="M11" i="28"/>
  <c r="K39" i="29"/>
  <c r="K16" i="29"/>
  <c r="M10" i="28"/>
  <c r="Y7" i="30"/>
  <c r="Y91" i="24"/>
  <c r="M8" i="28"/>
  <c r="M20" i="28"/>
  <c r="M17" i="17"/>
  <c r="K37" i="29"/>
  <c r="K23" i="29"/>
  <c r="K14" i="29"/>
  <c r="K19" i="30"/>
  <c r="Y19" i="26"/>
  <c r="K41" i="29"/>
  <c r="K18" i="29"/>
  <c r="Y10" i="28"/>
  <c r="J10" i="5"/>
  <c r="M8" i="25"/>
  <c r="K9" i="2"/>
  <c r="M69" i="24"/>
  <c r="K13" i="26"/>
  <c r="M9" i="25"/>
  <c r="M41" i="17"/>
  <c r="Y7" i="28"/>
  <c r="K66" i="24"/>
  <c r="M9" i="30"/>
  <c r="Y13" i="30"/>
  <c r="K11" i="28"/>
  <c r="Y25" i="23"/>
  <c r="Y23" i="30"/>
  <c r="K8" i="29"/>
  <c r="K30" i="29"/>
  <c r="K7" i="30"/>
  <c r="K21" i="30"/>
  <c r="M10" i="25"/>
  <c r="M52" i="17"/>
  <c r="Y19" i="30"/>
  <c r="K16" i="26"/>
  <c r="M18" i="28"/>
  <c r="M15" i="17"/>
  <c r="Y9" i="30"/>
  <c r="K13" i="28"/>
  <c r="K92" i="17"/>
  <c r="K9" i="30"/>
  <c r="M16" i="28"/>
  <c r="M13" i="17"/>
  <c r="K9" i="28"/>
  <c r="K15" i="26"/>
  <c r="K25" i="23"/>
  <c r="K23" i="30"/>
  <c r="K13" i="30"/>
  <c r="K11" i="30"/>
  <c r="K10" i="28"/>
  <c r="I34" i="29"/>
  <c r="K14" i="28"/>
  <c r="K7" i="28"/>
  <c r="K13" i="25"/>
  <c r="K6" i="28"/>
  <c r="K19" i="25"/>
  <c r="K15" i="30"/>
  <c r="AA31" i="34"/>
  <c r="AA8" i="34"/>
  <c r="AA41" i="34"/>
  <c r="AA36" i="34"/>
  <c r="AA35" i="34"/>
  <c r="AA28" i="34"/>
  <c r="AA38" i="34"/>
  <c r="AA43" i="34"/>
  <c r="AA39" i="34"/>
  <c r="AA27" i="34"/>
  <c r="AA47" i="34"/>
  <c r="AA37" i="34"/>
  <c r="AA34" i="34"/>
  <c r="AA9" i="34"/>
  <c r="AA44" i="34"/>
  <c r="AA29" i="34"/>
  <c r="AA42" i="34"/>
  <c r="AA40" i="34"/>
  <c r="AA45" i="34"/>
  <c r="AA46" i="34"/>
  <c r="AA7" i="34"/>
  <c r="X28" i="34"/>
  <c r="X39" i="34"/>
  <c r="N6" i="28"/>
  <c r="AA10" i="34"/>
  <c r="X8" i="34"/>
  <c r="N15" i="26"/>
  <c r="N19" i="30"/>
  <c r="X46" i="34"/>
  <c r="V80" i="24"/>
  <c r="N12" i="26"/>
  <c r="T26" i="29"/>
  <c r="X47" i="34"/>
  <c r="T11" i="29"/>
  <c r="X36" i="34"/>
  <c r="V7" i="27"/>
  <c r="V91" i="17"/>
  <c r="V14" i="27"/>
  <c r="V28" i="25"/>
  <c r="N9" i="30"/>
  <c r="N24" i="23"/>
  <c r="N22" i="30"/>
  <c r="X45" i="34"/>
  <c r="N11" i="28"/>
  <c r="N18" i="26"/>
  <c r="N13" i="28"/>
  <c r="N92" i="17"/>
  <c r="X37" i="34"/>
  <c r="V22" i="27"/>
  <c r="V18" i="27"/>
  <c r="V32" i="25"/>
  <c r="X42" i="34"/>
  <c r="V34" i="25"/>
  <c r="V89" i="17"/>
  <c r="X31" i="34"/>
  <c r="X10" i="34"/>
  <c r="X41" i="34"/>
  <c r="N7" i="28"/>
  <c r="V25" i="26"/>
  <c r="V26" i="26"/>
  <c r="E28" i="34"/>
  <c r="X38" i="34"/>
  <c r="N10" i="28"/>
  <c r="V17" i="27"/>
  <c r="S14" i="5"/>
  <c r="V31" i="25"/>
  <c r="N21" i="30"/>
  <c r="V30" i="26"/>
  <c r="C46" i="34"/>
  <c r="X29" i="34"/>
  <c r="C29" i="34"/>
  <c r="N13" i="26"/>
  <c r="C7" i="34"/>
  <c r="V43" i="24"/>
  <c r="C41" i="34"/>
  <c r="X27" i="34"/>
  <c r="N25" i="23"/>
  <c r="N23" i="30"/>
  <c r="V10" i="27"/>
  <c r="V25" i="25"/>
  <c r="C45" i="34"/>
  <c r="L34" i="29"/>
  <c r="X43" i="34"/>
  <c r="E38" i="34"/>
  <c r="V12" i="27"/>
  <c r="V26" i="25"/>
  <c r="V35" i="26"/>
  <c r="V16" i="27"/>
  <c r="V30" i="25"/>
  <c r="N7" i="30"/>
  <c r="C34" i="34"/>
  <c r="T28" i="34"/>
  <c r="X7" i="34"/>
  <c r="N11" i="30"/>
  <c r="E42" i="34"/>
  <c r="C8" i="34"/>
  <c r="E9" i="34"/>
  <c r="N13" i="30"/>
  <c r="N20" i="25"/>
  <c r="T43" i="29"/>
  <c r="V8" i="27"/>
  <c r="C39" i="34"/>
  <c r="X9" i="34"/>
  <c r="N14" i="28"/>
  <c r="C36" i="34"/>
  <c r="V21" i="27"/>
  <c r="E7" i="34"/>
  <c r="T20" i="29"/>
  <c r="E45" i="34"/>
  <c r="X44" i="34"/>
  <c r="N15" i="30"/>
  <c r="X34" i="34"/>
  <c r="T40" i="34"/>
  <c r="E8" i="34"/>
  <c r="C31" i="34"/>
  <c r="E44" i="34"/>
  <c r="C9" i="34"/>
  <c r="T9" i="34"/>
  <c r="V61" i="24"/>
  <c r="E10" i="34"/>
  <c r="C42" i="34"/>
  <c r="X35" i="34"/>
  <c r="T7" i="34"/>
  <c r="N8" i="28"/>
  <c r="C35" i="34"/>
  <c r="E36" i="34"/>
  <c r="X40" i="34"/>
  <c r="E47" i="34"/>
  <c r="E29" i="34"/>
  <c r="T34" i="34"/>
  <c r="R24" i="23"/>
  <c r="R22" i="30"/>
  <c r="T46" i="34"/>
  <c r="C38" i="34"/>
  <c r="E35" i="34"/>
  <c r="R11" i="28"/>
  <c r="T29" i="34"/>
  <c r="C37" i="34"/>
  <c r="T45" i="34"/>
  <c r="R9" i="30"/>
  <c r="E43" i="34"/>
  <c r="E41" i="34"/>
  <c r="R8" i="28"/>
  <c r="C47" i="34"/>
  <c r="C40" i="34"/>
  <c r="R19" i="30"/>
  <c r="R13" i="28"/>
  <c r="R92" i="17"/>
  <c r="T35" i="34"/>
  <c r="R6" i="28"/>
  <c r="T44" i="34"/>
  <c r="E46" i="34"/>
  <c r="T31" i="34"/>
  <c r="C27" i="34"/>
  <c r="C43" i="34"/>
  <c r="C10" i="34"/>
  <c r="E37" i="34"/>
  <c r="T10" i="34"/>
  <c r="C28" i="34"/>
  <c r="T43" i="34"/>
  <c r="E31" i="34"/>
  <c r="R10" i="28"/>
  <c r="E40" i="34"/>
  <c r="R11" i="30"/>
  <c r="T27" i="34"/>
  <c r="R25" i="23"/>
  <c r="R23" i="30"/>
  <c r="C44" i="34"/>
  <c r="E27" i="34"/>
  <c r="T37" i="34"/>
  <c r="E39" i="34"/>
  <c r="T39" i="34"/>
  <c r="R20" i="26"/>
  <c r="R67" i="24"/>
  <c r="T42" i="34"/>
  <c r="E34" i="34"/>
  <c r="V25" i="34"/>
  <c r="T8" i="34"/>
  <c r="D65" i="24"/>
  <c r="D13" i="30"/>
  <c r="T36" i="34"/>
  <c r="V26" i="34"/>
  <c r="D11" i="28"/>
  <c r="R13" i="26"/>
  <c r="V30" i="34"/>
  <c r="D12" i="25"/>
  <c r="T47" i="34"/>
  <c r="R7" i="28"/>
  <c r="T38" i="34"/>
  <c r="D7" i="28"/>
  <c r="R21" i="30"/>
  <c r="R90" i="24"/>
  <c r="T41" i="34"/>
  <c r="D8" i="28"/>
  <c r="R7" i="30"/>
  <c r="D18" i="25"/>
  <c r="R20" i="25"/>
  <c r="D25" i="23"/>
  <c r="D23" i="30"/>
  <c r="R9" i="28"/>
  <c r="D6" i="28"/>
  <c r="D9" i="30"/>
  <c r="D7" i="30"/>
  <c r="P34" i="29"/>
  <c r="D24" i="23"/>
  <c r="D22" i="30"/>
  <c r="R15" i="30"/>
  <c r="D66" i="24"/>
  <c r="D19" i="25"/>
  <c r="D16" i="26"/>
  <c r="D19" i="30"/>
  <c r="R13" i="30"/>
  <c r="I10" i="28"/>
  <c r="I8" i="28"/>
  <c r="D10" i="28"/>
  <c r="D11" i="30"/>
  <c r="D21" i="30"/>
  <c r="D18" i="26"/>
  <c r="S45" i="34"/>
  <c r="D13" i="28"/>
  <c r="D92" i="17"/>
  <c r="S29" i="34"/>
  <c r="S31" i="34"/>
  <c r="S35" i="34"/>
  <c r="O31" i="34"/>
  <c r="R18" i="28"/>
  <c r="R15" i="17"/>
  <c r="D15" i="30"/>
  <c r="I24" i="23"/>
  <c r="I22" i="30"/>
  <c r="S37" i="34"/>
  <c r="I21" i="30"/>
  <c r="I15" i="26"/>
  <c r="I16" i="25"/>
  <c r="S38" i="34"/>
  <c r="R19" i="28"/>
  <c r="R16" i="17"/>
  <c r="S10" i="34"/>
  <c r="I13" i="28"/>
  <c r="I92" i="17"/>
  <c r="O34" i="34"/>
  <c r="S27" i="34"/>
  <c r="P36" i="29"/>
  <c r="P22" i="29"/>
  <c r="P13" i="29"/>
  <c r="O8" i="34"/>
  <c r="P41" i="29"/>
  <c r="P18" i="29"/>
  <c r="S28" i="34"/>
  <c r="I25" i="23"/>
  <c r="I23" i="30"/>
  <c r="O9" i="34"/>
  <c r="P38" i="29"/>
  <c r="P15" i="29"/>
  <c r="O35" i="34"/>
  <c r="P42" i="29"/>
  <c r="P33" i="29"/>
  <c r="O55" i="6"/>
  <c r="O11" i="5"/>
  <c r="P10" i="2"/>
  <c r="I91" i="24"/>
  <c r="I16" i="26"/>
  <c r="I19" i="30"/>
  <c r="O7" i="34"/>
  <c r="S47" i="34"/>
  <c r="S40" i="34"/>
  <c r="O10" i="34"/>
  <c r="O28" i="34"/>
  <c r="I9" i="28"/>
  <c r="O39" i="34"/>
  <c r="P7" i="29"/>
  <c r="P29" i="29"/>
  <c r="I13" i="30"/>
  <c r="I6" i="28"/>
  <c r="O37" i="34"/>
  <c r="S9" i="34"/>
  <c r="M44" i="34"/>
  <c r="O41" i="34"/>
  <c r="R10" i="26"/>
  <c r="G34" i="29"/>
  <c r="R10" i="25"/>
  <c r="R52" i="17"/>
  <c r="S8" i="34"/>
  <c r="S46" i="34"/>
  <c r="M8" i="34"/>
  <c r="O36" i="34"/>
  <c r="M40" i="34"/>
  <c r="R9" i="25"/>
  <c r="R41" i="17"/>
  <c r="O45" i="34"/>
  <c r="S36" i="34"/>
  <c r="I9" i="30"/>
  <c r="R20" i="28"/>
  <c r="R17" i="17"/>
  <c r="M45" i="34"/>
  <c r="I68" i="24"/>
  <c r="I7" i="30"/>
  <c r="S42" i="34"/>
  <c r="S7" i="34"/>
  <c r="M31" i="34"/>
  <c r="O29" i="34"/>
  <c r="R9" i="26"/>
  <c r="P37" i="29"/>
  <c r="P23" i="29"/>
  <c r="P14" i="29"/>
  <c r="M29" i="34"/>
  <c r="I11" i="30"/>
  <c r="M38" i="34"/>
  <c r="J10" i="34"/>
  <c r="S39" i="34"/>
  <c r="S43" i="34"/>
  <c r="O40" i="34"/>
  <c r="S34" i="34"/>
  <c r="P25" i="29"/>
  <c r="P19" i="29"/>
  <c r="P10" i="29"/>
  <c r="Q12" i="8"/>
  <c r="O6" i="9"/>
  <c r="O6" i="5"/>
  <c r="P6" i="2"/>
  <c r="O47" i="34"/>
  <c r="S44" i="34"/>
  <c r="M42" i="34"/>
  <c r="I7" i="28"/>
  <c r="M9" i="34"/>
  <c r="I15" i="30"/>
  <c r="O46" i="34"/>
  <c r="M27" i="34"/>
  <c r="O42" i="34"/>
  <c r="P9" i="29"/>
  <c r="M28" i="34"/>
  <c r="I62" i="24"/>
  <c r="M41" i="34"/>
  <c r="J42" i="34"/>
  <c r="O44" i="34"/>
  <c r="S41" i="34"/>
  <c r="J36" i="34"/>
  <c r="P24" i="29"/>
  <c r="J38" i="34"/>
  <c r="R16" i="28"/>
  <c r="R13" i="17"/>
  <c r="O38" i="34"/>
  <c r="M47" i="34"/>
  <c r="P8" i="29"/>
  <c r="P30" i="29"/>
  <c r="O43" i="34"/>
  <c r="M36" i="34"/>
  <c r="R17" i="28"/>
  <c r="R14" i="17"/>
  <c r="J41" i="34"/>
  <c r="O27" i="34"/>
  <c r="M39" i="34"/>
  <c r="J7" i="34"/>
  <c r="J28" i="34"/>
  <c r="M7" i="34"/>
  <c r="P39" i="29"/>
  <c r="P16" i="29"/>
  <c r="M43" i="34"/>
  <c r="P40" i="29"/>
  <c r="P17" i="29"/>
  <c r="M35" i="34"/>
  <c r="J29" i="34"/>
  <c r="O10" i="9"/>
  <c r="R8" i="26"/>
  <c r="J35" i="34"/>
  <c r="M46" i="34"/>
  <c r="J46" i="34"/>
  <c r="M34" i="34"/>
  <c r="J27" i="34"/>
  <c r="M37" i="34"/>
  <c r="J47" i="34"/>
  <c r="J31" i="34"/>
  <c r="M10" i="34"/>
  <c r="J39" i="34"/>
  <c r="J44" i="34"/>
  <c r="J40" i="34"/>
  <c r="J37" i="34"/>
  <c r="J34" i="34"/>
  <c r="J8" i="34"/>
  <c r="J45" i="34"/>
  <c r="J43" i="34"/>
  <c r="J9" i="34"/>
  <c r="W6" i="28"/>
  <c r="W7" i="28"/>
  <c r="W8" i="28"/>
  <c r="W7" i="30"/>
  <c r="W14" i="28"/>
  <c r="W19" i="30"/>
  <c r="W24" i="23"/>
  <c r="W22" i="30"/>
  <c r="W11" i="30"/>
  <c r="W13" i="28"/>
  <c r="W92" i="17"/>
  <c r="W10" i="28"/>
  <c r="U34" i="29"/>
  <c r="W18" i="26"/>
  <c r="W15" i="30"/>
  <c r="W25" i="23"/>
  <c r="W23" i="30"/>
  <c r="W9" i="28"/>
  <c r="W13" i="30"/>
  <c r="W11" i="28"/>
  <c r="W12" i="26"/>
  <c r="W19" i="26"/>
  <c r="W16" i="26"/>
  <c r="W9" i="30"/>
  <c r="W21" i="30"/>
  <c r="N36" i="34"/>
  <c r="N42" i="34"/>
  <c r="N28" i="34"/>
  <c r="N47" i="34"/>
  <c r="N29" i="34"/>
  <c r="H7" i="34"/>
  <c r="H41" i="34"/>
  <c r="H35" i="34"/>
  <c r="H10" i="34"/>
  <c r="H31" i="34"/>
  <c r="N40" i="34"/>
  <c r="N9" i="34"/>
  <c r="H34" i="34"/>
  <c r="N45" i="34"/>
  <c r="N31" i="34"/>
  <c r="H43" i="34"/>
  <c r="H37" i="34"/>
  <c r="N27" i="34"/>
  <c r="N34" i="34"/>
  <c r="H9" i="34"/>
  <c r="N37" i="34"/>
  <c r="H40" i="34"/>
  <c r="N44" i="34"/>
  <c r="H45" i="34"/>
  <c r="N46" i="34"/>
  <c r="H29" i="34"/>
  <c r="N39" i="34"/>
  <c r="H47" i="34"/>
  <c r="Q42" i="34"/>
  <c r="H39" i="34"/>
  <c r="Q37" i="34"/>
  <c r="N43" i="34"/>
  <c r="Q43" i="34"/>
  <c r="H46" i="34"/>
  <c r="N41" i="34"/>
  <c r="Q31" i="34"/>
  <c r="Q47" i="34"/>
  <c r="H8" i="34"/>
  <c r="H36" i="34"/>
  <c r="N8" i="34"/>
  <c r="T15" i="30"/>
  <c r="N38" i="34"/>
  <c r="Q7" i="34"/>
  <c r="T13" i="28"/>
  <c r="T92" i="17"/>
  <c r="H42" i="34"/>
  <c r="H38" i="34"/>
  <c r="Q46" i="34"/>
  <c r="N7" i="34"/>
  <c r="Q36" i="34"/>
  <c r="T12" i="26"/>
  <c r="H27" i="34"/>
  <c r="H28" i="34"/>
  <c r="Q44" i="34"/>
  <c r="N35" i="34"/>
  <c r="T10" i="28"/>
  <c r="N10" i="34"/>
  <c r="Q38" i="34"/>
  <c r="T6" i="28"/>
  <c r="H44" i="34"/>
  <c r="T21" i="30"/>
  <c r="Q39" i="34"/>
  <c r="Q34" i="34"/>
  <c r="T25" i="23"/>
  <c r="T23" i="30"/>
  <c r="T20" i="26"/>
  <c r="Q41" i="34"/>
  <c r="Q40" i="34"/>
  <c r="T7" i="30"/>
  <c r="T65" i="24"/>
  <c r="L9" i="34"/>
  <c r="T24" i="23"/>
  <c r="T22" i="30"/>
  <c r="Q29" i="34"/>
  <c r="L36" i="34"/>
  <c r="V31" i="34"/>
  <c r="Q27" i="34"/>
  <c r="T9" i="28"/>
  <c r="T19" i="26"/>
  <c r="V39" i="34"/>
  <c r="V35" i="34"/>
  <c r="T19" i="30"/>
  <c r="L47" i="34"/>
  <c r="Q8" i="34"/>
  <c r="V29" i="34"/>
  <c r="L20" i="26"/>
  <c r="T11" i="30"/>
  <c r="Q28" i="34"/>
  <c r="T18" i="25"/>
  <c r="V46" i="34"/>
  <c r="P36" i="34"/>
  <c r="R34" i="29"/>
  <c r="V43" i="34"/>
  <c r="Q35" i="34"/>
  <c r="P34" i="34"/>
  <c r="V8" i="34"/>
  <c r="T13" i="30"/>
  <c r="P8" i="34"/>
  <c r="V27" i="34"/>
  <c r="T14" i="28"/>
  <c r="Q9" i="34"/>
  <c r="V9" i="34"/>
  <c r="V28" i="34"/>
  <c r="Q10" i="34"/>
  <c r="Q45" i="34"/>
  <c r="V42" i="34"/>
  <c r="V34" i="34"/>
  <c r="T8" i="28"/>
  <c r="T9" i="30"/>
  <c r="L29" i="34"/>
  <c r="V44" i="34"/>
  <c r="T7" i="28"/>
  <c r="L13" i="28"/>
  <c r="L92" i="17"/>
  <c r="L42" i="34"/>
  <c r="V45" i="34"/>
  <c r="L31" i="34"/>
  <c r="L10" i="28"/>
  <c r="P41" i="34"/>
  <c r="L9" i="30"/>
  <c r="V47" i="34"/>
  <c r="V36" i="34"/>
  <c r="F28" i="34"/>
  <c r="L24" i="23"/>
  <c r="L22" i="30"/>
  <c r="U29" i="34"/>
  <c r="F37" i="34"/>
  <c r="V7" i="34"/>
  <c r="F31" i="34"/>
  <c r="L13" i="30"/>
  <c r="Y27" i="34"/>
  <c r="F43" i="34"/>
  <c r="L9" i="28"/>
  <c r="P46" i="34"/>
  <c r="P7" i="34"/>
  <c r="V40" i="34"/>
  <c r="L14" i="28"/>
  <c r="L15" i="26"/>
  <c r="K43" i="34"/>
  <c r="F36" i="34"/>
  <c r="F45" i="34"/>
  <c r="Y47" i="34"/>
  <c r="L11" i="30"/>
  <c r="K9" i="34"/>
  <c r="V37" i="34"/>
  <c r="F34" i="34"/>
  <c r="I46" i="34"/>
  <c r="U38" i="34"/>
  <c r="L19" i="30"/>
  <c r="F39" i="34"/>
  <c r="L91" i="24"/>
  <c r="U37" i="34"/>
  <c r="K28" i="34"/>
  <c r="V41" i="34"/>
  <c r="F29" i="34"/>
  <c r="Y42" i="34"/>
  <c r="L25" i="23"/>
  <c r="L23" i="30"/>
  <c r="U36" i="34"/>
  <c r="F40" i="34"/>
  <c r="Y44" i="34"/>
  <c r="V10" i="34"/>
  <c r="L16" i="26"/>
  <c r="U8" i="34"/>
  <c r="K47" i="34"/>
  <c r="I35" i="34"/>
  <c r="Y10" i="34"/>
  <c r="I28" i="34"/>
  <c r="U27" i="34"/>
  <c r="V38" i="34"/>
  <c r="F7" i="34"/>
  <c r="Y34" i="34"/>
  <c r="Z41" i="34"/>
  <c r="P45" i="34"/>
  <c r="U44" i="34"/>
  <c r="L27" i="34"/>
  <c r="U43" i="34"/>
  <c r="K46" i="34"/>
  <c r="L7" i="34"/>
  <c r="I27" i="34"/>
  <c r="P42" i="34"/>
  <c r="L46" i="34"/>
  <c r="F35" i="34"/>
  <c r="F46" i="34"/>
  <c r="P44" i="34"/>
  <c r="K35" i="34"/>
  <c r="U9" i="34"/>
  <c r="L34" i="34"/>
  <c r="K27" i="34"/>
  <c r="F41" i="34"/>
  <c r="P9" i="34"/>
  <c r="F47" i="34"/>
  <c r="I31" i="34"/>
  <c r="P27" i="34"/>
  <c r="U45" i="34"/>
  <c r="F10" i="34"/>
  <c r="L45" i="34"/>
  <c r="K38" i="34"/>
  <c r="Y35" i="34"/>
  <c r="U31" i="34"/>
  <c r="K45" i="34"/>
  <c r="F8" i="34"/>
  <c r="I47" i="34"/>
  <c r="L44" i="34"/>
  <c r="I7" i="34"/>
  <c r="L7" i="30"/>
  <c r="U35" i="34"/>
  <c r="Z43" i="34"/>
  <c r="L28" i="34"/>
  <c r="Y41" i="34"/>
  <c r="P38" i="34"/>
  <c r="L40" i="34"/>
  <c r="Z10" i="34"/>
  <c r="Y37" i="34"/>
  <c r="U21" i="30"/>
  <c r="U90" i="24"/>
  <c r="K40" i="34"/>
  <c r="F44" i="34"/>
  <c r="K7" i="34"/>
  <c r="L13" i="25"/>
  <c r="P35" i="34"/>
  <c r="U46" i="34"/>
  <c r="F38" i="34"/>
  <c r="I45" i="34"/>
  <c r="Z44" i="34"/>
  <c r="P28" i="34"/>
  <c r="L43" i="34"/>
  <c r="K34" i="34"/>
  <c r="Y45" i="34"/>
  <c r="L21" i="30"/>
  <c r="U40" i="34"/>
  <c r="I42" i="34"/>
  <c r="Z36" i="34"/>
  <c r="U14" i="28"/>
  <c r="L15" i="30"/>
  <c r="F9" i="34"/>
  <c r="P47" i="34"/>
  <c r="Y31" i="34"/>
  <c r="U10" i="34"/>
  <c r="U9" i="30"/>
  <c r="Z47" i="34"/>
  <c r="L35" i="34"/>
  <c r="I10" i="34"/>
  <c r="L11" i="28"/>
  <c r="K44" i="34"/>
  <c r="L7" i="28"/>
  <c r="U34" i="34"/>
  <c r="F42" i="34"/>
  <c r="U6" i="28"/>
  <c r="P40" i="34"/>
  <c r="Y38" i="34"/>
  <c r="L38" i="34"/>
  <c r="Z27" i="34"/>
  <c r="P31" i="34"/>
  <c r="L41" i="34"/>
  <c r="F27" i="34"/>
  <c r="U39" i="34"/>
  <c r="K37" i="34"/>
  <c r="Y36" i="34"/>
  <c r="I9" i="34"/>
  <c r="P39" i="34"/>
  <c r="K42" i="34"/>
  <c r="U11" i="30"/>
  <c r="Z39" i="34"/>
  <c r="U41" i="34"/>
  <c r="I40" i="34"/>
  <c r="L37" i="24"/>
  <c r="P29" i="34"/>
  <c r="U7" i="28"/>
  <c r="L39" i="34"/>
  <c r="I41" i="34"/>
  <c r="K36" i="34"/>
  <c r="Y40" i="34"/>
  <c r="U42" i="34"/>
  <c r="J34" i="29"/>
  <c r="U13" i="26"/>
  <c r="Z7" i="34"/>
  <c r="K29" i="34"/>
  <c r="U7" i="34"/>
  <c r="Y43" i="34"/>
  <c r="I8" i="34"/>
  <c r="P10" i="34"/>
  <c r="D28" i="34"/>
  <c r="U11" i="28"/>
  <c r="K39" i="34"/>
  <c r="U47" i="34"/>
  <c r="Y46" i="34"/>
  <c r="D42" i="34"/>
  <c r="Z28" i="34"/>
  <c r="L8" i="34"/>
  <c r="U13" i="30"/>
  <c r="P37" i="34"/>
  <c r="Y29" i="34"/>
  <c r="D31" i="34"/>
  <c r="L37" i="34"/>
  <c r="K41" i="34"/>
  <c r="Z45" i="34"/>
  <c r="Z42" i="34"/>
  <c r="I44" i="34"/>
  <c r="Y7" i="34"/>
  <c r="U28" i="34"/>
  <c r="K31" i="34"/>
  <c r="P43" i="34"/>
  <c r="Z8" i="34"/>
  <c r="U25" i="23"/>
  <c r="U23" i="30"/>
  <c r="U15" i="26"/>
  <c r="Y9" i="34"/>
  <c r="D45" i="34"/>
  <c r="L10" i="34"/>
  <c r="K10" i="34"/>
  <c r="I38" i="34"/>
  <c r="Y39" i="34"/>
  <c r="D7" i="34"/>
  <c r="Z38" i="34"/>
  <c r="U20" i="26"/>
  <c r="I39" i="34"/>
  <c r="K8" i="34"/>
  <c r="Z35" i="34"/>
  <c r="D44" i="34"/>
  <c r="Y28" i="34"/>
  <c r="U13" i="28"/>
  <c r="U92" i="17"/>
  <c r="I37" i="34"/>
  <c r="U7" i="30"/>
  <c r="Z40" i="34"/>
  <c r="Y8" i="34"/>
  <c r="U19" i="30"/>
  <c r="I34" i="34"/>
  <c r="D29" i="34"/>
  <c r="Z34" i="34"/>
  <c r="D34" i="34"/>
  <c r="D47" i="34"/>
  <c r="S34" i="29"/>
  <c r="D46" i="34"/>
  <c r="I36" i="34"/>
  <c r="Z9" i="34"/>
  <c r="U9" i="28"/>
  <c r="U12" i="26"/>
  <c r="I43" i="34"/>
  <c r="Z37" i="34"/>
  <c r="D39" i="34"/>
  <c r="D8" i="34"/>
  <c r="Z29" i="34"/>
  <c r="U15" i="30"/>
  <c r="U19" i="26"/>
  <c r="D9" i="34"/>
  <c r="Z31" i="34"/>
  <c r="I29" i="34"/>
  <c r="D36" i="34"/>
  <c r="Z46" i="34"/>
  <c r="D43" i="34"/>
  <c r="U24" i="23"/>
  <c r="U22" i="30"/>
  <c r="D41" i="34"/>
  <c r="D37" i="34"/>
  <c r="D38" i="34"/>
  <c r="D40" i="34"/>
  <c r="D27" i="34"/>
  <c r="D10" i="34"/>
  <c r="W35" i="34"/>
  <c r="W37" i="34"/>
  <c r="D35" i="34"/>
  <c r="W43" i="34"/>
  <c r="W8" i="34"/>
  <c r="W46" i="34"/>
  <c r="W42" i="34"/>
  <c r="W38" i="34"/>
  <c r="W45" i="34"/>
  <c r="W44" i="34"/>
  <c r="W29" i="34"/>
  <c r="W36" i="34"/>
  <c r="W31" i="34"/>
  <c r="W39" i="34"/>
  <c r="P32" i="26"/>
  <c r="W27" i="34"/>
  <c r="P8" i="27"/>
  <c r="W7" i="34"/>
  <c r="P7" i="27"/>
  <c r="P91" i="17"/>
  <c r="W28" i="34"/>
  <c r="W34" i="34"/>
  <c r="P17" i="27"/>
  <c r="M14" i="5"/>
  <c r="P31" i="25"/>
  <c r="P6" i="27"/>
  <c r="W9" i="34"/>
  <c r="P50" i="24"/>
  <c r="W47" i="34"/>
  <c r="W40" i="34"/>
  <c r="N26" i="29"/>
  <c r="P21" i="27"/>
  <c r="W41" i="34"/>
  <c r="N11" i="29"/>
  <c r="W10" i="34"/>
  <c r="P25" i="26"/>
  <c r="P14" i="27"/>
  <c r="P28" i="25"/>
  <c r="P17" i="30"/>
  <c r="P87" i="24"/>
  <c r="P75" i="24"/>
  <c r="N43" i="29"/>
  <c r="P34" i="26"/>
  <c r="P10" i="27"/>
  <c r="P25" i="25"/>
  <c r="P20" i="27"/>
  <c r="P9" i="27"/>
  <c r="P16" i="27"/>
  <c r="P30" i="25"/>
  <c r="P22" i="27"/>
  <c r="P28" i="26"/>
  <c r="G31" i="34"/>
  <c r="G40" i="34"/>
  <c r="G37" i="34"/>
  <c r="G47" i="34"/>
  <c r="G44" i="34"/>
  <c r="G34" i="34"/>
  <c r="G39" i="34"/>
  <c r="G46" i="34"/>
  <c r="G43" i="34"/>
  <c r="G8" i="34"/>
  <c r="G10" i="34"/>
  <c r="G35" i="34"/>
  <c r="G9" i="34"/>
  <c r="G7" i="34"/>
  <c r="G38" i="34"/>
  <c r="G29" i="34"/>
  <c r="G28" i="34"/>
  <c r="G42" i="34"/>
  <c r="G36" i="34"/>
  <c r="G27" i="34"/>
  <c r="G45" i="34"/>
  <c r="G41" i="34"/>
  <c r="F26" i="34"/>
  <c r="F30" i="34"/>
  <c r="F25" i="34"/>
  <c r="R30" i="34"/>
  <c r="R26" i="34"/>
  <c r="R25" i="34"/>
  <c r="O26" i="34"/>
  <c r="O25" i="34"/>
  <c r="O30" i="34"/>
</calcChain>
</file>

<file path=xl/sharedStrings.xml><?xml version="1.0" encoding="utf-8"?>
<sst xmlns="http://schemas.openxmlformats.org/spreadsheetml/2006/main" count="5420" uniqueCount="1660">
  <si>
    <t>Revenue</t>
  </si>
  <si>
    <t>Total Revenue</t>
  </si>
  <si>
    <t>Gross Profit</t>
  </si>
  <si>
    <t>Cash &amp; Equivalents</t>
  </si>
  <si>
    <t>Reference Items</t>
  </si>
  <si>
    <t>Right click to show data transparency (not supported for all values)</t>
  </si>
  <si>
    <t>FY 2005</t>
  </si>
  <si>
    <t>Neurocrine Biosciences Inc (NBIX US) - Adj Highlights</t>
  </si>
  <si>
    <t>In Millions of USD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</si>
  <si>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</si>
  <si>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</si>
  <si>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</si>
  <si>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</si>
  <si>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</si>
  <si>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</si>
  <si>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</si>
  <si>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</si>
  <si>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</si>
  <si>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</si>
  <si>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</si>
  <si>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</si>
  <si>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</si>
  <si>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</si>
  <si>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</si>
  <si>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</si>
  <si>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</si>
  <si>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</si>
  <si>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</si>
  <si>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</si>
  <si>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</si>
  <si>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</si>
  <si>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</si>
  <si>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 Est</t>
  </si>
  <si>
    <t>Q2 2025 Est</t>
  </si>
  <si>
    <t>3 Months Ending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</si>
  <si>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</si>
  <si>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</si>
  <si>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</si>
  <si>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</si>
  <si>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</si>
  <si>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</si>
  <si>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</si>
  <si>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</si>
  <si>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</si>
  <si>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</si>
  <si>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</si>
  <si>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03/31/2022</t>
  </si>
  <si>
    <t>06/30/2022</t>
  </si>
  <si>
    <t>09/30/2022</t>
  </si>
  <si>
    <t>12/31/2022</t>
  </si>
  <si>
    <t>03/31/2023</t>
  </si>
  <si>
    <t>06/30/2023</t>
  </si>
  <si>
    <t>09/30/2023</t>
  </si>
  <si>
    <t>12/31/2023</t>
  </si>
  <si>
    <t>03/31/2024</t>
  </si>
  <si>
    <t>06/30/2024</t>
  </si>
  <si>
    <t>09/30/2024</t>
  </si>
  <si>
    <t>12/31/2024</t>
  </si>
  <si>
    <t>03/31/2025</t>
  </si>
  <si>
    <t>06/30/2025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</si>
  <si>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</si>
  <si>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</si>
  <si>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</si>
  <si>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</si>
  <si>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</si>
  <si>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PFD_EQTY_MINORTY_INTEREST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</si>
  <si>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</si>
  <si>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</si>
  <si>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</si>
  <si>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</si>
  <si>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</si>
  <si>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</si>
  <si>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</si>
  <si>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</si>
  <si>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</si>
  <si>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</si>
  <si>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</si>
  <si>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EBITDA, Adj</t>
  </si>
  <si>
    <t>EBITDA</t>
  </si>
  <si>
    <t>Net Income, Adj</t>
  </si>
  <si>
    <t>EARN_FOR_COMMON</t>
  </si>
  <si>
    <t>EPS, Adj</t>
  </si>
  <si>
    <t>IS_DIL_EPS_CONT_OPS</t>
  </si>
  <si>
    <t>DILUTED_EPS_AFT_XO_ITEMS_GROWTH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</si>
  <si>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</si>
  <si>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</si>
  <si>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</si>
  <si>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</si>
  <si>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</si>
  <si>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</si>
  <si>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</si>
  <si>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Neurocrine Biosciences Inc (NBIX US) - GAAP Highlights</t>
  </si>
  <si>
    <t>In Millions of USD except Per Share</t>
  </si>
  <si>
    <t>Q4 2018</t>
  </si>
  <si>
    <t>Q1 2019</t>
  </si>
  <si>
    <t>12/31/2018</t>
  </si>
  <si>
    <t>03/31/2019</t>
  </si>
  <si>
    <t>Total Revenues</t>
  </si>
  <si>
    <t>Operating Income</t>
  </si>
  <si>
    <t>IS_OPER_INC</t>
  </si>
  <si>
    <t>Net Income to Common</t>
  </si>
  <si>
    <t>Basic EPS, GAAP</t>
  </si>
  <si>
    <t>IS_EPS</t>
  </si>
  <si>
    <t>Diluted EPS, GAAP</t>
  </si>
  <si>
    <t>IS_DILUTED_EPS</t>
  </si>
  <si>
    <t xml:space="preserve">  Basic Weighted Avg Shares</t>
  </si>
  <si>
    <t>IS_AVG_NUM_SH_FOR_EPS</t>
  </si>
  <si>
    <t xml:space="preserve">  Diluted Weighted Avg Shares</t>
  </si>
  <si>
    <t>IS_SH_FOR_DILUTED_EPS</t>
  </si>
  <si>
    <t>Cash and Equivalents</t>
  </si>
  <si>
    <t>Total Current Assets</t>
  </si>
  <si>
    <t>BS_CUR_ASSET_REPORT</t>
  </si>
  <si>
    <t>Total Assets</t>
  </si>
  <si>
    <t>BS_TOT_ASSET</t>
  </si>
  <si>
    <t>Total Current Liabilities</t>
  </si>
  <si>
    <t>BS_CUR_LIAB</t>
  </si>
  <si>
    <t>Total Liabilities</t>
  </si>
  <si>
    <t>BS_TOT_LIAB2</t>
  </si>
  <si>
    <t>Total Equity</t>
  </si>
  <si>
    <t>TOTAL_EQUITY</t>
  </si>
  <si>
    <t xml:space="preserve">  Shares Out on Balance Sheet</t>
  </si>
  <si>
    <t>BS_SH_OUT</t>
  </si>
  <si>
    <t xml:space="preserve">  Shares Out on Filing Cover</t>
  </si>
  <si>
    <t>ARD_SHARE_OUT_FROM_FRONT_COVER</t>
  </si>
  <si>
    <t>Cash From Operations</t>
  </si>
  <si>
    <t>Cash From Investing</t>
  </si>
  <si>
    <t>CF_CASH_FROM_INV_ACT</t>
  </si>
  <si>
    <t>Cash From Financing</t>
  </si>
  <si>
    <t>CF_CASH_FROM_FNC_ACT</t>
  </si>
  <si>
    <t>Neurocrine Biosciences Inc (NBIX US) - Earnings</t>
  </si>
  <si>
    <t>Consensus Estimate</t>
  </si>
  <si>
    <t>BEST_SALES</t>
  </si>
  <si>
    <t>Comparable Actual</t>
  </si>
  <si>
    <t>IS_COMP_SALES</t>
  </si>
  <si>
    <t xml:space="preserve">  Revenue Surprise %</t>
  </si>
  <si>
    <t xml:space="preserve">  GAAP Actual</t>
  </si>
  <si>
    <t xml:space="preserve">  Adjusted Actual</t>
  </si>
  <si>
    <t>Earnings Per Share</t>
  </si>
  <si>
    <t>BEST_EPS</t>
  </si>
  <si>
    <t>IS_COMP_EPS_EXCL_STOCK_COMP</t>
  </si>
  <si>
    <t xml:space="preserve">  EPS Surprise %</t>
  </si>
  <si>
    <t>—</t>
  </si>
  <si>
    <t>EBIT</t>
  </si>
  <si>
    <t>BEST_OPP</t>
  </si>
  <si>
    <t>IS_COMPARABLE_EBIT</t>
  </si>
  <si>
    <t xml:space="preserve">  EBIT Surprise %</t>
  </si>
  <si>
    <t>BEST_EBITDA</t>
  </si>
  <si>
    <t>IS_COMPARABLE_EBITDA</t>
  </si>
  <si>
    <t xml:space="preserve">  EBITDA Surprise %</t>
  </si>
  <si>
    <t>Gross Margin %</t>
  </si>
  <si>
    <t>BEST_GROSS_MARGIN</t>
  </si>
  <si>
    <t>IS_COMP_GROSS_MARGIN_PERCENTAGE</t>
  </si>
  <si>
    <t xml:space="preserve">  Gross Margin Surprise %</t>
  </si>
  <si>
    <t>GROSS_MARGIN</t>
  </si>
  <si>
    <t>Pretax Income (Loss)</t>
  </si>
  <si>
    <t>BEST_PTP</t>
  </si>
  <si>
    <t>IS_COMP_PTP_EX_STK_BASED_COMP</t>
  </si>
  <si>
    <t xml:space="preserve">  Pretax Income (Loss) Surprise %</t>
  </si>
  <si>
    <t>PRETAX_INC</t>
  </si>
  <si>
    <t>Net Income</t>
  </si>
  <si>
    <t>BEST_NET_INCOME</t>
  </si>
  <si>
    <t>IS_COMP_NET_INC_EXCL_STOCK_COMP</t>
  </si>
  <si>
    <t xml:space="preserve">  Net Income Surprise %</t>
  </si>
  <si>
    <t>Neurocrine Biosciences Inc (NBIX US) - Enterprise Value</t>
  </si>
  <si>
    <t>Current</t>
  </si>
  <si>
    <t>03/28/2025</t>
  </si>
  <si>
    <t xml:space="preserve">  - Cash &amp; Equivalents</t>
  </si>
  <si>
    <t xml:space="preserve">  + Preferred Equity</t>
  </si>
  <si>
    <t>PFD_EQTY_HYBRID_CAPITAL</t>
  </si>
  <si>
    <t xml:space="preserve">  + Minority Interest</t>
  </si>
  <si>
    <t>MINORITY_NONCONTROLLING_INTEREST</t>
  </si>
  <si>
    <t xml:space="preserve">  + Total Debt</t>
  </si>
  <si>
    <t>Total Capital</t>
  </si>
  <si>
    <t>BS_TOT_CAP</t>
  </si>
  <si>
    <t>Total Debt/Total Capital</t>
  </si>
  <si>
    <t>TOT_DEBT_TO_TOT_CAP</t>
  </si>
  <si>
    <t>Total Debt/EV</t>
  </si>
  <si>
    <t>TOTAL_DEBT_TO_EV</t>
  </si>
  <si>
    <t>EV/Sales</t>
  </si>
  <si>
    <t>EV_TO_T12M_SALES</t>
  </si>
  <si>
    <t>EV/EBITDA</t>
  </si>
  <si>
    <t>EV_TO_T12M_EBITDA</t>
  </si>
  <si>
    <t>EV/EBIT</t>
  </si>
  <si>
    <t>EV_TO_T12M_EBIT</t>
  </si>
  <si>
    <t>EV/Cash Flow to Firm</t>
  </si>
  <si>
    <t>EV_TO_T12M_CASH_FLOW_FIRM</t>
  </si>
  <si>
    <t>EV/Free Cash Flow to Firm</t>
  </si>
  <si>
    <t>EV_TO_T12M_FREE_CASH_FLOW_FIRM</t>
  </si>
  <si>
    <t>Diluted Market Cap</t>
  </si>
  <si>
    <t>DILUTED_MKT_CAP</t>
  </si>
  <si>
    <t>Diluted Enterprise Value</t>
  </si>
  <si>
    <t>DILUTED_EV</t>
  </si>
  <si>
    <t>EV per Share</t>
  </si>
  <si>
    <t>EV_TO_SH_OUT</t>
  </si>
  <si>
    <t>Trailing 12 Month Values for Ratios</t>
  </si>
  <si>
    <t>IFRS 16/ASC 842 Adoption</t>
  </si>
  <si>
    <t>IFRS_16_ASC_842_ADOPTION_IND</t>
  </si>
  <si>
    <t>Yes</t>
  </si>
  <si>
    <t>Sales</t>
  </si>
  <si>
    <t>TRAIL_12M_NET_SALES</t>
  </si>
  <si>
    <t>TRAIL_12M_EBITDA</t>
  </si>
  <si>
    <t>TRAIL_12M_OPER_INC</t>
  </si>
  <si>
    <t>Cash Flow To Firm</t>
  </si>
  <si>
    <t>TRAIL_12M_CASH_FLOW_FIRM</t>
  </si>
  <si>
    <t>Free Cash Flow To Firm</t>
  </si>
  <si>
    <t>TRAIL_12M_FREE_CASH_FLOW_FIRM</t>
  </si>
  <si>
    <t>Neurocrine Biosciences Inc (NBIX US) - Multiples</t>
  </si>
  <si>
    <t>P/E</t>
  </si>
  <si>
    <t>PE_RATIO</t>
  </si>
  <si>
    <t xml:space="preserve">  Average</t>
  </si>
  <si>
    <t>AVERAGE_PRICE_EARNINGS_RATIO</t>
  </si>
  <si>
    <t xml:space="preserve">  High</t>
  </si>
  <si>
    <t>PX_ERN_RATIO_WITH_HIGH_CLOS_PX</t>
  </si>
  <si>
    <t xml:space="preserve">  Low</t>
  </si>
  <si>
    <t>PX_ERN_RATIO_WITH_LOW_CLOS_PX</t>
  </si>
  <si>
    <t>P/Book</t>
  </si>
  <si>
    <t>PX_TO_BOOK_RATIO</t>
  </si>
  <si>
    <t>AVERAGE_PRICE_TO_BOOK_RATIO</t>
  </si>
  <si>
    <t>HIGH_CLOSING_PRICE_TO_BOOK_RATIO</t>
  </si>
  <si>
    <t>LOW_CLOSING_PRICE_TO_BOOK_RATIO</t>
  </si>
  <si>
    <t>P/Tangible Book</t>
  </si>
  <si>
    <t>PX_TO_TANG_BV_PER_SH</t>
  </si>
  <si>
    <t>AVERAGE_PRICE_TO_TANGIBLE_BPS</t>
  </si>
  <si>
    <t>HIGH_PRICE_TO_TANGIBLE_BPS</t>
  </si>
  <si>
    <t>LOW_PRICE_TO_TANGIBLE_BPS</t>
  </si>
  <si>
    <t>P/Sales</t>
  </si>
  <si>
    <t>PX_TO_SALES_RATIO</t>
  </si>
  <si>
    <t>AVERAGE_PRICE_TO_SALES_RATIO</t>
  </si>
  <si>
    <t>HIGH_PX_TO_SALES_RATIO</t>
  </si>
  <si>
    <t>LOW_PX_TO_SALES_RATIO</t>
  </si>
  <si>
    <t>P/Cash Flow</t>
  </si>
  <si>
    <t>PX_TO_CASH_FLOW</t>
  </si>
  <si>
    <t>AVERAGE_PRICE_TO_CASH_FLOW</t>
  </si>
  <si>
    <t>HIGH_CLOSING_PRICE_TO_CASH_FLOW</t>
  </si>
  <si>
    <t>LOW_CLOSING_PRICE_TO_CASH_FLOW</t>
  </si>
  <si>
    <t>P/Free Cash Flow</t>
  </si>
  <si>
    <t>PX_TO_FREE_CASH_FLOW</t>
  </si>
  <si>
    <t>AVERAGE_PRICE_TO_FREE_CASH_FLOW</t>
  </si>
  <si>
    <t>HIGH_PRICE_TO_FREE_CASH_FLOW</t>
  </si>
  <si>
    <t>LOW_PRICE_TO_FREE_CASH_FLOW</t>
  </si>
  <si>
    <t>AVERAGE_EV_TO_T12M_SALES</t>
  </si>
  <si>
    <t>HIGH_EV_TO_T12M_SALES</t>
  </si>
  <si>
    <t>LOW_EV_TO_T12M_SALES</t>
  </si>
  <si>
    <t>AVG_EV_TO_T12M_EBITDA</t>
  </si>
  <si>
    <t>HIGH_EV_TO_T12M_EBITDA</t>
  </si>
  <si>
    <t>LOW_EV_TO_T12M_EBITDA</t>
  </si>
  <si>
    <t>AVERAGE_EV_TO_T12M_EBIT</t>
  </si>
  <si>
    <t>HIGH_EV_TO_T12M_EBIT</t>
  </si>
  <si>
    <t>LOW_EV_TO_T12M_EBIT</t>
  </si>
  <si>
    <t>Price/Share</t>
  </si>
  <si>
    <t>PX_LAST</t>
  </si>
  <si>
    <t>PX_HIGH</t>
  </si>
  <si>
    <t>PX_LOW</t>
  </si>
  <si>
    <t>AVERAGE_ENTERPRISE_VALUE</t>
  </si>
  <si>
    <t>HIGH_ENTERPRISE_VALUE</t>
  </si>
  <si>
    <t>LOW_ENTERPRISE_VALUE</t>
  </si>
  <si>
    <t>Neurocrine Biosciences Inc (NBIX US) - Per Share</t>
  </si>
  <si>
    <t>Basic Shares Outstanding</t>
  </si>
  <si>
    <t>Diluted Weighted Avg Shares</t>
  </si>
  <si>
    <t>Basic Weighted Avg Shares</t>
  </si>
  <si>
    <t>Per Share Data Items</t>
  </si>
  <si>
    <t>REVENUE_PER_SH</t>
  </si>
  <si>
    <t>EBITDA_PER_SH</t>
  </si>
  <si>
    <t>OPER_INC_PER_SH</t>
  </si>
  <si>
    <t>Net Income to Common - Basic</t>
  </si>
  <si>
    <t>Net Income before XO - Basic</t>
  </si>
  <si>
    <t>IS_EARN_BEF_XO_ITEMS_PER_SH</t>
  </si>
  <si>
    <t>Normalized Net Income - Basic</t>
  </si>
  <si>
    <t>IS_BASIC_EPS_CONT_OPS</t>
  </si>
  <si>
    <t>Net Income to Common - Diluted</t>
  </si>
  <si>
    <t>Net Income before XO - Diluted</t>
  </si>
  <si>
    <t>IS_DIL_EPS_BEF_XO</t>
  </si>
  <si>
    <t>Normalized Net Income - Diluted</t>
  </si>
  <si>
    <t>Dividends</t>
  </si>
  <si>
    <t>EQY_DPS</t>
  </si>
  <si>
    <t>Cash Flow</t>
  </si>
  <si>
    <t>CASH_FLOW_PER_SH</t>
  </si>
  <si>
    <t>FREE_CASH_FLOW_PER_SH</t>
  </si>
  <si>
    <t>CASH_ST_INVESTMENTS_PER_SH</t>
  </si>
  <si>
    <t>Book Value</t>
  </si>
  <si>
    <t>BOOK_VAL_PER_SH</t>
  </si>
  <si>
    <t>Tangible Book Value</t>
  </si>
  <si>
    <t>TANG_BOOK_VAL_PER_SH</t>
  </si>
  <si>
    <t>Neurocrine Biosciences Inc (NBIX US) - Stock Value</t>
  </si>
  <si>
    <t>Last Price</t>
  </si>
  <si>
    <t xml:space="preserve">  Period-over-Period % Change</t>
  </si>
  <si>
    <t>CHG_PCT_PERIOD</t>
  </si>
  <si>
    <t>Open Price</t>
  </si>
  <si>
    <t>PX_OPEN</t>
  </si>
  <si>
    <t>High Price</t>
  </si>
  <si>
    <t>Low Price</t>
  </si>
  <si>
    <t xml:space="preserve">  Current Shares Outstanding</t>
  </si>
  <si>
    <t>EQY_SH_OUT</t>
  </si>
  <si>
    <t xml:space="preserve">  Equity Float</t>
  </si>
  <si>
    <t>EQY_FLOAT</t>
  </si>
  <si>
    <t>Neurocrine Biosciences Inc (NBIX US) - EV Ex Operating Leases</t>
  </si>
  <si>
    <t>TOT_DEBT_EX_OPERATING_LEA_LIABS</t>
  </si>
  <si>
    <t>EV_EX_OPERATING_LEASE_LIABS</t>
  </si>
  <si>
    <t>TOT_CPTL_EX_OPERATING_LEA_LIABS</t>
  </si>
  <si>
    <t>TOT_DBT_TO_CPTL_EX_OP_LEA_LIABS</t>
  </si>
  <si>
    <t>TOT_DEBT_TO_EV_EX_OPER_LEA_LIABS</t>
  </si>
  <si>
    <t>EV_EX_OPER_LEA_LIABS_TO_SALES</t>
  </si>
  <si>
    <t>EV_TO_EBITDA_EX_OPERATING_LEASE</t>
  </si>
  <si>
    <t>EV_TO_EBIT_EX_OPERATING_LEASE</t>
  </si>
  <si>
    <t>EV_EX_OP_LEA_LIABS_TO_CF_TO_FIRM</t>
  </si>
  <si>
    <t>EV_EX_OP_LEA_LIAB_TO_FCF_TO_FIRM</t>
  </si>
  <si>
    <t>DILUTED_EV_EX_OPERATING_LEASE</t>
  </si>
  <si>
    <t>EV_EX_OP_LEA_LIAB_TO_SHS_OUTSTDG</t>
  </si>
  <si>
    <t>T12M_EBITDA_AFTER_OPER_LEA_EXPN</t>
  </si>
  <si>
    <t>T12_EBIT_AFT_OPER_LEASE_EXPN</t>
  </si>
  <si>
    <t>T12_CF_TO_FIRM_AFT_OP_LEA_PYMTS</t>
  </si>
  <si>
    <t>T12_FCF_TO_FIRM_AFT_OP_LEA_PYMTS</t>
  </si>
  <si>
    <t>Neurocrine Biosciences Inc (NBIX US) - Adjusted</t>
  </si>
  <si>
    <t xml:space="preserve">    + Sales &amp; Services Revenue</t>
  </si>
  <si>
    <t>IS_SALES_AND_SERVICES_REVENUES</t>
  </si>
  <si>
    <t xml:space="preserve">    + Other Revenue</t>
  </si>
  <si>
    <t>IS_OTHER_REVENUE</t>
  </si>
  <si>
    <t xml:space="preserve">  - Cost of Revenue</t>
  </si>
  <si>
    <t>IS_COGS_TO_FE_AND_PP_AND_G</t>
  </si>
  <si>
    <t xml:space="preserve">    + Cost of Goods &amp; Services</t>
  </si>
  <si>
    <t>IS_COG_AND_SERVICES_SOLD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</si>
  <si>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</si>
  <si>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</si>
  <si>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</si>
  <si>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</si>
  <si>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</si>
  <si>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</si>
  <si>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General &amp; Administrative</t>
  </si>
  <si>
    <t>IS_GENERAL_AND_ADMINISTRATIVE</t>
  </si>
  <si>
    <t xml:space="preserve">    + Research &amp; Development</t>
  </si>
  <si>
    <t>IS_OPERATING_EXPENSES_RD</t>
  </si>
  <si>
    <t xml:space="preserve">    + Other Operating Expense</t>
  </si>
  <si>
    <t>IS_OTHER_OPERATING_EXPENSES</t>
  </si>
  <si>
    <t>Operating Income (Loss)</t>
  </si>
  <si>
    <t xml:space="preserve">  - Non-Operating (Income) Loss</t>
  </si>
  <si>
    <t>IS_NONOP_INCOME_LOSS</t>
  </si>
  <si>
    <t xml:space="preserve">    + Interest Expense</t>
  </si>
  <si>
    <t>IS_INT_EXPENSE</t>
  </si>
  <si>
    <t xml:space="preserve">    + Other Investment (Inc) Loss</t>
  </si>
  <si>
    <t>IS_OTHER_INVESTMENT_INCOME_LOSS</t>
  </si>
  <si>
    <t xml:space="preserve">    + Other Non-Op (Income) Loss</t>
  </si>
  <si>
    <t>IS_OTHER_NON_OPERATING_INC_LOSS</t>
  </si>
  <si>
    <t>Pretax Income (Loss), Adjusted</t>
  </si>
  <si>
    <t xml:space="preserve">  - Abnormal Losses (Gains)</t>
  </si>
  <si>
    <t>IS_ABNORMAL_ITEM</t>
  </si>
  <si>
    <t xml:space="preserve">    + Acquired In-Process R&amp;D</t>
  </si>
  <si>
    <t>IS_ACQUIRED_PROCESS_RD</t>
  </si>
  <si>
    <t xml:space="preserve">    + Merger/Acquisition Expense</t>
  </si>
  <si>
    <t>IS_MERGER_ACQUISITION_EXPENSE</t>
  </si>
  <si>
    <t xml:space="preserve">    + Early Extinguishment of Debt</t>
  </si>
  <si>
    <t>IS_G_L_ON_EXT_DBT_OR_SETTLE_DBT</t>
  </si>
  <si>
    <t xml:space="preserve">    + Impairment of Intangibles</t>
  </si>
  <si>
    <t>IS_IMPAIR_OF_INTANG_ASSETS</t>
  </si>
  <si>
    <t xml:space="preserve">    + Unrealized Investments</t>
  </si>
  <si>
    <t>IS_UNREALIZED_INVESTMENTS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</si>
  <si>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</si>
  <si>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</si>
  <si>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</si>
  <si>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</si>
  <si>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</si>
  <si>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</si>
  <si>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</si>
  <si>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</si>
  <si>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</si>
  <si>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</si>
  <si>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</si>
  <si>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</si>
  <si>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</si>
  <si>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</si>
  <si>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</si>
  <si>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</si>
  <si>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</si>
  <si>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</si>
  <si>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</si>
  <si>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</si>
  <si>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</si>
  <si>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</si>
  <si>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</si>
  <si>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</si>
  <si>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</si>
  <si>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</si>
  <si>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</si>
  <si>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</si>
  <si>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</si>
  <si>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</si>
  <si>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</si>
  <si>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</si>
  <si>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EPS from Cont Ops, GAAP</t>
  </si>
  <si>
    <t>Basic EPS from Cont Ops, Adjusted</t>
  </si>
  <si>
    <t>Diluted EPS from Cont Ops, GAAP</t>
  </si>
  <si>
    <t>Diluted EPS from Cont Ops, Adjusted</t>
  </si>
  <si>
    <t>Accounting Standard</t>
  </si>
  <si>
    <t>ACCOUNTING_STANDARD</t>
  </si>
  <si>
    <t>US GAAP</t>
  </si>
  <si>
    <t>EBITDA Margin (T12M)</t>
  </si>
  <si>
    <t>EBITDA_MARGIN</t>
  </si>
  <si>
    <t>EBITA</t>
  </si>
  <si>
    <t>Gross 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</si>
  <si>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</si>
  <si>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</si>
  <si>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</si>
  <si>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</si>
  <si>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</si>
  <si>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</si>
  <si>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</si>
  <si>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Total Cash Common Dividends</t>
  </si>
  <si>
    <t>IS_TOT_CASH_COM_DVD</t>
  </si>
  <si>
    <t>Capitalized Interest Expense</t>
  </si>
  <si>
    <t>IS_CAP_INT_EXP</t>
  </si>
  <si>
    <t>Depreciation Expense</t>
  </si>
  <si>
    <t>IS_DEPR_EXP</t>
  </si>
  <si>
    <t>Rental Expense</t>
  </si>
  <si>
    <t>BS_CURR_RENTAL_EXPENSE</t>
  </si>
  <si>
    <t>Neurocrine Biosciences Inc (NBIX US) - GAAP</t>
  </si>
  <si>
    <t>IS_OPER_EXPENSES_RD_GAAP</t>
  </si>
  <si>
    <t>OTHER_OPERATING_EXPENSES_RATIO</t>
  </si>
  <si>
    <t>NONOP_INCOME_LOSS</t>
  </si>
  <si>
    <t>OTHER_NONOP_INCOME_LOSS</t>
  </si>
  <si>
    <t>Pretax Income</t>
  </si>
  <si>
    <t>Neurocrine Biosciences Inc (NBIX US) - As Reported</t>
  </si>
  <si>
    <t>Income Statement</t>
  </si>
  <si>
    <t xml:space="preserve">  Revenues</t>
  </si>
  <si>
    <t>Revenues</t>
  </si>
  <si>
    <t>ARD_REVENUES</t>
  </si>
  <si>
    <t>Other Revenue</t>
  </si>
  <si>
    <t>ARD_OTHER_REV</t>
  </si>
  <si>
    <t>Product Revenue</t>
  </si>
  <si>
    <t>ARD_PRODUCT_REVENUE</t>
  </si>
  <si>
    <t>License/Contract/Fee Revenue</t>
  </si>
  <si>
    <t>ARD_LICENSE_CONTRACT_FEE_REV</t>
  </si>
  <si>
    <t>ARD_TOTAL_REVENUES</t>
  </si>
  <si>
    <t xml:space="preserve">  Operating Expenses</t>
  </si>
  <si>
    <t>Total Operating Expenses</t>
  </si>
  <si>
    <t>ARD_TOTAL_OPERATING_EXPENSES</t>
  </si>
  <si>
    <t>R &amp; D Expenditures</t>
  </si>
  <si>
    <t>ARD_R&amp;D_EXPENDITURES</t>
  </si>
  <si>
    <t>Acquired In-Process R&amp;D</t>
  </si>
  <si>
    <t>ARD_ACQUIRED_IN_PROCESS_R&amp;D</t>
  </si>
  <si>
    <t>General and Administrative Expenses</t>
  </si>
  <si>
    <t>ARD_GENERAL_ADMINISTRATIVE_EXP</t>
  </si>
  <si>
    <t>ARD_OPERATING_INCOME</t>
  </si>
  <si>
    <t>Cost of Products Sold</t>
  </si>
  <si>
    <t>ARD_COST_OF_PRODUCTS_SOLD</t>
  </si>
  <si>
    <t>Earnings Before Interest and Taxes</t>
  </si>
  <si>
    <t>ARD_EBIT</t>
  </si>
  <si>
    <t xml:space="preserve">  Non-Operating Expenses</t>
  </si>
  <si>
    <t>Interest Expense</t>
  </si>
  <si>
    <t>ARD_INT_EXP</t>
  </si>
  <si>
    <t>Income Tax Expense (Benefit)</t>
  </si>
  <si>
    <t>ARD_INCOME_TAX_EXP_BENEFIT</t>
  </si>
  <si>
    <t>Investment Income</t>
  </si>
  <si>
    <t>ARD_INVESTMENT_INCOME</t>
  </si>
  <si>
    <t>Income Before Income Taxes</t>
  </si>
  <si>
    <t>ARD_INCOME_BEFORE_INCOME_TAXES</t>
  </si>
  <si>
    <t>Income Before XO Items</t>
  </si>
  <si>
    <t>ARD_INCOME_BEFORE_XO_ITEMS</t>
  </si>
  <si>
    <t>GL On Early Ext of Debt -Non-Op</t>
  </si>
  <si>
    <t>ARD_GL_ON_EARLY_EXT_DEBT_NON_OP</t>
  </si>
  <si>
    <t>Other Non-Operating (Income)/Expense - Net</t>
  </si>
  <si>
    <t>ARD_OTH_NON_OPER_INC_EXP_NET</t>
  </si>
  <si>
    <t>Unrealized (Gain)/Loss From Secs Non-Operating</t>
  </si>
  <si>
    <t>ARD_UNREAL_GL_FROM_SECS_NON_OP</t>
  </si>
  <si>
    <t>Other One - Time Items Non-Operating</t>
  </si>
  <si>
    <t>ARD_OTHER_ONE_TIME_ITEMS_NON_OP</t>
  </si>
  <si>
    <t xml:space="preserve">  Earnings</t>
  </si>
  <si>
    <t>Basic EPS</t>
  </si>
  <si>
    <t>ARD_BASIC_EPS</t>
  </si>
  <si>
    <t>Weighted Avg. Shares - Basic</t>
  </si>
  <si>
    <t>ARD_WEIGHTED_AVG_SHARES_BASIC</t>
  </si>
  <si>
    <t>Diluted EPS</t>
  </si>
  <si>
    <t>ARD_DILUTED_EPS</t>
  </si>
  <si>
    <t>Weighted Avg. Shares - Diluted</t>
  </si>
  <si>
    <t>ARD_WEIGHTED_AVG_SHARE_DILUTED</t>
  </si>
  <si>
    <t>Basic &amp; Diluted EPS</t>
  </si>
  <si>
    <t>ARD_BASIC_AND_DILUTED_EPS</t>
  </si>
  <si>
    <t>Weighted Avg. Shares - Basic &amp; Diluted</t>
  </si>
  <si>
    <t>ARD_WTD_AVG_SHS_BASIC_DILUTED</t>
  </si>
  <si>
    <t>Net Income Available For Common Shareholders</t>
  </si>
  <si>
    <t>ARD_NET_INC_AVAIL_COM_SHRHLDR</t>
  </si>
  <si>
    <t>Profit After Taxation Before Minority</t>
  </si>
  <si>
    <t>ARD_PROF_AFTER_TAX_BEF_MINORITY</t>
  </si>
  <si>
    <t>Cumulative Net Income</t>
  </si>
  <si>
    <t>ARD_CUMULATIVE_NET_INCOME</t>
  </si>
  <si>
    <t>ARD_NET_INC</t>
  </si>
  <si>
    <t xml:space="preserve">  Comprehensive Income</t>
  </si>
  <si>
    <t>Foreign Currency Translation Adjustments</t>
  </si>
  <si>
    <t>ARD_FOR_CRNCY_TRANSLATION_ADJ</t>
  </si>
  <si>
    <t>Unrealized Gain (Loss) On Securities</t>
  </si>
  <si>
    <t>ARD_UNREALIZED_GL_ON_SECS</t>
  </si>
  <si>
    <t>Total Comprehensive Income</t>
  </si>
  <si>
    <t>ARD_TOTAL_COMPREHENSIVE_INCOME</t>
  </si>
  <si>
    <t>Net Income - Comprehensive Income</t>
  </si>
  <si>
    <t>ARD_COMPREHENSIVE_INCOME_NET_INC</t>
  </si>
  <si>
    <t xml:space="preserve">  Others</t>
  </si>
  <si>
    <t xml:space="preserve">  Reference Items</t>
  </si>
  <si>
    <t>Amortization Expense</t>
  </si>
  <si>
    <t>ARDR_AMORT_EXP</t>
  </si>
  <si>
    <t>ARDR_R&amp;D_EXPENDITURES</t>
  </si>
  <si>
    <t>ARDR_DEPRECIATION_EXP</t>
  </si>
  <si>
    <t>Selling General and Administrative Expense</t>
  </si>
  <si>
    <t>ARDR_SELLING_GENERAL_ADMIN_EXP</t>
  </si>
  <si>
    <t>Depreciation and Amortization</t>
  </si>
  <si>
    <t>ARDR_DEPRECIATION_AMORTIZATION</t>
  </si>
  <si>
    <t>ARDR_INT_EXP</t>
  </si>
  <si>
    <t>ARDR_ACQUIRED_IN_PROCESS_R&amp;D</t>
  </si>
  <si>
    <t>Other One-Time Charges</t>
  </si>
  <si>
    <t>ARDR_OTHER_ONE_TIME_CHARGES</t>
  </si>
  <si>
    <t>ARDR_INCOME_TAX_EXP_BENEFIT</t>
  </si>
  <si>
    <t>ARDR_GENERAL_ADMINISTRATIVE_EXP</t>
  </si>
  <si>
    <t>ARDR_INVESTMENT_INCOME</t>
  </si>
  <si>
    <t>ARDR_BASIC_EPS</t>
  </si>
  <si>
    <t>ARDR_WEIGHTED_AVG_SHARES_BASIC</t>
  </si>
  <si>
    <t>ARDR_DILUTED_EPS</t>
  </si>
  <si>
    <t>ARDR_WEIGHTED_AVG_SHARE_DILUTED</t>
  </si>
  <si>
    <t>Current Rental Expense</t>
  </si>
  <si>
    <t>ARDR_CURRENT_RENTAL_EXP</t>
  </si>
  <si>
    <t>Stock Based Compensation Expense</t>
  </si>
  <si>
    <t>ARDR_STK_BASED_COMPENSATION_EXP</t>
  </si>
  <si>
    <t>ARDR_BASIC_AND_DILUTED_EPS</t>
  </si>
  <si>
    <t>ARDR_WTD_AVG_SHS_BASIC_DILUTED</t>
  </si>
  <si>
    <t>Merger/Acquisition Expense</t>
  </si>
  <si>
    <t>ARDR_MERGER_ACQUISITION_EXPENSE</t>
  </si>
  <si>
    <t>Amortization of Intangible Assets</t>
  </si>
  <si>
    <t>ARDR_AMORT_OF_INTANGIBLE_ASSETS</t>
  </si>
  <si>
    <t>ARDR_TOTAL_REVENUES</t>
  </si>
  <si>
    <t>ARDR_GL_ON_EARLY_EXT_DEBT_NON_OP</t>
  </si>
  <si>
    <t>ARDR_PRODUCT_REVENUE</t>
  </si>
  <si>
    <t>ARDR_LICENSE_CONTRACT_FEE_REV</t>
  </si>
  <si>
    <t>Net Inc Available For Common Shareholders</t>
  </si>
  <si>
    <t>ARDR_NET_INC_AVAIL_COM_SHRHLDR</t>
  </si>
  <si>
    <t>Adjusted Net Income-As Reported</t>
  </si>
  <si>
    <t>ARD_ADJ_NET_INCOME_AS_REPORTED</t>
  </si>
  <si>
    <t>Adjusted EPS</t>
  </si>
  <si>
    <t>ARDR_ADJUSTED_EPS</t>
  </si>
  <si>
    <t>Unrealized (Gain)/Loss From Secs Non-Op</t>
  </si>
  <si>
    <t>ARDR_UNREAL_GL_FROM_SECS_NON_OP</t>
  </si>
  <si>
    <t>Loss/(Recovery) Impair Intangible Assets</t>
  </si>
  <si>
    <t>ARDR_LOSS_RECOVERY_IMPAIR_INTANG</t>
  </si>
  <si>
    <t>Stock-Based Compensation Attrib to R&amp;D</t>
  </si>
  <si>
    <t>ARDR_STOCK_BASED_CMPNSTN_IN_R&amp;D</t>
  </si>
  <si>
    <t>Stock-Based Compensation Attrib to SG&amp;A</t>
  </si>
  <si>
    <t>ARDR_STOCK_BASED_CMPNSTN_IN_SG&amp;A</t>
  </si>
  <si>
    <t>Non-GAAP General &amp; Administrative</t>
  </si>
  <si>
    <t>ARDR_NON_GAAP_G&amp;A</t>
  </si>
  <si>
    <t>Non-GAAP Research and Development</t>
  </si>
  <si>
    <t>ARDR_NON_GAAP_R&amp;D</t>
  </si>
  <si>
    <t>Non-GAAP Operating Expenses</t>
  </si>
  <si>
    <t>ARDR_NON_GAAP_OPERATING_EXPENSES</t>
  </si>
  <si>
    <t>Stock-Based Compensation - Non-GAAP G&amp;A</t>
  </si>
  <si>
    <t>ARDR_SBC_NON_GAAP_G&amp;A</t>
  </si>
  <si>
    <t>Stock-Based Compensation - Non-GAAP R&amp;D</t>
  </si>
  <si>
    <t>ARDR_SBC_NON_GAAP_R&amp;D</t>
  </si>
  <si>
    <t>Tax Effect on Non-GAAP Adjustments</t>
  </si>
  <si>
    <t>ARDR_TAX_EFFECT_NON_GAAP_ADJ</t>
  </si>
  <si>
    <t>Non-GAAP Diluted Weighted Average Shares</t>
  </si>
  <si>
    <t>ARDR_NON_GAAP_DIL_WAVG_SHRS</t>
  </si>
  <si>
    <t>ARDR Revenue Growth</t>
  </si>
  <si>
    <t>ARDR_REVENUE_GROWTH</t>
  </si>
  <si>
    <t>ARDR Stock Based Compensation Attributable to G&amp;AE</t>
  </si>
  <si>
    <t>ARDR_STK_BSD_COMP_ATTRIB_TO_G&amp;AE</t>
  </si>
  <si>
    <t>ARDR Stock Based Compensation CF Pre Tax</t>
  </si>
  <si>
    <t>ARDR_STK_BSD_CMPNSTN_CF_PRE_TAX</t>
  </si>
  <si>
    <t>Neurocrine Biosciences Inc (NBIX US) - Reconciliation</t>
  </si>
  <si>
    <t>EBITDA Reconciliation</t>
  </si>
  <si>
    <t>EBIT, GAAP</t>
  </si>
  <si>
    <t xml:space="preserve">  + Revenue Adjustments</t>
  </si>
  <si>
    <t>IS_REVENUE_ADJUSTMENTS</t>
  </si>
  <si>
    <t xml:space="preserve">  + Cost of Revenue Adjustments</t>
  </si>
  <si>
    <t>IS_COST_OF_REVENUE_ADJUSTMENTS</t>
  </si>
  <si>
    <t xml:space="preserve">  + Other Op Inc Adjustments</t>
  </si>
  <si>
    <t>IS_OTHER_OPER_INC_NONGAAP_ADJUST</t>
  </si>
  <si>
    <t xml:space="preserve">  + SG&amp;A Adjustments</t>
  </si>
  <si>
    <t>IS_SGA_ADJ</t>
  </si>
  <si>
    <t xml:space="preserve">  + R&amp;D Expense Adjustments</t>
  </si>
  <si>
    <t>IS_RD_EXPENSE_NON_GAAP_ADJ</t>
  </si>
  <si>
    <t xml:space="preserve">  + D&amp;A Adjustments</t>
  </si>
  <si>
    <t>IS_DA_NON_GAAP_ADJ</t>
  </si>
  <si>
    <t xml:space="preserve">  + Prov for Doubtful Acct Adj</t>
  </si>
  <si>
    <t>IS_PDA_NONGAAP_ADJUSTMENTS</t>
  </si>
  <si>
    <t xml:space="preserve">  + Other Op Exp Adjustments</t>
  </si>
  <si>
    <t>IS_OTHER_OPERATING_EXPN_ADJUST</t>
  </si>
  <si>
    <t>EBIT, Adjusted</t>
  </si>
  <si>
    <t xml:space="preserve">  + Depreciation &amp; Amortization</t>
  </si>
  <si>
    <t>ADJUSTED_DA_EXPENSES</t>
  </si>
  <si>
    <t xml:space="preserve">  + Cost of Capitalized Operating Leases</t>
  </si>
  <si>
    <t>COST_CAPITALIZED_OPERATING_LEAS</t>
  </si>
  <si>
    <t>EBITDA, Adjusted</t>
  </si>
  <si>
    <t>EBIT Reconciliation</t>
  </si>
  <si>
    <t xml:space="preserve">  + Acquired In-Process R&amp;D</t>
  </si>
  <si>
    <t>IS_AIP_RD_EXPENSE_OPERATING</t>
  </si>
  <si>
    <t xml:space="preserve">  + Merger Expense</t>
  </si>
  <si>
    <t>IS_MERGER_ACQ_EXPENSE_OPERATING</t>
  </si>
  <si>
    <t xml:space="preserve">  + Impairment of Intangibles</t>
  </si>
  <si>
    <t>IS_IIA_OP</t>
  </si>
  <si>
    <t xml:space="preserve">  + Other Abnormal Items</t>
  </si>
  <si>
    <t>IS_OTHER_ONE_TIME_ITEMS_OP</t>
  </si>
  <si>
    <t>Pretax Income Reconciliation</t>
  </si>
  <si>
    <t xml:space="preserve">  + Early Extinguishment of Debt</t>
  </si>
  <si>
    <t xml:space="preserve">  + Unrealized Investments</t>
  </si>
  <si>
    <t>Net Income Reconciliation</t>
  </si>
  <si>
    <t>Net Inc Avail to Common, GAAP</t>
  </si>
  <si>
    <t xml:space="preserve">  + Discontinued Operations</t>
  </si>
  <si>
    <t xml:space="preserve">  + XO &amp; Accounting Changes</t>
  </si>
  <si>
    <t>Net Inc Avail to Common Cont, GAAP</t>
  </si>
  <si>
    <t>INC_BEF_XO_LESS_MIN_INT_PREF_DVD</t>
  </si>
  <si>
    <t>IS_AIP_RD_AFTER_TAX</t>
  </si>
  <si>
    <t>IS_MA_EXPENSE_AFTER_TAX</t>
  </si>
  <si>
    <t>IS_EEOD_AFTER_TAX</t>
  </si>
  <si>
    <t>IS_IIA_AFTER_TAX</t>
  </si>
  <si>
    <t>IS_UNREALIZED_INVEST_AFT_TAX</t>
  </si>
  <si>
    <t>IS_OTH_ONE_TIME_ITEMS_AFTER_TAX</t>
  </si>
  <si>
    <t xml:space="preserve">  + Income Tax Charge (Benefit)</t>
  </si>
  <si>
    <t>IS_ABNORMAL_TAX_PROV_BENEFIT</t>
  </si>
  <si>
    <t>Earnings Per Share Reconciliation</t>
  </si>
  <si>
    <t>IS_DISC_OPS_DILUTED_SH</t>
  </si>
  <si>
    <t>IS_XO_ITEMS_ACCT_CHG_DIL_SH</t>
  </si>
  <si>
    <t>IS_AIP_RD_PER_DILUTED_SHARE</t>
  </si>
  <si>
    <t>IS_MERGER_ACQUIS_EXPN_DILUTED_SH</t>
  </si>
  <si>
    <t>IS_EEOD_DILUTED_SHARE</t>
  </si>
  <si>
    <t>IS_IIA_DILUTED_SHARE</t>
  </si>
  <si>
    <t>IS_UNREALIZED_INVEST_DILUTED_SH</t>
  </si>
  <si>
    <t>IS_OTH_ONE_TIME_ITEMS_DILUTED_SH</t>
  </si>
  <si>
    <t>IS_TAX_PROV_BENEFIT_DILUTED_SH</t>
  </si>
  <si>
    <t>Diluted EPS from Cont Ops, Adj</t>
  </si>
  <si>
    <t>Neurocrine Biosciences Inc (NBIX US) - SBC &amp; Amort</t>
  </si>
  <si>
    <t>Basic EPS Ex-SBC, Adj</t>
  </si>
  <si>
    <t>BASIC_EPS_EX_STK_BASED_COMP</t>
  </si>
  <si>
    <t>Diluted EPS Ex-SBC, Adj</t>
  </si>
  <si>
    <t>DILUTED_EPS_EX_STK_BASED_COMP</t>
  </si>
  <si>
    <t>Basic EPS Ex-Amortization, Adj</t>
  </si>
  <si>
    <t>ADJ_EPS_EX_AMORT_TOT_INTANG_BAS</t>
  </si>
  <si>
    <t>Diluted EPS Ex-Amortization, Adj</t>
  </si>
  <si>
    <t>ADJ_EPS_EX_AMORT_TOT_INTANG_DIL</t>
  </si>
  <si>
    <t>Basic EPS Ex-SBC &amp; Amort, Adj</t>
  </si>
  <si>
    <t>ADJ_EPS_EX_SBC_AMORT_TOT_INT_BAS</t>
  </si>
  <si>
    <t>Diluted EPS Ex-SBC &amp; Amort, Adj</t>
  </si>
  <si>
    <t>ADJ_EPS_EX_SBC_AMORT_TOT_INT_DIL</t>
  </si>
  <si>
    <t>Stock Based Compensation</t>
  </si>
  <si>
    <t>Pre-Tax</t>
  </si>
  <si>
    <t>IS_EXPENSE_STOCK_BASED_COMP</t>
  </si>
  <si>
    <t>After-Tax</t>
  </si>
  <si>
    <t>IS_STK_BASED_COMP_AFT_TAX</t>
  </si>
  <si>
    <t>Per Basic Share</t>
  </si>
  <si>
    <t>IS_STK_BASED_COMP_PER_BAS_SH</t>
  </si>
  <si>
    <t>Per Diluted Share</t>
  </si>
  <si>
    <t>IS_STK_BASED_COMP_PER_DIL_SH</t>
  </si>
  <si>
    <t>Selling, General &amp; Administrative</t>
  </si>
  <si>
    <t>IS_SBC_INCL_SELLING</t>
  </si>
  <si>
    <t>General &amp; Administrative</t>
  </si>
  <si>
    <t>IS_SBC_INCL_GEN_ADMIN</t>
  </si>
  <si>
    <t>Research &amp; Development</t>
  </si>
  <si>
    <t>IS_SBC_INCL_RD</t>
  </si>
  <si>
    <t>Amortization of Acquisition Related Intangibles</t>
  </si>
  <si>
    <t>IS_AMORT_OF_INTANG_ACQUIS_REL</t>
  </si>
  <si>
    <t>IS_AMORT_INTANG_ACQ_REL_AT</t>
  </si>
  <si>
    <t>IS_AMORT_INTANG_ACQ_REL_BASIC_PS</t>
  </si>
  <si>
    <t>IS_AMORT_INTANG_ACQ_REL_DIL_PS</t>
  </si>
  <si>
    <t>Amortization of Total Intangibles</t>
  </si>
  <si>
    <t>IS_AMORT_OF_TOT_INTANG_PRETX</t>
  </si>
  <si>
    <t>IS_AMORT_OF_TOT_INTANG_AFT_TAX</t>
  </si>
  <si>
    <t>IS_AMORT_OF_TOT_INTANG_P_BAS_SH</t>
  </si>
  <si>
    <t>IS_AMORT_OF_TOT_INTANG_P_DIL_SH</t>
  </si>
  <si>
    <t>Neurocrine Biosciences Inc (NBIX US) - Adj %</t>
  </si>
  <si>
    <t>Neurocrine Biosciences Inc (NBIX US) - GAAP %</t>
  </si>
  <si>
    <t>Last 12M</t>
  </si>
  <si>
    <t>Neurocrine Biosciences Inc (NBIX US) - Standardized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</si>
  <si>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</si>
  <si>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</si>
  <si>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</si>
  <si>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</si>
  <si>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</si>
  <si>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</si>
  <si>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</si>
  <si>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</si>
  <si>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</si>
  <si>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</si>
  <si>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</si>
  <si>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</si>
  <si>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</si>
  <si>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</si>
  <si>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</si>
  <si>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</si>
  <si>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</si>
  <si>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</si>
  <si>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</si>
  <si>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</si>
  <si>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</si>
  <si>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</si>
  <si>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</si>
  <si>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</si>
  <si>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Derivative &amp; Hedging Assets</t>
  </si>
  <si>
    <t>BS_DERIV_HEDGING_ASST_ST</t>
  </si>
  <si>
    <t xml:space="preserve">    + Misc ST Assets</t>
  </si>
  <si>
    <t>BS_OTHER_CUR_ASSET_LESS_PREPAY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</si>
  <si>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</si>
  <si>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</si>
  <si>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</si>
  <si>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</si>
  <si>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</si>
  <si>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</si>
  <si>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</si>
  <si>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</si>
  <si>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</si>
  <si>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</si>
  <si>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</si>
  <si>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</si>
  <si>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</si>
  <si>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</si>
  <si>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</si>
  <si>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</si>
  <si>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</si>
  <si>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</si>
  <si>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Deferred Tax Assets</t>
  </si>
  <si>
    <t>BS_DEFERRED_TAX_ASSETS_LT</t>
  </si>
  <si>
    <t>BS_DERIV_HEDGING_ASST_LT</t>
  </si>
  <si>
    <t xml:space="preserve">    + Misc LT Assets</t>
  </si>
  <si>
    <t>OTHER_NONCURRENT_ASSETS_DETAILED</t>
  </si>
  <si>
    <t>Total Noncurrent Assets</t>
  </si>
  <si>
    <t>BS_TOT_NON_CUR_ASSET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</si>
  <si>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</si>
  <si>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</si>
  <si>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</si>
  <si>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</si>
  <si>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</si>
  <si>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</si>
  <si>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</si>
  <si>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</si>
  <si>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</si>
  <si>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</si>
  <si>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</si>
  <si>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</si>
  <si>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</si>
  <si>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</si>
  <si>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</si>
  <si>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  + ST Operating Leases</t>
  </si>
  <si>
    <t>BS_ST_OPERATING_LEASE_LIABS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</si>
  <si>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</si>
  <si>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</si>
  <si>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</si>
  <si>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</si>
  <si>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</si>
  <si>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</si>
  <si>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</si>
  <si>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</si>
  <si>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Misc ST Liabilities</t>
  </si>
  <si>
    <t>OTHER_CURRENT_LIABS_DETAILED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</si>
  <si>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</si>
  <si>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</si>
  <si>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</si>
  <si>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</si>
  <si>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</si>
  <si>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</si>
  <si>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</si>
  <si>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</si>
  <si>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    + LT Operating Leases</t>
  </si>
  <si>
    <t>BS_LT_OPERATING_LEASE_LIABS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</si>
  <si>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</si>
  <si>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</si>
  <si>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</si>
  <si>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</si>
  <si>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</si>
  <si>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</si>
  <si>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</si>
  <si>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</si>
  <si>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</si>
  <si>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</si>
  <si>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</si>
  <si>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>BS_DERIV_HEDGING_LIAB_LT</t>
  </si>
  <si>
    <t xml:space="preserve">    + Misc LT Liabilities</t>
  </si>
  <si>
    <t>OTHER_NONCURRENT_LIABS_DETAILED</t>
  </si>
  <si>
    <t>Total Noncurrent Liabilities</t>
  </si>
  <si>
    <t>NON_CUR_LIAB</t>
  </si>
  <si>
    <t xml:space="preserve">  + Preferred Equity and Hybrid 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</si>
  <si>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</si>
  <si>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</si>
  <si>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</si>
  <si>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</si>
  <si>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</si>
  <si>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</si>
  <si>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</si>
  <si>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</si>
  <si>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</si>
  <si>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</si>
  <si>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</si>
  <si>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</si>
  <si>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</si>
  <si>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</si>
  <si>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</si>
  <si>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Total Liabilities &amp; Equity</t>
  </si>
  <si>
    <t>TOT_LIAB_AND_EQY</t>
  </si>
  <si>
    <t>Shares Outstanding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</si>
  <si>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</si>
  <si>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</si>
  <si>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</si>
  <si>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</si>
  <si>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</si>
  <si>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</si>
  <si>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</si>
  <si>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</si>
  <si>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</si>
  <si>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</si>
  <si>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</si>
  <si>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</si>
  <si>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</si>
  <si>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</si>
  <si>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</si>
  <si>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</si>
  <si>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</si>
  <si>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</si>
  <si>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</si>
  <si>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</si>
  <si>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</si>
  <si>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</si>
  <si>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</si>
  <si>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</si>
  <si>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Balance Sheet</t>
  </si>
  <si>
    <t xml:space="preserve">  Current Assets</t>
  </si>
  <si>
    <t>ARD_CASH_AND_EQUIVALENTS</t>
  </si>
  <si>
    <t>Accounts Receivable - Trade</t>
  </si>
  <si>
    <t>ARD_ACCTS_RECEIVABLE_TRADE</t>
  </si>
  <si>
    <t>Inventories</t>
  </si>
  <si>
    <t>ARD_INVENTORY</t>
  </si>
  <si>
    <t>Other Current Assets</t>
  </si>
  <si>
    <t>ARD_OTHER_CURRENT_ASSETS</t>
  </si>
  <si>
    <t>Short-Term Investments</t>
  </si>
  <si>
    <t>ARD_ST_INVEST</t>
  </si>
  <si>
    <t>ARD_TOTAL_CUR_ASSETS</t>
  </si>
  <si>
    <t xml:space="preserve">  Noncurrent Assets</t>
  </si>
  <si>
    <t>Long Term Investments</t>
  </si>
  <si>
    <t>ARD_LT_INVEST</t>
  </si>
  <si>
    <t>Property Plant &amp; Equipment - Net</t>
  </si>
  <si>
    <t>ARD_PROPERTY_PLANT_EQUIP_NET</t>
  </si>
  <si>
    <t>Deferred Income Tax Asset (Long-Term)</t>
  </si>
  <si>
    <t>ARD_DEFERRED_INC_TAX_ASSET_LT</t>
  </si>
  <si>
    <t>Total Intangible Assets - Net</t>
  </si>
  <si>
    <t>ARD_TOTAL_INTANGIBLE_ASSET_NET</t>
  </si>
  <si>
    <t>Restricted Cash/Investments (Long-Term)</t>
  </si>
  <si>
    <t>ARD_RESTRICTED_CASH_INVEST_LT</t>
  </si>
  <si>
    <t>Other Noncurrent Assets</t>
  </si>
  <si>
    <t>ARD_OTHER_NONCURRENT_ASSET</t>
  </si>
  <si>
    <t>Total Non-Current Assets</t>
  </si>
  <si>
    <t>ARD_TOTAL_NONCURRENT_ASSETS</t>
  </si>
  <si>
    <t>ARD_TOT_ASSETS</t>
  </si>
  <si>
    <t xml:space="preserve">  Current Liabilities</t>
  </si>
  <si>
    <t>Accounts Payable and Accrued Expenses</t>
  </si>
  <si>
    <t>ARD_ACCT_PAYABLE_ACCRUED_EXP</t>
  </si>
  <si>
    <t>Current Portion of Long-Term Debt</t>
  </si>
  <si>
    <t>ARD_CURRENT_PORTION_OF_LT_DEBT</t>
  </si>
  <si>
    <t>Other Current Liabilities</t>
  </si>
  <si>
    <t>ARD_OTHER_CURRENT_LIABILITIES</t>
  </si>
  <si>
    <t>Derivative Liabilities (Short-Term)</t>
  </si>
  <si>
    <t>ARD_DERIVATIVE_LIABILITIES_ST</t>
  </si>
  <si>
    <t>Convertible Debt</t>
  </si>
  <si>
    <t>ARD_CONVERT_DEBT</t>
  </si>
  <si>
    <t>ARD_TOTAL_CURRENT_LIABILITIES</t>
  </si>
  <si>
    <t xml:space="preserve">  Non Current Liabilities</t>
  </si>
  <si>
    <t>ARD_TOT_NONCURRENT_LIABILITIES</t>
  </si>
  <si>
    <t>Long Term Capital Lease Obligations</t>
  </si>
  <si>
    <t>ARD_LT_CAP_LEASE_OBLIGATIONS</t>
  </si>
  <si>
    <t>Convertible Debt (Long-Term)</t>
  </si>
  <si>
    <t>ARD_CONVERTIBLE_DEBT_LT</t>
  </si>
  <si>
    <t>Deferred/Unearned Revenue (Long-Term)</t>
  </si>
  <si>
    <t>ARD_DEFERRED_UNEARNED_REV_LT</t>
  </si>
  <si>
    <t>Other Noncurrent Liabilities</t>
  </si>
  <si>
    <t>ARD_OTH_NONCURRENT_LIABILITIES</t>
  </si>
  <si>
    <t>Long Term Operating Lease Liabilities</t>
  </si>
  <si>
    <t>ARD_LT_OPERATING_LEASE_LIABS</t>
  </si>
  <si>
    <t>Deferred Expenses (Long-Term)</t>
  </si>
  <si>
    <t>ARD_DEFERRED_EXPENSES_LT</t>
  </si>
  <si>
    <t>ARD_TOT_LIABILITIES</t>
  </si>
  <si>
    <t xml:space="preserve">  Stockholder Equity</t>
  </si>
  <si>
    <t>Preferred Stock</t>
  </si>
  <si>
    <t>ARD_PREFERRED_STOCK</t>
  </si>
  <si>
    <t>Common Stock</t>
  </si>
  <si>
    <t>ARD_COMMON_STOCK</t>
  </si>
  <si>
    <t>Additional Paid In Capital</t>
  </si>
  <si>
    <t>ARD_ADDITIONAL_PAID_IN_CAPITAL</t>
  </si>
  <si>
    <t>Accumulated Other Comprehensive Income</t>
  </si>
  <si>
    <t>ARD_ACC_OTH_COMPREHENSIVE_INC</t>
  </si>
  <si>
    <t>Retained Earnings (Accumulated Deficit)</t>
  </si>
  <si>
    <t>ARD_RETAINED_EARN_ACC_DEFICIT</t>
  </si>
  <si>
    <t>ARD_SHARES_OUTSTANDING</t>
  </si>
  <si>
    <t>Par Value</t>
  </si>
  <si>
    <t>ARD_PAR_VALUE</t>
  </si>
  <si>
    <t>Shares Issued</t>
  </si>
  <si>
    <t>ARD_SHARES_ISSUED</t>
  </si>
  <si>
    <t>Total Shareholders Equity</t>
  </si>
  <si>
    <t>ARD_TOTAL_SHAREHOLDERS_EQUITY</t>
  </si>
  <si>
    <t>Shares Authorized</t>
  </si>
  <si>
    <t>ARD_SHARES_AUTHORIZED</t>
  </si>
  <si>
    <t>Total Shareholders Equity Excluding Minority</t>
  </si>
  <si>
    <t>ARD_TOT_SHARE_EQY_EXCL_MINORITY</t>
  </si>
  <si>
    <t>Total Liabilities and Shareholders Equity</t>
  </si>
  <si>
    <t>ARD_TOT_LIAB_AND_SHAREHOLDER_EQY</t>
  </si>
  <si>
    <t>ARDR_INVENTORY</t>
  </si>
  <si>
    <t>Leasehold Improvements</t>
  </si>
  <si>
    <t>ARDR_LEASEHOLD_IMPROVEMENTS</t>
  </si>
  <si>
    <t>Furniture/Machinery/Equipment</t>
  </si>
  <si>
    <t>ARDR_FURNITURE_MACHINERY_EQUIP</t>
  </si>
  <si>
    <t>Property Plant &amp; Equipment - Gross</t>
  </si>
  <si>
    <t>ARDR_PROPERTY_PLANT_EQUIP_GROSS</t>
  </si>
  <si>
    <t>Accumulated Depreciation</t>
  </si>
  <si>
    <t>ARDR_ACCUMULATED_DEPREC</t>
  </si>
  <si>
    <t>ARDR_PROPERTY_PLANT_EQUIP_NET</t>
  </si>
  <si>
    <t>Deferred Income Tax Asset (LT)</t>
  </si>
  <si>
    <t>ARDR_DEFERRED_INC_TAX_ASSET_LT</t>
  </si>
  <si>
    <t>ARDR_TOTAL_INTANGIBLE_ASSET_NET</t>
  </si>
  <si>
    <t>Other Intangible Assets</t>
  </si>
  <si>
    <t>ARDR_OTHER_INTANGIBLE_ASSET</t>
  </si>
  <si>
    <t>Accounts Payable - Trade</t>
  </si>
  <si>
    <t>ARDR_ACCOUNTS_PAYABLE_TRADE</t>
  </si>
  <si>
    <t>Deferred Income Taxes (Liabilities)</t>
  </si>
  <si>
    <t>ARDR_DEFERRED_INCOME_TAXES_LIAB</t>
  </si>
  <si>
    <t>ARDR_COMMON_STOCK</t>
  </si>
  <si>
    <t>ARDR_ADDITIONAL_PAID_IN_CAPITAL</t>
  </si>
  <si>
    <t>ARDR_ACC_OTH_COMPREHENSIVE_INC</t>
  </si>
  <si>
    <t>ARDR_RETAINED_EARN_ACC_DEFICIT</t>
  </si>
  <si>
    <t>ARDR_SHARES_OUTSTANDING</t>
  </si>
  <si>
    <t>ARDR_PAR_VALUE</t>
  </si>
  <si>
    <t>Raw Materials</t>
  </si>
  <si>
    <t>ARDR_RAW_MATERIAL</t>
  </si>
  <si>
    <t>Work In Progress</t>
  </si>
  <si>
    <t>ARDR_WORK_IN_PROGRESS</t>
  </si>
  <si>
    <t>Finished Goods</t>
  </si>
  <si>
    <t>ARDR_FINISHED_GOOD</t>
  </si>
  <si>
    <t>ARDR_SHARES_ISSUED</t>
  </si>
  <si>
    <t>ARDR_FUT_MIN_OPER_LEASE_OBLIG</t>
  </si>
  <si>
    <t>Rental Expense - Year 1</t>
  </si>
  <si>
    <t>ARDR_RENTAL_EXP_YR1</t>
  </si>
  <si>
    <t>Rental Expense - Year 2</t>
  </si>
  <si>
    <t>ARDR_RENTAL_EXP_YR2</t>
  </si>
  <si>
    <t>Rental Expense - Year 3</t>
  </si>
  <si>
    <t>ARDR_RENTAL_EXP_YR3</t>
  </si>
  <si>
    <t>Rental Expense - Year 4</t>
  </si>
  <si>
    <t>ARDR_RENTAL_EXP_YR4</t>
  </si>
  <si>
    <t>Rental Expense - Year 5</t>
  </si>
  <si>
    <t>ARDR_RENTAL_EXP_YR5</t>
  </si>
  <si>
    <t>Rental Expense - Beyond Year 5</t>
  </si>
  <si>
    <t>ARDR_RENTAL_EXP_BEYOND_YR5</t>
  </si>
  <si>
    <t>Other Inventory Reserves</t>
  </si>
  <si>
    <t>ARDR_OTHER_INVENTORY_RESERVES</t>
  </si>
  <si>
    <t>ARDR_TOTAL_SHAREHOLDERS_EQUITY</t>
  </si>
  <si>
    <t>Other Accruals</t>
  </si>
  <si>
    <t>ARDR_OTHER_ACCRUALS</t>
  </si>
  <si>
    <t>ARDR_NUMBER_EMPLOYEES</t>
  </si>
  <si>
    <t>Total Investments Cash and Equivalents</t>
  </si>
  <si>
    <t>ARDR_TOT_INVEST_CASH_CASH_EQUIV</t>
  </si>
  <si>
    <t>Shares Outstanding From The Front Cover</t>
  </si>
  <si>
    <t>ARDR_SHARE_OUT_FROM_FRONT_COVER</t>
  </si>
  <si>
    <t>Number of Employees at Period End Date</t>
  </si>
  <si>
    <t>ARDR_NUM_OF_EMPLOYEES_PERIOD_END</t>
  </si>
  <si>
    <t>Research &amp; Development - Net</t>
  </si>
  <si>
    <t>ARDR_RESEARCH_DEVELOPMENT_NET</t>
  </si>
  <si>
    <t>ARDR_OPTIONS_GRANTED_DURING_PER</t>
  </si>
  <si>
    <t>Options Outstanding End Period</t>
  </si>
  <si>
    <t>ARDR_OPTIONS_OUTSTANDING_END_PER</t>
  </si>
  <si>
    <t>Total Shareholder Equity Excludes Minority</t>
  </si>
  <si>
    <t>ARDR_TOT_SHARE_EQY_EXCL_MINORITY</t>
  </si>
  <si>
    <t>Options Exercised During the Period</t>
  </si>
  <si>
    <t>ARDR_OPTIONS_EXERCISED_DUR_PER</t>
  </si>
  <si>
    <t>Accrued Expenses And Other (ST)</t>
  </si>
  <si>
    <t>ARDR_ACCRUED_EXP_OTHER_ST</t>
  </si>
  <si>
    <t>Other Miscellaneous Current Liabilities</t>
  </si>
  <si>
    <t>ARDR_OTHER_MISC_CURRENT_LIABS</t>
  </si>
  <si>
    <t>ARDR Total Operating Liabilities</t>
  </si>
  <si>
    <t>ARDR_TOTAL_OPERATING_LIABILITIES</t>
  </si>
  <si>
    <t>Fair Value Assets Recur - Level 1</t>
  </si>
  <si>
    <t>ARDR_FV_ASSETS_REC_LEVEL_1</t>
  </si>
  <si>
    <t>Fair Value Assets Recur - Level 2</t>
  </si>
  <si>
    <t>ARDR_FV_ASSETS_REC_LEVEL_2</t>
  </si>
  <si>
    <t>Fair Value Assets Recur - Level 3</t>
  </si>
  <si>
    <t>ARDR_FV_ASSETS_REC_LEVEL_3</t>
  </si>
  <si>
    <t>Fair Value Assets Recur - Total</t>
  </si>
  <si>
    <t>ARDR_FV_ASSETS_REC_TOTAL</t>
  </si>
  <si>
    <t>ARDR Options Cancelled or Forfeited</t>
  </si>
  <si>
    <t>ARDR_OPTIONS_CANCELLED_FORFEITED</t>
  </si>
  <si>
    <t>PV of Future Min Op Lease Obligations</t>
  </si>
  <si>
    <t>ARDR_PV_FUTURE_MIN_OP_LEASE_OBL</t>
  </si>
  <si>
    <t>Weighted Average Cost of Options Granted</t>
  </si>
  <si>
    <t>ARDR_WEI_AVG_COST_OPTIONS_GRANT</t>
  </si>
  <si>
    <t>Stock Opt Valuation - Risk Free Rate (%)</t>
  </si>
  <si>
    <t>ARDR_STOCK_OPTION_VAL_RFR</t>
  </si>
  <si>
    <t>Stock Opt Valuation - Expected Life (Yrs)</t>
  </si>
  <si>
    <t>ARDR_STOCK_OPTION_VAL_EXP_LIFE</t>
  </si>
  <si>
    <t>Stock Opt Valuation - Expected Volatil (%)</t>
  </si>
  <si>
    <t>ARDR_STOCK_OPTION_VAL_EXP_VOL</t>
  </si>
  <si>
    <t>Stock Opt Valuation - Dividend Yield (%)</t>
  </si>
  <si>
    <t>ARDR_STOCK_OPTION_VAL_DVD_YLD</t>
  </si>
  <si>
    <t>Avg Exercise Price (Options Exercisable)</t>
  </si>
  <si>
    <t>ARDR_AVG_EXER_PX_OPT_EXERCISABLE</t>
  </si>
  <si>
    <t>Avg Exercise Price (Options Outstanding)</t>
  </si>
  <si>
    <t>ARDR_AVG_EXER_PX_OPT_OUTSTANDING</t>
  </si>
  <si>
    <t>Options Exercisable End of Period</t>
  </si>
  <si>
    <t>ARDR_OPTIONS_EXERCISABLE</t>
  </si>
  <si>
    <t>Deferred Tax Asset - Valuation Allowance</t>
  </si>
  <si>
    <t>ARDR_DEFERRED_TAX_ALLOWANCE</t>
  </si>
  <si>
    <t>FV Assets Rec L1: Cash and Securities</t>
  </si>
  <si>
    <t>ARDR_FV_ASSETS_REC_L1_CASH_SECS</t>
  </si>
  <si>
    <t>FV Assets Rec L1: Trading Treasuries</t>
  </si>
  <si>
    <t>ARDR_FV_ASSETS_REC_L1_TRAD_TREAS</t>
  </si>
  <si>
    <t>FV Assets Rec L1: AFS Corporate Bonds</t>
  </si>
  <si>
    <t>ARDR_FV_ASTS_REC_L1_AFS_CORP_BDS</t>
  </si>
  <si>
    <t>FV Assets Rec L1: Other</t>
  </si>
  <si>
    <t>ARDR_FV_ASSETS_REC_L1_OTHER</t>
  </si>
  <si>
    <t>FV Assets Rec L2: Cash and Securities</t>
  </si>
  <si>
    <t>ARDR_FV_ASTS_REC_L2_CASH_SECS</t>
  </si>
  <si>
    <t>FV Assets Rec L2: Trading Treasuries</t>
  </si>
  <si>
    <t>ARDR_FV_ASTS_REC_L2_TRAD_TREAS</t>
  </si>
  <si>
    <t>FV Assets Rec L2: Trading Bonds</t>
  </si>
  <si>
    <t>ARDR_FV_ASTS_REC_L2_TRAD_BONDS</t>
  </si>
  <si>
    <t>FV Assets Rec L2: AFS Corp Bonds</t>
  </si>
  <si>
    <t>ARDR_FV_ASTS_REC_L2_AFS_CORP_BDS</t>
  </si>
  <si>
    <t>FV Assets Rec L2: Other</t>
  </si>
  <si>
    <t>ARDR_FV_ASSETS_REC_L2_OTH</t>
  </si>
  <si>
    <t>FV Assets Rec L3: Cash and Sec</t>
  </si>
  <si>
    <t>ARDR_FV_ASTS_REC_L3_CASH_SECS</t>
  </si>
  <si>
    <t>FV Assets Rec L3: Trading Treasuries</t>
  </si>
  <si>
    <t>ARDR_FV_ASTS_REC_L3_TRAD_TREAS</t>
  </si>
  <si>
    <t>FV Assets Rec L3: AFS Corporate Bonds</t>
  </si>
  <si>
    <t>ARDR_FV_ASTS_REC_L3_AFS_CORP_BDS</t>
  </si>
  <si>
    <t>FV Assets Rec L3: AFS Other</t>
  </si>
  <si>
    <t>ARDR_FV_ASSETS_REC_L3_AFS_OTHER</t>
  </si>
  <si>
    <t>FV Assets Rec L3: Other</t>
  </si>
  <si>
    <t>ARDR_FV_ASSETS_REC_L3_OTHER</t>
  </si>
  <si>
    <t>FV Assets Rec Total: Cash Securities</t>
  </si>
  <si>
    <t>ARDR_FV_ASSETS_REC_TOT_CASH_SECS</t>
  </si>
  <si>
    <t>FV Assets Rec Total: AFS</t>
  </si>
  <si>
    <t>ARDR_FV_ASSETS_REC_TOT_AFS</t>
  </si>
  <si>
    <t>FV Assets Rec Total: CP</t>
  </si>
  <si>
    <t>ARDR_FV_ASSETS_REC_TOT_CP</t>
  </si>
  <si>
    <t>FV Assets Rec Total: Other</t>
  </si>
  <si>
    <t>ARDR_FV_ASSETS_REC_TOT_OTHER</t>
  </si>
  <si>
    <t>Performance Rights Outstand End of Period</t>
  </si>
  <si>
    <t>ARDR_PERFORM_RIGHTS_OUTSTANDING</t>
  </si>
  <si>
    <t>DTA - Net Operating Loss Carryforward</t>
  </si>
  <si>
    <t>ARDR_DTA_NOL_CARRYFORWARD</t>
  </si>
  <si>
    <t>Options at Beginning of Period</t>
  </si>
  <si>
    <t>ARDR_OPTIONS_BEGINNING_OF_PERIOD</t>
  </si>
  <si>
    <t>UTB Balance at Beginning Period</t>
  </si>
  <si>
    <t>ARDR_UTB_BALANCE_BEGIN_PERIOD</t>
  </si>
  <si>
    <t>UTB Balance at Period End</t>
  </si>
  <si>
    <t>ARDR_UTB_BALANCE_END_PERIOD</t>
  </si>
  <si>
    <t>Additions for Tax Positions of the Crnt Yr</t>
  </si>
  <si>
    <t>ARDR_ADDITIONS_TAX_POS_CUR_YR</t>
  </si>
  <si>
    <t>Additions for Tax Positions of Prior Years</t>
  </si>
  <si>
    <t>ARDR_ADDITIONS_TAX_POS_PR_YR</t>
  </si>
  <si>
    <t>Reductions for Tax Positions for Prior Yrs</t>
  </si>
  <si>
    <t>ARDR_REDUCTIONS_TAX_POS_PR_YR</t>
  </si>
  <si>
    <t>Settlements</t>
  </si>
  <si>
    <t>ARDR_SETTLEMENTS</t>
  </si>
  <si>
    <t>Statutes of Limitations under UTB</t>
  </si>
  <si>
    <t>ARDR_STATUTES_LIMITATIONS_UTB</t>
  </si>
  <si>
    <t>As Reported Data Reference Restricted Stock Units</t>
  </si>
  <si>
    <t>ARDR_RESTRICTED_STOCK_UNITS</t>
  </si>
  <si>
    <t>ARDR Restricted Stock Unit WAvg FV PS</t>
  </si>
  <si>
    <t>ARDR_RSTR_STK_UNIT_WAVG_FV_PS</t>
  </si>
  <si>
    <t>ARDR Full Time Employees</t>
  </si>
  <si>
    <t>ARDR_FULL_TIME_EMPLOYEES</t>
  </si>
  <si>
    <t>Neurocrine Biosciences Inc (NBIX US) - Common Size</t>
  </si>
  <si>
    <t>Neurocrine Biosciences Inc (NBIX US) - Fair Value Analysis</t>
  </si>
  <si>
    <t xml:space="preserve">  Level 1 Assets</t>
  </si>
  <si>
    <t xml:space="preserve">  Level 2 Assets</t>
  </si>
  <si>
    <t xml:space="preserve">  Level 3 Assets</t>
  </si>
  <si>
    <t>Total FV Assets</t>
  </si>
  <si>
    <t xml:space="preserve">  Level 1 Assets/Total Equity</t>
  </si>
  <si>
    <t>LEVEL_1_ASSETS_TO_TOTAL_EQUITY</t>
  </si>
  <si>
    <t xml:space="preserve">  Level 2 Assets/Total Equity</t>
  </si>
  <si>
    <t>LEVEL_2_ASSETS_TO_TOTAL_EQUITY</t>
  </si>
  <si>
    <t xml:space="preserve">  Level 3 Assets/Total Equity</t>
  </si>
  <si>
    <t>LEVEL_3_ASSETS_TO_TOTAL_EQUITY</t>
  </si>
  <si>
    <t>Total FV Assets/Total Equity</t>
  </si>
  <si>
    <t>TOT_FAIR_VAL_ASSETS_TO_TOT_EQTY</t>
  </si>
  <si>
    <t xml:space="preserve">  Level 1 Assets/Total Assets</t>
  </si>
  <si>
    <t>LEVEL_1_ASSETS_TO_TOTAL_ASSETS</t>
  </si>
  <si>
    <t xml:space="preserve">  Level 2 Assets/Total Assets</t>
  </si>
  <si>
    <t>LEVEL_2_ASSETS_TO_TOTAL_ASSETS</t>
  </si>
  <si>
    <t xml:space="preserve">  Level 3 Assets/Total Assets</t>
  </si>
  <si>
    <t>LEVEL_3_ASSETS_TO_TOTAL_ASSETS</t>
  </si>
  <si>
    <t>Total FV Assets/Total Assets</t>
  </si>
  <si>
    <t>TOT_FAIR_VAL_ASSET_TO_TOT_ASSETS</t>
  </si>
  <si>
    <t>Cash from Operating Activities</t>
  </si>
  <si>
    <t xml:space="preserve">  + Net Income</t>
  </si>
  <si>
    <t>CF_NET_INC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</si>
  <si>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</si>
  <si>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</si>
  <si>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</si>
  <si>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</si>
  <si>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</si>
  <si>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</si>
  <si>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</si>
  <si>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</si>
  <si>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</si>
  <si>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</si>
  <si>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</si>
  <si>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</si>
  <si>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</si>
  <si>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</si>
  <si>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</si>
  <si>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</si>
  <si>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</si>
  <si>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</si>
  <si>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</si>
  <si>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</si>
  <si>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</si>
  <si>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</si>
  <si>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</si>
  <si>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</si>
  <si>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</si>
  <si>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</si>
  <si>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</si>
  <si>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</si>
  <si>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</si>
  <si>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</si>
  <si>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</si>
  <si>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</si>
  <si>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</si>
  <si>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</si>
  <si>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</si>
  <si>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</si>
  <si>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</si>
  <si>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</si>
  <si>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</si>
  <si>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</si>
  <si>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</si>
  <si>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</si>
  <si>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</si>
  <si>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</si>
  <si>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</si>
  <si>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</si>
  <si>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</si>
  <si>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</si>
  <si>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</si>
  <si>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</si>
  <si>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</si>
  <si>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</si>
  <si>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</si>
  <si>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</si>
  <si>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</si>
  <si>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</si>
  <si>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</si>
  <si>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</si>
  <si>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</si>
  <si>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</si>
  <si>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</si>
  <si>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</si>
  <si>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</si>
  <si>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</si>
  <si>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</si>
  <si>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</si>
  <si>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</si>
  <si>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</si>
  <si>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</si>
  <si>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</si>
  <si>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</si>
  <si>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</si>
  <si>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</si>
  <si>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</si>
  <si>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</si>
  <si>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</si>
  <si>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Trailing 12M EBITDA Margin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</si>
  <si>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</si>
  <si>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</si>
  <si>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</si>
  <si>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</si>
  <si>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</si>
  <si>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Price to Free Cash Flow</t>
  </si>
  <si>
    <t>Cash Flow to Net Income</t>
  </si>
  <si>
    <t>CASH_FLOW_TO_NET_INC</t>
  </si>
  <si>
    <t xml:space="preserve">  Cash From Operating Activities</t>
  </si>
  <si>
    <t>Net Income - CF</t>
  </si>
  <si>
    <t>ARD_NET_INCOME_CF</t>
  </si>
  <si>
    <t>Depreciation</t>
  </si>
  <si>
    <t>ARD_DEPRECIATION_CF</t>
  </si>
  <si>
    <t>Depreciation And Amortization - CF</t>
  </si>
  <si>
    <t>ARD_DEPRECIATION_AND_AMORT_CF</t>
  </si>
  <si>
    <t>Deferred Income Taxes - CF</t>
  </si>
  <si>
    <t>ARD_DEFERRED_INCOME_TAXES_CF</t>
  </si>
  <si>
    <t>Disposal/Sale of Assets</t>
  </si>
  <si>
    <t>ARD_DISPOSAL_SALE_OF_ASSETS</t>
  </si>
  <si>
    <t>ARD_STOCK_BASED_COMPENSATION</t>
  </si>
  <si>
    <t>Other Non-Cash Items</t>
  </si>
  <si>
    <t>ARD_OTHER_NON_CASH_ITEMS</t>
  </si>
  <si>
    <t>Change in Inventories</t>
  </si>
  <si>
    <t>ARD_CHANGE_IN_INVENTORIES</t>
  </si>
  <si>
    <t>Change in Accounts Receivable</t>
  </si>
  <si>
    <t>ARD_CHG_IN_ACCOUNTS_RECEIVABLE</t>
  </si>
  <si>
    <t>Change in Deferred/Unearned Revenue -ST</t>
  </si>
  <si>
    <t>ARD_CHG_IN_DEF_UNEARN_REVENUE_ST</t>
  </si>
  <si>
    <t>Change in Accounts Payable &amp; Accrued Expenses</t>
  </si>
  <si>
    <t>ARD_CHG_IN_ACCT_PAY_ACC_EXP</t>
  </si>
  <si>
    <t>Change in Other Current Assets</t>
  </si>
  <si>
    <t>ARD_CHANGE_IN_OTHER_CUR_ASSETS</t>
  </si>
  <si>
    <t>Amortization of Intangibles</t>
  </si>
  <si>
    <t>ARD_AMORTIZATION_OF_INTANGIBLE</t>
  </si>
  <si>
    <t>Other Amortization of Non-Cash Expenses/Gains</t>
  </si>
  <si>
    <t>ARD_OTH_AMORT_NONCASH_EXP_GAINS</t>
  </si>
  <si>
    <t>Change In Other Liabilites</t>
  </si>
  <si>
    <t>ARD_CHG_IN_OTHER_LIABILITES</t>
  </si>
  <si>
    <t>Total Cash Flows From Operations</t>
  </si>
  <si>
    <t>ARD_TOT_CASH_FLOWS_FROM_OPS</t>
  </si>
  <si>
    <t>Amortization of Debt Discount</t>
  </si>
  <si>
    <t>ARD_AMORT_OF_DEBT_DISCOUNT</t>
  </si>
  <si>
    <t>Change In Other Assets And Liabilities</t>
  </si>
  <si>
    <t>ARD_CHG_OTH_ASSETS_LIAB</t>
  </si>
  <si>
    <t>Gain (Loss) On Sale of Investments and Mkt Sec</t>
  </si>
  <si>
    <t>ARD_GL_ON_SALE_OF_INV_MKT_SEC</t>
  </si>
  <si>
    <t>Gain/(Loss) On Early Extinguishment of Debt</t>
  </si>
  <si>
    <t>ARD_GL_ON_EARLY_EXT_OF_DEBT</t>
  </si>
  <si>
    <t>Revaluation/Impairment Of Investments</t>
  </si>
  <si>
    <t>ARD_REVAL_IMPAIR_OF_INVESTMENTS</t>
  </si>
  <si>
    <t xml:space="preserve">  Cash From Investing Activities</t>
  </si>
  <si>
    <t>Disposal of Fixed Assets</t>
  </si>
  <si>
    <t>ARD_DISPOSAL_OF_FIXED_ASSETS</t>
  </si>
  <si>
    <t>ARD_CAPITAL_EXPENDITURES</t>
  </si>
  <si>
    <t>Proceeds From Investments</t>
  </si>
  <si>
    <t>ARD_PROCEEDS_FROM_INVESTMENTS</t>
  </si>
  <si>
    <t>Purchases of Investments</t>
  </si>
  <si>
    <t>ARD_PURCHASES_OF_INVESTMENTS</t>
  </si>
  <si>
    <t>Acquisition of Business</t>
  </si>
  <si>
    <t>ARD_ACQUISITION_OF_BUSINESS</t>
  </si>
  <si>
    <t>Other Investing Activities</t>
  </si>
  <si>
    <t>ARD_OTHER_INVESTING_ACTIVITIES</t>
  </si>
  <si>
    <t>Total Cash Flows From Investing</t>
  </si>
  <si>
    <t>ARD_TOT_CASHFLOWS_FROM_INVESTING</t>
  </si>
  <si>
    <t xml:space="preserve">  Cash from Financing Activities</t>
  </si>
  <si>
    <t>Increase In Long-Term Borrowings</t>
  </si>
  <si>
    <t>ARD_INCR_IN_LT_BORROW</t>
  </si>
  <si>
    <t>Decrease In Long-Term Borrowings</t>
  </si>
  <si>
    <t>ARD_DECR_IN_LT_BORROW</t>
  </si>
  <si>
    <t>Issuance of Common Stock</t>
  </si>
  <si>
    <t>ARD_ISSUANCE_OF_COMMON_STOCK</t>
  </si>
  <si>
    <t>Repurchase of Common Stock</t>
  </si>
  <si>
    <t>ARD_REPURCHASE_OF_COMMON_STOCK</t>
  </si>
  <si>
    <t>Effect of Exchange Rates On Cash</t>
  </si>
  <si>
    <t>ARD_EFF_OF_EXCH_RATES_ON_CASH</t>
  </si>
  <si>
    <t>Other Financing Activities</t>
  </si>
  <si>
    <t>ARD_OTHER_FINANCING_ACTIVITIES</t>
  </si>
  <si>
    <t>Cash Paid For Taxes</t>
  </si>
  <si>
    <t>ARD_CASH_PAID_FOR_TAXES</t>
  </si>
  <si>
    <t>Cash Paid For Interest</t>
  </si>
  <si>
    <t>ARD_CASH_PAID_FOR_INTEREST</t>
  </si>
  <si>
    <t>Net Change In Cash</t>
  </si>
  <si>
    <t>ARD_NET_CHANGE_IN_CASH</t>
  </si>
  <si>
    <t>Cash and Cash Equivalents (End of Period)</t>
  </si>
  <si>
    <t>ARD_CASH_CASH_EQUIV_END_OF_PER</t>
  </si>
  <si>
    <t>Cash and Cash Equivalents (Beg of Period)</t>
  </si>
  <si>
    <t>ARD_CASH_CASH_EQUIV_BEG_OF_PER</t>
  </si>
  <si>
    <t>Total Cash Flows From Financing</t>
  </si>
  <si>
    <t>ARD_TOT_CASHFLOWS_FROM_FINANCING</t>
  </si>
  <si>
    <t>Neurocrine Biosciences Inc (NBIX US) - Profitability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</si>
  <si>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</si>
  <si>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</si>
  <si>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</si>
  <si>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</si>
  <si>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</si>
  <si>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</si>
  <si>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</si>
  <si>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</si>
  <si>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</si>
  <si>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</si>
  <si>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EBITDA Margin</t>
  </si>
  <si>
    <t>EBITDA_TO_REVENUE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</si>
  <si>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</si>
  <si>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</si>
  <si>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</si>
  <si>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</si>
  <si>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</si>
  <si>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</si>
  <si>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</si>
  <si>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</si>
  <si>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</si>
  <si>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</si>
  <si>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</si>
  <si>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</si>
  <si>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</si>
  <si>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</si>
  <si>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</si>
  <si>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</si>
  <si>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Neurocrine Biosciences Inc (NBIX US) - Growth</t>
  </si>
  <si>
    <t>1 Year Growth</t>
  </si>
  <si>
    <t>EBITDA_GROWTH</t>
  </si>
  <si>
    <t>OPER_INC_GROWTH</t>
  </si>
  <si>
    <t>EARN_FOR_COM_GROWTH</t>
  </si>
  <si>
    <t>EPS Diluted</t>
  </si>
  <si>
    <t>EPS Diluted before XO</t>
  </si>
  <si>
    <t>DILUTED_EPS_BEF_XO_ITEMS_GROWTH</t>
  </si>
  <si>
    <t>EPS Diluted before Abnormal</t>
  </si>
  <si>
    <t>RR_DIL_EPS_CONT_OPS_GROWTH</t>
  </si>
  <si>
    <t>Accounts Receivable</t>
  </si>
  <si>
    <t>ACCOUNTS_RECEIVABLE_GROWTH</t>
  </si>
  <si>
    <t>Inventory</t>
  </si>
  <si>
    <t>INVENTORY_GROWTH</t>
  </si>
  <si>
    <t>Fixed Assets</t>
  </si>
  <si>
    <t>NET_FIXED_ASSETS_1_YEAR_GROWTH</t>
  </si>
  <si>
    <t>ASSET_GROWTH</t>
  </si>
  <si>
    <t>Modified Working Capital</t>
  </si>
  <si>
    <t>MODIFIED_WORK_CAP_GROWTH</t>
  </si>
  <si>
    <t>Working Capital</t>
  </si>
  <si>
    <t>WORK_CAP_GROWTH</t>
  </si>
  <si>
    <t>Employees</t>
  </si>
  <si>
    <t>EMPL_GROWTH</t>
  </si>
  <si>
    <t>Accounts Payable</t>
  </si>
  <si>
    <t>ACCOUNTS_PAYABLE_GROWTH_1YR</t>
  </si>
  <si>
    <t>Short-Term Debt</t>
  </si>
  <si>
    <t>SHORT_TERM_DEBT_1_YEAR_GROWTH</t>
  </si>
  <si>
    <t>Total Debt</t>
  </si>
  <si>
    <t>TOTAL_DEBT_1_YEAR_GROWTH</t>
  </si>
  <si>
    <t>TOTAL_EQUITY_1_YEAR_GROWTH</t>
  </si>
  <si>
    <t>Capital</t>
  </si>
  <si>
    <t>GROWTH_IN_CAP</t>
  </si>
  <si>
    <t>Book Value per Share</t>
  </si>
  <si>
    <t>BVPS_GROWTH</t>
  </si>
  <si>
    <t>CASH_FLOW_GROWTH</t>
  </si>
  <si>
    <t>TOT_CAP_EXPEND_GROWTH</t>
  </si>
  <si>
    <t>NET_CHANGE_IN_CASH_1_YEAR_GROWTH</t>
  </si>
  <si>
    <t>FREE_CASH_FLOW_1_YEAR_GROWTH</t>
  </si>
  <si>
    <t>Cash Flow to Firm</t>
  </si>
  <si>
    <t>CASH_FLOW_TO_FIRM_1_YEAR_GROWTH</t>
  </si>
  <si>
    <t>FCF_TO_FIRM_1_YEAR_GROWTH</t>
  </si>
  <si>
    <t>5 Year Growth</t>
  </si>
  <si>
    <t>GEO_GROW_NET_SALES</t>
  </si>
  <si>
    <t>GEO_GROW_EBITDA</t>
  </si>
  <si>
    <t>GEO_GROW_OPER_INC</t>
  </si>
  <si>
    <t>NET_INCOME_TO_COMMON_5_YR_GROWTH</t>
  </si>
  <si>
    <t>5Y_GEO_GROWTH_DILUTED_EPS</t>
  </si>
  <si>
    <t>5Y_GEO_GROWTH_DILUTED_EPS_BEF_XO</t>
  </si>
  <si>
    <t>GEO_GROW_DILUTED_EPS_CONT_OPS</t>
  </si>
  <si>
    <t>ACCOUNTS_RECEIVABLE_5_YR_GROWTH</t>
  </si>
  <si>
    <t>INVENTORY_5_YEAR_GROWTH</t>
  </si>
  <si>
    <t>NET_FIXED_ASSETS_5_YEAR_GROWTH</t>
  </si>
  <si>
    <t>GEO_GROW_TOT_ASSET</t>
  </si>
  <si>
    <t>MODIFIED_WORKING_CPTL_5YR_GRWTH</t>
  </si>
  <si>
    <t>WORKING_CAPITAL_5_YEAR_GROWTH</t>
  </si>
  <si>
    <t>EMPLOYEES_5_YEAR_GROWTH</t>
  </si>
  <si>
    <t>ACCOUNTS_PAYABLE_5_YEAR_GROWTH</t>
  </si>
  <si>
    <t>SHORT_TERM_DEBT_5_YEAR_GROWTH</t>
  </si>
  <si>
    <t>TOTAL_DEBT_5_YEAR_GROWTH</t>
  </si>
  <si>
    <t>GEO_GROW_TOT_SHRHLDR_EQY</t>
  </si>
  <si>
    <t>Total Capital 5 Year Growth</t>
  </si>
  <si>
    <t>TOTAL_CAPITAL_5_YEAR_GROWTH</t>
  </si>
  <si>
    <t>GEO_GROW_BOOK_VAL</t>
  </si>
  <si>
    <t>GEO_GROW_CASH_OPER_ACT</t>
  </si>
  <si>
    <t>NET_CHANGE_IN_CASH_5_YEAR_GROWTH</t>
  </si>
  <si>
    <t>FREE_CASH_FLOW_5_YEAR_GROWTH</t>
  </si>
  <si>
    <t>CASH_FLOW_TO_FIRM_5_YEAR_GROWTH</t>
  </si>
  <si>
    <t>Sequential Growth</t>
  </si>
  <si>
    <t>REVENUE_SEQUENTIAL_GROWTH</t>
  </si>
  <si>
    <t>EBITDA_SEQUENTIAL_GROWTH</t>
  </si>
  <si>
    <t>OPERATING_INCOME_SEQ_GROWTH</t>
  </si>
  <si>
    <t>NET_INCOME_TO_COMMON_SEQ_GROWTH</t>
  </si>
  <si>
    <t>EPS_DILUTED_SEQUENTIAL_GROWTH</t>
  </si>
  <si>
    <t>EPS_DIL_BEF_EXTRAORD_SEQ_GRWTH</t>
  </si>
  <si>
    <t>EPS_DILUTED_BEF_ABNRML_SEQ_GRWTH</t>
  </si>
  <si>
    <t>ACCOUNTS_RECEIVABLE_SEQ_GROWTH</t>
  </si>
  <si>
    <t>INVENTORY_SEQUENTIAL_GROWTH</t>
  </si>
  <si>
    <t>FIXED_ASSETS_SEQUENTIAL_GROWTH</t>
  </si>
  <si>
    <t>TOTAL_ASSETS_SEQUENTIAL_GROWTH</t>
  </si>
  <si>
    <t>MODIFIED_WORKING_CPTL_SEQ_GRWTH</t>
  </si>
  <si>
    <t>WORKING_CAPITAL_SEQ_GROWTH</t>
  </si>
  <si>
    <t>EMPLOYEES_SEQUENTIAL_GROWTH</t>
  </si>
  <si>
    <t>ST_DEBT_SEQUENTIAL_GROWTH</t>
  </si>
  <si>
    <t>TOTAL_DEBT_SEQUENTIAL_GROWTH</t>
  </si>
  <si>
    <t>TOTAL_EQUITY_SEQUENTIAL_GROWTH</t>
  </si>
  <si>
    <t>TOTAL_CAPITAL_SEQUENTIAL_GROWTH</t>
  </si>
  <si>
    <t>BPS_SEQUENTIAL_GROWTH</t>
  </si>
  <si>
    <t>CFO_SEQUENTIAL_GROWTH</t>
  </si>
  <si>
    <t>CAPEX_SEQUENTIAL_GROWTH</t>
  </si>
  <si>
    <t>NET_CHANGE_IN_CASH_SEQ_GROWTH</t>
  </si>
  <si>
    <t>FREE_CASH_FLOW_SEQUENTIAL_GROWTH</t>
  </si>
  <si>
    <t>CF_TO_FIRM_SEQUENTIAL_GROWTH</t>
  </si>
  <si>
    <t>FCF_TO_FIRM_SEQUENTIAL_GROWTH</t>
  </si>
  <si>
    <t>Neurocrine Biosciences Inc (NBIX US) - Credit</t>
  </si>
  <si>
    <t>No</t>
  </si>
  <si>
    <t xml:space="preserve">  Short-Term Debt</t>
  </si>
  <si>
    <t xml:space="preserve">  Long Term Debt</t>
  </si>
  <si>
    <t>Total Debt/T12M EBITDA</t>
  </si>
  <si>
    <t>TOT_DEBT_TO_EBITDA</t>
  </si>
  <si>
    <t>Net Debt/EBITDA</t>
  </si>
  <si>
    <t>NET_DEBT_TO_EBITDA</t>
  </si>
  <si>
    <t>Total Debt/EBIT</t>
  </si>
  <si>
    <t>TOTAL_DEBT_TO_EBIT</t>
  </si>
  <si>
    <t>Net Debt/EBIT</t>
  </si>
  <si>
    <t>NET_DEBT_TO_EBIT</t>
  </si>
  <si>
    <t>EBITDA to Interest Expense</t>
  </si>
  <si>
    <t>EBITDA_TO_INTEREST_EXPN</t>
  </si>
  <si>
    <t>EBITDA-CapEx/Interest Expense</t>
  </si>
  <si>
    <t>EBITDA_LES_CAP_EXPEND_TO_INT_EXP</t>
  </si>
  <si>
    <t>EBIT to Interest Expense</t>
  </si>
  <si>
    <t>OPER_INC_TO_INT_EXP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</si>
  <si>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</si>
  <si>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</si>
  <si>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</si>
  <si>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</si>
  <si>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</si>
  <si>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</si>
  <si>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</si>
  <si>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</si>
  <si>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</si>
  <si>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</si>
  <si>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</si>
  <si>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Total Debt/Total Assets</t>
  </si>
  <si>
    <t>TOT_DEBT_TO_TOT_ASSET</t>
  </si>
  <si>
    <t>Net Debt/Equity</t>
  </si>
  <si>
    <t>Net Debt/Capital</t>
  </si>
  <si>
    <t>NET_DEBT_PCT_OF_TOT_CAPITAL</t>
  </si>
  <si>
    <t>EBITDA-CapEx</t>
  </si>
  <si>
    <t>EBITDA_AFTER_CAPEX</t>
  </si>
  <si>
    <t>Neurocrine Biosciences Inc (NBIX US) - Credit Ex Operating Leases</t>
  </si>
  <si>
    <t>ST_DEBT_EX_OPERATING_LEASE_LIABS</t>
  </si>
  <si>
    <t>LT_DEBT_EX_OPERATING_LEASE_LIABS</t>
  </si>
  <si>
    <t>TOT_DBT_TO_EBITDA_EX_OP_LEA_ACT</t>
  </si>
  <si>
    <t>NET_DEBT_EBITDA_EX_OPER_LEA_ACT</t>
  </si>
  <si>
    <t>TOT_DEBT_TO_EBIT_EX_OPER_LEA_ACT</t>
  </si>
  <si>
    <t>NET_DEBT_TO_EBIT_EX_OPER_LEA_ACT</t>
  </si>
  <si>
    <t>EBITDA_AFT_OP_LEA_EXP_TO_INT_EXP</t>
  </si>
  <si>
    <t>EBITDA_AFT_CAPEX_OP_LEA_EX_INT</t>
  </si>
  <si>
    <t>EBIT_AFT_OP_LEA_EXPN_TO_INT_EXPN</t>
  </si>
  <si>
    <t>INT_EXPN_AFTER_OPERATING_LEA_ACT</t>
  </si>
  <si>
    <t>CE_TO_TOT_AST_LESS_OPER_LEA_AST</t>
  </si>
  <si>
    <t>LT_DBT_EX_OPER_LEA_LIABS_TO_EQTY</t>
  </si>
  <si>
    <t>LT_DBT_TO_CPTL_EX_OPER_LEA_LIABS</t>
  </si>
  <si>
    <t>LT_DBT_AST_EX_OP_LEA_LIAB_AST</t>
  </si>
  <si>
    <t>TOT_DBT_EX_OP_LEA_LIABS_TO_EQTY</t>
  </si>
  <si>
    <t>TOT_DBT_AST_EX_OP_LEA_LIAB_AST</t>
  </si>
  <si>
    <t>NET_DBT_EX_OPER_LEA_LIABS_EQTY</t>
  </si>
  <si>
    <t>NET_DBT_CPTL_EX_OPER_LEA_LIABS</t>
  </si>
  <si>
    <t>EBITDA_AFTER_OPERATING_LEA_EXPN</t>
  </si>
  <si>
    <t>EBITDA_AFT_CAPEX_AND_OP_LEA_EXPN</t>
  </si>
  <si>
    <t>EBIT_AFTER_OPERATING_LEASE</t>
  </si>
  <si>
    <t>Neurocrine Biosciences Inc (NBIX US) - Liquidity</t>
  </si>
  <si>
    <t>Cash Ratio</t>
  </si>
  <si>
    <t>CASH_RATIO</t>
  </si>
  <si>
    <t>Quick Ratio</t>
  </si>
  <si>
    <t>QUICK_RATIO</t>
  </si>
  <si>
    <t>CFO/Avg Current Liab</t>
  </si>
  <si>
    <t>CFO_TO_AVG_CURRENT_LIABILITIES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</si>
  <si>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</si>
  <si>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</si>
  <si>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</si>
  <si>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</si>
  <si>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</si>
  <si>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</si>
  <si>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Neurocrine Biosciences Inc (NBIX US) - Working Capital</t>
  </si>
  <si>
    <t>Accounts Receivable Turnover</t>
  </si>
  <si>
    <t>ACCT_RCV_TURN</t>
  </si>
  <si>
    <t xml:space="preserve">  Days Sales Outstanding</t>
  </si>
  <si>
    <t>ACCT_RCV_DAYS</t>
  </si>
  <si>
    <t>Inventory Turnover</t>
  </si>
  <si>
    <t>INVENT_TURN</t>
  </si>
  <si>
    <t xml:space="preserve">  Days Inventory Outstanding</t>
  </si>
  <si>
    <t>INVENT_DAYS</t>
  </si>
  <si>
    <t>Accounts Payable Turnover</t>
  </si>
  <si>
    <t>ACCOUNTS_PAYABLE_TURNOVER</t>
  </si>
  <si>
    <t xml:space="preserve">  Accounts Payable Turnover Days</t>
  </si>
  <si>
    <t>ACCOUNTS_PAYABLE_TURNOVER_DAYS</t>
  </si>
  <si>
    <t>Inventory to Cash Days</t>
  </si>
  <si>
    <t>INV_TO_CASH_DAYS</t>
  </si>
  <si>
    <t>Total Inventory</t>
  </si>
  <si>
    <t xml:space="preserve">  Inventory Raw Materials</t>
  </si>
  <si>
    <t xml:space="preserve">  Inventory In Progress</t>
  </si>
  <si>
    <t xml:space="preserve">  Inventory Finished Goods</t>
  </si>
  <si>
    <t xml:space="preserve">  Other Inventory</t>
  </si>
  <si>
    <t>Neurocrine Biosciences Inc (NBIX US) - Yield Analysis</t>
  </si>
  <si>
    <t>T12 Cash Flows to Equity</t>
  </si>
  <si>
    <t>+ Cash From Operations</t>
  </si>
  <si>
    <t>TRAIL_12M_CASH_FROM_OPER</t>
  </si>
  <si>
    <t>+ Capital Expenditures</t>
  </si>
  <si>
    <t>TRAIL_12M_CAP_EXPEND</t>
  </si>
  <si>
    <t>TRAIL_12M_FREE_CASH_FLOW</t>
  </si>
  <si>
    <t>Free Cash Flow Yield</t>
  </si>
  <si>
    <t>FREE_CASH_FLOW_YIELD</t>
  </si>
  <si>
    <t>Dividends Paid</t>
  </si>
  <si>
    <t>T12M_DVDS_PAID</t>
  </si>
  <si>
    <t>Net Share Repurchases</t>
  </si>
  <si>
    <t>T12M_NET_CAPITAL_STOCK</t>
  </si>
  <si>
    <t>Net ST Debt Repayments</t>
  </si>
  <si>
    <t>T12M_CHG_ST_BORROWINGS</t>
  </si>
  <si>
    <t>Net LT Debt Repayments</t>
  </si>
  <si>
    <t>T12M_CHG_LT_DEBT</t>
  </si>
  <si>
    <t>T12_OTHER_CFF</t>
  </si>
  <si>
    <t>T12 Cash to Suppliers of Capital</t>
  </si>
  <si>
    <t>T12_CFF</t>
  </si>
  <si>
    <t>T12 Shareholder Yield</t>
  </si>
  <si>
    <t>SHAREHOLDER_YIELD_CFF</t>
  </si>
  <si>
    <t>- Dividends Paid</t>
  </si>
  <si>
    <t>- Net Share Repurchases</t>
  </si>
  <si>
    <t>T12 Cash to Shareholders</t>
  </si>
  <si>
    <t>RETURNED_CAPITAL_EX_DEBT</t>
  </si>
  <si>
    <t>T12 Shareholder Yield, Ex Debt</t>
  </si>
  <si>
    <t>SHAREHOLDER_YIELD_EX_DEBT</t>
  </si>
  <si>
    <t>T12 Cash Flows to the Firm</t>
  </si>
  <si>
    <t>+ After-Tax Interest Expense</t>
  </si>
  <si>
    <t>AFTER_TAX_INTEREST_EXPENSE</t>
  </si>
  <si>
    <t>Trailing 12M Free Cash Flow To Firm</t>
  </si>
  <si>
    <t>Periodic Enterprise Value</t>
  </si>
  <si>
    <t>T12 FCFF Yield</t>
  </si>
  <si>
    <t>T12M_FCF_TO_FIRM_YIELD</t>
  </si>
  <si>
    <t>- Net ST Debt Repayments</t>
  </si>
  <si>
    <t>- Net LT Debt Repayments</t>
  </si>
  <si>
    <t>- Other Financing Activities</t>
  </si>
  <si>
    <t>T12 Capital Yield</t>
  </si>
  <si>
    <t>CAPITAL_YIELD</t>
  </si>
  <si>
    <t>Neurocrine Biosciences Inc (NBIX US) - DuPont Analysis</t>
  </si>
  <si>
    <t>Tax Burden</t>
  </si>
  <si>
    <t xml:space="preserve">  Net Inc to Comn/Pre-Tax Profit %</t>
  </si>
  <si>
    <t>TAX_EFFICIENCY</t>
  </si>
  <si>
    <t>Adjustment Factor</t>
  </si>
  <si>
    <t xml:space="preserve">  Normlzd Net Inc/Net Inc to Cmn</t>
  </si>
  <si>
    <t>NORM_NET_INC_TO_NET_INC_FO_COM</t>
  </si>
  <si>
    <t>Interest Burden</t>
  </si>
  <si>
    <t xml:space="preserve">  Pre-Tax Profit/EBIT %</t>
  </si>
  <si>
    <t>INT_BURDEN</t>
  </si>
  <si>
    <t xml:space="preserve">  EBIT/Revenue %</t>
  </si>
  <si>
    <t>T12_EBIT_TO_REVENUE</t>
  </si>
  <si>
    <t>Asset Turnover</t>
  </si>
  <si>
    <t xml:space="preserve">  Revenue/Avg Assets</t>
  </si>
  <si>
    <t>ASSET_TURNOVER</t>
  </si>
  <si>
    <t>Leverage Ratio</t>
  </si>
  <si>
    <t xml:space="preserve">  Avg Assets/Avg Equity</t>
  </si>
  <si>
    <t>FNCL_LVRG</t>
  </si>
  <si>
    <t>Adjusted Return on Equity</t>
  </si>
  <si>
    <t>NORMALIZED_ROE</t>
  </si>
  <si>
    <t>5 Year Average Adj ROE</t>
  </si>
  <si>
    <t>5_YEAR_AVERAGE_ADJUSTED_ROE</t>
  </si>
  <si>
    <t>Payout Ratio</t>
  </si>
  <si>
    <t>Neurocrine Biosciences Inc (NBIX US) - By Measure</t>
  </si>
  <si>
    <t xml:space="preserve">  Product</t>
  </si>
  <si>
    <t xml:space="preserve">    INGREZZA</t>
  </si>
  <si>
    <t xml:space="preserve">    ONGENTYS</t>
  </si>
  <si>
    <t xml:space="preserve">  Collaboration</t>
  </si>
  <si>
    <t xml:space="preserve">    Other Collaboration</t>
  </si>
  <si>
    <t xml:space="preserve">    Elagolix</t>
  </si>
  <si>
    <t xml:space="preserve">    Milestone</t>
  </si>
  <si>
    <t>R&amp;D Expenses</t>
  </si>
  <si>
    <t xml:space="preserve">  Payroll &amp; Benefits</t>
  </si>
  <si>
    <t xml:space="preserve">  Research &amp; Discovery</t>
  </si>
  <si>
    <t xml:space="preserve">  Late Stage</t>
  </si>
  <si>
    <t xml:space="preserve">  Facilities &amp; Other</t>
  </si>
  <si>
    <t xml:space="preserve">  Early Stage</t>
  </si>
  <si>
    <t xml:space="preserve">  Milestones</t>
  </si>
  <si>
    <t>Neurocrine Biosciences Inc (NBIX US) - By Geography</t>
  </si>
  <si>
    <t xml:space="preserve">  United States</t>
  </si>
  <si>
    <t>Income Taxes</t>
  </si>
  <si>
    <t>Property/Plant/Equipment</t>
  </si>
  <si>
    <t>Goodwill</t>
  </si>
  <si>
    <t>Assets</t>
  </si>
  <si>
    <t>Liabilities</t>
  </si>
  <si>
    <t>Neurocrine Biosciences Inc (NBIX US) - By Segment</t>
  </si>
  <si>
    <t>Collaboration</t>
  </si>
  <si>
    <t xml:space="preserve">  Revenue</t>
  </si>
  <si>
    <t>Product</t>
  </si>
  <si>
    <t>Late Stage</t>
  </si>
  <si>
    <t xml:space="preserve">  R&amp;D Expenses</t>
  </si>
  <si>
    <t>Early Stage</t>
  </si>
  <si>
    <t>Research &amp; Discovery</t>
  </si>
  <si>
    <t>Milestones</t>
  </si>
  <si>
    <t>Payroll &amp; Benefits</t>
  </si>
  <si>
    <t>Facilities &amp; Other</t>
  </si>
  <si>
    <t>Neurocrine Biosciences Inc (NBIX US) - ESG Ratios</t>
  </si>
  <si>
    <t>FY 2000</t>
  </si>
  <si>
    <t>FY 2001</t>
  </si>
  <si>
    <t>FY 2002</t>
  </si>
  <si>
    <t>FY 2003</t>
  </si>
  <si>
    <t>FY 2004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</si>
  <si>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</si>
  <si>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</si>
  <si>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</si>
  <si>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</si>
  <si>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</si>
  <si>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</si>
  <si>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</si>
  <si>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</si>
  <si>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</si>
  <si>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</si>
  <si>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</si>
  <si>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</si>
  <si>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</si>
  <si>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</si>
  <si>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</si>
  <si>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</si>
  <si>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</si>
  <si>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</si>
  <si>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</si>
  <si>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12/31/2000</t>
  </si>
  <si>
    <t>12/31/2001</t>
  </si>
  <si>
    <t>12/31/2002</t>
  </si>
  <si>
    <t>12/31/2003</t>
  </si>
  <si>
    <t>12/31/2004</t>
  </si>
  <si>
    <t>12/31/2005</t>
  </si>
  <si>
    <t>12/31/2006</t>
  </si>
  <si>
    <t>12/31/2007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</si>
  <si>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</si>
  <si>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</si>
  <si>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</si>
  <si>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</si>
  <si>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</si>
  <si>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</si>
  <si>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</si>
  <si>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</si>
  <si>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</si>
  <si>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</si>
  <si>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</si>
  <si>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</si>
  <si>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</si>
  <si>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</si>
  <si>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</si>
  <si>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</si>
  <si>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</si>
  <si>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</si>
  <si>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</si>
  <si>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Greenhouse Gases</t>
  </si>
  <si>
    <t>Carbon Dioxide</t>
  </si>
  <si>
    <t>Energy</t>
  </si>
  <si>
    <t>Water</t>
  </si>
  <si>
    <t>Waste</t>
  </si>
  <si>
    <t>Other Environmental</t>
  </si>
  <si>
    <t>Social</t>
  </si>
  <si>
    <t>Community Spend % PTP</t>
  </si>
  <si>
    <t>COMMUNITY_SPND_PCT_PRETAX_PROFIT</t>
  </si>
  <si>
    <t>Community Spend%EBITDA</t>
  </si>
  <si>
    <t>COMMUNITY_SPEND_PCT_EBITDA</t>
  </si>
  <si>
    <t>Community Spend%Equity</t>
  </si>
  <si>
    <t>COMMUNITY_SPEND_PCT_EQUITY</t>
  </si>
  <si>
    <t>Training Spending per Employee</t>
  </si>
  <si>
    <t>TRAINING_SPEND_PER_EMPLOYEE</t>
  </si>
  <si>
    <t>R&amp;D Expenditures per Cash Flow</t>
  </si>
  <si>
    <t>RD_EXPENDITURES_PER_CASH_FLOW</t>
  </si>
  <si>
    <t>Actual Net Income per Employee</t>
  </si>
  <si>
    <t>ACTUAL_NET_INCOME_PER_EMPLOYEE</t>
  </si>
  <si>
    <t>Actual Cash Flow per Employee</t>
  </si>
  <si>
    <t>CASH_FLOW_PER_EMPLOYEE</t>
  </si>
  <si>
    <t>Governance</t>
  </si>
  <si>
    <t>Percentage of Non-Executive Directors on Board</t>
  </si>
  <si>
    <t>PCT_OF_NON_EXEC_DIR_ON_BRD</t>
  </si>
  <si>
    <t>Pct Independent Directors</t>
  </si>
  <si>
    <t>PCT_INDEPENDENT_DIRECTORS</t>
  </si>
  <si>
    <t>% Women on Board</t>
  </si>
  <si>
    <t>PCT_WOMEN_ON_BOARD</t>
  </si>
  <si>
    <t>Percentage of Female Executives</t>
  </si>
  <si>
    <t>PERCENTAGE_OF_FEMALE_EXECUTIVES</t>
  </si>
  <si>
    <t>Board of Directors Age Range</t>
  </si>
  <si>
    <t>BOARD_OF_DIRECTORS_AGE_RANGE</t>
  </si>
  <si>
    <t>Board Average Age</t>
  </si>
  <si>
    <t>BOARD_AVERAGE_AGE</t>
  </si>
  <si>
    <t>Board Meeting Attendance Pct</t>
  </si>
  <si>
    <t>BOARD_MEETING_ATTENDANCE_PCT</t>
  </si>
  <si>
    <t>Independent Directors Board Meeting Attendance %</t>
  </si>
  <si>
    <t>IND_DIRECTORS_BRD_MTG_ATTEND_PCT</t>
  </si>
  <si>
    <t>Pct of Independent Directors on Audit Committee</t>
  </si>
  <si>
    <t>PCT_IND_DIRECTORS_ON_AUDIT_CMTE</t>
  </si>
  <si>
    <t>Audit Committee Meeting Attendance Percentage</t>
  </si>
  <si>
    <t>AUDIT_COMMITTEE_MTG_ATTEND_PCT</t>
  </si>
  <si>
    <t>Pct of Ind Directors on Compensation Committee</t>
  </si>
  <si>
    <t>PCT_IND_DIRECTORS_ON_COMP_CMTE</t>
  </si>
  <si>
    <t>Compensation Committee Meeting Attendance %</t>
  </si>
  <si>
    <t>COMPENSATION_CMTE_MTG_ATTEND_PCT</t>
  </si>
  <si>
    <t>Pct of Ind Directors on Nomination Committee</t>
  </si>
  <si>
    <t>PCT_OF_IND_DIRECTORS_ON_NOM_CMTE</t>
  </si>
  <si>
    <t>Pct Ownership Required for Special Meeting</t>
  </si>
  <si>
    <t>PCT_OWNERSHIP_REQ_SPECIAL_MTG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</si>
</sst>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%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7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2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72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72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72" fontId="8" fillId="35" borderId="2">
      <alignment horizontal="right"/>
    </xf>
    <xf numFmtId="4" fontId="8" fillId="35" borderId="2">
      <alignment horizontal="right"/>
    </xf>
    <xf numFmtId="3" fontId="11" fillId="34" borderId="2">
      <alignment horizontal="right"/>
    </xf>
    <xf numFmtId="172" fontId="11" fillId="34" borderId="2">
      <alignment horizontal="right"/>
    </xf>
    <xf numFmtId="4" fontId="11" fillId="34" borderId="2">
      <alignment horizontal="right"/>
    </xf>
    <xf numFmtId="3" fontId="11" fillId="35" borderId="2">
      <alignment horizontal="right"/>
    </xf>
    <xf numFmtId="172" fontId="11" fillId="35" borderId="2">
      <alignment horizontal="right"/>
    </xf>
    <xf numFmtId="4" fontId="11" fillId="35" borderId="2">
      <alignment horizontal="right"/>
    </xf>
    <xf numFmtId="0" fontId="7" fillId="33" borderId="16">
      <alignment horizontal="centerContinuous"/>
    </xf>
    <xf numFmtId="0" fontId="7" fillId="33" borderId="17">
      <alignment horizontal="centerContinuous"/>
    </xf>
    <xf numFmtId="172" fontId="1" fillId="34" borderId="18">
      <alignment horizontal="right"/>
    </xf>
    <xf numFmtId="173" fontId="1" fillId="34" borderId="19">
      <alignment horizontal="right"/>
    </xf>
    <xf numFmtId="172" fontId="8" fillId="34" borderId="18">
      <alignment horizontal="right"/>
    </xf>
    <xf numFmtId="173" fontId="8" fillId="34" borderId="19">
      <alignment horizontal="right"/>
    </xf>
  </cellStyleXfs>
  <cellXfs count="36">
    <xf numFmtId="0" fontId="0" fillId="0" borderId="0" xfId="0"/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6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3" fontId="1" fillId="34" borderId="2" xfId="53">
      <alignment horizontal="right"/>
    </xf>
    <xf numFmtId="172" fontId="1" fillId="34" borderId="2" xfId="54">
      <alignment horizontal="right"/>
    </xf>
    <xf numFmtId="4" fontId="1" fillId="34" borderId="2" xfId="55">
      <alignment horizontal="right"/>
    </xf>
    <xf numFmtId="3" fontId="1" fillId="35" borderId="2" xfId="56">
      <alignment horizontal="right"/>
    </xf>
    <xf numFmtId="172" fontId="1" fillId="35" borderId="2" xfId="57">
      <alignment horizontal="right"/>
    </xf>
    <xf numFmtId="4" fontId="1" fillId="35" borderId="2" xfId="58">
      <alignment horizontal="right"/>
    </xf>
    <xf numFmtId="3" fontId="8" fillId="34" borderId="2" xfId="59">
      <alignment horizontal="right"/>
    </xf>
    <xf numFmtId="172" fontId="8" fillId="34" borderId="2" xfId="60">
      <alignment horizontal="right"/>
    </xf>
    <xf numFmtId="4" fontId="8" fillId="34" borderId="2" xfId="61">
      <alignment horizontal="right"/>
    </xf>
    <xf numFmtId="3" fontId="8" fillId="35" borderId="2" xfId="62">
      <alignment horizontal="right"/>
    </xf>
    <xf numFmtId="172" fontId="8" fillId="35" borderId="2" xfId="63">
      <alignment horizontal="right"/>
    </xf>
    <xf numFmtId="4" fontId="8" fillId="35" borderId="2" xfId="64">
      <alignment horizontal="right"/>
    </xf>
    <xf numFmtId="3" fontId="11" fillId="34" borderId="2" xfId="65">
      <alignment horizontal="right"/>
    </xf>
    <xf numFmtId="172" fontId="11" fillId="34" borderId="2" xfId="66">
      <alignment horizontal="right"/>
    </xf>
    <xf numFmtId="4" fontId="11" fillId="34" borderId="2" xfId="67">
      <alignment horizontal="right"/>
    </xf>
    <xf numFmtId="3" fontId="11" fillId="35" borderId="2" xfId="68">
      <alignment horizontal="right"/>
    </xf>
    <xf numFmtId="172" fontId="11" fillId="35" borderId="2" xfId="69">
      <alignment horizontal="right"/>
    </xf>
    <xf numFmtId="4" fontId="11" fillId="35" borderId="2" xfId="70">
      <alignment horizontal="right"/>
    </xf>
    <xf numFmtId="0" fontId="7" fillId="33" borderId="16" xfId="71">
      <alignment horizontal="centerContinuous"/>
    </xf>
    <xf numFmtId="0" fontId="7" fillId="33" borderId="17" xfId="72">
      <alignment horizontal="centerContinuous"/>
    </xf>
    <xf numFmtId="172" fontId="1" fillId="34" borderId="18" xfId="73">
      <alignment horizontal="right"/>
    </xf>
    <xf numFmtId="173" fontId="1" fillId="34" borderId="19" xfId="74">
      <alignment horizontal="right"/>
    </xf>
    <xf numFmtId="172" fontId="8" fillId="34" borderId="18" xfId="75">
      <alignment horizontal="right"/>
    </xf>
    <xf numFmtId="173" fontId="8" fillId="34" borderId="19" xfId="76">
      <alignment horizontal="right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centered" xfId="72" xr:uid="{00000000-0005-0000-0000-00001F000000}"/>
    <cellStyle name="fa_column_header_bottom_left" xfId="52" xr:uid="{00000000-0005-0000-0000-000020000000}"/>
    <cellStyle name="fa_column_header_empty" xfId="31" xr:uid="{00000000-0005-0000-0000-000021000000}"/>
    <cellStyle name="fa_column_header_top" xfId="32" xr:uid="{00000000-0005-0000-0000-000022000000}"/>
    <cellStyle name="fa_column_header_top_centered" xfId="71" xr:uid="{00000000-0005-0000-0000-000023000000}"/>
    <cellStyle name="fa_column_header_top_left" xfId="33" xr:uid="{00000000-0005-0000-0000-000024000000}"/>
    <cellStyle name="fa_data_bold_0_grouped" xfId="59" xr:uid="{00000000-0005-0000-0000-000025000000}"/>
    <cellStyle name="fa_data_bold_1_grouped" xfId="60" xr:uid="{00000000-0005-0000-0000-000026000000}"/>
    <cellStyle name="fa_data_bold_1_grouped_single_border" xfId="75" xr:uid="{00000000-0005-0000-0000-000027000000}"/>
    <cellStyle name="fa_data_bold_1_percent_single_border" xfId="76" xr:uid="{00000000-0005-0000-0000-000028000000}"/>
    <cellStyle name="fa_data_bold_2_grouped" xfId="61" xr:uid="{00000000-0005-0000-0000-000029000000}"/>
    <cellStyle name="fa_data_current_bold_0_grouped" xfId="62" xr:uid="{00000000-0005-0000-0000-00002A000000}"/>
    <cellStyle name="fa_data_current_bold_1_grouped" xfId="63" xr:uid="{00000000-0005-0000-0000-00002B000000}"/>
    <cellStyle name="fa_data_current_bold_2_grouped" xfId="64" xr:uid="{00000000-0005-0000-0000-00002C000000}"/>
    <cellStyle name="fa_data_current_italic_0_grouped" xfId="68" xr:uid="{00000000-0005-0000-0000-00002D000000}"/>
    <cellStyle name="fa_data_current_italic_1_grouped" xfId="69" xr:uid="{00000000-0005-0000-0000-00002E000000}"/>
    <cellStyle name="fa_data_current_italic_2_grouped" xfId="70" xr:uid="{00000000-0005-0000-0000-00002F000000}"/>
    <cellStyle name="fa_data_current_standard_0_grouped" xfId="56" xr:uid="{00000000-0005-0000-0000-000030000000}"/>
    <cellStyle name="fa_data_current_standard_1_grouped" xfId="57" xr:uid="{00000000-0005-0000-0000-000031000000}"/>
    <cellStyle name="fa_data_current_standard_2_grouped" xfId="58" xr:uid="{00000000-0005-0000-0000-000032000000}"/>
    <cellStyle name="fa_data_italic_0_grouped" xfId="65" xr:uid="{00000000-0005-0000-0000-000033000000}"/>
    <cellStyle name="fa_data_italic_1_grouped" xfId="66" xr:uid="{00000000-0005-0000-0000-000034000000}"/>
    <cellStyle name="fa_data_italic_2_grouped" xfId="67" xr:uid="{00000000-0005-0000-0000-000035000000}"/>
    <cellStyle name="fa_data_standard_0_grouped" xfId="53" xr:uid="{00000000-0005-0000-0000-000036000000}"/>
    <cellStyle name="fa_data_standard_1_grouped" xfId="54" xr:uid="{00000000-0005-0000-0000-000037000000}"/>
    <cellStyle name="fa_data_standard_1_grouped_single_border" xfId="73" xr:uid="{00000000-0005-0000-0000-000038000000}"/>
    <cellStyle name="fa_data_standard_1_percent_single_border" xfId="74" xr:uid="{00000000-0005-0000-0000-000039000000}"/>
    <cellStyle name="fa_data_standard_2_grouped" xfId="55" xr:uid="{00000000-0005-0000-0000-00003A000000}"/>
    <cellStyle name="fa_footer_italic" xfId="34" xr:uid="{00000000-0005-0000-0000-00003B000000}"/>
    <cellStyle name="fa_row_header_bold" xfId="35" xr:uid="{00000000-0005-0000-0000-00003C000000}"/>
    <cellStyle name="fa_row_header_italic" xfId="36" xr:uid="{00000000-0005-0000-0000-00003D000000}"/>
    <cellStyle name="fa_row_header_standard" xfId="37" xr:uid="{00000000-0005-0000-0000-00003E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BDH|14444408886946784446</stp>
        <tr r="P28" s="12"/>
      </tp>
      <tp t="e">
        <v>#N/A</v>
        <stp/>
        <stp>BDH|12129210775869004440</stp>
        <tr r="M35" s="10"/>
        <tr r="M27" s="11"/>
      </tp>
      <tp t="e">
        <v>#N/A</v>
        <stp/>
        <stp>BDH|14931808608682937494</stp>
        <tr r="J29" s="12"/>
      </tp>
      <tp t="e">
        <v>#N/A</v>
        <stp/>
        <stp>BDH|10547051391346253529</stp>
        <tr r="AA9" s="13"/>
      </tp>
      <tp t="e">
        <v>#N/A</v>
        <stp/>
        <stp>BDH|15715088139225785909</stp>
        <tr r="F49" s="12"/>
      </tp>
      <tp t="e">
        <v>#N/A</v>
        <stp/>
        <stp>BDH|14149742386659000829</stp>
        <tr r="J60" s="17"/>
      </tp>
      <tp t="e">
        <v>#N/A</v>
        <stp/>
        <stp>BDH|14890083880831020719</stp>
        <tr r="G37" s="34"/>
      </tp>
      <tp t="e">
        <v>#N/A</v>
        <stp/>
        <stp>BDH|13585655588523915400</stp>
        <tr r="I9" s="3"/>
        <tr r="G51" s="10"/>
        <tr r="G43" s="11"/>
        <tr r="G14" s="7"/>
      </tp>
      <tp t="e">
        <v>#N/A</v>
        <stp/>
        <stp>BDH|16339135351859958192</stp>
        <tr r="H62" s="18"/>
      </tp>
      <tp t="e">
        <v>#N/A</v>
        <stp/>
        <stp>BDH|16654474474806111951</stp>
        <tr r="J73" s="24"/>
      </tp>
      <tp t="e">
        <v>#N/A</v>
        <stp/>
        <stp>BDH|14715246992472484743</stp>
        <tr r="V9" s="17"/>
      </tp>
      <tp t="e">
        <v>#N/A</v>
        <stp/>
        <stp>BDH|12539731321228016569</stp>
        <tr r="L32" s="21"/>
      </tp>
      <tp t="e">
        <v>#N/A</v>
        <stp/>
        <stp>BDH|14473257220917347935</stp>
        <tr r="I6" s="6"/>
      </tp>
      <tp t="e">
        <v>#N/A</v>
        <stp/>
        <stp>BDH|12175447730997015847</stp>
        <tr r="AA48" s="17"/>
      </tp>
      <tp t="e">
        <v>#N/A</v>
        <stp/>
        <stp>BDH|13403038504088356112</stp>
        <tr r="I8" s="10"/>
      </tp>
      <tp t="e">
        <v>#N/A</v>
        <stp/>
        <stp>BDH|11098885675295925153</stp>
        <tr r="D20" s="12"/>
      </tp>
      <tp t="e">
        <v>#N/A</v>
        <stp/>
        <stp>BDH|15440007667879609045</stp>
        <tr r="N29" s="10"/>
        <tr r="P35" s="13"/>
      </tp>
      <tp t="e">
        <v>#N/A</v>
        <stp/>
        <stp>BDH|16404578364018674701</stp>
        <tr r="Z95" s="18"/>
      </tp>
      <tp t="e">
        <v>#N/A</v>
        <stp/>
        <stp>BDH|17207887762880854317</stp>
        <tr r="E27" s="21"/>
      </tp>
      <tp t="e">
        <v>#N/A</v>
        <stp/>
        <stp>BDH|11378952557223831489</stp>
        <tr r="L82" s="24"/>
      </tp>
      <tp t="e">
        <v>#N/A</v>
        <stp/>
        <stp>BDH|15387902834247334257</stp>
        <tr r="O41" s="18"/>
      </tp>
      <tp t="e">
        <v>#N/A</v>
        <stp/>
        <stp>BDH|10347135825269676027</stp>
        <tr r="H18" s="2"/>
        <tr r="H53" s="4"/>
        <tr r="H46" s="10"/>
        <tr r="H38" s="11"/>
        <tr r="J51" s="13"/>
      </tp>
      <tp t="e">
        <v>#N/A</v>
        <stp/>
        <stp>BDH|14208510457307264976</stp>
        <tr r="V44" s="22"/>
      </tp>
      <tp t="e">
        <v>#N/A</v>
        <stp/>
        <stp>BDH|17239737582563663146</stp>
        <tr r="N49" s="13"/>
      </tp>
      <tp t="e">
        <v>#N/A</v>
        <stp/>
        <stp>BDH|15592697825239852208</stp>
        <tr r="I10" s="4"/>
        <tr r="H6" s="16"/>
        <tr r="K6" s="3"/>
        <tr r="I6" s="11"/>
      </tp>
      <tp t="e">
        <v>#N/A</v>
        <stp/>
        <stp>BDH|13753256720871439879</stp>
        <tr r="Z49" s="21"/>
      </tp>
      <tp t="e">
        <v>#N/A</v>
        <stp/>
        <stp>BDH|17070231052408470244</stp>
        <tr r="I26" s="29"/>
      </tp>
      <tp t="e">
        <v>#N/A</v>
        <stp/>
        <stp>BDH|12200482073178178394</stp>
        <tr r="I17" s="20"/>
      </tp>
      <tp t="e">
        <v>#N/A</v>
        <stp/>
        <stp>BDH|13737488624276388996</stp>
        <tr r="Q48" s="17"/>
      </tp>
      <tp t="e">
        <v>#N/A</v>
        <stp/>
        <stp>BDH|13273012587412230375</stp>
        <tr r="Q59" s="21"/>
        <tr r="O55" s="11"/>
      </tp>
      <tp t="e">
        <v>#N/A</v>
        <stp/>
        <stp>BDH|14239347253388224062</stp>
        <tr r="X19" s="18"/>
      </tp>
      <tp t="e">
        <v>#N/A</v>
        <stp/>
        <stp>BDH|12693016693727386667</stp>
        <tr r="Q72" s="18"/>
      </tp>
      <tp t="e">
        <v>#N/A</v>
        <stp/>
        <stp>BDH|13528929495308691157</stp>
        <tr r="I24" s="9"/>
      </tp>
      <tp t="e">
        <v>#N/A</v>
        <stp/>
        <stp>BDH|18179252679417547093</stp>
        <tr r="U53" s="24"/>
      </tp>
      <tp t="e">
        <v>#N/A</v>
        <stp/>
        <stp>BDH|18180163040856574131</stp>
        <tr r="C18" s="10"/>
        <tr r="E16" s="13"/>
        <tr r="E27" s="13"/>
      </tp>
      <tp t="e">
        <v>#N/A</v>
        <stp/>
        <stp>BDH|14657084115467972837</stp>
        <tr r="AA12" s="17"/>
      </tp>
      <tp t="e">
        <v>#N/A</v>
        <stp/>
        <stp>BDH|11341809707082080151</stp>
        <tr r="P8" s="2"/>
      </tp>
      <tp t="e">
        <v>#N/A</v>
        <stp/>
        <stp>BDH|18336637645996498600</stp>
        <tr r="C57" s="18"/>
      </tp>
      <tp t="e">
        <v>#N/A</v>
        <stp/>
        <stp>BDH|15971035269861685846</stp>
        <tr r="I17" s="5"/>
        <tr r="I36" s="6"/>
      </tp>
      <tp t="e">
        <v>#N/A</v>
        <stp/>
        <stp>BDH|10546538030595620900</stp>
        <tr r="H45" s="34"/>
      </tp>
      <tp t="e">
        <v>#N/A</v>
        <stp/>
        <stp>BDH|15778729734332836995</stp>
        <tr r="C10" s="11"/>
      </tp>
      <tp t="e">
        <v>#N/A</v>
        <stp/>
        <stp>BDH|13514899103064953566</stp>
        <tr r="J50" s="12"/>
      </tp>
      <tp t="e">
        <v>#N/A</v>
        <stp/>
        <stp>BDH|11559526365951572977</stp>
        <tr r="Z81" s="17"/>
        <tr r="Z20" s="3"/>
        <tr r="X6" s="7"/>
      </tp>
      <tp t="e">
        <v>#N/A</v>
        <stp/>
        <stp>BDH|12186865627160344232</stp>
        <tr r="D33" s="10"/>
        <tr r="D25" s="11"/>
      </tp>
      <tp t="e">
        <v>#N/A</v>
        <stp/>
        <stp>BDH|14319540302618162348</stp>
        <tr r="K69" s="18"/>
      </tp>
      <tp t="e">
        <v>#N/A</v>
        <stp/>
        <stp>BDH|10889142105543034895</stp>
        <tr r="P54" s="12"/>
      </tp>
      <tp t="e">
        <v>#N/A</v>
        <stp/>
        <stp>BDH|13173361391034788717</stp>
        <tr r="H27" s="18"/>
      </tp>
      <tp t="e">
        <v>#N/A</v>
        <stp/>
        <stp>BDH|18299304131415379707</stp>
        <tr r="M12" s="22"/>
      </tp>
      <tp t="e">
        <v>#N/A</v>
        <stp/>
        <stp>BDH|12573175533779952388</stp>
        <tr r="S30" s="22"/>
      </tp>
      <tp t="e">
        <v>#N/A</v>
        <stp/>
        <stp>BDH|18323025086738487237</stp>
        <tr r="O15" s="18"/>
      </tp>
      <tp t="e">
        <v>#N/A</v>
        <stp/>
        <stp>BDH|10046098385182913052</stp>
        <tr r="Z10" s="18"/>
      </tp>
      <tp t="e">
        <v>#N/A</v>
        <stp/>
        <stp>BDH|11230508755763429830</stp>
        <tr r="K29" s="10"/>
        <tr r="M35" s="13"/>
      </tp>
      <tp t="e">
        <v>#N/A</v>
        <stp/>
        <stp>BDH|16711885061142983073</stp>
        <tr r="E25" s="13"/>
      </tp>
      <tp t="e">
        <v>#N/A</v>
        <stp/>
        <stp>BDH|11305999429250236016</stp>
        <tr r="J8" s="2"/>
      </tp>
      <tp t="e">
        <v>#N/A</v>
        <stp/>
        <stp>BDH|15377016480826436167</stp>
        <tr r="U9" s="30"/>
      </tp>
      <tp t="e">
        <v>#N/A</v>
        <stp/>
        <stp>BDH|17677830143751086064</stp>
        <tr r="T25" s="7"/>
      </tp>
      <tp t="e">
        <v>#N/A</v>
        <stp/>
        <stp>BDH|17655303847668321221</stp>
        <tr r="S12" s="11"/>
      </tp>
      <tp t="e">
        <v>#N/A</v>
        <stp/>
        <stp>BDH|10651892578312470730</stp>
        <tr r="N52" s="4"/>
        <tr r="P8" s="3"/>
        <tr r="N44" s="10"/>
        <tr r="N36" s="11"/>
        <tr r="P40" s="13"/>
      </tp>
      <tp t="e">
        <v>#N/A</v>
        <stp/>
        <stp>BDH|11233963772502406726</stp>
        <tr r="H21" s="11"/>
      </tp>
      <tp t="e">
        <v>#N/A</v>
        <stp/>
        <stp>BDH|11157171986940393236</stp>
        <tr r="R52" s="17"/>
        <tr r="R10" s="25"/>
      </tp>
      <tp t="e">
        <v>#N/A</v>
        <stp/>
        <stp>BDH|17257201501319468673</stp>
        <tr r="J13" s="20"/>
      </tp>
      <tp t="e">
        <v>#N/A</v>
        <stp/>
        <stp>BDH|13014475861752510933</stp>
        <tr r="S26" s="10"/>
        <tr r="U32" s="13"/>
      </tp>
      <tp t="e">
        <v>#N/A</v>
        <stp/>
        <stp>BDH|10904093791376523543</stp>
        <tr r="R7" s="28"/>
      </tp>
      <tp t="e">
        <v>#N/A</v>
        <stp/>
        <stp>BDH|11186903044647485114</stp>
        <tr r="V86" s="17"/>
      </tp>
      <tp t="e">
        <v>#N/A</v>
        <stp/>
        <stp>BDH|16085743895921948387</stp>
        <tr r="Q12" s="21"/>
      </tp>
      <tp t="e">
        <v>#N/A</v>
        <stp/>
        <stp>BDH|14946330249489692059</stp>
        <tr r="U18" s="25"/>
      </tp>
      <tp t="e">
        <v>#N/A</v>
        <stp/>
        <stp>BDH|13053299589650939399</stp>
        <tr r="I19" s="9"/>
      </tp>
      <tp t="e">
        <v>#N/A</v>
        <stp/>
        <stp>BDH|12969044399677532610</stp>
        <tr r="V44" s="21"/>
      </tp>
      <tp t="e">
        <v>#N/A</v>
        <stp/>
        <stp>BDH|16654981639286285059</stp>
        <tr r="P35" s="26"/>
      </tp>
      <tp t="e">
        <v>#N/A</v>
        <stp/>
        <stp>BDH|16599784319103583912</stp>
        <tr r="Z56" s="12"/>
      </tp>
      <tp t="e">
        <v>#N/A</v>
        <stp/>
        <stp>BDH|17302634910132522851</stp>
        <tr r="X67" s="24"/>
      </tp>
      <tp t="e">
        <v>#N/A</v>
        <stp/>
        <stp>BDH|10908339897557490793</stp>
        <tr r="Z90" s="12"/>
      </tp>
      <tp t="e">
        <v>#N/A</v>
        <stp/>
        <stp>BDH|14863755798696609633</stp>
        <tr r="X17" s="10"/>
      </tp>
      <tp t="e">
        <v>#N/A</v>
        <stp/>
        <stp>BDH|15807107755659874250</stp>
        <tr r="T54" s="18"/>
      </tp>
      <tp t="e">
        <v>#N/A</v>
        <stp/>
        <stp>BDH|14446480495094006791</stp>
        <tr r="C69" s="12"/>
      </tp>
      <tp t="e">
        <v>#N/A</v>
        <stp/>
        <stp>BDH|15590358260418090209</stp>
        <tr r="Z118" s="18"/>
      </tp>
      <tp t="e">
        <v>#N/A</v>
        <stp/>
        <stp>BDH|13383741519558876751</stp>
        <tr r="C51" s="6"/>
        <tr r="E6" s="8"/>
      </tp>
      <tp t="e">
        <v>#N/A</v>
        <stp/>
        <stp>BDH|10439084699103392056</stp>
        <tr r="M142" s="18"/>
      </tp>
      <tp t="e">
        <v>#N/A</v>
        <stp/>
        <stp>BDH|12194541466113078806</stp>
        <tr r="Y15" s="22"/>
      </tp>
      <tp t="e">
        <v>#N/A</v>
        <stp/>
        <stp>BDH|11376963887379002318</stp>
        <tr r="V18" s="6"/>
      </tp>
      <tp t="e">
        <v>#N/A</v>
        <stp/>
        <stp>BDH|13010616284936572136</stp>
        <tr r="G6" s="6"/>
      </tp>
      <tp t="e">
        <v>#N/A</v>
        <stp/>
        <stp>BDH|16612975352565685566</stp>
        <tr r="Z25" s="13"/>
      </tp>
      <tp t="e">
        <v>#N/A</v>
        <stp/>
        <stp>BDH|16735984950358521898</stp>
        <tr r="Z38" s="26"/>
      </tp>
      <tp t="e">
        <v>#N/A</v>
        <stp/>
        <stp>BDH|10053943557751173718</stp>
        <tr r="Z18" s="26"/>
      </tp>
      <tp t="e">
        <v>#N/A</v>
        <stp/>
        <stp>BDH|13084287413743948911</stp>
        <tr r="C34" s="12"/>
      </tp>
      <tp t="e">
        <v>#N/A</v>
        <stp/>
        <stp>BDH|15082600346548562506</stp>
        <tr r="H43" s="6"/>
      </tp>
      <tp t="e">
        <v>#N/A</v>
        <stp/>
        <stp>BDH|16326321521264259918</stp>
        <tr r="Y33" s="22"/>
      </tp>
      <tp t="e">
        <v>#N/A</v>
        <stp/>
        <stp>BDH|16308735366155471810</stp>
        <tr r="X19" s="11"/>
      </tp>
      <tp t="e">
        <v>#N/A</v>
        <stp/>
        <stp>BDH|17062124842050711840</stp>
        <tr r="J90" s="17"/>
      </tp>
      <tp t="e">
        <v>#N/A</v>
        <stp/>
        <stp>BDH|11421284876219813716</stp>
        <tr r="Y17" s="21"/>
      </tp>
      <tp t="e">
        <v>#N/A</v>
        <stp/>
        <stp>BDH|10475837520580242062</stp>
        <tr r="L7" s="11"/>
      </tp>
      <tp t="e">
        <v>#N/A</v>
        <stp/>
        <stp>BDH|14521204322139101754</stp>
        <tr r="R57" s="17"/>
      </tp>
      <tp t="e">
        <v>#N/A</v>
        <stp/>
        <stp>BDH|18369956431181417903</stp>
        <tr r="E72" s="18"/>
      </tp>
      <tp t="e">
        <v>#N/A</v>
        <stp/>
        <stp>BDH|10575990074591917521</stp>
        <tr r="G20" s="18"/>
      </tp>
      <tp t="e">
        <v>#N/A</v>
        <stp/>
        <stp>BDH|14149588598200157239</stp>
        <tr r="T24" s="18"/>
      </tp>
      <tp t="e">
        <v>#N/A</v>
        <stp/>
        <stp>BDH|17431128719829907451</stp>
        <tr r="W85" s="17"/>
      </tp>
      <tp t="e">
        <v>#N/A</v>
        <stp/>
        <stp>BDH|12695299593580925366</stp>
        <tr r="M30" s="24"/>
      </tp>
      <tp t="e">
        <v>#N/A</v>
        <stp/>
        <stp>BDH|11913996727735582518</stp>
        <tr r="X62" s="17"/>
      </tp>
      <tp t="e">
        <v>#N/A</v>
        <stp/>
        <stp>BDH|16238611370235369836</stp>
        <tr r="J33" s="5"/>
      </tp>
      <tp t="e">
        <v>#N/A</v>
        <stp/>
        <stp>BDH|10554565750172756873</stp>
        <tr r="C56" s="12"/>
      </tp>
      <tp t="e">
        <v>#N/A</v>
        <stp/>
        <stp>BDH|15405822706530359704</stp>
        <tr r="F55" s="18"/>
      </tp>
      <tp t="e">
        <v>#N/A</v>
        <stp/>
        <stp>BDH|17675133820518631607</stp>
        <tr r="V74" s="18"/>
      </tp>
      <tp t="e">
        <v>#N/A</v>
        <stp/>
        <stp>BDH|13194705137444659938</stp>
        <tr r="P20" s="2"/>
        <tr r="P18" s="4"/>
        <tr r="P58" s="10"/>
        <tr r="P50" s="11"/>
        <tr r="P19" s="7"/>
        <tr r="R65" s="13"/>
      </tp>
      <tp t="e">
        <v>#N/A</v>
        <stp/>
        <stp>BDH|10764951045552138555</stp>
        <tr r="M75" s="24"/>
      </tp>
      <tp t="e">
        <v>#N/A</v>
        <stp/>
        <stp>BDH|10085250088428891861</stp>
        <tr r="AA32" s="12"/>
      </tp>
      <tp t="e">
        <v>#N/A</v>
        <stp/>
        <stp>BDH|18207036742750999683</stp>
        <tr r="R22" s="12"/>
      </tp>
      <tp t="e">
        <v>#N/A</v>
        <stp/>
        <stp>BDH|12098573492746206256</stp>
        <tr r="R66" s="18"/>
      </tp>
      <tp t="e">
        <v>#N/A</v>
        <stp/>
        <stp>BDH|12688494079583329870</stp>
        <tr r="J38" s="22"/>
      </tp>
      <tp t="e">
        <v>#N/A</v>
        <stp/>
        <stp>BDH|16646969812491811583</stp>
        <tr r="X20" s="27"/>
      </tp>
      <tp t="e">
        <v>#N/A</v>
        <stp/>
        <stp>BDH|11320109922650329805</stp>
        <tr r="Z70" s="17"/>
      </tp>
      <tp t="e">
        <v>#N/A</v>
        <stp/>
        <stp>BDH|13011223287931406231</stp>
        <tr r="C48" s="13"/>
      </tp>
      <tp t="e">
        <v>#N/A</v>
        <stp/>
        <stp>BDH|11429601914579196535</stp>
        <tr r="W59" s="21"/>
        <tr r="U55" s="11"/>
      </tp>
      <tp t="e">
        <v>#N/A</v>
        <stp/>
        <stp>BDH|14374411386202687006</stp>
        <tr r="W26" s="34"/>
      </tp>
      <tp t="e">
        <v>#N/A</v>
        <stp/>
        <stp>BDH|11143173550639001648</stp>
        <tr r="O38" s="24"/>
      </tp>
      <tp t="e">
        <v>#N/A</v>
        <stp/>
        <stp>BDH|12705036345584420879</stp>
        <tr r="C22" s="17"/>
      </tp>
      <tp t="e">
        <v>#N/A</v>
        <stp/>
        <stp>BDH|17582932801571137543</stp>
        <tr r="F9" s="22"/>
      </tp>
      <tp t="e">
        <v>#N/A</v>
        <stp/>
        <stp>BDH|12581649081890064621</stp>
        <tr r="J31" s="26"/>
        <tr r="G14" s="9"/>
      </tp>
      <tp t="e">
        <v>#N/A</v>
        <stp/>
        <stp>BDH|14333946295467452949</stp>
        <tr r="W20" s="20"/>
      </tp>
      <tp t="e">
        <v>#N/A</v>
        <stp/>
        <stp>BDH|12716804396541780845</stp>
        <tr r="C61" s="12"/>
      </tp>
      <tp t="e">
        <v>#N/A</v>
        <stp/>
        <stp>BDH|16651869381548617455</stp>
        <tr r="N11" s="3"/>
        <tr r="L50" s="10"/>
        <tr r="L42" s="11"/>
        <tr r="L8" s="7"/>
      </tp>
      <tp t="e">
        <v>#N/A</v>
        <stp/>
        <stp>BDH|17584347096636165142</stp>
        <tr r="V25" s="2"/>
        <tr r="X60" s="21"/>
      </tp>
      <tp t="e">
        <v>#N/A</v>
        <stp/>
        <stp>BDH|10473380890632758298</stp>
        <tr r="R20" s="9"/>
      </tp>
      <tp t="e">
        <v>#N/A</v>
        <stp/>
        <stp>BDH|14266908633250556465</stp>
        <tr r="J26" s="29"/>
      </tp>
      <tp t="e">
        <v>#N/A</v>
        <stp/>
        <stp>BDH|13142579917009492477</stp>
        <tr r="M91" s="24"/>
      </tp>
      <tp t="e">
        <v>#N/A</v>
        <stp/>
        <stp>BDH|16883518292064901403</stp>
        <tr r="C43" s="24"/>
      </tp>
      <tp t="e">
        <v>#N/A</v>
        <stp/>
        <stp>BDH|13168519102808011404</stp>
        <tr r="S80" s="24"/>
      </tp>
      <tp t="e">
        <v>#N/A</v>
        <stp/>
        <stp>BDH|16148875505333669776</stp>
        <tr r="H75" s="12"/>
      </tp>
      <tp t="e">
        <v>#N/A</v>
        <stp/>
        <stp>BDH|10285466120118345459</stp>
        <tr r="U104" s="18"/>
      </tp>
      <tp t="e">
        <v>#N/A</v>
        <stp/>
        <stp>BDH|16444396048503536825</stp>
        <tr r="P14" s="10"/>
      </tp>
      <tp t="e">
        <v>#N/A</v>
        <stp/>
        <stp>BDH|15421858764924043577</stp>
        <tr r="W16" s="12"/>
      </tp>
      <tp t="e">
        <v>#N/A</v>
        <stp/>
        <stp>BDH|15111561260639058554</stp>
        <tr r="M12" s="18"/>
      </tp>
      <tp t="e">
        <v>#N/A</v>
        <stp/>
        <stp>BDH|11204971753720375776</stp>
        <tr r="W10" s="22"/>
      </tp>
      <tp t="e">
        <v>#N/A</v>
        <stp/>
        <stp>BDH|12374501713749220504</stp>
        <tr r="V20" s="12"/>
      </tp>
      <tp t="e">
        <v>#N/A</v>
        <stp/>
        <stp>BDH|16630121144000025926</stp>
        <tr r="G29" s="24"/>
      </tp>
      <tp t="e">
        <v>#N/A</v>
        <stp/>
        <stp>BDH|16234989486859974473</stp>
        <tr r="O134" s="18"/>
      </tp>
      <tp t="e">
        <v>#N/A</v>
        <stp/>
        <stp>BDH|16227832434214621315</stp>
        <tr r="V18" s="10"/>
        <tr r="X16" s="13"/>
        <tr r="X27" s="13"/>
      </tp>
      <tp t="e">
        <v>#N/A</v>
        <stp/>
        <stp>BDH|11339214184201690028</stp>
        <tr r="P13" s="25"/>
      </tp>
      <tp t="e">
        <v>#N/A</v>
        <stp/>
        <stp>BDH|10360201296618113964</stp>
        <tr r="J23" s="26"/>
      </tp>
      <tp t="e">
        <v>#N/A</v>
        <stp/>
        <stp>BDH|12320813065157688143</stp>
        <tr r="H63" s="10"/>
      </tp>
      <tp t="e">
        <v>#N/A</v>
        <stp/>
        <stp>BDH|10210692849659381146</stp>
        <tr r="M56" s="13"/>
      </tp>
      <tp t="e">
        <v>#N/A</v>
        <stp/>
        <stp>BDH|13586194946639860577</stp>
        <tr r="T28" s="26"/>
      </tp>
      <tp t="e">
        <v>#N/A</v>
        <stp/>
        <stp>BDH|14465758693266001677</stp>
        <tr r="F91" s="17"/>
        <tr r="F7" s="27"/>
      </tp>
      <tp t="e">
        <v>#N/A</v>
        <stp/>
        <stp>BDH|11922498596256165025</stp>
        <tr r="W40" s="22"/>
      </tp>
      <tp t="e">
        <v>#N/A</v>
        <stp/>
        <stp>BDH|17000779592263133013</stp>
        <tr r="Z85" s="17"/>
      </tp>
      <tp t="e">
        <v>#N/A</v>
        <stp/>
        <stp>BDH|16873167131569276789</stp>
        <tr r="AA18" s="13"/>
      </tp>
      <tp t="e">
        <v>#N/A</v>
        <stp/>
        <stp>BDH|17018416880682237368</stp>
        <tr r="S73" s="17"/>
      </tp>
      <tp t="e">
        <v>#N/A</v>
        <stp/>
        <stp>BDH|16949930505936900334</stp>
        <tr r="J21" s="22"/>
      </tp>
      <tp t="e">
        <v>#N/A</v>
        <stp/>
        <stp>BDH|16052863240498593862</stp>
        <tr r="L11" s="22"/>
      </tp>
      <tp t="e">
        <v>#N/A</v>
        <stp/>
        <stp>BDH|13578192347174756899</stp>
        <tr r="G37" s="10"/>
        <tr r="G29" s="11"/>
        <tr r="I41" s="13"/>
      </tp>
      <tp t="e">
        <v>#N/A</v>
        <stp/>
        <stp>BDH|14774188133105151983</stp>
        <tr r="I26" s="10"/>
        <tr r="K32" s="13"/>
      </tp>
      <tp t="e">
        <v>#N/A</v>
        <stp/>
        <stp>BDH|11705582623904902803</stp>
        <tr r="C50" s="21"/>
      </tp>
      <tp t="e">
        <v>#N/A</v>
        <stp/>
        <stp>BDH|17299786330689959063</stp>
        <tr r="M11" s="12"/>
      </tp>
      <tp t="e">
        <v>#N/A</v>
        <stp/>
        <stp>BDH|16608243928325878979</stp>
        <tr r="P15" s="29"/>
        <tr r="P38" s="29"/>
      </tp>
      <tp t="e">
        <v>#N/A</v>
        <stp/>
        <stp>BDH|15970768733633841810</stp>
        <tr r="Q83" s="17"/>
      </tp>
      <tp t="e">
        <v>#N/A</v>
        <stp/>
        <stp>BDH|12389540767233725824</stp>
        <tr r="U35" s="10"/>
        <tr r="U27" s="11"/>
      </tp>
      <tp t="e">
        <v>#N/A</v>
        <stp/>
        <stp>BDH|18076648610695212034</stp>
        <tr r="E41" s="21"/>
      </tp>
      <tp t="e">
        <v>#N/A</v>
        <stp/>
        <stp>BDH|17504918851996955798</stp>
        <tr r="M62" s="21"/>
      </tp>
      <tp t="e">
        <v>#N/A</v>
        <stp/>
        <stp>BDH|11078327021592004866</stp>
        <tr r="G41" s="22"/>
      </tp>
      <tp t="e">
        <v>#N/A</v>
        <stp/>
        <stp>BDH|15309657376359513707</stp>
        <tr r="J8" s="11"/>
      </tp>
      <tp t="e">
        <v>#N/A</v>
        <stp/>
        <stp>BDH|13887090307838239111</stp>
        <tr r="AA26" s="25"/>
        <tr r="AA12" s="27"/>
      </tp>
      <tp t="e">
        <v>#N/A</v>
        <stp/>
        <stp>BDH|12192906200218772938</stp>
        <tr r="M23" s="5"/>
        <tr r="M23" s="9"/>
      </tp>
      <tp t="e">
        <v>#N/A</v>
        <stp/>
        <stp>BDH|10170542630468836483</stp>
        <tr r="AA21" s="18"/>
      </tp>
      <tp t="e">
        <v>#N/A</v>
        <stp/>
        <stp>BDH|17898124297502888701</stp>
        <tr r="V13" s="18"/>
      </tp>
      <tp t="e">
        <v>#N/A</v>
        <stp/>
        <stp>BDH|10405654879549514280</stp>
        <tr r="U46" s="17"/>
      </tp>
      <tp t="e">
        <v>#N/A</v>
        <stp/>
        <stp>BDH|10531131990354267617</stp>
        <tr r="P42" s="10"/>
        <tr r="P34" s="11"/>
      </tp>
      <tp t="e">
        <v>#N/A</v>
        <stp/>
        <stp>BDH|14132413212462214955</stp>
        <tr r="O73" s="12"/>
      </tp>
      <tp t="e">
        <v>#N/A</v>
        <stp/>
        <stp>BDH|14807390993573740706</stp>
        <tr r="I19" s="6"/>
      </tp>
      <tp t="e">
        <v>#N/A</v>
        <stp/>
        <stp>BDH|14825191957002576863</stp>
        <tr r="I22" s="7"/>
      </tp>
      <tp t="e">
        <v>#N/A</v>
        <stp/>
        <stp>BDH|16693269198856996146</stp>
        <tr r="F90" s="24"/>
      </tp>
      <tp t="e">
        <v>#N/A</v>
        <stp/>
        <stp>BDH|12699024546378402438</stp>
        <tr r="I29" s="18"/>
      </tp>
      <tp t="e">
        <v>#N/A</v>
        <stp/>
        <stp>BDH|15593460364685499860</stp>
        <tr r="C10" s="4"/>
        <tr r="E6" s="3"/>
        <tr r="C6" s="11"/>
      </tp>
      <tp t="e">
        <v>#N/A</v>
        <stp/>
        <stp>BDH|10448412522709360512</stp>
        <tr r="H68" s="10"/>
      </tp>
      <tp t="e">
        <v>#N/A</v>
        <stp/>
        <stp>BDH|12912643327795692999</stp>
        <tr r="I26" s="13"/>
      </tp>
      <tp t="e">
        <v>#N/A</v>
        <stp/>
        <stp>BDH|14410828203347069108</stp>
        <tr r="K75" s="24"/>
      </tp>
      <tp t="e">
        <v>#N/A</v>
        <stp/>
        <stp>BDH|17867721839019051066</stp>
        <tr r="U48" s="18"/>
      </tp>
      <tp t="e">
        <v>#N/A</v>
        <stp/>
        <stp>BDH|17316627834340692868</stp>
        <tr r="D24" s="13"/>
      </tp>
      <tp t="e">
        <v>#N/A</v>
        <stp/>
        <stp>BDH|14621741786095982490</stp>
        <tr r="P60" s="11"/>
        <tr r="R19" s="23"/>
      </tp>
      <tp t="e">
        <v>#N/A</v>
        <stp/>
        <stp>BDH|10698307126163774832</stp>
        <tr r="R11" s="6"/>
      </tp>
      <tp t="e">
        <v>#N/A</v>
        <stp/>
        <stp>BDH|15072830156497499550</stp>
        <tr r="X8" s="34"/>
      </tp>
      <tp t="e">
        <v>#N/A</v>
        <stp/>
        <stp>BDH|13087110141128629422</stp>
        <tr r="W13" s="29"/>
        <tr r="W22" s="29"/>
        <tr r="W36" s="29"/>
      </tp>
      <tp t="e">
        <v>#N/A</v>
        <stp/>
        <stp>BDH|16060768864488260545</stp>
        <tr r="J6" s="15"/>
        <tr r="J12" s="2"/>
        <tr r="J11" s="4"/>
        <tr r="J6" s="10"/>
      </tp>
      <tp t="e">
        <v>#N/A</v>
        <stp/>
        <stp>BDH|15756531758258970719</stp>
        <tr r="L36" s="4"/>
      </tp>
      <tp t="e">
        <v>#N/A</v>
        <stp/>
        <stp>BDH|18439799976533973160</stp>
        <tr r="Q41" s="18"/>
      </tp>
      <tp t="e">
        <v>#N/A</v>
        <stp/>
        <stp>BDH|11659952720196708609</stp>
        <tr r="U49" s="6"/>
      </tp>
      <tp t="e">
        <v>#N/A</v>
        <stp/>
        <stp>BDH|14276918448251628290</stp>
        <tr r="E42" s="24"/>
      </tp>
      <tp t="e">
        <v>#N/A</v>
        <stp/>
        <stp>BDH|13779650014249036729</stp>
        <tr r="I82" s="18"/>
      </tp>
      <tp t="e">
        <v>#N/A</v>
        <stp/>
        <stp>BDH|15628014887592248568</stp>
        <tr r="E11" s="12"/>
      </tp>
      <tp t="e">
        <v>#N/A</v>
        <stp/>
        <stp>BDH|15762607947364799935</stp>
        <tr r="U49" s="4"/>
      </tp>
      <tp t="e">
        <v>#N/A</v>
        <stp/>
        <stp>BDH|16184486731259472285</stp>
        <tr r="S19" s="18"/>
      </tp>
      <tp t="e">
        <v>#N/A</v>
        <stp/>
        <stp>BDH|12202630795570422749</stp>
        <tr r="H35" s="10"/>
        <tr r="H27" s="11"/>
      </tp>
      <tp t="e">
        <v>#N/A</v>
        <stp/>
        <stp>BDH|13408834308762279399</stp>
        <tr r="X43" s="17"/>
      </tp>
      <tp t="e">
        <v>#N/A</v>
        <stp/>
        <stp>BDH|14926846779921260026</stp>
        <tr r="M12" s="6"/>
      </tp>
      <tp t="e">
        <v>#N/A</v>
        <stp/>
        <stp>BDH|11456985014807839447</stp>
        <tr r="W121" s="18"/>
      </tp>
      <tp t="e">
        <v>#N/A</v>
        <stp/>
        <stp>BDH|12920913303425804479</stp>
        <tr r="O86" s="17"/>
      </tp>
      <tp t="e">
        <v>#N/A</v>
        <stp/>
        <stp>BDH|16823171271303968935</stp>
        <tr r="T47" s="24"/>
      </tp>
      <tp t="e">
        <v>#N/A</v>
        <stp/>
        <stp>BDH|10031511403539715615</stp>
        <tr r="V39" s="6"/>
      </tp>
      <tp t="e">
        <v>#N/A</v>
        <stp/>
        <stp>BDH|17341614745437116827</stp>
        <tr r="J43" s="18"/>
      </tp>
      <tp t="e">
        <v>#N/A</v>
        <stp/>
        <stp>BDH|18198228172333779427</stp>
        <tr r="V50" s="21"/>
      </tp>
      <tp t="e">
        <v>#N/A</v>
        <stp/>
        <stp>BDH|12357028056468489570</stp>
        <tr r="C27" s="25"/>
        <tr r="C13" s="27"/>
      </tp>
      <tp t="e">
        <v>#N/A</v>
        <stp/>
        <stp>BDH|12483604790256187117</stp>
        <tr r="Q70" s="12"/>
      </tp>
      <tp t="e">
        <v>#N/A</v>
        <stp/>
        <stp>BDH|11939993475294674174</stp>
        <tr r="W26" s="21"/>
      </tp>
      <tp t="e">
        <v>#N/A</v>
        <stp/>
        <stp>BDH|10007443084387440104</stp>
        <tr r="S37" s="10"/>
        <tr r="S29" s="11"/>
        <tr r="U41" s="13"/>
      </tp>
      <tp t="e">
        <v>#N/A</v>
        <stp/>
        <stp>BDH|10064400446348211204</stp>
        <tr r="R35" s="12"/>
      </tp>
      <tp t="e">
        <v>#N/A</v>
        <stp/>
        <stp>BDH|15852791587177257700</stp>
        <tr r="U121" s="18"/>
      </tp>
      <tp t="e">
        <v>#N/A</v>
        <stp/>
        <stp>BDH|15740284509519102435</stp>
        <tr r="R45" s="17"/>
      </tp>
      <tp t="e">
        <v>#N/A</v>
        <stp/>
        <stp>BDH|16089525067478867798</stp>
        <tr r="F13" s="25"/>
      </tp>
      <tp t="e">
        <v>#N/A</v>
        <stp/>
        <stp>BDH|16132457112661201805</stp>
        <tr r="W90" s="18"/>
      </tp>
      <tp t="e">
        <v>#N/A</v>
        <stp/>
        <stp>BDH|14461730681777102636</stp>
        <tr r="J55" s="12"/>
      </tp>
      <tp t="e">
        <v>#N/A</v>
        <stp/>
        <stp>BDH|13262861623485538666</stp>
        <tr r="P22" s="12"/>
      </tp>
      <tp t="e">
        <v>#N/A</v>
        <stp/>
        <stp>BDH|12164136195442112223</stp>
        <tr r="N68" s="24"/>
      </tp>
      <tp t="e">
        <v>#N/A</v>
        <stp/>
        <stp>BDH|16778305892585636371</stp>
        <tr r="J100" s="18"/>
        <tr r="J9" s="20"/>
      </tp>
      <tp t="e">
        <v>#N/A</v>
        <stp/>
        <stp>BDH|10322223654168845591</stp>
        <tr r="W12" s="25"/>
      </tp>
      <tp t="e">
        <v>#N/A</v>
        <stp/>
        <stp>BDH|10724992209573148025</stp>
        <tr r="O26" s="10"/>
        <tr r="Q32" s="13"/>
      </tp>
      <tp t="e">
        <v>#N/A</v>
        <stp/>
        <stp>BDH|17166407914338005016</stp>
        <tr r="L18" s="26"/>
      </tp>
      <tp t="e">
        <v>#N/A</v>
        <stp/>
        <stp>BDH|16563731768115922830</stp>
        <tr r="Y9" s="3"/>
        <tr r="W51" s="10"/>
        <tr r="W43" s="11"/>
        <tr r="W14" s="7"/>
      </tp>
      <tp t="e">
        <v>#N/A</v>
        <stp/>
        <stp>BDH|10910842899513808882</stp>
        <tr r="X16" s="17"/>
        <tr r="X19" s="28"/>
      </tp>
      <tp t="e">
        <v>#N/A</v>
        <stp/>
        <stp>BDH|12272723391571655730</stp>
        <tr r="G40" s="18"/>
      </tp>
      <tp t="e">
        <v>#N/A</v>
        <stp/>
        <stp>BDH|17465531641085746968</stp>
        <tr r="Q140" s="18"/>
      </tp>
      <tp t="e">
        <v>#N/A</v>
        <stp/>
        <stp>BDH|13325864172811319734</stp>
        <tr r="K50" s="17"/>
      </tp>
      <tp t="e">
        <v>#N/A</v>
        <stp/>
        <stp>BDH|10624361836512449859</stp>
        <tr r="J8" s="13"/>
      </tp>
      <tp t="e">
        <v>#N/A</v>
        <stp/>
        <stp>BDH|13749861115818050832</stp>
        <tr r="Y17" s="12"/>
      </tp>
      <tp t="e">
        <v>#N/A</v>
        <stp/>
        <stp>BDH|12573799833518948415</stp>
        <tr r="O10" s="34"/>
      </tp>
      <tp t="e">
        <v>#N/A</v>
        <stp/>
        <stp>BDH|15845070940573909818</stp>
        <tr r="U128" s="18"/>
      </tp>
      <tp t="e">
        <v>#N/A</v>
        <stp/>
        <stp>BDH|12716736714817444934</stp>
        <tr r="Z35" s="22"/>
      </tp>
      <tp t="e">
        <v>#N/A</v>
        <stp/>
        <stp>BDH|12980877931252802103</stp>
        <tr r="F78" s="12"/>
      </tp>
      <tp t="e">
        <v>#N/A</v>
        <stp/>
        <stp>BDH|11987390182862488215</stp>
        <tr r="G82" s="12"/>
      </tp>
      <tp t="e">
        <v>#N/A</v>
        <stp/>
        <stp>BDH|17672817006092747718</stp>
        <tr r="K26" s="25"/>
        <tr r="K12" s="27"/>
      </tp>
      <tp t="e">
        <v>#N/A</v>
        <stp/>
        <stp>BDH|15044460480353736068</stp>
        <tr r="D76" s="24"/>
      </tp>
      <tp t="e">
        <v>#N/A</v>
        <stp/>
        <stp>BDH|13462493995363720787</stp>
        <tr r="Q55" s="24"/>
      </tp>
      <tp t="e">
        <v>#N/A</v>
        <stp/>
        <stp>BDH|14953181987063806497</stp>
        <tr r="J56" s="13"/>
      </tp>
      <tp t="e">
        <v>#N/A</v>
        <stp/>
        <stp>BDH|14254667590063413271</stp>
        <tr r="J13" s="24"/>
      </tp>
      <tp t="e">
        <v>#N/A</v>
        <stp/>
        <stp>BDH|11033913547271316721</stp>
        <tr r="Q119" s="18"/>
      </tp>
      <tp t="e">
        <v>#N/A</v>
        <stp/>
        <stp>BDH|15923032571110527891</stp>
        <tr r="N58" s="6"/>
      </tp>
      <tp t="e">
        <v>#N/A</v>
        <stp/>
        <stp>BDH|16788855636345761249</stp>
        <tr r="Q69" s="10"/>
      </tp>
      <tp t="e">
        <v>#N/A</v>
        <stp/>
        <stp>BDH|14453970952051003365</stp>
        <tr r="D25" s="12"/>
      </tp>
      <tp t="e">
        <v>#N/A</v>
        <stp/>
        <stp>BDH|15724979653934727730</stp>
        <tr r="AA33" s="17"/>
      </tp>
      <tp t="e">
        <v>#N/A</v>
        <stp/>
        <stp>BDH|10431311223308156303</stp>
        <tr r="I52" s="24"/>
      </tp>
      <tp t="e">
        <v>#N/A</v>
        <stp/>
        <stp>BDH|18170176141861480646</stp>
        <tr r="Z83" s="12"/>
      </tp>
      <tp t="e">
        <v>#N/A</v>
        <stp/>
        <stp>BDH|13406778237724019938</stp>
        <tr r="Y102" s="18"/>
      </tp>
      <tp t="e">
        <v>#N/A</v>
        <stp/>
        <stp>BDH|17556327567748478034</stp>
        <tr r="Q27" s="21"/>
      </tp>
      <tp t="e">
        <v>#N/A</v>
        <stp/>
        <stp>BDH|17245330227184544847</stp>
        <tr r="C18" s="6"/>
      </tp>
      <tp t="e">
        <v>#N/A</v>
        <stp/>
        <stp>BDH|15958062109686903984</stp>
        <tr r="I10" s="12"/>
      </tp>
      <tp t="e">
        <v>#N/A</v>
        <stp/>
        <stp>BDH|13141868126750798316</stp>
        <tr r="T128" s="18"/>
      </tp>
      <tp t="e">
        <v>#N/A</v>
        <stp/>
        <stp>BDH|13358585909864183844</stp>
        <tr r="C15" s="14"/>
      </tp>
      <tp t="e">
        <v>#N/A</v>
        <stp/>
        <stp>BDH|12366028023139284373</stp>
        <tr r="N74" s="17"/>
      </tp>
      <tp t="e">
        <v>#N/A</v>
        <stp/>
        <stp>BDH|16532940174156689451</stp>
        <tr r="G34" s="21"/>
      </tp>
      <tp t="e">
        <v>#N/A</v>
        <stp/>
        <stp>BDH|16233921567577055419</stp>
        <tr r="X15" s="29"/>
        <tr r="X38" s="29"/>
      </tp>
      <tp t="e">
        <v>#N/A</v>
        <stp/>
        <stp>BDH|10786751884327981298</stp>
        <tr r="Q15" s="18"/>
      </tp>
      <tp t="e">
        <v>#N/A</v>
        <stp/>
        <stp>BDH|17949947723071997710</stp>
        <tr r="M26" s="18"/>
      </tp>
      <tp t="e">
        <v>#N/A</v>
        <stp/>
        <stp>BDH|14009162350863448944</stp>
        <tr r="I42" s="10"/>
        <tr r="I34" s="11"/>
      </tp>
      <tp t="e">
        <v>#N/A</v>
        <stp/>
        <stp>BDH|18155754602273115618</stp>
        <tr r="E58" s="12"/>
      </tp>
      <tp t="e">
        <v>#N/A</v>
        <stp/>
        <stp>BDH|16023198441070965975</stp>
        <tr r="K12" s="20"/>
      </tp>
      <tp t="e">
        <v>#N/A</v>
        <stp/>
        <stp>BDH|13033149682248976896</stp>
        <tr r="AA76" s="18"/>
      </tp>
      <tp t="e">
        <v>#N/A</v>
        <stp/>
        <stp>BDH|10158542532819942583</stp>
        <tr r="X78" s="18"/>
      </tp>
      <tp t="e">
        <v>#N/A</v>
        <stp/>
        <stp>BDH|17437675391932403007</stp>
        <tr r="I46" s="34"/>
      </tp>
      <tp t="e">
        <v>#N/A</v>
        <stp/>
        <stp>BDH|15534101494892460533</stp>
        <tr r="L70" s="18"/>
      </tp>
      <tp t="e">
        <v>#N/A</v>
        <stp/>
        <stp>BDH|12318437895220332508</stp>
        <tr r="J43" s="21"/>
      </tp>
      <tp t="e">
        <v>#N/A</v>
        <stp/>
        <stp>BDH|14502188011148219684</stp>
        <tr r="V28" s="25"/>
        <tr r="V14" s="27"/>
      </tp>
      <tp t="e">
        <v>#N/A</v>
        <stp/>
        <stp>BDH|10732289692627951625</stp>
        <tr r="V10" s="26"/>
      </tp>
      <tp t="e">
        <v>#N/A</v>
        <stp/>
        <stp>BDH|12448851005586597675</stp>
        <tr r="C123" s="18"/>
      </tp>
      <tp t="e">
        <v>#N/A</v>
        <stp/>
        <stp>BDH|10228904019822845059</stp>
        <tr r="K9" s="13"/>
      </tp>
      <tp t="e">
        <v>#N/A</v>
        <stp/>
        <stp>BDH|12396758215708121647</stp>
        <tr r="M55" s="17"/>
      </tp>
      <tp t="e">
        <v>#N/A</v>
        <stp/>
        <stp>BDH|11924436451263830956</stp>
        <tr r="D63" s="10"/>
      </tp>
      <tp t="e">
        <v>#N/A</v>
        <stp/>
        <stp>BDH|15946879209736694170</stp>
        <tr r="Y27" s="7"/>
      </tp>
      <tp t="e">
        <v>#N/A</v>
        <stp/>
        <stp>BDH|15152877765431373063</stp>
        <tr r="N40" s="21"/>
      </tp>
      <tp t="e">
        <v>#N/A</v>
        <stp/>
        <stp>BDH|10296736231929231747</stp>
        <tr r="F16" s="26"/>
      </tp>
      <tp t="e">
        <v>#N/A</v>
        <stp/>
        <stp>BDH|17643764777569463451</stp>
        <tr r="C43" s="17"/>
      </tp>
      <tp t="e">
        <v>#N/A</v>
        <stp/>
        <stp>BDH|11366950626000538034</stp>
        <tr r="G30" s="10"/>
        <tr r="I36" s="13"/>
      </tp>
      <tp t="e">
        <v>#N/A</v>
        <stp/>
        <stp>BDH|15256970861067435761</stp>
        <tr r="H92" s="18"/>
      </tp>
      <tp t="e">
        <v>#N/A</v>
        <stp/>
        <stp>BDH|13853251782620152380</stp>
        <tr r="E89" s="24"/>
      </tp>
      <tp t="e">
        <v>#N/A</v>
        <stp/>
        <stp>BDH|14231016175611501854</stp>
        <tr r="M51" s="18"/>
      </tp>
      <tp t="e">
        <v>#N/A</v>
        <stp/>
        <stp>BDH|11495508346723746935</stp>
        <tr r="Z25" s="21"/>
      </tp>
      <tp t="e">
        <v>#N/A</v>
        <stp/>
        <stp>BDH|17440443861068061777</stp>
        <tr r="G55" s="17"/>
      </tp>
      <tp t="e">
        <v>#N/A</v>
        <stp/>
        <stp>BDH|17585460855168495446</stp>
        <tr r="I8" s="2"/>
      </tp>
      <tp t="e">
        <v>#N/A</v>
        <stp/>
        <stp>BDH|15902851594467619982</stp>
        <tr r="C29" s="6"/>
      </tp>
      <tp t="e">
        <v>#N/A</v>
        <stp/>
        <stp>BDH|17154847276050318265</stp>
        <tr r="L99" s="18"/>
        <tr r="L8" s="20"/>
      </tp>
      <tp t="e">
        <v>#N/A</v>
        <stp/>
        <stp>BDH|12556481354220733983</stp>
        <tr r="L43" s="18"/>
      </tp>
      <tp t="e">
        <v>#N/A</v>
        <stp/>
        <stp>BDH|15865175218876985986</stp>
        <tr r="I48" s="22"/>
      </tp>
      <tp t="e">
        <v>#N/A</v>
        <stp/>
        <stp>BDH|16422706621060407971</stp>
        <tr r="N108" s="18"/>
      </tp>
      <tp t="e">
        <v>#N/A</v>
        <stp/>
        <stp>BDH|10677814738919867819</stp>
        <tr r="K54" s="21"/>
      </tp>
      <tp t="e">
        <v>#N/A</v>
        <stp/>
        <stp>BDH|12146047734559055276</stp>
        <tr r="I9" s="13"/>
      </tp>
      <tp t="e">
        <v>#N/A</v>
        <stp/>
        <stp>BDH|12376003437368104332</stp>
        <tr r="O87" s="18"/>
      </tp>
      <tp t="e">
        <v>#N/A</v>
        <stp/>
        <stp>BDH|12124829568052430463</stp>
        <tr r="W123" s="18"/>
      </tp>
      <tp t="e">
        <v>#N/A</v>
        <stp/>
        <stp>BDH|17976080789043754669</stp>
        <tr r="J15" s="5"/>
      </tp>
      <tp t="e">
        <v>#N/A</v>
        <stp/>
        <stp>BDH|17141635179478762459</stp>
        <tr r="S30" s="24"/>
      </tp>
      <tp t="e">
        <v>#N/A</v>
        <stp/>
        <stp>BDH|16551394047352483960</stp>
        <tr r="T43" s="4"/>
      </tp>
      <tp t="e">
        <v>#N/A</v>
        <stp/>
        <stp>BDH|15542496282443744008</stp>
        <tr r="H14" s="23"/>
      </tp>
      <tp t="e">
        <v>#N/A</v>
        <stp/>
        <stp>BDH|14399349010188792492</stp>
        <tr r="H84" s="18"/>
      </tp>
      <tp t="e">
        <v>#N/A</v>
        <stp/>
        <stp>BDH|18244490762597489740</stp>
        <tr r="W25" s="34"/>
      </tp>
      <tp t="e">
        <v>#N/A</v>
        <stp/>
        <stp>BDH|17065192888737031388</stp>
        <tr r="N61" s="24"/>
      </tp>
      <tp t="e">
        <v>#N/A</v>
        <stp/>
        <stp>BDH|17638123987252924638</stp>
        <tr r="E20" s="22"/>
      </tp>
      <tp t="e">
        <v>#N/A</v>
        <stp/>
        <stp>BDH|16803972033664538208</stp>
        <tr r="H13" s="5"/>
      </tp>
      <tp t="e">
        <v>#N/A</v>
        <stp/>
        <stp>BDH|13831889588380350923</stp>
        <tr r="S86" s="18"/>
      </tp>
      <tp t="e">
        <v>#N/A</v>
        <stp/>
        <stp>BDH|13416928955375866023</stp>
        <tr r="V91" s="17"/>
        <tr r="V7" s="27"/>
      </tp>
      <tp t="e">
        <v>#N/A</v>
        <stp/>
        <stp>BDH|10299824958463517447</stp>
        <tr r="U21" s="3"/>
      </tp>
      <tp t="e">
        <v>#N/A</v>
        <stp/>
        <stp>BDH|10477554816788905679</stp>
        <tr r="G48" s="6"/>
      </tp>
      <tp t="e">
        <v>#N/A</v>
        <stp/>
        <stp>BDH|11313162591582991143</stp>
        <tr r="M19" s="17"/>
      </tp>
      <tp t="e">
        <v>#N/A</v>
        <stp/>
        <stp>BDH|12360323614733928950</stp>
        <tr r="P9" s="34"/>
      </tp>
      <tp t="e">
        <v>#N/A</v>
        <stp/>
        <stp>BDH|11232575976819303099</stp>
        <tr r="R67" s="24"/>
      </tp>
      <tp t="e">
        <v>#N/A</v>
        <stp/>
        <stp>BDH|14034653385759036993</stp>
        <tr r="M20" s="20"/>
      </tp>
      <tp t="e">
        <v>#N/A</v>
        <stp/>
        <stp>BDH|17767287593622274476</stp>
        <tr r="G137" s="18"/>
      </tp>
      <tp t="e">
        <v>#N/A</v>
        <stp/>
        <stp>BDH|12979751991950584611</stp>
        <tr r="F14" s="10"/>
      </tp>
      <tp t="e">
        <v>#N/A</v>
        <stp/>
        <stp>BDH|15826643524573455857</stp>
        <tr r="T6" s="28"/>
      </tp>
      <tp t="e">
        <v>#N/A</v>
        <stp/>
        <stp>BDH|10902260144528301413</stp>
        <tr r="D67" s="17"/>
      </tp>
      <tp t="e">
        <v>#N/A</v>
        <stp/>
        <stp>BDH|14287583383430323338</stp>
        <tr r="P46" s="24"/>
      </tp>
      <tp t="e">
        <v>#N/A</v>
        <stp/>
        <stp>BDH|13851247288964421782</stp>
        <tr r="I74" s="24"/>
      </tp>
      <tp t="e">
        <v>#N/A</v>
        <stp/>
        <stp>BDH|18136361103479942858</stp>
        <tr r="Q21" s="9"/>
      </tp>
      <tp t="e">
        <v>#N/A</v>
        <stp/>
        <stp>BDH|10170795552771743959</stp>
        <tr r="I58" s="21"/>
        <tr r="I37" s="25"/>
        <tr r="G31" s="4"/>
        <tr r="G54" s="11"/>
      </tp>
      <tp t="e">
        <v>#N/A</v>
        <stp/>
        <stp>BDH|18098745773510830277</stp>
        <tr r="O19" s="9"/>
      </tp>
      <tp t="e">
        <v>#N/A</v>
        <stp/>
        <stp>BDH|11289399396329375869</stp>
        <tr r="P19" s="20"/>
      </tp>
      <tp t="e">
        <v>#N/A</v>
        <stp/>
        <stp>BDH|18089457010050509783</stp>
        <tr r="T114" s="18"/>
      </tp>
      <tp t="e">
        <v>#N/A</v>
        <stp/>
        <stp>BDH|10235798496232125647</stp>
        <tr r="G10" s="23"/>
      </tp>
      <tp t="e">
        <v>#N/A</v>
        <stp/>
        <stp>BDH|10323099512273411844</stp>
        <tr r="E78" s="18"/>
      </tp>
      <tp t="e">
        <v>#N/A</v>
        <stp/>
        <stp>BDH|15207884331336039237</stp>
        <tr r="C34" s="14"/>
      </tp>
      <tp t="e">
        <v>#N/A</v>
        <stp/>
        <stp>BDH|17155874017655968102</stp>
        <tr r="Z18" s="14"/>
      </tp>
      <tp t="e">
        <v>#N/A</v>
        <stp/>
        <stp>BDH|10216511039219153534</stp>
        <tr r="S20" s="26"/>
      </tp>
      <tp t="e">
        <v>#N/A</v>
        <stp/>
        <stp>BDH|10879807455154449316</stp>
        <tr r="I86" s="18"/>
      </tp>
      <tp t="e">
        <v>#N/A</v>
        <stp/>
        <stp>BDH|16854201487286135067</stp>
        <tr r="P28" s="18"/>
      </tp>
      <tp t="e">
        <v>#N/A</v>
        <stp/>
        <stp>BDH|11766166386683603194</stp>
        <tr r="E29" s="34"/>
      </tp>
      <tp t="e">
        <v>#N/A</v>
        <stp/>
        <stp>BDH|11329056944037326897</stp>
        <tr r="L66" s="17"/>
        <tr r="L18" s="3"/>
      </tp>
      <tp t="e">
        <v>#N/A</v>
        <stp/>
        <stp>BDH|17810706249548102683</stp>
        <tr r="J10" s="34"/>
      </tp>
      <tp t="e">
        <v>#N/A</v>
        <stp/>
        <stp>BDH|11978676515798324405</stp>
        <tr r="C21" s="30"/>
      </tp>
      <tp t="e">
        <v>#N/A</v>
        <stp/>
        <stp>BDH|13187018339499649370</stp>
        <tr r="I10" s="11"/>
      </tp>
      <tp t="e">
        <v>#N/A</v>
        <stp/>
        <stp>BDH|16122930349228374900</stp>
        <tr r="D22" s="11"/>
      </tp>
      <tp t="e">
        <v>#N/A</v>
        <stp/>
        <stp>BDH|11354230878256528852</stp>
        <tr r="S9" s="14"/>
      </tp>
      <tp t="e">
        <v>#N/A</v>
        <stp/>
        <stp>BDH|16978404549975858908</stp>
        <tr r="X25" s="9"/>
      </tp>
      <tp t="e">
        <v>#N/A</v>
        <stp/>
        <stp>BDH|13216981919659275897</stp>
        <tr r="K10" s="22"/>
      </tp>
      <tp t="e">
        <v>#N/A</v>
        <stp/>
        <stp>BDH|15581883204890962781</stp>
        <tr r="L125" s="18"/>
      </tp>
      <tp t="e">
        <v>#N/A</v>
        <stp/>
        <stp>BDH|10370956364411337492</stp>
        <tr r="N30" s="21"/>
      </tp>
      <tp t="e">
        <v>#N/A</v>
        <stp/>
        <stp>BDH|10706087353179267664</stp>
        <tr r="V17" s="17"/>
        <tr r="V20" s="28"/>
      </tp>
      <tp t="e">
        <v>#N/A</v>
        <stp/>
        <stp>BDH|10818207185315708521</stp>
        <tr r="T25" s="22"/>
      </tp>
      <tp t="e">
        <v>#N/A</v>
        <stp/>
        <stp>BDH|17467133751690914949</stp>
        <tr r="V87" s="12"/>
      </tp>
      <tp t="e">
        <v>#N/A</v>
        <stp/>
        <stp>BDH|10488833120709502997</stp>
        <tr r="D43" s="18"/>
      </tp>
      <tp t="e">
        <v>#N/A</v>
        <stp/>
        <stp>BDH|16115638975659405485</stp>
        <tr r="J23" s="22"/>
      </tp>
      <tp t="e">
        <v>#N/A</v>
        <stp/>
        <stp>BDH|11794775455130704997</stp>
        <tr r="O46" s="12"/>
      </tp>
      <tp t="e">
        <v>#N/A</v>
        <stp/>
        <stp>BDH|11262560039395798816</stp>
        <tr r="G59" s="21"/>
        <tr r="E55" s="11"/>
      </tp>
      <tp t="e">
        <v>#N/A</v>
        <stp/>
        <stp>BDH|12451534141768587187</stp>
        <tr r="W21" s="17"/>
        <tr r="W15" s="3"/>
      </tp>
      <tp t="e">
        <v>#N/A</v>
        <stp/>
        <stp>BDH|13670826815874220484</stp>
        <tr r="C41" s="17"/>
        <tr r="C9" s="25"/>
      </tp>
      <tp t="e">
        <v>#N/A</v>
        <stp/>
        <stp>BDH|13563266705808925344</stp>
        <tr r="N76" s="17"/>
        <tr r="N19" s="3"/>
      </tp>
      <tp t="e">
        <v>#N/A</v>
        <stp/>
        <stp>BDH|14480731399142267273</stp>
        <tr r="S8" s="21"/>
      </tp>
      <tp t="e">
        <v>#N/A</v>
        <stp/>
        <stp>BDH|10901602093756917389</stp>
        <tr r="E85" s="12"/>
      </tp>
      <tp t="e">
        <v>#N/A</v>
        <stp/>
        <stp>BDH|14957003584815400323</stp>
        <tr r="Z17" s="13"/>
      </tp>
      <tp t="e">
        <v>#N/A</v>
        <stp/>
        <stp>BDH|17897240651678324250</stp>
        <tr r="X32" s="12"/>
      </tp>
      <tp t="e">
        <v>#N/A</v>
        <stp/>
        <stp>BDH|11877073343226297953</stp>
        <tr r="I67" s="17"/>
        <tr r="F8" s="5"/>
        <tr r="F8" s="9"/>
      </tp>
      <tp t="e">
        <v>#N/A</v>
        <stp/>
        <stp>BDH|13152531029098273620</stp>
        <tr r="L34" s="26"/>
      </tp>
      <tp t="e">
        <v>#N/A</v>
        <stp/>
        <stp>BDH|13615609481934503392</stp>
        <tr r="S9" s="28"/>
      </tp>
      <tp t="e">
        <v>#N/A</v>
        <stp/>
        <stp>BDH|17320311698513224437</stp>
        <tr r="J10" s="10"/>
      </tp>
      <tp t="e">
        <v>#N/A</v>
        <stp/>
        <stp>BDH|13270973115347872632</stp>
        <tr r="K6" s="27"/>
      </tp>
      <tp t="e">
        <v>#N/A</v>
        <stp/>
        <stp>BDH|17216524303421058985</stp>
        <tr r="Y64" s="17"/>
      </tp>
      <tp t="e">
        <v>#N/A</v>
        <stp/>
        <stp>BDH|10481922979100538419</stp>
        <tr r="U81" s="18"/>
      </tp>
      <tp t="e">
        <v>#N/A</v>
        <stp/>
        <stp>BDH|17160529285021973149</stp>
        <tr r="K74" s="17"/>
      </tp>
      <tp t="e">
        <v>#N/A</v>
        <stp/>
        <stp>BDH|13315996119585827400</stp>
        <tr r="H65" s="12"/>
      </tp>
      <tp t="e">
        <v>#N/A</v>
        <stp/>
        <stp>BDH|17852819127551292670</stp>
        <tr r="Z21" s="22"/>
      </tp>
      <tp t="e">
        <v>#N/A</v>
        <stp/>
        <stp>BDH|15996105695413397441</stp>
        <tr r="O17" s="21"/>
      </tp>
      <tp t="e">
        <v>#N/A</v>
        <stp/>
        <stp>BDH|15172791795923385257</stp>
        <tr r="Y30" s="17"/>
      </tp>
      <tp t="e">
        <v>#N/A</v>
        <stp/>
        <stp>BDH|15257680083734362513</stp>
        <tr r="F23" s="6"/>
      </tp>
      <tp t="e">
        <v>#N/A</v>
        <stp/>
        <stp>BDH|10041782792402066613</stp>
        <tr r="L44" s="12"/>
      </tp>
      <tp t="e">
        <v>#N/A</v>
        <stp/>
        <stp>BDH|11996656286034912188</stp>
        <tr r="M26" s="12"/>
      </tp>
      <tp t="e">
        <v>#N/A</v>
        <stp/>
        <stp>BDH|16097752754477392990</stp>
        <tr r="F68" s="12"/>
      </tp>
      <tp t="e">
        <v>#N/A</v>
        <stp/>
        <stp>BDH|11586910861572889663</stp>
        <tr r="T20" s="25"/>
      </tp>
      <tp t="e">
        <v>#N/A</v>
        <stp/>
        <stp>BDH|18356680751216563747</stp>
        <tr r="H12" s="3"/>
        <tr r="F55" s="10"/>
        <tr r="F47" s="11"/>
        <tr r="F7" s="7"/>
      </tp>
      <tp t="e">
        <v>#N/A</v>
        <stp/>
        <stp>BDH|13874012327109751224</stp>
        <tr r="T44" s="12"/>
      </tp>
      <tp t="e">
        <v>#N/A</v>
        <stp/>
        <stp>BDH|11326261991082658292</stp>
        <tr r="J115" s="18"/>
      </tp>
      <tp t="e">
        <v>#N/A</v>
        <stp/>
        <stp>BDH|17568997760397131565</stp>
        <tr r="D80" s="18"/>
      </tp>
      <tp t="e">
        <v>#N/A</v>
        <stp/>
        <stp>BDH|14895274153768348155</stp>
        <tr r="P18" s="26"/>
      </tp>
      <tp t="e">
        <v>#N/A</v>
        <stp/>
        <stp>BDH|15179697101830749947</stp>
        <tr r="L11" s="3"/>
        <tr r="J50" s="10"/>
        <tr r="J42" s="11"/>
        <tr r="J8" s="7"/>
      </tp>
      <tp t="e">
        <v>#N/A</v>
        <stp/>
        <stp>BDH|11502812500002691181</stp>
        <tr r="H43" s="17"/>
      </tp>
      <tp t="e">
        <v>#N/A</v>
        <stp/>
        <stp>BDH|12808745797902279431</stp>
        <tr r="M75" s="17"/>
        <tr r="J9" s="5"/>
        <tr r="J9" s="9"/>
      </tp>
      <tp t="e">
        <v>#N/A</v>
        <stp/>
        <stp>BDH|12268305821959094099</stp>
        <tr r="X37" s="6"/>
      </tp>
      <tp t="e">
        <v>#N/A</v>
        <stp/>
        <stp>BDH|16071656074029818439</stp>
        <tr r="R18" s="26"/>
      </tp>
      <tp t="e">
        <v>#N/A</v>
        <stp/>
        <stp>BDH|16893212219467857823</stp>
        <tr r="V134" s="18"/>
      </tp>
      <tp t="e">
        <v>#N/A</v>
        <stp/>
        <stp>BDH|13388656633265971963</stp>
        <tr r="AA26" s="14"/>
      </tp>
      <tp t="e">
        <v>#N/A</v>
        <stp/>
        <stp>BDH|10129480180870548661</stp>
        <tr r="AA30" s="22"/>
      </tp>
      <tp t="e">
        <v>#N/A</v>
        <stp/>
        <stp>BDH|13690801915328919805</stp>
        <tr r="T62" s="12"/>
      </tp>
      <tp t="e">
        <v>#N/A</v>
        <stp/>
        <stp>BDH|17740898392098476425</stp>
        <tr r="M44" s="34"/>
      </tp>
      <tp t="e">
        <v>#N/A</v>
        <stp/>
        <stp>BDH|17992850809675749085</stp>
        <tr r="H61" s="12"/>
      </tp>
      <tp t="e">
        <v>#N/A</v>
        <stp/>
        <stp>BDH|12962980026555847659</stp>
        <tr r="R9" s="11"/>
      </tp>
      <tp t="e">
        <v>#N/A</v>
        <stp/>
        <stp>BDH|12676566896811885542</stp>
        <tr r="Q48" s="22"/>
      </tp>
      <tp t="e">
        <v>#N/A</v>
        <stp/>
        <stp>BDH|11353987520428131807</stp>
        <tr r="L21" s="17"/>
        <tr r="L15" s="3"/>
      </tp>
      <tp t="e">
        <v>#N/A</v>
        <stp/>
        <stp>BDH|12071397329369334092</stp>
        <tr r="AA127" s="18"/>
      </tp>
      <tp t="e">
        <v>#N/A</v>
        <stp/>
        <stp>BDH|17919190882513118794</stp>
        <tr r="X59" s="24"/>
      </tp>
      <tp t="e">
        <v>#N/A</v>
        <stp/>
        <stp>BDH|11400152268595301906</stp>
        <tr r="D34" s="21"/>
      </tp>
      <tp t="e">
        <v>#N/A</v>
        <stp/>
        <stp>BDH|11140853109265347640</stp>
        <tr r="N64" s="10"/>
      </tp>
      <tp t="e">
        <v>#N/A</v>
        <stp/>
        <stp>BDH|17907527380482400253</stp>
        <tr r="V64" s="17"/>
      </tp>
      <tp t="e">
        <v>#N/A</v>
        <stp/>
        <stp>BDH|12297892055897365272</stp>
        <tr r="R85" s="17"/>
      </tp>
      <tp t="e">
        <v>#N/A</v>
        <stp/>
        <stp>BDH|13816520854331578812</stp>
        <tr r="H127" s="18"/>
      </tp>
      <tp t="e">
        <v>#N/A</v>
        <stp/>
        <stp>BDH|12709391134281946990</stp>
        <tr r="N52" s="17"/>
        <tr r="N10" s="25"/>
      </tp>
      <tp t="e">
        <v>#N/A</v>
        <stp/>
        <stp>BDH|16293441545975925905</stp>
        <tr r="G126" s="18"/>
      </tp>
      <tp t="e">
        <v>#N/A</v>
        <stp/>
        <stp>BDH|12571887802682431210</stp>
        <tr r="D6" s="28"/>
      </tp>
      <tp t="e">
        <v>#N/A</v>
        <stp/>
        <stp>BDH|11819799438479396601</stp>
        <tr r="P9" s="11"/>
      </tp>
      <tp t="e">
        <v>#N/A</v>
        <stp/>
        <stp>BDH|13681399713508312351</stp>
        <tr r="R8" s="10"/>
      </tp>
      <tp t="e">
        <v>#N/A</v>
        <stp/>
        <stp>BDH|14259014325049568593</stp>
        <tr r="V14" s="12"/>
      </tp>
      <tp t="e">
        <v>#N/A</v>
        <stp/>
        <stp>BDH|18144313905633818274</stp>
        <tr r="C13" s="5"/>
      </tp>
      <tp t="e">
        <v>#N/A</v>
        <stp/>
        <stp>BDH|11305859383313033882</stp>
        <tr r="AA17" s="18"/>
      </tp>
      <tp t="e">
        <v>#N/A</v>
        <stp/>
        <stp>BDH|12690586093071964592</stp>
        <tr r="R84" s="17"/>
      </tp>
      <tp t="e">
        <v>#N/A</v>
        <stp/>
        <stp>BDH|14382394644159463070</stp>
        <tr r="T116" s="18"/>
      </tp>
      <tp t="e">
        <v>#N/A</v>
        <stp/>
        <stp>BDH|18048748392544326881</stp>
        <tr r="H11" s="13"/>
      </tp>
      <tp t="e">
        <v>#N/A</v>
        <stp/>
        <stp>BDH|15647657786082010388</stp>
        <tr r="J57" s="10"/>
        <tr r="J49" s="11"/>
        <tr r="J18" s="7"/>
        <tr r="L57" s="13"/>
      </tp>
      <tp t="e">
        <v>#N/A</v>
        <stp/>
        <stp>BDH|10628843369933363754</stp>
        <tr r="P44" s="12"/>
      </tp>
      <tp t="e">
        <v>#N/A</v>
        <stp/>
        <stp>BDH|14743516557917926953</stp>
        <tr r="P65" s="12"/>
      </tp>
      <tp t="e">
        <v>#N/A</v>
        <stp/>
        <stp>BDH|17323198504558772441</stp>
        <tr r="G25" s="17"/>
      </tp>
      <tp t="e">
        <v>#N/A</v>
        <stp/>
        <stp>BDH|17194384216949052628</stp>
        <tr r="I135" s="18"/>
      </tp>
      <tp t="e">
        <v>#N/A</v>
        <stp/>
        <stp>BDH|12046965708594741548</stp>
        <tr r="R19" s="24"/>
      </tp>
      <tp t="e">
        <v>#N/A</v>
        <stp/>
        <stp>BDH|10730479765069802102</stp>
        <tr r="C49" s="24"/>
      </tp>
      <tp t="e">
        <v>#N/A</v>
        <stp/>
        <stp>BDH|12322712926378043598</stp>
        <tr r="M11" s="9"/>
      </tp>
      <tp t="e">
        <v>#N/A</v>
        <stp/>
        <stp>BDH|17838085228076407919</stp>
        <tr r="Y22" s="7"/>
      </tp>
      <tp t="e">
        <v>#N/A</v>
        <stp/>
        <stp>BDH|14144690763246103879</stp>
        <tr r="Z33" s="12"/>
      </tp>
      <tp t="e">
        <v>#N/A</v>
        <stp/>
        <stp>BDH|14796626130279946217</stp>
        <tr r="I21" s="2"/>
      </tp>
      <tp t="e">
        <v>#N/A</v>
        <stp/>
        <stp>BDH|18206747944095883472</stp>
        <tr r="J27" s="22"/>
      </tp>
      <tp t="e">
        <v>#N/A</v>
        <stp/>
        <stp>BDH|12189786871168554006</stp>
        <tr r="Z89" s="17"/>
        <tr r="Z34" s="25"/>
      </tp>
      <tp t="e">
        <v>#N/A</v>
        <stp/>
        <stp>BDH|16239414552528401583</stp>
        <tr r="T44" s="13"/>
      </tp>
      <tp t="e">
        <v>#N/A</v>
        <stp/>
        <stp>BDH|11659782781190533474</stp>
        <tr r="K9" s="6"/>
      </tp>
      <tp t="e">
        <v>#N/A</v>
        <stp/>
        <stp>BDH|16731922369174414750</stp>
        <tr r="U35" s="25"/>
      </tp>
      <tp t="e">
        <v>#N/A</v>
        <stp/>
        <stp>BDH|12873047632509319203</stp>
        <tr r="S15" s="13"/>
      </tp>
      <tp t="e">
        <v>#N/A</v>
        <stp/>
        <stp>BDH|14667916817352401494</stp>
        <tr r="S17" s="21"/>
      </tp>
      <tp t="e">
        <v>#N/A</v>
        <stp/>
        <stp>BDH|13768403964732616986</stp>
        <tr r="P13" s="17"/>
        <tr r="P16" s="28"/>
      </tp>
      <tp t="e">
        <v>#N/A</v>
        <stp/>
        <stp>BDH|10721488248959211387</stp>
        <tr r="I45" s="34"/>
      </tp>
      <tp t="e">
        <v>#N/A</v>
        <stp/>
        <stp>BDH|16394938264644841716</stp>
        <tr r="M27" s="25"/>
        <tr r="M13" s="27"/>
      </tp>
      <tp t="e">
        <v>#N/A</v>
        <stp/>
        <stp>BDH|14243881062726329664</stp>
        <tr r="M83" s="17"/>
      </tp>
      <tp t="e">
        <v>#N/A</v>
        <stp/>
        <stp>BDH|16088787783595691607</stp>
        <tr r="E25" s="2"/>
        <tr r="G60" s="21"/>
      </tp>
      <tp t="e">
        <v>#N/A</v>
        <stp/>
        <stp>BDH|16442604543426253885</stp>
        <tr r="Z54" s="17"/>
      </tp>
      <tp t="e">
        <v>#N/A</v>
        <stp/>
        <stp>BDH|17546859953662716281</stp>
        <tr r="AA65" s="21"/>
      </tp>
      <tp t="e">
        <v>#N/A</v>
        <stp/>
        <stp>BDH|12631327847016982967</stp>
        <tr r="N14" s="10"/>
      </tp>
      <tp t="e">
        <v>#N/A</v>
        <stp/>
        <stp>BDH|13238502258529585036</stp>
        <tr r="M135" s="18"/>
      </tp>
      <tp t="e">
        <v>#N/A</v>
        <stp/>
        <stp>BDH|15316769413220880928</stp>
        <tr r="O32" s="22"/>
      </tp>
      <tp t="e">
        <v>#N/A</v>
        <stp/>
        <stp>BDH|17695285696146058041</stp>
        <tr r="T7" s="23"/>
      </tp>
      <tp t="e">
        <v>#N/A</v>
        <stp/>
        <stp>BDH|15701365867868960233</stp>
        <tr r="M25" s="22"/>
      </tp>
      <tp t="e">
        <v>#N/A</v>
        <stp/>
        <stp>BDH|12793833968126604064</stp>
        <tr r="U39" s="10"/>
        <tr r="U31" s="11"/>
      </tp>
      <tp t="e">
        <v>#N/A</v>
        <stp/>
        <stp>BDH|13722153998513625209</stp>
        <tr r="D40" s="12"/>
      </tp>
      <tp t="e">
        <v>#N/A</v>
        <stp/>
        <stp>BDH|17791146580111803571</stp>
        <tr r="J41" s="10"/>
        <tr r="J33" s="11"/>
      </tp>
      <tp t="e">
        <v>#N/A</v>
        <stp/>
        <stp>BDH|16144182682061617419</stp>
        <tr r="U13" s="29"/>
        <tr r="U22" s="29"/>
        <tr r="U36" s="29"/>
      </tp>
      <tp t="e">
        <v>#N/A</v>
        <stp/>
        <stp>BDH|10488833638658580968</stp>
        <tr r="S47" s="34"/>
      </tp>
      <tp t="e">
        <v>#N/A</v>
        <stp/>
        <stp>BDH|15715391815874410934</stp>
        <tr r="J39" s="12"/>
      </tp>
      <tp t="e">
        <v>#N/A</v>
        <stp/>
        <stp>BDH|15689279704224198987</stp>
        <tr r="W73" s="10"/>
        <tr r="W65" s="11"/>
      </tp>
      <tp t="e">
        <v>#N/A</v>
        <stp/>
        <stp>BDH|17348296310538338659</stp>
        <tr r="D59" s="17"/>
      </tp>
      <tp t="e">
        <v>#N/A</v>
        <stp/>
        <stp>BDH|11264855888912574961</stp>
        <tr r="H89" s="18"/>
      </tp>
      <tp t="e">
        <v>#N/A</v>
        <stp/>
        <stp>BDH|11002741018309475449</stp>
        <tr r="F59" s="11"/>
        <tr r="H15" s="23"/>
      </tp>
      <tp t="e">
        <v>#N/A</v>
        <stp/>
        <stp>BDH|15403896187939357656</stp>
        <tr r="S125" s="18"/>
      </tp>
      <tp t="e">
        <v>#N/A</v>
        <stp/>
        <stp>BDH|12373071798009340831</stp>
        <tr r="D44" s="22"/>
      </tp>
      <tp t="e">
        <v>#N/A</v>
        <stp/>
        <stp>BDH|17004000894557908316</stp>
        <tr r="Z25" s="26"/>
      </tp>
      <tp t="e">
        <v>#N/A</v>
        <stp/>
        <stp>BDH|12185208110823486893</stp>
        <tr r="P12" s="14"/>
      </tp>
      <tp t="e">
        <v>#N/A</v>
        <stp/>
        <stp>BDH|18292424589997571901</stp>
        <tr r="J104" s="18"/>
      </tp>
      <tp t="e">
        <v>#N/A</v>
        <stp/>
        <stp>BDH|11131816547661217690</stp>
        <tr r="O24" s="22"/>
      </tp>
      <tp t="e">
        <v>#N/A</v>
        <stp/>
        <stp>BDH|13665796604368220653</stp>
        <tr r="O65" s="12"/>
      </tp>
      <tp t="e">
        <v>#N/A</v>
        <stp/>
        <stp>BDH|16264430207609247186</stp>
        <tr r="G47" s="17"/>
      </tp>
      <tp t="e">
        <v>#N/A</v>
        <stp/>
        <stp>BDH|12163871924660947274</stp>
        <tr r="Z21" s="30"/>
      </tp>
      <tp t="e">
        <v>#N/A</v>
        <stp/>
        <stp>BDH|12478487008935810908</stp>
        <tr r="V58" s="12"/>
      </tp>
      <tp t="e">
        <v>#N/A</v>
        <stp/>
        <stp>BDH|13084540308838566456</stp>
        <tr r="W39" s="10"/>
        <tr r="W31" s="11"/>
      </tp>
      <tp t="e">
        <v>#N/A</v>
        <stp/>
        <stp>BDH|14572856589849074759</stp>
        <tr r="I55" s="17"/>
      </tp>
      <tp t="e">
        <v>#N/A</v>
        <stp/>
        <stp>BDH|11889365985273019378</stp>
        <tr r="C74" s="17"/>
      </tp>
      <tp t="e">
        <v>#N/A</v>
        <stp/>
        <stp>BDH|15657495683700487349</stp>
        <tr r="V15" s="18"/>
      </tp>
      <tp t="e">
        <v>#N/A</v>
        <stp/>
        <stp>BDH|11584782331508939799</stp>
        <tr r="I8" s="23"/>
      </tp>
      <tp t="e">
        <v>#N/A</v>
        <stp/>
        <stp>BDH|14231551944656893978</stp>
        <tr r="R52" s="12"/>
      </tp>
      <tp t="e">
        <v>#N/A</v>
        <stp/>
        <stp>BDH|10199938291693626991</stp>
        <tr r="Z78" s="18"/>
      </tp>
      <tp t="e">
        <v>#N/A</v>
        <stp/>
        <stp>BDH|13014976270584839335</stp>
        <tr r="S80" s="12"/>
      </tp>
      <tp t="e">
        <v>#N/A</v>
        <stp/>
        <stp>BDH|15587125685514742298</stp>
        <tr r="L29" s="24"/>
      </tp>
      <tp t="e">
        <v>#N/A</v>
        <stp/>
        <stp>BDH|11076248814679941166</stp>
        <tr r="U26" s="17"/>
      </tp>
      <tp t="e">
        <v>#N/A</v>
        <stp/>
        <stp>BDH|12184931302043872274</stp>
        <tr r="K32" s="17"/>
      </tp>
      <tp t="e">
        <v>#N/A</v>
        <stp/>
        <stp>BDH|13964019783429656826</stp>
        <tr r="E86" s="18"/>
      </tp>
      <tp t="e">
        <v>#N/A</v>
        <stp/>
        <stp>BDH|11715632313735096985</stp>
        <tr r="J30" s="22"/>
      </tp>
      <tp t="e">
        <v>#N/A</v>
        <stp/>
        <stp>BDH|11348065229770596960</stp>
        <tr r="Z47" s="17"/>
      </tp>
      <tp t="e">
        <v>#N/A</v>
        <stp/>
        <stp>BDH|14115538394995965709</stp>
        <tr r="U26" s="22"/>
      </tp>
      <tp t="e">
        <v>#N/A</v>
        <stp/>
        <stp>BDH|15443484481591012229</stp>
        <tr r="V72" s="10"/>
        <tr r="V64" s="11"/>
      </tp>
      <tp t="e">
        <v>#N/A</v>
        <stp/>
        <stp>BDH|14485372492606716290</stp>
        <tr r="F41" s="24"/>
      </tp>
      <tp t="e">
        <v>#N/A</v>
        <stp/>
        <stp>BDH|14931885079809779805</stp>
        <tr r="D76" s="18"/>
      </tp>
      <tp t="e">
        <v>#N/A</v>
        <stp/>
        <stp>BDH|10961373721769703271</stp>
        <tr r="D69" s="24"/>
      </tp>
      <tp t="e">
        <v>#N/A</v>
        <stp/>
        <stp>BDH|12370687145518043212</stp>
        <tr r="S29" s="24"/>
      </tp>
      <tp t="e">
        <v>#N/A</v>
        <stp/>
        <stp>BDH|10158040618282204905</stp>
        <tr r="R47" s="24"/>
      </tp>
      <tp t="e">
        <v>#N/A</v>
        <stp/>
        <stp>BDH|12644861513975441488</stp>
        <tr r="G13" s="6"/>
      </tp>
      <tp t="e">
        <v>#N/A</v>
        <stp/>
        <stp>BDH|11869846202603969080</stp>
        <tr r="S26" s="13"/>
      </tp>
      <tp t="e">
        <v>#N/A</v>
        <stp/>
        <stp>BDH|14270423480271774386</stp>
        <tr r="L36" s="22"/>
      </tp>
      <tp t="e">
        <v>#N/A</v>
        <stp/>
        <stp>BDH|12000976637623717187</stp>
        <tr r="M58" s="6"/>
      </tp>
      <tp t="e">
        <v>#N/A</v>
        <stp/>
        <stp>BDH|11193703991963772680</stp>
        <tr r="G129" s="18"/>
      </tp>
      <tp t="e">
        <v>#N/A</v>
        <stp/>
        <stp>BDH|16100732054666852815</stp>
        <tr r="K16" s="18"/>
      </tp>
      <tp t="e">
        <v>#N/A</v>
        <stp/>
        <stp>BDH|17574828118645337121</stp>
        <tr r="AA61" s="12"/>
      </tp>
      <tp t="e">
        <v>#N/A</v>
        <stp/>
        <stp>BDH|10092753489590534576</stp>
        <tr r="N35" s="4"/>
      </tp>
      <tp t="e">
        <v>#N/A</v>
        <stp/>
        <stp>BDH|12368269043099178791</stp>
        <tr r="E10" s="24"/>
      </tp>
      <tp t="e">
        <v>#N/A</v>
        <stp/>
        <stp>BDH|15959632007918119126</stp>
        <tr r="O15" s="22"/>
      </tp>
      <tp t="e">
        <v>#N/A</v>
        <stp/>
        <stp>BDH|10476845826922043287</stp>
        <tr r="R18" s="22"/>
      </tp>
      <tp t="e">
        <v>#N/A</v>
        <stp/>
        <stp>BDH|17392854077540605290</stp>
        <tr r="D84" s="17"/>
      </tp>
      <tp t="e">
        <v>#N/A</v>
        <stp/>
        <stp>BDH|10901854119513898037</stp>
        <tr r="Z24" s="13"/>
      </tp>
      <tp t="e">
        <v>#N/A</v>
        <stp/>
        <stp>BDH|11027944213567943409</stp>
        <tr r="I88" s="24"/>
      </tp>
      <tp t="e">
        <v>#N/A</v>
        <stp/>
        <stp>BDH|11161848079632645641</stp>
        <tr r="P11" s="21"/>
      </tp>
      <tp t="e">
        <v>#N/A</v>
        <stp/>
        <stp>BDH|17462308799252067537</stp>
        <tr r="Z64" s="13"/>
      </tp>
      <tp t="e">
        <v>#N/A</v>
        <stp/>
        <stp>BDH|11795793224508745636</stp>
        <tr r="C30" s="12"/>
      </tp>
      <tp t="e">
        <v>#N/A</v>
        <stp/>
        <stp>BDH|14368355222539320698</stp>
        <tr r="R82" s="24"/>
      </tp>
      <tp t="e">
        <v>#N/A</v>
        <stp/>
        <stp>BDH|16522693904793686902</stp>
        <tr r="Q59" s="17"/>
      </tp>
      <tp t="e">
        <v>#N/A</v>
        <stp/>
        <stp>BDH|18401860437800923926</stp>
        <tr r="Q16" s="10"/>
      </tp>
      <tp t="e">
        <v>#N/A</v>
        <stp/>
        <stp>BDH|10957954529290336183</stp>
        <tr r="K63" s="10"/>
      </tp>
      <tp t="e">
        <v>#N/A</v>
        <stp/>
        <stp>BDH|14910873942842590070</stp>
        <tr r="M42" s="24"/>
      </tp>
      <tp t="e">
        <v>#N/A</v>
        <stp/>
        <stp>BDH|15817732167489175732</stp>
        <tr r="E59" s="24"/>
      </tp>
      <tp t="e">
        <v>#N/A</v>
        <stp/>
        <stp>BDH|18030740852818892800</stp>
        <tr r="E46" s="13"/>
      </tp>
      <tp t="e">
        <v>#N/A</v>
        <stp/>
        <stp>BDH|13434921198110465947</stp>
        <tr r="Q27" s="17"/>
      </tp>
      <tp t="e">
        <v>#N/A</v>
        <stp/>
        <stp>BDH|16890714806838939384</stp>
        <tr r="O15" s="29"/>
        <tr r="O38" s="29"/>
      </tp>
      <tp t="e">
        <v>#N/A</v>
        <stp/>
        <stp>BDH|14258067843043838910</stp>
        <tr r="P10" s="22"/>
      </tp>
      <tp t="e">
        <v>#N/A</v>
        <stp/>
        <stp>BDH|18354807318319038253</stp>
        <tr r="R65" s="21"/>
      </tp>
      <tp t="e">
        <v>#N/A</v>
        <stp/>
        <stp>BDH|12175892454704656146</stp>
        <tr r="N71" s="18"/>
      </tp>
      <tp t="e">
        <v>#N/A</v>
        <stp/>
        <stp>BDH|11926919622143626329</stp>
        <tr r="K22" s="24"/>
      </tp>
      <tp t="e">
        <v>#N/A</v>
        <stp/>
        <stp>BDH|14878541384302474122</stp>
        <tr r="O26" s="22"/>
      </tp>
      <tp t="e">
        <v>#N/A</v>
        <stp/>
        <stp>BDH|10043243109421311902</stp>
        <tr r="L81" s="24"/>
      </tp>
      <tp t="e">
        <v>#N/A</v>
        <stp/>
        <stp>BDH|15394964761742837229</stp>
        <tr r="S22" s="18"/>
      </tp>
      <tp t="e">
        <v>#N/A</v>
        <stp/>
        <stp>BDH|10955839940733584514</stp>
        <tr r="R14" s="8"/>
      </tp>
      <tp t="e">
        <v>#N/A</v>
        <stp/>
        <stp>BDH|14694675407191823908</stp>
        <tr r="Z20" s="26"/>
      </tp>
      <tp t="e">
        <v>#N/A</v>
        <stp/>
        <stp>BDH|14820633996030547163</stp>
        <tr r="S18" s="17"/>
      </tp>
      <tp t="e">
        <v>#N/A</v>
        <stp/>
        <stp>BDH|17824142334196728915</stp>
        <tr r="T21" s="9"/>
      </tp>
      <tp t="e">
        <v>#N/A</v>
        <stp/>
        <stp>BDH|13308268401368984336</stp>
        <tr r="J39" s="25"/>
        <tr r="J7" s="3"/>
        <tr r="H18" s="11"/>
        <tr r="J22" s="13"/>
        <tr r="J7" s="13"/>
      </tp>
      <tp t="e">
        <v>#N/A</v>
        <stp/>
        <stp>BDH|10423231094462843356</stp>
        <tr r="V33" s="22"/>
      </tp>
      <tp t="e">
        <v>#N/A</v>
        <stp/>
        <stp>BDH|15138775697567643693</stp>
        <tr r="V139" s="18"/>
      </tp>
      <tp t="e">
        <v>#N/A</v>
        <stp/>
        <stp>BDH|10662386600409980098</stp>
        <tr r="Y84" s="18"/>
      </tp>
      <tp t="e">
        <v>#N/A</v>
        <stp/>
        <stp>BDH|13483131892276291669</stp>
        <tr r="U11" s="3"/>
        <tr r="S50" s="10"/>
        <tr r="S42" s="11"/>
        <tr r="S8" s="7"/>
      </tp>
      <tp t="e">
        <v>#N/A</v>
        <stp/>
        <stp>BDH|13536704924515092800</stp>
        <tr r="AA12" s="3"/>
        <tr r="Y55" s="10"/>
        <tr r="Y47" s="11"/>
        <tr r="Y7" s="7"/>
      </tp>
      <tp t="e">
        <v>#N/A</v>
        <stp/>
        <stp>BDH|11245327913918262007</stp>
        <tr r="J40" s="21"/>
      </tp>
      <tp t="e">
        <v>#N/A</v>
        <stp/>
        <stp>BDH|12440002653254570838</stp>
        <tr r="Q17" s="17"/>
        <tr r="Q20" s="28"/>
      </tp>
      <tp t="e">
        <v>#N/A</v>
        <stp/>
        <stp>BDH|11648958921511512063</stp>
        <tr r="Y24" s="18"/>
      </tp>
      <tp t="e">
        <v>#N/A</v>
        <stp/>
        <stp>BDH|16266300391903449461</stp>
        <tr r="F14" s="11"/>
      </tp>
      <tp t="e">
        <v>#N/A</v>
        <stp/>
        <stp>BDH|13573438397300447542</stp>
        <tr r="M7" s="21"/>
      </tp>
      <tp t="e">
        <v>#N/A</v>
        <stp/>
        <stp>BDH|14618729741615728936</stp>
        <tr r="V15" s="14"/>
      </tp>
      <tp t="e">
        <v>#N/A</v>
        <stp/>
        <stp>BDH|14570949733105657050</stp>
        <tr r="Z69" s="18"/>
      </tp>
      <tp t="e">
        <v>#N/A</v>
        <stp/>
        <stp>BDH|16889782991505663663</stp>
        <tr r="P68" s="12"/>
      </tp>
      <tp t="e">
        <v>#N/A</v>
        <stp/>
        <stp>BDH|12178262521108140169</stp>
        <tr r="N9" s="34"/>
      </tp>
      <tp t="e">
        <v>#N/A</v>
        <stp/>
        <stp>BDH|11424346407889406025</stp>
        <tr r="M17" s="24"/>
      </tp>
      <tp t="e">
        <v>#N/A</v>
        <stp/>
        <stp>BDH|14861077418226390853</stp>
        <tr r="U60" s="24"/>
      </tp>
      <tp t="e">
        <v>#N/A</v>
        <stp/>
        <stp>BDH|13327749441729024276</stp>
        <tr r="R29" s="12"/>
      </tp>
      <tp t="e">
        <v>#N/A</v>
        <stp/>
        <stp>BDH|13807159791713465390</stp>
        <tr r="O7" s="4"/>
      </tp>
      <tp t="e">
        <v>#N/A</v>
        <stp/>
        <stp>BDH|14502747111979776066</stp>
        <tr r="K61" s="18"/>
      </tp>
      <tp t="e">
        <v>#N/A</v>
        <stp/>
        <stp>BDH|13580042038053009886</stp>
        <tr r="U38" s="17"/>
      </tp>
      <tp t="e">
        <v>#N/A</v>
        <stp/>
        <stp>BDH|17854963959885019563</stp>
        <tr r="H22" s="11"/>
      </tp>
      <tp t="e">
        <v>#N/A</v>
        <stp/>
        <stp>BDH|11125905760433099606</stp>
        <tr r="R69" s="18"/>
      </tp>
      <tp t="e">
        <v>#N/A</v>
        <stp/>
        <stp>BDH|13057764598775891373</stp>
        <tr r="V18" s="12"/>
      </tp>
      <tp t="e">
        <v>#N/A</v>
        <stp/>
        <stp>BDH|18337302930900269302</stp>
        <tr r="F33" s="18"/>
      </tp>
      <tp t="e">
        <v>#N/A</v>
        <stp/>
        <stp>BDH|16209838745020222179</stp>
        <tr r="N11" s="12"/>
      </tp>
      <tp t="e">
        <v>#N/A</v>
        <stp/>
        <stp>BDH|13460062793205556450</stp>
        <tr r="S33" s="6"/>
      </tp>
      <tp t="e">
        <v>#N/A</v>
        <stp/>
        <stp>BDH|17823699801898150205</stp>
        <tr r="Y88" s="18"/>
      </tp>
      <tp t="e">
        <v>#N/A</v>
        <stp/>
        <stp>BDH|13713747007767258876</stp>
        <tr r="V11" s="14"/>
      </tp>
      <tp t="e">
        <v>#N/A</v>
        <stp/>
        <stp>BDH|11434722855351515971</stp>
        <tr r="K13" s="11"/>
      </tp>
      <tp t="e">
        <v>#N/A</v>
        <stp/>
        <stp>BDH|15482538007218335323</stp>
        <tr r="W54" s="17"/>
      </tp>
      <tp t="e">
        <v>#N/A</v>
        <stp/>
        <stp>BDH|12730852464437331047</stp>
        <tr r="N59" s="12"/>
      </tp>
      <tp t="e">
        <v>#N/A</v>
        <stp/>
        <stp>BDH|14197093609717891884</stp>
        <tr r="J32" s="14"/>
      </tp>
      <tp t="e">
        <v>#N/A</v>
        <stp/>
        <stp>BDH|13042568385326660349</stp>
        <tr r="M34" s="14"/>
      </tp>
      <tp t="e">
        <v>#N/A</v>
        <stp/>
        <stp>BDH|14718373908178802414</stp>
        <tr r="Z79" s="24"/>
      </tp>
      <tp t="e">
        <v>#N/A</v>
        <stp/>
        <stp>BDH|12524580967302803837</stp>
        <tr r="T57" s="6"/>
      </tp>
      <tp t="e">
        <v>#N/A</v>
        <stp/>
        <stp>BDH|11358319935912728811</stp>
        <tr r="G74" s="10"/>
        <tr r="G66" s="11"/>
      </tp>
      <tp t="e">
        <v>#N/A</v>
        <stp/>
        <stp>BDH|15553250231229635662</stp>
        <tr r="Q56" s="12"/>
      </tp>
      <tp t="e">
        <v>#N/A</v>
        <stp/>
        <stp>BDH|12721023480632527313</stp>
        <tr r="L49" s="17"/>
      </tp>
      <tp t="e">
        <v>#N/A</v>
        <stp/>
        <stp>BDH|12451427682572080759</stp>
        <tr r="Q46" s="34"/>
      </tp>
      <tp t="e">
        <v>#N/A</v>
        <stp/>
        <stp>BDH|10528387498653611227</stp>
        <tr r="V66" s="18"/>
      </tp>
      <tp t="e">
        <v>#N/A</v>
        <stp/>
        <stp>BDH|13693322993525638708</stp>
        <tr r="I9" s="12"/>
      </tp>
      <tp t="e">
        <v>#N/A</v>
        <stp/>
        <stp>BDH|13941742066408871120</stp>
        <tr r="I53" s="12"/>
      </tp>
      <tp t="e">
        <v>#N/A</v>
        <stp/>
        <stp>BDH|11572062413792942982</stp>
        <tr r="J33" s="12"/>
      </tp>
      <tp t="e">
        <v>#N/A</v>
        <stp/>
        <stp>BDH|18012800576218149463</stp>
        <tr r="Q30" s="5"/>
        <tr r="Q30" s="9"/>
      </tp>
      <tp t="e">
        <v>#N/A</v>
        <stp/>
        <stp>BDH|10823838936626911659</stp>
        <tr r="I8" s="17"/>
      </tp>
      <tp t="e">
        <v>#N/A</v>
        <stp/>
        <stp>BDH|15305563984951124203</stp>
        <tr r="D20" s="5"/>
      </tp>
      <tp t="e">
        <v>#N/A</v>
        <stp/>
        <stp>BDH|16982998831484968389</stp>
        <tr r="Q90" s="18"/>
      </tp>
      <tp t="e">
        <v>#N/A</v>
        <stp/>
        <stp>BDH|16552811305571082413</stp>
        <tr r="C46" s="21"/>
      </tp>
      <tp t="e">
        <v>#N/A</v>
        <stp/>
        <stp>BDH|12447842952880741450</stp>
        <tr r="G51" s="18"/>
      </tp>
      <tp t="e">
        <v>#N/A</v>
        <stp/>
        <stp>BDH|12619325802663396952</stp>
        <tr r="AA31" s="25"/>
        <tr r="X14" s="5"/>
        <tr r="AA17" s="27"/>
      </tp>
      <tp t="e">
        <v>#N/A</v>
        <stp/>
        <stp>BDH|18052424450072281000</stp>
        <tr r="E30" s="5"/>
        <tr r="E30" s="9"/>
      </tp>
      <tp t="e">
        <v>#N/A</v>
        <stp/>
        <stp>BDH|14293461390564739636</stp>
        <tr r="M11" s="24"/>
      </tp>
      <tp t="e">
        <v>#N/A</v>
        <stp/>
        <stp>BDH|16309451437659104308</stp>
        <tr r="I6" s="19"/>
        <tr r="I35" s="17"/>
        <tr r="I16" s="3"/>
      </tp>
      <tp t="e">
        <v>#N/A</v>
        <stp/>
        <stp>BDH|10329044640178319749</stp>
        <tr r="M41" s="21"/>
      </tp>
      <tp t="e">
        <v>#N/A</v>
        <stp/>
        <stp>BDH|13243218586817623538</stp>
        <tr r="D41" s="10"/>
        <tr r="D33" s="11"/>
      </tp>
      <tp t="e">
        <v>#N/A</v>
        <stp/>
        <stp>BDH|18340566652437739408</stp>
        <tr r="S24" s="29"/>
      </tp>
      <tp t="e">
        <v>#N/A</v>
        <stp/>
        <stp>BDH|16356970906923382719</stp>
        <tr r="S21" s="21"/>
      </tp>
      <tp t="e">
        <v>#N/A</v>
        <stp/>
        <stp>BDH|15264531581970047307</stp>
        <tr r="L21" s="9"/>
      </tp>
      <tp t="e">
        <v>#N/A</v>
        <stp/>
        <stp>BDH|11028680410008889509</stp>
        <tr r="F12" s="20"/>
      </tp>
      <tp t="e">
        <v>#N/A</v>
        <stp/>
        <stp>BDH|11110747459598500091</stp>
        <tr r="E53" s="6"/>
        <tr r="G10" s="8"/>
      </tp>
      <tp t="e">
        <v>#N/A</v>
        <stp/>
        <stp>BDH|15793138961469159042</stp>
        <tr r="W76" s="24"/>
      </tp>
      <tp t="e">
        <v>#N/A</v>
        <stp/>
        <stp>BDH|15906917346327940472</stp>
        <tr r="M45" s="13"/>
      </tp>
      <tp t="e">
        <v>#N/A</v>
        <stp/>
        <stp>BDH|18254920482915596777</stp>
        <tr r="F23" s="30"/>
        <tr r="F25" s="23"/>
      </tp>
      <tp t="e">
        <v>#N/A</v>
        <stp/>
        <stp>BDH|13071703800569531653</stp>
        <tr r="W28" s="17"/>
      </tp>
      <tp t="e">
        <v>#N/A</v>
        <stp/>
        <stp>BDH|16125349349888517293</stp>
        <tr r="I67" s="12"/>
      </tp>
      <tp t="e">
        <v>#N/A</v>
        <stp/>
        <stp>BDH|16625812437800208629</stp>
        <tr r="S14" s="11"/>
      </tp>
      <tp t="e">
        <v>#N/A</v>
        <stp/>
        <stp>BDH|14577756262378619642</stp>
        <tr r="C22" s="22"/>
      </tp>
      <tp t="e">
        <v>#N/A</v>
        <stp/>
        <stp>BDH|13978832758386437364</stp>
        <tr r="X14" s="2"/>
        <tr r="X11" s="10"/>
      </tp>
      <tp t="e">
        <v>#N/A</v>
        <stp/>
        <stp>BDH|14468827560309513833</stp>
        <tr r="L61" s="18"/>
      </tp>
      <tp t="e">
        <v>#N/A</v>
        <stp/>
        <stp>BDH|15135480448698070615</stp>
        <tr r="E52" s="24"/>
      </tp>
      <tp t="e">
        <v>#N/A</v>
        <stp/>
        <stp>BDH|17513212620984342878</stp>
        <tr r="S75" s="12"/>
      </tp>
      <tp t="e">
        <v>#N/A</v>
        <stp/>
        <stp>BDH|10173614356971055969</stp>
        <tr r="K26" s="26"/>
      </tp>
      <tp t="e">
        <v>#N/A</v>
        <stp/>
        <stp>BDH|12945838275994763286</stp>
        <tr r="F22" s="14"/>
      </tp>
      <tp t="e">
        <v>#N/A</v>
        <stp/>
        <stp>BDH|13657553691293234702</stp>
        <tr r="G20" s="14"/>
      </tp>
      <tp t="e">
        <v>#N/A</v>
        <stp/>
        <stp>BDH|16176752448547401985</stp>
        <tr r="P13" s="2"/>
      </tp>
      <tp t="e">
        <v>#N/A</v>
        <stp/>
        <stp>BDH|12113222090007105526</stp>
        <tr r="Y65" s="12"/>
      </tp>
      <tp t="e">
        <v>#N/A</v>
        <stp/>
        <stp>BDH|15517934037002805690</stp>
        <tr r="H32" s="25"/>
        <tr r="H18" s="27"/>
      </tp>
      <tp t="e">
        <v>#N/A</v>
        <stp/>
        <stp>BDH|13376842840163267756</stp>
        <tr r="N21" s="24"/>
      </tp>
      <tp t="e">
        <v>#N/A</v>
        <stp/>
        <stp>BDH|11291930423008686945</stp>
        <tr r="D39" s="34"/>
      </tp>
      <tp t="e">
        <v>#N/A</v>
        <stp/>
        <stp>BDH|10549718165738304210</stp>
        <tr r="Z24" s="18"/>
      </tp>
      <tp t="e">
        <v>#N/A</v>
        <stp/>
        <stp>BDH|17106388658892386813</stp>
        <tr r="F75" s="24"/>
      </tp>
      <tp t="e">
        <v>#N/A</v>
        <stp/>
        <stp>BDH|12126780197341493692</stp>
        <tr r="Q84" s="18"/>
      </tp>
      <tp t="e">
        <v>#N/A</v>
        <stp/>
        <stp>BDH|12514116932992519906</stp>
        <tr r="E42" s="6"/>
      </tp>
      <tp t="e">
        <v>#N/A</v>
        <stp/>
        <stp>BDH|15782721300108516130</stp>
        <tr r="U27" s="17"/>
      </tp>
      <tp t="e">
        <v>#N/A</v>
        <stp/>
        <stp>BDH|17502522010849156150</stp>
        <tr r="W12" s="24"/>
      </tp>
      <tp t="e">
        <v>#N/A</v>
        <stp/>
        <stp>BDH|15334513403872534974</stp>
        <tr r="R7" s="14"/>
      </tp>
      <tp t="e">
        <v>#N/A</v>
        <stp/>
        <stp>BDH|17284585264536508986</stp>
        <tr r="L90" s="18"/>
      </tp>
      <tp t="e">
        <v>#N/A</v>
        <stp/>
        <stp>BDH|10098740322318406614</stp>
        <tr r="H40" s="17"/>
      </tp>
      <tp t="e">
        <v>#N/A</v>
        <stp/>
        <stp>BDH|13890844462564932246</stp>
        <tr r="F7" s="17"/>
      </tp>
      <tp t="e">
        <v>#N/A</v>
        <stp/>
        <stp>BDH|16080325173648666140</stp>
        <tr r="G32" s="25"/>
        <tr r="G18" s="27"/>
      </tp>
      <tp t="e">
        <v>#N/A</v>
        <stp/>
        <stp>BDH|13239673620238659405</stp>
        <tr r="I13" s="17"/>
        <tr r="I16" s="28"/>
      </tp>
      <tp t="e">
        <v>#N/A</v>
        <stp/>
        <stp>BDH|10106478891883021540</stp>
        <tr r="V29" s="34"/>
      </tp>
      <tp t="e">
        <v>#N/A</v>
        <stp/>
        <stp>BDH|15290617131929918287</stp>
        <tr r="V17" s="10"/>
      </tp>
      <tp t="e">
        <v>#N/A</v>
        <stp/>
        <stp>BDH|16426855771023628154</stp>
        <tr r="C40" s="18"/>
      </tp>
      <tp t="e">
        <v>#N/A</v>
        <stp/>
        <stp>BDH|15243052834495547857</stp>
        <tr r="C34" s="34"/>
      </tp>
      <tp t="e">
        <v>#N/A</v>
        <stp/>
        <stp>BDH|18095209557573610725</stp>
        <tr r="X17" s="17"/>
        <tr r="X20" s="28"/>
      </tp>
      <tp t="e">
        <v>#N/A</v>
        <stp/>
        <stp>BDH|17445853828194262281</stp>
        <tr r="AA10" s="28"/>
      </tp>
      <tp t="e">
        <v>#N/A</v>
        <stp/>
        <stp>BDH|14637276445211219856</stp>
        <tr r="X13" s="25"/>
      </tp>
      <tp t="e">
        <v>#N/A</v>
        <stp/>
        <stp>BDH|16013285384574753384</stp>
        <tr r="E15" s="4"/>
      </tp>
      <tp t="e">
        <v>#N/A</v>
        <stp/>
        <stp>BDH|11411357580525017422</stp>
        <tr r="D46" s="34"/>
      </tp>
      <tp t="e">
        <v>#N/A</v>
        <stp/>
        <stp>BDH|12054078883063035279</stp>
        <tr r="C38" s="24"/>
      </tp>
      <tp t="e">
        <v>#N/A</v>
        <stp/>
        <stp>BDH|14720107062741170972</stp>
        <tr r="Y10" s="18"/>
      </tp>
      <tp t="e">
        <v>#N/A</v>
        <stp/>
        <stp>BDH|14804167485905104399</stp>
        <tr r="U24" s="13"/>
      </tp>
      <tp t="e">
        <v>#N/A</v>
        <stp/>
        <stp>BDH|11012334100521337834</stp>
        <tr r="AA27" s="22"/>
      </tp>
      <tp t="e">
        <v>#N/A</v>
        <stp/>
        <stp>BDH|14205904772949395803</stp>
        <tr r="F16" s="29"/>
        <tr r="F39" s="29"/>
      </tp>
      <tp t="e">
        <v>#N/A</v>
        <stp/>
        <stp>BDH|16778851025024077347</stp>
        <tr r="K40" s="17"/>
      </tp>
      <tp t="e">
        <v>#N/A</v>
        <stp/>
        <stp>BDH|16661990774090097389</stp>
        <tr r="F79" s="24"/>
      </tp>
      <tp t="e">
        <v>#N/A</v>
        <stp/>
        <stp>BDH|12412850833781063316</stp>
        <tr r="J9" s="22"/>
      </tp>
      <tp t="e">
        <v>#N/A</v>
        <stp/>
        <stp>BDH|18408636986318502573</stp>
        <tr r="H28" s="14"/>
      </tp>
      <tp t="e">
        <v>#N/A</v>
        <stp/>
        <stp>BDH|14491349734477698818</stp>
        <tr r="D65" s="12"/>
      </tp>
      <tp t="e">
        <v>#N/A</v>
        <stp/>
        <stp>BDH|10015611257240756822</stp>
        <tr r="I137" s="18"/>
      </tp>
      <tp t="e">
        <v>#N/A</v>
        <stp/>
        <stp>BDH|15680249215549293468</stp>
        <tr r="E27" s="14"/>
      </tp>
      <tp t="e">
        <v>#N/A</v>
        <stp/>
        <stp>BDH|13462943187349231060</stp>
        <tr r="C31" s="29"/>
      </tp>
      <tp t="e">
        <v>#N/A</v>
        <stp/>
        <stp>BDH|11831499034524592932</stp>
        <tr r="O28" s="4"/>
      </tp>
      <tp t="e">
        <v>#N/A</v>
        <stp/>
        <stp>BDH|12071261571699133548</stp>
        <tr r="C41" s="22"/>
      </tp>
      <tp t="e">
        <v>#N/A</v>
        <stp/>
        <stp>BDH|15050567731980708821</stp>
        <tr r="F105" s="18"/>
      </tp>
      <tp t="e">
        <v>#N/A</v>
        <stp/>
        <stp>BDH|13282935504506516723</stp>
        <tr r="H13" s="21"/>
      </tp>
      <tp t="e">
        <v>#N/A</v>
        <stp/>
        <stp>BDH|14005306163988323224</stp>
        <tr r="C8" s="26"/>
      </tp>
      <tp t="e">
        <v>#N/A</v>
        <stp/>
        <stp>BDH|13900052008769048168</stp>
        <tr r="C62" s="18"/>
      </tp>
      <tp t="e">
        <v>#N/A</v>
        <stp/>
        <stp>BDH|10161809909764394799</stp>
        <tr r="J16" s="11"/>
      </tp>
      <tp t="e">
        <v>#N/A</v>
        <stp/>
        <stp>BDH|12963853831484697690</stp>
        <tr r="G57" s="10"/>
        <tr r="G49" s="11"/>
        <tr r="G18" s="7"/>
        <tr r="I57" s="13"/>
      </tp>
      <tp t="e">
        <v>#N/A</v>
        <stp/>
        <stp>BDH|10583978753841107620</stp>
        <tr r="Y136" s="18"/>
      </tp>
      <tp t="e">
        <v>#N/A</v>
        <stp/>
        <stp>BDH|11813685893555599040</stp>
        <tr r="M12" s="14"/>
      </tp>
      <tp t="e">
        <v>#N/A</v>
        <stp/>
        <stp>BDH|18425449077635711524</stp>
        <tr r="S16" s="26"/>
      </tp>
      <tp t="e">
        <v>#N/A</v>
        <stp/>
        <stp>BDH|11025687508375401969</stp>
        <tr r="X59" s="13"/>
      </tp>
      <tp t="e">
        <v>#N/A</v>
        <stp/>
        <stp>BDH|17886616406443434996</stp>
        <tr r="Q42" s="4"/>
      </tp>
      <tp t="e">
        <v>#N/A</v>
        <stp/>
        <stp>BDH|15548271960068732278</stp>
        <tr r="K62" s="13"/>
      </tp>
      <tp t="e">
        <v>#N/A</v>
        <stp/>
        <stp>BDH|18355191368854547056</stp>
        <tr r="U129" s="18"/>
      </tp>
      <tp t="e">
        <v>#N/A</v>
        <stp/>
        <stp>BDH|13160031914658798135</stp>
        <tr r="C52" s="17"/>
        <tr r="C10" s="25"/>
      </tp>
      <tp t="e">
        <v>#N/A</v>
        <stp/>
        <stp>BDH|15041893648655756749</stp>
        <tr r="Y27" s="25"/>
        <tr r="Y13" s="27"/>
      </tp>
      <tp t="e">
        <v>#N/A</v>
        <stp/>
        <stp>BDH|18193183587109402386</stp>
        <tr r="R28" s="12"/>
      </tp>
      <tp t="e">
        <v>#N/A</v>
        <stp/>
        <stp>BDH|12143490847860829952</stp>
        <tr r="C26" s="25"/>
        <tr r="C12" s="27"/>
      </tp>
      <tp t="e">
        <v>#N/A</v>
        <stp/>
        <stp>BDH|10741849684729132245</stp>
        <tr r="J9" s="24"/>
      </tp>
      <tp t="e">
        <v>#N/A</v>
        <stp/>
        <stp>BDH|13977779688386199158</stp>
        <tr r="H106" s="18"/>
      </tp>
      <tp t="e">
        <v>#N/A</v>
        <stp/>
        <stp>BDH|11998373894319822907</stp>
        <tr r="C15" s="11"/>
      </tp>
      <tp t="e">
        <v>#N/A</v>
        <stp/>
        <stp>BDH|10345369784158168829</stp>
        <tr r="K11" s="18"/>
      </tp>
      <tp t="e">
        <v>#N/A</v>
        <stp/>
        <stp>BDH|16660898844806000795</stp>
        <tr r="X12" s="6"/>
      </tp>
      <tp t="e">
        <v>#N/A</v>
        <stp/>
        <stp>BDH|13395872495049601058</stp>
        <tr r="R67" s="18"/>
      </tp>
      <tp t="e">
        <v>#N/A</v>
        <stp/>
        <stp>BDH|14197673631493299974</stp>
        <tr r="AA20" s="14"/>
      </tp>
      <tp t="e">
        <v>#N/A</v>
        <stp/>
        <stp>BDH|16007711883770416245</stp>
        <tr r="D73" s="12"/>
      </tp>
      <tp t="e">
        <v>#N/A</v>
        <stp/>
        <stp>BDH|11126375636393331915</stp>
        <tr r="H26" s="14"/>
      </tp>
      <tp t="e">
        <v>#N/A</v>
        <stp/>
        <stp>BDH|12171377955946699972</stp>
        <tr r="E47" s="34"/>
      </tp>
      <tp t="e">
        <v>#N/A</v>
        <stp/>
        <stp>BDH|12939769408657589906</stp>
        <tr r="Z28" s="22"/>
      </tp>
      <tp t="e">
        <v>#N/A</v>
        <stp/>
        <stp>BDH|16261938804597382341</stp>
        <tr r="N14" s="4"/>
      </tp>
      <tp t="e">
        <v>#N/A</v>
        <stp/>
        <stp>BDH|18030218858331894530</stp>
        <tr r="N8" s="23"/>
      </tp>
      <tp t="e">
        <v>#N/A</v>
        <stp/>
        <stp>BDH|12561704582466216076</stp>
        <tr r="H21" s="18"/>
      </tp>
      <tp t="e">
        <v>#N/A</v>
        <stp/>
        <stp>BDH|16251832778313351180</stp>
        <tr r="D53" s="6"/>
        <tr r="F10" s="8"/>
      </tp>
      <tp t="e">
        <v>#N/A</v>
        <stp/>
        <stp>BDH|14111262491665153150</stp>
        <tr r="S30" s="12"/>
      </tp>
      <tp t="e">
        <v>#N/A</v>
        <stp/>
        <stp>BDH|11275006102543412965</stp>
        <tr r="Q57" s="10"/>
        <tr r="Q49" s="11"/>
        <tr r="Q18" s="7"/>
        <tr r="S57" s="13"/>
      </tp>
      <tp t="e">
        <v>#N/A</v>
        <stp/>
        <stp>BDH|10606861333803798367</stp>
        <tr r="F106" s="18"/>
      </tp>
      <tp t="e">
        <v>#N/A</v>
        <stp/>
        <stp>BDH|12602473746649560004</stp>
        <tr r="T41" s="17"/>
        <tr r="T9" s="25"/>
      </tp>
      <tp t="e">
        <v>#N/A</v>
        <stp/>
        <stp>BDH|13553176097473535323</stp>
        <tr r="C41" s="18"/>
      </tp>
      <tp t="e">
        <v>#N/A</v>
        <stp/>
        <stp>BDH|11786346781600071108</stp>
        <tr r="R94" s="18"/>
      </tp>
      <tp t="e">
        <v>#N/A</v>
        <stp/>
        <stp>BDH|14397361663228783235</stp>
        <tr r="N43" s="21"/>
      </tp>
      <tp t="e">
        <v>#N/A</v>
        <stp/>
        <stp>BDH|10826762898060055543</stp>
        <tr r="X45" s="24"/>
      </tp>
      <tp t="e">
        <v>#N/A</v>
        <stp/>
        <stp>BDH|13759452079523920806</stp>
        <tr r="Y82" s="12"/>
      </tp>
      <tp t="e">
        <v>#N/A</v>
        <stp/>
        <stp>BDH|11714343196577737702</stp>
        <tr r="T32" s="10"/>
        <tr r="T24" s="11"/>
      </tp>
      <tp t="e">
        <v>#N/A</v>
        <stp/>
        <stp>BDH|17905745287333942014</stp>
        <tr r="C6" s="3"/>
      </tp>
      <tp t="e">
        <v>#N/A</v>
        <stp/>
        <stp>BDH|14373800418537835117</stp>
        <tr r="R69" s="17"/>
      </tp>
      <tp t="e">
        <v>#N/A</v>
        <stp/>
        <stp>BDH|13654840382881488960</stp>
        <tr r="F19" s="24"/>
      </tp>
      <tp t="e">
        <v>#N/A</v>
        <stp/>
        <stp>BDH|16055165813868105513</stp>
        <tr r="E95" s="18"/>
      </tp>
      <tp t="e">
        <v>#N/A</v>
        <stp/>
        <stp>BDH|17259836841916752625</stp>
        <tr r="L33" s="12"/>
      </tp>
      <tp t="e">
        <v>#N/A</v>
        <stp/>
        <stp>BDH|18412498737746909267</stp>
        <tr r="C42" s="17"/>
      </tp>
      <tp t="e">
        <v>#N/A</v>
        <stp/>
        <stp>BDH|14750913535924100176</stp>
        <tr r="X34" s="24"/>
      </tp>
      <tp t="e">
        <v>#N/A</v>
        <stp/>
        <stp>BDH|14291473892243708150</stp>
        <tr r="I34" s="18"/>
      </tp>
      <tp t="e">
        <v>#N/A</v>
        <stp/>
        <stp>BDH|17694838431536736168</stp>
        <tr r="F44" s="18"/>
      </tp>
      <tp t="e">
        <v>#N/A</v>
        <stp/>
        <stp>BDH|17101864417936340366</stp>
        <tr r="Y50" s="4"/>
      </tp>
      <tp t="e">
        <v>#N/A</v>
        <stp/>
        <stp>BDH|15905996069022996351</stp>
        <tr r="W34" s="9"/>
      </tp>
      <tp t="e">
        <v>#N/A</v>
        <stp/>
        <stp>BDH|14360177409566982812</stp>
        <tr r="P30" s="26"/>
      </tp>
      <tp t="e">
        <v>#N/A</v>
        <stp/>
        <stp>BDH|11183169755736439838</stp>
        <tr r="M36" s="12"/>
      </tp>
      <tp t="e">
        <v>#N/A</v>
        <stp/>
        <stp>BDH|14592734795552665303</stp>
        <tr r="O27" s="6"/>
      </tp>
      <tp t="e">
        <v>#N/A</v>
        <stp/>
        <stp>BDH|10751153987183986192</stp>
        <tr r="I7" s="6"/>
      </tp>
      <tp t="e">
        <v>#N/A</v>
        <stp/>
        <stp>BDH|14584313186963480737</stp>
        <tr r="N14" s="17"/>
        <tr r="N17" s="28"/>
      </tp>
      <tp t="e">
        <v>#N/A</v>
        <stp/>
        <stp>BDH|18052707104124293037</stp>
        <tr r="R86" s="24"/>
      </tp>
      <tp t="e">
        <v>#N/A</v>
        <stp/>
        <stp>BDH|12112636506019128606</stp>
        <tr r="D15" s="9"/>
      </tp>
      <tp t="e">
        <v>#N/A</v>
        <stp/>
        <stp>BDH|13609231432239755055</stp>
        <tr r="V12" s="20"/>
      </tp>
      <tp t="e">
        <v>#N/A</v>
        <stp/>
        <stp>BDH|13543485648361686969</stp>
        <tr r="C99" s="18"/>
        <tr r="C8" s="20"/>
      </tp>
      <tp t="e">
        <v>#N/A</v>
        <stp/>
        <stp>BDH|11245871066340443421</stp>
        <tr r="S15" s="26"/>
      </tp>
      <tp t="e">
        <v>#N/A</v>
        <stp/>
        <stp>BDH|15410906886809395644</stp>
        <tr r="C15" s="17"/>
        <tr r="C18" s="28"/>
      </tp>
      <tp t="e">
        <v>#N/A</v>
        <stp/>
        <stp>BDH|14379873857590014262</stp>
        <tr r="D7" s="28"/>
      </tp>
      <tp t="e">
        <v>#N/A</v>
        <stp/>
        <stp>BDH|15403553923109423032</stp>
        <tr r="V29" s="18"/>
      </tp>
      <tp t="e">
        <v>#N/A</v>
        <stp/>
        <stp>BDH|10230016362708547514</stp>
        <tr r="V27" s="17"/>
      </tp>
      <tp t="e">
        <v>#N/A</v>
        <stp/>
        <stp>BDH|13369873327462208043</stp>
        <tr r="X48" s="18"/>
      </tp>
      <tp t="e">
        <v>#N/A</v>
        <stp/>
        <stp>BDH|15728188239834534860</stp>
        <tr r="S38" s="26"/>
      </tp>
      <tp t="e">
        <v>#N/A</v>
        <stp/>
        <stp>BDH|17205620692177065476</stp>
        <tr r="I23" s="22"/>
      </tp>
      <tp t="e">
        <v>#N/A</v>
        <stp/>
        <stp>BDH|13867374193984933608</stp>
        <tr r="V29" s="6"/>
      </tp>
      <tp t="e">
        <v>#N/A</v>
        <stp/>
        <stp>BDH|17323765569235019894</stp>
        <tr r="C26" s="26"/>
      </tp>
      <tp t="e">
        <v>#N/A</v>
        <stp/>
        <stp>BDH|10171662637467467917</stp>
        <tr r="V36" s="10"/>
        <tr r="V48" s="10"/>
        <tr r="V28" s="11"/>
        <tr r="V40" s="11"/>
      </tp>
      <tp t="e">
        <v>#N/A</v>
        <stp/>
        <stp>BDH|15080111785360656779</stp>
        <tr r="X12" s="18"/>
      </tp>
      <tp t="e">
        <v>#N/A</v>
        <stp/>
        <stp>BDH|12892256708908695369</stp>
        <tr r="D25" s="34"/>
      </tp>
      <tp t="e">
        <v>#N/A</v>
        <stp/>
        <stp>BDH|17790925083314401979</stp>
        <tr r="D21" s="11"/>
      </tp>
      <tp t="e">
        <v>#N/A</v>
        <stp/>
        <stp>BDH|17539062386770203423</stp>
        <tr r="X53" s="10"/>
        <tr r="X45" s="11"/>
        <tr r="X16" s="7"/>
      </tp>
      <tp t="e">
        <v>#N/A</v>
        <stp/>
        <stp>BDH|12171396438209120044</stp>
        <tr r="K16" s="14"/>
      </tp>
      <tp t="e">
        <v>#N/A</v>
        <stp/>
        <stp>BDH|12904318381933575193</stp>
        <tr r="N23" s="24"/>
      </tp>
      <tp t="e">
        <v>#N/A</v>
        <stp/>
        <stp>BDH|15903581593242313047</stp>
        <tr r="L16" s="24"/>
      </tp>
      <tp t="e">
        <v>#N/A</v>
        <stp/>
        <stp>BDH|15768945725594006133</stp>
        <tr r="G8" s="22"/>
      </tp>
      <tp t="e">
        <v>#N/A</v>
        <stp/>
        <stp>BDH|16358956916630412511</stp>
        <tr r="J74" s="24"/>
      </tp>
      <tp t="e">
        <v>#N/A</v>
        <stp/>
        <stp>BDH|16726799992453890012</stp>
        <tr r="F20" s="17"/>
      </tp>
      <tp t="e">
        <v>#N/A</v>
        <stp/>
        <stp>BDH|12207927203166658619</stp>
        <tr r="P39" s="26"/>
      </tp>
      <tp t="e">
        <v>#N/A</v>
        <stp/>
        <stp>BDH|16499813252197045735</stp>
        <tr r="W31" s="9"/>
      </tp>
      <tp t="e">
        <v>#N/A</v>
        <stp/>
        <stp>BDH|13528635115609328649</stp>
        <tr r="T109" s="18"/>
      </tp>
      <tp t="e">
        <v>#N/A</v>
        <stp/>
        <stp>BDH|11925240356819637493</stp>
        <tr r="Q142" s="18"/>
      </tp>
      <tp t="e">
        <v>#N/A</v>
        <stp/>
        <stp>BDH|15307414800223467929</stp>
        <tr r="D79" s="24"/>
      </tp>
      <tp t="e">
        <v>#N/A</v>
        <stp/>
        <stp>BDH|18162546408334831218</stp>
        <tr r="H69" s="12"/>
      </tp>
      <tp t="e">
        <v>#N/A</v>
        <stp/>
        <stp>BDH|10647852928987731684</stp>
        <tr r="M18" s="20"/>
      </tp>
      <tp t="e">
        <v>#N/A</v>
        <stp/>
        <stp>BDH|10046629893653163742</stp>
        <tr r="V38" s="18"/>
      </tp>
      <tp t="e">
        <v>#N/A</v>
        <stp/>
        <stp>BDH|11737434675899133043</stp>
        <tr r="AA41" s="24"/>
      </tp>
      <tp t="e">
        <v>#N/A</v>
        <stp/>
        <stp>BDH|15274609030212217942</stp>
        <tr r="AA11" s="24"/>
      </tp>
      <tp t="e">
        <v>#N/A</v>
        <stp/>
        <stp>BDH|10801766498675479069</stp>
        <tr r="Y11" s="18"/>
      </tp>
      <tp t="e">
        <v>#N/A</v>
        <stp/>
        <stp>BDH|16097595386334847436</stp>
        <tr r="G39" s="6"/>
      </tp>
      <tp t="e">
        <v>#N/A</v>
        <stp/>
        <stp>BDH|12397903271852073568</stp>
        <tr r="F11" s="13"/>
      </tp>
      <tp t="e">
        <v>#N/A</v>
        <stp/>
        <stp>BDH|15034278590711083439</stp>
        <tr r="Q91" s="18"/>
      </tp>
      <tp t="e">
        <v>#N/A</v>
        <stp/>
        <stp>BDH|16081474597066360677</stp>
        <tr r="H16" s="26"/>
      </tp>
      <tp t="e">
        <v>#N/A</v>
        <stp/>
        <stp>BDH|10276746126597683920</stp>
        <tr r="E18" s="13"/>
      </tp>
      <tp t="e">
        <v>#N/A</v>
        <stp/>
        <stp>BDH|15137338677332515845</stp>
        <tr r="V58" s="17"/>
      </tp>
      <tp t="e">
        <v>#N/A</v>
        <stp/>
        <stp>BDH|10537006755189652722</stp>
        <tr r="G31" s="5"/>
      </tp>
      <tp t="e">
        <v>#N/A</v>
        <stp/>
        <stp>BDH|10773767636577138825</stp>
        <tr r="E74" s="12"/>
      </tp>
      <tp t="e">
        <v>#N/A</v>
        <stp/>
        <stp>BDH|14027362195230619512</stp>
        <tr r="J42" s="6"/>
      </tp>
      <tp t="e">
        <v>#N/A</v>
        <stp/>
        <stp>BDH|12193422802319313468</stp>
        <tr r="Z11" s="18"/>
      </tp>
      <tp t="e">
        <v>#N/A</v>
        <stp/>
        <stp>BDH|15224195281580972775</stp>
        <tr r="O86" s="12"/>
      </tp>
      <tp t="e">
        <v>#N/A</v>
        <stp/>
        <stp>BDH|12805374449798537670</stp>
        <tr r="U83" s="18"/>
      </tp>
      <tp t="e">
        <v>#N/A</v>
        <stp/>
        <stp>BDH|11669920904495202665</stp>
        <tr r="D17" s="5"/>
        <tr r="D36" s="6"/>
      </tp>
      <tp t="e">
        <v>#N/A</v>
        <stp/>
        <stp>BDH|11876015276368314587</stp>
        <tr r="Y94" s="18"/>
      </tp>
      <tp t="e">
        <v>#N/A</v>
        <stp/>
        <stp>BDH|13967672280651304794</stp>
        <tr r="G19" s="24"/>
      </tp>
      <tp t="e">
        <v>#N/A</v>
        <stp/>
        <stp>BDH|17639660082555001763</stp>
        <tr r="N31" s="17"/>
      </tp>
      <tp t="e">
        <v>#N/A</v>
        <stp/>
        <stp>BDH|12567126377378527714</stp>
        <tr r="R120" s="18"/>
      </tp>
      <tp t="e">
        <v>#N/A</v>
        <stp/>
        <stp>BDH|16859357659582976995</stp>
        <tr r="T8" s="23"/>
      </tp>
      <tp t="e">
        <v>#N/A</v>
        <stp/>
        <stp>BDH|11661452410579272652</stp>
        <tr r="S93" s="18"/>
      </tp>
      <tp t="e">
        <v>#N/A</v>
        <stp/>
        <stp>BDH|10152824667426085336</stp>
        <tr r="R47" s="17"/>
      </tp>
      <tp t="e">
        <v>#N/A</v>
        <stp/>
        <stp>BDH|14949889381199006675</stp>
        <tr r="V20" s="20"/>
      </tp>
      <tp t="e">
        <v>#N/A</v>
        <stp/>
        <stp>BDH|12220045759839820504</stp>
        <tr r="P27" s="34"/>
      </tp>
      <tp t="e">
        <v>#N/A</v>
        <stp/>
        <stp>BDH|17173209727338226436</stp>
        <tr r="P20" s="17"/>
      </tp>
      <tp t="e">
        <v>#N/A</v>
        <stp/>
        <stp>BDH|11157915782882785928</stp>
        <tr r="R78" s="12"/>
      </tp>
      <tp t="e">
        <v>#N/A</v>
        <stp/>
        <stp>BDH|13938294870549026478</stp>
        <tr r="N25" s="5"/>
      </tp>
      <tp t="e">
        <v>#N/A</v>
        <stp/>
        <stp>BDH|15033209592512077757</stp>
        <tr r="R61" s="21"/>
      </tp>
      <tp t="e">
        <v>#N/A</v>
        <stp/>
        <stp>BDH|16500638380944299735</stp>
        <tr r="G61" s="12"/>
      </tp>
      <tp t="e">
        <v>#N/A</v>
        <stp/>
        <stp>BDH|13401766149269993250</stp>
        <tr r="J25" s="3"/>
      </tp>
      <tp t="e">
        <v>#N/A</v>
        <stp/>
        <stp>BDH|11027362725828375372</stp>
        <tr r="C7" s="11"/>
      </tp>
      <tp t="e">
        <v>#N/A</v>
        <stp/>
        <stp>BDH|17466644633299593015</stp>
        <tr r="J14" s="11"/>
      </tp>
      <tp t="e">
        <v>#N/A</v>
        <stp/>
        <stp>BDH|14469486302999137286</stp>
        <tr r="L14" s="20"/>
      </tp>
      <tp t="e">
        <v>#N/A</v>
        <stp/>
        <stp>BDH|12249488317335878924</stp>
        <tr r="S67" s="18"/>
      </tp>
      <tp t="e">
        <v>#N/A</v>
        <stp/>
        <stp>BDH|14936291484312461775</stp>
        <tr r="T94" s="18"/>
      </tp>
      <tp t="e">
        <v>#N/A</v>
        <stp/>
        <stp>BDH|14932062879058862096</stp>
        <tr r="S13" s="30"/>
      </tp>
      <tp t="e">
        <v>#N/A</v>
        <stp/>
        <stp>BDH|17953892756524729561</stp>
        <tr r="K71" s="18"/>
      </tp>
      <tp t="e">
        <v>#N/A</v>
        <stp/>
        <stp>BDH|17480669974365664875</stp>
        <tr r="R9" s="24"/>
      </tp>
      <tp t="e">
        <v>#N/A</v>
        <stp/>
        <stp>BDH|16817961447049873966</stp>
        <tr r="V23" s="26"/>
      </tp>
      <tp t="e">
        <v>#N/A</v>
        <stp/>
        <stp>BDH|16198369891673341423</stp>
        <tr r="M15" s="26"/>
      </tp>
      <tp t="e">
        <v>#N/A</v>
        <stp/>
        <stp>BDH|16537353341649526334</stp>
        <tr r="Y61" s="17"/>
      </tp>
      <tp t="e">
        <v>#N/A</v>
        <stp/>
        <stp>BDH|10720181389361419356</stp>
        <tr r="D14" s="12"/>
      </tp>
      <tp t="e">
        <v>#N/A</v>
        <stp/>
        <stp>BDH|10148502907099790768</stp>
        <tr r="V74" s="24"/>
      </tp>
      <tp t="e">
        <v>#N/A</v>
        <stp/>
        <stp>BDH|12259379664819749517</stp>
        <tr r="M14" s="10"/>
      </tp>
      <tp t="e">
        <v>#N/A</v>
        <stp/>
        <stp>BDH|10783788469769214330</stp>
        <tr r="K55" s="13"/>
      </tp>
      <tp t="e">
        <v>#N/A</v>
        <stp/>
        <stp>BDH|12761051627403236806</stp>
        <tr r="O16" s="24"/>
      </tp>
      <tp t="e">
        <v>#N/A</v>
        <stp/>
        <stp>BDH|18018905731260409920</stp>
        <tr r="T35" s="22"/>
      </tp>
      <tp t="e">
        <v>#N/A</v>
        <stp/>
        <stp>BDH|10061313381763429335</stp>
        <tr r="L43" s="6"/>
      </tp>
      <tp t="e">
        <v>#N/A</v>
        <stp/>
        <stp>BDH|14365731850355235852</stp>
        <tr r="J37" s="24"/>
      </tp>
      <tp t="e">
        <v>#N/A</v>
        <stp/>
        <stp>BDH|13082103443658381570</stp>
        <tr r="F115" s="18"/>
      </tp>
      <tp t="e">
        <v>#N/A</v>
        <stp/>
        <stp>BDH|14965719865368294681</stp>
        <tr r="L25" s="5"/>
      </tp>
      <tp t="e">
        <v>#N/A</v>
        <stp/>
        <stp>BDH|12179786659553013871</stp>
        <tr r="Q10" s="13"/>
      </tp>
      <tp t="e">
        <v>#N/A</v>
        <stp/>
        <stp>BDH|11290954214124781630</stp>
        <tr r="L20" s="12"/>
      </tp>
      <tp t="e">
        <v>#N/A</v>
        <stp/>
        <stp>BDH|13254306260664210970</stp>
        <tr r="J105" s="18"/>
      </tp>
      <tp t="e">
        <v>#N/A</v>
        <stp/>
        <stp>BDH|16038825911887157340</stp>
        <tr r="V53" s="24"/>
      </tp>
      <tp t="e">
        <v>#N/A</v>
        <stp/>
        <stp>BDH|15548518942539148616</stp>
        <tr r="T7" s="6"/>
      </tp>
      <tp t="e">
        <v>#N/A</v>
        <stp/>
        <stp>BDH|11115169707278094368</stp>
        <tr r="T19" s="5"/>
        <tr r="T46" s="6"/>
      </tp>
      <tp t="e">
        <v>#N/A</v>
        <stp/>
        <stp>BDH|16674611697787485523</stp>
        <tr r="R16" s="14"/>
      </tp>
      <tp t="e">
        <v>#N/A</v>
        <stp/>
        <stp>BDH|15203707030838274267</stp>
        <tr r="F11" s="17"/>
      </tp>
      <tp t="e">
        <v>#N/A</v>
        <stp/>
        <stp>BDH|17033917840821668014</stp>
        <tr r="M48" s="6"/>
      </tp>
      <tp t="e">
        <v>#N/A</v>
        <stp/>
        <stp>BDH|11564523476919673115</stp>
        <tr r="H130" s="18"/>
      </tp>
      <tp t="e">
        <v>#N/A</v>
        <stp/>
        <stp>BDH|12174542807869274567</stp>
        <tr r="C35" s="12"/>
      </tp>
      <tp t="e">
        <v>#N/A</v>
        <stp/>
        <stp>BDH|10220408335694731862</stp>
        <tr r="M90" s="17"/>
      </tp>
      <tp t="e">
        <v>#N/A</v>
        <stp/>
        <stp>BDH|17697372785872374519</stp>
        <tr r="H39" s="24"/>
      </tp>
      <tp t="e">
        <v>#N/A</v>
        <stp/>
        <stp>BDH|12162174936439187272</stp>
        <tr r="X38" s="25"/>
      </tp>
      <tp t="e">
        <v>#N/A</v>
        <stp/>
        <stp>BDH|10119836101447682437</stp>
        <tr r="Y38" s="10"/>
        <tr r="Y30" s="11"/>
        <tr r="AA42" s="13"/>
      </tp>
      <tp t="e">
        <v>#N/A</v>
        <stp/>
        <stp>BDH|15573053959249751280</stp>
        <tr r="R60" s="18"/>
      </tp>
      <tp t="e">
        <v>#N/A</v>
        <stp/>
        <stp>BDH|14563864710993103548</stp>
        <tr r="Z24" s="17"/>
      </tp>
      <tp t="e">
        <v>#N/A</v>
        <stp/>
        <stp>BDH|17001091268449709306</stp>
        <tr r="K8" s="28"/>
      </tp>
      <tp t="e">
        <v>#N/A</v>
        <stp/>
        <stp>BDH|13839184756018415445</stp>
        <tr r="Q18" s="29"/>
        <tr r="Q41" s="29"/>
      </tp>
      <tp t="e">
        <v>#N/A</v>
        <stp/>
        <stp>BDH|10418646889650826570</stp>
        <tr r="C21" s="5"/>
      </tp>
      <tp t="e">
        <v>#N/A</v>
        <stp/>
        <stp>BDH|17059136723549205644</stp>
        <tr r="S46" s="18"/>
      </tp>
      <tp t="e">
        <v>#N/A</v>
        <stp/>
        <stp>BDH|14046010374681593969</stp>
        <tr r="E13" s="10"/>
      </tp>
      <tp t="e">
        <v>#N/A</v>
        <stp/>
        <stp>BDH|11285540184253716439</stp>
        <tr r="Q36" s="18"/>
      </tp>
      <tp t="e">
        <v>#N/A</v>
        <stp/>
        <stp>BDH|13508950578054728290</stp>
        <tr r="H48" s="17"/>
      </tp>
      <tp t="e">
        <v>#N/A</v>
        <stp/>
        <stp>BDH|15324950024226024340</stp>
        <tr r="P53" s="17"/>
      </tp>
      <tp t="e">
        <v>#N/A</v>
        <stp/>
        <stp>BDH|16326990166726358491</stp>
        <tr r="X16" s="29"/>
        <tr r="X39" s="29"/>
      </tp>
      <tp t="e">
        <v>#N/A</v>
        <stp/>
        <stp>BDH|12323030664657054820</stp>
        <tr r="N16" s="10"/>
      </tp>
      <tp t="e">
        <v>#N/A</v>
        <stp/>
        <stp>BDH|12871211290546864474</stp>
        <tr r="L100" s="18"/>
        <tr r="L9" s="20"/>
      </tp>
      <tp t="e">
        <v>#N/A</v>
        <stp/>
        <stp>BDH|14322885829033607627</stp>
        <tr r="K48" s="13"/>
      </tp>
      <tp t="e">
        <v>#N/A</v>
        <stp/>
        <stp>BDH|18158551733166776365</stp>
        <tr r="X46" s="21"/>
      </tp>
      <tp t="e">
        <v>#N/A</v>
        <stp/>
        <stp>BDH|13267361872535212924</stp>
        <tr r="N12" s="25"/>
      </tp>
      <tp t="e">
        <v>#N/A</v>
        <stp/>
        <stp>BDH|18085670556481490132</stp>
        <tr r="W115" s="18"/>
      </tp>
      <tp t="e">
        <v>#N/A</v>
        <stp/>
        <stp>BDH|10964056362695069887</stp>
        <tr r="L17" s="20"/>
      </tp>
      <tp t="e">
        <v>#N/A</v>
        <stp/>
        <stp>BDH|15478732227583245843</stp>
        <tr r="X127" s="18"/>
      </tp>
      <tp t="e">
        <v>#N/A</v>
        <stp/>
        <stp>BDH|11913507677411866903</stp>
        <tr r="C25" s="14"/>
      </tp>
      <tp t="e">
        <v>#N/A</v>
        <stp/>
        <stp>BDH|18194852841237572868</stp>
        <tr r="K21" s="14"/>
      </tp>
      <tp t="e">
        <v>#N/A</v>
        <stp/>
        <stp>BDH|13251224621201747901</stp>
        <tr r="V76" s="18"/>
      </tp>
      <tp t="e">
        <v>#N/A</v>
        <stp/>
        <stp>BDH|13336286283284868664</stp>
        <tr r="Q8" s="18"/>
      </tp>
      <tp t="e">
        <v>#N/A</v>
        <stp/>
        <stp>BDH|17671822118535245081</stp>
        <tr r="H12" s="7"/>
      </tp>
      <tp t="e">
        <v>#N/A</v>
        <stp/>
        <stp>BDH|13337061033482665964</stp>
        <tr r="O34" s="12"/>
      </tp>
      <tp t="e">
        <v>#N/A</v>
        <stp/>
        <stp>BDH|10855834822876210721</stp>
        <tr r="M33" s="24"/>
      </tp>
      <tp t="e">
        <v>#N/A</v>
        <stp/>
        <stp>BDH|13018193029443196886</stp>
        <tr r="T53" s="12"/>
      </tp>
      <tp t="e">
        <v>#N/A</v>
        <stp/>
        <stp>BDH|12364102134869864263</stp>
        <tr r="X48" s="17"/>
      </tp>
      <tp t="e">
        <v>#N/A</v>
        <stp/>
        <stp>BDH|14985123799604231396</stp>
        <tr r="P40" s="24"/>
      </tp>
      <tp t="e">
        <v>#N/A</v>
        <stp/>
        <stp>BDH|10948828461025700043</stp>
        <tr r="J17" s="20"/>
      </tp>
      <tp t="e">
        <v>#N/A</v>
        <stp/>
        <stp>BDH|17937065661993355944</stp>
        <tr r="P48" s="24"/>
      </tp>
      <tp t="e">
        <v>#N/A</v>
        <stp/>
        <stp>BDH|10427929914586279597</stp>
        <tr r="I10" s="34"/>
      </tp>
      <tp t="e">
        <v>#N/A</v>
        <stp/>
        <stp>BDH|12862542574993324822</stp>
        <tr r="K34" s="12"/>
      </tp>
      <tp t="e">
        <v>#N/A</v>
        <stp/>
        <stp>BDH|10040998461091415551</stp>
        <tr r="N34" s="26"/>
      </tp>
      <tp t="e">
        <v>#N/A</v>
        <stp/>
        <stp>BDH|12014082187679796810</stp>
        <tr r="K14" s="20"/>
      </tp>
      <tp t="e">
        <v>#N/A</v>
        <stp/>
        <stp>BDH|15165781792321696141</stp>
        <tr r="M20" s="23"/>
      </tp>
      <tp t="e">
        <v>#N/A</v>
        <stp/>
        <stp>BDH|13328375640526829953</stp>
        <tr r="X43" s="12"/>
      </tp>
      <tp t="e">
        <v>#N/A</v>
        <stp/>
        <stp>BDH|11572744488150075506</stp>
        <tr r="I26" s="34"/>
      </tp>
      <tp t="e">
        <v>#N/A</v>
        <stp/>
        <stp>BDH|16285770945416073899</stp>
        <tr r="Y46" s="17"/>
      </tp>
      <tp t="e">
        <v>#N/A</v>
        <stp/>
        <stp>BDH|15046453854429859604</stp>
        <tr r="V69" s="24"/>
      </tp>
      <tp t="e">
        <v>#N/A</v>
        <stp/>
        <stp>BDH|17639533770196557896</stp>
        <tr r="E28" s="22"/>
      </tp>
      <tp t="e">
        <v>#N/A</v>
        <stp/>
        <stp>BDH|10555993091189256262</stp>
        <tr r="T59" s="17"/>
      </tp>
      <tp t="e">
        <v>#N/A</v>
        <stp/>
        <stp>BDH|13167026520179261387</stp>
        <tr r="V15" s="22"/>
      </tp>
      <tp t="e">
        <v>#N/A</v>
        <stp/>
        <stp>BDH|11796249048214566874</stp>
        <tr r="K118" s="18"/>
      </tp>
      <tp t="e">
        <v>#N/A</v>
        <stp/>
        <stp>BDH|13585882325803667174</stp>
        <tr r="Q7" s="34"/>
      </tp>
      <tp t="e">
        <v>#N/A</v>
        <stp/>
        <stp>BDH|13221863181921812949</stp>
        <tr r="G9" s="27"/>
      </tp>
      <tp t="e">
        <v>#N/A</v>
        <stp/>
        <stp>BDH|14837529990636684553</stp>
        <tr r="E11" s="7"/>
      </tp>
      <tp t="e">
        <v>#N/A</v>
        <stp/>
        <stp>BDH|11758776411214956813</stp>
        <tr r="Y22" s="21"/>
      </tp>
      <tp t="e">
        <v>#N/A</v>
        <stp/>
        <stp>BDH|13055225831311972830</stp>
        <tr r="W47" s="10"/>
        <tr r="W39" s="11"/>
      </tp>
      <tp t="e">
        <v>#N/A</v>
        <stp/>
        <stp>BDH|14572330257900137999</stp>
        <tr r="X10" s="18"/>
      </tp>
      <tp t="e">
        <v>#N/A</v>
        <stp/>
        <stp>BDH|10096241396041957129</stp>
        <tr r="I45" s="21"/>
      </tp>
      <tp t="e">
        <v>#N/A</v>
        <stp/>
        <stp>BDH|14970933629107227383</stp>
        <tr r="U11" s="22"/>
      </tp>
      <tp t="e">
        <v>#N/A</v>
        <stp/>
        <stp>BDH|17880530649849841430</stp>
        <tr r="R83" s="12"/>
      </tp>
      <tp t="e">
        <v>#N/A</v>
        <stp/>
        <stp>BDH|14889782788043434342</stp>
        <tr r="T42" s="6"/>
      </tp>
      <tp t="e">
        <v>#N/A</v>
        <stp/>
        <stp>BDH|16794702620341918962</stp>
        <tr r="T48" s="13"/>
      </tp>
      <tp t="e">
        <v>#N/A</v>
        <stp/>
        <stp>BDH|16629443095948639890</stp>
        <tr r="I36" s="22"/>
      </tp>
      <tp t="e">
        <v>#N/A</v>
        <stp/>
        <stp>BDH|16393582251209000422</stp>
        <tr r="G31" s="17"/>
      </tp>
      <tp t="e">
        <v>#N/A</v>
        <stp/>
        <stp>BDH|12196001873338307691</stp>
        <tr r="N15" s="9"/>
      </tp>
      <tp t="e">
        <v>#N/A</v>
        <stp/>
        <stp>BDH|17813597921172957918</stp>
        <tr r="Z70" s="18"/>
      </tp>
      <tp t="e">
        <v>#N/A</v>
        <stp/>
        <stp>BDH|17826814486188483436</stp>
        <tr r="R48" s="24"/>
      </tp>
      <tp t="e">
        <v>#N/A</v>
        <stp/>
        <stp>BDH|16785338328218592412</stp>
        <tr r="J46" s="13"/>
      </tp>
      <tp t="e">
        <v>#N/A</v>
        <stp/>
        <stp>BDH|10693990754656455173</stp>
        <tr r="O20" s="12"/>
      </tp>
      <tp t="e">
        <v>#N/A</v>
        <stp/>
        <stp>BDH|17497042649918084013</stp>
        <tr r="U50" s="12"/>
      </tp>
      <tp t="e">
        <v>#N/A</v>
        <stp/>
        <stp>BDH|10056989066012549630</stp>
        <tr r="T34" s="21"/>
      </tp>
      <tp t="e">
        <v>#N/A</v>
        <stp/>
        <stp>BDH|14678585474985215802</stp>
        <tr r="W38" s="17"/>
      </tp>
      <tp t="e">
        <v>#N/A</v>
        <stp/>
        <stp>BDH|17090688980002899080</stp>
        <tr r="L32" s="14"/>
      </tp>
      <tp t="e">
        <v>#N/A</v>
        <stp/>
        <stp>BDH|16171794405153289974</stp>
        <tr r="U6" s="2"/>
        <tr r="T6" s="5"/>
        <tr r="T6" s="9"/>
        <tr r="V12" s="8"/>
        <tr r="U10" s="29"/>
        <tr r="U19" s="29"/>
        <tr r="U25" s="29"/>
      </tp>
      <tp t="e">
        <v>#N/A</v>
        <stp/>
        <stp>BDH|12019977068904664214</stp>
        <tr r="L46" s="22"/>
      </tp>
      <tp t="e">
        <v>#N/A</v>
        <stp/>
        <stp>BDH|14300876546755946638</stp>
        <tr r="R14" s="6"/>
      </tp>
      <tp t="e">
        <v>#N/A</v>
        <stp/>
        <stp>BDH|13254876688290393864</stp>
        <tr r="Q20" s="29"/>
      </tp>
      <tp t="e">
        <v>#N/A</v>
        <stp/>
        <stp>BDH|10868844328274957559</stp>
        <tr r="O17" s="12"/>
      </tp>
      <tp t="e">
        <v>#N/A</v>
        <stp/>
        <stp>BDH|16305500788408382800</stp>
        <tr r="G25" s="34"/>
      </tp>
      <tp t="e">
        <v>#N/A</v>
        <stp/>
        <stp>BDH|11660262606730940875</stp>
        <tr r="U9" s="34"/>
      </tp>
      <tp t="e">
        <v>#N/A</v>
        <stp/>
        <stp>BDH|18272157248954218259</stp>
        <tr r="Z80" s="18"/>
      </tp>
      <tp t="e">
        <v>#N/A</v>
        <stp/>
        <stp>BDH|15606851208791601757</stp>
        <tr r="X45" s="4"/>
        <tr r="X31" s="10"/>
        <tr r="X23" s="11"/>
        <tr r="Z30" s="13"/>
      </tp>
      <tp t="e">
        <v>#N/A</v>
        <stp/>
        <stp>BDH|18363066214385922700</stp>
        <tr r="W63" s="12"/>
      </tp>
      <tp t="e">
        <v>#N/A</v>
        <stp/>
        <stp>BDH|14434675598250153020</stp>
        <tr r="S13" s="29"/>
        <tr r="S22" s="29"/>
        <tr r="S36" s="29"/>
      </tp>
      <tp t="e">
        <v>#N/A</v>
        <stp/>
        <stp>BDH|14564967731285270084</stp>
        <tr r="N20" s="10"/>
      </tp>
      <tp t="e">
        <v>#N/A</v>
        <stp/>
        <stp>BDH|13085652794944002393</stp>
        <tr r="W124" s="18"/>
      </tp>
      <tp t="e">
        <v>#N/A</v>
        <stp/>
        <stp>BDH|15848004818347853806</stp>
        <tr r="S82" s="17"/>
      </tp>
      <tp t="e">
        <v>#N/A</v>
        <stp/>
        <stp>BDH|12068195180780650071</stp>
        <tr r="Q30" s="34"/>
      </tp>
      <tp t="e">
        <v>#N/A</v>
        <stp/>
        <stp>BDH|16803928704081174578</stp>
        <tr r="Z82" s="17"/>
      </tp>
      <tp t="e">
        <v>#N/A</v>
        <stp/>
        <stp>BDH|16883619881471830280</stp>
        <tr r="V12" s="6"/>
      </tp>
      <tp t="e">
        <v>#N/A</v>
        <stp/>
        <stp>BDH|14032825503741809617</stp>
        <tr r="V50" s="4"/>
      </tp>
      <tp t="e">
        <v>#N/A</v>
        <stp/>
        <stp>BDH|17078265676729834003</stp>
        <tr r="W57" s="17"/>
      </tp>
      <tp t="e">
        <v>#N/A</v>
        <stp/>
        <stp>BDH|17727889125934142233</stp>
        <tr r="I12" s="25"/>
      </tp>
      <tp t="e">
        <v>#N/A</v>
        <stp/>
        <stp>BDH|15458327096670911411</stp>
        <tr r="P16" s="18"/>
      </tp>
      <tp t="e">
        <v>#N/A</v>
        <stp/>
        <stp>BDH|14742785346419328523</stp>
        <tr r="I29" s="17"/>
      </tp>
      <tp t="e">
        <v>#N/A</v>
        <stp/>
        <stp>BDH|18047672305283856625</stp>
        <tr r="O45" s="13"/>
      </tp>
      <tp t="e">
        <v>#N/A</v>
        <stp/>
        <stp>BDH|10424292884420390117</stp>
        <tr r="U21" s="21"/>
      </tp>
      <tp t="e">
        <v>#N/A</v>
        <stp/>
        <stp>BDH|16903118292524007117</stp>
        <tr r="K40" s="10"/>
        <tr r="K32" s="11"/>
      </tp>
      <tp t="e">
        <v>#N/A</v>
        <stp/>
        <stp>BDH|18301291612977646756</stp>
        <tr r="M82" s="17"/>
      </tp>
      <tp t="e">
        <v>#N/A</v>
        <stp/>
        <stp>BDH|12871182971959335696</stp>
        <tr r="V82" s="18"/>
      </tp>
      <tp t="e">
        <v>#N/A</v>
        <stp/>
        <stp>BDH|15192617711171969830</stp>
        <tr r="L6" s="6"/>
      </tp>
      <tp t="e">
        <v>#N/A</v>
        <stp/>
        <stp>BDH|13995886178726412160</stp>
        <tr r="X8" s="11"/>
      </tp>
      <tp t="e">
        <v>#N/A</v>
        <stp/>
        <stp>BDH|12438868599079665165</stp>
        <tr r="P32" s="25"/>
        <tr r="P18" s="27"/>
      </tp>
      <tp t="e">
        <v>#N/A</v>
        <stp/>
        <stp>BDH|15308028089224621256</stp>
        <tr r="F8" s="21"/>
      </tp>
      <tp t="e">
        <v>#N/A</v>
        <stp/>
        <stp>BDH|12074887612054066418</stp>
        <tr r="AA93" s="18"/>
      </tp>
      <tp t="e">
        <v>#N/A</v>
        <stp/>
        <stp>BDH|16137310009507491962</stp>
        <tr r="X32" s="6"/>
      </tp>
      <tp t="e">
        <v>#N/A</v>
        <stp/>
        <stp>BDH|16790290494612449457</stp>
        <tr r="W104" s="18"/>
      </tp>
      <tp t="e">
        <v>#N/A</v>
        <stp/>
        <stp>BDH|14498256589526201319</stp>
        <tr r="N12" s="26"/>
      </tp>
      <tp t="e">
        <v>#N/A</v>
        <stp/>
        <stp>BDH|15058696025578510225</stp>
        <tr r="M37" s="21"/>
        <tr r="M24" s="3"/>
      </tp>
      <tp t="e">
        <v>#N/A</v>
        <stp/>
        <stp>BDH|12899349632140539902</stp>
        <tr r="I53" s="10"/>
        <tr r="I45" s="11"/>
        <tr r="I16" s="7"/>
      </tp>
      <tp t="e">
        <v>#N/A</v>
        <stp/>
        <stp>BDH|15827672676839462669</stp>
        <tr r="J41" s="17"/>
        <tr r="J9" s="25"/>
      </tp>
      <tp t="e">
        <v>#N/A</v>
        <stp/>
        <stp>BDH|14012363089903599717</stp>
        <tr r="F32" s="14"/>
      </tp>
      <tp t="e">
        <v>#N/A</v>
        <stp/>
        <stp>BDH|17970175451309776133</stp>
        <tr r="C18" s="25"/>
      </tp>
      <tp t="e">
        <v>#N/A</v>
        <stp/>
        <stp>BDH|16895252066470069912</stp>
        <tr r="AA20" s="20"/>
      </tp>
      <tp t="e">
        <v>#N/A</v>
        <stp/>
        <stp>BDH|11627874079983079623</stp>
        <tr r="Z38" s="22"/>
      </tp>
      <tp t="e">
        <v>#N/A</v>
        <stp/>
        <stp>BDH|12874475189553945659</stp>
        <tr r="S115" s="18"/>
      </tp>
      <tp t="e">
        <v>#N/A</v>
        <stp/>
        <stp>BDH|15987266411419241467</stp>
        <tr r="X33" s="21"/>
      </tp>
      <tp t="e">
        <v>#N/A</v>
        <stp/>
        <stp>BDH|13532298297326644574</stp>
        <tr r="T18" s="12"/>
      </tp>
      <tp t="e">
        <v>#N/A</v>
        <stp/>
        <stp>BDH|16875943142913130350</stp>
        <tr r="D8" s="23"/>
      </tp>
      <tp t="e">
        <v>#N/A</v>
        <stp/>
        <stp>BDH|15221363472569481382</stp>
        <tr r="U38" s="18"/>
      </tp>
      <tp t="e">
        <v>#N/A</v>
        <stp/>
        <stp>BDH|15261274861839908374</stp>
        <tr r="Q101" s="18"/>
      </tp>
      <tp t="e">
        <v>#N/A</v>
        <stp/>
        <stp>BDH|17918419108628239083</stp>
        <tr r="J22" s="21"/>
      </tp>
      <tp t="e">
        <v>#N/A</v>
        <stp/>
        <stp>BDH|15847903562957072604</stp>
        <tr r="AA48" s="24"/>
      </tp>
      <tp t="e">
        <v>#N/A</v>
        <stp/>
        <stp>BDH|13116483688884374081</stp>
        <tr r="R12" s="25"/>
      </tp>
      <tp t="e">
        <v>#N/A</v>
        <stp/>
        <stp>BDH|12916323290592570143</stp>
        <tr r="E24" s="29"/>
      </tp>
      <tp t="e">
        <v>#N/A</v>
        <stp/>
        <stp>BDH|16529751721399859136</stp>
        <tr r="S89" s="24"/>
      </tp>
      <tp t="e">
        <v>#N/A</v>
        <stp/>
        <stp>BDH|14745392895745659077</stp>
        <tr r="N34" s="21"/>
      </tp>
      <tp t="e">
        <v>#N/A</v>
        <stp/>
        <stp>BDH|13769813629563522100</stp>
        <tr r="AA64" s="13"/>
      </tp>
      <tp t="e">
        <v>#N/A</v>
        <stp/>
        <stp>BDH|16269806312063276785</stp>
        <tr r="Q41" s="12"/>
      </tp>
      <tp t="e">
        <v>#N/A</v>
        <stp/>
        <stp>BDH|15103621598015827491</stp>
        <tr r="M45" s="24"/>
      </tp>
      <tp t="e">
        <v>#N/A</v>
        <stp/>
        <stp>BDH|16853621597372476030</stp>
        <tr r="F16" s="6"/>
      </tp>
      <tp t="e">
        <v>#N/A</v>
        <stp/>
        <stp>BDH|12463973244463917740</stp>
        <tr r="G35" s="26"/>
      </tp>
      <tp t="e">
        <v>#N/A</v>
        <stp/>
        <stp>BDH|15161954900291731693</stp>
        <tr r="Y88" s="17"/>
      </tp>
      <tp t="e">
        <v>#N/A</v>
        <stp/>
        <stp>BDH|14309582850437485859</stp>
        <tr r="G9" s="14"/>
      </tp>
      <tp t="e">
        <v>#N/A</v>
        <stp/>
        <stp>BDH|15798210204039095586</stp>
        <tr r="X104" s="18"/>
      </tp>
      <tp t="e">
        <v>#N/A</v>
        <stp/>
        <stp>BDH|16894830658829947903</stp>
        <tr r="M11" s="21"/>
      </tp>
      <tp t="e">
        <v>#N/A</v>
        <stp/>
        <stp>BDH|16481861079646938489</stp>
        <tr r="M70" s="24"/>
      </tp>
      <tp t="e">
        <v>#N/A</v>
        <stp/>
        <stp>BDH|13659892141566578210</stp>
        <tr r="G13" s="10"/>
      </tp>
      <tp t="e">
        <v>#N/A</v>
        <stp/>
        <stp>BDH|16635443199622744267</stp>
        <tr r="L15" s="13"/>
      </tp>
      <tp t="e">
        <v>#N/A</v>
        <stp/>
        <stp>BDH|12662296401878394375</stp>
        <tr r="AA34" s="26"/>
      </tp>
      <tp t="e">
        <v>#N/A</v>
        <stp/>
        <stp>BDH|18034294678473302587</stp>
        <tr r="K24" s="4"/>
        <tr r="K57" s="11"/>
      </tp>
      <tp t="e">
        <v>#N/A</v>
        <stp/>
        <stp>BDH|13542021187504265482</stp>
        <tr r="Q54" s="21"/>
      </tp>
      <tp t="e">
        <v>#N/A</v>
        <stp/>
        <stp>BDH|13895353768464922916</stp>
        <tr r="G15" s="29"/>
        <tr r="G38" s="29"/>
      </tp>
      <tp t="e">
        <v>#N/A</v>
        <stp/>
        <stp>BDH|14048458205368473391</stp>
        <tr r="Z47" s="22"/>
      </tp>
      <tp t="e">
        <v>#N/A</v>
        <stp/>
        <stp>BDH|13768454299896247347</stp>
        <tr r="X74" s="17"/>
      </tp>
      <tp t="e">
        <v>#N/A</v>
        <stp/>
        <stp>BDH|16124866266047486484</stp>
        <tr r="L18" s="5"/>
        <tr r="L41" s="6"/>
      </tp>
      <tp t="e">
        <v>#N/A</v>
        <stp/>
        <stp>BDH|12494846489241132856</stp>
        <tr r="Q17" s="9"/>
      </tp>
      <tp t="e">
        <v>#N/A</v>
        <stp/>
        <stp>BDH|13841491094571910419</stp>
        <tr r="L60" s="12"/>
      </tp>
      <tp t="e">
        <v>#N/A</v>
        <stp/>
        <stp>BDH|14355364939867899898</stp>
        <tr r="R51" s="12"/>
      </tp>
      <tp t="e">
        <v>#N/A</v>
        <stp/>
        <stp>BDH|10346982209922714086</stp>
        <tr r="C60" s="18"/>
      </tp>
      <tp t="e">
        <v>#N/A</v>
        <stp/>
        <stp>BDH|15617351010885973970</stp>
        <tr r="L40" s="12"/>
      </tp>
      <tp t="e">
        <v>#N/A</v>
        <stp/>
        <stp>BDH|16971169131028763747</stp>
        <tr r="Z33" s="18"/>
      </tp>
      <tp t="e">
        <v>#N/A</v>
        <stp/>
        <stp>BDH|18329216132182929049</stp>
        <tr r="Y20" s="25"/>
      </tp>
      <tp t="e">
        <v>#N/A</v>
        <stp/>
        <stp>BDH|13291383245749649645</stp>
        <tr r="T22" s="14"/>
      </tp>
      <tp t="e">
        <v>#N/A</v>
        <stp/>
        <stp>BDH|15928533252877230979</stp>
        <tr r="W22" s="11"/>
      </tp>
      <tp t="e">
        <v>#N/A</v>
        <stp/>
        <stp>BDH|13536156584116847713</stp>
        <tr r="L22" s="11"/>
      </tp>
      <tp t="e">
        <v>#N/A</v>
        <stp/>
        <stp>BDH|13987187428458481300</stp>
        <tr r="S29" s="10"/>
        <tr r="U35" s="13"/>
      </tp>
      <tp t="e">
        <v>#N/A</v>
        <stp/>
        <stp>BDH|13062047767007758996</stp>
        <tr r="R14" s="10"/>
      </tp>
      <tp t="e">
        <v>#N/A</v>
        <stp/>
        <stp>BDH|10842469151298159238</stp>
        <tr r="O55" s="18"/>
      </tp>
      <tp t="e">
        <v>#N/A</v>
        <stp/>
        <stp>BDH|10832601035599546752</stp>
        <tr r="T91" s="24"/>
      </tp>
      <tp t="e">
        <v>#N/A</v>
        <stp/>
        <stp>BDH|18237886707732558956</stp>
        <tr r="Z8" s="17"/>
      </tp>
      <tp t="e">
        <v>#N/A</v>
        <stp/>
        <stp>BDH|12826872245723305646</stp>
        <tr r="Y38" s="25"/>
      </tp>
      <tp t="e">
        <v>#N/A</v>
        <stp/>
        <stp>BDH|15960050281346205024</stp>
        <tr r="D109" s="18"/>
      </tp>
      <tp t="e">
        <v>#N/A</v>
        <stp/>
        <stp>BDH|17847018549150555889</stp>
        <tr r="L7" s="6"/>
      </tp>
      <tp t="e">
        <v>#N/A</v>
        <stp/>
        <stp>BDH|15232223232119975666</stp>
        <tr r="T55" s="12"/>
      </tp>
      <tp t="e">
        <v>#N/A</v>
        <stp/>
        <stp>BDH|16802502457859189435</stp>
        <tr r="O22" s="12"/>
      </tp>
      <tp t="e">
        <v>#N/A</v>
        <stp/>
        <stp>BDH|18025667317345575196</stp>
        <tr r="V8" s="6"/>
      </tp>
      <tp t="e">
        <v>#N/A</v>
        <stp/>
        <stp>BDH|12017141019210268922</stp>
        <tr r="W88" s="24"/>
      </tp>
      <tp t="e">
        <v>#N/A</v>
        <stp/>
        <stp>BDH|14240501279254466927</stp>
        <tr r="E74" s="18"/>
      </tp>
      <tp t="e">
        <v>#N/A</v>
        <stp/>
        <stp>BDH|17197876407480888445</stp>
        <tr r="N46" s="13"/>
      </tp>
      <tp t="e">
        <v>#N/A</v>
        <stp/>
        <stp>BDH|13979989521753542088</stp>
        <tr r="T65" s="21"/>
      </tp>
      <tp t="e">
        <v>#N/A</v>
        <stp/>
        <stp>BDH|16950195908424220873</stp>
        <tr r="Q49" s="18"/>
      </tp>
      <tp t="e">
        <v>#N/A</v>
        <stp/>
        <stp>BDH|10330188178514692982</stp>
        <tr r="W22" s="30"/>
        <tr r="W24" s="23"/>
      </tp>
      <tp t="e">
        <v>#N/A</v>
        <stp/>
        <stp>BDH|13390996233966318473</stp>
        <tr r="Z18" s="18"/>
      </tp>
      <tp t="e">
        <v>#N/A</v>
        <stp/>
        <stp>BDH|10191561199185574275</stp>
        <tr r="K25" s="5"/>
      </tp>
      <tp t="e">
        <v>#N/A</v>
        <stp/>
        <stp>BDH|16441946924222936418</stp>
        <tr r="T49" s="22"/>
      </tp>
      <tp t="e">
        <v>#N/A</v>
        <stp/>
        <stp>BDH|15058822007197099195</stp>
        <tr r="X87" s="18"/>
      </tp>
      <tp t="e">
        <v>#N/A</v>
        <stp/>
        <stp>BDH|17153312975981825916</stp>
        <tr r="F40" s="24"/>
      </tp>
      <tp t="e">
        <v>#N/A</v>
        <stp/>
        <stp>BDH|10341168383822388095</stp>
        <tr r="U32" s="9"/>
      </tp>
      <tp t="e">
        <v>#N/A</v>
        <stp/>
        <stp>BDH|13176498660529445306</stp>
        <tr r="P81" s="12"/>
      </tp>
      <tp t="e">
        <v>#N/A</v>
        <stp/>
        <stp>BDH|16291435559644310873</stp>
        <tr r="D12" s="25"/>
      </tp>
      <tp t="e">
        <v>#N/A</v>
        <stp/>
        <stp>BDH|10979236934992315817</stp>
        <tr r="D13" s="29"/>
        <tr r="D22" s="29"/>
        <tr r="D36" s="29"/>
      </tp>
      <tp t="e">
        <v>#N/A</v>
        <stp/>
        <stp>BDH|15013887356995345615</stp>
        <tr r="K20" s="14"/>
      </tp>
      <tp t="e">
        <v>#N/A</v>
        <stp/>
        <stp>BDH|14835787899061732029</stp>
        <tr r="J42" s="4"/>
      </tp>
      <tp t="e">
        <v>#N/A</v>
        <stp/>
        <stp>BDH|11916448304758497619</stp>
        <tr r="R64" s="18"/>
      </tp>
      <tp t="e">
        <v>#N/A</v>
        <stp/>
        <stp>BDH|10321832289863135845</stp>
        <tr r="P20" s="26"/>
      </tp>
      <tp t="e">
        <v>#N/A</v>
        <stp/>
        <stp>BDH|15086623302249832144</stp>
        <tr r="T15" s="4"/>
      </tp>
      <tp t="e">
        <v>#N/A</v>
        <stp/>
        <stp>BDH|16096580883569117960</stp>
        <tr r="F13" s="5"/>
      </tp>
      <tp t="e">
        <v>#N/A</v>
        <stp/>
        <stp>BDH|17352830178222126158</stp>
        <tr r="P21" s="11"/>
      </tp>
      <tp t="e">
        <v>#N/A</v>
        <stp/>
        <stp>BDH|15912313719808434494</stp>
        <tr r="AA56" s="13"/>
      </tp>
      <tp t="e">
        <v>#N/A</v>
        <stp/>
        <stp>BDH|13716514898911594577</stp>
        <tr r="T31" s="21"/>
      </tp>
      <tp t="e">
        <v>#N/A</v>
        <stp/>
        <stp>BDH|11448372342028911546</stp>
        <tr r="Z59" s="13"/>
      </tp>
      <tp t="e">
        <v>#N/A</v>
        <stp/>
        <stp>BDH|16275587591395120461</stp>
        <tr r="T51" s="24"/>
      </tp>
      <tp t="e">
        <v>#N/A</v>
        <stp/>
        <stp>BDH|13100834783248858053</stp>
        <tr r="K34" s="6"/>
      </tp>
      <tp t="e">
        <v>#N/A</v>
        <stp/>
        <stp>BDH|14697277862938727385</stp>
        <tr r="U16" s="14"/>
      </tp>
      <tp t="e">
        <v>#N/A</v>
        <stp/>
        <stp>BDH|17122180671072422800</stp>
        <tr r="H82" s="24"/>
      </tp>
      <tp t="e">
        <v>#N/A</v>
        <stp/>
        <stp>BDH|18410799690078910589</stp>
        <tr r="N43" s="10"/>
        <tr r="N35" s="11"/>
      </tp>
      <tp t="e">
        <v>#N/A</v>
        <stp/>
        <stp>BDH|15108702289533040244</stp>
        <tr r="J19" s="11"/>
      </tp>
      <tp t="e">
        <v>#N/A</v>
        <stp/>
        <stp>BDH|11467905058317132114</stp>
        <tr r="C12" s="22"/>
      </tp>
      <tp t="e">
        <v>#N/A</v>
        <stp/>
        <stp>BDH|11179310857719940523</stp>
        <tr r="I109" s="18"/>
      </tp>
      <tp t="e">
        <v>#N/A</v>
        <stp/>
        <stp>BDH|17890987605836836312</stp>
        <tr r="Z76" s="24"/>
      </tp>
      <tp t="e">
        <v>#N/A</v>
        <stp/>
        <stp>BDH|10347446298543470575</stp>
        <tr r="T32" s="5"/>
      </tp>
      <tp t="e">
        <v>#N/A</v>
        <stp/>
        <stp>BDH|10818866137332256275</stp>
        <tr r="Y8" s="18"/>
      </tp>
      <tp t="e">
        <v>#N/A</v>
        <stp/>
        <stp>BDH|16585612002489831229</stp>
        <tr r="P10" s="26"/>
      </tp>
      <tp t="e">
        <v>#N/A</v>
        <stp/>
        <stp>BDH|17554952446478180980</stp>
        <tr r="J53" s="17"/>
      </tp>
      <tp t="e">
        <v>#N/A</v>
        <stp/>
        <stp>BDH|12870522095565337038</stp>
        <tr r="C38" s="26"/>
      </tp>
      <tp t="e">
        <v>#N/A</v>
        <stp/>
        <stp>BDH|13850351643939749663</stp>
        <tr r="M10" s="10"/>
      </tp>
      <tp t="e">
        <v>#N/A</v>
        <stp/>
        <stp>BDH|10333666909155393804</stp>
        <tr r="AA20" s="24"/>
      </tp>
      <tp t="e">
        <v>#N/A</v>
        <stp/>
        <stp>BDH|13038097121719691313</stp>
        <tr r="U46" s="12"/>
      </tp>
      <tp t="e">
        <v>#N/A</v>
        <stp/>
        <stp>BDH|18198078777924719091</stp>
        <tr r="E11" s="28"/>
      </tp>
      <tp t="e">
        <v>#N/A</v>
        <stp/>
        <stp>BDH|18237059397058765283</stp>
        <tr r="V40" s="10"/>
        <tr r="V32" s="11"/>
      </tp>
      <tp t="e">
        <v>#N/A</v>
        <stp/>
        <stp>BDH|14814139719166952942</stp>
        <tr r="H10" s="13"/>
      </tp>
      <tp t="e">
        <v>#N/A</v>
        <stp/>
        <stp>BDH|15615255275343882812</stp>
        <tr r="G19" s="22"/>
      </tp>
      <tp t="e">
        <v>#N/A</v>
        <stp/>
        <stp>BDH|17014471867248775689</stp>
        <tr r="Q8" s="14"/>
      </tp>
      <tp t="e">
        <v>#N/A</v>
        <stp/>
        <stp>BDH|17481792963138514546</stp>
        <tr r="U37" s="24"/>
      </tp>
      <tp t="e">
        <v>#N/A</v>
        <stp/>
        <stp>BDH|14774672233782891848</stp>
        <tr r="X64" s="13"/>
      </tp>
      <tp t="e">
        <v>#N/A</v>
        <stp/>
        <stp>BDH|16226843355109800943</stp>
        <tr r="S24" s="10"/>
      </tp>
      <tp t="e">
        <v>#N/A</v>
        <stp/>
        <stp>BDH|14654841638712068657</stp>
        <tr r="R28" s="14"/>
      </tp>
      <tp t="e">
        <v>#N/A</v>
        <stp/>
        <stp>BDH|15847900032372444612</stp>
        <tr r="L15" s="5"/>
      </tp>
      <tp t="e">
        <v>#N/A</v>
        <stp/>
        <stp>BDH|16940862836053102571</stp>
        <tr r="M42" s="18"/>
      </tp>
      <tp t="e">
        <v>#N/A</v>
        <stp/>
        <stp>BDH|14879549392973986088</stp>
        <tr r="P40" s="18"/>
      </tp>
      <tp t="e">
        <v>#N/A</v>
        <stp/>
        <stp>BDH|14552934169507012702</stp>
        <tr r="N16" s="18"/>
      </tp>
      <tp t="e">
        <v>#N/A</v>
        <stp/>
        <stp>BDH|11087625809559381576</stp>
        <tr r="H21" s="2"/>
      </tp>
      <tp t="e">
        <v>#N/A</v>
        <stp/>
        <stp>BDH|12768914657995997074</stp>
        <tr r="Z129" s="18"/>
      </tp>
      <tp t="e">
        <v>#N/A</v>
        <stp/>
        <stp>BDH|10889758992093307635</stp>
        <tr r="L69" s="10"/>
      </tp>
      <tp t="e">
        <v>#N/A</v>
        <stp/>
        <stp>BDH|10932955841433742553</stp>
        <tr r="X69" s="24"/>
      </tp>
      <tp t="e">
        <v>#N/A</v>
        <stp/>
        <stp>BDH|17028076281280836410</stp>
        <tr r="G10" s="13"/>
      </tp>
      <tp t="e">
        <v>#N/A</v>
        <stp/>
        <stp>BDH|15737648828498295263</stp>
        <tr r="I22" s="24"/>
      </tp>
      <tp t="e">
        <v>#N/A</v>
        <stp/>
        <stp>BDH|11121472871009153091</stp>
        <tr r="V9" s="2"/>
        <tr r="X8" s="25"/>
        <tr r="U10" s="5"/>
      </tp>
      <tp t="e">
        <v>#N/A</v>
        <stp/>
        <stp>BDH|11515151424749271094</stp>
        <tr r="O12" s="21"/>
      </tp>
      <tp t="e">
        <v>#N/A</v>
        <stp/>
        <stp>BDH|11843627697155130035</stp>
        <tr r="X10" s="23"/>
      </tp>
      <tp t="e">
        <v>#N/A</v>
        <stp/>
        <stp>BDH|15204000093781951668</stp>
        <tr r="H11" s="18"/>
      </tp>
      <tp t="e">
        <v>#N/A</v>
        <stp/>
        <stp>BDH|14706556599947242471</stp>
        <tr r="I7" s="4"/>
      </tp>
      <tp t="e">
        <v>#N/A</v>
        <stp/>
        <stp>BDH|15436099283266707072</stp>
        <tr r="X131" s="18"/>
      </tp>
      <tp t="e">
        <v>#N/A</v>
        <stp/>
        <stp>BDH|14321829215127308193</stp>
        <tr r="Z88" s="12"/>
      </tp>
      <tp t="e">
        <v>#N/A</v>
        <stp/>
        <stp>BDH|11653421634038894564</stp>
        <tr r="U49" s="21"/>
      </tp>
      <tp t="e">
        <v>#N/A</v>
        <stp/>
        <stp>BDH|13997862964784261272</stp>
        <tr r="W8" s="13"/>
      </tp>
      <tp t="e">
        <v>#N/A</v>
        <stp/>
        <stp>BDH|15592930938422057607</stp>
        <tr r="K73" s="18"/>
      </tp>
      <tp t="e">
        <v>#N/A</v>
        <stp/>
        <stp>BDH|15814810797896772971</stp>
        <tr r="L12" s="18"/>
      </tp>
      <tp t="e">
        <v>#N/A</v>
        <stp/>
        <stp>BDH|10964427071660317879</stp>
        <tr r="Q54" s="18"/>
      </tp>
      <tp t="e">
        <v>#N/A</v>
        <stp/>
        <stp>BDH|13197864017285919470</stp>
        <tr r="J47" s="13"/>
      </tp>
      <tp t="e">
        <v>#N/A</v>
        <stp/>
        <stp>BDH|17096103294417901332</stp>
        <tr r="W25" s="3"/>
      </tp>
      <tp t="e">
        <v>#N/A</v>
        <stp/>
        <stp>BDH|13317848348543876797</stp>
        <tr r="S63" s="10"/>
      </tp>
      <tp t="e">
        <v>#N/A</v>
        <stp/>
        <stp>BDH|11705945839604128452</stp>
        <tr r="C109" s="18"/>
      </tp>
      <tp t="e">
        <v>#N/A</v>
        <stp/>
        <stp>BDH|16257785912998108378</stp>
        <tr r="J17" s="5"/>
        <tr r="J36" s="6"/>
      </tp>
      <tp t="e">
        <v>#N/A</v>
        <stp/>
        <stp>BDH|14008889046957328433</stp>
        <tr r="V125" s="18"/>
      </tp>
      <tp t="e">
        <v>#N/A</v>
        <stp/>
        <stp>BDH|14266160359472060935</stp>
        <tr r="X6" s="15"/>
        <tr r="X12" s="2"/>
        <tr r="X11" s="4"/>
        <tr r="X6" s="10"/>
      </tp>
      <tp t="e">
        <v>#N/A</v>
        <stp/>
        <stp>BDH|16831973647463039360</stp>
        <tr r="R40" s="10"/>
        <tr r="R32" s="11"/>
      </tp>
      <tp t="e">
        <v>#N/A</v>
        <stp/>
        <stp>BDH|18336538470860811165</stp>
        <tr r="E82" s="17"/>
      </tp>
      <tp t="e">
        <v>#N/A</v>
        <stp/>
        <stp>BDH|18208459306977648093</stp>
        <tr r="AA78" s="12"/>
      </tp>
      <tp t="e">
        <v>#N/A</v>
        <stp/>
        <stp>BDH|13277565888390544572</stp>
        <tr r="AA53" s="17"/>
      </tp>
      <tp t="e">
        <v>#N/A</v>
        <stp/>
        <stp>BDH|13482832243246969238</stp>
        <tr r="E17" s="23"/>
      </tp>
      <tp t="e">
        <v>#N/A</v>
        <stp/>
        <stp>BDH|12313203108502018950</stp>
        <tr r="S44" s="12"/>
      </tp>
      <tp t="e">
        <v>#N/A</v>
        <stp/>
        <stp>BDH|14412786407700069853</stp>
        <tr r="J112" s="18"/>
      </tp>
      <tp t="e">
        <v>#N/A</v>
        <stp/>
        <stp>BDH|15822653361569748755</stp>
        <tr r="R62" s="12"/>
      </tp>
      <tp t="e">
        <v>#N/A</v>
        <stp/>
        <stp>BDH|17992429991476768737</stp>
        <tr r="T48" s="24"/>
      </tp>
      <tp t="e">
        <v>#N/A</v>
        <stp/>
        <stp>BDH|13712389481147946499</stp>
        <tr r="D21" s="18"/>
      </tp>
      <tp t="e">
        <v>#N/A</v>
        <stp/>
        <stp>BDH|18316311676422845524</stp>
        <tr r="V42" s="6"/>
      </tp>
      <tp t="e">
        <v>#N/A</v>
        <stp/>
        <stp>BDH|17730156208466881832</stp>
        <tr r="V33" s="6"/>
      </tp>
      <tp t="e">
        <v>#N/A</v>
        <stp/>
        <stp>BDH|17365702551528225518</stp>
        <tr r="H12" s="17"/>
      </tp>
      <tp t="e">
        <v>#N/A</v>
        <stp/>
        <stp>BDH|13897900610131104283</stp>
        <tr r="Z65" s="17"/>
      </tp>
      <tp t="e">
        <v>#N/A</v>
        <stp/>
        <stp>BDH|11354403491835340101</stp>
        <tr r="K50" s="13"/>
      </tp>
      <tp t="e">
        <v>#N/A</v>
        <stp/>
        <stp>BDH|13033366070076379948</stp>
        <tr r="N29" s="34"/>
      </tp>
      <tp t="e">
        <v>#N/A</v>
        <stp/>
        <stp>BDH|14172791079389973598</stp>
        <tr r="S26" s="12"/>
      </tp>
      <tp t="e">
        <v>#N/A</v>
        <stp/>
        <stp>BDH|16603036511779081653</stp>
        <tr r="H11" s="9"/>
      </tp>
      <tp t="e">
        <v>#N/A</v>
        <stp/>
        <stp>BDH|14825094785545405119</stp>
        <tr r="M87" s="18"/>
      </tp>
      <tp t="e">
        <v>#N/A</v>
        <stp/>
        <stp>BDH|10560924760417482027</stp>
        <tr r="T133" s="18"/>
      </tp>
      <tp t="e">
        <v>#N/A</v>
        <stp/>
        <stp>BDH|10902096697566036769</stp>
        <tr r="I21" s="6"/>
      </tp>
      <tp t="e">
        <v>#N/A</v>
        <stp/>
        <stp>BDH|11510860031812319000</stp>
        <tr r="Q17" s="20"/>
      </tp>
      <tp t="e">
        <v>#N/A</v>
        <stp/>
        <stp>BDH|11287143486924086412</stp>
        <tr r="E18" s="5"/>
        <tr r="E41" s="6"/>
      </tp>
      <tp t="e">
        <v>#N/A</v>
        <stp/>
        <stp>BDH|17242839873485333502</stp>
        <tr r="Q37" s="34"/>
      </tp>
      <tp t="e">
        <v>#N/A</v>
        <stp/>
        <stp>BDH|13610928950265552201</stp>
        <tr r="H34" s="29"/>
      </tp>
      <tp t="e">
        <v>#N/A</v>
        <stp/>
        <stp>BDH|12134994310477042599</stp>
        <tr r="J12" s="17"/>
      </tp>
      <tp t="e">
        <v>#N/A</v>
        <stp/>
        <stp>BDH|17000853475842852292</stp>
        <tr r="Q19" s="9"/>
      </tp>
      <tp t="e">
        <v>#N/A</v>
        <stp/>
        <stp>BDH|17158303290730831581</stp>
        <tr r="S50" s="18"/>
      </tp>
      <tp t="e">
        <v>#N/A</v>
        <stp/>
        <stp>BDH|13676942384023271951</stp>
        <tr r="J53" s="18"/>
      </tp>
      <tp t="e">
        <v>#N/A</v>
        <stp/>
        <stp>BDH|18370694128446373203</stp>
        <tr r="M36" s="4"/>
      </tp>
      <tp t="e">
        <v>#N/A</v>
        <stp/>
        <stp>BDH|17357167157289517263</stp>
        <tr r="S25" s="2"/>
        <tr r="U60" s="21"/>
      </tp>
      <tp t="e">
        <v>#N/A</v>
        <stp/>
        <stp>BDH|12777906749053637490</stp>
        <tr r="V72" s="18"/>
      </tp>
      <tp t="e">
        <v>#N/A</v>
        <stp/>
        <stp>BDH|12127827411104219714</stp>
        <tr r="O39" s="12"/>
      </tp>
      <tp t="e">
        <v>#N/A</v>
        <stp/>
        <stp>BDH|13762872776244608016</stp>
        <tr r="J15" s="18"/>
      </tp>
      <tp t="e">
        <v>#N/A</v>
        <stp/>
        <stp>BDH|15352723786315724717</stp>
        <tr r="R44" s="18"/>
      </tp>
      <tp t="e">
        <v>#N/A</v>
        <stp/>
        <stp>BDH|11159337315212237944</stp>
        <tr r="N9" s="13"/>
      </tp>
      <tp t="e">
        <v>#N/A</v>
        <stp/>
        <stp>BDH|10159506891510939482</stp>
        <tr r="E30" s="12"/>
      </tp>
      <tp t="e">
        <v>#N/A</v>
        <stp/>
        <stp>BDH|17596586927420256899</stp>
        <tr r="H140" s="18"/>
      </tp>
      <tp t="e">
        <v>#N/A</v>
        <stp/>
        <stp>BDH|18347307392473087908</stp>
        <tr r="V36" s="4"/>
      </tp>
      <tp t="e">
        <v>#N/A</v>
        <stp/>
        <stp>BDH|12826813148667869187</stp>
        <tr r="D110" s="18"/>
      </tp>
      <tp t="e">
        <v>#N/A</v>
        <stp/>
        <stp>BDH|15269741717402375932</stp>
        <tr r="Q76" s="24"/>
      </tp>
      <tp t="e">
        <v>#N/A</v>
        <stp/>
        <stp>BDH|10126062812561177857</stp>
        <tr r="M51" s="17"/>
        <tr r="M17" s="3"/>
      </tp>
      <tp t="e">
        <v>#N/A</v>
        <stp/>
        <stp>BDH|12281329691867248728</stp>
        <tr r="M30" s="5"/>
        <tr r="M30" s="9"/>
      </tp>
      <tp t="e">
        <v>#N/A</v>
        <stp/>
        <stp>BDH|13669865530768718861</stp>
        <tr r="I60" s="12"/>
      </tp>
      <tp t="e">
        <v>#N/A</v>
        <stp/>
        <stp>BDH|11527919742185377157</stp>
        <tr r="V45" s="24"/>
      </tp>
      <tp t="e">
        <v>#N/A</v>
        <stp/>
        <stp>BDH|15139619164434247963</stp>
        <tr r="L119" s="18"/>
      </tp>
      <tp t="e">
        <v>#N/A</v>
        <stp/>
        <stp>BDH|18143123876923324564</stp>
        <tr r="M76" s="18"/>
      </tp>
      <tp t="e">
        <v>#N/A</v>
        <stp/>
        <stp>BDH|15044175480534352049</stp>
        <tr r="C112" s="18"/>
      </tp>
      <tp t="e">
        <v>#N/A</v>
        <stp/>
        <stp>BDH|13977888716946484436</stp>
        <tr r="P12" s="26"/>
      </tp>
      <tp t="e">
        <v>#N/A</v>
        <stp/>
        <stp>BDH|12394883028670660052</stp>
        <tr r="P32" s="9"/>
      </tp>
      <tp t="e">
        <v>#N/A</v>
        <stp/>
        <stp>BDH|12002720029076891936</stp>
        <tr r="X75" s="24"/>
      </tp>
      <tp t="e">
        <v>#N/A</v>
        <stp/>
        <stp>BDH|13460619364448074313</stp>
        <tr r="W134" s="18"/>
      </tp>
      <tp t="e">
        <v>#N/A</v>
        <stp/>
        <stp>BDH|10534657181057292130</stp>
        <tr r="E137" s="18"/>
      </tp>
      <tp t="e">
        <v>#N/A</v>
        <stp/>
        <stp>BDH|11072964334863700057</stp>
        <tr r="J63" s="12"/>
      </tp>
      <tp t="e">
        <v>#N/A</v>
        <stp/>
        <stp>BDH|15066330469838207082</stp>
        <tr r="J31" s="5"/>
      </tp>
      <tp t="e">
        <v>#N/A</v>
        <stp/>
        <stp>BDH|18401728353206717428</stp>
        <tr r="N32" s="12"/>
      </tp>
      <tp t="e">
        <v>#N/A</v>
        <stp/>
        <stp>BDH|15518709130950022951</stp>
        <tr r="Z138" s="18"/>
      </tp>
      <tp t="e">
        <v>#N/A</v>
        <stp/>
        <stp>BDH|13655751776782129943</stp>
        <tr r="U71" s="12"/>
      </tp>
      <tp t="e">
        <v>#N/A</v>
        <stp/>
        <stp>BDH|17074311002724634850</stp>
        <tr r="V16" s="11"/>
      </tp>
      <tp t="e">
        <v>#N/A</v>
        <stp/>
        <stp>BDH|12744635777899481270</stp>
        <tr r="Y17" s="29"/>
        <tr r="Y40" s="29"/>
      </tp>
      <tp t="e">
        <v>#N/A</v>
        <stp/>
        <stp>BDH|17842705780003146394</stp>
        <tr r="D11" s="9"/>
      </tp>
      <tp t="e">
        <v>#N/A</v>
        <stp/>
        <stp>BDH|10000053171938137759</stp>
        <tr r="O26" s="14"/>
      </tp>
      <tp t="e">
        <v>#N/A</v>
        <stp/>
        <stp>BDH|12490295685902023287</stp>
        <tr r="O28" s="10"/>
        <tr r="Q34" s="13"/>
      </tp>
      <tp t="e">
        <v>#N/A</v>
        <stp/>
        <stp>BDH|15744521991196660722</stp>
        <tr r="N43" s="24"/>
      </tp>
      <tp t="e">
        <v>#N/A</v>
        <stp/>
        <stp>BDH|10608575072232578860</stp>
        <tr r="X17" s="6"/>
      </tp>
      <tp t="e">
        <v>#N/A</v>
        <stp/>
        <stp>BDH|15201085596624868042</stp>
        <tr r="K10" s="4"/>
        <tr r="J6" s="16"/>
        <tr r="M6" s="3"/>
        <tr r="K6" s="11"/>
      </tp>
      <tp t="e">
        <v>#N/A</v>
        <stp/>
        <stp>BDH|12055287586207836764</stp>
        <tr r="T9" s="13"/>
      </tp>
      <tp t="e">
        <v>#N/A</v>
        <stp/>
        <stp>BDH|13209970892689218250</stp>
        <tr r="G28" s="10"/>
        <tr r="I34" s="13"/>
      </tp>
      <tp t="e">
        <v>#N/A</v>
        <stp/>
        <stp>BDH|13054473068220606993</stp>
        <tr r="M13" s="20"/>
      </tp>
      <tp t="e">
        <v>#N/A</v>
        <stp/>
        <stp>BDH|13041954844427556147</stp>
        <tr r="Q28" s="14"/>
      </tp>
      <tp t="e">
        <v>#N/A</v>
        <stp/>
        <stp>BDH|15128480161446052986</stp>
        <tr r="K26" s="17"/>
      </tp>
      <tp t="e">
        <v>#N/A</v>
        <stp/>
        <stp>BDH|17253471765638353533</stp>
        <tr r="Q8" s="13"/>
      </tp>
      <tp t="e">
        <v>#N/A</v>
        <stp/>
        <stp>BDH|12954753723917724889</stp>
        <tr r="O57" s="6"/>
      </tp>
      <tp t="e">
        <v>#N/A</v>
        <stp/>
        <stp>BDH|13567836539523776386</stp>
        <tr r="F39" s="34"/>
      </tp>
      <tp t="e">
        <v>#N/A</v>
        <stp/>
        <stp>BDH|14160575494560581045</stp>
        <tr r="S33" s="14"/>
      </tp>
      <tp t="e">
        <v>#N/A</v>
        <stp/>
        <stp>BDH|18436782536983842716</stp>
        <tr r="Z64" s="21"/>
        <tr r="W31" s="6"/>
      </tp>
      <tp t="e">
        <v>#N/A</v>
        <stp/>
        <stp>BDH|15220213187694042379</stp>
        <tr r="H22" s="24"/>
      </tp>
      <tp t="e">
        <v>#N/A</v>
        <stp/>
        <stp>BDH|12453333483948335946</stp>
        <tr r="L94" s="18"/>
      </tp>
      <tp t="e">
        <v>#N/A</v>
        <stp/>
        <stp>BDH|13173442131358570428</stp>
        <tr r="G10" s="26"/>
      </tp>
      <tp t="e">
        <v>#N/A</v>
        <stp/>
        <stp>BDH|15197989029826282019</stp>
        <tr r="G29" s="21"/>
      </tp>
      <tp t="e">
        <v>#N/A</v>
        <stp/>
        <stp>BDH|13104848023314164544</stp>
        <tr r="J15" s="20"/>
      </tp>
      <tp t="e">
        <v>#N/A</v>
        <stp/>
        <stp>BDH|18275274180683553938</stp>
        <tr r="Q17" s="6"/>
      </tp>
      <tp t="e">
        <v>#N/A</v>
        <stp/>
        <stp>BDH|11439299481146953566</stp>
        <tr r="P17" s="12"/>
      </tp>
      <tp t="e">
        <v>#N/A</v>
        <stp/>
        <stp>BDH|14115962214992239621</stp>
        <tr r="I39" s="24"/>
      </tp>
      <tp t="e">
        <v>#N/A</v>
        <stp/>
        <stp>BDH|14038143980314543128</stp>
        <tr r="S58" s="18"/>
      </tp>
      <tp t="e">
        <v>#N/A</v>
        <stp/>
        <stp>BDH|12419932688982859941</stp>
        <tr r="Z86" s="18"/>
      </tp>
      <tp t="e">
        <v>#N/A</v>
        <stp/>
        <stp>BDH|16773609482275366554</stp>
        <tr r="E61" s="13"/>
      </tp>
      <tp t="e">
        <v>#N/A</v>
        <stp/>
        <stp>BDH|10492090185046872633</stp>
        <tr r="V67" s="12"/>
      </tp>
      <tp t="e">
        <v>#N/A</v>
        <stp/>
        <stp>BDH|16516257368238381280</stp>
        <tr r="Z43" s="17"/>
      </tp>
      <tp t="e">
        <v>#N/A</v>
        <stp/>
        <stp>BDH|17670605385802480341</stp>
        <tr r="P31" s="22"/>
      </tp>
      <tp t="e">
        <v>#N/A</v>
        <stp/>
        <stp>BDH|15915905450066315796</stp>
        <tr r="J25" s="9"/>
      </tp>
      <tp t="e">
        <v>#N/A</v>
        <stp/>
        <stp>BDH|12302226800249232106</stp>
        <tr r="T75" s="18"/>
        <tr r="T64" s="12"/>
      </tp>
      <tp t="e">
        <v>#N/A</v>
        <stp/>
        <stp>BDH|16431936107484289318</stp>
        <tr r="D28" s="21"/>
      </tp>
      <tp t="e">
        <v>#N/A</v>
        <stp/>
        <stp>BDH|13310793580804886013</stp>
        <tr r="G25" s="2"/>
        <tr r="I60" s="21"/>
      </tp>
      <tp t="e">
        <v>#N/A</v>
        <stp/>
        <stp>BDH|18058327425559000847</stp>
        <tr r="X20" s="23"/>
      </tp>
      <tp t="e">
        <v>#N/A</v>
        <stp/>
        <stp>BDH|15578733086316518466</stp>
        <tr r="U55" s="12"/>
      </tp>
      <tp t="e">
        <v>#N/A</v>
        <stp/>
        <stp>BDH|10985027213151896830</stp>
        <tr r="N63" s="10"/>
      </tp>
      <tp t="e">
        <v>#N/A</v>
        <stp/>
        <stp>BDH|15370331200488477673</stp>
        <tr r="M76" s="12"/>
      </tp>
      <tp t="e">
        <v>#N/A</v>
        <stp/>
        <stp>BDH|13542241630183542976</stp>
        <tr r="K40" s="22"/>
      </tp>
      <tp t="e">
        <v>#N/A</v>
        <stp/>
        <stp>BDH|16639409006268274219</stp>
        <tr r="J11" s="22"/>
      </tp>
      <tp t="e">
        <v>#N/A</v>
        <stp/>
        <stp>BDH|17962851220356750387</stp>
        <tr r="G74" s="17"/>
      </tp>
      <tp t="e">
        <v>#N/A</v>
        <stp/>
        <stp>BDH|10378941726790602347</stp>
        <tr r="D17" s="10"/>
      </tp>
      <tp t="e">
        <v>#N/A</v>
        <stp/>
        <stp>BDH|17615903426913565769</stp>
        <tr r="J9" s="23"/>
      </tp>
      <tp t="e">
        <v>#N/A</v>
        <stp/>
        <stp>BDH|10486431552141141878</stp>
        <tr r="M55" s="18"/>
      </tp>
      <tp t="e">
        <v>#N/A</v>
        <stp/>
        <stp>BDH|13324296566037643894</stp>
        <tr r="D49" s="18"/>
      </tp>
      <tp t="e">
        <v>#N/A</v>
        <stp/>
        <stp>BDH|11057963550375465017</stp>
        <tr r="N13" s="29"/>
        <tr r="N22" s="29"/>
        <tr r="N36" s="29"/>
      </tp>
      <tp t="e">
        <v>#N/A</v>
        <stp/>
        <stp>BDH|15606216738518853442</stp>
        <tr r="U32" s="17"/>
      </tp>
      <tp t="e">
        <v>#N/A</v>
        <stp/>
        <stp>BDH|10965923529843153013</stp>
        <tr r="X10" s="12"/>
      </tp>
      <tp t="e">
        <v>#N/A</v>
        <stp/>
        <stp>BDH|10013014410761410878</stp>
        <tr r="Q9" s="6"/>
      </tp>
      <tp t="e">
        <v>#N/A</v>
        <stp/>
        <stp>BDH|11969440872838812254</stp>
        <tr r="O31" s="18"/>
      </tp>
      <tp t="e">
        <v>#N/A</v>
        <stp/>
        <stp>BDH|18362929899317819726</stp>
        <tr r="V55" s="13"/>
      </tp>
      <tp t="e">
        <v>#N/A</v>
        <stp/>
        <stp>BDH|10335743500019191643</stp>
        <tr r="E53" s="24"/>
      </tp>
      <tp t="e">
        <v>#N/A</v>
        <stp/>
        <stp>BDH|18000350562614295176</stp>
        <tr r="E32" s="25"/>
        <tr r="E18" s="27"/>
      </tp>
      <tp t="e">
        <v>#N/A</v>
        <stp/>
        <stp>BDH|10376498810559169495</stp>
        <tr r="X16" s="6"/>
      </tp>
      <tp t="e">
        <v>#N/A</v>
        <stp/>
        <stp>BDH|10518038880651549113</stp>
        <tr r="H81" s="17"/>
        <tr r="H20" s="3"/>
        <tr r="F6" s="7"/>
      </tp>
      <tp t="e">
        <v>#N/A</v>
        <stp/>
        <stp>BDH|13024889754633618584</stp>
        <tr r="X43" s="24"/>
      </tp>
      <tp t="e">
        <v>#N/A</v>
        <stp/>
        <stp>BDH|15186549386061788161</stp>
        <tr r="V34" s="29"/>
      </tp>
      <tp t="e">
        <v>#N/A</v>
        <stp/>
        <stp>BDH|13949828827645621480</stp>
        <tr r="K74" s="10"/>
        <tr r="K66" s="11"/>
      </tp>
      <tp t="e">
        <v>#N/A</v>
        <stp/>
        <stp>BDH|13657169636050672923</stp>
        <tr r="M57" s="6"/>
      </tp>
      <tp t="e">
        <v>#N/A</v>
        <stp/>
        <stp>BDH|12938733588985322034</stp>
        <tr r="G22" s="27"/>
      </tp>
      <tp t="e">
        <v>#N/A</v>
        <stp/>
        <stp>BDH|13969304198818139926</stp>
        <tr r="F111" s="18"/>
      </tp>
      <tp t="e">
        <v>#N/A</v>
        <stp/>
        <stp>BDH|16741654508209030182</stp>
        <tr r="X7" s="2"/>
        <tr r="W7" s="5"/>
        <tr r="W7" s="9"/>
        <tr r="Z14" s="3"/>
      </tp>
      <tp t="e">
        <v>#N/A</v>
        <stp/>
        <stp>BDH|17640862512975692365</stp>
        <tr r="M42" s="17"/>
      </tp>
      <tp t="e">
        <v>#N/A</v>
        <stp/>
        <stp>BDH|18220137876403028550</stp>
        <tr r="Q58" s="21"/>
        <tr r="Q37" s="25"/>
        <tr r="O31" s="4"/>
        <tr r="O54" s="11"/>
      </tp>
      <tp t="e">
        <v>#N/A</v>
        <stp/>
        <stp>BDH|16460844126660127454</stp>
        <tr r="C42" s="18"/>
      </tp>
      <tp t="e">
        <v>#N/A</v>
        <stp/>
        <stp>BDH|11981014290828302896</stp>
        <tr r="R11" s="24"/>
      </tp>
      <tp t="e">
        <v>#N/A</v>
        <stp/>
        <stp>BDH|15195044856859147100</stp>
        <tr r="Q15" s="12"/>
      </tp>
      <tp t="e">
        <v>#N/A</v>
        <stp/>
        <stp>BDH|14801384906756414903</stp>
        <tr r="G14" s="2"/>
        <tr r="G11" s="10"/>
      </tp>
      <tp t="e">
        <v>#N/A</v>
        <stp/>
        <stp>BDH|13170026175104314870</stp>
        <tr r="U46" s="24"/>
      </tp>
      <tp t="e">
        <v>#N/A</v>
        <stp/>
        <stp>BDH|12328956557281421775</stp>
        <tr r="U22" s="7"/>
      </tp>
      <tp t="e">
        <v>#N/A</v>
        <stp/>
        <stp>BDH|17646827903502203576</stp>
        <tr r="X26" s="21"/>
      </tp>
      <tp t="e">
        <v>#N/A</v>
        <stp/>
        <stp>BDH|17870791387289337977</stp>
        <tr r="V28" s="12"/>
      </tp>
      <tp t="e">
        <v>#N/A</v>
        <stp/>
        <stp>BDH|18092553499849928570</stp>
        <tr r="E90" s="17"/>
      </tp>
      <tp t="e">
        <v>#N/A</v>
        <stp/>
        <stp>BDH|13450142156459630620</stp>
        <tr r="S13" s="20"/>
      </tp>
      <tp t="e">
        <v>#N/A</v>
        <stp/>
        <stp>BDH|13394996508920332232</stp>
        <tr r="D40" s="18"/>
      </tp>
      <tp t="e">
        <v>#N/A</v>
        <stp/>
        <stp>BDH|18298066801808020873</stp>
        <tr r="D65" s="24"/>
      </tp>
      <tp t="e">
        <v>#N/A</v>
        <stp/>
        <stp>BDH|10650166341055704845</stp>
        <tr r="Z36" s="34"/>
      </tp>
      <tp t="e">
        <v>#N/A</v>
        <stp/>
        <stp>BDH|10334237705192676817</stp>
        <tr r="L15" s="26"/>
      </tp>
      <tp t="e">
        <v>#N/A</v>
        <stp/>
        <stp>BDH|15260720635039121061</stp>
        <tr r="Y68" s="12"/>
      </tp>
      <tp t="e">
        <v>#N/A</v>
        <stp/>
        <stp>BDH|10361783231248867404</stp>
        <tr r="H13" s="11"/>
      </tp>
      <tp t="e">
        <v>#N/A</v>
        <stp/>
        <stp>BDH|14419265087543567523</stp>
        <tr r="V28" s="6"/>
      </tp>
      <tp t="e">
        <v>#N/A</v>
        <stp/>
        <stp>BDH|11203173261629407721</stp>
        <tr r="R18" s="20"/>
      </tp>
      <tp t="e">
        <v>#N/A</v>
        <stp/>
        <stp>BDH|13280723282500584452</stp>
        <tr r="H125" s="18"/>
      </tp>
      <tp t="e">
        <v>#N/A</v>
        <stp/>
        <stp>BDH|14869654293920933322</stp>
        <tr r="V87" s="24"/>
      </tp>
      <tp t="e">
        <v>#N/A</v>
        <stp/>
        <stp>BDH|18095103514707150701</stp>
        <tr r="Z51" s="24"/>
      </tp>
      <tp t="e">
        <v>#N/A</v>
        <stp/>
        <stp>BDH|10867855253731948428</stp>
        <tr r="F69" s="18"/>
      </tp>
      <tp t="e">
        <v>#N/A</v>
        <stp/>
        <stp>BDH|17268980609934207247</stp>
        <tr r="U8" s="8"/>
      </tp>
      <tp t="e">
        <v>#N/A</v>
        <stp/>
        <stp>BDH|12132299306960395882</stp>
        <tr r="M66" s="18"/>
      </tp>
      <tp t="e">
        <v>#N/A</v>
        <stp/>
        <stp>BDH|12697957665545613055</stp>
        <tr r="L101" s="18"/>
      </tp>
      <tp t="e">
        <v>#N/A</v>
        <stp/>
        <stp>BDH|16326910487237188816</stp>
        <tr r="M17" s="11"/>
      </tp>
      <tp t="e">
        <v>#N/A</v>
        <stp/>
        <stp>BDH|12593277621599104375</stp>
        <tr r="S59" s="24"/>
      </tp>
      <tp t="e">
        <v>#N/A</v>
        <stp/>
        <stp>BDH|14660957443486138748</stp>
        <tr r="I57" s="10"/>
        <tr r="I49" s="11"/>
        <tr r="I18" s="7"/>
        <tr r="K57" s="13"/>
      </tp>
      <tp t="e">
        <v>#N/A</v>
        <stp/>
        <stp>BDH|10330838545560753475</stp>
        <tr r="AA15" s="17"/>
        <tr r="AA18" s="28"/>
      </tp>
      <tp t="e">
        <v>#N/A</v>
        <stp/>
        <stp>BDH|12272119478728968472</stp>
        <tr r="U24" s="10"/>
      </tp>
      <tp t="e">
        <v>#N/A</v>
        <stp/>
        <stp>BDH|11881387586582261010</stp>
        <tr r="V9" s="30"/>
      </tp>
      <tp t="e">
        <v>#N/A</v>
        <stp/>
        <stp>BDH|11636634195505090357</stp>
        <tr r="U91" s="18"/>
      </tp>
      <tp t="e">
        <v>#N/A</v>
        <stp/>
        <stp>BDH|10465221293513856084</stp>
        <tr r="Z74" s="12"/>
      </tp>
      <tp t="e">
        <v>#N/A</v>
        <stp/>
        <stp>BDH|10006294594291038287</stp>
        <tr r="O79" s="18"/>
      </tp>
      <tp t="e">
        <v>#N/A</v>
        <stp/>
        <stp>BDH|11542854606632440373</stp>
        <tr r="W60" s="11"/>
        <tr r="Y19" s="23"/>
      </tp>
      <tp t="e">
        <v>#N/A</v>
        <stp/>
        <stp>BDH|16852185222359105462</stp>
        <tr r="T28" s="34"/>
      </tp>
      <tp t="e">
        <v>#N/A</v>
        <stp/>
        <stp>BDH|11778707392762103517</stp>
        <tr r="U7" s="28"/>
      </tp>
      <tp t="e">
        <v>#N/A</v>
        <stp/>
        <stp>BDH|12438791399670701463</stp>
        <tr r="G57" s="18"/>
      </tp>
      <tp t="e">
        <v>#N/A</v>
        <stp/>
        <stp>BDH|10759525176413165975</stp>
        <tr r="O16" s="21"/>
      </tp>
      <tp t="e">
        <v>#N/A</v>
        <stp/>
        <stp>BDH|10748005062996379838</stp>
        <tr r="N85" s="18"/>
      </tp>
      <tp t="e">
        <v>#N/A</v>
        <stp/>
        <stp>BDH|16580083546082655889</stp>
        <tr r="I7" s="8"/>
      </tp>
      <tp t="e">
        <v>#N/A</v>
        <stp/>
        <stp>BDH|12913662827486952845</stp>
        <tr r="H85" s="12"/>
      </tp>
      <tp t="e">
        <v>#N/A</v>
        <stp/>
        <stp>BDH|15351509981339710908</stp>
        <tr r="L11" s="24"/>
      </tp>
      <tp t="e">
        <v>#N/A</v>
        <stp/>
        <stp>BDH|12620743862549726220</stp>
        <tr r="N57" s="17"/>
      </tp>
      <tp t="e">
        <v>#N/A</v>
        <stp/>
        <stp>BDH|14963918964641894217</stp>
        <tr r="D8" s="17"/>
      </tp>
      <tp t="e">
        <v>#N/A</v>
        <stp/>
        <stp>BDH|15189721761178269458</stp>
        <tr r="V9" s="26"/>
      </tp>
      <tp t="e">
        <v>#N/A</v>
        <stp/>
        <stp>BDH|15179408645359014418</stp>
        <tr r="G91" s="17"/>
        <tr r="G7" s="27"/>
      </tp>
      <tp t="e">
        <v>#N/A</v>
        <stp/>
        <stp>BDH|15340767343779170726</stp>
        <tr r="U69" s="10"/>
      </tp>
      <tp t="e">
        <v>#N/A</v>
        <stp/>
        <stp>BDH|13445456287673527463</stp>
        <tr r="L25" s="3"/>
      </tp>
      <tp t="e">
        <v>#N/A</v>
        <stp/>
        <stp>BDH|10437857493548617114</stp>
        <tr r="E9" s="11"/>
      </tp>
      <tp t="e">
        <v>#N/A</v>
        <stp/>
        <stp>BDH|11689284933701159985</stp>
        <tr r="C62" s="13"/>
      </tp>
      <tp t="e">
        <v>#N/A</v>
        <stp/>
        <stp>BDH|17328240562612489957</stp>
        <tr r="J70" s="18"/>
      </tp>
      <tp t="e">
        <v>#N/A</v>
        <stp/>
        <stp>BDH|12583082662528916425</stp>
        <tr r="G58" s="17"/>
      </tp>
      <tp t="e">
        <v>#N/A</v>
        <stp/>
        <stp>BDH|15872205686475282285</stp>
        <tr r="T12" s="14"/>
      </tp>
      <tp t="e">
        <v>#N/A</v>
        <stp/>
        <stp>BDH|13579239961926258918</stp>
        <tr r="Q47" s="21"/>
      </tp>
      <tp t="e">
        <v>#N/A</v>
        <stp/>
        <stp>BDH|12792325487744263547</stp>
        <tr r="S32" s="10"/>
        <tr r="S24" s="11"/>
      </tp>
      <tp t="e">
        <v>#N/A</v>
        <stp/>
        <stp>BDH|12947257559149387420</stp>
        <tr r="O43" s="24"/>
      </tp>
      <tp t="e">
        <v>#N/A</v>
        <stp/>
        <stp>BDH|16755418522379677163</stp>
        <tr r="L9" s="24"/>
      </tp>
      <tp t="e">
        <v>#N/A</v>
        <stp/>
        <stp>BDH|13839062078774071828</stp>
        <tr r="O27" s="17"/>
      </tp>
      <tp t="e">
        <v>#N/A</v>
        <stp/>
        <stp>BDH|11053897335896067484</stp>
        <tr r="X20" s="9"/>
      </tp>
      <tp t="e">
        <v>#N/A</v>
        <stp/>
        <stp>BDH|17126900527841162534</stp>
        <tr r="V14" s="17"/>
        <tr r="V17" s="28"/>
      </tp>
      <tp t="e">
        <v>#N/A</v>
        <stp/>
        <stp>BDH|10366785590866961062</stp>
        <tr r="X26" s="12"/>
      </tp>
      <tp t="e">
        <v>#N/A</v>
        <stp/>
        <stp>BDH|15088129185094177029</stp>
        <tr r="C24" s="10"/>
      </tp>
      <tp t="e">
        <v>#N/A</v>
        <stp/>
        <stp>BDH|12329803645052795456</stp>
        <tr r="H12" s="22"/>
      </tp>
      <tp t="e">
        <v>#N/A</v>
        <stp/>
        <stp>BDH|10444219014463332866</stp>
        <tr r="J24" s="2"/>
      </tp>
      <tp t="e">
        <v>#N/A</v>
        <stp/>
        <stp>BDH|13044297189120425103</stp>
        <tr r="I27" s="22"/>
      </tp>
      <tp t="e">
        <v>#N/A</v>
        <stp/>
        <stp>BDH|10166026775296376917</stp>
        <tr r="Q46" s="18"/>
      </tp>
      <tp t="e">
        <v>#N/A</v>
        <stp/>
        <stp>BDH|15188978955971390042</stp>
        <tr r="P13" s="30"/>
      </tp>
      <tp t="e">
        <v>#N/A</v>
        <stp/>
        <stp>BDH|13945220084073912227</stp>
        <tr r="D71" s="24"/>
      </tp>
      <tp t="e">
        <v>#N/A</v>
        <stp/>
        <stp>BDH|14207032254841139808</stp>
        <tr r="Q15" s="25"/>
      </tp>
      <tp t="e">
        <v>#N/A</v>
        <stp/>
        <stp>BDH|16405780142334905932</stp>
        <tr r="O12" s="25"/>
      </tp>
      <tp t="e">
        <v>#N/A</v>
        <stp/>
        <stp>BDH|13025742890931212428</stp>
        <tr r="M28" s="12"/>
      </tp>
      <tp t="e">
        <v>#N/A</v>
        <stp/>
        <stp>BDH|13767437507086713900</stp>
        <tr r="Y23" s="17"/>
      </tp>
      <tp t="e">
        <v>#N/A</v>
        <stp/>
        <stp>BDH|16691724578007099983</stp>
        <tr r="W35" s="34"/>
      </tp>
      <tp t="e">
        <v>#N/A</v>
        <stp/>
        <stp>BDH|12862900920724801546</stp>
        <tr r="T73" s="24"/>
      </tp>
      <tp t="e">
        <v>#N/A</v>
        <stp/>
        <stp>BDH|13360823942706668113</stp>
        <tr r="F36" s="21"/>
      </tp>
      <tp t="e">
        <v>#N/A</v>
        <stp/>
        <stp>BDH|14947165649690184939</stp>
        <tr r="N34" s="12"/>
      </tp>
      <tp t="e">
        <v>#N/A</v>
        <stp/>
        <stp>BDH|10718908602437507648</stp>
        <tr r="J116" s="18"/>
      </tp>
      <tp t="e">
        <v>#N/A</v>
        <stp/>
        <stp>BDH|17565914795008176740</stp>
        <tr r="H13" s="18"/>
      </tp>
      <tp t="e">
        <v>#N/A</v>
        <stp/>
        <stp>BDH|14203268390566601168</stp>
        <tr r="G53" s="6"/>
        <tr r="I10" s="8"/>
      </tp>
      <tp t="e">
        <v>#N/A</v>
        <stp/>
        <stp>BDH|12747900985088257344</stp>
        <tr r="M6" s="28"/>
      </tp>
      <tp t="e">
        <v>#N/A</v>
        <stp/>
        <stp>BDH|10446005491946289734</stp>
        <tr r="X19" s="9"/>
      </tp>
      <tp t="e">
        <v>#N/A</v>
        <stp/>
        <stp>BDH|16815586571268724423</stp>
        <tr r="L75" s="24"/>
      </tp>
      <tp t="e">
        <v>#N/A</v>
        <stp/>
        <stp>BDH|11870564439599380635</stp>
        <tr r="T68" s="18"/>
      </tp>
      <tp t="e">
        <v>#N/A</v>
        <stp/>
        <stp>BDH|13981774900444143887</stp>
        <tr r="S24" s="24"/>
      </tp>
      <tp t="e">
        <v>#N/A</v>
        <stp/>
        <stp>BDH|14781234359769971237</stp>
        <tr r="W127" s="18"/>
      </tp>
      <tp t="e">
        <v>#N/A</v>
        <stp/>
        <stp>BDH|15409409709180951936</stp>
        <tr r="P24" s="6"/>
      </tp>
      <tp t="e">
        <v>#N/A</v>
        <stp/>
        <stp>BDH|14937516789592420328</stp>
        <tr r="O23" s="21"/>
      </tp>
      <tp t="e">
        <v>#N/A</v>
        <stp/>
        <stp>BDH|10052068598381126083</stp>
        <tr r="C25" s="3"/>
      </tp>
      <tp t="e">
        <v>#N/A</v>
        <stp/>
        <stp>BDH|10137218909622734891</stp>
        <tr r="X26" s="10"/>
        <tr r="Z32" s="13"/>
      </tp>
      <tp t="e">
        <v>#N/A</v>
        <stp/>
        <stp>BDH|12375168835531301947</stp>
        <tr r="F41" s="22"/>
      </tp>
      <tp t="e">
        <v>#N/A</v>
        <stp/>
        <stp>BDH|10975983063142195541</stp>
        <tr r="E141" s="18"/>
      </tp>
      <tp t="e">
        <v>#N/A</v>
        <stp/>
        <stp>BDH|13575359197600844181</stp>
        <tr r="X84" s="18"/>
      </tp>
      <tp t="e">
        <v>#N/A</v>
        <stp/>
        <stp>BDH|16530177123299693403</stp>
        <tr r="U75" s="17"/>
        <tr r="R9" s="5"/>
        <tr r="R9" s="9"/>
      </tp>
      <tp t="e">
        <v>#N/A</v>
        <stp/>
        <stp>BDH|11978115898286682714</stp>
        <tr r="V17" s="5"/>
        <tr r="V36" s="6"/>
      </tp>
      <tp t="e">
        <v>#N/A</v>
        <stp/>
        <stp>BDH|13105462555533219975</stp>
        <tr r="R10" s="14"/>
      </tp>
      <tp t="e">
        <v>#N/A</v>
        <stp/>
        <stp>BDH|18104128175077081113</stp>
        <tr r="Y75" s="24"/>
      </tp>
      <tp t="e">
        <v>#N/A</v>
        <stp/>
        <stp>BDH|13304983140613461581</stp>
        <tr r="C16" s="22"/>
      </tp>
      <tp t="e">
        <v>#N/A</v>
        <stp/>
        <stp>BDH|15686833951674040438</stp>
        <tr r="O23" s="30"/>
        <tr r="O25" s="23"/>
      </tp>
      <tp t="e">
        <v>#N/A</v>
        <stp/>
        <stp>BDH|13677141121350731837</stp>
        <tr r="O83" s="12"/>
      </tp>
      <tp t="e">
        <v>#N/A</v>
        <stp/>
        <stp>BDH|10012632877748514165</stp>
        <tr r="X37" s="24"/>
      </tp>
      <tp t="e">
        <v>#N/A</v>
        <stp/>
        <stp>BDH|13766419755883623925</stp>
        <tr r="O49" s="24"/>
      </tp>
      <tp t="e">
        <v>#N/A</v>
        <stp/>
        <stp>BDH|11483805307138085944</stp>
        <tr r="Q55" s="17"/>
      </tp>
      <tp t="e">
        <v>#N/A</v>
        <stp/>
        <stp>BDH|11674264281955684605</stp>
        <tr r="N44" s="12"/>
      </tp>
      <tp t="e">
        <v>#N/A</v>
        <stp/>
        <stp>BDH|16051873756423667003</stp>
        <tr r="M49" s="17"/>
      </tp>
      <tp t="e">
        <v>#N/A</v>
        <stp/>
        <stp>BDH|17962830061145434482</stp>
        <tr r="AA82" s="17"/>
      </tp>
      <tp t="e">
        <v>#N/A</v>
        <stp/>
        <stp>BDH|15558901133442824597</stp>
        <tr r="O44" s="12"/>
      </tp>
      <tp t="e">
        <v>#N/A</v>
        <stp/>
        <stp>BDH|12282632583886164241</stp>
        <tr r="L74" s="17"/>
      </tp>
      <tp t="e">
        <v>#N/A</v>
        <stp/>
        <stp>BDH|12905249989809347900</stp>
        <tr r="P32" s="18"/>
      </tp>
      <tp t="e">
        <v>#N/A</v>
        <stp/>
        <stp>BDH|18051028502302431239</stp>
        <tr r="K19" s="30"/>
      </tp>
      <tp t="e">
        <v>#N/A</v>
        <stp/>
        <stp>BDH|16797821483399347735</stp>
        <tr r="C47" s="24"/>
      </tp>
      <tp t="e">
        <v>#N/A</v>
        <stp/>
        <stp>BDH|14885155851321875923</stp>
        <tr r="H34" s="6"/>
      </tp>
      <tp t="e">
        <v>#N/A</v>
        <stp/>
        <stp>BDH|11371895417557884735</stp>
        <tr r="X38" s="12"/>
      </tp>
      <tp t="e">
        <v>#N/A</v>
        <stp/>
        <stp>BDH|17374935311927237052</stp>
        <tr r="L46" s="13"/>
      </tp>
      <tp t="e">
        <v>#N/A</v>
        <stp/>
        <stp>BDH|18404911882874097519</stp>
        <tr r="D67" s="12"/>
      </tp>
      <tp t="e">
        <v>#N/A</v>
        <stp/>
        <stp>BDH|11824306926199092185</stp>
        <tr r="O35" s="25"/>
      </tp>
      <tp t="e">
        <v>#N/A</v>
        <stp/>
        <stp>BDH|13197032465365396828</stp>
        <tr r="J36" s="10"/>
        <tr r="J48" s="10"/>
        <tr r="J28" s="11"/>
        <tr r="J40" s="11"/>
      </tp>
      <tp t="e">
        <v>#N/A</v>
        <stp/>
        <stp>BDH|14385466098202907325</stp>
        <tr r="R42" s="21"/>
      </tp>
      <tp t="e">
        <v>#N/A</v>
        <stp/>
        <stp>BDH|10058134395862268227</stp>
        <tr r="N67" s="18"/>
      </tp>
      <tp t="e">
        <v>#N/A</v>
        <stp/>
        <stp>BDH|17444186790053395493</stp>
        <tr r="D21" s="9"/>
      </tp>
      <tp t="e">
        <v>#N/A</v>
        <stp/>
        <stp>BDH|16037018526224365820</stp>
        <tr r="K17" s="6"/>
      </tp>
      <tp t="e">
        <v>#N/A</v>
        <stp/>
        <stp>BDH|17358418664538648563</stp>
        <tr r="H12" s="11"/>
      </tp>
      <tp t="e">
        <v>#N/A</v>
        <stp/>
        <stp>BDH|13493832320342872390</stp>
        <tr r="S40" s="12"/>
      </tp>
      <tp t="e">
        <v>#N/A</v>
        <stp/>
        <stp>BDH|15474881269716698556</stp>
        <tr r="W52" s="6"/>
        <tr r="Y9" s="8"/>
      </tp>
      <tp t="e">
        <v>#N/A</v>
        <stp/>
        <stp>BDH|18304355065344024159</stp>
        <tr r="AA18" s="18"/>
      </tp>
      <tp t="e">
        <v>#N/A</v>
        <stp/>
        <stp>BDH|17750449585143673067</stp>
        <tr r="I33" s="21"/>
      </tp>
      <tp t="e">
        <v>#N/A</v>
        <stp/>
        <stp>BDH|11106254680964582779</stp>
        <tr r="M68" s="12"/>
      </tp>
      <tp t="e">
        <v>#N/A</v>
        <stp/>
        <stp>BDH|14140121772969500320</stp>
        <tr r="AA17" s="30"/>
      </tp>
      <tp t="e">
        <v>#N/A</v>
        <stp/>
        <stp>BDH|14517727683553399019</stp>
        <tr r="D13" s="21"/>
      </tp>
      <tp t="e">
        <v>#N/A</v>
        <stp/>
        <stp>BDH|15181609227599964091</stp>
        <tr r="I24" s="12"/>
      </tp>
      <tp t="e">
        <v>#N/A</v>
        <stp/>
        <stp>BDH|13673241825483227833</stp>
        <tr r="F12" s="25"/>
      </tp>
      <tp t="e">
        <v>#N/A</v>
        <stp/>
        <stp>BDH|16211082799165661237</stp>
        <tr r="O15" s="11"/>
      </tp>
      <tp t="e">
        <v>#N/A</v>
        <stp/>
        <stp>BDH|15402928863010129228</stp>
        <tr r="M68" s="18"/>
      </tp>
      <tp t="e">
        <v>#N/A</v>
        <stp/>
        <stp>BDH|15287951209143915718</stp>
        <tr r="J124" s="18"/>
      </tp>
      <tp t="e">
        <v>#N/A</v>
        <stp/>
        <stp>BDH|14714720483106606561</stp>
        <tr r="AA85" s="18"/>
      </tp>
      <tp t="e">
        <v>#N/A</v>
        <stp/>
        <stp>BDH|13392461279200882823</stp>
        <tr r="F14" s="2"/>
        <tr r="F11" s="10"/>
      </tp>
      <tp t="e">
        <v>#N/A</v>
        <stp/>
        <stp>BDH|12783619297180568526</stp>
        <tr r="H18" s="12"/>
      </tp>
      <tp t="e">
        <v>#N/A</v>
        <stp/>
        <stp>BDH|12296628461969686316</stp>
        <tr r="W28" s="18"/>
      </tp>
      <tp t="e">
        <v>#N/A</v>
        <stp/>
        <stp>BDH|12450840092012653926</stp>
        <tr r="N26" s="12"/>
      </tp>
      <tp t="e">
        <v>#N/A</v>
        <stp/>
        <stp>BDH|11655065480099054860</stp>
        <tr r="V69" s="17"/>
      </tp>
      <tp t="e">
        <v>#N/A</v>
        <stp/>
        <stp>BDH|16365736940074245941</stp>
        <tr r="Y62" s="24"/>
      </tp>
      <tp t="e">
        <v>#N/A</v>
        <stp/>
        <stp>BDH|17823234549509212067</stp>
        <tr r="E49" s="13"/>
      </tp>
      <tp t="e">
        <v>#N/A</v>
        <stp/>
        <stp>BDH|11222904752445031064</stp>
        <tr r="U75" s="18"/>
        <tr r="U64" s="12"/>
      </tp>
      <tp t="e">
        <v>#N/A</v>
        <stp/>
        <stp>BDH|13538264454779037517</stp>
        <tr r="V37" s="24"/>
      </tp>
      <tp t="e">
        <v>#N/A</v>
        <stp/>
        <stp>BDH|17403647245258020533</stp>
        <tr r="J14" s="22"/>
      </tp>
      <tp t="e">
        <v>#N/A</v>
        <stp/>
        <stp>BDH|10570651717387974879</stp>
        <tr r="O27" s="25"/>
        <tr r="O13" s="27"/>
      </tp>
      <tp t="e">
        <v>#N/A</v>
        <stp/>
        <stp>BDH|17842571000709583330</stp>
        <tr r="S76" s="12"/>
      </tp>
      <tp t="e">
        <v>#N/A</v>
        <stp/>
        <stp>BDH|12636503458279416339</stp>
        <tr r="R30" s="10"/>
        <tr r="T36" s="13"/>
      </tp>
      <tp t="e">
        <v>#N/A</v>
        <stp/>
        <stp>BDH|15694525555419109497</stp>
        <tr r="Y62" s="18"/>
      </tp>
      <tp t="e">
        <v>#N/A</v>
        <stp/>
        <stp>BDH|12978870909916817461</stp>
        <tr r="G19" s="11"/>
      </tp>
      <tp t="e">
        <v>#N/A</v>
        <stp/>
        <stp>BDH|16825045483497789115</stp>
        <tr r="V49" s="21"/>
      </tp>
      <tp t="e">
        <v>#N/A</v>
        <stp/>
        <stp>BDH|10277161251819400583</stp>
        <tr r="Q15" s="29"/>
        <tr r="Q38" s="29"/>
      </tp>
      <tp t="e">
        <v>#N/A</v>
        <stp/>
        <stp>BDH|10744632072860809972</stp>
        <tr r="O42" s="6"/>
      </tp>
      <tp t="e">
        <v>#N/A</v>
        <stp/>
        <stp>BDH|15664832629104601339</stp>
        <tr r="L33" s="18"/>
      </tp>
      <tp t="e">
        <v>#N/A</v>
        <stp/>
        <stp>BDH|15797155208118061438</stp>
        <tr r="R10" s="24"/>
      </tp>
      <tp t="e">
        <v>#N/A</v>
        <stp/>
        <stp>BDH|15214961442042749286</stp>
        <tr r="Z32" s="26"/>
      </tp>
      <tp t="e">
        <v>#N/A</v>
        <stp/>
        <stp>BDH|14369040025388933624</stp>
        <tr r="X18" s="24"/>
      </tp>
      <tp t="e">
        <v>#N/A</v>
        <stp/>
        <stp>BDH|10700298288881692398</stp>
        <tr r="M33" s="10"/>
        <tr r="M25" s="11"/>
      </tp>
      <tp t="e">
        <v>#N/A</v>
        <stp/>
        <stp>BDH|16088294092313516679</stp>
        <tr r="V8" s="11"/>
      </tp>
      <tp t="e">
        <v>#N/A</v>
        <stp/>
        <stp>BDH|12745850587542571891</stp>
        <tr r="R63" s="12"/>
      </tp>
      <tp t="e">
        <v>#N/A</v>
        <stp/>
        <stp>BDH|17639182535184669940</stp>
        <tr r="I21" s="14"/>
      </tp>
      <tp t="e">
        <v>#N/A</v>
        <stp/>
        <stp>BDH|14951592361158872707</stp>
        <tr r="V35" s="12"/>
      </tp>
      <tp t="e">
        <v>#N/A</v>
        <stp/>
        <stp>BDH|13382647089867575226</stp>
        <tr r="X93" s="18"/>
      </tp>
      <tp t="e">
        <v>#N/A</v>
        <stp/>
        <stp>BDH|14995149318255920956</stp>
        <tr r="O20" s="27"/>
      </tp>
      <tp t="e">
        <v>#N/A</v>
        <stp/>
        <stp>BDH|13796635099817522312</stp>
        <tr r="P59" s="24"/>
      </tp>
      <tp t="e">
        <v>#N/A</v>
        <stp/>
        <stp>BDH|12222562478498649034</stp>
        <tr r="S128" s="18"/>
      </tp>
      <tp t="e">
        <v>#N/A</v>
        <stp/>
        <stp>BDH|18252590455572177263</stp>
        <tr r="D73" s="24"/>
      </tp>
      <tp t="e">
        <v>#N/A</v>
        <stp/>
        <stp>BDH|17283591682304747665</stp>
        <tr r="AA7" s="23"/>
      </tp>
      <tp t="e">
        <v>#N/A</v>
        <stp/>
        <stp>BDH|10992095042335211984</stp>
        <tr r="G23" s="13"/>
      </tp>
      <tp t="e">
        <v>#N/A</v>
        <stp/>
        <stp>BDH|14086881909240938402</stp>
        <tr r="X11" s="13"/>
      </tp>
      <tp t="e">
        <v>#N/A</v>
        <stp/>
        <stp>BDH|12835508752189437360</stp>
        <tr r="D23" s="30"/>
        <tr r="D25" s="23"/>
      </tp>
      <tp t="e">
        <v>#N/A</v>
        <stp/>
        <stp>BDH|17676143927548813459</stp>
        <tr r="S7" s="11"/>
      </tp>
      <tp t="e">
        <v>#N/A</v>
        <stp/>
        <stp>BDH|14604526498326489604</stp>
        <tr r="C55" s="17"/>
      </tp>
      <tp t="e">
        <v>#N/A</v>
        <stp/>
        <stp>BDH|13002488345113137843</stp>
        <tr r="Q77" s="18"/>
      </tp>
      <tp t="e">
        <v>#N/A</v>
        <stp/>
        <stp>BDH|11011580330937757874</stp>
        <tr r="C8" s="17"/>
      </tp>
      <tp t="e">
        <v>#N/A</v>
        <stp/>
        <stp>BDH|14937838740767449760</stp>
        <tr r="C18" s="21"/>
        <tr r="C23" s="3"/>
      </tp>
      <tp t="e">
        <v>#N/A</v>
        <stp/>
        <stp>BDH|11678419214388227497</stp>
        <tr r="AA74" s="18"/>
      </tp>
      <tp t="e">
        <v>#N/A</v>
        <stp/>
        <stp>BDH|17018418087540632380</stp>
        <tr r="I6" s="15"/>
        <tr r="I12" s="2"/>
        <tr r="I11" s="4"/>
        <tr r="I6" s="10"/>
      </tp>
      <tp t="e">
        <v>#N/A</v>
        <stp/>
        <stp>BDH|10258142164878247784</stp>
        <tr r="V65" s="12"/>
      </tp>
      <tp t="e">
        <v>#N/A</v>
        <stp/>
        <stp>BDH|10215239728751402950</stp>
        <tr r="K49" s="12"/>
      </tp>
      <tp t="e">
        <v>#N/A</v>
        <stp/>
        <stp>BDH|11405887176444642248</stp>
        <tr r="V87" s="18"/>
      </tp>
      <tp t="e">
        <v>#N/A</v>
        <stp/>
        <stp>BDH|15868568680116422623</stp>
        <tr r="O128" s="18"/>
      </tp>
      <tp t="e">
        <v>#N/A</v>
        <stp/>
        <stp>BDH|14761343226849438490</stp>
        <tr r="Z15" s="21"/>
      </tp>
      <tp t="e">
        <v>#N/A</v>
        <stp/>
        <stp>BDH|16591302769018068343</stp>
        <tr r="D21" s="24"/>
      </tp>
      <tp t="e">
        <v>#N/A</v>
        <stp/>
        <stp>BDH|17847108223389647555</stp>
        <tr r="V10" s="24"/>
      </tp>
      <tp t="e">
        <v>#N/A</v>
        <stp/>
        <stp>BDH|10917612881924041212</stp>
        <tr r="L9" s="28"/>
      </tp>
      <tp t="e">
        <v>#N/A</v>
        <stp/>
        <stp>BDH|13124460991353944576</stp>
        <tr r="D86" s="24"/>
      </tp>
      <tp t="e">
        <v>#N/A</v>
        <stp/>
        <stp>BDH|12943007680224403652</stp>
        <tr r="S76" s="17"/>
        <tr r="S19" s="3"/>
      </tp>
      <tp t="e">
        <v>#N/A</v>
        <stp/>
        <stp>BDH|11952330957158059752</stp>
        <tr r="D12" s="11"/>
      </tp>
      <tp t="e">
        <v>#N/A</v>
        <stp/>
        <stp>BDH|14958991571535937700</stp>
        <tr r="AA26" s="18"/>
      </tp>
      <tp t="e">
        <v>#N/A</v>
        <stp/>
        <stp>BDH|11478395154457337827</stp>
        <tr r="O11" s="14"/>
      </tp>
      <tp t="e">
        <v>#N/A</v>
        <stp/>
        <stp>BDH|15979371215128349701</stp>
        <tr r="D14" s="6"/>
      </tp>
      <tp t="e">
        <v>#N/A</v>
        <stp/>
        <stp>BDH|18399044325207359598</stp>
        <tr r="R82" s="17"/>
      </tp>
      <tp t="e">
        <v>#N/A</v>
        <stp/>
        <stp>BDH|18427491219600933557</stp>
        <tr r="W13" s="9"/>
      </tp>
      <tp t="e">
        <v>#N/A</v>
        <stp/>
        <stp>BDH|13124486411108912694</stp>
        <tr r="T11" s="24"/>
      </tp>
      <tp t="e">
        <v>#N/A</v>
        <stp/>
        <stp>BDH|17622058788980578762</stp>
        <tr r="P30" s="5"/>
        <tr r="P30" s="9"/>
      </tp>
      <tp t="e">
        <v>#N/A</v>
        <stp/>
        <stp>BDH|12335896100574541672</stp>
        <tr r="E60" s="12"/>
      </tp>
      <tp t="e">
        <v>#N/A</v>
        <stp/>
        <stp>BDH|18245823284025967557</stp>
        <tr r="H57" s="18"/>
      </tp>
      <tp t="e">
        <v>#N/A</v>
        <stp/>
        <stp>BDH|14161622997725842642</stp>
        <tr r="R37" s="26"/>
      </tp>
      <tp t="e">
        <v>#N/A</v>
        <stp/>
        <stp>BDH|14829060867569278334</stp>
        <tr r="I94" s="18"/>
      </tp>
      <tp t="e">
        <v>#N/A</v>
        <stp/>
        <stp>BDH|11378294086215227667</stp>
        <tr r="P76" s="17"/>
        <tr r="P19" s="3"/>
      </tp>
      <tp t="e">
        <v>#N/A</v>
        <stp/>
        <stp>BDH|11900976543455144142</stp>
        <tr r="C97" s="18"/>
        <tr r="C6" s="20"/>
      </tp>
      <tp t="e">
        <v>#N/A</v>
        <stp/>
        <stp>BDH|13410980017044135726</stp>
        <tr r="G84" s="17"/>
      </tp>
      <tp t="e">
        <v>#N/A</v>
        <stp/>
        <stp>BDH|11191166875027828829</stp>
        <tr r="M44" s="13"/>
      </tp>
      <tp t="e">
        <v>#N/A</v>
        <stp/>
        <stp>BDH|17347506184403624190</stp>
        <tr r="V29" s="21"/>
      </tp>
      <tp t="e">
        <v>#N/A</v>
        <stp/>
        <stp>BDH|10540551191066348298</stp>
        <tr r="H11" s="30"/>
      </tp>
      <tp t="e">
        <v>#N/A</v>
        <stp/>
        <stp>BDH|15680632095697230597</stp>
        <tr r="P79" s="18"/>
      </tp>
      <tp t="e">
        <v>#N/A</v>
        <stp/>
        <stp>BDH|13807079580005605621</stp>
        <tr r="H39" s="12"/>
      </tp>
      <tp t="e">
        <v>#N/A</v>
        <stp/>
        <stp>BDH|10262091097809598829</stp>
        <tr r="I21" s="22"/>
      </tp>
      <tp t="e">
        <v>#N/A</v>
        <stp/>
        <stp>BDH|11895807430367167525</stp>
        <tr r="T25" s="14"/>
      </tp>
      <tp t="e">
        <v>#N/A</v>
        <stp/>
        <stp>BDH|13254883341200608769</stp>
        <tr r="M115" s="18"/>
      </tp>
      <tp t="e">
        <v>#N/A</v>
        <stp/>
        <stp>BDH|14425872726244968279</stp>
        <tr r="R15" s="13"/>
      </tp>
      <tp t="e">
        <v>#N/A</v>
        <stp/>
        <stp>BDH|15146973182894657896</stp>
        <tr r="X90" s="24"/>
      </tp>
      <tp t="e">
        <v>#N/A</v>
        <stp/>
        <stp>BDH|15163086393310366429</stp>
        <tr r="D39" s="24"/>
      </tp>
      <tp t="e">
        <v>#N/A</v>
        <stp/>
        <stp>BDH|15530745498171090222</stp>
        <tr r="Y16" s="25"/>
      </tp>
      <tp t="e">
        <v>#N/A</v>
        <stp/>
        <stp>BDH|14565905471593915164</stp>
        <tr r="L23" s="22"/>
      </tp>
      <tp t="e">
        <v>#N/A</v>
        <stp/>
        <stp>BDH|16471689340985031977</stp>
        <tr r="P26" s="25"/>
        <tr r="P12" s="27"/>
      </tp>
      <tp t="e">
        <v>#N/A</v>
        <stp/>
        <stp>BDH|13895296896758992852</stp>
        <tr r="J20" s="12"/>
      </tp>
      <tp t="e">
        <v>#N/A</v>
        <stp/>
        <stp>BDH|13329834264714840177</stp>
        <tr r="N21" s="9"/>
      </tp>
      <tp t="e">
        <v>#N/A</v>
        <stp/>
        <stp>BDH|16544088589360753688</stp>
        <tr r="O63" s="18"/>
      </tp>
      <tp t="e">
        <v>#N/A</v>
        <stp/>
        <stp>BDH|14920904681249731445</stp>
        <tr r="O16" s="22"/>
      </tp>
      <tp t="e">
        <v>#N/A</v>
        <stp/>
        <stp>BDH|10897526591580708478</stp>
        <tr r="I45" s="13"/>
      </tp>
      <tp t="e">
        <v>#N/A</v>
        <stp/>
        <stp>BDH|13775291993591208142</stp>
        <tr r="U31" s="25"/>
        <tr r="R14" s="5"/>
        <tr r="U17" s="27"/>
      </tp>
      <tp t="e">
        <v>#N/A</v>
        <stp/>
        <stp>BDH|11848438623026086935</stp>
        <tr r="F52" s="6"/>
        <tr r="H9" s="8"/>
      </tp>
      <tp t="e">
        <v>#N/A</v>
        <stp/>
        <stp>BDH|16446985844787464471</stp>
        <tr r="V23" s="22"/>
      </tp>
      <tp t="e">
        <v>#N/A</v>
        <stp/>
        <stp>BDH|14558521764286077981</stp>
        <tr r="S26" s="25"/>
        <tr r="S12" s="27"/>
      </tp>
      <tp t="e">
        <v>#N/A</v>
        <stp/>
        <stp>BDH|16412471295771854252</stp>
        <tr r="E40" s="21"/>
      </tp>
      <tp t="e">
        <v>#N/A</v>
        <stp/>
        <stp>BDH|17937318092894811195</stp>
        <tr r="Q31" s="29"/>
      </tp>
      <tp t="e">
        <v>#N/A</v>
        <stp/>
        <stp>BDH|13561161518159926292</stp>
        <tr r="R10" s="11"/>
      </tp>
      <tp t="e">
        <v>#N/A</v>
        <stp/>
        <stp>BDH|10299908170596979006</stp>
        <tr r="N48" s="6"/>
      </tp>
      <tp t="e">
        <v>#N/A</v>
        <stp/>
        <stp>BDH|11882064593685793517</stp>
        <tr r="O7" s="28"/>
      </tp>
      <tp t="e">
        <v>#N/A</v>
        <stp/>
        <stp>BDH|12689883428700506088</stp>
        <tr r="G24" s="29"/>
      </tp>
      <tp t="e">
        <v>#N/A</v>
        <stp/>
        <stp>BDH|13339010398941564348</stp>
        <tr r="G132" s="18"/>
      </tp>
      <tp t="e">
        <v>#N/A</v>
        <stp/>
        <stp>BDH|15773364718247664843</stp>
        <tr r="O27" s="14"/>
      </tp>
      <tp t="e">
        <v>#N/A</v>
        <stp/>
        <stp>BDH|15489408423693545896</stp>
        <tr r="J35" s="22"/>
      </tp>
      <tp t="e">
        <v>#N/A</v>
        <stp/>
        <stp>BDH|10903751836548187416</stp>
        <tr r="M47" s="17"/>
      </tp>
      <tp t="e">
        <v>#N/A</v>
        <stp/>
        <stp>BDH|10245087616300088962</stp>
        <tr r="Q40" s="10"/>
        <tr r="Q32" s="11"/>
      </tp>
      <tp t="e">
        <v>#N/A</v>
        <stp/>
        <stp>BDH|17852309342260718876</stp>
        <tr r="O31" s="22"/>
      </tp>
      <tp t="e">
        <v>#N/A</v>
        <stp/>
        <stp>BDH|16182894493476435953</stp>
        <tr r="P30" s="24"/>
      </tp>
      <tp t="e">
        <v>#N/A</v>
        <stp/>
        <stp>BDH|18107596550827447765</stp>
        <tr r="F9" s="21"/>
      </tp>
      <tp t="e">
        <v>#N/A</v>
        <stp/>
        <stp>BDH|17074986870207268608</stp>
        <tr r="AA38" s="12"/>
      </tp>
      <tp t="e">
        <v>#N/A</v>
        <stp/>
        <stp>BDH|16413339187656848326</stp>
        <tr r="J72" s="10"/>
        <tr r="J64" s="11"/>
      </tp>
      <tp t="e">
        <v>#N/A</v>
        <stp/>
        <stp>BDH|14753084123996239847</stp>
        <tr r="T11" s="29"/>
      </tp>
      <tp t="e">
        <v>#N/A</v>
        <stp/>
        <stp>BDH|13713141069129969595</stp>
        <tr r="J121" s="18"/>
      </tp>
      <tp t="e">
        <v>#N/A</v>
        <stp/>
        <stp>BDH|11706165365728947674</stp>
        <tr r="K41" s="12"/>
      </tp>
      <tp t="e">
        <v>#N/A</v>
        <stp/>
        <stp>BDH|10551340588166131525</stp>
        <tr r="Q32" s="24"/>
      </tp>
      <tp t="e">
        <v>#N/A</v>
        <stp/>
        <stp>BDH|16028017786267512187</stp>
        <tr r="G141" s="18"/>
      </tp>
      <tp t="e">
        <v>#N/A</v>
        <stp/>
        <stp>BDH|10567753524944642989</stp>
        <tr r="W37" s="24"/>
      </tp>
      <tp t="e">
        <v>#N/A</v>
        <stp/>
        <stp>BDH|14568486719749654082</stp>
        <tr r="J13" s="6"/>
      </tp>
      <tp t="e">
        <v>#N/A</v>
        <stp/>
        <stp>BDH|17556647263077120890</stp>
        <tr r="Z62" s="24"/>
      </tp>
      <tp t="e">
        <v>#N/A</v>
        <stp/>
        <stp>BDH|16366345658301030954</stp>
        <tr r="T33" s="12"/>
      </tp>
      <tp t="e">
        <v>#N/A</v>
        <stp/>
        <stp>BDH|13003881308261953230</stp>
        <tr r="Z10" s="34"/>
      </tp>
      <tp t="e">
        <v>#N/A</v>
        <stp/>
        <stp>BDH|14847585164649643686</stp>
        <tr r="P31" s="25"/>
        <tr r="M14" s="5"/>
        <tr r="P17" s="27"/>
      </tp>
      <tp t="e">
        <v>#N/A</v>
        <stp/>
        <stp>BDH|15035005883560135584</stp>
        <tr r="N21" s="11"/>
      </tp>
      <tp t="e">
        <v>#N/A</v>
        <stp/>
        <stp>BDH|16871463182112259044</stp>
        <tr r="S9" s="13"/>
      </tp>
      <tp t="e">
        <v>#N/A</v>
        <stp/>
        <stp>BDH|14151381125168490528</stp>
        <tr r="G14" s="6"/>
      </tp>
      <tp t="e">
        <v>#N/A</v>
        <stp/>
        <stp>BDH|11502189656608885593</stp>
        <tr r="J18" s="17"/>
      </tp>
      <tp t="e">
        <v>#N/A</v>
        <stp/>
        <stp>BDH|12760189091447047534</stp>
        <tr r="E8" s="4"/>
      </tp>
      <tp t="e">
        <v>#N/A</v>
        <stp/>
        <stp>BDH|17763624442275288882</stp>
        <tr r="F20" s="14"/>
      </tp>
      <tp t="e">
        <v>#N/A</v>
        <stp/>
        <stp>BDH|10864762866671626839</stp>
        <tr r="D126" s="18"/>
      </tp>
      <tp t="e">
        <v>#N/A</v>
        <stp/>
        <stp>BDH|13591992748013064594</stp>
        <tr r="I13" s="22"/>
      </tp>
      <tp t="e">
        <v>#N/A</v>
        <stp/>
        <stp>BDH|12591711405109467486</stp>
        <tr r="V9" s="3"/>
        <tr r="T51" s="10"/>
        <tr r="T43" s="11"/>
        <tr r="T14" s="7"/>
      </tp>
      <tp t="e">
        <v>#N/A</v>
        <stp/>
        <stp>BDH|17801309276859589266</stp>
        <tr r="D14" s="21"/>
      </tp>
      <tp t="e">
        <v>#N/A</v>
        <stp/>
        <stp>BDH|14993344181484752363</stp>
        <tr r="N66" s="12"/>
      </tp>
      <tp t="e">
        <v>#N/A</v>
        <stp/>
        <stp>BDH|16070981163989068866</stp>
        <tr r="M6" s="15"/>
        <tr r="M12" s="2"/>
        <tr r="M11" s="4"/>
        <tr r="M6" s="10"/>
      </tp>
      <tp t="e">
        <v>#N/A</v>
        <stp/>
        <stp>BDH|14712893570704585762</stp>
        <tr r="C25" s="22"/>
      </tp>
      <tp t="e">
        <v>#N/A</v>
        <stp/>
        <stp>BDH|16094137621064629991</stp>
        <tr r="T132" s="18"/>
      </tp>
      <tp t="e">
        <v>#N/A</v>
        <stp/>
        <stp>BDH|17919254784876772327</stp>
        <tr r="P74" s="10"/>
        <tr r="P66" s="11"/>
      </tp>
      <tp t="e">
        <v>#N/A</v>
        <stp/>
        <stp>BDH|17041584134928745161</stp>
        <tr r="C26" s="29"/>
      </tp>
      <tp t="e">
        <v>#N/A</v>
        <stp/>
        <stp>BDH|18132106489319334069</stp>
        <tr r="Y18" s="17"/>
      </tp>
      <tp t="e">
        <v>#N/A</v>
        <stp/>
        <stp>BDH|16347472788772677075</stp>
        <tr r="V17" s="6"/>
      </tp>
      <tp t="e">
        <v>#N/A</v>
        <stp/>
        <stp>BDH|12046934749240176766</stp>
        <tr r="W70" s="24"/>
      </tp>
      <tp t="e">
        <v>#N/A</v>
        <stp/>
        <stp>BDH|12255495186196318030</stp>
        <tr r="C19" s="9"/>
      </tp>
      <tp t="e">
        <v>#N/A</v>
        <stp/>
        <stp>BDH|13515773949090271845</stp>
        <tr r="Z25" s="14"/>
      </tp>
      <tp t="e">
        <v>#N/A</v>
        <stp/>
        <stp>BDH|15749993249008829825</stp>
        <tr r="I84" s="24"/>
      </tp>
      <tp t="e">
        <v>#N/A</v>
        <stp/>
        <stp>BDH|13757912188048207210</stp>
        <tr r="L54" s="17"/>
      </tp>
      <tp t="e">
        <v>#N/A</v>
        <stp/>
        <stp>BDH|15653688386885553606</stp>
        <tr r="E27" s="22"/>
      </tp>
      <tp t="e">
        <v>#N/A</v>
        <stp/>
        <stp>BDH|18394418900796784288</stp>
        <tr r="R13" s="24"/>
      </tp>
      <tp t="e">
        <v>#N/A</v>
        <stp/>
        <stp>BDH|16305155808417442871</stp>
        <tr r="Z40" s="22"/>
      </tp>
      <tp t="e">
        <v>#N/A</v>
        <stp/>
        <stp>BDH|15510792383591773355</stp>
        <tr r="AA8" s="12"/>
      </tp>
      <tp t="e">
        <v>#N/A</v>
        <stp/>
        <stp>BDH|13005323833782865946</stp>
        <tr r="D26" s="29"/>
      </tp>
      <tp t="e">
        <v>#N/A</v>
        <stp/>
        <stp>BDH|12348819290692970968</stp>
        <tr r="O13" s="17"/>
        <tr r="O16" s="28"/>
      </tp>
      <tp t="e">
        <v>#N/A</v>
        <stp/>
        <stp>BDH|17977909115994046308</stp>
        <tr r="M134" s="18"/>
      </tp>
      <tp t="e">
        <v>#N/A</v>
        <stp/>
        <stp>BDH|12362221248218295477</stp>
        <tr r="F10" s="17"/>
      </tp>
      <tp t="e">
        <v>#N/A</v>
        <stp/>
        <stp>BDH|12214791268399898271</stp>
        <tr r="W15" s="12"/>
      </tp>
      <tp t="e">
        <v>#N/A</v>
        <stp/>
        <stp>BDH|13943762308949829534</stp>
        <tr r="R17" s="30"/>
      </tp>
      <tp t="e">
        <v>#N/A</v>
        <stp/>
        <stp>BDH|16108981804364228338</stp>
        <tr r="R27" s="34"/>
      </tp>
      <tp t="e">
        <v>#N/A</v>
        <stp/>
        <stp>BDH|15997850505701472411</stp>
        <tr r="P43" s="21"/>
      </tp>
      <tp t="e">
        <v>#N/A</v>
        <stp/>
        <stp>BDH|11771559196515852006</stp>
        <tr r="X45" s="17"/>
      </tp>
      <tp t="e">
        <v>#N/A</v>
        <stp/>
        <stp>BDH|17041534549207093964</stp>
        <tr r="Q39" s="26"/>
      </tp>
      <tp t="e">
        <v>#N/A</v>
        <stp/>
        <stp>BDH|14335518122928444388</stp>
        <tr r="X54" s="17"/>
      </tp>
      <tp t="e">
        <v>#N/A</v>
        <stp/>
        <stp>BDH|13935533583516509008</stp>
        <tr r="E15" s="5"/>
      </tp>
      <tp t="e">
        <v>#N/A</v>
        <stp/>
        <stp>BDH|14210236880217492190</stp>
        <tr r="C32" s="13"/>
      </tp>
      <tp t="e">
        <v>#N/A</v>
        <stp/>
        <stp>BDH|16705578689674571705</stp>
        <tr r="D52" s="4"/>
        <tr r="F8" s="3"/>
        <tr r="D44" s="10"/>
        <tr r="D36" s="11"/>
        <tr r="F40" s="13"/>
      </tp>
      <tp t="e">
        <v>#N/A</v>
        <stp/>
        <stp>BDH|16647100754583726990</stp>
        <tr r="S7" s="6"/>
      </tp>
      <tp t="e">
        <v>#N/A</v>
        <stp/>
        <stp>BDH|18147188904604786561</stp>
        <tr r="L17" s="29"/>
        <tr r="L40" s="29"/>
      </tp>
      <tp t="e">
        <v>#N/A</v>
        <stp/>
        <stp>BDH|14729879140820410080</stp>
        <tr r="H101" s="18"/>
      </tp>
      <tp t="e">
        <v>#N/A</v>
        <stp/>
        <stp>BDH|16961890289709164745</stp>
        <tr r="Z68" s="18"/>
      </tp>
      <tp t="e">
        <v>#N/A</v>
        <stp/>
        <stp>BDH|10005887314408570956</stp>
        <tr r="N17" s="22"/>
      </tp>
      <tp t="e">
        <v>#N/A</v>
        <stp/>
        <stp>BDH|17595538099301454275</stp>
        <tr r="L23" s="5"/>
        <tr r="L23" s="9"/>
      </tp>
      <tp t="e">
        <v>#N/A</v>
        <stp/>
        <stp>BDH|11737207299015146732</stp>
        <tr r="AA28" s="14"/>
      </tp>
      <tp t="e">
        <v>#N/A</v>
        <stp/>
        <stp>BDH|11209973718692669372</stp>
        <tr r="R46" s="22"/>
      </tp>
      <tp t="e">
        <v>#N/A</v>
        <stp/>
        <stp>BDH|16710825757565976677</stp>
        <tr r="E17" s="30"/>
      </tp>
      <tp t="e">
        <v>#N/A</v>
        <stp/>
        <stp>BDH|12427686410638448540</stp>
        <tr r="C86" s="17"/>
      </tp>
      <tp t="e">
        <v>#N/A</v>
        <stp/>
        <stp>BDH|13306683096254064011</stp>
        <tr r="D57" s="17"/>
      </tp>
      <tp t="e">
        <v>#N/A</v>
        <stp/>
        <stp>BDH|18398899897176949780</stp>
        <tr r="L7" s="14"/>
      </tp>
      <tp t="e">
        <v>#N/A</v>
        <stp/>
        <stp>BDH|12582702141091188897</stp>
        <tr r="D9" s="8"/>
      </tp>
      <tp t="e">
        <v>#N/A</v>
        <stp/>
        <stp>BDH|17170183496685790270</stp>
        <tr r="S31" s="5"/>
      </tp>
      <tp t="e">
        <v>#N/A</v>
        <stp/>
        <stp>BDH|14988874378596854516</stp>
        <tr r="Q25" s="22"/>
      </tp>
      <tp t="e">
        <v>#N/A</v>
        <stp/>
        <stp>BDH|18430710035384785080</stp>
        <tr r="Y50" s="18"/>
      </tp>
      <tp t="e">
        <v>#N/A</v>
        <stp/>
        <stp>BDH|18354195461755499206</stp>
        <tr r="AA58" s="21"/>
        <tr r="AA37" s="25"/>
        <tr r="Y31" s="4"/>
        <tr r="Y54" s="11"/>
      </tp>
      <tp t="e">
        <v>#N/A</v>
        <stp/>
        <stp>BDH|13154397501979714112</stp>
        <tr r="S24" s="21"/>
      </tp>
      <tp t="e">
        <v>#N/A</v>
        <stp/>
        <stp>BDH|16539813873864923515</stp>
        <tr r="H58" s="21"/>
        <tr r="H37" s="25"/>
        <tr r="F31" s="4"/>
        <tr r="F54" s="11"/>
      </tp>
      <tp t="e">
        <v>#N/A</v>
        <stp/>
        <stp>BDH|15656589481089123910</stp>
        <tr r="P43" s="13"/>
      </tp>
      <tp t="e">
        <v>#N/A</v>
        <stp/>
        <stp>BDH|11875898999520351842</stp>
        <tr r="F22" s="27"/>
      </tp>
      <tp t="e">
        <v>#N/A</v>
        <stp/>
        <stp>BDH|16374625263797919948</stp>
        <tr r="R36" s="18"/>
      </tp>
      <tp t="e">
        <v>#N/A</v>
        <stp/>
        <stp>BDH|13272942475825599096</stp>
        <tr r="F29" s="34"/>
      </tp>
      <tp t="e">
        <v>#N/A</v>
        <stp/>
        <stp>BDH|15305998587995458966</stp>
        <tr r="G46" s="21"/>
      </tp>
      <tp t="e">
        <v>#N/A</v>
        <stp/>
        <stp>BDH|14856463701348127017</stp>
        <tr r="I31" s="24"/>
      </tp>
      <tp t="e">
        <v>#N/A</v>
        <stp/>
        <stp>BDH|13248017629300737924</stp>
        <tr r="N21" s="10"/>
      </tp>
      <tp t="e">
        <v>#N/A</v>
        <stp/>
        <stp>BDH|15271290932739321555</stp>
        <tr r="O75" s="24"/>
      </tp>
      <tp t="e">
        <v>#N/A</v>
        <stp/>
        <stp>BDH|17961781009558270052</stp>
        <tr r="Z13" s="22"/>
      </tp>
      <tp t="e">
        <v>#N/A</v>
        <stp/>
        <stp>BDH|10962244599761816233</stp>
        <tr r="W40" s="24"/>
      </tp>
      <tp t="e">
        <v>#N/A</v>
        <stp/>
        <stp>BDH|11604507331759943613</stp>
        <tr r="J9" s="10"/>
      </tp>
      <tp t="e">
        <v>#N/A</v>
        <stp/>
        <stp>BDH|11453353654109318690</stp>
        <tr r="D27" s="26"/>
      </tp>
      <tp t="e">
        <v>#N/A</v>
        <stp/>
        <stp>BDH|10894664323699580575</stp>
        <tr r="G24" s="18"/>
      </tp>
      <tp t="e">
        <v>#N/A</v>
        <stp/>
        <stp>BDH|16452443357468849700</stp>
        <tr r="O9" s="34"/>
      </tp>
      <tp t="e">
        <v>#N/A</v>
        <stp/>
        <stp>BDH|14934475691260268127</stp>
        <tr r="E41" s="22"/>
      </tp>
      <tp t="e">
        <v>#N/A</v>
        <stp/>
        <stp>BDH|11136971782598807032</stp>
        <tr r="G33" s="6"/>
      </tp>
      <tp t="e">
        <v>#N/A</v>
        <stp/>
        <stp>BDH|12690031851046947929</stp>
        <tr r="N30" s="5"/>
        <tr r="N30" s="9"/>
      </tp>
      <tp t="e">
        <v>#N/A</v>
        <stp/>
        <stp>BDH|14003077889547341322</stp>
        <tr r="Q16" s="24"/>
      </tp>
      <tp t="e">
        <v>#N/A</v>
        <stp/>
        <stp>BDH|16768382216385109973</stp>
        <tr r="K71" s="12"/>
      </tp>
      <tp t="e">
        <v>#N/A</v>
        <stp/>
        <stp>BDH|13012089183103771027</stp>
        <tr r="Z31" s="26"/>
        <tr r="W14" s="9"/>
      </tp>
      <tp t="e">
        <v>#N/A</v>
        <stp/>
        <stp>BDH|14372233129725335948</stp>
        <tr r="K11" s="29"/>
      </tp>
      <tp t="e">
        <v>#N/A</v>
        <stp/>
        <stp>BDH|18364277569627397301</stp>
        <tr r="E18" s="9"/>
      </tp>
      <tp t="e">
        <v>#N/A</v>
        <stp/>
        <stp>BDH|12436581496083047548</stp>
        <tr r="U52" s="6"/>
        <tr r="W9" s="8"/>
      </tp>
      <tp t="e">
        <v>#N/A</v>
        <stp/>
        <stp>BDH|13887329486701328119</stp>
        <tr r="L49" s="22"/>
      </tp>
      <tp t="e">
        <v>#N/A</v>
        <stp/>
        <stp>BDH|17941099877198891018</stp>
        <tr r="Z59" s="24"/>
      </tp>
      <tp t="e">
        <v>#N/A</v>
        <stp/>
        <stp>BDH|18368013996619382096</stp>
        <tr r="K31" s="25"/>
        <tr r="H14" s="5"/>
        <tr r="K17" s="27"/>
      </tp>
      <tp t="e">
        <v>#N/A</v>
        <stp/>
        <stp>BDH|13811479137598712410</stp>
        <tr r="AA9" s="24"/>
      </tp>
      <tp t="e">
        <v>#N/A</v>
        <stp/>
        <stp>BDH|11582164390313466295</stp>
        <tr r="C28" s="21"/>
      </tp>
      <tp t="e">
        <v>#N/A</v>
        <stp/>
        <stp>BDH|12219924609731745204</stp>
        <tr r="R6" s="19"/>
        <tr r="R35" s="17"/>
        <tr r="R16" s="3"/>
      </tp>
      <tp t="e">
        <v>#N/A</v>
        <stp/>
        <stp>BDH|15404353714598363781</stp>
        <tr r="K34" s="5"/>
        <tr r="L32" s="29"/>
      </tp>
      <tp t="e">
        <v>#N/A</v>
        <stp/>
        <stp>BDH|14286428760526878863</stp>
        <tr r="Q66" s="17"/>
        <tr r="Q18" s="3"/>
      </tp>
      <tp t="e">
        <v>#N/A</v>
        <stp/>
        <stp>BDH|12286832095843337890</stp>
        <tr r="I13" s="29"/>
        <tr r="I22" s="29"/>
        <tr r="I36" s="29"/>
      </tp>
      <tp t="e">
        <v>#N/A</v>
        <stp/>
        <stp>BDH|13265193717478446364</stp>
        <tr r="W32" s="24"/>
      </tp>
      <tp t="e">
        <v>#N/A</v>
        <stp/>
        <stp>BDH|13661631585714638183</stp>
        <tr r="P39" s="6"/>
      </tp>
      <tp t="e">
        <v>#N/A</v>
        <stp/>
        <stp>BDH|17133489820731595823</stp>
        <tr r="Y75" s="17"/>
        <tr r="V9" s="5"/>
        <tr r="V9" s="9"/>
      </tp>
      <tp t="e">
        <v>#N/A</v>
        <stp/>
        <stp>BDH|15165240867191890849</stp>
        <tr r="S59" s="18"/>
      </tp>
      <tp t="e">
        <v>#N/A</v>
        <stp/>
        <stp>BDH|17740313629157565947</stp>
        <tr r="Y47" s="18"/>
      </tp>
      <tp t="e">
        <v>#N/A</v>
        <stp/>
        <stp>BDH|18327178319464491470</stp>
        <tr r="T25" s="25"/>
        <tr r="T10" s="27"/>
      </tp>
      <tp t="e">
        <v>#N/A</v>
        <stp/>
        <stp>BDH|10235736914087376985</stp>
        <tr r="T10" s="14"/>
      </tp>
      <tp t="e">
        <v>#N/A</v>
        <stp/>
        <stp>BDH|17327889801320363778</stp>
        <tr r="X16" s="18"/>
      </tp>
      <tp t="e">
        <v>#N/A</v>
        <stp/>
        <stp>BDH|14357925272567538580</stp>
        <tr r="H43" s="4"/>
      </tp>
      <tp t="e">
        <v>#N/A</v>
        <stp/>
        <stp>BDH|17376735739618612313</stp>
        <tr r="W52" s="12"/>
      </tp>
      <tp t="e">
        <v>#N/A</v>
        <stp/>
        <stp>BDH|17635298187214385154</stp>
        <tr r="T17" s="11"/>
      </tp>
      <tp t="e">
        <v>#N/A</v>
        <stp/>
        <stp>BDH|12942682427199005783</stp>
        <tr r="C90" s="24"/>
      </tp>
      <tp t="e">
        <v>#N/A</v>
        <stp/>
        <stp>BDH|15422677089153763036</stp>
        <tr r="Z28" s="18"/>
      </tp>
      <tp t="e">
        <v>#N/A</v>
        <stp/>
        <stp>BDH|12981926911046273593</stp>
        <tr r="J109" s="18"/>
      </tp>
      <tp t="e">
        <v>#N/A</v>
        <stp/>
        <stp>BDH|15149089152421806820</stp>
        <tr r="J39" s="4"/>
        <tr r="J66" s="10"/>
      </tp>
      <tp t="e">
        <v>#N/A</v>
        <stp/>
        <stp>BDH|11586132734012178825</stp>
        <tr r="S18" s="6"/>
      </tp>
      <tp t="e">
        <v>#N/A</v>
        <stp/>
        <stp>BDH|15639268243643475962</stp>
        <tr r="H15" s="13"/>
      </tp>
      <tp t="e">
        <v>#N/A</v>
        <stp/>
        <stp>BDH|11783176195715746535</stp>
        <tr r="W10" s="26"/>
      </tp>
      <tp t="e">
        <v>#N/A</v>
        <stp/>
        <stp>BDH|17694683136318121384</stp>
        <tr r="M56" s="17"/>
      </tp>
      <tp t="e">
        <v>#N/A</v>
        <stp/>
        <stp>BDH|10145943234793598056</stp>
        <tr r="Q42" s="22"/>
      </tp>
      <tp t="e">
        <v>#N/A</v>
        <stp/>
        <stp>BDH|16689832428684503193</stp>
        <tr r="M33" s="6"/>
      </tp>
      <tp t="e">
        <v>#N/A</v>
        <stp/>
        <stp>BDH|13757698787003072785</stp>
        <tr r="Q22" s="11"/>
      </tp>
      <tp t="e">
        <v>#N/A</v>
        <stp/>
        <stp>BDH|17775469091194382729</stp>
        <tr r="S7" s="24"/>
      </tp>
      <tp t="e">
        <v>#N/A</v>
        <stp/>
        <stp>BDH|17996994317085607300</stp>
        <tr r="C67" s="24"/>
      </tp>
      <tp t="e">
        <v>#N/A</v>
        <stp/>
        <stp>BDH|14946824576932936057</stp>
        <tr r="M22" s="30"/>
        <tr r="M24" s="23"/>
      </tp>
      <tp t="e">
        <v>#N/A</v>
        <stp/>
        <stp>BDH|13689829088989802355</stp>
        <tr r="T82" s="17"/>
      </tp>
      <tp t="e">
        <v>#N/A</v>
        <stp/>
        <stp>BDH|14779435524743195800</stp>
        <tr r="S56" s="13"/>
      </tp>
      <tp t="e">
        <v>#N/A</v>
        <stp/>
        <stp>BDH|17897294814069223463</stp>
        <tr r="F16" s="2"/>
        <tr r="F32" s="4"/>
        <tr r="F62" s="10"/>
        <tr r="H19" s="13"/>
      </tp>
      <tp t="e">
        <v>#N/A</v>
        <stp/>
        <stp>BDH|15790957368304812730</stp>
        <tr r="Z25" s="17"/>
      </tp>
      <tp t="e">
        <v>#N/A</v>
        <stp/>
        <stp>BDH|12944998617156567537</stp>
        <tr r="U18" s="23"/>
      </tp>
      <tp t="e">
        <v>#N/A</v>
        <stp/>
        <stp>BDH|17107640778066994955</stp>
        <tr r="S46" s="4"/>
        <tr r="S23" s="10"/>
        <tr r="U37" s="13"/>
      </tp>
      <tp t="e">
        <v>#N/A</v>
        <stp/>
        <stp>BDH|16910970534324965127</stp>
        <tr r="E7" s="21"/>
      </tp>
      <tp t="e">
        <v>#N/A</v>
        <stp/>
        <stp>BDH|14349250646842866998</stp>
        <tr r="D8" s="21"/>
      </tp>
      <tp t="e">
        <v>#N/A</v>
        <stp/>
        <stp>BDH|14018966526406069017</stp>
        <tr r="K82" s="18"/>
      </tp>
      <tp t="e">
        <v>#N/A</v>
        <stp/>
        <stp>BDH|10145591300614140885</stp>
        <tr r="F7" s="11"/>
      </tp>
      <tp t="e">
        <v>#N/A</v>
        <stp/>
        <stp>BDH|17544644190635526456</stp>
        <tr r="V43" s="29"/>
      </tp>
      <tp t="e">
        <v>#N/A</v>
        <stp/>
        <stp>BDH|12951175864185952926</stp>
        <tr r="D21" s="6"/>
      </tp>
      <tp t="e">
        <v>#N/A</v>
        <stp/>
        <stp>BDH|16364014633734468842</stp>
        <tr r="Y20" s="2"/>
        <tr r="Y18" s="4"/>
        <tr r="Y58" s="10"/>
        <tr r="Y50" s="11"/>
        <tr r="Y19" s="7"/>
        <tr r="AA65" s="13"/>
      </tp>
      <tp t="e">
        <v>#N/A</v>
        <stp/>
        <stp>BDH|17967076889157291149</stp>
        <tr r="AA38" s="25"/>
      </tp>
      <tp t="e">
        <v>#N/A</v>
        <stp/>
        <stp>BDH|17716067386306660002</stp>
        <tr r="W49" s="13"/>
      </tp>
      <tp t="e">
        <v>#N/A</v>
        <stp/>
        <stp>BDH|18086140710804512500</stp>
        <tr r="E16" s="21"/>
      </tp>
      <tp t="e">
        <v>#N/A</v>
        <stp/>
        <stp>BDH|16504541394217569415</stp>
        <tr r="O39" s="17"/>
      </tp>
      <tp t="e">
        <v>#N/A</v>
        <stp/>
        <stp>BDH|16304197637579511493</stp>
        <tr r="Q11" s="6"/>
      </tp>
      <tp t="e">
        <v>#N/A</v>
        <stp/>
        <stp>BDH|13316059403852631823</stp>
        <tr r="R50" s="18"/>
      </tp>
      <tp t="e">
        <v>#N/A</v>
        <stp/>
        <stp>BDH|11609618411909700606</stp>
        <tr r="F60" s="17"/>
      </tp>
      <tp t="e">
        <v>#N/A</v>
        <stp/>
        <stp>BDH|10648485787422177795</stp>
        <tr r="I41" s="10"/>
        <tr r="I33" s="11"/>
      </tp>
      <tp t="e">
        <v>#N/A</v>
        <stp/>
        <stp>BDH|12973800701172186188</stp>
        <tr r="O25" s="12"/>
      </tp>
      <tp t="e">
        <v>#N/A</v>
        <stp/>
        <stp>BDH|15752096258448261157</stp>
        <tr r="K18" s="2"/>
        <tr r="K53" s="4"/>
        <tr r="K46" s="10"/>
        <tr r="K38" s="11"/>
        <tr r="M51" s="13"/>
      </tp>
      <tp t="e">
        <v>#N/A</v>
        <stp/>
        <stp>BDH|10235172182115053563</stp>
        <tr r="P64" s="21"/>
        <tr r="M31" s="6"/>
      </tp>
      <tp t="e">
        <v>#N/A</v>
        <stp/>
        <stp>BDH|13151243886074738453</stp>
        <tr r="N24" s="17"/>
      </tp>
      <tp t="e">
        <v>#N/A</v>
        <stp/>
        <stp>BDH|11371655694411196629</stp>
        <tr r="C42" s="10"/>
        <tr r="C34" s="11"/>
      </tp>
      <tp t="e">
        <v>#N/A</v>
        <stp/>
        <stp>BDH|18317377649206521090</stp>
        <tr r="W66" s="17"/>
        <tr r="W18" s="3"/>
      </tp>
      <tp t="e">
        <v>#N/A</v>
        <stp/>
        <stp>BDH|14719744747498070653</stp>
        <tr r="M65" s="18"/>
      </tp>
      <tp t="e">
        <v>#N/A</v>
        <stp/>
        <stp>BDH|11072245745028826685</stp>
        <tr r="I17" s="23"/>
      </tp>
      <tp t="e">
        <v>#N/A</v>
        <stp/>
        <stp>BDH|17024285988176722260</stp>
        <tr r="F62" s="13"/>
      </tp>
      <tp t="e">
        <v>#N/A</v>
        <stp/>
        <stp>BDH|18252562352235614410</stp>
        <tr r="W92" s="18"/>
      </tp>
      <tp t="e">
        <v>#N/A</v>
        <stp/>
        <stp>BDH|13265444990340630709</stp>
        <tr r="R17" s="5"/>
        <tr r="R36" s="6"/>
      </tp>
      <tp t="e">
        <v>#N/A</v>
        <stp/>
        <stp>BDH|16694023441949215279</stp>
        <tr r="P70" s="12"/>
      </tp>
      <tp t="e">
        <v>#N/A</v>
        <stp/>
        <stp>BDH|11886009138848421340</stp>
        <tr r="F38" s="4"/>
        <tr r="F58" s="11"/>
        <tr r="H13" s="23"/>
      </tp>
      <tp t="e">
        <v>#N/A</v>
        <stp/>
        <stp>BDH|10809684576659397152</stp>
        <tr r="E58" s="21"/>
        <tr r="E37" s="25"/>
        <tr r="C31" s="4"/>
        <tr r="C54" s="11"/>
      </tp>
      <tp t="e">
        <v>#N/A</v>
        <stp/>
        <stp>BDH|14128200980065331228</stp>
        <tr r="X9" s="30"/>
      </tp>
      <tp t="e">
        <v>#N/A</v>
        <stp/>
        <stp>BDH|18022127702436300638</stp>
        <tr r="O78" s="18"/>
      </tp>
      <tp t="e">
        <v>#N/A</v>
        <stp/>
        <stp>BDH|12401742337296205958</stp>
        <tr r="K89" s="17"/>
        <tr r="K34" s="25"/>
      </tp>
      <tp t="e">
        <v>#N/A</v>
        <stp/>
        <stp>BDH|12110738067722379861</stp>
        <tr r="F37" s="34"/>
      </tp>
      <tp t="e">
        <v>#N/A</v>
        <stp/>
        <stp>BDH|11937716428289904498</stp>
        <tr r="Z48" s="18"/>
      </tp>
      <tp t="e">
        <v>#N/A</v>
        <stp/>
        <stp>BDH|15140563669826686988</stp>
        <tr r="J92" s="17"/>
        <tr r="J13" s="28"/>
      </tp>
      <tp t="e">
        <v>#N/A</v>
        <stp/>
        <stp>BDH|13684925715193974185</stp>
        <tr r="V23" s="12"/>
      </tp>
      <tp t="e">
        <v>#N/A</v>
        <stp/>
        <stp>BDH|17302653361027549929</stp>
        <tr r="I19" s="17"/>
      </tp>
      <tp t="e">
        <v>#N/A</v>
        <stp/>
        <stp>BDH|18225026657150287453</stp>
        <tr r="K16" s="25"/>
      </tp>
      <tp t="e">
        <v>#N/A</v>
        <stp/>
        <stp>BDH|10177527842421884991</stp>
        <tr r="J67" s="24"/>
      </tp>
      <tp t="e">
        <v>#N/A</v>
        <stp/>
        <stp>BDH|18176415840766818789</stp>
        <tr r="I22" s="27"/>
      </tp>
      <tp t="e">
        <v>#N/A</v>
        <stp/>
        <stp>BDH|12172880830677994704</stp>
        <tr r="S17" s="10"/>
      </tp>
      <tp t="e">
        <v>#N/A</v>
        <stp/>
        <stp>BDH|18081844581437101644</stp>
        <tr r="O20" s="14"/>
      </tp>
      <tp t="e">
        <v>#N/A</v>
        <stp/>
        <stp>BDH|14298621567458794506</stp>
        <tr r="P11" s="30"/>
      </tp>
      <tp t="e">
        <v>#N/A</v>
        <stp/>
        <stp>BDH|13457953795372268860</stp>
        <tr r="N37" s="26"/>
      </tp>
      <tp t="e">
        <v>#N/A</v>
        <stp/>
        <stp>BDH|14496366698372379598</stp>
        <tr r="L65" s="18"/>
      </tp>
      <tp t="e">
        <v>#N/A</v>
        <stp/>
        <stp>BDH|10015505385630582409</stp>
        <tr r="G21" s="14"/>
      </tp>
      <tp t="e">
        <v>#N/A</v>
        <stp/>
        <stp>BDH|15004943366604211707</stp>
        <tr r="I12" s="22"/>
      </tp>
      <tp t="e">
        <v>#N/A</v>
        <stp/>
        <stp>BDH|15427597198289002955</stp>
        <tr r="R8" s="34"/>
      </tp>
      <tp t="e">
        <v>#N/A</v>
        <stp/>
        <stp>BDH|13087910356797698114</stp>
        <tr r="R26" s="10"/>
        <tr r="T32" s="13"/>
      </tp>
      <tp t="e">
        <v>#N/A</v>
        <stp/>
        <stp>BDH|13265473983701613702</stp>
        <tr r="W15" s="24"/>
      </tp>
      <tp t="e">
        <v>#N/A</v>
        <stp/>
        <stp>BDH|17525211515175153806</stp>
        <tr r="U28" s="6"/>
      </tp>
      <tp t="e">
        <v>#N/A</v>
        <stp/>
        <stp>BDH|17072006784723250562</stp>
        <tr r="K82" s="24"/>
      </tp>
      <tp t="e">
        <v>#N/A</v>
        <stp/>
        <stp>BDH|13629472381212270425</stp>
        <tr r="G89" s="12"/>
      </tp>
      <tp t="e">
        <v>#N/A</v>
        <stp/>
        <stp>BDH|15322522797177370756</stp>
        <tr r="U44" s="22"/>
      </tp>
      <tp t="e">
        <v>#N/A</v>
        <stp/>
        <stp>BDH|18385616937662683637</stp>
        <tr r="D28" s="34"/>
      </tp>
      <tp t="e">
        <v>#N/A</v>
        <stp/>
        <stp>BDH|14653923104420607465</stp>
        <tr r="Q99" s="18"/>
        <tr r="Q8" s="20"/>
      </tp>
      <tp t="e">
        <v>#N/A</v>
        <stp/>
        <stp>BDH|13181387545934987959</stp>
        <tr r="D49" s="24"/>
      </tp>
      <tp t="e">
        <v>#N/A</v>
        <stp/>
        <stp>BDH|12363713635178260755</stp>
        <tr r="N33" s="12"/>
      </tp>
      <tp t="e">
        <v>#N/A</v>
        <stp/>
        <stp>BDH|10783805001986703711</stp>
        <tr r="V23" s="30"/>
        <tr r="V25" s="23"/>
      </tp>
      <tp t="e">
        <v>#N/A</v>
        <stp/>
        <stp>BDH|11713362784015609637</stp>
        <tr r="I26" s="21"/>
      </tp>
      <tp t="e">
        <v>#N/A</v>
        <stp/>
        <stp>BDH|16763115347202728858</stp>
        <tr r="O35" s="4"/>
      </tp>
      <tp t="e">
        <v>#N/A</v>
        <stp/>
        <stp>BDH|18088906447498481409</stp>
        <tr r="G83" s="12"/>
      </tp>
      <tp t="e">
        <v>#N/A</v>
        <stp/>
        <stp>BDH|15145523779766833818</stp>
        <tr r="S36" s="12"/>
      </tp>
      <tp t="e">
        <v>#N/A</v>
        <stp/>
        <stp>BDH|10780187778478376776</stp>
        <tr r="AA34" s="14"/>
      </tp>
      <tp t="e">
        <v>#N/A</v>
        <stp/>
        <stp>BDH|18063658833153772721</stp>
        <tr r="L8" s="21"/>
      </tp>
      <tp t="e">
        <v>#N/A</v>
        <stp/>
        <stp>BDH|14576959031236256100</stp>
        <tr r="T16" s="25"/>
      </tp>
      <tp t="e">
        <v>#N/A</v>
        <stp/>
        <stp>BDH|10972631682912999529</stp>
        <tr r="F87" s="24"/>
      </tp>
      <tp t="e">
        <v>#N/A</v>
        <stp/>
        <stp>BDH|16029502391774716759</stp>
        <tr r="R95" s="18"/>
      </tp>
      <tp t="e">
        <v>#N/A</v>
        <stp/>
        <stp>BDH|15602049328286974802</stp>
        <tr r="L30" s="24"/>
      </tp>
      <tp t="e">
        <v>#N/A</v>
        <stp/>
        <stp>BDH|12196273184186011714</stp>
        <tr r="S10" s="11"/>
      </tp>
      <tp t="e">
        <v>#N/A</v>
        <stp/>
        <stp>BDH|14156464244339588457</stp>
        <tr r="S57" s="10"/>
        <tr r="S49" s="11"/>
        <tr r="S18" s="7"/>
        <tr r="U57" s="13"/>
      </tp>
      <tp t="e">
        <v>#N/A</v>
        <stp/>
        <stp>BDH|15959992455598697806</stp>
        <tr r="Z70" s="12"/>
      </tp>
      <tp t="e">
        <v>#N/A</v>
        <stp/>
        <stp>BDH|15285500556704642816</stp>
        <tr r="K9" s="23"/>
      </tp>
      <tp t="e">
        <v>#N/A</v>
        <stp/>
        <stp>BDH|16163664702878651102</stp>
        <tr r="Z14" s="12"/>
      </tp>
      <tp t="e">
        <v>#N/A</v>
        <stp/>
        <stp>BDH|17319818072171310005</stp>
        <tr r="U57" s="6"/>
      </tp>
      <tp t="e">
        <v>#N/A</v>
        <stp/>
        <stp>BDH|17783844935066332363</stp>
        <tr r="G21" s="2"/>
      </tp>
      <tp t="e">
        <v>#N/A</v>
        <stp/>
        <stp>BDH|11047050677156490950</stp>
        <tr r="V20" s="14"/>
      </tp>
      <tp t="e">
        <v>#N/A</v>
        <stp/>
        <stp>BDH|17465139301536702926</stp>
        <tr r="M27" s="7"/>
      </tp>
      <tp t="e">
        <v>#N/A</v>
        <stp/>
        <stp>BDH|14845982990929318402</stp>
        <tr r="R25" s="21"/>
      </tp>
      <tp t="e">
        <v>#N/A</v>
        <stp/>
        <stp>BDH|14419910946991378133</stp>
        <tr r="D8" s="14"/>
      </tp>
      <tp t="e">
        <v>#N/A</v>
        <stp/>
        <stp>BDH|17920937682786377986</stp>
        <tr r="J74" s="17"/>
      </tp>
      <tp t="e">
        <v>#N/A</v>
        <stp/>
        <stp>BDH|11507439664829233331</stp>
        <tr r="L41" s="18"/>
      </tp>
      <tp t="e">
        <v>#N/A</v>
        <stp/>
        <stp>BDH|15775547304851096843</stp>
        <tr r="Q21" s="5"/>
      </tp>
      <tp t="e">
        <v>#N/A</v>
        <stp/>
        <stp>BDH|15202925717507138352</stp>
        <tr r="E88" s="12"/>
      </tp>
      <tp t="e">
        <v>#N/A</v>
        <stp/>
        <stp>BDH|16461996811692957562</stp>
        <tr r="E20" s="23"/>
      </tp>
      <tp t="e">
        <v>#N/A</v>
        <stp/>
        <stp>BDH|17310614292946540769</stp>
        <tr r="G56" s="12"/>
      </tp>
      <tp t="e">
        <v>#N/A</v>
        <stp/>
        <stp>BDH|13248452355708107301</stp>
        <tr r="L28" s="17"/>
      </tp>
      <tp t="e">
        <v>#N/A</v>
        <stp/>
        <stp>BDH|17361851922667272356</stp>
        <tr r="Y36" s="4"/>
      </tp>
      <tp t="e">
        <v>#N/A</v>
        <stp/>
        <stp>BDH|16986773797225307499</stp>
        <tr r="W83" s="18"/>
      </tp>
      <tp t="e">
        <v>#N/A</v>
        <stp/>
        <stp>BDH|17143067054662137916</stp>
        <tr r="R24" s="22"/>
      </tp>
      <tp t="e">
        <v>#N/A</v>
        <stp/>
        <stp>BDH|16136671324289137204</stp>
        <tr r="S29" s="17"/>
      </tp>
      <tp t="e">
        <v>#N/A</v>
        <stp/>
        <stp>BDH|14686106781835417100</stp>
        <tr r="H16" s="29"/>
        <tr r="H39" s="29"/>
      </tp>
      <tp t="e">
        <v>#N/A</v>
        <stp/>
        <stp>BDH|18197177714778086916</stp>
        <tr r="J29" s="4"/>
      </tp>
      <tp t="e">
        <v>#N/A</v>
        <stp/>
        <stp>BDH|13670509395643684567</stp>
        <tr r="S38" s="12"/>
      </tp>
      <tp t="e">
        <v>#N/A</v>
        <stp/>
        <stp>BDH|13950341819551155962</stp>
        <tr r="Z49" s="18"/>
      </tp>
      <tp t="e">
        <v>#N/A</v>
        <stp/>
        <stp>BDH|15058548781150181172</stp>
        <tr r="M19" s="5"/>
        <tr r="M46" s="6"/>
      </tp>
      <tp t="e">
        <v>#N/A</v>
        <stp/>
        <stp>BDH|16487702027623981992</stp>
        <tr r="I139" s="18"/>
      </tp>
      <tp t="e">
        <v>#N/A</v>
        <stp/>
        <stp>BDH|17057877017190502766</stp>
        <tr r="K54" s="17"/>
      </tp>
      <tp t="e">
        <v>#N/A</v>
        <stp/>
        <stp>BDH|15690423875499628649</stp>
        <tr r="Y10" s="4"/>
        <tr r="X6" s="16"/>
        <tr r="AA6" s="3"/>
        <tr r="Y6" s="11"/>
      </tp>
      <tp t="e">
        <v>#N/A</v>
        <stp/>
        <stp>BDH|12347094547387735894</stp>
        <tr r="X7" s="30"/>
      </tp>
      <tp t="e">
        <v>#N/A</v>
        <stp/>
        <stp>BDH|16532834901241465607</stp>
        <tr r="H50" s="12"/>
      </tp>
      <tp t="e">
        <v>#N/A</v>
        <stp/>
        <stp>BDH|15187205828528805433</stp>
        <tr r="H35" s="34"/>
      </tp>
      <tp t="e">
        <v>#N/A</v>
        <stp/>
        <stp>BDH|10207718125444655822</stp>
        <tr r="Q21" s="10"/>
      </tp>
      <tp t="e">
        <v>#N/A</v>
        <stp/>
        <stp>BDH|15076426600231783970</stp>
        <tr r="M43" s="29"/>
      </tp>
      <tp t="e">
        <v>#N/A</v>
        <stp/>
        <stp>BDH|10500347325861159970</stp>
        <tr r="W49" s="12"/>
      </tp>
      <tp t="e">
        <v>#N/A</v>
        <stp/>
        <stp>BDH|14021404820003390815</stp>
        <tr r="AA74" s="24"/>
      </tp>
      <tp t="e">
        <v>#N/A</v>
        <stp/>
        <stp>BDH|14657779293734415740</stp>
        <tr r="D64" s="10"/>
      </tp>
      <tp t="e">
        <v>#N/A</v>
        <stp/>
        <stp>BDH|13332630254971795819</stp>
        <tr r="O31" s="9"/>
      </tp>
      <tp t="e">
        <v>#N/A</v>
        <stp/>
        <stp>BDH|11026779198276479097</stp>
        <tr r="AA9" s="22"/>
      </tp>
      <tp t="e">
        <v>#N/A</v>
        <stp/>
        <stp>BDH|14429936939937828046</stp>
        <tr r="O11" s="21"/>
      </tp>
      <tp t="e">
        <v>#N/A</v>
        <stp/>
        <stp>BDH|17398815360799343936</stp>
        <tr r="I107" s="18"/>
      </tp>
      <tp t="e">
        <v>#N/A</v>
        <stp/>
        <stp>BDH|17810891115197666008</stp>
        <tr r="C59" s="11"/>
        <tr r="E15" s="23"/>
      </tp>
      <tp t="e">
        <v>#N/A</v>
        <stp/>
        <stp>BDH|13625830964992159620</stp>
        <tr r="N89" s="18"/>
      </tp>
      <tp t="e">
        <v>#N/A</v>
        <stp/>
        <stp>BDH|16357202249288926119</stp>
        <tr r="M47" s="6"/>
      </tp>
      <tp t="e">
        <v>#N/A</v>
        <stp/>
        <stp>BDH|17128220901484192813</stp>
        <tr r="G53" s="18"/>
      </tp>
      <tp t="e">
        <v>#N/A</v>
        <stp/>
        <stp>BDH|18096553201060314457</stp>
        <tr r="E37" s="18"/>
      </tp>
      <tp t="e">
        <v>#N/A</v>
        <stp/>
        <stp>BDH|18243757370971046052</stp>
        <tr r="K33" s="21"/>
      </tp>
      <tp t="e">
        <v>#N/A</v>
        <stp/>
        <stp>BDH|11557669550889452252</stp>
        <tr r="G38" s="26"/>
      </tp>
      <tp t="e">
        <v>#N/A</v>
        <stp/>
        <stp>BDH|15245170201558066564</stp>
        <tr r="J62" s="24"/>
      </tp>
      <tp t="e">
        <v>#N/A</v>
        <stp/>
        <stp>BDH|16331015497560736602</stp>
        <tr r="W42" s="18"/>
      </tp>
      <tp t="e">
        <v>#N/A</v>
        <stp/>
        <stp>BDH|17496957137793314779</stp>
        <tr r="L45" s="12"/>
      </tp>
      <tp t="e">
        <v>#N/A</v>
        <stp/>
        <stp>BDH|12321852039855885551</stp>
        <tr r="P88" s="18"/>
      </tp>
      <tp t="e">
        <v>#N/A</v>
        <stp/>
        <stp>BDH|13663396329609231265</stp>
        <tr r="L45" s="22"/>
      </tp>
      <tp t="e">
        <v>#N/A</v>
        <stp/>
        <stp>BDH|13797161791747091521</stp>
        <tr r="K111" s="18"/>
      </tp>
      <tp t="e">
        <v>#N/A</v>
        <stp/>
        <stp>BDH|17096911235974065060</stp>
        <tr r="V74" s="12"/>
      </tp>
      <tp t="e">
        <v>#N/A</v>
        <stp/>
        <stp>BDH|11542666686433268556</stp>
        <tr r="R12" s="18"/>
      </tp>
      <tp t="e">
        <v>#N/A</v>
        <stp/>
        <stp>BDH|14041114124368467633</stp>
        <tr r="O57" s="18"/>
      </tp>
      <tp t="e">
        <v>#N/A</v>
        <stp/>
        <stp>BDH|13147426454639085259</stp>
        <tr r="P12" s="11"/>
      </tp>
      <tp t="e">
        <v>#N/A</v>
        <stp/>
        <stp>BDH|14044475765078770773</stp>
        <tr r="V14" s="13"/>
      </tp>
      <tp t="e">
        <v>#N/A</v>
        <stp/>
        <stp>BDH|15689991850908866853</stp>
        <tr r="X21" s="30"/>
      </tp>
      <tp t="e">
        <v>#N/A</v>
        <stp/>
        <stp>BDH|14744105647040745850</stp>
        <tr r="Y40" s="24"/>
      </tp>
      <tp t="e">
        <v>#N/A</v>
        <stp/>
        <stp>BDH|14268518539312912918</stp>
        <tr r="E14" s="4"/>
      </tp>
      <tp t="e">
        <v>#N/A</v>
        <stp/>
        <stp>BDH|11640416875768865387</stp>
        <tr r="U7" s="2"/>
        <tr r="T7" s="5"/>
        <tr r="T7" s="9"/>
        <tr r="W14" s="3"/>
      </tp>
      <tp t="e">
        <v>#N/A</v>
        <stp/>
        <stp>BDH|16248363177028056369</stp>
        <tr r="C31" s="24"/>
      </tp>
      <tp t="e">
        <v>#N/A</v>
        <stp/>
        <stp>BDH|11534330928001811839</stp>
        <tr r="Z123" s="18"/>
      </tp>
      <tp t="e">
        <v>#N/A</v>
        <stp/>
        <stp>BDH|16826635745304291996</stp>
        <tr r="V51" s="6"/>
        <tr r="X6" s="8"/>
      </tp>
      <tp t="e">
        <v>#N/A</v>
        <stp/>
        <stp>BDH|17729108282522957590</stp>
        <tr r="O18" s="14"/>
      </tp>
      <tp t="e">
        <v>#N/A</v>
        <stp/>
        <stp>BDH|16454297290903991718</stp>
        <tr r="O14" s="13"/>
      </tp>
      <tp t="e">
        <v>#N/A</v>
        <stp/>
        <stp>BDH|13192072334549563022</stp>
        <tr r="M34" s="26"/>
      </tp>
      <tp t="e">
        <v>#N/A</v>
        <stp/>
        <stp>BDH|12907794848159952149</stp>
        <tr r="T13" s="5"/>
      </tp>
      <tp t="e">
        <v>#N/A</v>
        <stp/>
        <stp>BDH|15210471999125067498</stp>
        <tr r="R11" s="29"/>
      </tp>
      <tp t="e">
        <v>#N/A</v>
        <stp/>
        <stp>BDH|11232165082893103223</stp>
        <tr r="Z19" s="22"/>
      </tp>
      <tp t="e">
        <v>#N/A</v>
        <stp/>
        <stp>BDH|14216350390935075222</stp>
        <tr r="S71" s="18"/>
      </tp>
      <tp t="e">
        <v>#N/A</v>
        <stp/>
        <stp>BDH|15378860940377792771</stp>
        <tr r="C37" s="6"/>
      </tp>
      <tp t="e">
        <v>#N/A</v>
        <stp/>
        <stp>BDH|12050839640237647006</stp>
        <tr r="J13" s="18"/>
      </tp>
      <tp t="e">
        <v>#N/A</v>
        <stp/>
        <stp>BDH|14543976422037533102</stp>
        <tr r="Q13" s="10"/>
      </tp>
      <tp t="e">
        <v>#N/A</v>
        <stp/>
        <stp>BDH|15589878552515675430</stp>
        <tr r="N26" s="22"/>
      </tp>
      <tp t="e">
        <v>#N/A</v>
        <stp/>
        <stp>BDH|18324557044056324645</stp>
        <tr r="W25" s="26"/>
      </tp>
      <tp t="e">
        <v>#N/A</v>
        <stp/>
        <stp>BDH|12272221698440936043</stp>
        <tr r="P15" s="30"/>
      </tp>
      <tp t="e">
        <v>#N/A</v>
        <stp/>
        <stp>BDH|10572611695035475303</stp>
        <tr r="F27" s="7"/>
      </tp>
      <tp t="e">
        <v>#N/A</v>
        <stp/>
        <stp>BDH|11625741328068942565</stp>
        <tr r="AA82" s="18"/>
      </tp>
      <tp t="e">
        <v>#N/A</v>
        <stp/>
        <stp>BDH|13241726529138431781</stp>
        <tr r="Y6" s="28"/>
      </tp>
      <tp t="e">
        <v>#N/A</v>
        <stp/>
        <stp>BDH|11906038894481247099</stp>
        <tr r="O24" s="12"/>
      </tp>
      <tp t="e">
        <v>#N/A</v>
        <stp/>
        <stp>BDH|17907172601046829920</stp>
        <tr r="V32" s="9"/>
      </tp>
      <tp t="e">
        <v>#N/A</v>
        <stp/>
        <stp>BDH|18233987568678366644</stp>
        <tr r="Z134" s="18"/>
      </tp>
      <tp t="e">
        <v>#N/A</v>
        <stp/>
        <stp>BDH|10009546590426374322</stp>
        <tr r="V37" s="21"/>
        <tr r="V24" s="3"/>
      </tp>
      <tp t="e">
        <v>#N/A</v>
        <stp/>
        <stp>BDH|17279961225077769237</stp>
        <tr r="N38" s="24"/>
      </tp>
      <tp t="e">
        <v>#N/A</v>
        <stp/>
        <stp>BDH|17355168185203193441</stp>
        <tr r="W45" s="24"/>
      </tp>
      <tp t="e">
        <v>#N/A</v>
        <stp/>
        <stp>BDH|10127220186913247028</stp>
        <tr r="F36" s="4"/>
      </tp>
      <tp t="e">
        <v>#N/A</v>
        <stp/>
        <stp>BDH|10879160316700960940</stp>
        <tr r="N38" s="25"/>
      </tp>
      <tp t="e">
        <v>#N/A</v>
        <stp/>
        <stp>BDH|14776937607255015165</stp>
        <tr r="G11" s="12"/>
      </tp>
      <tp t="e">
        <v>#N/A</v>
        <stp/>
        <stp>BDH|17457039986806676026</stp>
        <tr r="C25" s="7"/>
      </tp>
      <tp t="e">
        <v>#N/A</v>
        <stp/>
        <stp>BDH|13952232327642845800</stp>
        <tr r="Q40" s="12"/>
      </tp>
      <tp t="e">
        <v>#N/A</v>
        <stp/>
        <stp>BDH|15274925608845476098</stp>
        <tr r="O59" s="12"/>
      </tp>
      <tp t="e">
        <v>#N/A</v>
        <stp/>
        <stp>BDH|17296563069269943419</stp>
        <tr r="U93" s="18"/>
      </tp>
      <tp t="e">
        <v>#N/A</v>
        <stp/>
        <stp>BDH|13472867726530418050</stp>
        <tr r="Z9" s="26"/>
      </tp>
      <tp t="e">
        <v>#N/A</v>
        <stp/>
        <stp>BDH|10172314580490349267</stp>
        <tr r="U78" s="18"/>
      </tp>
      <tp t="e">
        <v>#N/A</v>
        <stp/>
        <stp>BDH|14233710411908009361</stp>
        <tr r="K18" s="17"/>
      </tp>
      <tp t="e">
        <v>#N/A</v>
        <stp/>
        <stp>BDH|11749963950367171348</stp>
        <tr r="T22" s="30"/>
        <tr r="T24" s="23"/>
      </tp>
      <tp t="e">
        <v>#N/A</v>
        <stp/>
        <stp>BDH|13920955509847556443</stp>
        <tr r="D50" s="21"/>
      </tp>
      <tp t="e">
        <v>#N/A</v>
        <stp/>
        <stp>BDH|17397482172609520486</stp>
        <tr r="Z34" s="21"/>
      </tp>
      <tp t="e">
        <v>#N/A</v>
        <stp/>
        <stp>BDH|17661067656812074927</stp>
        <tr r="E34" s="14"/>
      </tp>
      <tp t="e">
        <v>#N/A</v>
        <stp/>
        <stp>BDH|13139254700379454149</stp>
        <tr r="Y123" s="18"/>
      </tp>
      <tp t="e">
        <v>#N/A</v>
        <stp/>
        <stp>BDH|12439110845758088644</stp>
        <tr r="C14" s="11"/>
      </tp>
      <tp t="e">
        <v>#N/A</v>
        <stp/>
        <stp>BDH|16082925853245340664</stp>
        <tr r="F114" s="18"/>
      </tp>
      <tp t="e">
        <v>#N/A</v>
        <stp/>
        <stp>BDH|16033251511374897886</stp>
        <tr r="AA68" s="17"/>
      </tp>
      <tp t="e">
        <v>#N/A</v>
        <stp/>
        <stp>BDH|12148525262940079852</stp>
        <tr r="S47" s="22"/>
      </tp>
      <tp t="e">
        <v>#N/A</v>
        <stp/>
        <stp>BDH|14009704811748462318</stp>
        <tr r="N31" s="9"/>
      </tp>
      <tp t="e">
        <v>#N/A</v>
        <stp/>
        <stp>BDH|17577160416796087814</stp>
        <tr r="K86" s="18"/>
      </tp>
      <tp t="e">
        <v>#N/A</v>
        <stp/>
        <stp>BDH|12140975516765639629</stp>
        <tr r="O30" s="17"/>
      </tp>
      <tp t="e">
        <v>#N/A</v>
        <stp/>
        <stp>BDH|18339026090790548805</stp>
        <tr r="Q15" s="14"/>
      </tp>
      <tp t="e">
        <v>#N/A</v>
        <stp/>
        <stp>BDH|12653944573071134441</stp>
        <tr r="E17" s="14"/>
      </tp>
      <tp t="e">
        <v>#N/A</v>
        <stp/>
        <stp>BDH|13777979934071488145</stp>
        <tr r="K16" s="17"/>
        <tr r="K19" s="28"/>
      </tp>
      <tp t="e">
        <v>#N/A</v>
        <stp/>
        <stp>BDH|13629563683441347643</stp>
        <tr r="AA46" s="13"/>
      </tp>
      <tp t="e">
        <v>#N/A</v>
        <stp/>
        <stp>BDH|15327266312299307604</stp>
        <tr r="T48" s="18"/>
      </tp>
      <tp t="e">
        <v>#N/A</v>
        <stp/>
        <stp>BDH|11334788549788355358</stp>
        <tr r="K35" s="12"/>
      </tp>
      <tp t="e">
        <v>#N/A</v>
        <stp/>
        <stp>BDH|18346133908485418583</stp>
        <tr r="P90" s="24"/>
      </tp>
      <tp t="e">
        <v>#N/A</v>
        <stp/>
        <stp>BDH|14078490717339365193</stp>
        <tr r="C21" s="18"/>
      </tp>
      <tp t="e">
        <v>#N/A</v>
        <stp/>
        <stp>BDH|17633881903625972302</stp>
        <tr r="L47" s="17"/>
      </tp>
      <tp t="e">
        <v>#N/A</v>
        <stp/>
        <stp>BDH|12872789206358592475</stp>
        <tr r="V13" s="11"/>
      </tp>
      <tp t="e">
        <v>#N/A</v>
        <stp/>
        <stp>BDH|17904623328228004270</stp>
        <tr r="G28" s="21"/>
      </tp>
      <tp t="e">
        <v>#N/A</v>
        <stp/>
        <stp>BDH|16530872891026292858</stp>
        <tr r="H46" s="24"/>
      </tp>
      <tp t="e">
        <v>#N/A</v>
        <stp/>
        <stp>BDH|16863095950248155244</stp>
        <tr r="L89" s="17"/>
        <tr r="L34" s="25"/>
      </tp>
      <tp t="e">
        <v>#N/A</v>
        <stp/>
        <stp>BDH|12829836627528951913</stp>
        <tr r="J21" s="4"/>
      </tp>
      <tp t="e">
        <v>#N/A</v>
        <stp/>
        <stp>BDH|15981278976281456880</stp>
        <tr r="X142" s="18"/>
      </tp>
      <tp t="e">
        <v>#N/A</v>
        <stp/>
        <stp>BDH|17058696476576959924</stp>
        <tr r="H10" s="10"/>
      </tp>
      <tp t="e">
        <v>#N/A</v>
        <stp/>
        <stp>BDH|10304656714176443825</stp>
        <tr r="H126" s="18"/>
      </tp>
      <tp t="e">
        <v>#N/A</v>
        <stp/>
        <stp>BDH|10172356133731370807</stp>
        <tr r="J21" s="24"/>
      </tp>
      <tp t="e">
        <v>#N/A</v>
        <stp/>
        <stp>BDH|11751844982659552107</stp>
        <tr r="Y26" s="18"/>
      </tp>
      <tp t="e">
        <v>#N/A</v>
        <stp/>
        <stp>BDH|10718315370079377416</stp>
        <tr r="C28" s="10"/>
        <tr r="E34" s="13"/>
      </tp>
      <tp t="e">
        <v>#N/A</v>
        <stp/>
        <stp>BDH|18059437992634098858</stp>
        <tr r="H45" s="24"/>
      </tp>
      <tp t="e">
        <v>#N/A</v>
        <stp/>
        <stp>BDH|14460838263130524358</stp>
        <tr r="N16" s="25"/>
      </tp>
      <tp t="e">
        <v>#N/A</v>
        <stp/>
        <stp>BDH|12658912196583300867</stp>
        <tr r="X14" s="21"/>
      </tp>
      <tp t="e">
        <v>#N/A</v>
        <stp/>
        <stp>BDH|10250845263013343421</stp>
        <tr r="S37" s="21"/>
        <tr r="S24" s="3"/>
      </tp>
      <tp t="e">
        <v>#N/A</v>
        <stp/>
        <stp>BDH|12301582522755866957</stp>
        <tr r="L25" s="10"/>
        <tr r="N31" s="13"/>
      </tp>
      <tp t="e">
        <v>#N/A</v>
        <stp/>
        <stp>BDH|14284788447399386790</stp>
        <tr r="L133" s="18"/>
      </tp>
      <tp t="e">
        <v>#N/A</v>
        <stp/>
        <stp>BDH|14059573389874813414</stp>
        <tr r="S12" s="6"/>
      </tp>
      <tp t="e">
        <v>#N/A</v>
        <stp/>
        <stp>BDH|13723079933730544912</stp>
        <tr r="T43" s="22"/>
      </tp>
      <tp t="e">
        <v>#N/A</v>
        <stp/>
        <stp>BDH|10016110152868354576</stp>
        <tr r="M28" s="6"/>
      </tp>
      <tp t="e">
        <v>#N/A</v>
        <stp/>
        <stp>BDH|11920606429709490530</stp>
        <tr r="O41" s="34"/>
      </tp>
      <tp t="e">
        <v>#N/A</v>
        <stp/>
        <stp>BDH|14830212548998495328</stp>
        <tr r="M127" s="18"/>
      </tp>
      <tp t="e">
        <v>#N/A</v>
        <stp/>
        <stp>BDH|17055225883230687402</stp>
        <tr r="F25" s="10"/>
        <tr r="H31" s="13"/>
      </tp>
      <tp t="e">
        <v>#N/A</v>
        <stp/>
        <stp>BDH|13891789342659392067</stp>
        <tr r="M33" s="17"/>
      </tp>
      <tp t="e">
        <v>#N/A</v>
        <stp/>
        <stp>BDH|10500065662428585736</stp>
        <tr r="D28" s="14"/>
      </tp>
      <tp t="e">
        <v>#N/A</v>
        <stp/>
        <stp>BDH|15649990968285603668</stp>
        <tr r="C132" s="18"/>
      </tp>
      <tp t="e">
        <v>#N/A</v>
        <stp/>
        <stp>BDH|10313821150216697205</stp>
        <tr r="W25" s="14"/>
      </tp>
      <tp t="e">
        <v>#N/A</v>
        <stp/>
        <stp>BDH|14672809931856219029</stp>
        <tr r="T46" s="22"/>
      </tp>
      <tp t="e">
        <v>#N/A</v>
        <stp/>
        <stp>BDH|16824920627186366298</stp>
        <tr r="W42" s="10"/>
        <tr r="W34" s="11"/>
      </tp>
      <tp t="e">
        <v>#N/A</v>
        <stp/>
        <stp>BDH|17338642106878272043</stp>
        <tr r="O7" s="10"/>
      </tp>
      <tp t="e">
        <v>#N/A</v>
        <stp/>
        <stp>BDH|14573073605704490947</stp>
        <tr r="R81" s="12"/>
      </tp>
      <tp t="e">
        <v>#N/A</v>
        <stp/>
        <stp>BDH|10562762584061916798</stp>
        <tr r="Y8" s="28"/>
      </tp>
      <tp t="e">
        <v>#N/A</v>
        <stp/>
        <stp>BDH|15617508533078323216</stp>
        <tr r="R31" s="26"/>
        <tr r="O14" s="9"/>
      </tp>
      <tp t="e">
        <v>#N/A</v>
        <stp/>
        <stp>BDH|14874701624570894837</stp>
        <tr r="M18" s="18"/>
      </tp>
      <tp t="e">
        <v>#N/A</v>
        <stp/>
        <stp>BDH|11862003817161161891</stp>
        <tr r="W13" s="2"/>
      </tp>
      <tp t="e">
        <v>#N/A</v>
        <stp/>
        <stp>BDH|16452319521359647758</stp>
        <tr r="K6" s="2"/>
        <tr r="J6" s="5"/>
        <tr r="J6" s="9"/>
        <tr r="L12" s="8"/>
        <tr r="K10" s="29"/>
        <tr r="K19" s="29"/>
        <tr r="K25" s="29"/>
      </tp>
      <tp t="e">
        <v>#N/A</v>
        <stp/>
        <stp>BDH|13851645695530739594</stp>
        <tr r="D46" s="13"/>
      </tp>
      <tp t="e">
        <v>#N/A</v>
        <stp/>
        <stp>BDH|11020044513699362034</stp>
        <tr r="C6" s="27"/>
      </tp>
      <tp t="e">
        <v>#N/A</v>
        <stp/>
        <stp>BDH|13205907002762774105</stp>
        <tr r="I58" s="13"/>
      </tp>
      <tp t="e">
        <v>#N/A</v>
        <stp/>
        <stp>BDH|13548043211108158361</stp>
        <tr r="S14" s="29"/>
        <tr r="S23" s="29"/>
        <tr r="S37" s="29"/>
      </tp>
      <tp t="e">
        <v>#N/A</v>
        <stp/>
        <stp>BDH|11096536102214259949</stp>
        <tr r="K82" s="17"/>
      </tp>
      <tp t="e">
        <v>#N/A</v>
        <stp/>
        <stp>BDH|12340722695851378409</stp>
        <tr r="O10" s="4"/>
        <tr r="N6" s="16"/>
        <tr r="Q6" s="3"/>
        <tr r="O6" s="11"/>
      </tp>
      <tp t="e">
        <v>#N/A</v>
        <stp/>
        <stp>BDH|12129559287123195554</stp>
        <tr r="V13" s="21"/>
      </tp>
      <tp t="e">
        <v>#N/A</v>
        <stp/>
        <stp>BDH|18330054575875009348</stp>
        <tr r="C65" s="21"/>
      </tp>
      <tp t="e">
        <v>#N/A</v>
        <stp/>
        <stp>BDH|18401872484663706273</stp>
        <tr r="AA31" s="34"/>
      </tp>
      <tp t="e">
        <v>#N/A</v>
        <stp/>
        <stp>BDH|17770036069528807022</stp>
        <tr r="S37" s="18"/>
      </tp>
      <tp t="e">
        <v>#N/A</v>
        <stp/>
        <stp>BDH|18027970697661041076</stp>
        <tr r="AA23" s="26"/>
      </tp>
      <tp t="e">
        <v>#N/A</v>
        <stp/>
        <stp>BDH|11275267366778773426</stp>
        <tr r="P97" s="18"/>
        <tr r="P6" s="20"/>
      </tp>
      <tp t="e">
        <v>#N/A</v>
        <stp/>
        <stp>BDH|17706090729915889985</stp>
        <tr r="G33" s="22"/>
      </tp>
      <tp t="e">
        <v>#N/A</v>
        <stp/>
        <stp>BDH|11489925860805569247</stp>
        <tr r="T79" s="24"/>
      </tp>
      <tp t="e">
        <v>#N/A</v>
        <stp/>
        <stp>BDH|14664764906893393927</stp>
        <tr r="R8" s="4"/>
      </tp>
      <tp t="e">
        <v>#N/A</v>
        <stp/>
        <stp>BDH|16765940337101411472</stp>
        <tr r="J19" s="22"/>
      </tp>
      <tp t="e">
        <v>#N/A</v>
        <stp/>
        <stp>BDH|10420261099984888646</stp>
        <tr r="R43" s="17"/>
      </tp>
      <tp t="e">
        <v>#N/A</v>
        <stp/>
        <stp>BDH|10998662958693501946</stp>
        <tr r="J74" s="10"/>
        <tr r="J66" s="11"/>
      </tp>
      <tp t="e">
        <v>#N/A</v>
        <stp/>
        <stp>BDH|10392133825002002831</stp>
        <tr r="X33" s="24"/>
      </tp>
      <tp t="e">
        <v>#N/A</v>
        <stp/>
        <stp>BDH|14443426930749381337</stp>
        <tr r="AA24" s="18"/>
      </tp>
      <tp t="e">
        <v>#N/A</v>
        <stp/>
        <stp>BDH|11357847855296197350</stp>
        <tr r="S28" s="34"/>
      </tp>
      <tp t="e">
        <v>#N/A</v>
        <stp/>
        <stp>BDH|15686926464625158675</stp>
        <tr r="N21" s="2"/>
      </tp>
      <tp t="e">
        <v>#N/A</v>
        <stp/>
        <stp>BDH|14040743219022997926</stp>
        <tr r="L8" s="28"/>
      </tp>
      <tp t="e">
        <v>#N/A</v>
        <stp/>
        <stp>BDH|18007077830790870298</stp>
        <tr r="E38" s="34"/>
      </tp>
      <tp t="e">
        <v>#N/A</v>
        <stp/>
        <stp>BDH|10040868870545109317</stp>
        <tr r="K49" s="6"/>
      </tp>
      <tp t="e">
        <v>#N/A</v>
        <stp/>
        <stp>BDH|10285912011094669522</stp>
        <tr r="C43" s="18"/>
      </tp>
      <tp t="e">
        <v>#N/A</v>
        <stp/>
        <stp>BDH|12332381211151896844</stp>
        <tr r="I42" s="17"/>
      </tp>
      <tp t="e">
        <v>#N/A</v>
        <stp/>
        <stp>BDH|13813808875576927323</stp>
        <tr r="Z88" s="18"/>
      </tp>
      <tp t="e">
        <v>#N/A</v>
        <stp/>
        <stp>BDH|10684388196082999174</stp>
        <tr r="Y10" s="22"/>
      </tp>
      <tp t="e">
        <v>#N/A</v>
        <stp/>
        <stp>BDH|10545162005088586052</stp>
        <tr r="Z33" s="17"/>
      </tp>
      <tp t="e">
        <v>#N/A</v>
        <stp/>
        <stp>BDH|16494829914914358270</stp>
        <tr r="F74" s="10"/>
        <tr r="F66" s="11"/>
      </tp>
      <tp t="e">
        <v>#N/A</v>
        <stp/>
        <stp>BDH|10743498818495823986</stp>
        <tr r="W10" s="2"/>
        <tr r="V11" s="5"/>
        <tr r="V55" s="6"/>
        <tr r="W33" s="29"/>
        <tr r="W42" s="29"/>
      </tp>
      <tp t="e">
        <v>#N/A</v>
        <stp/>
        <stp>BDH|14104156827967248977</stp>
        <tr r="AA8" s="27"/>
      </tp>
      <tp t="e">
        <v>#N/A</v>
        <stp/>
        <stp>BDH|12087301456964768975</stp>
        <tr r="O130" s="18"/>
      </tp>
      <tp t="e">
        <v>#N/A</v>
        <stp/>
        <stp>BDH|15070352493560007603</stp>
        <tr r="J88" s="18"/>
      </tp>
      <tp t="e">
        <v>#N/A</v>
        <stp/>
        <stp>BDH|16329072680246746154</stp>
        <tr r="Y22" s="18"/>
      </tp>
      <tp t="e">
        <v>#N/A</v>
        <stp/>
        <stp>BDH|11569915333374013613</stp>
        <tr r="M53" s="17"/>
      </tp>
      <tp t="e">
        <v>#N/A</v>
        <stp/>
        <stp>BDH|14094295282424920348</stp>
        <tr r="V9" s="13"/>
      </tp>
      <tp t="e">
        <v>#N/A</v>
        <stp/>
        <stp>BDH|11320234914142010927</stp>
        <tr r="W7" s="17"/>
      </tp>
      <tp t="e">
        <v>#N/A</v>
        <stp/>
        <stp>BDH|15254484192678643982</stp>
        <tr r="N75" s="24"/>
      </tp>
      <tp t="e">
        <v>#N/A</v>
        <stp/>
        <stp>BDH|15016132176448348203</stp>
        <tr r="Y14" s="11"/>
      </tp>
      <tp t="e">
        <v>#N/A</v>
        <stp/>
        <stp>BDH|16732372497093952683</stp>
        <tr r="W17" s="5"/>
        <tr r="W36" s="6"/>
      </tp>
      <tp t="e">
        <v>#N/A</v>
        <stp/>
        <stp>BDH|12723974233198086959</stp>
        <tr r="P12" s="18"/>
      </tp>
      <tp t="e">
        <v>#N/A</v>
        <stp/>
        <stp>BDH|16695742800908341073</stp>
        <tr r="G82" s="17"/>
      </tp>
      <tp t="e">
        <v>#N/A</v>
        <stp/>
        <stp>BDH|17912722287404858527</stp>
        <tr r="N77" s="18"/>
      </tp>
      <tp t="e">
        <v>#N/A</v>
        <stp/>
        <stp>BDH|14185108032137274873</stp>
        <tr r="AA107" s="18"/>
      </tp>
      <tp t="e">
        <v>#N/A</v>
        <stp/>
        <stp>BDH|13699660509708861483</stp>
        <tr r="W58" s="18"/>
      </tp>
      <tp t="e">
        <v>#N/A</v>
        <stp/>
        <stp>BDH|14860843874946219437</stp>
        <tr r="C70" s="12"/>
      </tp>
      <tp t="e">
        <v>#N/A</v>
        <stp/>
        <stp>BDH|13638980929637763699</stp>
        <tr r="H111" s="18"/>
      </tp>
      <tp t="e">
        <v>#N/A</v>
        <stp/>
        <stp>BDH|10576625416686147898</stp>
        <tr r="S25" s="34"/>
      </tp>
      <tp t="e">
        <v>#N/A</v>
        <stp/>
        <stp>BDH|18015182635733184054</stp>
        <tr r="N12" s="21"/>
      </tp>
      <tp t="e">
        <v>#N/A</v>
        <stp/>
        <stp>BDH|10319480302589687463</stp>
        <tr r="N38" s="26"/>
      </tp>
      <tp t="e">
        <v>#N/A</v>
        <stp/>
        <stp>BDH|12919039116999796327</stp>
        <tr r="N55" s="18"/>
      </tp>
      <tp t="e">
        <v>#N/A</v>
        <stp/>
        <stp>BDH|11372791005468042769</stp>
        <tr r="E10" s="23"/>
      </tp>
      <tp t="e">
        <v>#N/A</v>
        <stp/>
        <stp>BDH|14806163371653526838</stp>
        <tr r="R39" s="25"/>
        <tr r="R7" s="3"/>
        <tr r="P18" s="11"/>
        <tr r="R22" s="13"/>
        <tr r="R7" s="13"/>
      </tp>
      <tp t="e">
        <v>#N/A</v>
        <stp/>
        <stp>BDH|15306413218050541968</stp>
        <tr r="T112" s="18"/>
      </tp>
      <tp t="e">
        <v>#N/A</v>
        <stp/>
        <stp>BDH|16406589292560178366</stp>
        <tr r="Q14" s="17"/>
        <tr r="Q17" s="28"/>
      </tp>
      <tp t="e">
        <v>#N/A</v>
        <stp/>
        <stp>BDH|17801234493781568448</stp>
        <tr r="C23" s="23"/>
      </tp>
      <tp t="e">
        <v>#N/A</v>
        <stp/>
        <stp>BDH|10784016571707966972</stp>
        <tr r="M63" s="12"/>
      </tp>
      <tp t="e">
        <v>#N/A</v>
        <stp/>
        <stp>BDH|18391051928803489035</stp>
        <tr r="X20" s="5"/>
      </tp>
      <tp t="e">
        <v>#N/A</v>
        <stp/>
        <stp>BDH|11042198718370152897</stp>
        <tr r="AA38" s="34"/>
      </tp>
      <tp t="e">
        <v>#N/A</v>
        <stp/>
        <stp>BDH|10818303360439298533</stp>
        <tr r="J16" s="26"/>
      </tp>
      <tp t="e">
        <v>#N/A</v>
        <stp/>
        <stp>BDH|15790121085694057198</stp>
        <tr r="D15" s="24"/>
      </tp>
      <tp t="e">
        <v>#N/A</v>
        <stp/>
        <stp>BDH|10902931322123550146</stp>
        <tr r="F26" s="12"/>
      </tp>
      <tp t="e">
        <v>#N/A</v>
        <stp/>
        <stp>BDH|12514812064013067696</stp>
        <tr r="M12" s="24"/>
      </tp>
      <tp t="e">
        <v>#N/A</v>
        <stp/>
        <stp>BDH|11097110669588382726</stp>
        <tr r="AA6" s="27"/>
      </tp>
      <tp t="e">
        <v>#N/A</v>
        <stp/>
        <stp>BDH|12925877574725702140</stp>
        <tr r="H18" s="22"/>
      </tp>
      <tp t="e">
        <v>#N/A</v>
        <stp/>
        <stp>BDH|12406222990070979064</stp>
        <tr r="E12" s="17"/>
      </tp>
      <tp t="e">
        <v>#N/A</v>
        <stp/>
        <stp>BDH|10650992532700725333</stp>
        <tr r="X49" s="13"/>
      </tp>
      <tp t="e">
        <v>#N/A</v>
        <stp/>
        <stp>BDH|16516945781198848610</stp>
        <tr r="M15" s="9"/>
      </tp>
      <tp t="e">
        <v>#N/A</v>
        <stp/>
        <stp>BDH|16447394087473013735</stp>
        <tr r="I12" s="10"/>
      </tp>
      <tp t="e">
        <v>#N/A</v>
        <stp/>
        <stp>BDH|10504335197175041687</stp>
        <tr r="G51" s="6"/>
        <tr r="I6" s="8"/>
      </tp>
      <tp t="e">
        <v>#N/A</v>
        <stp/>
        <stp>BDH|13798990329173872269</stp>
        <tr r="X73" s="17"/>
      </tp>
      <tp t="e">
        <v>#N/A</v>
        <stp/>
        <stp>BDH|11714060880204835406</stp>
        <tr r="M69" s="12"/>
      </tp>
      <tp t="e">
        <v>#N/A</v>
        <stp/>
        <stp>BDH|11629962737056933475</stp>
        <tr r="F49" s="22"/>
      </tp>
      <tp t="e">
        <v>#N/A</v>
        <stp/>
        <stp>BDH|12723955930123246297</stp>
        <tr r="I125" s="18"/>
      </tp>
      <tp t="e">
        <v>#N/A</v>
        <stp/>
        <stp>BDH|12865416611717864994</stp>
        <tr r="X36" s="18"/>
      </tp>
      <tp t="e">
        <v>#N/A</v>
        <stp/>
        <stp>BDH|14872923237717070041</stp>
        <tr r="I76" s="17"/>
        <tr r="I19" s="3"/>
      </tp>
      <tp t="e">
        <v>#N/A</v>
        <stp/>
        <stp>BDH|14689709524071215994</stp>
        <tr r="Z7" s="28"/>
      </tp>
      <tp t="e">
        <v>#N/A</v>
        <stp/>
        <stp>BDH|11078543375303149997</stp>
        <tr r="R70" s="18"/>
      </tp>
      <tp t="e">
        <v>#N/A</v>
        <stp/>
        <stp>BDH|17612958052054929600</stp>
        <tr r="F39" s="25"/>
        <tr r="F7" s="3"/>
        <tr r="D18" s="11"/>
        <tr r="F22" s="13"/>
        <tr r="F7" s="13"/>
      </tp>
      <tp t="e">
        <v>#N/A</v>
        <stp/>
        <stp>BDH|14718902929207694103</stp>
        <tr r="C8" s="34"/>
      </tp>
      <tp t="e">
        <v>#N/A</v>
        <stp/>
        <stp>BDH|18357378248443067544</stp>
        <tr r="I81" s="18"/>
      </tp>
      <tp t="e">
        <v>#N/A</v>
        <stp/>
        <stp>BDH|15145388281570371735</stp>
        <tr r="I17" s="18"/>
      </tp>
      <tp t="e">
        <v>#N/A</v>
        <stp/>
        <stp>BDH|16470485851008714629</stp>
        <tr r="S26" s="29"/>
      </tp>
      <tp t="e">
        <v>#N/A</v>
        <stp/>
        <stp>BDH|12520726343218488084</stp>
        <tr r="J64" s="21"/>
        <tr r="G31" s="6"/>
      </tp>
      <tp t="e">
        <v>#N/A</v>
        <stp/>
        <stp>BDH|15950935567886495518</stp>
        <tr r="X19" s="17"/>
      </tp>
      <tp t="e">
        <v>#N/A</v>
        <stp/>
        <stp>BDH|13811089675458541581</stp>
        <tr r="K48" s="18"/>
      </tp>
      <tp t="e">
        <v>#N/A</v>
        <stp/>
        <stp>BDH|11430088294372677366</stp>
        <tr r="O20" s="22"/>
      </tp>
      <tp t="e">
        <v>#N/A</v>
        <stp/>
        <stp>BDH|14804933496915273874</stp>
        <tr r="Y34" s="22"/>
      </tp>
      <tp t="e">
        <v>#N/A</v>
        <stp/>
        <stp>BDH|17832638258544956923</stp>
        <tr r="E39" s="4"/>
        <tr r="E66" s="10"/>
      </tp>
      <tp t="e">
        <v>#N/A</v>
        <stp/>
        <stp>BDH|14662599186598216834</stp>
        <tr r="T22" s="27"/>
      </tp>
      <tp t="e">
        <v>#N/A</v>
        <stp/>
        <stp>BDH|14383235100657879803</stp>
        <tr r="H76" s="17"/>
        <tr r="H19" s="3"/>
      </tp>
      <tp t="e">
        <v>#N/A</v>
        <stp/>
        <stp>BDH|17179781428848020393</stp>
        <tr r="U15" s="11"/>
      </tp>
      <tp t="e">
        <v>#N/A</v>
        <stp/>
        <stp>BDH|17386497690311331210</stp>
        <tr r="O8" s="34"/>
      </tp>
      <tp t="e">
        <v>#N/A</v>
        <stp/>
        <stp>BDH|13959256287568282810</stp>
        <tr r="J96" s="18"/>
      </tp>
      <tp t="e">
        <v>#N/A</v>
        <stp/>
        <stp>BDH|15444522391771999166</stp>
        <tr r="P12" s="22"/>
      </tp>
      <tp t="e">
        <v>#N/A</v>
        <stp/>
        <stp>BDH|16788217168502020966</stp>
        <tr r="X110" s="18"/>
      </tp>
      <tp t="e">
        <v>#N/A</v>
        <stp/>
        <stp>BDH|14492727026359172194</stp>
        <tr r="Z20" s="27"/>
      </tp>
      <tp t="e">
        <v>#N/A</v>
        <stp/>
        <stp>BDH|11969924130997456570</stp>
        <tr r="N18" s="14"/>
      </tp>
      <tp t="e">
        <v>#N/A</v>
        <stp/>
        <stp>BDH|12318819265132648793</stp>
        <tr r="Z24" s="22"/>
      </tp>
      <tp t="e">
        <v>#N/A</v>
        <stp/>
        <stp>BDH|12485127188053461124</stp>
        <tr r="F22" s="10"/>
      </tp>
      <tp t="e">
        <v>#N/A</v>
        <stp/>
        <stp>BDH|11931846400804057455</stp>
        <tr r="M10" s="24"/>
      </tp>
      <tp t="e">
        <v>#N/A</v>
        <stp/>
        <stp>BDH|16917568413639132251</stp>
        <tr r="C21" s="3"/>
      </tp>
      <tp t="e">
        <v>#N/A</v>
        <stp/>
        <stp>BDH|17962130422505199816</stp>
        <tr r="I59" s="24"/>
      </tp>
      <tp t="e">
        <v>#N/A</v>
        <stp/>
        <stp>BDH|12142719278133025802</stp>
        <tr r="X25" s="24"/>
      </tp>
      <tp t="e">
        <v>#N/A</v>
        <stp/>
        <stp>BDH|18179062669214210345</stp>
        <tr r="G21" s="11"/>
      </tp>
      <tp t="e">
        <v>#N/A</v>
        <stp/>
        <stp>BDH|11434592997204598079</stp>
        <tr r="R57" s="6"/>
      </tp>
      <tp t="e">
        <v>#N/A</v>
        <stp/>
        <stp>BDH|14751155094486627384</stp>
        <tr r="L36" s="12"/>
      </tp>
      <tp t="e">
        <v>#N/A</v>
        <stp/>
        <stp>BDH|10100970708167130770</stp>
        <tr r="G78" s="12"/>
      </tp>
      <tp t="e">
        <v>#N/A</v>
        <stp/>
        <stp>BDH|14859485189369223830</stp>
        <tr r="U59" s="21"/>
        <tr r="S55" s="11"/>
      </tp>
      <tp t="e">
        <v>#N/A</v>
        <stp/>
        <stp>BDH|12306734508615739970</stp>
        <tr r="P12" s="20"/>
      </tp>
      <tp t="e">
        <v>#N/A</v>
        <stp/>
        <stp>BDH|10224823442653822624</stp>
        <tr r="S21" s="14"/>
      </tp>
      <tp t="e">
        <v>#N/A</v>
        <stp/>
        <stp>BDH|16106348183196803269</stp>
        <tr r="P51" s="24"/>
      </tp>
      <tp t="e">
        <v>#N/A</v>
        <stp/>
        <stp>BDH|13812848531477153648</stp>
        <tr r="M14" s="17"/>
        <tr r="M17" s="28"/>
      </tp>
      <tp t="e">
        <v>#N/A</v>
        <stp/>
        <stp>BDH|15780245192341014698</stp>
        <tr r="E78" s="12"/>
      </tp>
      <tp t="e">
        <v>#N/A</v>
        <stp/>
        <stp>BDH|14213078702244883974</stp>
        <tr r="Q46" s="13"/>
      </tp>
      <tp t="e">
        <v>#N/A</v>
        <stp/>
        <stp>BDH|13101995521539257833</stp>
        <tr r="R41" s="24"/>
      </tp>
      <tp t="e">
        <v>#N/A</v>
        <stp/>
        <stp>BDH|16847325699901971429</stp>
        <tr r="F49" s="24"/>
      </tp>
      <tp t="e">
        <v>#N/A</v>
        <stp/>
        <stp>BDH|12013854304305856617</stp>
        <tr r="G50" s="12"/>
      </tp>
      <tp t="e">
        <v>#N/A</v>
        <stp/>
        <stp>BDH|16465987308477842145</stp>
        <tr r="E47" s="24"/>
      </tp>
      <tp t="e">
        <v>#N/A</v>
        <stp/>
        <stp>BDH|16943302066562307847</stp>
        <tr r="Q132" s="18"/>
      </tp>
      <tp t="e">
        <v>#N/A</v>
        <stp/>
        <stp>BDH|17471101498377530112</stp>
        <tr r="J23" s="2"/>
        <tr r="L18" s="21"/>
        <tr r="L23" s="3"/>
      </tp>
      <tp t="e">
        <v>#N/A</v>
        <stp/>
        <stp>BDH|18153216528131110029</stp>
        <tr r="G24" s="6"/>
      </tp>
      <tp t="e">
        <v>#N/A</v>
        <stp/>
        <stp>BDH|14836099499526635255</stp>
        <tr r="T13" s="18"/>
      </tp>
      <tp t="e">
        <v>#N/A</v>
        <stp/>
        <stp>BDH|17902751302951729822</stp>
        <tr r="W14" s="12"/>
      </tp>
      <tp t="e">
        <v>#N/A</v>
        <stp/>
        <stp>BDH|13773865134883950270</stp>
        <tr r="F15" s="13"/>
      </tp>
      <tp t="e">
        <v>#N/A</v>
        <stp/>
        <stp>BDH|15185937019400353431</stp>
        <tr r="R25" s="3"/>
      </tp>
      <tp t="e">
        <v>#N/A</v>
        <stp/>
        <stp>BDH|15008376097503843539</stp>
        <tr r="H71" s="17"/>
      </tp>
      <tp t="e">
        <v>#N/A</v>
        <stp/>
        <stp>BDH|13992373396556382609</stp>
        <tr r="C139" s="18"/>
      </tp>
      <tp t="e">
        <v>#N/A</v>
        <stp/>
        <stp>BDH|15946770044907542844</stp>
        <tr r="L82" s="17"/>
      </tp>
      <tp t="e">
        <v>#N/A</v>
        <stp/>
        <stp>BDH|14204820295725684982</stp>
        <tr r="H62" s="13"/>
      </tp>
      <tp t="e">
        <v>#N/A</v>
        <stp/>
        <stp>BDH|17697697356335787858</stp>
        <tr r="G53" s="10"/>
        <tr r="G45" s="11"/>
        <tr r="G16" s="7"/>
      </tp>
      <tp t="e">
        <v>#N/A</v>
        <stp/>
        <stp>BDH|13429898186803058904</stp>
        <tr r="AA22" s="27"/>
      </tp>
      <tp t="e">
        <v>#N/A</v>
        <stp/>
        <stp>BDH|15750320743059951243</stp>
        <tr r="V92" s="17"/>
        <tr r="V13" s="28"/>
      </tp>
      <tp t="e">
        <v>#N/A</v>
        <stp/>
        <stp>BDH|17962802445067133564</stp>
        <tr r="P41" s="10"/>
        <tr r="P33" s="11"/>
      </tp>
      <tp t="e">
        <v>#N/A</v>
        <stp/>
        <stp>BDH|11102935467025719296</stp>
        <tr r="G46" s="17"/>
      </tp>
      <tp t="e">
        <v>#N/A</v>
        <stp/>
        <stp>BDH|10253065640249675497</stp>
        <tr r="N73" s="12"/>
      </tp>
      <tp t="e">
        <v>#N/A</v>
        <stp/>
        <stp>BDH|13663107499575126754</stp>
        <tr r="D11" s="21"/>
      </tp>
      <tp t="e">
        <v>#N/A</v>
        <stp/>
        <stp>BDH|17482092737238496553</stp>
        <tr r="S29" s="12"/>
      </tp>
      <tp t="e">
        <v>#N/A</v>
        <stp/>
        <stp>BDH|17777805230501849443</stp>
        <tr r="K13" s="24"/>
      </tp>
      <tp t="e">
        <v>#N/A</v>
        <stp/>
        <stp>BDH|13721907872555868166</stp>
        <tr r="Y13" s="26"/>
      </tp>
      <tp t="e">
        <v>#N/A</v>
        <stp/>
        <stp>BDH|12700953428944020418</stp>
        <tr r="L10" s="26"/>
      </tp>
      <tp t="e">
        <v>#N/A</v>
        <stp/>
        <stp>BDH|13088778337689230795</stp>
        <tr r="K74" s="24"/>
      </tp>
      <tp t="e">
        <v>#N/A</v>
        <stp/>
        <stp>BDH|10704200398085170750</stp>
        <tr r="O46" s="18"/>
      </tp>
      <tp t="e">
        <v>#N/A</v>
        <stp/>
        <stp>BDH|18148345862040434485</stp>
        <tr r="C12" s="13"/>
      </tp>
      <tp t="e">
        <v>#N/A</v>
        <stp/>
        <stp>BDH|13546793936026881899</stp>
        <tr r="S73" s="10"/>
        <tr r="S65" s="11"/>
      </tp>
      <tp t="e">
        <v>#N/A</v>
        <stp/>
        <stp>BDH|14270343948339685339</stp>
        <tr r="H57" s="6"/>
      </tp>
      <tp t="e">
        <v>#N/A</v>
        <stp/>
        <stp>BDH|16798316387344301099</stp>
        <tr r="G112" s="18"/>
      </tp>
      <tp t="e">
        <v>#N/A</v>
        <stp/>
        <stp>BDH|17864851263766162643</stp>
        <tr r="F72" s="18"/>
      </tp>
      <tp t="e">
        <v>#N/A</v>
        <stp/>
        <stp>BDH|14377994965080427205</stp>
        <tr r="S87" s="17"/>
      </tp>
      <tp t="e">
        <v>#N/A</v>
        <stp/>
        <stp>BDH|10928173588684590495</stp>
        <tr r="U66" s="24"/>
      </tp>
      <tp t="e">
        <v>#N/A</v>
        <stp/>
        <stp>BDH|17786296517038522567</stp>
        <tr r="AA31" s="18"/>
      </tp>
      <tp t="e">
        <v>#N/A</v>
        <stp/>
        <stp>BDH|17289916389256540952</stp>
        <tr r="X62" s="13"/>
      </tp>
      <tp t="e">
        <v>#N/A</v>
        <stp/>
        <stp>BDH|11397923498491226915</stp>
        <tr r="J45" s="13"/>
      </tp>
      <tp t="e">
        <v>#N/A</v>
        <stp/>
        <stp>BDH|17982055912648321770</stp>
        <tr r="K65" s="17"/>
      </tp>
      <tp t="e">
        <v>#N/A</v>
        <stp/>
        <stp>BDH|15732929265287201481</stp>
        <tr r="H29" s="24"/>
      </tp>
      <tp t="e">
        <v>#N/A</v>
        <stp/>
        <stp>BDH|10892527120517637960</stp>
        <tr r="D41" s="13"/>
      </tp>
      <tp t="e">
        <v>#N/A</v>
        <stp/>
        <stp>BDH|11007793711986529870</stp>
        <tr r="T47" s="18"/>
      </tp>
      <tp t="e">
        <v>#N/A</v>
        <stp/>
        <stp>BDH|15025235495262986555</stp>
        <tr r="M77" s="17"/>
      </tp>
      <tp t="e">
        <v>#N/A</v>
        <stp/>
        <stp>BDH|13032989871956055239</stp>
        <tr r="L57" s="18"/>
      </tp>
      <tp t="e">
        <v>#N/A</v>
        <stp/>
        <stp>BDH|10842703183971690779</stp>
        <tr r="F12" s="13"/>
      </tp>
      <tp t="e">
        <v>#N/A</v>
        <stp/>
        <stp>BDH|17652297247621695943</stp>
        <tr r="L6" s="27"/>
      </tp>
      <tp t="e">
        <v>#N/A</v>
        <stp/>
        <stp>BDH|12145168339599552011</stp>
        <tr r="G69" s="24"/>
      </tp>
      <tp t="e">
        <v>#N/A</v>
        <stp/>
        <stp>BDH|16029768608711000941</stp>
        <tr r="H80" s="18"/>
      </tp>
      <tp t="e">
        <v>#N/A</v>
        <stp/>
        <stp>BDH|18404418738366512026</stp>
        <tr r="R16" s="17"/>
        <tr r="R19" s="28"/>
      </tp>
      <tp t="e">
        <v>#N/A</v>
        <stp/>
        <stp>BDH|14393860075090923238</stp>
        <tr r="R7" s="23"/>
      </tp>
      <tp t="e">
        <v>#N/A</v>
        <stp/>
        <stp>BDH|14403685913148476211</stp>
        <tr r="D71" s="18"/>
      </tp>
      <tp t="e">
        <v>#N/A</v>
        <stp/>
        <stp>BDH|12046212014140838876</stp>
        <tr r="M101" s="18"/>
      </tp>
      <tp t="e">
        <v>#N/A</v>
        <stp/>
        <stp>BDH|11945900241201052421</stp>
        <tr r="R63" s="17"/>
      </tp>
      <tp t="e">
        <v>#N/A</v>
        <stp/>
        <stp>BDH|14306006659048934097</stp>
        <tr r="L21" s="24"/>
      </tp>
      <tp t="e">
        <v>#N/A</v>
        <stp/>
        <stp>BDH|13045473408449096758</stp>
        <tr r="C74" s="12"/>
      </tp>
      <tp t="e">
        <v>#N/A</v>
        <stp/>
        <stp>BDH|10409127448674543814</stp>
        <tr r="T21" s="22"/>
      </tp>
      <tp t="e">
        <v>#N/A</v>
        <stp/>
        <stp>BDH|17631781450465159952</stp>
        <tr r="L7" s="24"/>
      </tp>
      <tp t="e">
        <v>#N/A</v>
        <stp/>
        <stp>BDH|14853108485826060272</stp>
        <tr r="R63" s="18"/>
      </tp>
      <tp t="e">
        <v>#N/A</v>
        <stp/>
        <stp>BDH|11035815673414064385</stp>
        <tr r="H34" s="5"/>
        <tr r="I32" s="29"/>
      </tp>
      <tp t="e">
        <v>#N/A</v>
        <stp/>
        <stp>BDH|13938568656493374909</stp>
        <tr r="P31" s="18"/>
      </tp>
      <tp t="e">
        <v>#N/A</v>
        <stp/>
        <stp>BDH|16099630251859954514</stp>
        <tr r="R46" s="24"/>
      </tp>
      <tp t="e">
        <v>#N/A</v>
        <stp/>
        <stp>BDH|14604253665248951153</stp>
        <tr r="Q90" s="17"/>
      </tp>
      <tp t="e">
        <v>#N/A</v>
        <stp/>
        <stp>BDH|14478178428867628972</stp>
        <tr r="W43" s="24"/>
      </tp>
      <tp t="e">
        <v>#N/A</v>
        <stp/>
        <stp>BDH|17316744560619540680</stp>
        <tr r="O22" s="30"/>
        <tr r="O24" s="23"/>
      </tp>
      <tp t="e">
        <v>#N/A</v>
        <stp/>
        <stp>BDH|16482648615769885179</stp>
        <tr r="G7" s="11"/>
      </tp>
      <tp t="e">
        <v>#N/A</v>
        <stp/>
        <stp>BDH|15746341246722918967</stp>
        <tr r="Y86" s="12"/>
      </tp>
      <tp t="e">
        <v>#N/A</v>
        <stp/>
        <stp>BDH|17814137209979938618</stp>
        <tr r="E11" s="14"/>
      </tp>
      <tp t="e">
        <v>#N/A</v>
        <stp/>
        <stp>BDH|14487092846630779910</stp>
        <tr r="L67" s="12"/>
      </tp>
      <tp t="e">
        <v>#N/A</v>
        <stp/>
        <stp>BDH|16404355096925919034</stp>
        <tr r="D90" s="12"/>
      </tp>
      <tp t="e">
        <v>#N/A</v>
        <stp/>
        <stp>BDH|16024836315264371288</stp>
        <tr r="N63" s="12"/>
      </tp>
      <tp t="e">
        <v>#N/A</v>
        <stp/>
        <stp>BDH|14477081111479433548</stp>
        <tr r="W98" s="18"/>
        <tr r="W7" s="20"/>
      </tp>
      <tp t="e">
        <v>#N/A</v>
        <stp/>
        <stp>BDH|11942068592678558957</stp>
        <tr r="Y31" s="25"/>
        <tr r="V14" s="5"/>
        <tr r="Y17" s="27"/>
      </tp>
      <tp t="e">
        <v>#N/A</v>
        <stp/>
        <stp>BDH|17932778712259128104</stp>
        <tr r="M17" s="18"/>
      </tp>
      <tp t="e">
        <v>#N/A</v>
        <stp/>
        <stp>BDH|16955850163813012223</stp>
        <tr r="P25" s="5"/>
      </tp>
      <tp t="e">
        <v>#N/A</v>
        <stp/>
        <stp>BDH|16505878462367846651</stp>
        <tr r="G6" s="19"/>
        <tr r="G35" s="17"/>
        <tr r="G16" s="3"/>
      </tp>
      <tp t="e">
        <v>#N/A</v>
        <stp/>
        <stp>BDH|12087193235760421950</stp>
        <tr r="T63" s="17"/>
      </tp>
      <tp t="e">
        <v>#N/A</v>
        <stp/>
        <stp>BDH|13826084832909873075</stp>
        <tr r="Q26" s="14"/>
      </tp>
      <tp t="e">
        <v>#N/A</v>
        <stp/>
        <stp>BDH|13569388424328020343</stp>
        <tr r="G39" s="34"/>
      </tp>
      <tp t="e">
        <v>#N/A</v>
        <stp/>
        <stp>BDH|17475815940200945218</stp>
        <tr r="W17" s="22"/>
      </tp>
      <tp t="e">
        <v>#N/A</v>
        <stp/>
        <stp>BDH|13505945188582497905</stp>
        <tr r="V27" s="25"/>
        <tr r="V13" s="27"/>
      </tp>
      <tp t="e">
        <v>#N/A</v>
        <stp/>
        <stp>BDH|13604627489822414642</stp>
        <tr r="S19" s="20"/>
      </tp>
      <tp t="e">
        <v>#N/A</v>
        <stp/>
        <stp>BDH|11054084582681528129</stp>
        <tr r="U117" s="18"/>
      </tp>
      <tp t="e">
        <v>#N/A</v>
        <stp/>
        <stp>BDH|16032804729692450706</stp>
        <tr r="R44" s="21"/>
      </tp>
      <tp t="e">
        <v>#N/A</v>
        <stp/>
        <stp>BDH|17866707624372312922</stp>
        <tr r="S58" s="21"/>
        <tr r="S37" s="25"/>
        <tr r="Q31" s="4"/>
        <tr r="Q54" s="11"/>
      </tp>
      <tp t="e">
        <v>#N/A</v>
        <stp/>
        <stp>BDH|11052176686950822149</stp>
        <tr r="AA29" s="12"/>
      </tp>
      <tp t="e">
        <v>#N/A</v>
        <stp/>
        <stp>BDH|12983523705306368809</stp>
        <tr r="F10" s="10"/>
      </tp>
      <tp t="e">
        <v>#N/A</v>
        <stp/>
        <stp>BDH|13316815769434662001</stp>
        <tr r="X8" s="26"/>
        <tr r="U10" s="9"/>
      </tp>
      <tp t="e">
        <v>#N/A</v>
        <stp/>
        <stp>BDH|13286877804966425481</stp>
        <tr r="S50" s="21"/>
      </tp>
      <tp t="e">
        <v>#N/A</v>
        <stp/>
        <stp>BDH|17757604793756920701</stp>
        <tr r="F27" s="24"/>
      </tp>
      <tp t="e">
        <v>#N/A</v>
        <stp/>
        <stp>BDH|14417445459584726837</stp>
        <tr r="S29" s="4"/>
      </tp>
      <tp t="e">
        <v>#N/A</v>
        <stp/>
        <stp>BDH|11126494382695504124</stp>
        <tr r="P12" s="13"/>
      </tp>
      <tp t="e">
        <v>#N/A</v>
        <stp/>
        <stp>BDH|14311043257018969040</stp>
        <tr r="I84" s="12"/>
      </tp>
      <tp t="e">
        <v>#N/A</v>
        <stp/>
        <stp>BDH|12316345599029241814</stp>
        <tr r="L42" s="22"/>
      </tp>
      <tp t="e">
        <v>#N/A</v>
        <stp/>
        <stp>BDH|11326833323451843365</stp>
        <tr r="U61" s="13"/>
      </tp>
      <tp t="e">
        <v>#N/A</v>
        <stp/>
        <stp>BDH|15416836077512993150</stp>
        <tr r="G117" s="18"/>
      </tp>
      <tp t="e">
        <v>#N/A</v>
        <stp/>
        <stp>BDH|18019516564617922509</stp>
        <tr r="U22" s="22"/>
      </tp>
      <tp t="e">
        <v>#N/A</v>
        <stp/>
        <stp>BDH|15215197552218790027</stp>
        <tr r="D23" s="26"/>
      </tp>
      <tp t="e">
        <v>#N/A</v>
        <stp/>
        <stp>BDH|16934550427518792005</stp>
        <tr r="V31" s="21"/>
      </tp>
      <tp t="e">
        <v>#N/A</v>
        <stp/>
        <stp>BDH|11906012811969735021</stp>
        <tr r="F9" s="10"/>
      </tp>
      <tp t="e">
        <v>#N/A</v>
        <stp/>
        <stp>BDH|13189469183995978317</stp>
        <tr r="K25" s="18"/>
      </tp>
      <tp t="e">
        <v>#N/A</v>
        <stp/>
        <stp>BDH|11579592524318597717</stp>
        <tr r="Y20" s="22"/>
      </tp>
      <tp t="e">
        <v>#N/A</v>
        <stp/>
        <stp>BDH|14296585486233202326</stp>
        <tr r="O115" s="18"/>
      </tp>
      <tp t="e">
        <v>#N/A</v>
        <stp/>
        <stp>BDH|10855360217933170844</stp>
        <tr r="H14" s="29"/>
        <tr r="H23" s="29"/>
        <tr r="H37" s="29"/>
      </tp>
      <tp t="e">
        <v>#N/A</v>
        <stp/>
        <stp>BDH|16490757767346862825</stp>
        <tr r="M23" s="23"/>
      </tp>
      <tp t="e">
        <v>#N/A</v>
        <stp/>
        <stp>BDH|15527519909150302927</stp>
        <tr r="AA63" s="21"/>
        <tr r="Y23" s="7"/>
      </tp>
      <tp t="e">
        <v>#N/A</v>
        <stp/>
        <stp>BDH|10122932056274061187</stp>
        <tr r="K72" s="18"/>
      </tp>
      <tp t="e">
        <v>#N/A</v>
        <stp/>
        <stp>BDH|10420286976199157573</stp>
        <tr r="U51" s="6"/>
        <tr r="W6" s="8"/>
      </tp>
      <tp t="e">
        <v>#N/A</v>
        <stp/>
        <stp>BDH|13550829216952467191</stp>
        <tr r="R50" s="12"/>
      </tp>
      <tp t="e">
        <v>#N/A</v>
        <stp/>
        <stp>BDH|18252417925053255480</stp>
        <tr r="W73" s="12"/>
      </tp>
      <tp t="e">
        <v>#N/A</v>
        <stp/>
        <stp>BDH|12771644665699224280</stp>
        <tr r="AA30" s="34"/>
      </tp>
      <tp t="e">
        <v>#N/A</v>
        <stp/>
        <stp>BDH|17886119483915289247</stp>
        <tr r="L95" s="18"/>
      </tp>
      <tp t="e">
        <v>#N/A</v>
        <stp/>
        <stp>BDH|17110588442097079879</stp>
        <tr r="O26" s="18"/>
      </tp>
      <tp t="e">
        <v>#N/A</v>
        <stp/>
        <stp>BDH|16736467648708604735</stp>
        <tr r="N17" s="17"/>
        <tr r="N20" s="28"/>
      </tp>
      <tp t="e">
        <v>#N/A</v>
        <stp/>
        <stp>BDH|16640209680837952236</stp>
        <tr r="M69" s="17"/>
      </tp>
      <tp t="e">
        <v>#N/A</v>
        <stp/>
        <stp>BDH|15972139845859401073</stp>
        <tr r="Q51" s="18"/>
      </tp>
      <tp t="e">
        <v>#N/A</v>
        <stp/>
        <stp>BDH|11099899665745908392</stp>
        <tr r="W12" s="10"/>
      </tp>
      <tp t="e">
        <v>#N/A</v>
        <stp/>
        <stp>BDH|11398090281988708804</stp>
        <tr r="D18" s="12"/>
      </tp>
      <tp t="e">
        <v>#N/A</v>
        <stp/>
        <stp>BDH|15084098186947057307</stp>
        <tr r="R11" s="12"/>
      </tp>
      <tp t="e">
        <v>#N/A</v>
        <stp/>
        <stp>BDH|11304385647428228719</stp>
        <tr r="Z27" s="24"/>
      </tp>
      <tp t="e">
        <v>#N/A</v>
        <stp/>
        <stp>BDH|16740840819645786320</stp>
        <tr r="X28" s="34"/>
      </tp>
      <tp t="e">
        <v>#N/A</v>
        <stp/>
        <stp>BDH|12667268649674729913</stp>
        <tr r="K46" s="24"/>
      </tp>
      <tp t="e">
        <v>#N/A</v>
        <stp/>
        <stp>BDH|10971011188885636494</stp>
        <tr r="E47" s="18"/>
      </tp>
      <tp t="e">
        <v>#N/A</v>
        <stp/>
        <stp>BDH|15881294900628863664</stp>
        <tr r="AA63" s="18"/>
      </tp>
      <tp t="e">
        <v>#N/A</v>
        <stp/>
        <stp>BDH|11641917419276803699</stp>
        <tr r="AA79" s="12"/>
      </tp>
      <tp t="e">
        <v>#N/A</v>
        <stp/>
        <stp>BDH|16191654656318417497</stp>
        <tr r="H19" s="9"/>
      </tp>
      <tp t="e">
        <v>#N/A</v>
        <stp/>
        <stp>BDH|13606698142759259105</stp>
        <tr r="Y63" s="17"/>
      </tp>
      <tp t="e">
        <v>#N/A</v>
        <stp/>
        <stp>BDH|18415431660342185194</stp>
        <tr r="V19" s="10"/>
      </tp>
      <tp t="e">
        <v>#N/A</v>
        <stp/>
        <stp>BDH|16727798340118418454</stp>
        <tr r="X18" s="10"/>
        <tr r="Z16" s="13"/>
        <tr r="Z27" s="13"/>
      </tp>
      <tp t="e">
        <v>#N/A</v>
        <stp/>
        <stp>BDH|15727038899375364011</stp>
        <tr r="Q17" s="14"/>
      </tp>
      <tp t="e">
        <v>#N/A</v>
        <stp/>
        <stp>BDH|14251826664141252299</stp>
        <tr r="U103" s="18"/>
      </tp>
      <tp t="e">
        <v>#N/A</v>
        <stp/>
        <stp>BDH|16182640294626961676</stp>
        <tr r="W13" s="25"/>
      </tp>
      <tp t="e">
        <v>#N/A</v>
        <stp/>
        <stp>BDH|14966748673495702867</stp>
        <tr r="K49" s="22"/>
      </tp>
      <tp t="e">
        <v>#N/A</v>
        <stp/>
        <stp>BDH|10001653856493584992</stp>
        <tr r="I17" s="14"/>
      </tp>
      <tp t="e">
        <v>#N/A</v>
        <stp/>
        <stp>BDH|11261798085012373524</stp>
        <tr r="S43" s="18"/>
      </tp>
      <tp t="e">
        <v>#N/A</v>
        <stp/>
        <stp>BDH|10225766450599395284</stp>
        <tr r="I9" s="34"/>
      </tp>
      <tp t="e">
        <v>#N/A</v>
        <stp/>
        <stp>BDH|11781331337020859840</stp>
        <tr r="J69" s="24"/>
      </tp>
      <tp t="e">
        <v>#N/A</v>
        <stp/>
        <stp>BDH|14660820817201913559</stp>
        <tr r="G22" s="10"/>
      </tp>
      <tp t="e">
        <v>#N/A</v>
        <stp/>
        <stp>BDH|11389517728178643739</stp>
        <tr r="L17" s="4"/>
        <tr r="N10" s="3"/>
        <tr r="L56" s="10"/>
        <tr r="L48" s="11"/>
        <tr r="L17" s="7"/>
        <tr r="N54" s="13"/>
      </tp>
      <tp t="e">
        <v>#N/A</v>
        <stp/>
        <stp>BDH|17323137958242217854</stp>
        <tr r="Q46" s="4"/>
        <tr r="Q23" s="10"/>
        <tr r="S37" s="13"/>
      </tp>
      <tp t="e">
        <v>#N/A</v>
        <stp/>
        <stp>BDH|15241647718329488259</stp>
        <tr r="Z81" s="24"/>
      </tp>
      <tp t="e">
        <v>#N/A</v>
        <stp/>
        <stp>BDH|14730093120056535942</stp>
        <tr r="H42" s="17"/>
      </tp>
      <tp t="e">
        <v>#N/A</v>
        <stp/>
        <stp>BDH|17515415487757579594</stp>
        <tr r="X38" s="22"/>
      </tp>
      <tp t="e">
        <v>#N/A</v>
        <stp/>
        <stp>BDH|17816085430784651996</stp>
        <tr r="G16" s="25"/>
      </tp>
      <tp t="e">
        <v>#N/A</v>
        <stp/>
        <stp>BDH|14289475259395485976</stp>
        <tr r="N10" s="11"/>
      </tp>
      <tp t="e">
        <v>#N/A</v>
        <stp/>
        <stp>BDH|12283704065462187890</stp>
        <tr r="N31" s="18"/>
      </tp>
      <tp t="e">
        <v>#N/A</v>
        <stp/>
        <stp>BDH|17448289913949972495</stp>
        <tr r="Z70" s="24"/>
      </tp>
      <tp t="e">
        <v>#N/A</v>
        <stp/>
        <stp>BDH|17422873645257050590</stp>
        <tr r="Y64" s="18"/>
      </tp>
      <tp t="e">
        <v>#N/A</v>
        <stp/>
        <stp>BDH|16491457962135597893</stp>
        <tr r="S64" s="10"/>
      </tp>
      <tp t="e">
        <v>#N/A</v>
        <stp/>
        <stp>BDH|14807402086718491959</stp>
        <tr r="W6" s="27"/>
      </tp>
      <tp t="e">
        <v>#N/A</v>
        <stp/>
        <stp>BDH|15877936072020352251</stp>
        <tr r="D53" s="24"/>
      </tp>
      <tp t="e">
        <v>#N/A</v>
        <stp/>
        <stp>BDH|10819916189541707999</stp>
        <tr r="D58" s="6"/>
      </tp>
      <tp t="e">
        <v>#N/A</v>
        <stp/>
        <stp>BDH|13463207577818504782</stp>
        <tr r="Y31" s="21"/>
      </tp>
      <tp t="e">
        <v>#N/A</v>
        <stp/>
        <stp>BDH|10727496244850758933</stp>
        <tr r="G77" s="18"/>
      </tp>
      <tp t="e">
        <v>#N/A</v>
        <stp/>
        <stp>BDH|15852961855431789122</stp>
        <tr r="Q44" s="18"/>
      </tp>
      <tp t="e">
        <v>#N/A</v>
        <stp/>
        <stp>BDH|14064782892064252768</stp>
        <tr r="Q33" s="10"/>
        <tr r="Q25" s="11"/>
      </tp>
      <tp t="e">
        <v>#N/A</v>
        <stp/>
        <stp>BDH|13299232498597268650</stp>
        <tr r="D32" s="25"/>
        <tr r="D18" s="27"/>
      </tp>
      <tp t="e">
        <v>#N/A</v>
        <stp/>
        <stp>BDH|17097803073011538086</stp>
        <tr r="X23" s="21"/>
      </tp>
      <tp t="e">
        <v>#N/A</v>
        <stp/>
        <stp>BDH|11046618441493674981</stp>
        <tr r="T14" s="21"/>
      </tp>
      <tp t="e">
        <v>#N/A</v>
        <stp/>
        <stp>BDH|12250676075869963373</stp>
        <tr r="J44" s="6"/>
      </tp>
      <tp t="e">
        <v>#N/A</v>
        <stp/>
        <stp>BDH|11693743624628072586</stp>
        <tr r="R12" s="3"/>
        <tr r="P55" s="10"/>
        <tr r="P47" s="11"/>
        <tr r="P7" s="7"/>
      </tp>
      <tp t="e">
        <v>#N/A</v>
        <stp/>
        <stp>BDH|11320529565312370992</stp>
        <tr r="O31" s="25"/>
        <tr r="L14" s="5"/>
        <tr r="O17" s="27"/>
      </tp>
      <tp t="e">
        <v>#N/A</v>
        <stp/>
        <stp>BDH|13550927249065678269</stp>
        <tr r="J31" s="24"/>
      </tp>
      <tp t="e">
        <v>#N/A</v>
        <stp/>
        <stp>BDH|11890208664795237909</stp>
        <tr r="D15" s="18"/>
      </tp>
      <tp t="e">
        <v>#N/A</v>
        <stp/>
        <stp>BDH|13635184167574598927</stp>
        <tr r="R13" s="8"/>
      </tp>
      <tp t="e">
        <v>#N/A</v>
        <stp/>
        <stp>BDH|10571184505979283141</stp>
        <tr r="L11" s="14"/>
      </tp>
      <tp t="e">
        <v>#N/A</v>
        <stp/>
        <stp>BDH|13903318247894352927</stp>
        <tr r="V22" s="24"/>
      </tp>
      <tp t="e">
        <v>#N/A</v>
        <stp/>
        <stp>BDH|13618822538994517579</stp>
        <tr r="O22" s="21"/>
      </tp>
      <tp t="e">
        <v>#N/A</v>
        <stp/>
        <stp>BDH|15611083409428151482</stp>
        <tr r="Y43" s="10"/>
        <tr r="Y35" s="11"/>
      </tp>
      <tp t="e">
        <v>#N/A</v>
        <stp/>
        <stp>BDH|12466623239268166601</stp>
        <tr r="F33" s="14"/>
      </tp>
      <tp t="e">
        <v>#N/A</v>
        <stp/>
        <stp>BDH|17964305196141062514</stp>
        <tr r="H81" s="18"/>
      </tp>
      <tp t="e">
        <v>#N/A</v>
        <stp/>
        <stp>BDH|14453322576958886161</stp>
        <tr r="P45" s="13"/>
      </tp>
      <tp t="e">
        <v>#N/A</v>
        <stp/>
        <stp>BDH|10478931116608809977</stp>
        <tr r="G65" s="21"/>
      </tp>
      <tp t="e">
        <v>#N/A</v>
        <stp/>
        <stp>BDH|15647593990106246634</stp>
        <tr r="N20" s="26"/>
      </tp>
      <tp t="e">
        <v>#N/A</v>
        <stp/>
        <stp>BDH|10582788043709373336</stp>
        <tr r="K80" s="12"/>
      </tp>
      <tp t="e">
        <v>#N/A</v>
        <stp/>
        <stp>BDH|10000627614219118791</stp>
        <tr r="U9" s="27"/>
      </tp>
      <tp t="e">
        <v>#N/A</v>
        <stp/>
        <stp>BDH|16330946963086837623</stp>
        <tr r="I35" s="10"/>
        <tr r="I27" s="11"/>
      </tp>
      <tp t="e">
        <v>#N/A</v>
        <stp/>
        <stp>BDH|10993291957701151871</stp>
        <tr r="S85" s="17"/>
      </tp>
      <tp t="e">
        <v>#N/A</v>
        <stp/>
        <stp>BDH|10599654686525078574</stp>
        <tr r="J65" s="17"/>
      </tp>
      <tp t="e">
        <v>#N/A</v>
        <stp/>
        <stp>BDH|11128912258956041597</stp>
        <tr r="E19" s="11"/>
      </tp>
      <tp t="e">
        <v>#N/A</v>
        <stp/>
        <stp>BDH|11139445351957564903</stp>
        <tr r="P15" s="20"/>
      </tp>
      <tp t="e">
        <v>#N/A</v>
        <stp/>
        <stp>BDH|11623547696764717729</stp>
        <tr r="S57" s="24"/>
      </tp>
      <tp t="e">
        <v>#N/A</v>
        <stp/>
        <stp>BDH|11705279656780414836</stp>
        <tr r="X40" s="21"/>
      </tp>
      <tp t="e">
        <v>#N/A</v>
        <stp/>
        <stp>BDH|16538998156666207295</stp>
        <tr r="P25" s="10"/>
        <tr r="R31" s="13"/>
      </tp>
      <tp t="e">
        <v>#N/A</v>
        <stp/>
        <stp>BDH|16925341657408284697</stp>
        <tr r="Q28" s="10"/>
        <tr r="S34" s="13"/>
      </tp>
      <tp t="e">
        <v>#N/A</v>
        <stp/>
        <stp>BDH|14017576346909054203</stp>
        <tr r="I13" s="24"/>
      </tp>
      <tp t="e">
        <v>#N/A</v>
        <stp/>
        <stp>BDH|16396256776669037412</stp>
        <tr r="L63" s="12"/>
      </tp>
      <tp t="e">
        <v>#N/A</v>
        <stp/>
        <stp>BDH|11769227978982900857</stp>
        <tr r="Z112" s="18"/>
      </tp>
      <tp t="e">
        <v>#N/A</v>
        <stp/>
        <stp>BDH|10158399127727845861</stp>
        <tr r="U90" s="17"/>
      </tp>
      <tp t="e">
        <v>#N/A</v>
        <stp/>
        <stp>BDH|13127967257096825799</stp>
        <tr r="T31" s="25"/>
        <tr r="Q14" s="5"/>
        <tr r="T17" s="27"/>
      </tp>
      <tp t="e">
        <v>#N/A</v>
        <stp/>
        <stp>BDH|18289186011573906535</stp>
        <tr r="D59" s="18"/>
      </tp>
      <tp t="e">
        <v>#N/A</v>
        <stp/>
        <stp>BDH|12989499283090481067</stp>
        <tr r="U43" s="22"/>
      </tp>
      <tp t="e">
        <v>#N/A</v>
        <stp/>
        <stp>BDH|14449851616477784414</stp>
        <tr r="K12" s="17"/>
      </tp>
      <tp t="e">
        <v>#N/A</v>
        <stp/>
        <stp>BDH|12858986220896115107</stp>
        <tr r="X20" s="12"/>
      </tp>
      <tp t="e">
        <v>#N/A</v>
        <stp/>
        <stp>BDH|10538601826153570978</stp>
        <tr r="Y35" s="34"/>
      </tp>
      <tp t="e">
        <v>#N/A</v>
        <stp/>
        <stp>BDH|14307043426909301136</stp>
        <tr r="I77" s="12"/>
      </tp>
      <tp t="e">
        <v>#N/A</v>
        <stp/>
        <stp>BDH|15417936871551295458</stp>
        <tr r="U8" s="6"/>
      </tp>
      <tp t="e">
        <v>#N/A</v>
        <stp/>
        <stp>BDH|17966955779162035542</stp>
        <tr r="Y90" s="24"/>
      </tp>
      <tp t="e">
        <v>#N/A</v>
        <stp/>
        <stp>BDH|15091510841759181304</stp>
        <tr r="F50" s="17"/>
      </tp>
      <tp t="e">
        <v>#N/A</v>
        <stp/>
        <stp>BDH|15457382038583095859</stp>
        <tr r="D8" s="6"/>
      </tp>
      <tp t="e">
        <v>#N/A</v>
        <stp/>
        <stp>BDH|15377652665652664947</stp>
        <tr r="V65" s="24"/>
      </tp>
      <tp t="e">
        <v>#N/A</v>
        <stp/>
        <stp>BDH|16282918635456337446</stp>
        <tr r="O28" s="17"/>
      </tp>
      <tp t="e">
        <v>#N/A</v>
        <stp/>
        <stp>BDH|15229477051012524807</stp>
        <tr r="I31" s="18"/>
      </tp>
      <tp t="e">
        <v>#N/A</v>
        <stp/>
        <stp>BDH|13479458986994467520</stp>
        <tr r="AA10" s="21"/>
      </tp>
      <tp t="e">
        <v>#N/A</v>
        <stp/>
        <stp>BDH|11125363326056549855</stp>
        <tr r="AA33" s="22"/>
      </tp>
      <tp t="e">
        <v>#N/A</v>
        <stp/>
        <stp>BDH|15280381357938911551</stp>
        <tr r="G30" s="21"/>
      </tp>
      <tp t="e">
        <v>#N/A</v>
        <stp/>
        <stp>BDH|11270949747420758278</stp>
        <tr r="X36" s="22"/>
      </tp>
      <tp t="e">
        <v>#N/A</v>
        <stp/>
        <stp>BDH|15509620303349569402</stp>
        <tr r="S41" s="10"/>
        <tr r="S33" s="11"/>
      </tp>
      <tp t="e">
        <v>#N/A</v>
        <stp/>
        <stp>BDH|11701013361019025066</stp>
        <tr r="C84" s="17"/>
      </tp>
      <tp t="e">
        <v>#N/A</v>
        <stp/>
        <stp>BDH|16261392389221616250</stp>
        <tr r="U25" s="4"/>
        <tr r="U65" s="10"/>
      </tp>
      <tp t="e">
        <v>#N/A</v>
        <stp/>
        <stp>BDH|13031509682684630459</stp>
        <tr r="L126" s="18"/>
      </tp>
      <tp t="e">
        <v>#N/A</v>
        <stp/>
        <stp>BDH|13968227426898482587</stp>
        <tr r="V43" s="6"/>
      </tp>
      <tp t="e">
        <v>#N/A</v>
        <stp/>
        <stp>BDH|14216080374105802876</stp>
        <tr r="L35" s="14"/>
      </tp>
      <tp t="e">
        <v>#N/A</v>
        <stp/>
        <stp>BDH|16961727789521632651</stp>
        <tr r="F30" s="29"/>
        <tr r="F8" s="29"/>
      </tp>
      <tp t="e">
        <v>#N/A</v>
        <stp/>
        <stp>BDH|15059934478177800225</stp>
        <tr r="I52" s="12"/>
      </tp>
      <tp t="e">
        <v>#N/A</v>
        <stp/>
        <stp>BDH|18354737877087239145</stp>
        <tr r="Z30" s="17"/>
      </tp>
      <tp t="e">
        <v>#N/A</v>
        <stp/>
        <stp>BDH|11144281636096944875</stp>
        <tr r="L48" s="24"/>
      </tp>
      <tp t="e">
        <v>#N/A</v>
        <stp/>
        <stp>BDH|15678547471509275019</stp>
        <tr r="S32" s="18"/>
      </tp>
      <tp t="e">
        <v>#N/A</v>
        <stp/>
        <stp>BDH|13252121481210752468</stp>
        <tr r="L77" s="24"/>
      </tp>
      <tp t="e">
        <v>#N/A</v>
        <stp/>
        <stp>BDH|17998390130320566956</stp>
        <tr r="G69" s="12"/>
      </tp>
      <tp t="e">
        <v>#N/A</v>
        <stp/>
        <stp>BDH|10601401692896176554</stp>
        <tr r="S41" s="12"/>
      </tp>
      <tp t="e">
        <v>#N/A</v>
        <stp/>
        <stp>BDH|10995490803509106326</stp>
        <tr r="V32" s="26"/>
      </tp>
      <tp t="e">
        <v>#N/A</v>
        <stp/>
        <stp>BDH|15651404470861439920</stp>
        <tr r="J38" s="4"/>
        <tr r="J58" s="11"/>
        <tr r="L13" s="23"/>
      </tp>
      <tp t="e">
        <v>#N/A</v>
        <stp/>
        <stp>BDH|10285512269204803921</stp>
        <tr r="E7" s="11"/>
      </tp>
      <tp t="e">
        <v>#N/A</v>
        <stp/>
        <stp>BDH|17279727660408350039</stp>
        <tr r="O80" s="12"/>
      </tp>
      <tp t="e">
        <v>#N/A</v>
        <stp/>
        <stp>BDH|14345977447913605452</stp>
        <tr r="S99" s="18"/>
        <tr r="S8" s="20"/>
      </tp>
      <tp t="e">
        <v>#N/A</v>
        <stp/>
        <stp>BDH|15844549093020833776</stp>
        <tr r="U20" s="27"/>
      </tp>
      <tp t="e">
        <v>#N/A</v>
        <stp/>
        <stp>BDH|10277690787637915758</stp>
        <tr r="J64" s="13"/>
      </tp>
      <tp t="e">
        <v>#N/A</v>
        <stp/>
        <stp>BDH|14347000866765541908</stp>
        <tr r="X88" s="24"/>
      </tp>
      <tp t="e">
        <v>#N/A</v>
        <stp/>
        <stp>BDH|15050345922553634909</stp>
        <tr r="H17" s="18"/>
      </tp>
      <tp t="e">
        <v>#N/A</v>
        <stp/>
        <stp>BDH|17209629576480216843</stp>
        <tr r="Q42" s="21"/>
      </tp>
      <tp t="e">
        <v>#N/A</v>
        <stp/>
        <stp>BDH|17206348637480411953</stp>
        <tr r="D9" s="6"/>
      </tp>
      <tp t="e">
        <v>#N/A</v>
        <stp/>
        <stp>BDH|17126473544001270808</stp>
        <tr r="G63" s="17"/>
      </tp>
      <tp t="e">
        <v>#N/A</v>
        <stp/>
        <stp>BDH|17245929069987983101</stp>
        <tr r="S130" s="18"/>
      </tp>
      <tp t="e">
        <v>#N/A</v>
        <stp/>
        <stp>BDH|18201006979750988124</stp>
        <tr r="H9" s="21"/>
      </tp>
      <tp t="e">
        <v>#N/A</v>
        <stp/>
        <stp>BDH|17952796310116192916</stp>
        <tr r="W18" s="9"/>
      </tp>
      <tp t="e">
        <v>#N/A</v>
        <stp/>
        <stp>BDH|16051333941857730851</stp>
        <tr r="T29" s="4"/>
      </tp>
      <tp t="e">
        <v>#N/A</v>
        <stp/>
        <stp>BDH|18228311819517885322</stp>
        <tr r="E19" s="30"/>
      </tp>
      <tp t="e">
        <v>#N/A</v>
        <stp/>
        <stp>BDH|18027535813022770073</stp>
        <tr r="N94" s="18"/>
      </tp>
      <tp t="e">
        <v>#N/A</v>
        <stp/>
        <stp>BDH|16684916421125556639</stp>
        <tr r="G47" s="24"/>
      </tp>
      <tp t="e">
        <v>#N/A</v>
        <stp/>
        <stp>BDH|15541680363023966871</stp>
        <tr r="R29" s="4"/>
      </tp>
      <tp t="e">
        <v>#N/A</v>
        <stp/>
        <stp>BDH|14771304377417730977</stp>
        <tr r="E101" s="18"/>
      </tp>
      <tp t="e">
        <v>#N/A</v>
        <stp/>
        <stp>BDH|16661406994051073425</stp>
        <tr r="Y48" s="18"/>
      </tp>
      <tp t="e">
        <v>#N/A</v>
        <stp/>
        <stp>BDH|17101532887167621333</stp>
        <tr r="P28" s="21"/>
      </tp>
      <tp t="e">
        <v>#N/A</v>
        <stp/>
        <stp>BDH|12537479037939610230</stp>
        <tr r="F33" s="17"/>
      </tp>
      <tp t="e">
        <v>#N/A</v>
        <stp/>
        <stp>BDH|16421654580027811195</stp>
        <tr r="I11" s="18"/>
      </tp>
      <tp t="e">
        <v>#N/A</v>
        <stp/>
        <stp>BDH|18330169482847440834</stp>
        <tr r="Y20" s="23"/>
      </tp>
      <tp t="e">
        <v>#N/A</v>
        <stp/>
        <stp>BDH|10034799964127889852</stp>
        <tr r="E10" s="13"/>
      </tp>
      <tp t="e">
        <v>#N/A</v>
        <stp/>
        <stp>BDH|15731480406689974602</stp>
        <tr r="Y74" s="17"/>
      </tp>
      <tp t="e">
        <v>#N/A</v>
        <stp/>
        <stp>BDH|10416307190731110550</stp>
        <tr r="Q34" s="6"/>
      </tp>
      <tp t="e">
        <v>#N/A</v>
        <stp/>
        <stp>BDH|14266860363577024376</stp>
        <tr r="F35" s="10"/>
        <tr r="F27" s="11"/>
      </tp>
      <tp t="e">
        <v>#N/A</v>
        <stp/>
        <stp>BDH|10766028735529189415</stp>
        <tr r="V17" s="13"/>
      </tp>
      <tp t="e">
        <v>#N/A</v>
        <stp/>
        <stp>BDH|14190627625908462627</stp>
        <tr r="S13" s="24"/>
      </tp>
      <tp t="e">
        <v>#N/A</v>
        <stp/>
        <stp>BDH|14313784868263645856</stp>
        <tr r="I12" s="3"/>
        <tr r="G55" s="10"/>
        <tr r="G47" s="11"/>
        <tr r="G7" s="7"/>
      </tp>
      <tp t="e">
        <v>#N/A</v>
        <stp/>
        <stp>BDH|16534418334946344933</stp>
        <tr r="V39" s="4"/>
        <tr r="V66" s="10"/>
      </tp>
      <tp t="e">
        <v>#N/A</v>
        <stp/>
        <stp>BDH|18229174774571647173</stp>
        <tr r="AA103" s="18"/>
      </tp>
      <tp t="e">
        <v>#N/A</v>
        <stp/>
        <stp>BDH|17577904306017172720</stp>
        <tr r="E75" s="24"/>
      </tp>
      <tp t="e">
        <v>#N/A</v>
        <stp/>
        <stp>BDH|16454500521029750624</stp>
        <tr r="G52" s="10"/>
        <tr r="G44" s="11"/>
        <tr r="G15" s="7"/>
      </tp>
      <tp t="e">
        <v>#N/A</v>
        <stp/>
        <stp>BDH|14406653733809819691</stp>
        <tr r="J26" s="18"/>
      </tp>
      <tp t="e">
        <v>#N/A</v>
        <stp/>
        <stp>BDH|14373453027418795453</stp>
        <tr r="D35" s="12"/>
      </tp>
      <tp t="e">
        <v>#N/A</v>
        <stp/>
        <stp>BDH|17276374010949351255</stp>
        <tr r="W10" s="14"/>
      </tp>
      <tp t="e">
        <v>#N/A</v>
        <stp/>
        <stp>BDH|12656925864964204710</stp>
        <tr r="Q8" s="6"/>
      </tp>
      <tp t="e">
        <v>#N/A</v>
        <stp/>
        <stp>BDH|13740477455285698901</stp>
        <tr r="N19" s="11"/>
      </tp>
      <tp t="e">
        <v>#N/A</v>
        <stp/>
        <stp>BDH|15467417192900753635</stp>
        <tr r="P29" s="29"/>
        <tr r="P7" s="29"/>
      </tp>
      <tp t="e">
        <v>#N/A</v>
        <stp/>
        <stp>BDH|13585901101680069474</stp>
        <tr r="N39" s="17"/>
      </tp>
      <tp t="e">
        <v>#N/A</v>
        <stp/>
        <stp>BDH|18184843281064024274</stp>
        <tr r="D34" s="9"/>
      </tp>
      <tp t="e">
        <v>#N/A</v>
        <stp/>
        <stp>BDH|18355214596975504825</stp>
        <tr r="X38" s="4"/>
        <tr r="X58" s="11"/>
        <tr r="Z13" s="23"/>
      </tp>
      <tp t="e">
        <v>#N/A</v>
        <stp/>
        <stp>BDH|11475619682869479802</stp>
        <tr r="Y14" s="13"/>
      </tp>
      <tp t="e">
        <v>#N/A</v>
        <stp/>
        <stp>BDH|18019676712207152673</stp>
        <tr r="D80" s="12"/>
      </tp>
      <tp t="e">
        <v>#N/A</v>
        <stp/>
        <stp>BDH|10289469083334544615</stp>
        <tr r="C45" s="24"/>
      </tp>
      <tp t="e">
        <v>#N/A</v>
        <stp/>
        <stp>BDH|14949995021072505372</stp>
        <tr r="Y10" s="34"/>
      </tp>
      <tp t="e">
        <v>#N/A</v>
        <stp/>
        <stp>BDH|13160902576412431100</stp>
        <tr r="J7" s="34"/>
      </tp>
      <tp t="e">
        <v>#N/A</v>
        <stp/>
        <stp>BDH|11674642094772109240</stp>
        <tr r="AA130" s="18"/>
      </tp>
      <tp t="e">
        <v>#N/A</v>
        <stp/>
        <stp>BDH|12087324294813521504</stp>
        <tr r="C47" s="13"/>
      </tp>
      <tp t="e">
        <v>#N/A</v>
        <stp/>
        <stp>BDH|14875871354466833103</stp>
        <tr r="K117" s="18"/>
      </tp>
      <tp t="e">
        <v>#N/A</v>
        <stp/>
        <stp>BDH|15337123407632707827</stp>
        <tr r="X43" s="22"/>
      </tp>
      <tp t="e">
        <v>#N/A</v>
        <stp/>
        <stp>BDH|14511079480897752565</stp>
        <tr r="E20" s="18"/>
      </tp>
      <tp t="e">
        <v>#N/A</v>
        <stp/>
        <stp>BDH|10189140270889504130</stp>
        <tr r="N18" s="9"/>
      </tp>
      <tp t="e">
        <v>#N/A</v>
        <stp/>
        <stp>BDH|17344124391182523364</stp>
        <tr r="Z77" s="18"/>
      </tp>
      <tp t="e">
        <v>#N/A</v>
        <stp/>
        <stp>BDH|11559073537415333956</stp>
        <tr r="L50" s="18"/>
      </tp>
      <tp t="e">
        <v>#N/A</v>
        <stp/>
        <stp>BDH|15469187714232213995</stp>
        <tr r="K43" s="29"/>
      </tp>
      <tp t="e">
        <v>#N/A</v>
        <stp/>
        <stp>BDH|14435958392782328839</stp>
        <tr r="M35" s="12"/>
      </tp>
      <tp t="e">
        <v>#N/A</v>
        <stp/>
        <stp>BDH|11267861637345837180</stp>
        <tr r="G38" s="17"/>
      </tp>
      <tp t="e">
        <v>#N/A</v>
        <stp/>
        <stp>BDH|17689202292567286551</stp>
        <tr r="E20" s="10"/>
      </tp>
      <tp t="e">
        <v>#N/A</v>
        <stp/>
        <stp>BDH|16804875103022962265</stp>
        <tr r="K13" s="26"/>
      </tp>
      <tp t="e">
        <v>#N/A</v>
        <stp/>
        <stp>BDH|13525056366193560806</stp>
        <tr r="J89" s="17"/>
        <tr r="J34" s="25"/>
      </tp>
      <tp t="e">
        <v>#N/A</v>
        <stp/>
        <stp>BDH|16544965041677338221</stp>
        <tr r="F24" s="10"/>
      </tp>
      <tp t="e">
        <v>#N/A</v>
        <stp/>
        <stp>BDH|14531627690225279065</stp>
        <tr r="L135" s="18"/>
      </tp>
      <tp t="e">
        <v>#N/A</v>
        <stp/>
        <stp>BDH|16487850123691630379</stp>
        <tr r="Y7" s="17"/>
      </tp>
      <tp t="e">
        <v>#N/A</v>
        <stp/>
        <stp>BDH|15569932896873610859</stp>
        <tr r="E98" s="18"/>
        <tr r="E7" s="20"/>
      </tp>
      <tp t="e">
        <v>#N/A</v>
        <stp/>
        <stp>BDH|10797729245749243417</stp>
        <tr r="W6" s="19"/>
        <tr r="W35" s="17"/>
        <tr r="W16" s="3"/>
      </tp>
      <tp t="e">
        <v>#N/A</v>
        <stp/>
        <stp>BDH|15203965237077054604</stp>
        <tr r="I54" s="24"/>
      </tp>
      <tp t="e">
        <v>#N/A</v>
        <stp/>
        <stp>BDH|12684542052158021423</stp>
        <tr r="Y50" s="24"/>
      </tp>
      <tp t="e">
        <v>#N/A</v>
        <stp/>
        <stp>BDH|10259339700595304803</stp>
        <tr r="U122" s="18"/>
      </tp>
      <tp t="e">
        <v>#N/A</v>
        <stp/>
        <stp>BDH|17197904733140516357</stp>
        <tr r="L90" s="24"/>
      </tp>
      <tp t="e">
        <v>#N/A</v>
        <stp/>
        <stp>BDH|10410853084567693916</stp>
        <tr r="C46" s="18"/>
      </tp>
      <tp t="e">
        <v>#N/A</v>
        <stp/>
        <stp>BDH|12354939494038624406</stp>
        <tr r="F15" s="10"/>
      </tp>
      <tp t="e">
        <v>#N/A</v>
        <stp/>
        <stp>BDH|18207576810244239658</stp>
        <tr r="U29" s="21"/>
      </tp>
      <tp t="e">
        <v>#N/A</v>
        <stp/>
        <stp>BDH|13784445285010053146</stp>
        <tr r="G70" s="10"/>
        <tr r="G62" s="11"/>
        <tr r="G20" s="7"/>
      </tp>
      <tp t="e">
        <v>#N/A</v>
        <stp/>
        <stp>BDH|14717934123930262174</stp>
        <tr r="H75" s="24"/>
      </tp>
      <tp t="e">
        <v>#N/A</v>
        <stp/>
        <stp>BDH|17616304137141623858</stp>
        <tr r="Y36" s="10"/>
        <tr r="Y48" s="10"/>
        <tr r="Y28" s="11"/>
        <tr r="Y40" s="11"/>
      </tp>
      <tp t="e">
        <v>#N/A</v>
        <stp/>
        <stp>BDH|10193991012540863606</stp>
        <tr r="R13" s="21"/>
      </tp>
      <tp t="e">
        <v>#N/A</v>
        <stp/>
        <stp>BDH|18300551443626728109</stp>
        <tr r="Y9" s="11"/>
      </tp>
      <tp t="e">
        <v>#N/A</v>
        <stp/>
        <stp>BDH|14649614371252287966</stp>
        <tr r="AA135" s="18"/>
      </tp>
      <tp t="e">
        <v>#N/A</v>
        <stp/>
        <stp>BDH|16974944358231245559</stp>
        <tr r="T10" s="24"/>
      </tp>
      <tp t="e">
        <v>#N/A</v>
        <stp/>
        <stp>BDH|18241742952646342257</stp>
        <tr r="Z40" s="17"/>
      </tp>
      <tp t="e">
        <v>#N/A</v>
        <stp/>
        <stp>BDH|18261704922152224102</stp>
        <tr r="E8" s="17"/>
      </tp>
      <tp t="e">
        <v>#N/A</v>
        <stp/>
        <stp>BDH|11405095829738344555</stp>
        <tr r="O9" s="14"/>
      </tp>
      <tp t="e">
        <v>#N/A</v>
        <stp/>
        <stp>BDH|13404394620665983968</stp>
        <tr r="R41" s="21"/>
      </tp>
      <tp t="e">
        <v>#N/A</v>
        <stp/>
        <stp>BDH|12491446329978236297</stp>
        <tr r="W106" s="18"/>
      </tp>
      <tp t="e">
        <v>#N/A</v>
        <stp/>
        <stp>BDH|18057606625562569020</stp>
        <tr r="Q43" s="22"/>
      </tp>
      <tp t="e">
        <v>#N/A</v>
        <stp/>
        <stp>BDH|11470933920204464017</stp>
        <tr r="X59" s="12"/>
      </tp>
      <tp t="e">
        <v>#N/A</v>
        <stp/>
        <stp>BDH|14825594153432863883</stp>
        <tr r="V51" s="17"/>
        <tr r="V17" s="3"/>
      </tp>
      <tp t="e">
        <v>#N/A</v>
        <stp/>
        <stp>BDH|13646068975898260255</stp>
        <tr r="Y28" s="12"/>
      </tp>
      <tp t="e">
        <v>#N/A</v>
        <stp/>
        <stp>BDH|17345442197414223007</stp>
        <tr r="J78" s="18"/>
      </tp>
      <tp t="e">
        <v>#N/A</v>
        <stp/>
        <stp>BDH|17627454193804300019</stp>
        <tr r="J42" s="34"/>
      </tp>
      <tp t="e">
        <v>#N/A</v>
        <stp/>
        <stp>BDH|10872389154820041865</stp>
        <tr r="AA65" s="18"/>
      </tp>
      <tp t="e">
        <v>#N/A</v>
        <stp/>
        <stp>BDH|16421316607208000300</stp>
        <tr r="J12" s="6"/>
      </tp>
      <tp t="e">
        <v>#N/A</v>
        <stp/>
        <stp>BDH|17743141381755642560</stp>
        <tr r="J11" s="11"/>
      </tp>
      <tp t="e">
        <v>#N/A</v>
        <stp/>
        <stp>BDH|10969094110996468968</stp>
        <tr r="K20" s="9"/>
      </tp>
      <tp t="e">
        <v>#N/A</v>
        <stp/>
        <stp>BDH|15112835362822208709</stp>
        <tr r="V64" s="13"/>
      </tp>
      <tp t="e">
        <v>#N/A</v>
        <stp/>
        <stp>BDH|10634144539465840912</stp>
        <tr r="P47" s="17"/>
      </tp>
      <tp t="e">
        <v>#N/A</v>
        <stp/>
        <stp>BDH|14313631498967983234</stp>
        <tr r="K10" s="13"/>
      </tp>
      <tp t="e">
        <v>#N/A</v>
        <stp/>
        <stp>BDH|17632810547750536573</stp>
        <tr r="Z37" s="21"/>
        <tr r="Z24" s="3"/>
      </tp>
      <tp t="e">
        <v>#N/A</v>
        <stp/>
        <stp>BDH|10529555944687796863</stp>
        <tr r="L53" s="6"/>
        <tr r="N10" s="8"/>
      </tp>
      <tp t="e">
        <v>#N/A</v>
        <stp/>
        <stp>BDH|12282754388342938136</stp>
        <tr r="Q11" s="3"/>
        <tr r="O50" s="10"/>
        <tr r="O42" s="11"/>
        <tr r="O8" s="7"/>
      </tp>
      <tp t="e">
        <v>#N/A</v>
        <stp/>
        <stp>BDH|16287706586613824490</stp>
        <tr r="O15" s="4"/>
      </tp>
      <tp t="e">
        <v>#N/A</v>
        <stp/>
        <stp>BDH|10866919933432803672</stp>
        <tr r="I21" s="4"/>
      </tp>
      <tp t="e">
        <v>#N/A</v>
        <stp/>
        <stp>BDH|14457254723968059275</stp>
        <tr r="T51" s="18"/>
      </tp>
      <tp t="e">
        <v>#N/A</v>
        <stp/>
        <stp>BDH|18131103955911952384</stp>
        <tr r="U77" s="12"/>
      </tp>
      <tp t="e">
        <v>#N/A</v>
        <stp/>
        <stp>BDH|11717829951354326626</stp>
        <tr r="M10" s="2"/>
        <tr r="L11" s="5"/>
        <tr r="L55" s="6"/>
        <tr r="M33" s="29"/>
        <tr r="M42" s="29"/>
      </tp>
      <tp t="e">
        <v>#N/A</v>
        <stp/>
        <stp>BDH|18054129693576208866</stp>
        <tr r="K15" s="17"/>
        <tr r="K18" s="28"/>
      </tp>
      <tp t="e">
        <v>#N/A</v>
        <stp/>
        <stp>BDH|10072974973038944888</stp>
        <tr r="M9" s="34"/>
      </tp>
      <tp t="e">
        <v>#N/A</v>
        <stp/>
        <stp>BDH|12182198489711111459</stp>
        <tr r="P14" s="28"/>
      </tp>
      <tp t="e">
        <v>#N/A</v>
        <stp/>
        <stp>BDH|11814082570171688934</stp>
        <tr r="W32" s="17"/>
      </tp>
      <tp t="e">
        <v>#N/A</v>
        <stp/>
        <stp>BDH|17434260140156449938</stp>
        <tr r="M9" s="22"/>
      </tp>
      <tp t="e">
        <v>#N/A</v>
        <stp/>
        <stp>BDH|10595346584352466744</stp>
        <tr r="N25" s="10"/>
        <tr r="P31" s="13"/>
      </tp>
      <tp t="e">
        <v>#N/A</v>
        <stp/>
        <stp>BDH|13273219420519772411</stp>
        <tr r="H34" s="17"/>
      </tp>
      <tp t="e">
        <v>#N/A</v>
        <stp/>
        <stp>BDH|17992632173171968950</stp>
        <tr r="L36" s="34"/>
      </tp>
      <tp t="e">
        <v>#N/A</v>
        <stp/>
        <stp>BDH|12269329109776555991</stp>
        <tr r="Y61" s="24"/>
      </tp>
      <tp t="e">
        <v>#N/A</v>
        <stp/>
        <stp>BDH|17991127638173407823</stp>
        <tr r="N14" s="29"/>
        <tr r="N23" s="29"/>
        <tr r="N37" s="29"/>
      </tp>
      <tp t="e">
        <v>#N/A</v>
        <stp/>
        <stp>BDH|14055156994655622724</stp>
        <tr r="K58" s="17"/>
      </tp>
      <tp t="e">
        <v>#N/A</v>
        <stp/>
        <stp>BDH|12326881858941387050</stp>
        <tr r="I15" s="10"/>
      </tp>
      <tp t="e">
        <v>#N/A</v>
        <stp/>
        <stp>BDH|13165476597839496903</stp>
        <tr r="L12" s="22"/>
      </tp>
      <tp t="e">
        <v>#N/A</v>
        <stp/>
        <stp>BDH|17817000258334763826</stp>
        <tr r="U119" s="18"/>
      </tp>
      <tp t="e">
        <v>#N/A</v>
        <stp/>
        <stp>BDH|17944886465150463757</stp>
        <tr r="W44" s="6"/>
      </tp>
      <tp t="e">
        <v>#N/A</v>
        <stp/>
        <stp>BDH|15983890753147011168</stp>
        <tr r="W57" s="6"/>
      </tp>
      <tp t="e">
        <v>#N/A</v>
        <stp/>
        <stp>BDH|14336622843629194169</stp>
        <tr r="I55" s="24"/>
      </tp>
      <tp t="e">
        <v>#N/A</v>
        <stp/>
        <stp>BDH|11328242232066047803</stp>
        <tr r="V12" s="22"/>
      </tp>
      <tp t="e">
        <v>#N/A</v>
        <stp/>
        <stp>BDH|11548606940955493845</stp>
        <tr r="S62" s="17"/>
      </tp>
      <tp t="e">
        <v>#N/A</v>
        <stp/>
        <stp>BDH|18026659251890818594</stp>
        <tr r="L25" s="4"/>
        <tr r="L65" s="10"/>
      </tp>
      <tp t="e">
        <v>#N/A</v>
        <stp/>
        <stp>BDH|10776554165478392518</stp>
        <tr r="C17" s="21"/>
      </tp>
      <tp t="e">
        <v>#N/A</v>
        <stp/>
        <stp>BDH|12002976174571545332</stp>
        <tr r="T37" s="12"/>
      </tp>
      <tp t="e">
        <v>#N/A</v>
        <stp/>
        <stp>BDH|10260330005049834490</stp>
        <tr r="P48" s="13"/>
      </tp>
      <tp t="e">
        <v>#N/A</v>
        <stp/>
        <stp>BDH|13711973470502471114</stp>
        <tr r="G71" s="17"/>
      </tp>
      <tp t="e">
        <v>#N/A</v>
        <stp/>
        <stp>BDH|14945116412782628893</stp>
        <tr r="X48" s="13"/>
      </tp>
      <tp t="e">
        <v>#N/A</v>
        <stp/>
        <stp>BDH|13752295193194938216</stp>
        <tr r="J72" s="12"/>
      </tp>
      <tp t="e">
        <v>#N/A</v>
        <stp/>
        <stp>BDH|11104729007141673965</stp>
        <tr r="R13" s="26"/>
      </tp>
      <tp t="e">
        <v>#N/A</v>
        <stp/>
        <stp>BDH|17359336942148217649</stp>
        <tr r="S49" s="12"/>
      </tp>
      <tp t="e">
        <v>#N/A</v>
        <stp/>
        <stp>BDH|16004267833479882092</stp>
        <tr r="C49" s="4"/>
      </tp>
      <tp t="e">
        <v>#N/A</v>
        <stp/>
        <stp>BDH|16264190948248651518</stp>
        <tr r="I56" s="18"/>
      </tp>
      <tp t="e">
        <v>#N/A</v>
        <stp/>
        <stp>BDH|16968986521877551414</stp>
        <tr r="I27" s="25"/>
        <tr r="I13" s="27"/>
      </tp>
      <tp t="e">
        <v>#N/A</v>
        <stp/>
        <stp>BDH|11394616094550440067</stp>
        <tr r="F10" s="24"/>
      </tp>
      <tp t="e">
        <v>#N/A</v>
        <stp/>
        <stp>BDH|17896338889623784117</stp>
        <tr r="I123" s="18"/>
      </tp>
      <tp t="e">
        <v>#N/A</v>
        <stp/>
        <stp>BDH|10676536690577753569</stp>
        <tr r="J11" s="14"/>
      </tp>
      <tp t="e">
        <v>#N/A</v>
        <stp/>
        <stp>BDH|13957495084077006608</stp>
        <tr r="X39" s="6"/>
      </tp>
      <tp t="e">
        <v>#N/A</v>
        <stp/>
        <stp>BDH|12069688380003913150</stp>
        <tr r="V34" s="26"/>
      </tp>
      <tp t="e">
        <v>#N/A</v>
        <stp/>
        <stp>BDH|13829589871217629834</stp>
        <tr r="G87" s="17"/>
      </tp>
      <tp t="e">
        <v>#N/A</v>
        <stp/>
        <stp>BDH|16755811707012294272</stp>
        <tr r="P38" s="22"/>
      </tp>
      <tp t="e">
        <v>#N/A</v>
        <stp/>
        <stp>BDH|17929140649958072402</stp>
        <tr r="Y85" s="17"/>
      </tp>
      <tp t="e">
        <v>#N/A</v>
        <stp/>
        <stp>BDH|15403755712735688817</stp>
        <tr r="C45" s="34"/>
      </tp>
      <tp t="e">
        <v>#N/A</v>
        <stp/>
        <stp>BDH|17305127510178031158</stp>
        <tr r="K17" s="11"/>
      </tp>
      <tp t="e">
        <v>#N/A</v>
        <stp/>
        <stp>BDH|18354927023908339554</stp>
        <tr r="V18" s="24"/>
      </tp>
      <tp t="e">
        <v>#N/A</v>
        <stp/>
        <stp>BDH|17912701190204564388</stp>
        <tr r="U23" s="22"/>
      </tp>
      <tp t="e">
        <v>#N/A</v>
        <stp/>
        <stp>BDH|13453559797023464266</stp>
        <tr r="L33" s="24"/>
      </tp>
      <tp t="e">
        <v>#N/A</v>
        <stp/>
        <stp>BDH|18321357069345379682</stp>
        <tr r="H29" s="6"/>
      </tp>
      <tp t="e">
        <v>#N/A</v>
        <stp/>
        <stp>BDH|14862192729300931957</stp>
        <tr r="X16" s="25"/>
      </tp>
      <tp t="e">
        <v>#N/A</v>
        <stp/>
        <stp>BDH|11309738848839526590</stp>
        <tr r="AA28" s="18"/>
      </tp>
      <tp t="e">
        <v>#N/A</v>
        <stp/>
        <stp>BDH|14087948690488439245</stp>
        <tr r="W136" s="18"/>
      </tp>
      <tp t="e">
        <v>#N/A</v>
        <stp/>
        <stp>BDH|14069594084653142480</stp>
        <tr r="F73" s="24"/>
      </tp>
      <tp t="e">
        <v>#N/A</v>
        <stp/>
        <stp>BDH|16306281868124428832</stp>
        <tr r="H58" s="12"/>
      </tp>
      <tp t="e">
        <v>#N/A</v>
        <stp/>
        <stp>BDH|15842232508569716005</stp>
        <tr r="Z128" s="18"/>
      </tp>
      <tp t="e">
        <v>#N/A</v>
        <stp/>
        <stp>BDH|14984639274419341296</stp>
        <tr r="M9" s="24"/>
      </tp>
      <tp t="e">
        <v>#N/A</v>
        <stp/>
        <stp>BDH|16532247520891090953</stp>
        <tr r="Z20" s="25"/>
      </tp>
      <tp t="e">
        <v>#N/A</v>
        <stp/>
        <stp>BDH|13319608493163792137</stp>
        <tr r="S36" s="21"/>
      </tp>
      <tp t="e">
        <v>#N/A</v>
        <stp/>
        <stp>BDH|13967685192942287054</stp>
        <tr r="F47" s="18"/>
      </tp>
      <tp t="e">
        <v>#N/A</v>
        <stp/>
        <stp>BDH|16975894934627193419</stp>
        <tr r="L51" s="24"/>
      </tp>
      <tp t="e">
        <v>#N/A</v>
        <stp/>
        <stp>BDH|10753739383816794748</stp>
        <tr r="U71" s="17"/>
      </tp>
      <tp t="e">
        <v>#N/A</v>
        <stp/>
        <stp>BDH|13369884571016656483</stp>
        <tr r="H102" s="18"/>
      </tp>
      <tp t="e">
        <v>#N/A</v>
        <stp/>
        <stp>BDH|14853987575752706661</stp>
        <tr r="L13" s="13"/>
      </tp>
      <tp t="e">
        <v>#N/A</v>
        <stp/>
        <stp>BDH|16852874449355524174</stp>
        <tr r="I15" s="24"/>
      </tp>
      <tp t="e">
        <v>#N/A</v>
        <stp/>
        <stp>BDH|14438932437425008541</stp>
        <tr r="AA84" s="24"/>
      </tp>
      <tp t="e">
        <v>#N/A</v>
        <stp/>
        <stp>BDH|15567307050878146509</stp>
        <tr r="Y23" s="26"/>
      </tp>
      <tp t="e">
        <v>#N/A</v>
        <stp/>
        <stp>BDH|16630778623754685900</stp>
        <tr r="T73" s="12"/>
      </tp>
      <tp t="e">
        <v>#N/A</v>
        <stp/>
        <stp>BDH|14084268554379609439</stp>
        <tr r="N18" s="22"/>
      </tp>
      <tp t="e">
        <v>#N/A</v>
        <stp/>
        <stp>BDH|15179692475858319296</stp>
        <tr r="C34" s="6"/>
      </tp>
      <tp t="e">
        <v>#N/A</v>
        <stp/>
        <stp>BDH|16790116783303017225</stp>
        <tr r="P18" s="12"/>
      </tp>
      <tp t="e">
        <v>#N/A</v>
        <stp/>
        <stp>BDH|14204766271743001929</stp>
        <tr r="X18" s="29"/>
        <tr r="X41" s="29"/>
      </tp>
      <tp t="e">
        <v>#N/A</v>
        <stp/>
        <stp>BDH|17634200052037335908</stp>
        <tr r="P68" s="18"/>
      </tp>
      <tp t="e">
        <v>#N/A</v>
        <stp/>
        <stp>BDH|18414544209160634388</stp>
        <tr r="F14" s="6"/>
      </tp>
      <tp t="e">
        <v>#N/A</v>
        <stp/>
        <stp>BDH|16646802731956458544</stp>
        <tr r="N17" s="9"/>
      </tp>
      <tp t="e">
        <v>#N/A</v>
        <stp/>
        <stp>BDH|14387140383656069536</stp>
        <tr r="N38" s="17"/>
      </tp>
      <tp t="e">
        <v>#N/A</v>
        <stp/>
        <stp>BDH|15691047138561867953</stp>
        <tr r="C72" s="17"/>
      </tp>
      <tp t="e">
        <v>#N/A</v>
        <stp/>
        <stp>BDH|10035642960189352708</stp>
        <tr r="S68" s="24"/>
      </tp>
      <tp t="e">
        <v>#N/A</v>
        <stp/>
        <stp>BDH|14160867455913165443</stp>
        <tr r="Y18" s="2"/>
        <tr r="Y53" s="4"/>
        <tr r="Y46" s="10"/>
        <tr r="Y38" s="11"/>
        <tr r="AA51" s="13"/>
      </tp>
      <tp t="e">
        <v>#N/A</v>
        <stp/>
        <stp>BDH|11812490185684698753</stp>
        <tr r="D41" s="22"/>
      </tp>
      <tp t="e">
        <v>#N/A</v>
        <stp/>
        <stp>BDH|18412108845051171272</stp>
        <tr r="M20" s="12"/>
      </tp>
      <tp t="e">
        <v>#N/A</v>
        <stp/>
        <stp>BDH|11309331920428178661</stp>
        <tr r="G16" s="24"/>
      </tp>
      <tp t="e">
        <v>#N/A</v>
        <stp/>
        <stp>BDH|12538400005411754900</stp>
        <tr r="S12" s="21"/>
      </tp>
      <tp t="e">
        <v>#N/A</v>
        <stp/>
        <stp>BDH|17514139673088524778</stp>
        <tr r="S16" s="6"/>
      </tp>
      <tp t="e">
        <v>#N/A</v>
        <stp/>
        <stp>BDH|10149423925601539940</stp>
        <tr r="D60" s="17"/>
      </tp>
      <tp t="e">
        <v>#N/A</v>
        <stp/>
        <stp>BDH|12426929714481288575</stp>
        <tr r="L31" s="5"/>
      </tp>
      <tp t="e">
        <v>#N/A</v>
        <stp/>
        <stp>BDH|18122409952295490202</stp>
        <tr r="F12" s="18"/>
      </tp>
      <tp t="e">
        <v>#N/A</v>
        <stp/>
        <stp>BDH|14817989171184700018</stp>
        <tr r="P12" s="10"/>
      </tp>
      <tp t="e">
        <v>#N/A</v>
        <stp/>
        <stp>BDH|16706738737334497802</stp>
        <tr r="K15" s="29"/>
        <tr r="K38" s="29"/>
      </tp>
      <tp t="e">
        <v>#N/A</v>
        <stp/>
        <stp>BDH|16358589658709491105</stp>
        <tr r="J74" s="12"/>
      </tp>
      <tp t="e">
        <v>#N/A</v>
        <stp/>
        <stp>BDH|16331836442262012651</stp>
        <tr r="E40" s="18"/>
      </tp>
      <tp t="e">
        <v>#N/A</v>
        <stp/>
        <stp>BDH|16466927917058735814</stp>
        <tr r="H23" s="30"/>
        <tr r="H25" s="23"/>
      </tp>
      <tp t="e">
        <v>#N/A</v>
        <stp/>
        <stp>BDH|16918915176026817010</stp>
        <tr r="T104" s="18"/>
      </tp>
      <tp t="e">
        <v>#N/A</v>
        <stp/>
        <stp>BDH|13181997982388584481</stp>
        <tr r="C19" s="17"/>
      </tp>
      <tp t="e">
        <v>#N/A</v>
        <stp/>
        <stp>BDH|13839884720680057771</stp>
        <tr r="X29" s="6"/>
      </tp>
      <tp t="e">
        <v>#N/A</v>
        <stp/>
        <stp>BDH|11847165770321100887</stp>
        <tr r="G18" s="22"/>
      </tp>
      <tp t="e">
        <v>#N/A</v>
        <stp/>
        <stp>BDH|10686110539889852511</stp>
        <tr r="K21" s="5"/>
      </tp>
      <tp t="e">
        <v>#N/A</v>
        <stp/>
        <stp>BDH|15048319847684560849</stp>
        <tr r="S32" s="25"/>
        <tr r="S18" s="27"/>
      </tp>
      <tp t="e">
        <v>#N/A</v>
        <stp/>
        <stp>BDH|15313165842046584858</stp>
        <tr r="R9" s="6"/>
      </tp>
      <tp t="e">
        <v>#N/A</v>
        <stp/>
        <stp>BDH|11518485490084989627</stp>
        <tr r="E26" s="22"/>
      </tp>
      <tp t="e">
        <v>#N/A</v>
        <stp/>
        <stp>BDH|14186245110599321001</stp>
        <tr r="H78" s="12"/>
      </tp>
      <tp t="e">
        <v>#N/A</v>
        <stp/>
        <stp>BDH|10597380885501903476</stp>
        <tr r="T65" s="18"/>
      </tp>
      <tp t="e">
        <v>#N/A</v>
        <stp/>
        <stp>BDH|13386464302569582048</stp>
        <tr r="R12" s="17"/>
      </tp>
      <tp t="e">
        <v>#N/A</v>
        <stp/>
        <stp>BDH|12848788181254642715</stp>
        <tr r="S42" s="17"/>
      </tp>
      <tp t="e">
        <v>#N/A</v>
        <stp/>
        <stp>BDH|17651944615406896793</stp>
        <tr r="H10" s="18"/>
      </tp>
      <tp t="e">
        <v>#N/A</v>
        <stp/>
        <stp>BDH|14514543630415497931</stp>
        <tr r="V26" s="24"/>
      </tp>
      <tp t="e">
        <v>#N/A</v>
        <stp/>
        <stp>BDH|10889466232419978033</stp>
        <tr r="E24" s="4"/>
        <tr r="E57" s="11"/>
      </tp>
      <tp t="e">
        <v>#N/A</v>
        <stp/>
        <stp>BDH|17114950754910602505</stp>
        <tr r="Z33" s="21"/>
      </tp>
      <tp t="e">
        <v>#N/A</v>
        <stp/>
        <stp>BDH|15816043066879852442</stp>
        <tr r="G31" s="29"/>
      </tp>
      <tp t="e">
        <v>#N/A</v>
        <stp/>
        <stp>BDH|17028058585305261443</stp>
        <tr r="M25" s="3"/>
      </tp>
      <tp t="e">
        <v>#N/A</v>
        <stp/>
        <stp>BDH|10636782461597811819</stp>
        <tr r="X37" s="18"/>
      </tp>
      <tp t="e">
        <v>#N/A</v>
        <stp/>
        <stp>BDH|17468699560951274892</stp>
        <tr r="W13" s="11"/>
      </tp>
      <tp t="e">
        <v>#N/A</v>
        <stp/>
        <stp>BDH|17122881174171290798</stp>
        <tr r="C17" s="10"/>
      </tp>
      <tp t="e">
        <v>#N/A</v>
        <stp/>
        <stp>BDH|15983258158619702555</stp>
        <tr r="P35" s="18"/>
      </tp>
      <tp t="e">
        <v>#N/A</v>
        <stp/>
        <stp>BDH|10435981473310123080</stp>
        <tr r="J17" s="9"/>
      </tp>
      <tp t="e">
        <v>#N/A</v>
        <stp/>
        <stp>BDH|12807865345479510983</stp>
        <tr r="G32" s="5"/>
      </tp>
      <tp t="e">
        <v>#N/A</v>
        <stp/>
        <stp>BDH|17638323841107458976</stp>
        <tr r="U52" s="21"/>
      </tp>
      <tp t="e">
        <v>#N/A</v>
        <stp/>
        <stp>BDH|18205757308479181889</stp>
        <tr r="K13" s="9"/>
      </tp>
      <tp t="e">
        <v>#N/A</v>
        <stp/>
        <stp>BDH|11319211222288214742</stp>
        <tr r="Q89" s="18"/>
      </tp>
      <tp t="e">
        <v>#N/A</v>
        <stp/>
        <stp>BDH|17172710826305846980</stp>
        <tr r="F30" s="21"/>
      </tp>
      <tp t="e">
        <v>#N/A</v>
        <stp/>
        <stp>BDH|16722166863966381972</stp>
        <tr r="Z40" s="21"/>
      </tp>
      <tp t="e">
        <v>#N/A</v>
        <stp/>
        <stp>BDH|17403525435237069856</stp>
        <tr r="W32" s="6"/>
      </tp>
      <tp t="e">
        <v>#N/A</v>
        <stp/>
        <stp>BDH|18188357703306428358</stp>
        <tr r="J49" s="18"/>
      </tp>
      <tp t="e">
        <v>#N/A</v>
        <stp/>
        <stp>BDH|16273072051185259807</stp>
        <tr r="H10" s="17"/>
      </tp>
      <tp t="e">
        <v>#N/A</v>
        <stp/>
        <stp>BDH|10007079495411619629</stp>
        <tr r="V21" s="18"/>
      </tp>
      <tp t="e">
        <v>#N/A</v>
        <stp/>
        <stp>BDH|13089874912813216710</stp>
        <tr r="N14" s="12"/>
      </tp>
      <tp t="e">
        <v>#N/A</v>
        <stp/>
        <stp>BDH|14518481819506196939</stp>
        <tr r="H56" s="17"/>
      </tp>
      <tp t="e">
        <v>#N/A</v>
        <stp/>
        <stp>BDH|13125828854909066911</stp>
        <tr r="E56" s="11"/>
      </tp>
      <tp t="e">
        <v>#N/A</v>
        <stp/>
        <stp>BDH|15512036568094142968</stp>
        <tr r="M32" s="14"/>
      </tp>
      <tp t="e">
        <v>#N/A</v>
        <stp/>
        <stp>BDH|16598695474458063115</stp>
        <tr r="M27" s="14"/>
      </tp>
      <tp t="e">
        <v>#N/A</v>
        <stp/>
        <stp>BDH|15237359469888483630</stp>
        <tr r="T11" s="21"/>
      </tp>
      <tp t="e">
        <v>#N/A</v>
        <stp/>
        <stp>BDH|12689545902751031890</stp>
        <tr r="T9" s="29"/>
      </tp>
      <tp t="e">
        <v>#N/A</v>
        <stp/>
        <stp>BDH|12884931341150795148</stp>
        <tr r="D43" s="13"/>
      </tp>
      <tp t="e">
        <v>#N/A</v>
        <stp/>
        <stp>BDH|10890745085410790178</stp>
        <tr r="F11" s="3"/>
        <tr r="D50" s="10"/>
        <tr r="D42" s="11"/>
        <tr r="D8" s="7"/>
      </tp>
      <tp t="e">
        <v>#N/A</v>
        <stp/>
        <stp>BDH|11992127686466043047</stp>
        <tr r="J69" s="18"/>
      </tp>
      <tp t="e">
        <v>#N/A</v>
        <stp/>
        <stp>BDH|10744343597083979749</stp>
        <tr r="U42" s="4"/>
      </tp>
      <tp t="e">
        <v>#N/A</v>
        <stp/>
        <stp>BDH|15789690497324924091</stp>
        <tr r="W43" s="34"/>
      </tp>
      <tp t="e">
        <v>#N/A</v>
        <stp/>
        <stp>BDH|16879408990223327620</stp>
        <tr r="Q29" s="12"/>
      </tp>
      <tp t="e">
        <v>#N/A</v>
        <stp/>
        <stp>BDH|16807256980095401709</stp>
        <tr r="X47" s="6"/>
      </tp>
      <tp t="e">
        <v>#N/A</v>
        <stp/>
        <stp>BDH|12833803234077468018</stp>
        <tr r="Q47" s="18"/>
      </tp>
      <tp t="e">
        <v>#N/A</v>
        <stp/>
        <stp>BDH|16397122089809673879</stp>
        <tr r="D27" s="6"/>
      </tp>
      <tp t="e">
        <v>#N/A</v>
        <stp/>
        <stp>BDH|15238229679197863981</stp>
        <tr r="C12" s="18"/>
      </tp>
      <tp t="e">
        <v>#N/A</v>
        <stp/>
        <stp>BDH|11948868987519852690</stp>
        <tr r="J107" s="18"/>
      </tp>
      <tp t="e">
        <v>#N/A</v>
        <stp/>
        <stp>BDH|13624386186740736663</stp>
        <tr r="T17" s="29"/>
        <tr r="T40" s="29"/>
      </tp>
      <tp t="e">
        <v>#N/A</v>
        <stp/>
        <stp>BDH|11544661604468755197</stp>
        <tr r="Q125" s="18"/>
      </tp>
      <tp t="e">
        <v>#N/A</v>
        <stp/>
        <stp>BDH|13056955448028212862</stp>
        <tr r="Q46" s="17"/>
      </tp>
      <tp t="e">
        <v>#N/A</v>
        <stp/>
        <stp>BDH|18435775515066843670</stp>
        <tr r="Z22" s="17"/>
      </tp>
      <tp t="e">
        <v>#N/A</v>
        <stp/>
        <stp>BDH|15437784430358522704</stp>
        <tr r="C13" s="29"/>
        <tr r="C22" s="29"/>
        <tr r="C36" s="29"/>
      </tp>
      <tp t="e">
        <v>#N/A</v>
        <stp/>
        <stp>BDH|11159944750693954050</stp>
        <tr r="X41" s="10"/>
        <tr r="X33" s="11"/>
      </tp>
      <tp t="e">
        <v>#N/A</v>
        <stp/>
        <stp>BDH|10518658489539796974</stp>
        <tr r="I42" s="18"/>
      </tp>
      <tp t="e">
        <v>#N/A</v>
        <stp/>
        <stp>BDH|17996961367276283033</stp>
        <tr r="D23" s="23"/>
      </tp>
      <tp t="e">
        <v>#N/A</v>
        <stp/>
        <stp>BDH|16394431250710865918</stp>
        <tr r="V30" s="29"/>
        <tr r="V8" s="29"/>
      </tp>
      <tp t="e">
        <v>#N/A</v>
        <stp/>
        <stp>BDH|11375477873315619982</stp>
        <tr r="K26" s="34"/>
      </tp>
      <tp t="e">
        <v>#N/A</v>
        <stp/>
        <stp>BDH|12128193998006022293</stp>
        <tr r="K110" s="18"/>
      </tp>
      <tp t="e">
        <v>#N/A</v>
        <stp/>
        <stp>BDH|16469421040208719083</stp>
        <tr r="X67" s="18"/>
      </tp>
      <tp t="e">
        <v>#N/A</v>
        <stp/>
        <stp>BDH|16566234351298853763</stp>
        <tr r="O28" s="25"/>
        <tr r="O14" s="27"/>
      </tp>
      <tp t="e">
        <v>#N/A</v>
        <stp/>
        <stp>BDH|16377320468754565950</stp>
        <tr r="D37" s="21"/>
        <tr r="D24" s="3"/>
      </tp>
      <tp t="e">
        <v>#N/A</v>
        <stp/>
        <stp>BDH|12642086917868872588</stp>
        <tr r="R39" s="12"/>
      </tp>
      <tp t="e">
        <v>#N/A</v>
        <stp/>
        <stp>BDH|10702824395079996608</stp>
        <tr r="R82" s="12"/>
      </tp>
      <tp t="e">
        <v>#N/A</v>
        <stp/>
        <stp>BDH|15737872520140075192</stp>
        <tr r="Y42" s="10"/>
        <tr r="Y34" s="11"/>
      </tp>
      <tp t="e">
        <v>#N/A</v>
        <stp/>
        <stp>BDH|17890869638403955164</stp>
        <tr r="F75" s="17"/>
        <tr r="C9" s="5"/>
        <tr r="C9" s="9"/>
      </tp>
      <tp t="e">
        <v>#N/A</v>
        <stp/>
        <stp>BDH|16848331484990188370</stp>
        <tr r="S70" s="24"/>
      </tp>
      <tp t="e">
        <v>#N/A</v>
        <stp/>
        <stp>BDH|11577174828938776449</stp>
        <tr r="U40" s="10"/>
        <tr r="U32" s="11"/>
      </tp>
      <tp t="e">
        <v>#N/A</v>
        <stp/>
        <stp>BDH|18085657303061779193</stp>
        <tr r="Y74" s="12"/>
      </tp>
      <tp t="e">
        <v>#N/A</v>
        <stp/>
        <stp>BDH|18056049821652921643</stp>
        <tr r="F82" s="12"/>
      </tp>
      <tp t="e">
        <v>#N/A</v>
        <stp/>
        <stp>BDH|13311682791871167337</stp>
        <tr r="C129" s="18"/>
      </tp>
      <tp t="e">
        <v>#N/A</v>
        <stp/>
        <stp>BDH|10720145037905820946</stp>
        <tr r="K133" s="18"/>
      </tp>
      <tp t="e">
        <v>#N/A</v>
        <stp/>
        <stp>BDH|13083262356873994911</stp>
        <tr r="M24" s="18"/>
      </tp>
      <tp t="e">
        <v>#N/A</v>
        <stp/>
        <stp>BDH|12706143380537282297</stp>
        <tr r="R11" s="18"/>
      </tp>
      <tp t="e">
        <v>#N/A</v>
        <stp/>
        <stp>BDH|16963899848117766370</stp>
        <tr r="E15" s="29"/>
        <tr r="E38" s="29"/>
      </tp>
      <tp t="e">
        <v>#N/A</v>
        <stp/>
        <stp>BDH|17100361628860165867</stp>
        <tr r="M32" s="6"/>
      </tp>
      <tp t="e">
        <v>#N/A</v>
        <stp/>
        <stp>BDH|16156777089837121060</stp>
        <tr r="U33" s="9"/>
      </tp>
      <tp t="e">
        <v>#N/A</v>
        <stp/>
        <stp>BDH|14878700623839013631</stp>
        <tr r="J39" s="6"/>
      </tp>
      <tp t="e">
        <v>#N/A</v>
        <stp/>
        <stp>BDH|14594313088114202565</stp>
        <tr r="U12" s="22"/>
      </tp>
      <tp t="e">
        <v>#N/A</v>
        <stp/>
        <stp>BDH|17971525368032946828</stp>
        <tr r="P79" s="12"/>
      </tp>
      <tp t="e">
        <v>#N/A</v>
        <stp/>
        <stp>BDH|14572850329845532540</stp>
        <tr r="I56" s="24"/>
      </tp>
      <tp t="e">
        <v>#N/A</v>
        <stp/>
        <stp>BDH|11536962330505917029</stp>
        <tr r="Y15" s="17"/>
        <tr r="Y18" s="28"/>
      </tp>
      <tp t="e">
        <v>#N/A</v>
        <stp/>
        <stp>BDH|12469290738244866951</stp>
        <tr r="K12" s="18"/>
      </tp>
      <tp t="e">
        <v>#N/A</v>
        <stp/>
        <stp>BDH|13960816269487922405</stp>
        <tr r="D51" s="17"/>
        <tr r="D17" s="3"/>
      </tp>
      <tp t="e">
        <v>#N/A</v>
        <stp/>
        <stp>BDH|15361552960398847060</stp>
        <tr r="G88" s="12"/>
      </tp>
      <tp t="e">
        <v>#N/A</v>
        <stp/>
        <stp>BDH|11258682319499930123</stp>
        <tr r="C17" s="30"/>
      </tp>
      <tp t="e">
        <v>#N/A</v>
        <stp/>
        <stp>BDH|16475191178178521686</stp>
        <tr r="F9" s="23"/>
      </tp>
      <tp t="e">
        <v>#N/A</v>
        <stp/>
        <stp>BDH|17377321725341812946</stp>
        <tr r="E60" s="18"/>
      </tp>
      <tp t="e">
        <v>#N/A</v>
        <stp/>
        <stp>BDH|15858316585312577217</stp>
        <tr r="K114" s="18"/>
      </tp>
      <tp t="e">
        <v>#N/A</v>
        <stp/>
        <stp>BDH|16169638168068075029</stp>
        <tr r="G27" s="21"/>
      </tp>
      <tp t="e">
        <v>#N/A</v>
        <stp/>
        <stp>BDH|17473497936748255612</stp>
        <tr r="H23" s="12"/>
      </tp>
      <tp t="e">
        <v>#N/A</v>
        <stp/>
        <stp>BDH|18125769468476392146</stp>
        <tr r="E49" s="6"/>
      </tp>
      <tp t="e">
        <v>#N/A</v>
        <stp/>
        <stp>BDH|17401441024039444682</stp>
        <tr r="O34" s="34"/>
      </tp>
      <tp t="e">
        <v>#N/A</v>
        <stp/>
        <stp>BDH|15036698902699123429</stp>
        <tr r="T23" s="12"/>
      </tp>
      <tp t="e">
        <v>#N/A</v>
        <stp/>
        <stp>BDH|17536890301184158541</stp>
        <tr r="M61" s="24"/>
      </tp>
      <tp t="e">
        <v>#N/A</v>
        <stp/>
        <stp>BDH|16171915172153311594</stp>
        <tr r="J13" s="10"/>
      </tp>
      <tp t="e">
        <v>#N/A</v>
        <stp/>
        <stp>BDH|14154165785070904336</stp>
        <tr r="W9" s="17"/>
      </tp>
      <tp t="e">
        <v>#N/A</v>
        <stp/>
        <stp>BDH|18066751787198944137</stp>
        <tr r="L14" s="2"/>
        <tr r="L11" s="10"/>
      </tp>
      <tp t="e">
        <v>#N/A</v>
        <stp/>
        <stp>BDH|14995876476896759377</stp>
        <tr r="E12" s="12"/>
      </tp>
      <tp t="e">
        <v>#N/A</v>
        <stp/>
        <stp>BDH|15803849744145252229</stp>
        <tr r="J20" s="25"/>
      </tp>
      <tp t="e">
        <v>#N/A</v>
        <stp/>
        <stp>BDH|13878718697246625534</stp>
        <tr r="D53" s="18"/>
      </tp>
      <tp t="e">
        <v>#N/A</v>
        <stp/>
        <stp>BDH|16813247520598709008</stp>
        <tr r="AA55" s="12"/>
      </tp>
      <tp t="e">
        <v>#N/A</v>
        <stp/>
        <stp>BDH|10257397256988730012</stp>
        <tr r="U65" s="21"/>
      </tp>
      <tp t="e">
        <v>#N/A</v>
        <stp/>
        <stp>BDH|16447168869337551850</stp>
        <tr r="C16" s="11"/>
      </tp>
      <tp t="e">
        <v>#N/A</v>
        <stp/>
        <stp>BDH|15952243291950501027</stp>
        <tr r="K10" s="17"/>
      </tp>
      <tp t="e">
        <v>#N/A</v>
        <stp/>
        <stp>BDH|14788635198943392642</stp>
        <tr r="J33" s="24"/>
      </tp>
      <tp t="e">
        <v>#N/A</v>
        <stp/>
        <stp>BDH|10918326182765366019</stp>
        <tr r="M22" s="10"/>
      </tp>
      <tp t="e">
        <v>#N/A</v>
        <stp/>
        <stp>BDH|16206383200969847290</stp>
        <tr r="V77" s="17"/>
      </tp>
      <tp t="e">
        <v>#N/A</v>
        <stp/>
        <stp>BDH|14799807362146822260</stp>
        <tr r="Z63" s="21"/>
        <tr r="X23" s="7"/>
      </tp>
      <tp t="e">
        <v>#N/A</v>
        <stp/>
        <stp>BDH|10523268636848686787</stp>
        <tr r="C18" s="22"/>
      </tp>
      <tp t="e">
        <v>#N/A</v>
        <stp/>
        <stp>BDH|16451150365878682798</stp>
        <tr r="Y27" s="21"/>
      </tp>
      <tp t="e">
        <v>#N/A</v>
        <stp/>
        <stp>BDH|10411042673009161098</stp>
        <tr r="F32" s="21"/>
      </tp>
      <tp t="e">
        <v>#N/A</v>
        <stp/>
        <stp>BDH|14972035797365350659</stp>
        <tr r="G25" s="10"/>
        <tr r="I31" s="13"/>
      </tp>
      <tp t="e">
        <v>#N/A</v>
        <stp/>
        <stp>BDH|11279156100758493683</stp>
        <tr r="S42" s="10"/>
        <tr r="S34" s="11"/>
      </tp>
      <tp t="e">
        <v>#N/A</v>
        <stp/>
        <stp>BDH|16199226439101167804</stp>
        <tr r="F22" s="7"/>
      </tp>
      <tp t="e">
        <v>#N/A</v>
        <stp/>
        <stp>BDH|13825460199843525394</stp>
        <tr r="H28" s="17"/>
      </tp>
      <tp t="e">
        <v>#N/A</v>
        <stp/>
        <stp>BDH|18334630165055976378</stp>
        <tr r="E13" s="21"/>
      </tp>
      <tp t="e">
        <v>#N/A</v>
        <stp/>
        <stp>BDH|17869326207992572832</stp>
        <tr r="L19" s="18"/>
      </tp>
      <tp t="e">
        <v>#N/A</v>
        <stp/>
        <stp>BDH|18385783319131875111</stp>
        <tr r="F66" s="18"/>
      </tp>
      <tp t="e">
        <v>#N/A</v>
        <stp/>
        <stp>BDH|18063178891967434997</stp>
        <tr r="E67" s="18"/>
      </tp>
      <tp t="e">
        <v>#N/A</v>
        <stp/>
        <stp>BDH|17923931275211772635</stp>
        <tr r="F6" s="6"/>
      </tp>
      <tp t="e">
        <v>#N/A</v>
        <stp/>
        <stp>BDH|12541496096193684279</stp>
        <tr r="Q72" s="17"/>
      </tp>
      <tp t="e">
        <v>#N/A</v>
        <stp/>
        <stp>BDH|11844490415492746886</stp>
        <tr r="Q19" s="25"/>
      </tp>
      <tp t="e">
        <v>#N/A</v>
        <stp/>
        <stp>BDH|12311978571316880460</stp>
        <tr r="I66" s="17"/>
        <tr r="I18" s="3"/>
      </tp>
      <tp t="e">
        <v>#N/A</v>
        <stp/>
        <stp>BDH|18311181513171210712</stp>
        <tr r="G21" s="27"/>
      </tp>
      <tp t="e">
        <v>#N/A</v>
        <stp/>
        <stp>BDH|18366735734492804076</stp>
        <tr r="L22" s="24"/>
      </tp>
      <tp t="e">
        <v>#N/A</v>
        <stp/>
        <stp>BDH|16016407391683956634</stp>
        <tr r="G131" s="18"/>
      </tp>
      <tp t="e">
        <v>#N/A</v>
        <stp/>
        <stp>BDH|11216983255142002142</stp>
        <tr r="W46" s="17"/>
      </tp>
      <tp t="e">
        <v>#N/A</v>
        <stp/>
        <stp>BDH|14494738352538749090</stp>
        <tr r="V129" s="18"/>
      </tp>
      <tp t="e">
        <v>#N/A</v>
        <stp/>
        <stp>BDH|11188399406795561900</stp>
        <tr r="K46" s="4"/>
        <tr r="K23" s="10"/>
        <tr r="M37" s="13"/>
      </tp>
      <tp t="e">
        <v>#N/A</v>
        <stp/>
        <stp>BDH|16153652554722265991</stp>
        <tr r="L47" s="34"/>
      </tp>
      <tp t="e">
        <v>#N/A</v>
        <stp/>
        <stp>BDH|14751146718433385938</stp>
        <tr r="J45" s="4"/>
        <tr r="J31" s="10"/>
        <tr r="J23" s="11"/>
        <tr r="L30" s="13"/>
      </tp>
      <tp t="e">
        <v>#N/A</v>
        <stp/>
        <stp>BDH|10568041449193746945</stp>
        <tr r="J22" s="18"/>
      </tp>
      <tp t="e">
        <v>#N/A</v>
        <stp/>
        <stp>BDH|11811167031658733536</stp>
        <tr r="F32" s="12"/>
      </tp>
      <tp t="e">
        <v>#N/A</v>
        <stp/>
        <stp>BDH|11179442349006390957</stp>
        <tr r="C12" s="12"/>
      </tp>
      <tp t="e">
        <v>#N/A</v>
        <stp/>
        <stp>BDH|15016853268412791704</stp>
        <tr r="W75" s="24"/>
      </tp>
      <tp t="e">
        <v>#N/A</v>
        <stp/>
        <stp>BDH|12068917003702948719</stp>
        <tr r="I27" s="26"/>
      </tp>
      <tp t="e">
        <v>#N/A</v>
        <stp/>
        <stp>BDH|10982674045118321425</stp>
        <tr r="S10" s="34"/>
      </tp>
      <tp t="e">
        <v>#N/A</v>
        <stp/>
        <stp>BDH|14130951312382412089</stp>
        <tr r="S15" s="25"/>
      </tp>
      <tp t="e">
        <v>#N/A</v>
        <stp/>
        <stp>BDH|10951674297508348909</stp>
        <tr r="I90" s="12"/>
      </tp>
      <tp t="e">
        <v>#N/A</v>
        <stp/>
        <stp>BDH|11873639402460174924</stp>
        <tr r="R32" s="12"/>
      </tp>
      <tp t="e">
        <v>#N/A</v>
        <stp/>
        <stp>BDH|12191055336218136794</stp>
        <tr r="V65" s="18"/>
      </tp>
      <tp t="e">
        <v>#N/A</v>
        <stp/>
        <stp>BDH|12813056560929271350</stp>
        <tr r="Q35" s="21"/>
      </tp>
      <tp t="e">
        <v>#N/A</v>
        <stp/>
        <stp>BDH|13230871849590565138</stp>
        <tr r="R80" s="24"/>
      </tp>
      <tp t="e">
        <v>#N/A</v>
        <stp/>
        <stp>BDH|15120044150906818876</stp>
        <tr r="Q48" s="13"/>
      </tp>
      <tp t="e">
        <v>#N/A</v>
        <stp/>
        <stp>BDH|14648025780435998774</stp>
        <tr r="J55" s="18"/>
      </tp>
      <tp t="e">
        <v>#N/A</v>
        <stp/>
        <stp>BDH|10650545689823949083</stp>
        <tr r="X24" s="13"/>
      </tp>
      <tp t="e">
        <v>#N/A</v>
        <stp/>
        <stp>BDH|17886821834714270666</stp>
        <tr r="J14" s="20"/>
      </tp>
      <tp t="e">
        <v>#N/A</v>
        <stp/>
        <stp>BDH|16160371628040519919</stp>
        <tr r="U38" s="34"/>
      </tp>
      <tp t="e">
        <v>#N/A</v>
        <stp/>
        <stp>BDH|13757054783865826034</stp>
        <tr r="O25" s="10"/>
        <tr r="Q31" s="13"/>
      </tp>
      <tp t="e">
        <v>#N/A</v>
        <stp/>
        <stp>BDH|14214665452349480081</stp>
        <tr r="R9" s="14"/>
      </tp>
      <tp t="e">
        <v>#N/A</v>
        <stp/>
        <stp>BDH|17290390535300445900</stp>
        <tr r="W37" s="34"/>
      </tp>
      <tp t="e">
        <v>#N/A</v>
        <stp/>
        <stp>BDH|16403763815689582780</stp>
        <tr r="AA59" s="24"/>
      </tp>
      <tp t="e">
        <v>#N/A</v>
        <stp/>
        <stp>BDH|16843350049737878868</stp>
        <tr r="D16" s="12"/>
      </tp>
      <tp t="e">
        <v>#N/A</v>
        <stp/>
        <stp>BDH|13842818512512556640</stp>
        <tr r="R52" s="10"/>
        <tr r="R44" s="11"/>
        <tr r="R15" s="7"/>
      </tp>
      <tp t="e">
        <v>#N/A</v>
        <stp/>
        <stp>BDH|14976302674287538928</stp>
        <tr r="F74" s="12"/>
      </tp>
      <tp t="e">
        <v>#N/A</v>
        <stp/>
        <stp>BDH|13971432993126009638</stp>
        <tr r="J11" s="9"/>
      </tp>
      <tp t="e">
        <v>#N/A</v>
        <stp/>
        <stp>BDH|11842276574623975981</stp>
        <tr r="Z20" s="18"/>
      </tp>
      <tp t="e">
        <v>#N/A</v>
        <stp/>
        <stp>BDH|16182298909312372885</stp>
        <tr r="R38" s="12"/>
      </tp>
      <tp t="e">
        <v>#N/A</v>
        <stp/>
        <stp>BDH|16989476069003564988</stp>
        <tr r="Y47" s="34"/>
      </tp>
      <tp t="e">
        <v>#N/A</v>
        <stp/>
        <stp>BDH|10952697180077308792</stp>
        <tr r="H18" s="18"/>
      </tp>
      <tp t="e">
        <v>#N/A</v>
        <stp/>
        <stp>BDH|17202669048989607207</stp>
        <tr r="I72" s="12"/>
      </tp>
      <tp t="e">
        <v>#N/A</v>
        <stp/>
        <stp>BDH|17040094863317533857</stp>
        <tr r="X18" s="25"/>
      </tp>
      <tp t="e">
        <v>#N/A</v>
        <stp/>
        <stp>BDH|12356521494026914662</stp>
        <tr r="C20" s="24"/>
      </tp>
      <tp t="e">
        <v>#N/A</v>
        <stp/>
        <stp>BDH|14970749133009513718</stp>
        <tr r="H20" s="20"/>
      </tp>
      <tp t="e">
        <v>#N/A</v>
        <stp/>
        <stp>BDH|15391132349528702649</stp>
        <tr r="C58" s="17"/>
      </tp>
      <tp t="e">
        <v>#N/A</v>
        <stp/>
        <stp>BDH|12246470828473206956</stp>
        <tr r="F34" s="29"/>
      </tp>
      <tp t="e">
        <v>#N/A</v>
        <stp/>
        <stp>BDH|18372782051486730274</stp>
        <tr r="T45" s="12"/>
      </tp>
      <tp t="e">
        <v>#N/A</v>
        <stp/>
        <stp>BDH|18351199304121020649</stp>
        <tr r="R73" s="12"/>
      </tp>
      <tp t="e">
        <v>#N/A</v>
        <stp/>
        <stp>BDH|15708259203459319089</stp>
        <tr r="AA90" s="24"/>
      </tp>
      <tp t="e">
        <v>#N/A</v>
        <stp/>
        <stp>BDH|11169491470398736453</stp>
        <tr r="K22" s="6"/>
      </tp>
      <tp t="e">
        <v>#N/A</v>
        <stp/>
        <stp>BDH|11521172116398009799</stp>
        <tr r="I15" s="13"/>
      </tp>
      <tp t="e">
        <v>#N/A</v>
        <stp/>
        <stp>BDH|10005958610386098088</stp>
        <tr r="W18" s="17"/>
      </tp>
      <tp t="e">
        <v>#N/A</v>
        <stp/>
        <stp>BDH|14787365953309930564</stp>
        <tr r="C19" s="23"/>
      </tp>
      <tp t="e">
        <v>#N/A</v>
        <stp/>
        <stp>BDH|10696684695475732413</stp>
        <tr r="C25" s="34"/>
      </tp>
      <tp t="e">
        <v>#N/A</v>
        <stp/>
        <stp>BDH|11514279092726461290</stp>
        <tr r="Q35" s="26"/>
      </tp>
      <tp t="e">
        <v>#N/A</v>
        <stp/>
        <stp>BDH|17641901589249286107</stp>
        <tr r="R15" s="20"/>
      </tp>
      <tp t="e">
        <v>#N/A</v>
        <stp/>
        <stp>BDH|17882959452922737753</stp>
        <tr r="S83" s="18"/>
      </tp>
      <tp t="e">
        <v>#N/A</v>
        <stp/>
        <stp>BDH|18286015986499840703</stp>
        <tr r="C46" s="34"/>
      </tp>
      <tp t="e">
        <v>#N/A</v>
        <stp/>
        <stp>BDH|10068301204049983402</stp>
        <tr r="K24" s="12"/>
      </tp>
      <tp t="e">
        <v>#N/A</v>
        <stp/>
        <stp>BDH|12722385503096382922</stp>
        <tr r="R10" s="13"/>
      </tp>
      <tp t="e">
        <v>#N/A</v>
        <stp/>
        <stp>BDH|16340976288861066810</stp>
        <tr r="S32" s="6"/>
      </tp>
      <tp t="e">
        <v>#N/A</v>
        <stp/>
        <stp>BDH|18251907398717246152</stp>
        <tr r="U62" s="18"/>
      </tp>
      <tp t="e">
        <v>#N/A</v>
        <stp/>
        <stp>BDH|11803217111269461512</stp>
        <tr r="K16" s="26"/>
      </tp>
      <tp t="e">
        <v>#N/A</v>
        <stp/>
        <stp>BDH|13943803957288636857</stp>
        <tr r="X59" s="18"/>
      </tp>
      <tp t="e">
        <v>#N/A</v>
        <stp/>
        <stp>BDH|14128165586786582599</stp>
        <tr r="V66" s="24"/>
      </tp>
      <tp t="e">
        <v>#N/A</v>
        <stp/>
        <stp>BDH|18175099506832734444</stp>
        <tr r="T9" s="10"/>
      </tp>
      <tp t="e">
        <v>#N/A</v>
        <stp/>
        <stp>BDH|17011896273031745704</stp>
        <tr r="N19" s="26"/>
      </tp>
      <tp t="e">
        <v>#N/A</v>
        <stp/>
        <stp>BDH|16967012420272693838</stp>
        <tr r="Q59" s="24"/>
      </tp>
      <tp t="e">
        <v>#N/A</v>
        <stp/>
        <stp>BDH|15177763567049463394</stp>
        <tr r="G10" s="14"/>
      </tp>
      <tp t="e">
        <v>#N/A</v>
        <stp/>
        <stp>BDH|11874503004149023311</stp>
        <tr r="Q18" s="10"/>
        <tr r="S16" s="13"/>
        <tr r="S27" s="13"/>
      </tp>
      <tp t="e">
        <v>#N/A</v>
        <stp/>
        <stp>BDH|17988452127876150973</stp>
        <tr r="X31" s="18"/>
      </tp>
      <tp t="e">
        <v>#N/A</v>
        <stp/>
        <stp>BDH|10522942928121587402</stp>
        <tr r="C84" s="24"/>
      </tp>
      <tp t="e">
        <v>#N/A</v>
        <stp/>
        <stp>BDH|18383057825200931465</stp>
        <tr r="O21" s="5"/>
      </tp>
      <tp t="e">
        <v>#N/A</v>
        <stp/>
        <stp>BDH|17968249223880294905</stp>
        <tr r="E20" s="14"/>
      </tp>
      <tp t="e">
        <v>#N/A</v>
        <stp/>
        <stp>BDH|13465073934659998723</stp>
        <tr r="M49" s="6"/>
      </tp>
      <tp t="e">
        <v>#N/A</v>
        <stp/>
        <stp>BDH|17651951561703829569</stp>
        <tr r="O11" s="30"/>
      </tp>
      <tp t="e">
        <v>#N/A</v>
        <stp/>
        <stp>BDH|11041719784498878816</stp>
        <tr r="M67" s="12"/>
      </tp>
      <tp t="e">
        <v>#N/A</v>
        <stp/>
        <stp>BDH|11631129084474816247</stp>
        <tr r="Y33" s="18"/>
      </tp>
      <tp t="e">
        <v>#N/A</v>
        <stp/>
        <stp>BDH|14953165689931345295</stp>
        <tr r="W44" s="12"/>
      </tp>
      <tp t="e">
        <v>#N/A</v>
        <stp/>
        <stp>BDH|14269398270729542722</stp>
        <tr r="L63" s="18"/>
      </tp>
      <tp t="e">
        <v>#N/A</v>
        <stp/>
        <stp>BDH|13563782037079030068</stp>
        <tr r="G9" s="23"/>
      </tp>
      <tp t="e">
        <v>#N/A</v>
        <stp/>
        <stp>BDH|10191537502239417282</stp>
        <tr r="I60" s="13"/>
      </tp>
      <tp t="e">
        <v>#N/A</v>
        <stp/>
        <stp>BDH|16775503646478977148</stp>
        <tr r="U38" s="12"/>
      </tp>
      <tp t="e">
        <v>#N/A</v>
        <stp/>
        <stp>BDH|17303198382369543911</stp>
        <tr r="V35" s="14"/>
      </tp>
      <tp t="e">
        <v>#N/A</v>
        <stp/>
        <stp>BDH|12949821544699576969</stp>
        <tr r="M28" s="26"/>
      </tp>
      <tp t="e">
        <v>#N/A</v>
        <stp/>
        <stp>BDH|15440647606285255888</stp>
        <tr r="C6" s="15"/>
        <tr r="C12" s="2"/>
        <tr r="C11" s="4"/>
        <tr r="C6" s="10"/>
      </tp>
      <tp t="e">
        <v>#N/A</v>
        <stp/>
        <stp>BDH|15028942087793833978</stp>
        <tr r="P15" s="12"/>
      </tp>
      <tp t="e">
        <v>#N/A</v>
        <stp/>
        <stp>BDH|17809012840358746529</stp>
        <tr r="O62" s="13"/>
      </tp>
      <tp t="e">
        <v>#N/A</v>
        <stp/>
        <stp>BDH|14698167678059684525</stp>
        <tr r="D14" s="13"/>
      </tp>
      <tp t="e">
        <v>#N/A</v>
        <stp/>
        <stp>BDH|11673451059629534730</stp>
        <tr r="H25" s="25"/>
        <tr r="H10" s="27"/>
      </tp>
      <tp t="e">
        <v>#N/A</v>
        <stp/>
        <stp>BDH|15761330628743335931</stp>
        <tr r="M27" s="24"/>
      </tp>
      <tp t="e">
        <v>#N/A</v>
        <stp/>
        <stp>BDH|16949871713502530341</stp>
        <tr r="M16" s="14"/>
      </tp>
      <tp t="e">
        <v>#N/A</v>
        <stp/>
        <stp>BDH|18252988571151089976</stp>
        <tr r="F140" s="18"/>
      </tp>
      <tp t="e">
        <v>#N/A</v>
        <stp/>
        <stp>BDH|16865832643440220460</stp>
        <tr r="X17" s="11"/>
      </tp>
      <tp t="e">
        <v>#N/A</v>
        <stp/>
        <stp>BDH|14121866915681930273</stp>
        <tr r="X74" s="12"/>
      </tp>
      <tp t="e">
        <v>#N/A</v>
        <stp/>
        <stp>BDH|13690875996029394582</stp>
        <tr r="T7" s="21"/>
      </tp>
      <tp t="e">
        <v>#N/A</v>
        <stp/>
        <stp>BDH|13086274298155622358</stp>
        <tr r="X24" s="10"/>
      </tp>
      <tp t="e">
        <v>#N/A</v>
        <stp/>
        <stp>BDH|11224670897005722596</stp>
        <tr r="D53" s="17"/>
      </tp>
      <tp t="e">
        <v>#N/A</v>
        <stp/>
        <stp>BDH|15479815923657230681</stp>
        <tr r="I7" s="2"/>
        <tr r="H7" s="5"/>
        <tr r="H7" s="9"/>
        <tr r="K14" s="3"/>
      </tp>
      <tp t="e">
        <v>#N/A</v>
        <stp/>
        <stp>BDH|16446987324006776532</stp>
        <tr r="K32" s="6"/>
      </tp>
      <tp t="e">
        <v>#N/A</v>
        <stp/>
        <stp>BDH|15334826030452824256</stp>
        <tr r="P14" s="11"/>
      </tp>
      <tp t="e">
        <v>#N/A</v>
        <stp/>
        <stp>BDH|10499775214030208899</stp>
        <tr r="T24" s="13"/>
      </tp>
      <tp t="e">
        <v>#N/A</v>
        <stp/>
        <stp>BDH|16682881665801134767</stp>
        <tr r="I59" s="11"/>
        <tr r="K15" s="23"/>
      </tp>
      <tp t="e">
        <v>#N/A</v>
        <stp/>
        <stp>BDH|13143246938719938583</stp>
        <tr r="W61" s="11"/>
      </tp>
      <tp t="e">
        <v>#N/A</v>
        <stp/>
        <stp>BDH|12571116169208555342</stp>
        <tr r="C21" s="9"/>
      </tp>
      <tp t="e">
        <v>#N/A</v>
        <stp/>
        <stp>BDH|15219327396258239983</stp>
        <tr r="V80" s="24"/>
      </tp>
      <tp t="e">
        <v>#N/A</v>
        <stp/>
        <stp>BDH|17437003580327113696</stp>
        <tr r="L47" s="6"/>
      </tp>
      <tp t="e">
        <v>#N/A</v>
        <stp/>
        <stp>BDH|15401776951900825956</stp>
        <tr r="I31" s="26"/>
        <tr r="F14" s="9"/>
      </tp>
      <tp t="e">
        <v>#N/A</v>
        <stp/>
        <stp>BDH|10065782756845149903</stp>
        <tr r="R43" s="13"/>
      </tp>
      <tp t="e">
        <v>#N/A</v>
        <stp/>
        <stp>BDH|14898506466050871993</stp>
        <tr r="U126" s="18"/>
      </tp>
      <tp t="e">
        <v>#N/A</v>
        <stp/>
        <stp>BDH|14489062183462824067</stp>
        <tr r="Z133" s="18"/>
      </tp>
      <tp t="e">
        <v>#N/A</v>
        <stp/>
        <stp>BDH|16162120439798189242</stp>
        <tr r="C27" s="12"/>
      </tp>
      <tp t="e">
        <v>#N/A</v>
        <stp/>
        <stp>BDH|10902458442326977887</stp>
        <tr r="G11" s="11"/>
      </tp>
      <tp t="e">
        <v>#N/A</v>
        <stp/>
        <stp>BDH|12920222684982303430</stp>
        <tr r="J7" s="11"/>
      </tp>
      <tp t="e">
        <v>#N/A</v>
        <stp/>
        <stp>BDH|17930199348289216550</stp>
        <tr r="T34" s="26"/>
      </tp>
      <tp t="e">
        <v>#N/A</v>
        <stp/>
        <stp>BDH|11486984529772971635</stp>
        <tr r="Y27" s="22"/>
      </tp>
      <tp t="e">
        <v>#N/A</v>
        <stp/>
        <stp>BDH|12490463988855690533</stp>
        <tr r="H20" s="18"/>
      </tp>
      <tp t="e">
        <v>#N/A</v>
        <stp/>
        <stp>BDH|12591214103497142995</stp>
        <tr r="G39" s="17"/>
      </tp>
      <tp t="e">
        <v>#N/A</v>
        <stp/>
        <stp>BDH|13727585597203189265</stp>
        <tr r="X8" s="23"/>
      </tp>
      <tp t="e">
        <v>#N/A</v>
        <stp/>
        <stp>BDH|10017678574538934757</stp>
        <tr r="Y71" s="10"/>
        <tr r="Y63" s="11"/>
      </tp>
      <tp t="e">
        <v>#N/A</v>
        <stp/>
        <stp>BDH|12453382072911544942</stp>
        <tr r="AA20" s="12"/>
      </tp>
      <tp t="e">
        <v>#N/A</v>
        <stp/>
        <stp>BDH|13183501598327315653</stp>
        <tr r="W33" s="10"/>
        <tr r="W25" s="11"/>
      </tp>
      <tp t="e">
        <v>#N/A</v>
        <stp/>
        <stp>BDH|13994416594433640357</stp>
        <tr r="Q18" s="5"/>
        <tr r="Q41" s="6"/>
      </tp>
      <tp t="e">
        <v>#N/A</v>
        <stp/>
        <stp>BDH|10176999067021409040</stp>
        <tr r="AA102" s="18"/>
      </tp>
      <tp t="e">
        <v>#N/A</v>
        <stp/>
        <stp>BDH|11894383174082225996</stp>
        <tr r="P33" s="6"/>
      </tp>
      <tp t="e">
        <v>#N/A</v>
        <stp/>
        <stp>BDH|16112851765565632388</stp>
        <tr r="S47" s="17"/>
      </tp>
      <tp t="e">
        <v>#N/A</v>
        <stp/>
        <stp>BDH|18159782679150609698</stp>
        <tr r="X60" s="24"/>
      </tp>
      <tp t="e">
        <v>#N/A</v>
        <stp/>
        <stp>BDH|13458622263879270484</stp>
        <tr r="M45" s="22"/>
      </tp>
      <tp t="e">
        <v>#N/A</v>
        <stp/>
        <stp>BDH|11109202637938900608</stp>
        <tr r="V19" s="24"/>
      </tp>
      <tp t="e">
        <v>#N/A</v>
        <stp/>
        <stp>BDH|15823036857508534661</stp>
        <tr r="S26" s="26"/>
      </tp>
      <tp t="e">
        <v>#N/A</v>
        <stp/>
        <stp>BDH|16966029944015887984</stp>
        <tr r="P62" s="18"/>
      </tp>
      <tp t="e">
        <v>#N/A</v>
        <stp/>
        <stp>BDH|16907906567493691478</stp>
        <tr r="G56" s="13"/>
      </tp>
      <tp t="e">
        <v>#N/A</v>
        <stp/>
        <stp>BDH|14421932424314431583</stp>
        <tr r="I46" s="21"/>
      </tp>
      <tp t="e">
        <v>#N/A</v>
        <stp/>
        <stp>BDH|16178800893570992948</stp>
        <tr r="H28" s="6"/>
      </tp>
      <tp t="e">
        <v>#N/A</v>
        <stp/>
        <stp>BDH|12505156155779834121</stp>
        <tr r="AA27" s="14"/>
      </tp>
      <tp t="e">
        <v>#N/A</v>
        <stp/>
        <stp>BDH|10913020620068421400</stp>
        <tr r="T51" s="6"/>
        <tr r="V6" s="8"/>
      </tp>
      <tp t="e">
        <v>#N/A</v>
        <stp/>
        <stp>BDH|12618637434848896166</stp>
        <tr r="V24" s="4"/>
        <tr r="V57" s="11"/>
      </tp>
      <tp t="e">
        <v>#N/A</v>
        <stp/>
        <stp>BDH|11319887080798519711</stp>
        <tr r="M21" s="14"/>
      </tp>
      <tp t="e">
        <v>#N/A</v>
        <stp/>
        <stp>BDH|16803413471358666317</stp>
        <tr r="W45" s="13"/>
      </tp>
      <tp t="e">
        <v>#N/A</v>
        <stp/>
        <stp>BDH|15489336998529234829</stp>
        <tr r="W25" s="2"/>
        <tr r="Y60" s="21"/>
      </tp>
      <tp t="e">
        <v>#N/A</v>
        <stp/>
        <stp>BDH|11766897461981182010</stp>
        <tr r="G80" s="18"/>
      </tp>
      <tp t="e">
        <v>#N/A</v>
        <stp/>
        <stp>BDH|12672640988267249571</stp>
        <tr r="N87" s="12"/>
      </tp>
      <tp t="e">
        <v>#N/A</v>
        <stp/>
        <stp>BDH|13528557677037923811</stp>
        <tr r="D27" s="7"/>
      </tp>
      <tp t="e">
        <v>#N/A</v>
        <stp/>
        <stp>BDH|14766696234486419913</stp>
        <tr r="T8" s="26"/>
        <tr r="Q10" s="9"/>
      </tp>
      <tp t="e">
        <v>#N/A</v>
        <stp/>
        <stp>BDH|13952935319175517096</stp>
        <tr r="G64" s="13"/>
      </tp>
      <tp t="e">
        <v>#N/A</v>
        <stp/>
        <stp>BDH|12786290287581502738</stp>
        <tr r="I47" s="21"/>
      </tp>
      <tp t="e">
        <v>#N/A</v>
        <stp/>
        <stp>BDH|11653222278998230218</stp>
        <tr r="Q19" s="10"/>
      </tp>
      <tp t="e">
        <v>#N/A</v>
        <stp/>
        <stp>BDH|18034182045390417379</stp>
        <tr r="M24" s="6"/>
      </tp>
      <tp t="e">
        <v>#N/A</v>
        <stp/>
        <stp>BDH|18144758060210802724</stp>
        <tr r="P25" s="24"/>
      </tp>
      <tp t="e">
        <v>#N/A</v>
        <stp/>
        <stp>BDH|16101059009199796148</stp>
        <tr r="T117" s="18"/>
      </tp>
      <tp t="e">
        <v>#N/A</v>
        <stp/>
        <stp>BDH|16982555686412056744</stp>
        <tr r="F86" s="12"/>
      </tp>
      <tp t="e">
        <v>#N/A</v>
        <stp/>
        <stp>BDH|16701672075548209198</stp>
        <tr r="W74" s="18"/>
      </tp>
      <tp t="e">
        <v>#N/A</v>
        <stp/>
        <stp>BDH|14890830794673182808</stp>
        <tr r="C45" s="13"/>
      </tp>
      <tp t="e">
        <v>#N/A</v>
        <stp/>
        <stp>BDH|11185514157097875815</stp>
        <tr r="O84" s="24"/>
      </tp>
      <tp t="e">
        <v>#N/A</v>
        <stp/>
        <stp>BDH|16262308717089254396</stp>
        <tr r="R69" s="10"/>
      </tp>
      <tp t="e">
        <v>#N/A</v>
        <stp/>
        <stp>BDH|16949827355303993694</stp>
        <tr r="I49" s="18"/>
      </tp>
      <tp t="e">
        <v>#N/A</v>
        <stp/>
        <stp>BDH|10950850843591754368</stp>
        <tr r="J61" s="12"/>
      </tp>
      <tp t="e">
        <v>#N/A</v>
        <stp/>
        <stp>BDH|17862963901894957485</stp>
        <tr r="G81" s="24"/>
      </tp>
      <tp t="e">
        <v>#N/A</v>
        <stp/>
        <stp>BDH|18351067318291040638</stp>
        <tr r="G78" s="24"/>
      </tp>
      <tp t="e">
        <v>#N/A</v>
        <stp/>
        <stp>BDH|14861912160907506221</stp>
        <tr r="M40" s="18"/>
      </tp>
      <tp t="e">
        <v>#N/A</v>
        <stp/>
        <stp>BDH|17934218581097178460</stp>
        <tr r="R42" s="22"/>
      </tp>
      <tp t="e">
        <v>#N/A</v>
        <stp/>
        <stp>BDH|15804872971460745471</stp>
        <tr r="N31" s="25"/>
        <tr r="K14" s="5"/>
        <tr r="N17" s="27"/>
      </tp>
      <tp t="e">
        <v>#N/A</v>
        <stp/>
        <stp>BDH|11828725581439488918</stp>
        <tr r="D54" s="17"/>
      </tp>
      <tp t="e">
        <v>#N/A</v>
        <stp/>
        <stp>BDH|15579577583445864370</stp>
        <tr r="J44" s="17"/>
      </tp>
      <tp t="e">
        <v>#N/A</v>
        <stp/>
        <stp>BDH|15960320989479581998</stp>
        <tr r="X64" s="18"/>
      </tp>
      <tp t="e">
        <v>#N/A</v>
        <stp/>
        <stp>BDH|10802232074088044314</stp>
        <tr r="Y35" s="10"/>
        <tr r="Y27" s="11"/>
      </tp>
      <tp t="e">
        <v>#N/A</v>
        <stp/>
        <stp>BDH|18347297741708139845</stp>
        <tr r="G14" s="8"/>
      </tp>
      <tp t="e">
        <v>#N/A</v>
        <stp/>
        <stp>BDH|14860958997632222868</stp>
        <tr r="G49" s="17"/>
      </tp>
      <tp t="e">
        <v>#N/A</v>
        <stp/>
        <stp>BDH|14772548879749785132</stp>
        <tr r="G39" s="25"/>
        <tr r="G7" s="3"/>
        <tr r="E18" s="11"/>
        <tr r="G22" s="13"/>
        <tr r="G7" s="13"/>
      </tp>
      <tp t="e">
        <v>#N/A</v>
        <stp/>
        <stp>BDH|11018387081191700505</stp>
        <tr r="Q18" s="26"/>
      </tp>
      <tp t="e">
        <v>#N/A</v>
        <stp/>
        <stp>BDH|15101544590644909322</stp>
        <tr r="T84" s="12"/>
      </tp>
      <tp t="e">
        <v>#N/A</v>
        <stp/>
        <stp>BDH|15984670505579781425</stp>
        <tr r="O17" s="13"/>
      </tp>
      <tp t="e">
        <v>#N/A</v>
        <stp/>
        <stp>BDH|10584472278654142958</stp>
        <tr r="M71" s="12"/>
      </tp>
      <tp t="e">
        <v>#N/A</v>
        <stp/>
        <stp>BDH|18131403239662278346</stp>
        <tr r="G47" s="6"/>
      </tp>
      <tp t="e">
        <v>#N/A</v>
        <stp/>
        <stp>BDH|14165606288626445235</stp>
        <tr r="T24" s="24"/>
      </tp>
      <tp t="e">
        <v>#N/A</v>
        <stp/>
        <stp>BDH|16116981700743558224</stp>
        <tr r="T34" s="6"/>
      </tp>
      <tp t="e">
        <v>#N/A</v>
        <stp/>
        <stp>BDH|12916234893443234454</stp>
        <tr r="V77" s="12"/>
      </tp>
      <tp t="e">
        <v>#N/A</v>
        <stp/>
        <stp>BDH|10374177369280602957</stp>
        <tr r="T56" s="12"/>
      </tp>
      <tp t="e">
        <v>#N/A</v>
        <stp/>
        <stp>BDH|11551271647161958825</stp>
        <tr r="V21" s="30"/>
      </tp>
      <tp t="e">
        <v>#N/A</v>
        <stp/>
        <stp>BDH|18075669340831972514</stp>
        <tr r="H8" s="28"/>
      </tp>
      <tp t="e">
        <v>#N/A</v>
        <stp/>
        <stp>BDH|10225656880576923607</stp>
        <tr r="I15" s="9"/>
      </tp>
      <tp t="e">
        <v>#N/A</v>
        <stp/>
        <stp>BDH|15155908109207173483</stp>
        <tr r="Q13" s="7"/>
      </tp>
      <tp t="e">
        <v>#N/A</v>
        <stp/>
        <stp>BDH|10176997268173383322</stp>
        <tr r="V11" s="30"/>
      </tp>
      <tp t="e">
        <v>#N/A</v>
        <stp/>
        <stp>BDH|12105148367449548362</stp>
        <tr r="G67" s="18"/>
      </tp>
      <tp t="e">
        <v>#N/A</v>
        <stp/>
        <stp>BDH|15017223294698789904</stp>
        <tr r="P45" s="21"/>
      </tp>
      <tp t="e">
        <v>#N/A</v>
        <stp/>
        <stp>BDH|14925893788649085297</stp>
        <tr r="O70" s="24"/>
      </tp>
      <tp t="e">
        <v>#N/A</v>
        <stp/>
        <stp>BDH|15475315935849430356</stp>
        <tr r="D46" s="18"/>
      </tp>
      <tp t="e">
        <v>#N/A</v>
        <stp/>
        <stp>BDH|14562777721619792753</stp>
        <tr r="K98" s="18"/>
        <tr r="K7" s="20"/>
      </tp>
      <tp t="e">
        <v>#N/A</v>
        <stp/>
        <stp>BDH|17094932411497679755</stp>
        <tr r="I28" s="10"/>
        <tr r="K34" s="13"/>
      </tp>
      <tp t="e">
        <v>#N/A</v>
        <stp/>
        <stp>BDH|16628671234325786934</stp>
        <tr r="P13" s="29"/>
        <tr r="P22" s="29"/>
        <tr r="P36" s="29"/>
      </tp>
      <tp t="e">
        <v>#N/A</v>
        <stp/>
        <stp>BDH|15628830482388058267</stp>
        <tr r="X61" s="21"/>
      </tp>
      <tp t="e">
        <v>#N/A</v>
        <stp/>
        <stp>BDH|12600176038006024987</stp>
        <tr r="N20" s="9"/>
      </tp>
      <tp t="e">
        <v>#N/A</v>
        <stp/>
        <stp>BDH|18072712843466362205</stp>
        <tr r="H17" s="22"/>
      </tp>
      <tp t="e">
        <v>#N/A</v>
        <stp/>
        <stp>BDH|13292578687798318905</stp>
        <tr r="S12" s="24"/>
      </tp>
      <tp t="e">
        <v>#N/A</v>
        <stp/>
        <stp>BDH|14633726954431280838</stp>
        <tr r="P9" s="26"/>
      </tp>
      <tp t="e">
        <v>#N/A</v>
        <stp/>
        <stp>BDH|12150019934299376768</stp>
        <tr r="K26" s="10"/>
        <tr r="M32" s="13"/>
      </tp>
      <tp t="e">
        <v>#N/A</v>
        <stp/>
        <stp>BDH|13036007817159766413</stp>
        <tr r="X8" s="2"/>
      </tp>
      <tp t="e">
        <v>#N/A</v>
        <stp/>
        <stp>BDH|18178578409465999772</stp>
        <tr r="R84" s="24"/>
      </tp>
      <tp t="e">
        <v>#N/A</v>
        <stp/>
        <stp>BDH|12848774751126622994</stp>
        <tr r="O15" s="24"/>
      </tp>
      <tp t="e">
        <v>#N/A</v>
        <stp/>
        <stp>BDH|17707978200639789860</stp>
        <tr r="S51" s="18"/>
      </tp>
      <tp t="e">
        <v>#N/A</v>
        <stp/>
        <stp>BDH|18219340602245751120</stp>
        <tr r="K57" s="10"/>
        <tr r="K49" s="11"/>
        <tr r="K18" s="7"/>
        <tr r="M57" s="13"/>
      </tp>
      <tp t="e">
        <v>#N/A</v>
        <stp/>
        <stp>BDH|15964903685848435398</stp>
        <tr r="Q83" s="18"/>
      </tp>
      <tp t="e">
        <v>#N/A</v>
        <stp/>
        <stp>BDH|18020667005505533475</stp>
        <tr r="U90" s="24"/>
      </tp>
      <tp t="e">
        <v>#N/A</v>
        <stp/>
        <stp>BDH|11642217869029630395</stp>
        <tr r="T80" s="18"/>
      </tp>
      <tp t="e">
        <v>#N/A</v>
        <stp/>
        <stp>BDH|15212202123788410240</stp>
        <tr r="M25" s="17"/>
      </tp>
      <tp t="e">
        <v>#N/A</v>
        <stp/>
        <stp>BDH|15848274119038650110</stp>
        <tr r="K12" s="26"/>
      </tp>
      <tp t="e">
        <v>#N/A</v>
        <stp/>
        <stp>BDH|12103031686546297378</stp>
        <tr r="N21" s="5"/>
      </tp>
      <tp t="e">
        <v>#N/A</v>
        <stp/>
        <stp>BDH|16970267094236330494</stp>
        <tr r="W139" s="18"/>
      </tp>
      <tp t="e">
        <v>#N/A</v>
        <stp/>
        <stp>BDH|18284066824970430550</stp>
        <tr r="AA41" s="12"/>
      </tp>
      <tp t="e">
        <v>#N/A</v>
        <stp/>
        <stp>BDH|13955734388102213115</stp>
        <tr r="O79" s="24"/>
      </tp>
      <tp t="e">
        <v>#N/A</v>
        <stp/>
        <stp>BDH|18138747095841920895</stp>
        <tr r="U61" s="12"/>
      </tp>
      <tp t="e">
        <v>#N/A</v>
        <stp/>
        <stp>BDH|12648117463919287369</stp>
        <tr r="D17" s="9"/>
      </tp>
      <tp t="e">
        <v>#N/A</v>
        <stp/>
        <stp>BDH|13572278192695369235</stp>
        <tr r="U82" s="18"/>
      </tp>
      <tp t="e">
        <v>#N/A</v>
        <stp/>
        <stp>BDH|18090072748115865674</stp>
        <tr r="G41" s="18"/>
      </tp>
      <tp t="e">
        <v>#N/A</v>
        <stp/>
        <stp>BDH|16286842555316018237</stp>
        <tr r="Q17" s="10"/>
      </tp>
      <tp t="e">
        <v>#N/A</v>
        <stp/>
        <stp>BDH|11592855226665733116</stp>
        <tr r="D6" s="3"/>
      </tp>
      <tp t="e">
        <v>#N/A</v>
        <stp/>
        <stp>BDH|15808206408539666168</stp>
        <tr r="H43" s="12"/>
      </tp>
      <tp t="e">
        <v>#N/A</v>
        <stp/>
        <stp>BDH|12897511941204847802</stp>
        <tr r="V8" s="13"/>
      </tp>
      <tp t="e">
        <v>#N/A</v>
        <stp/>
        <stp>BDH|17153869216491030018</stp>
        <tr r="AA35" s="21"/>
      </tp>
      <tp t="e">
        <v>#N/A</v>
        <stp/>
        <stp>BDH|13527256649049855312</stp>
        <tr r="AA17" s="23"/>
      </tp>
      <tp t="e">
        <v>#N/A</v>
        <stp/>
        <stp>BDH|14244806461870080530</stp>
        <tr r="Q56" s="13"/>
      </tp>
      <tp t="e">
        <v>#N/A</v>
        <stp/>
        <stp>BDH|16686786830085990875</stp>
        <tr r="E121" s="18"/>
      </tp>
      <tp t="e">
        <v>#N/A</v>
        <stp/>
        <stp>BDH|10274914501030532672</stp>
        <tr r="G79" s="24"/>
      </tp>
      <tp t="e">
        <v>#N/A</v>
        <stp/>
        <stp>BDH|16752827201869085840</stp>
        <tr r="F90" s="18"/>
      </tp>
      <tp t="e">
        <v>#N/A</v>
        <stp/>
        <stp>BDH|11708071982451148730</stp>
        <tr r="AA12" s="22"/>
      </tp>
      <tp t="e">
        <v>#N/A</v>
        <stp/>
        <stp>BDH|11912793024863098842</stp>
        <tr r="S52" s="21"/>
      </tp>
      <tp t="e">
        <v>#N/A</v>
        <stp/>
        <stp>BDH|12083933791408793557</stp>
        <tr r="T26" s="12"/>
      </tp>
      <tp t="e">
        <v>#N/A</v>
        <stp/>
        <stp>BDH|11725480029190636807</stp>
        <tr r="Y10" s="23"/>
      </tp>
      <tp t="e">
        <v>#N/A</v>
        <stp/>
        <stp>BDH|13678328402876544936</stp>
        <tr r="K32" s="25"/>
        <tr r="K18" s="27"/>
      </tp>
      <tp t="e">
        <v>#N/A</v>
        <stp/>
        <stp>BDH|14598322846884344823</stp>
        <tr r="R25" s="14"/>
      </tp>
      <tp t="e">
        <v>#N/A</v>
        <stp/>
        <stp>BDH|12390818947222373360</stp>
        <tr r="E17" s="13"/>
      </tp>
      <tp t="e">
        <v>#N/A</v>
        <stp/>
        <stp>BDH|14956082702943034839</stp>
        <tr r="X45" s="21"/>
      </tp>
      <tp t="e">
        <v>#N/A</v>
        <stp/>
        <stp>BDH|12222435610670873892</stp>
        <tr r="U44" s="34"/>
      </tp>
      <tp t="e">
        <v>#N/A</v>
        <stp/>
        <stp>BDH|13576437586325873580</stp>
        <tr r="Y20" s="27"/>
      </tp>
      <tp t="e">
        <v>#N/A</v>
        <stp/>
        <stp>BDH|18308010496719041778</stp>
        <tr r="M47" s="18"/>
      </tp>
      <tp t="e">
        <v>#N/A</v>
        <stp/>
        <stp>BDH|13154758719139767391</stp>
        <tr r="U77" s="17"/>
      </tp>
      <tp t="e">
        <v>#N/A</v>
        <stp/>
        <stp>BDH|13636935634797180130</stp>
        <tr r="P39" s="25"/>
        <tr r="P7" s="3"/>
        <tr r="N18" s="11"/>
        <tr r="P22" s="13"/>
        <tr r="P7" s="13"/>
      </tp>
      <tp t="e">
        <v>#N/A</v>
        <stp/>
        <stp>BDH|15400359411550634856</stp>
        <tr r="P34" s="24"/>
      </tp>
      <tp t="e">
        <v>#N/A</v>
        <stp/>
        <stp>BDH|15213636484585158179</stp>
        <tr r="G18" s="26"/>
      </tp>
      <tp t="e">
        <v>#N/A</v>
        <stp/>
        <stp>BDH|10144236491211577559</stp>
        <tr r="M25" s="4"/>
        <tr r="M65" s="10"/>
      </tp>
      <tp t="e">
        <v>#N/A</v>
        <stp/>
        <stp>BDH|11319148680422770537</stp>
        <tr r="G91" s="18"/>
      </tp>
      <tp t="e">
        <v>#N/A</v>
        <stp/>
        <stp>BDH|16803717771201289890</stp>
        <tr r="J19" s="24"/>
      </tp>
      <tp t="e">
        <v>#N/A</v>
        <stp/>
        <stp>BDH|10192104092632985590</stp>
        <tr r="O56" s="11"/>
      </tp>
      <tp t="e">
        <v>#N/A</v>
        <stp/>
        <stp>BDH|12012390487155977345</stp>
        <tr r="J93" s="18"/>
      </tp>
      <tp t="e">
        <v>#N/A</v>
        <stp/>
        <stp>BDH|10300810789376051984</stp>
        <tr r="X21" s="24"/>
      </tp>
      <tp t="e">
        <v>#N/A</v>
        <stp/>
        <stp>BDH|11855690542229076501</stp>
        <tr r="Z86" s="24"/>
      </tp>
      <tp t="e">
        <v>#N/A</v>
        <stp/>
        <stp>BDH|18110537876295112064</stp>
        <tr r="I71" s="17"/>
      </tp>
      <tp t="e">
        <v>#N/A</v>
        <stp/>
        <stp>BDH|12011460370469753720</stp>
        <tr r="G77" s="12"/>
      </tp>
      <tp t="e">
        <v>#N/A</v>
        <stp/>
        <stp>BDH|10998081320264647949</stp>
        <tr r="E14" s="22"/>
      </tp>
      <tp t="e">
        <v>#N/A</v>
        <stp/>
        <stp>BDH|12704814341139252867</stp>
        <tr r="K26" s="21"/>
      </tp>
      <tp t="e">
        <v>#N/A</v>
        <stp/>
        <stp>BDH|13131279006487498970</stp>
        <tr r="N30" s="34"/>
      </tp>
      <tp t="e">
        <v>#N/A</v>
        <stp/>
        <stp>BDH|10440422045558035707</stp>
        <tr r="N12" s="14"/>
      </tp>
      <tp t="e">
        <v>#N/A</v>
        <stp/>
        <stp>BDH|16836823084711835853</stp>
        <tr r="D12" s="14"/>
      </tp>
      <tp t="e">
        <v>#N/A</v>
        <stp/>
        <stp>BDH|16039607694421662710</stp>
        <tr r="G46" s="13"/>
      </tp>
      <tp t="e">
        <v>#N/A</v>
        <stp/>
        <stp>BDH|17864692786234498209</stp>
        <tr r="W14" s="17"/>
        <tr r="W17" s="28"/>
      </tp>
      <tp t="e">
        <v>#N/A</v>
        <stp/>
        <stp>BDH|13657254811096775960</stp>
        <tr r="S24" s="17"/>
      </tp>
      <tp t="e">
        <v>#N/A</v>
        <stp/>
        <stp>BDH|17683948817125517535</stp>
        <tr r="F18" s="18"/>
      </tp>
      <tp t="e">
        <v>#N/A</v>
        <stp/>
        <stp>BDH|14510943552003051402</stp>
        <tr r="S18" s="12"/>
      </tp>
      <tp t="e">
        <v>#N/A</v>
        <stp/>
        <stp>BDH|16829881333575519752</stp>
        <tr r="U36" s="34"/>
      </tp>
      <tp t="e">
        <v>#N/A</v>
        <stp/>
        <stp>BDH|14739024175918728449</stp>
        <tr r="U11" s="13"/>
      </tp>
      <tp t="e">
        <v>#N/A</v>
        <stp/>
        <stp>BDH|14862016781716245596</stp>
        <tr r="D115" s="18"/>
      </tp>
      <tp t="e">
        <v>#N/A</v>
        <stp/>
        <stp>BDH|18222539451341159629</stp>
        <tr r="Q38" s="6"/>
      </tp>
      <tp t="e">
        <v>#N/A</v>
        <stp/>
        <stp>BDH|17106897688230147825</stp>
        <tr r="U39" s="22"/>
      </tp>
      <tp t="e">
        <v>#N/A</v>
        <stp/>
        <stp>BDH|10827464129789349071</stp>
        <tr r="T45" s="18"/>
      </tp>
      <tp t="e">
        <v>#N/A</v>
        <stp/>
        <stp>BDH|17979303638578329017</stp>
        <tr r="U22" s="21"/>
      </tp>
      <tp t="e">
        <v>#N/A</v>
        <stp/>
        <stp>BDH|17867539066032727999</stp>
        <tr r="G37" s="12"/>
      </tp>
      <tp t="e">
        <v>#N/A</v>
        <stp/>
        <stp>BDH|13817629475194455997</stp>
        <tr r="Q20" s="18"/>
      </tp>
      <tp t="e">
        <v>#N/A</v>
        <stp/>
        <stp>BDH|10509409090132011072</stp>
        <tr r="Z56" s="24"/>
      </tp>
      <tp t="e">
        <v>#N/A</v>
        <stp/>
        <stp>BDH|15602484345703881910</stp>
        <tr r="O9" s="12"/>
      </tp>
      <tp t="e">
        <v>#N/A</v>
        <stp/>
        <stp>BDH|10116146797190097705</stp>
        <tr r="J80" s="18"/>
      </tp>
      <tp t="e">
        <v>#N/A</v>
        <stp/>
        <stp>BDH|15991799042731768878</stp>
        <tr r="X28" s="4"/>
      </tp>
      <tp t="e">
        <v>#N/A</v>
        <stp/>
        <stp>BDH|15791813928629449981</stp>
        <tr r="W83" s="24"/>
      </tp>
      <tp t="e">
        <v>#N/A</v>
        <stp/>
        <stp>BDH|18166624912099084933</stp>
        <tr r="N33" s="14"/>
      </tp>
      <tp t="e">
        <v>#N/A</v>
        <stp/>
        <stp>BDH|11769206958388498192</stp>
        <tr r="X87" s="12"/>
      </tp>
      <tp t="e">
        <v>#N/A</v>
        <stp/>
        <stp>BDH|15049077020450582802</stp>
        <tr r="E58" s="18"/>
      </tp>
      <tp t="e">
        <v>#N/A</v>
        <stp/>
        <stp>BDH|10693350689341870500</stp>
        <tr r="U10" s="13"/>
      </tp>
      <tp t="e">
        <v>#N/A</v>
        <stp/>
        <stp>BDH|18282869680420505738</stp>
        <tr r="Z54" s="24"/>
      </tp>
      <tp t="e">
        <v>#N/A</v>
        <stp/>
        <stp>BDH|12245102012818011523</stp>
        <tr r="U10" s="2"/>
        <tr r="T11" s="5"/>
        <tr r="T55" s="6"/>
        <tr r="U33" s="29"/>
        <tr r="U42" s="29"/>
      </tp>
      <tp t="e">
        <v>#N/A</v>
        <stp/>
        <stp>BDH|10128122636374261956</stp>
        <tr r="O52" s="4"/>
        <tr r="Q8" s="3"/>
        <tr r="O44" s="10"/>
        <tr r="O36" s="11"/>
        <tr r="Q40" s="13"/>
      </tp>
      <tp t="e">
        <v>#N/A</v>
        <stp/>
        <stp>BDH|14058903623405855594</stp>
        <tr r="W15" s="29"/>
        <tr r="W38" s="29"/>
      </tp>
      <tp t="e">
        <v>#N/A</v>
        <stp/>
        <stp>BDH|16405120447279694558</stp>
        <tr r="N11" s="9"/>
      </tp>
      <tp t="e">
        <v>#N/A</v>
        <stp/>
        <stp>BDH|15646063862465069907</stp>
        <tr r="F84" s="24"/>
      </tp>
      <tp t="e">
        <v>#N/A</v>
        <stp/>
        <stp>BDH|16019058597442350239</stp>
        <tr r="V11" s="17"/>
      </tp>
      <tp t="e">
        <v>#N/A</v>
        <stp/>
        <stp>BDH|11607376464072408931</stp>
        <tr r="Q10" s="22"/>
      </tp>
      <tp t="e">
        <v>#N/A</v>
        <stp/>
        <stp>BDH|18106622524297023455</stp>
        <tr r="D24" s="4"/>
        <tr r="D57" s="11"/>
      </tp>
      <tp t="e">
        <v>#N/A</v>
        <stp/>
        <stp>BDH|10799946279267928618</stp>
        <tr r="K18" s="13"/>
      </tp>
      <tp t="e">
        <v>#N/A</v>
        <stp/>
        <stp>BDH|10711916865765433555</stp>
        <tr r="P56" s="18"/>
      </tp>
      <tp t="e">
        <v>#N/A</v>
        <stp/>
        <stp>BDH|14880135210893137880</stp>
        <tr r="N8" s="27"/>
      </tp>
      <tp t="e">
        <v>#N/A</v>
        <stp/>
        <stp>BDH|14379529395597087065</stp>
        <tr r="X20" s="2"/>
        <tr r="X18" s="4"/>
        <tr r="X58" s="10"/>
        <tr r="X50" s="11"/>
        <tr r="X19" s="7"/>
        <tr r="Z65" s="13"/>
      </tp>
      <tp t="e">
        <v>#N/A</v>
        <stp/>
        <stp>BDH|13301381396564922263</stp>
        <tr r="L20" s="26"/>
      </tp>
      <tp t="e">
        <v>#N/A</v>
        <stp/>
        <stp>BDH|17909342298051428335</stp>
        <tr r="R34" s="17"/>
      </tp>
      <tp t="e">
        <v>#N/A</v>
        <stp/>
        <stp>BDH|11016457769309732593</stp>
        <tr r="V56" s="24"/>
      </tp>
      <tp t="e">
        <v>#N/A</v>
        <stp/>
        <stp>BDH|12296817941409062808</stp>
        <tr r="C33" s="12"/>
      </tp>
      <tp t="e">
        <v>#N/A</v>
        <stp/>
        <stp>BDH|12037781380270258281</stp>
        <tr r="V36" s="18"/>
      </tp>
      <tp t="e">
        <v>#N/A</v>
        <stp/>
        <stp>BDH|12576833883975518828</stp>
        <tr r="Y13" s="2"/>
      </tp>
      <tp t="e">
        <v>#N/A</v>
        <stp/>
        <stp>BDH|12234535290203389277</stp>
        <tr r="M91" s="18"/>
      </tp>
      <tp t="e">
        <v>#N/A</v>
        <stp/>
        <stp>BDH|11856494481087790523</stp>
        <tr r="K34" s="22"/>
      </tp>
      <tp t="e">
        <v>#N/A</v>
        <stp/>
        <stp>BDH|17865478596254526195</stp>
        <tr r="D20" s="24"/>
      </tp>
      <tp t="e">
        <v>#N/A</v>
        <stp/>
        <stp>BDH|11241978130421920591</stp>
        <tr r="T14" s="23"/>
      </tp>
      <tp t="e">
        <v>#N/A</v>
        <stp/>
        <stp>BDH|18098031692877239969</stp>
        <tr r="R141" s="18"/>
      </tp>
      <tp t="e">
        <v>#N/A</v>
        <stp/>
        <stp>BDH|14846774919494144928</stp>
        <tr r="E46" s="22"/>
      </tp>
      <tp t="e">
        <v>#N/A</v>
        <stp/>
        <stp>BDH|13229649610753524861</stp>
        <tr r="U31" s="29"/>
      </tp>
      <tp t="e">
        <v>#N/A</v>
        <stp/>
        <stp>BDH|11951294825448639669</stp>
        <tr r="E33" s="17"/>
      </tp>
      <tp t="e">
        <v>#N/A</v>
        <stp/>
        <stp>BDH|18307231563073474029</stp>
        <tr r="I103" s="18"/>
      </tp>
      <tp t="e">
        <v>#N/A</v>
        <stp/>
        <stp>BDH|10306539826538122020</stp>
        <tr r="AA29" s="21"/>
      </tp>
      <tp t="e">
        <v>#N/A</v>
        <stp/>
        <stp>BDH|13224046674333714808</stp>
        <tr r="W12" s="7"/>
      </tp>
      <tp t="e">
        <v>#N/A</v>
        <stp/>
        <stp>BDH|13245243514457679819</stp>
        <tr r="F19" s="9"/>
      </tp>
      <tp t="e">
        <v>#N/A</v>
        <stp/>
        <stp>BDH|10480646894721765162</stp>
        <tr r="J30" s="10"/>
        <tr r="L36" s="13"/>
      </tp>
      <tp t="e">
        <v>#N/A</v>
        <stp/>
        <stp>BDH|14987489908507510899</stp>
        <tr r="Y11" s="17"/>
      </tp>
      <tp t="e">
        <v>#N/A</v>
        <stp/>
        <stp>BDH|14285279353068780445</stp>
        <tr r="X80" s="24"/>
      </tp>
      <tp t="e">
        <v>#N/A</v>
        <stp/>
        <stp>BDH|10393290388284087170</stp>
        <tr r="P22" s="10"/>
      </tp>
      <tp t="e">
        <v>#N/A</v>
        <stp/>
        <stp>BDH|13574927824270032763</stp>
        <tr r="S22" s="11"/>
      </tp>
      <tp t="e">
        <v>#N/A</v>
        <stp/>
        <stp>BDH|13936673604568922265</stp>
        <tr r="I47" s="17"/>
      </tp>
      <tp t="e">
        <v>#N/A</v>
        <stp/>
        <stp>BDH|12980748206472937875</stp>
        <tr r="T23" s="24"/>
      </tp>
      <tp t="e">
        <v>#N/A</v>
        <stp/>
        <stp>BDH|11406094320144115895</stp>
        <tr r="I25" s="17"/>
      </tp>
      <tp t="e">
        <v>#N/A</v>
        <stp/>
        <stp>BDH|14293924762124340048</stp>
        <tr r="D14" s="28"/>
      </tp>
      <tp t="e">
        <v>#N/A</v>
        <stp/>
        <stp>BDH|16195508960573705933</stp>
        <tr r="V17" s="22"/>
      </tp>
      <tp t="e">
        <v>#N/A</v>
        <stp/>
        <stp>BDH|13150172137908719638</stp>
        <tr r="Q49" s="6"/>
      </tp>
      <tp t="e">
        <v>#N/A</v>
        <stp/>
        <stp>BDH|18407399034872436585</stp>
        <tr r="T106" s="18"/>
      </tp>
      <tp t="e">
        <v>#N/A</v>
        <stp/>
        <stp>BDH|15103237980084479435</stp>
        <tr r="L68" s="10"/>
      </tp>
      <tp t="e">
        <v>#N/A</v>
        <stp/>
        <stp>BDH|15721499833774187990</stp>
        <tr r="V81" s="24"/>
      </tp>
      <tp t="e">
        <v>#N/A</v>
        <stp/>
        <stp>BDH|17592113717290554839</stp>
        <tr r="C26" s="21"/>
      </tp>
      <tp t="e">
        <v>#N/A</v>
        <stp/>
        <stp>BDH|16237138641865066951</stp>
        <tr r="K13" s="5"/>
      </tp>
      <tp t="e">
        <v>#N/A</v>
        <stp/>
        <stp>BDH|14532800643720799756</stp>
        <tr r="P23" s="13"/>
      </tp>
      <tp t="e">
        <v>#N/A</v>
        <stp/>
        <stp>BDH|17765845753066322378</stp>
        <tr r="P8" s="24"/>
      </tp>
      <tp t="e">
        <v>#N/A</v>
        <stp/>
        <stp>BDH|16740141087367364739</stp>
        <tr r="K47" s="13"/>
      </tp>
      <tp t="e">
        <v>#N/A</v>
        <stp/>
        <stp>BDH|16811928132030497388</stp>
        <tr r="N23" s="13"/>
      </tp>
      <tp t="e">
        <v>#N/A</v>
        <stp/>
        <stp>BDH|15324306785000028129</stp>
        <tr r="L56" s="13"/>
      </tp>
      <tp t="e">
        <v>#N/A</v>
        <stp/>
        <stp>BDH|18070281274044901619</stp>
        <tr r="C89" s="24"/>
      </tp>
      <tp t="e">
        <v>#N/A</v>
        <stp/>
        <stp>BDH|14953689392575605116</stp>
        <tr r="O71" s="12"/>
      </tp>
      <tp t="e">
        <v>#N/A</v>
        <stp/>
        <stp>BDH|15566273139302885971</stp>
        <tr r="S39" s="12"/>
      </tp>
      <tp t="e">
        <v>#N/A</v>
        <stp/>
        <stp>BDH|10368521811679256269</stp>
        <tr r="R45" s="4"/>
        <tr r="R31" s="10"/>
        <tr r="R23" s="11"/>
        <tr r="T30" s="13"/>
      </tp>
      <tp t="e">
        <v>#N/A</v>
        <stp/>
        <stp>BDH|13028307359343584982</stp>
        <tr r="E26" s="17"/>
      </tp>
      <tp t="e">
        <v>#N/A</v>
        <stp/>
        <stp>BDH|16999899297170237811</stp>
        <tr r="C69" s="24"/>
      </tp>
      <tp t="e">
        <v>#N/A</v>
        <stp/>
        <stp>BDH|16418474294706230212</stp>
        <tr r="N12" s="20"/>
      </tp>
      <tp t="e">
        <v>#N/A</v>
        <stp/>
        <stp>BDH|11999521285086835529</stp>
        <tr r="F101" s="18"/>
      </tp>
      <tp t="e">
        <v>#N/A</v>
        <stp/>
        <stp>BDH|11590363040749286057</stp>
        <tr r="Q46" s="24"/>
      </tp>
      <tp t="e">
        <v>#N/A</v>
        <stp/>
        <stp>BDH|17220878668605848319</stp>
        <tr r="F41" s="21"/>
      </tp>
      <tp t="e">
        <v>#N/A</v>
        <stp/>
        <stp>BDH|11392338995367206333</stp>
        <tr r="H38" s="10"/>
        <tr r="H30" s="11"/>
        <tr r="J42" s="13"/>
      </tp>
      <tp t="e">
        <v>#N/A</v>
        <stp/>
        <stp>BDH|18044594952895697290</stp>
        <tr r="G18" s="5"/>
        <tr r="G41" s="6"/>
      </tp>
      <tp t="e">
        <v>#N/A</v>
        <stp/>
        <stp>BDH|17528375146498022700</stp>
        <tr r="W9" s="13"/>
      </tp>
      <tp t="e">
        <v>#N/A</v>
        <stp/>
        <stp>BDH|18147067360911698053</stp>
        <tr r="E77" s="24"/>
      </tp>
      <tp t="e">
        <v>#N/A</v>
        <stp/>
        <stp>BDH|13307900932784333264</stp>
        <tr r="T12" s="24"/>
      </tp>
      <tp t="e">
        <v>#N/A</v>
        <stp/>
        <stp>BDH|15047853421637631762</stp>
        <tr r="N21" s="21"/>
      </tp>
      <tp t="e">
        <v>#N/A</v>
        <stp/>
        <stp>BDH|17775115701030553967</stp>
        <tr r="H16" s="24"/>
      </tp>
      <tp t="e">
        <v>#N/A</v>
        <stp/>
        <stp>BDH|15028955229245814403</stp>
        <tr r="Z10" s="24"/>
      </tp>
      <tp t="e">
        <v>#N/A</v>
        <stp/>
        <stp>BDH|16346901492530404917</stp>
        <tr r="U31" s="5"/>
      </tp>
      <tp t="e">
        <v>#N/A</v>
        <stp/>
        <stp>BDH|17826914253096941274</stp>
        <tr r="Y72" s="17"/>
      </tp>
      <tp t="e">
        <v>#N/A</v>
        <stp/>
        <stp>BDH|11138846925380463406</stp>
        <tr r="C13" s="17"/>
        <tr r="C16" s="28"/>
      </tp>
      <tp t="e">
        <v>#N/A</v>
        <stp/>
        <stp>BDH|10866475425540974977</stp>
        <tr r="I46" s="4"/>
        <tr r="I23" s="10"/>
        <tr r="K37" s="13"/>
      </tp>
      <tp t="e">
        <v>#N/A</v>
        <stp/>
        <stp>BDH|14769986009425057724</stp>
        <tr r="O42" s="10"/>
        <tr r="O34" s="11"/>
      </tp>
      <tp t="e">
        <v>#N/A</v>
        <stp/>
        <stp>BDH|10512293184586800342</stp>
        <tr r="X46" s="24"/>
      </tp>
      <tp t="e">
        <v>#N/A</v>
        <stp/>
        <stp>BDH|13889990150999264973</stp>
        <tr r="V28" s="10"/>
        <tr r="X34" s="13"/>
      </tp>
      <tp t="e">
        <v>#N/A</v>
        <stp/>
        <stp>BDH|13735496211129952025</stp>
        <tr r="L10" s="23"/>
      </tp>
      <tp t="e">
        <v>#N/A</v>
        <stp/>
        <stp>BDH|12428991009127098330</stp>
        <tr r="I9" s="23"/>
      </tp>
      <tp t="e">
        <v>#N/A</v>
        <stp/>
        <stp>BDH|15721231065799061768</stp>
        <tr r="X22" s="4"/>
      </tp>
      <tp t="e">
        <v>#N/A</v>
        <stp/>
        <stp>BDH|12543727988113995112</stp>
        <tr r="Y89" s="12"/>
      </tp>
      <tp t="e">
        <v>#N/A</v>
        <stp/>
        <stp>BDH|13368898728166110046</stp>
        <tr r="C63" s="10"/>
      </tp>
      <tp t="e">
        <v>#N/A</v>
        <stp/>
        <stp>BDH|14259002262454797902</stp>
        <tr r="G83" s="18"/>
      </tp>
      <tp t="e">
        <v>#N/A</v>
        <stp/>
        <stp>BDH|13596314960618024131</stp>
        <tr r="C43" s="12"/>
      </tp>
      <tp t="e">
        <v>#N/A</v>
        <stp/>
        <stp>BDH|16429010206460067948</stp>
        <tr r="F29" s="4"/>
      </tp>
      <tp t="e">
        <v>#N/A</v>
        <stp/>
        <stp>BDH|14086843730722146220</stp>
        <tr r="O27" s="24"/>
      </tp>
      <tp t="e">
        <v>#N/A</v>
        <stp/>
        <stp>BDH|14384243287368575927</stp>
        <tr r="H38" s="24"/>
      </tp>
      <tp t="e">
        <v>#N/A</v>
        <stp/>
        <stp>BDH|15162455382002126409</stp>
        <tr r="J47" s="17"/>
      </tp>
      <tp t="e">
        <v>#N/A</v>
        <stp/>
        <stp>BDH|17081479733829375606</stp>
        <tr r="I45" s="12"/>
      </tp>
      <tp t="e">
        <v>#N/A</v>
        <stp/>
        <stp>BDH|11762569487656676571</stp>
        <tr r="U17" s="9"/>
      </tp>
      <tp t="e">
        <v>#N/A</v>
        <stp/>
        <stp>BDH|14202359496169205847</stp>
        <tr r="P75" s="17"/>
        <tr r="M9" s="5"/>
        <tr r="M9" s="9"/>
      </tp>
      <tp t="e">
        <v>#N/A</v>
        <stp/>
        <stp>BDH|11973280790323281643</stp>
        <tr r="J13" s="11"/>
      </tp>
      <tp t="e">
        <v>#N/A</v>
        <stp/>
        <stp>BDH|12581651784416704542</stp>
        <tr r="C38" s="12"/>
      </tp>
      <tp t="e">
        <v>#N/A</v>
        <stp/>
        <stp>BDH|10614729623449143315</stp>
        <tr r="O34" s="6"/>
      </tp>
      <tp t="e">
        <v>#N/A</v>
        <stp/>
        <stp>BDH|16512264326859021022</stp>
        <tr r="H56" s="12"/>
      </tp>
      <tp t="e">
        <v>#N/A</v>
        <stp/>
        <stp>BDH|16988819829587587430</stp>
        <tr r="N26" s="6"/>
      </tp>
      <tp t="e">
        <v>#N/A</v>
        <stp/>
        <stp>BDH|16174355702463292933</stp>
        <tr r="U20" s="29"/>
      </tp>
      <tp t="e">
        <v>#N/A</v>
        <stp/>
        <stp>BDH|10753542298164872742</stp>
        <tr r="O22" s="10"/>
      </tp>
      <tp t="e">
        <v>#N/A</v>
        <stp/>
        <stp>BDH|11212961644067060475</stp>
        <tr r="C24" s="13"/>
      </tp>
      <tp t="e">
        <v>#N/A</v>
        <stp/>
        <stp>BDH|11794404097680513328</stp>
        <tr r="AA91" s="24"/>
      </tp>
      <tp t="e">
        <v>#N/A</v>
        <stp/>
        <stp>BDH|17295502137906161836</stp>
        <tr r="W34" s="12"/>
      </tp>
      <tp t="e">
        <v>#N/A</v>
        <stp/>
        <stp>BDH|10460993731077812236</stp>
        <tr r="H49" s="12"/>
      </tp>
      <tp t="e">
        <v>#N/A</v>
        <stp/>
        <stp>BDH|15980960460680081587</stp>
        <tr r="Q107" s="18"/>
      </tp>
      <tp t="e">
        <v>#N/A</v>
        <stp/>
        <stp>BDH|11694345869159585294</stp>
        <tr r="X18" s="17"/>
      </tp>
      <tp t="e">
        <v>#N/A</v>
        <stp/>
        <stp>BDH|13709582643584819937</stp>
        <tr r="AA22" s="18"/>
      </tp>
      <tp t="e">
        <v>#N/A</v>
        <stp/>
        <stp>BDH|11722392967188648385</stp>
        <tr r="X30" s="24"/>
      </tp>
      <tp t="e">
        <v>#N/A</v>
        <stp/>
        <stp>BDH|18199521154955877286</stp>
        <tr r="D36" s="22"/>
      </tp>
      <tp t="e">
        <v>#N/A</v>
        <stp/>
        <stp>BDH|14274862280022570962</stp>
        <tr r="I40" s="10"/>
        <tr r="I32" s="11"/>
      </tp>
      <tp t="e">
        <v>#N/A</v>
        <stp/>
        <stp>BDH|13716990166241945267</stp>
        <tr r="X7" s="24"/>
      </tp>
      <tp t="e">
        <v>#N/A</v>
        <stp/>
        <stp>BDH|16843888369661958678</stp>
        <tr r="U139" s="18"/>
      </tp>
      <tp t="e">
        <v>#N/A</v>
        <stp/>
        <stp>BDH|17888709098487208152</stp>
        <tr r="G22" s="4"/>
      </tp>
      <tp t="e">
        <v>#N/A</v>
        <stp/>
        <stp>BDH|11359625021959193366</stp>
        <tr r="F59" s="21"/>
        <tr r="D55" s="11"/>
      </tp>
      <tp t="e">
        <v>#N/A</v>
        <stp/>
        <stp>BDH|11882948673788084889</stp>
        <tr r="Z31" s="21"/>
      </tp>
      <tp t="e">
        <v>#N/A</v>
        <stp/>
        <stp>BDH|12812698710443294942</stp>
        <tr r="S14" s="17"/>
        <tr r="S17" s="28"/>
      </tp>
      <tp t="e">
        <v>#N/A</v>
        <stp/>
        <stp>BDH|12227449686239056879</stp>
        <tr r="N6" s="6"/>
      </tp>
      <tp t="e">
        <v>#N/A</v>
        <stp/>
        <stp>BDH|18029218854673611348</stp>
        <tr r="U15" s="5"/>
      </tp>
      <tp t="e">
        <v>#N/A</v>
        <stp/>
        <stp>BDH|10201960854294766701</stp>
        <tr r="D23" s="22"/>
      </tp>
      <tp t="e">
        <v>#N/A</v>
        <stp/>
        <stp>BDH|14607143764415372925</stp>
        <tr r="O81" s="12"/>
      </tp>
      <tp t="e">
        <v>#N/A</v>
        <stp/>
        <stp>BDH|12308530493228523914</stp>
        <tr r="D78" s="24"/>
      </tp>
      <tp t="e">
        <v>#N/A</v>
        <stp/>
        <stp>BDH|12421536327382172864</stp>
        <tr r="D15" s="13"/>
      </tp>
      <tp t="e">
        <v>#N/A</v>
        <stp/>
        <stp>BDH|14684892969362254727</stp>
        <tr r="V41" s="17"/>
        <tr r="V9" s="25"/>
      </tp>
      <tp t="e">
        <v>#N/A</v>
        <stp/>
        <stp>BDH|16882251816393971946</stp>
        <tr r="R29" s="34"/>
      </tp>
      <tp t="e">
        <v>#N/A</v>
        <stp/>
        <stp>BDH|16551516052451781875</stp>
        <tr r="Q34" s="29"/>
      </tp>
      <tp t="e">
        <v>#N/A</v>
        <stp/>
        <stp>BDH|11254871630106294315</stp>
        <tr r="T61" s="17"/>
      </tp>
      <tp t="e">
        <v>#N/A</v>
        <stp/>
        <stp>BDH|12808335468158748029</stp>
        <tr r="P26" s="12"/>
      </tp>
      <tp t="e">
        <v>#N/A</v>
        <stp/>
        <stp>BDH|12795076295177253312</stp>
        <tr r="X52" s="17"/>
        <tr r="X10" s="25"/>
      </tp>
      <tp t="e">
        <v>#N/A</v>
        <stp/>
        <stp>BDH|10670972472418207978</stp>
        <tr r="AA12" s="18"/>
      </tp>
      <tp t="e">
        <v>#N/A</v>
        <stp/>
        <stp>BDH|12473043552811718935</stp>
        <tr r="Z75" s="24"/>
      </tp>
      <tp t="e">
        <v>#N/A</v>
        <stp/>
        <stp>BDH|13109172853558706049</stp>
        <tr r="E86" s="17"/>
      </tp>
      <tp t="e">
        <v>#N/A</v>
        <stp/>
        <stp>BDH|12119852366852140152</stp>
        <tr r="T29" s="6"/>
      </tp>
      <tp t="e">
        <v>#N/A</v>
        <stp/>
        <stp>BDH|16521565811955158856</stp>
        <tr r="C71" s="12"/>
      </tp>
      <tp t="e">
        <v>#N/A</v>
        <stp/>
        <stp>BDH|18195487230515615597</stp>
        <tr r="I26" s="14"/>
      </tp>
      <tp t="e">
        <v>#N/A</v>
        <stp/>
        <stp>BDH|10545267481527233269</stp>
        <tr r="H67" s="18"/>
      </tp>
      <tp t="e">
        <v>#N/A</v>
        <stp/>
        <stp>BDH|17520803043271068506</stp>
        <tr r="P10" s="17"/>
      </tp>
      <tp t="e">
        <v>#N/A</v>
        <stp/>
        <stp>BDH|14140084245286360996</stp>
        <tr r="I42" s="4"/>
      </tp>
      <tp t="e">
        <v>#N/A</v>
        <stp/>
        <stp>BDH|11226778363797754879</stp>
        <tr r="U74" s="10"/>
        <tr r="U66" s="11"/>
      </tp>
      <tp t="e">
        <v>#N/A</v>
        <stp/>
        <stp>BDH|11572312701874287914</stp>
        <tr r="F20" s="25"/>
      </tp>
      <tp t="e">
        <v>#N/A</v>
        <stp/>
        <stp>BDH|18260122807675563344</stp>
        <tr r="L39" s="24"/>
      </tp>
      <tp t="e">
        <v>#N/A</v>
        <stp/>
        <stp>BDH|17715168299771987171</stp>
        <tr r="C38" s="18"/>
      </tp>
      <tp t="e">
        <v>#N/A</v>
        <stp/>
        <stp>BDH|15440889369002285612</stp>
        <tr r="E14" s="13"/>
      </tp>
      <tp t="e">
        <v>#N/A</v>
        <stp/>
        <stp>BDH|14129441274521309941</stp>
        <tr r="M33" s="12"/>
      </tp>
      <tp t="e">
        <v>#N/A</v>
        <stp/>
        <stp>BDH|15990708239017753913</stp>
        <tr r="I47" s="22"/>
      </tp>
      <tp t="e">
        <v>#N/A</v>
        <stp/>
        <stp>BDH|15266899971400584597</stp>
        <tr r="D13" s="22"/>
      </tp>
      <tp t="e">
        <v>#N/A</v>
        <stp/>
        <stp>BDH|12610625217302318862</stp>
        <tr r="C27" s="6"/>
      </tp>
      <tp t="e">
        <v>#N/A</v>
        <stp/>
        <stp>BDH|16540392307462964840</stp>
        <tr r="Y38" s="4"/>
        <tr r="Y58" s="11"/>
        <tr r="AA13" s="23"/>
      </tp>
      <tp t="e">
        <v>#N/A</v>
        <stp/>
        <stp>BDH|10568366599433460679</stp>
        <tr r="U32" s="5"/>
      </tp>
      <tp t="e">
        <v>#N/A</v>
        <stp/>
        <stp>BDH|11250348578349742301</stp>
        <tr r="S46" s="22"/>
      </tp>
      <tp t="e">
        <v>#N/A</v>
        <stp/>
        <stp>BDH|14438894310194480605</stp>
        <tr r="I32" s="18"/>
      </tp>
      <tp t="e">
        <v>#N/A</v>
        <stp/>
        <stp>BDH|17690997475786304003</stp>
        <tr r="X70" s="12"/>
      </tp>
      <tp t="e">
        <v>#N/A</v>
        <stp/>
        <stp>BDH|14839843808914805753</stp>
        <tr r="J46" s="18"/>
      </tp>
      <tp t="e">
        <v>#N/A</v>
        <stp/>
        <stp>BDH|16265493585764186160</stp>
        <tr r="E55" s="24"/>
      </tp>
      <tp t="e">
        <v>#N/A</v>
        <stp/>
        <stp>BDH|18343754741015617188</stp>
        <tr r="G7" s="30"/>
      </tp>
      <tp t="e">
        <v>#N/A</v>
        <stp/>
        <stp>BDH|16494319349166607839</stp>
        <tr r="Y12" s="17"/>
      </tp>
      <tp t="e">
        <v>#N/A</v>
        <stp/>
        <stp>BDH|16249373434419082084</stp>
        <tr r="S75" s="24"/>
      </tp>
      <tp t="e">
        <v>#N/A</v>
        <stp/>
        <stp>BDH|10624611691416793681</stp>
        <tr r="J48" s="24"/>
      </tp>
      <tp t="e">
        <v>#N/A</v>
        <stp/>
        <stp>BDH|16013315348817653967</stp>
        <tr r="D14" s="20"/>
      </tp>
      <tp t="e">
        <v>#N/A</v>
        <stp/>
        <stp>BDH|16840623389947315091</stp>
        <tr r="Y24" s="24"/>
      </tp>
      <tp t="e">
        <v>#N/A</v>
        <stp/>
        <stp>BDH|10274897655422497030</stp>
        <tr r="D70" s="18"/>
      </tp>
      <tp t="e">
        <v>#N/A</v>
        <stp/>
        <stp>BDH|13572697591820045340</stp>
        <tr r="T23" s="22"/>
      </tp>
      <tp t="e">
        <v>#N/A</v>
        <stp/>
        <stp>BDH|12112496165938642728</stp>
        <tr r="X40" s="12"/>
      </tp>
      <tp t="e">
        <v>#N/A</v>
        <stp/>
        <stp>BDH|16458560817538520593</stp>
        <tr r="AA60" s="13"/>
      </tp>
      <tp t="e">
        <v>#N/A</v>
        <stp/>
        <stp>BDH|14145898510742536049</stp>
        <tr r="G10" s="4"/>
        <tr r="F6" s="16"/>
        <tr r="I6" s="3"/>
        <tr r="G6" s="11"/>
      </tp>
      <tp t="e">
        <v>#N/A</v>
        <stp/>
        <stp>BDH|15464049981485837709</stp>
        <tr r="R21" s="9"/>
      </tp>
      <tp t="e">
        <v>#N/A</v>
        <stp/>
        <stp>BDH|11100266121099733785</stp>
        <tr r="T34" s="5"/>
        <tr r="U32" s="29"/>
      </tp>
      <tp t="e">
        <v>#N/A</v>
        <stp/>
        <stp>BDH|12169376158313144860</stp>
        <tr r="G48" s="13"/>
      </tp>
      <tp t="e">
        <v>#N/A</v>
        <stp/>
        <stp>BDH|16883208337039764111</stp>
        <tr r="K26" s="29"/>
      </tp>
      <tp t="e">
        <v>#N/A</v>
        <stp/>
        <stp>BDH|17820934714986693603</stp>
        <tr r="AA17" s="14"/>
      </tp>
      <tp t="e">
        <v>#N/A</v>
        <stp/>
        <stp>BDH|13991995188988201530</stp>
        <tr r="F18" s="5"/>
        <tr r="F41" s="6"/>
      </tp>
      <tp t="e">
        <v>#N/A</v>
        <stp/>
        <stp>BDH|13076997518813158799</stp>
        <tr r="Z90" s="17"/>
      </tp>
      <tp t="e">
        <v>#N/A</v>
        <stp/>
        <stp>BDH|12858130542091207921</stp>
        <tr r="O113" s="18"/>
      </tp>
      <tp t="e">
        <v>#N/A</v>
        <stp/>
        <stp>BDH|11941368597136110217</stp>
        <tr r="O51" s="17"/>
        <tr r="O17" s="3"/>
      </tp>
      <tp t="e">
        <v>#N/A</v>
        <stp/>
        <stp>BDH|10446973334737998263</stp>
        <tr r="U17" s="10"/>
      </tp>
      <tp t="e">
        <v>#N/A</v>
        <stp/>
        <stp>BDH|15579579617679810753</stp>
        <tr r="P61" s="24"/>
      </tp>
      <tp t="e">
        <v>#N/A</v>
        <stp/>
        <stp>BDH|17157788296293332545</stp>
        <tr r="K34" s="18"/>
      </tp>
      <tp t="e">
        <v>#N/A</v>
        <stp/>
        <stp>BDH|14060345597994310583</stp>
        <tr r="G11" s="9"/>
      </tp>
      <tp t="e">
        <v>#N/A</v>
        <stp/>
        <stp>BDH|18248684112353285323</stp>
        <tr r="W16" s="18"/>
      </tp>
      <tp t="e">
        <v>#N/A</v>
        <stp/>
        <stp>BDH|10489450882390360385</stp>
        <tr r="Z39" s="24"/>
      </tp>
      <tp t="e">
        <v>#N/A</v>
        <stp/>
        <stp>BDH|15784566614238909644</stp>
        <tr r="W71" s="17"/>
      </tp>
      <tp t="e">
        <v>#N/A</v>
        <stp/>
        <stp>BDH|15366169616248241291</stp>
        <tr r="L55" s="13"/>
      </tp>
      <tp t="e">
        <v>#N/A</v>
        <stp/>
        <stp>BDH|16302636938274785873</stp>
        <tr r="O51" s="18"/>
      </tp>
      <tp t="e">
        <v>#N/A</v>
        <stp/>
        <stp>BDH|14658458664388913160</stp>
        <tr r="R63" s="10"/>
      </tp>
      <tp t="e">
        <v>#N/A</v>
        <stp/>
        <stp>BDH|13326236999546189107</stp>
        <tr r="V44" s="17"/>
      </tp>
      <tp t="e">
        <v>#N/A</v>
        <stp/>
        <stp>BDH|15649289241235634910</stp>
        <tr r="E12" s="21"/>
      </tp>
      <tp t="e">
        <v>#N/A</v>
        <stp/>
        <stp>BDH|16599295053629242752</stp>
        <tr r="Z42" s="17"/>
      </tp>
      <tp t="e">
        <v>#N/A</v>
        <stp/>
        <stp>BDH|10293442566179109499</stp>
        <tr r="L48" s="18"/>
      </tp>
      <tp t="e">
        <v>#N/A</v>
        <stp/>
        <stp>BDH|11997124327989179450</stp>
        <tr r="H74" s="18"/>
      </tp>
      <tp t="e">
        <v>#N/A</v>
        <stp/>
        <stp>BDH|14911593756338866364</stp>
        <tr r="U39" s="17"/>
      </tp>
      <tp t="e">
        <v>#N/A</v>
        <stp/>
        <stp>BDH|15789799282386560317</stp>
        <tr r="Z26" s="26"/>
      </tp>
      <tp t="e">
        <v>#N/A</v>
        <stp/>
        <stp>BDH|16864977215501064021</stp>
        <tr r="X26" s="14"/>
      </tp>
      <tp t="e">
        <v>#N/A</v>
        <stp/>
        <stp>BDH|12648014272139856354</stp>
        <tr r="F21" s="30"/>
      </tp>
      <tp t="e">
        <v>#N/A</v>
        <stp/>
        <stp>BDH|10453007286615376293</stp>
        <tr r="J27" s="25"/>
        <tr r="J13" s="27"/>
      </tp>
      <tp t="e">
        <v>#N/A</v>
        <stp/>
        <stp>BDH|10539487546729358606</stp>
        <tr r="Z26" s="12"/>
      </tp>
      <tp t="e">
        <v>#N/A</v>
        <stp/>
        <stp>BDH|13274351185573973434</stp>
        <tr r="U20" s="23"/>
      </tp>
      <tp t="e">
        <v>#N/A</v>
        <stp/>
        <stp>BDH|17422521197202041692</stp>
        <tr r="W21" s="3"/>
      </tp>
      <tp t="e">
        <v>#N/A</v>
        <stp/>
        <stp>BDH|15725203782618814850</stp>
        <tr r="O35" s="12"/>
      </tp>
      <tp t="e">
        <v>#N/A</v>
        <stp/>
        <stp>BDH|12387768848167424917</stp>
        <tr r="F32" s="22"/>
      </tp>
      <tp t="e">
        <v>#N/A</v>
        <stp/>
        <stp>BDH|11577452065469829557</stp>
        <tr r="AA18" s="23"/>
      </tp>
      <tp t="e">
        <v>#N/A</v>
        <stp/>
        <stp>BDH|11985873715793209423</stp>
        <tr r="K26" s="22"/>
      </tp>
      <tp t="e">
        <v>#N/A</v>
        <stp/>
        <stp>BDH|10446711387865879514</stp>
        <tr r="S37" s="12"/>
      </tp>
      <tp t="e">
        <v>#N/A</v>
        <stp/>
        <stp>BDH|17691283042539728703</stp>
        <tr r="C25" s="12"/>
      </tp>
      <tp t="e">
        <v>#N/A</v>
        <stp/>
        <stp>BDH|17423852819235384406</stp>
        <tr r="I122" s="18"/>
      </tp>
      <tp t="e">
        <v>#N/A</v>
        <stp/>
        <stp>BDH|13949446620012472826</stp>
        <tr r="N23" s="21"/>
      </tp>
      <tp t="e">
        <v>#N/A</v>
        <stp/>
        <stp>BDH|16577376552398837732</stp>
        <tr r="P16" s="6"/>
      </tp>
      <tp t="e">
        <v>#N/A</v>
        <stp/>
        <stp>BDH|14041219767478993742</stp>
        <tr r="Y21" s="27"/>
      </tp>
      <tp t="e">
        <v>#N/A</v>
        <stp/>
        <stp>BDH|17458485164372143826</stp>
        <tr r="T41" s="22"/>
      </tp>
      <tp t="e">
        <v>#N/A</v>
        <stp/>
        <stp>BDH|11559273012108274590</stp>
        <tr r="E21" s="24"/>
      </tp>
      <tp t="e">
        <v>#N/A</v>
        <stp/>
        <stp>BDH|10077171039055625834</stp>
        <tr r="R24" s="2"/>
      </tp>
      <tp t="e">
        <v>#N/A</v>
        <stp/>
        <stp>BDH|13282820349982631245</stp>
        <tr r="H25" s="10"/>
        <tr r="J31" s="13"/>
      </tp>
      <tp t="e">
        <v>#N/A</v>
        <stp/>
        <stp>BDH|15376792595486040242</stp>
        <tr r="AA28" s="21"/>
      </tp>
      <tp t="e">
        <v>#N/A</v>
        <stp/>
        <stp>BDH|15942648281347281351</stp>
        <tr r="Z47" s="21"/>
      </tp>
      <tp t="e">
        <v>#N/A</v>
        <stp/>
        <stp>BDH|11172129859519259338</stp>
        <tr r="U15" s="22"/>
      </tp>
      <tp t="e">
        <v>#N/A</v>
        <stp/>
        <stp>BDH|11920161986757673046</stp>
        <tr r="O48" s="17"/>
      </tp>
      <tp t="e">
        <v>#N/A</v>
        <stp/>
        <stp>BDH|13562302302799537695</stp>
        <tr r="R48" s="13"/>
      </tp>
      <tp t="e">
        <v>#N/A</v>
        <stp/>
        <stp>BDH|13423724085082050186</stp>
        <tr r="S89" s="18"/>
      </tp>
      <tp t="e">
        <v>#N/A</v>
        <stp/>
        <stp>BDH|10779252109165685868</stp>
        <tr r="P47" s="21"/>
      </tp>
      <tp t="e">
        <v>#N/A</v>
        <stp/>
        <stp>BDH|13999924445267577613</stp>
        <tr r="I35" s="12"/>
      </tp>
      <tp t="e">
        <v>#N/A</v>
        <stp/>
        <stp>BDH|15761919927451364087</stp>
        <tr r="X27" s="25"/>
        <tr r="X13" s="27"/>
      </tp>
      <tp t="e">
        <v>#N/A</v>
        <stp/>
        <stp>BDH|12044086544990793918</stp>
        <tr r="Q58" s="18"/>
      </tp>
      <tp t="e">
        <v>#N/A</v>
        <stp/>
        <stp>BDH|13564154262149906219</stp>
        <tr r="I52" s="17"/>
        <tr r="I10" s="25"/>
      </tp>
      <tp t="e">
        <v>#N/A</v>
        <stp/>
        <stp>BDH|15026036239520790972</stp>
        <tr r="N15" s="26"/>
      </tp>
      <tp t="e">
        <v>#N/A</v>
        <stp/>
        <stp>BDH|17925198428083088828</stp>
        <tr r="AA33" s="14"/>
      </tp>
      <tp t="e">
        <v>#N/A</v>
        <stp/>
        <stp>BDH|12681835819687172376</stp>
        <tr r="R34" s="24"/>
      </tp>
      <tp t="e">
        <v>#N/A</v>
        <stp/>
        <stp>BDH|17848402501814222815</stp>
        <tr r="F124" s="18"/>
      </tp>
      <tp t="e">
        <v>#N/A</v>
        <stp/>
        <stp>BDH|14292204982074960533</stp>
        <tr r="S37" s="34"/>
      </tp>
      <tp t="e">
        <v>#N/A</v>
        <stp/>
        <stp>BDH|11730794591672216278</stp>
        <tr r="G11" s="17"/>
      </tp>
      <tp t="e">
        <v>#N/A</v>
        <stp/>
        <stp>BDH|11430476625128893045</stp>
        <tr r="C14" s="6"/>
      </tp>
      <tp t="e">
        <v>#N/A</v>
        <stp/>
        <stp>BDH|10317808449691478240</stp>
        <tr r="U71" s="10"/>
        <tr r="U63" s="11"/>
      </tp>
      <tp t="e">
        <v>#N/A</v>
        <stp/>
        <stp>BDH|15652168586381507291</stp>
        <tr r="AA45" s="22"/>
      </tp>
      <tp t="e">
        <v>#N/A</v>
        <stp/>
        <stp>BDH|10070496082961470250</stp>
        <tr r="I50" s="13"/>
      </tp>
      <tp t="e">
        <v>#N/A</v>
        <stp/>
        <stp>BDH|13490001540468745097</stp>
        <tr r="F8" s="2"/>
      </tp>
      <tp t="e">
        <v>#N/A</v>
        <stp/>
        <stp>BDH|11801633632109194224</stp>
        <tr r="Q81" s="12"/>
      </tp>
      <tp t="e">
        <v>#N/A</v>
        <stp/>
        <stp>BDH|12883413660436400972</stp>
        <tr r="D59" s="24"/>
      </tp>
      <tp t="e">
        <v>#N/A</v>
        <stp/>
        <stp>BDH|17486203299286670512</stp>
        <tr r="W59" s="24"/>
      </tp>
      <tp t="e">
        <v>#N/A</v>
        <stp/>
        <stp>BDH|15476938008656249571</stp>
        <tr r="Y34" s="18"/>
      </tp>
      <tp t="e">
        <v>#N/A</v>
        <stp/>
        <stp>BDH|14745157039529611074</stp>
        <tr r="X10" s="22"/>
      </tp>
      <tp t="e">
        <v>#N/A</v>
        <stp/>
        <stp>BDH|13427521933258774284</stp>
        <tr r="F9" s="18"/>
      </tp>
      <tp t="e">
        <v>#N/A</v>
        <stp/>
        <stp>BDH|17348042456474219991</stp>
        <tr r="G123" s="18"/>
      </tp>
      <tp t="e">
        <v>#N/A</v>
        <stp/>
        <stp>BDH|11952900173005606564</stp>
        <tr r="U15" s="20"/>
      </tp>
      <tp t="e">
        <v>#N/A</v>
        <stp/>
        <stp>BDH|16710328964958989429</stp>
        <tr r="J6" s="28"/>
      </tp>
      <tp t="e">
        <v>#N/A</v>
        <stp/>
        <stp>BDH|13078861203431774585</stp>
        <tr r="X36" s="4"/>
      </tp>
      <tp t="e">
        <v>#N/A</v>
        <stp/>
        <stp>BDH|16334301690591802217</stp>
        <tr r="Z101" s="18"/>
      </tp>
      <tp t="e">
        <v>#N/A</v>
        <stp/>
        <stp>BDH|12700785562058677412</stp>
        <tr r="C91" s="17"/>
        <tr r="C7" s="27"/>
      </tp>
      <tp t="e">
        <v>#N/A</v>
        <stp/>
        <stp>BDH|16733898891721280973</stp>
        <tr r="X17" s="29"/>
        <tr r="X40" s="29"/>
      </tp>
      <tp t="e">
        <v>#N/A</v>
        <stp/>
        <stp>BDH|15904836247797218156</stp>
        <tr r="M8" s="6"/>
      </tp>
      <tp t="e">
        <v>#N/A</v>
        <stp/>
        <stp>BDH|16925648741892212946</stp>
        <tr r="O114" s="18"/>
      </tp>
      <tp t="e">
        <v>#N/A</v>
        <stp/>
        <stp>BDH|17163249283797947558</stp>
        <tr r="X61" s="17"/>
      </tp>
      <tp t="e">
        <v>#N/A</v>
        <stp/>
        <stp>BDH|15996719985534377146</stp>
        <tr r="C86" s="12"/>
      </tp>
      <tp t="e">
        <v>#N/A</v>
        <stp/>
        <stp>BDH|16335453182496808360</stp>
        <tr r="L55" s="24"/>
      </tp>
      <tp t="e">
        <v>#N/A</v>
        <stp/>
        <stp>BDH|10856892349212755154</stp>
        <tr r="O34" s="21"/>
      </tp>
      <tp t="e">
        <v>#N/A</v>
        <stp/>
        <stp>BDH|11112893176601230063</stp>
        <tr r="J14" s="29"/>
        <tr r="J23" s="29"/>
        <tr r="J37" s="29"/>
      </tp>
      <tp t="e">
        <v>#N/A</v>
        <stp/>
        <stp>BDH|12060934671047709489</stp>
        <tr r="W15" s="25"/>
      </tp>
      <tp t="e">
        <v>#N/A</v>
        <stp/>
        <stp>BDH|12973932715993707656</stp>
        <tr r="X38" s="17"/>
      </tp>
      <tp t="e">
        <v>#N/A</v>
        <stp/>
        <stp>BDH|16835831309819628891</stp>
        <tr r="H29" s="21"/>
      </tp>
      <tp t="e">
        <v>#N/A</v>
        <stp/>
        <stp>BDH|12796055650619676195</stp>
        <tr r="F70" s="24"/>
      </tp>
      <tp t="e">
        <v>#N/A</v>
        <stp/>
        <stp>BDH|15375643310675854829</stp>
        <tr r="I67" s="18"/>
      </tp>
      <tp t="e">
        <v>#N/A</v>
        <stp/>
        <stp>BDH|14819643801278875589</stp>
        <tr r="I121" s="18"/>
      </tp>
      <tp t="e">
        <v>#N/A</v>
        <stp/>
        <stp>BDH|11033996975298985882</stp>
        <tr r="L17" s="23"/>
      </tp>
      <tp t="e">
        <v>#N/A</v>
        <stp/>
        <stp>BDH|13452834058087547679</stp>
        <tr r="J26" s="6"/>
      </tp>
      <tp t="e">
        <v>#N/A</v>
        <stp/>
        <stp>BDH|15459782710519922583</stp>
        <tr r="V76" s="12"/>
      </tp>
      <tp t="e">
        <v>#N/A</v>
        <stp/>
        <stp>BDH|11712767892465948575</stp>
        <tr r="E45" s="17"/>
      </tp>
      <tp t="e">
        <v>#N/A</v>
        <stp/>
        <stp>BDH|13270463439783410843</stp>
        <tr r="P34" s="12"/>
      </tp>
      <tp t="e">
        <v>#N/A</v>
        <stp/>
        <stp>BDH|17417340098405102744</stp>
        <tr r="H113" s="18"/>
      </tp>
      <tp t="e">
        <v>#N/A</v>
        <stp/>
        <stp>BDH|16217784651829551239</stp>
        <tr r="R17" s="29"/>
        <tr r="R40" s="29"/>
      </tp>
      <tp t="e">
        <v>#N/A</v>
        <stp/>
        <stp>BDH|13623082387690713437</stp>
        <tr r="W24" s="22"/>
      </tp>
      <tp t="e">
        <v>#N/A</v>
        <stp/>
        <stp>BDH|12553775395772340193</stp>
        <tr r="U28" s="4"/>
      </tp>
      <tp t="e">
        <v>#N/A</v>
        <stp/>
        <stp>BDH|17061353139578771060</stp>
        <tr r="AA12" s="21"/>
      </tp>
      <tp t="e">
        <v>#N/A</v>
        <stp/>
        <stp>BDH|18289173793107987824</stp>
        <tr r="R16" s="2"/>
        <tr r="R32" s="4"/>
        <tr r="R62" s="10"/>
        <tr r="T19" s="13"/>
      </tp>
      <tp t="e">
        <v>#N/A</v>
        <stp/>
        <stp>BDH|10580889418784894209</stp>
        <tr r="U37" s="6"/>
      </tp>
      <tp t="e">
        <v>#N/A</v>
        <stp/>
        <stp>BDH|15053303295107994718</stp>
        <tr r="W21" s="5"/>
      </tp>
      <tp t="e">
        <v>#N/A</v>
        <stp/>
        <stp>BDH|16628493772553835982</stp>
        <tr r="N22" s="27"/>
      </tp>
      <tp t="e">
        <v>#N/A</v>
        <stp/>
        <stp>BDH|16910713942159324344</stp>
        <tr r="N25" s="4"/>
        <tr r="N65" s="10"/>
      </tp>
      <tp t="e">
        <v>#N/A</v>
        <stp/>
        <stp>BDH|13281436599849720821</stp>
        <tr r="Z39" s="17"/>
      </tp>
      <tp t="e">
        <v>#N/A</v>
        <stp/>
        <stp>BDH|17234055283484113487</stp>
        <tr r="M35" s="22"/>
      </tp>
      <tp t="e">
        <v>#N/A</v>
        <stp/>
        <stp>BDH|14666924660197101387</stp>
        <tr r="R23" s="22"/>
      </tp>
      <tp t="e">
        <v>#N/A</v>
        <stp/>
        <stp>BDH|15747504910599982739</stp>
        <tr r="P33" s="9"/>
      </tp>
      <tp t="e">
        <v>#N/A</v>
        <stp/>
        <stp>BDH|13320259959762599971</stp>
        <tr r="R10" s="26"/>
      </tp>
      <tp t="e">
        <v>#N/A</v>
        <stp/>
        <stp>BDH|11352870376757875671</stp>
        <tr r="R38" s="25"/>
      </tp>
      <tp t="e">
        <v>#N/A</v>
        <stp/>
        <stp>BDH|16002783570531358879</stp>
        <tr r="V59" s="13"/>
      </tp>
      <tp t="e">
        <v>#N/A</v>
        <stp/>
        <stp>BDH|12093880557690141021</stp>
        <tr r="N19" s="9"/>
      </tp>
      <tp t="e">
        <v>#N/A</v>
        <stp/>
        <stp>BDH|16892446459040904805</stp>
        <tr r="U45" s="17"/>
      </tp>
      <tp t="e">
        <v>#N/A</v>
        <stp/>
        <stp>BDH|15422840319997221470</stp>
        <tr r="J16" s="17"/>
        <tr r="J19" s="28"/>
      </tp>
      <tp t="e">
        <v>#N/A</v>
        <stp/>
        <stp>BDH|17934635495453680453</stp>
        <tr r="U18" s="17"/>
      </tp>
      <tp t="e">
        <v>#N/A</v>
        <stp/>
        <stp>BDH|15048888250402147554</stp>
        <tr r="V10" s="22"/>
      </tp>
      <tp t="e">
        <v>#N/A</v>
        <stp/>
        <stp>BDH|13309990727977485059</stp>
        <tr r="C22" s="10"/>
      </tp>
      <tp t="e">
        <v>#N/A</v>
        <stp/>
        <stp>BDH|13849046085057392365</stp>
        <tr r="N15" s="25"/>
      </tp>
      <tp t="e">
        <v>#N/A</v>
        <stp/>
        <stp>BDH|18191993129429444594</stp>
        <tr r="K37" s="10"/>
        <tr r="K29" s="11"/>
        <tr r="M41" s="13"/>
      </tp>
      <tp t="e">
        <v>#N/A</v>
        <stp/>
        <stp>BDH|18103447544157403098</stp>
        <tr r="C33" s="9"/>
      </tp>
      <tp t="e">
        <v>#N/A</v>
        <stp/>
        <stp>BDH|16812373183841364332</stp>
        <tr r="W22" s="10"/>
      </tp>
      <tp t="e">
        <v>#N/A</v>
        <stp/>
        <stp>BDH|16087097135549860381</stp>
        <tr r="F11" s="18"/>
      </tp>
      <tp t="e">
        <v>#N/A</v>
        <stp/>
        <stp>BDH|12080944261915896710</stp>
        <tr r="X96" s="18"/>
      </tp>
      <tp t="e">
        <v>#N/A</v>
        <stp/>
        <stp>BDH|10130763896181984045</stp>
        <tr r="D19" s="9"/>
      </tp>
      <tp t="e">
        <v>#N/A</v>
        <stp/>
        <stp>BDH|11371129444618166382</stp>
        <tr r="N31" s="34"/>
      </tp>
      <tp t="e">
        <v>#N/A</v>
        <stp/>
        <stp>BDH|13376478067687633998</stp>
        <tr r="T28" s="25"/>
        <tr r="T14" s="27"/>
      </tp>
      <tp t="e">
        <v>#N/A</v>
        <stp/>
        <stp>BDH|16935531845220432872</stp>
        <tr r="F30" s="26"/>
      </tp>
      <tp t="e">
        <v>#N/A</v>
        <stp/>
        <stp>BDH|16487976205334399495</stp>
        <tr r="E15" s="21"/>
      </tp>
      <tp t="e">
        <v>#N/A</v>
        <stp/>
        <stp>BDH|16668935703271307190</stp>
        <tr r="R55" s="17"/>
      </tp>
      <tp t="e">
        <v>#N/A</v>
        <stp/>
        <stp>BDH|10401052539984695822</stp>
        <tr r="P32" s="22"/>
      </tp>
      <tp t="e">
        <v>#N/A</v>
        <stp/>
        <stp>BDH|15156886225447515756</stp>
        <tr r="R31" s="9"/>
      </tp>
      <tp t="e">
        <v>#N/A</v>
        <stp/>
        <stp>BDH|12733920761481876307</stp>
        <tr r="W47" s="18"/>
      </tp>
      <tp t="e">
        <v>#N/A</v>
        <stp/>
        <stp>BDH|14499284503629691054</stp>
        <tr r="R71" s="18"/>
      </tp>
      <tp t="e">
        <v>#N/A</v>
        <stp/>
        <stp>BDH|17298914286340996902</stp>
        <tr r="C11" s="11"/>
      </tp>
      <tp t="e">
        <v>#N/A</v>
        <stp/>
        <stp>BDH|16672981907604429417</stp>
        <tr r="P85" s="12"/>
      </tp>
      <tp t="e">
        <v>#N/A</v>
        <stp/>
        <stp>BDH|17890968758181258581</stp>
        <tr r="I22" s="21"/>
      </tp>
      <tp t="e">
        <v>#N/A</v>
        <stp/>
        <stp>BDH|13738826928814437265</stp>
        <tr r="H11" s="14"/>
      </tp>
      <tp t="e">
        <v>#N/A</v>
        <stp/>
        <stp>BDH|16685322109292151834</stp>
        <tr r="D86" s="18"/>
      </tp>
      <tp t="e">
        <v>#N/A</v>
        <stp/>
        <stp>BDH|12604990474177112459</stp>
        <tr r="X17" s="24"/>
      </tp>
      <tp t="e">
        <v>#N/A</v>
        <stp/>
        <stp>BDH|18149818396417987108</stp>
        <tr r="Q43" s="34"/>
      </tp>
      <tp t="e">
        <v>#N/A</v>
        <stp/>
        <stp>BDH|12152804878724287643</stp>
        <tr r="I56" s="17"/>
      </tp>
      <tp t="e">
        <v>#N/A</v>
        <stp/>
        <stp>BDH|10323676236362579883</stp>
        <tr r="N90" s="17"/>
      </tp>
      <tp t="e">
        <v>#N/A</v>
        <stp/>
        <stp>BDH|10144173870228845112</stp>
        <tr r="X21" s="3"/>
      </tp>
      <tp t="e">
        <v>#N/A</v>
        <stp/>
        <stp>BDH|11837853162785723577</stp>
        <tr r="X40" s="24"/>
      </tp>
      <tp t="e">
        <v>#N/A</v>
        <stp/>
        <stp>BDH|12202782566458148423</stp>
        <tr r="G24" s="24"/>
      </tp>
      <tp t="e">
        <v>#N/A</v>
        <stp/>
        <stp>BDH|12445298036048691425</stp>
        <tr r="X24" s="9"/>
      </tp>
      <tp t="e">
        <v>#N/A</v>
        <stp/>
        <stp>BDH|10404086836295639930</stp>
        <tr r="T14" s="13"/>
      </tp>
      <tp t="e">
        <v>#N/A</v>
        <stp/>
        <stp>BDH|18177204248722508333</stp>
        <tr r="P34" s="9"/>
      </tp>
      <tp t="e">
        <v>#N/A</v>
        <stp/>
        <stp>BDH|11211056492005377297</stp>
        <tr r="V123" s="18"/>
      </tp>
      <tp t="e">
        <v>#N/A</v>
        <stp/>
        <stp>BDH|14128065075358932441</stp>
        <tr r="P46" s="18"/>
      </tp>
      <tp t="e">
        <v>#N/A</v>
        <stp/>
        <stp>BDH|11921047697923790423</stp>
        <tr r="W33" s="6"/>
      </tp>
      <tp t="e">
        <v>#N/A</v>
        <stp/>
        <stp>BDH|17869261608883890912</stp>
        <tr r="X50" s="4"/>
      </tp>
      <tp t="e">
        <v>#N/A</v>
        <stp/>
        <stp>BDH|10149216648879535032</stp>
        <tr r="F89" s="12"/>
      </tp>
      <tp t="e">
        <v>#N/A</v>
        <stp/>
        <stp>BDH|11781761063496566990</stp>
        <tr r="F7" s="24"/>
      </tp>
      <tp t="e">
        <v>#N/A</v>
        <stp/>
        <stp>BDH|10055897870803485339</stp>
        <tr r="G49" s="22"/>
      </tp>
      <tp t="e">
        <v>#N/A</v>
        <stp/>
        <stp>BDH|16592573818184432903</stp>
        <tr r="H24" s="12"/>
      </tp>
      <tp t="e">
        <v>#N/A</v>
        <stp/>
        <stp>BDH|17470485790237096222</stp>
        <tr r="Y93" s="17"/>
      </tp>
      <tp t="e">
        <v>#N/A</v>
        <stp/>
        <stp>BDH|11499393802489376420</stp>
        <tr r="M24" s="2"/>
      </tp>
      <tp t="e">
        <v>#N/A</v>
        <stp/>
        <stp>BDH|13593498972256787972</stp>
        <tr r="S9" s="24"/>
      </tp>
      <tp t="e">
        <v>#N/A</v>
        <stp/>
        <stp>BDH|13606325629808615555</stp>
        <tr r="P23" s="23"/>
      </tp>
      <tp t="e">
        <v>#N/A</v>
        <stp/>
        <stp>BDH|15866107031261627918</stp>
        <tr r="C26" s="7"/>
      </tp>
      <tp t="e">
        <v>#N/A</v>
        <stp/>
        <stp>BDH|16947442995981741512</stp>
        <tr r="G25" s="21"/>
      </tp>
      <tp t="e">
        <v>#N/A</v>
        <stp/>
        <stp>BDH|14588240228288307342</stp>
        <tr r="H26" s="21"/>
      </tp>
      <tp t="e">
        <v>#N/A</v>
        <stp/>
        <stp>BDH|16751765590823964466</stp>
        <tr r="U93" s="17"/>
      </tp>
      <tp t="e">
        <v>#N/A</v>
        <stp/>
        <stp>BDH|13742300539139236528</stp>
        <tr r="J9" s="27"/>
      </tp>
      <tp t="e">
        <v>#N/A</v>
        <stp/>
        <stp>BDH|17285744890703066580</stp>
        <tr r="G22" s="30"/>
        <tr r="G24" s="23"/>
      </tp>
      <tp t="e">
        <v>#N/A</v>
        <stp/>
        <stp>BDH|15144348785981801068</stp>
        <tr r="O66" s="24"/>
      </tp>
      <tp t="e">
        <v>#N/A</v>
        <stp/>
        <stp>BDH|13287479984492717289</stp>
        <tr r="O43" s="29"/>
      </tp>
      <tp t="e">
        <v>#N/A</v>
        <stp/>
        <stp>BDH|11277795291821415106</stp>
        <tr r="J14" s="17"/>
        <tr r="J17" s="28"/>
      </tp>
      <tp t="e">
        <v>#N/A</v>
        <stp/>
        <stp>BDH|17069294873774640920</stp>
        <tr r="X39" s="34"/>
      </tp>
      <tp t="e">
        <v>#N/A</v>
        <stp/>
        <stp>BDH|12933557545299240552</stp>
        <tr r="F42" s="4"/>
      </tp>
      <tp t="e">
        <v>#N/A</v>
        <stp/>
        <stp>BDH|10480677369986322973</stp>
        <tr r="N54" s="17"/>
      </tp>
      <tp t="e">
        <v>#N/A</v>
        <stp/>
        <stp>BDH|11212784193609435937</stp>
        <tr r="G20" s="22"/>
      </tp>
      <tp t="e">
        <v>#N/A</v>
        <stp/>
        <stp>BDH|15937394854758347492</stp>
        <tr r="R45" s="18"/>
      </tp>
      <tp t="e">
        <v>#N/A</v>
        <stp/>
        <stp>BDH|12336942949072974290</stp>
        <tr r="G15" s="17"/>
        <tr r="G18" s="28"/>
      </tp>
      <tp t="e">
        <v>#N/A</v>
        <stp/>
        <stp>BDH|16189425149458172158</stp>
        <tr r="P20" s="18"/>
      </tp>
      <tp t="e">
        <v>#N/A</v>
        <stp/>
        <stp>BDH|11291211091301541499</stp>
        <tr r="Z44" s="34"/>
      </tp>
      <tp t="e">
        <v>#N/A</v>
        <stp/>
        <stp>BDH|11513492919922387987</stp>
        <tr r="I64" s="18"/>
      </tp>
      <tp t="e">
        <v>#N/A</v>
        <stp/>
        <stp>BDH|13603308763000381984</stp>
        <tr r="X13" s="5"/>
      </tp>
      <tp t="e">
        <v>#N/A</v>
        <stp/>
        <stp>BDH|10970193589761357742</stp>
        <tr r="V40" s="24"/>
      </tp>
      <tp t="e">
        <v>#N/A</v>
        <stp/>
        <stp>BDH|14411332399535876485</stp>
        <tr r="H86" s="24"/>
      </tp>
      <tp t="e">
        <v>#N/A</v>
        <stp/>
        <stp>BDH|15560755403625860857</stp>
        <tr r="AA126" s="18"/>
      </tp>
      <tp t="e">
        <v>#N/A</v>
        <stp/>
        <stp>BDH|15599224930738199078</stp>
        <tr r="P83" s="24"/>
      </tp>
      <tp t="e">
        <v>#N/A</v>
        <stp/>
        <stp>BDH|10487850817286012370</stp>
        <tr r="M59" s="12"/>
      </tp>
      <tp t="e">
        <v>#N/A</v>
        <stp/>
        <stp>BDH|17267316253245390820</stp>
        <tr r="J42" s="10"/>
        <tr r="J34" s="11"/>
      </tp>
      <tp t="e">
        <v>#N/A</v>
        <stp/>
        <stp>BDH|10701686294504927738</stp>
        <tr r="N37" s="6"/>
      </tp>
      <tp t="e">
        <v>#N/A</v>
        <stp/>
        <stp>BDH|11169916144229134949</stp>
        <tr r="U12" s="12"/>
      </tp>
      <tp t="e">
        <v>#N/A</v>
        <stp/>
        <stp>BDH|17841894051884662271</stp>
        <tr r="F17" s="30"/>
      </tp>
      <tp t="e">
        <v>#N/A</v>
        <stp/>
        <stp>BDH|14930826623907107581</stp>
        <tr r="C13" s="2"/>
      </tp>
      <tp t="e">
        <v>#N/A</v>
        <stp/>
        <stp>BDH|15982529809255773948</stp>
        <tr r="C36" s="4"/>
      </tp>
      <tp t="e">
        <v>#N/A</v>
        <stp/>
        <stp>BDH|14053052863906318843</stp>
        <tr r="H19" s="12"/>
      </tp>
      <tp t="e">
        <v>#N/A</v>
        <stp/>
        <stp>BDH|15425366880134474671</stp>
        <tr r="Y52" s="17"/>
        <tr r="Y10" s="25"/>
      </tp>
      <tp t="e">
        <v>#N/A</v>
        <stp/>
        <stp>BDH|16405520646118915383</stp>
        <tr r="P40" s="10"/>
        <tr r="P32" s="11"/>
      </tp>
      <tp t="e">
        <v>#N/A</v>
        <stp/>
        <stp>BDH|10981987304663224668</stp>
        <tr r="C120" s="18"/>
      </tp>
      <tp t="e">
        <v>#N/A</v>
        <stp/>
        <stp>BDH|12972618792031859038</stp>
        <tr r="P14" s="22"/>
      </tp>
      <tp t="e">
        <v>#N/A</v>
        <stp/>
        <stp>BDH|11342861082258366553</stp>
        <tr r="K88" s="18"/>
      </tp>
      <tp t="e">
        <v>#N/A</v>
        <stp/>
        <stp>BDH|12795800378942639382</stp>
        <tr r="H62" s="12"/>
      </tp>
      <tp t="e">
        <v>#N/A</v>
        <stp/>
        <stp>BDH|15826283098411033397</stp>
        <tr r="Y29" s="24"/>
      </tp>
      <tp t="e">
        <v>#N/A</v>
        <stp/>
        <stp>BDH|10775242192463979496</stp>
        <tr r="R37" s="34"/>
      </tp>
      <tp t="e">
        <v>#N/A</v>
        <stp/>
        <stp>BDH|13252501694466614516</stp>
        <tr r="D19" s="26"/>
      </tp>
      <tp t="e">
        <v>#N/A</v>
        <stp/>
        <stp>BDH|10261344116339179703</stp>
        <tr r="G32" s="6"/>
      </tp>
      <tp t="e">
        <v>#N/A</v>
        <stp/>
        <stp>BDH|10045716417612374846</stp>
        <tr r="J22" s="24"/>
      </tp>
      <tp t="e">
        <v>#N/A</v>
        <stp/>
        <stp>BDH|13143997528813564748</stp>
        <tr r="Q12" s="22"/>
      </tp>
      <tp t="e">
        <v>#N/A</v>
        <stp/>
        <stp>BDH|16511023267788018411</stp>
        <tr r="W142" s="18"/>
      </tp>
      <tp t="e">
        <v>#N/A</v>
        <stp/>
        <stp>BDH|18087487961416065089</stp>
        <tr r="D13" s="30"/>
      </tp>
      <tp t="e">
        <v>#N/A</v>
        <stp/>
        <stp>BDH|18445336299329870772</stp>
        <tr r="T76" s="12"/>
      </tp>
      <tp t="e">
        <v>#N/A</v>
        <stp/>
        <stp>BDH|14135160583335720426</stp>
        <tr r="X70" s="18"/>
      </tp>
      <tp t="e">
        <v>#N/A</v>
        <stp/>
        <stp>BDH|13194023275141264946</stp>
        <tr r="P33" s="18"/>
      </tp>
      <tp t="e">
        <v>#N/A</v>
        <stp/>
        <stp>BDH|13633379851221706872</stp>
        <tr r="U22" s="4"/>
      </tp>
      <tp t="e">
        <v>#N/A</v>
        <stp/>
        <stp>BDH|10644433952054756908</stp>
        <tr r="O85" s="18"/>
      </tp>
      <tp t="e">
        <v>#N/A</v>
        <stp/>
        <stp>BDH|17707785749299774119</stp>
        <tr r="Y86" s="17"/>
      </tp>
      <tp t="e">
        <v>#N/A</v>
        <stp/>
        <stp>BDH|14183683189690477643</stp>
        <tr r="R131" s="18"/>
      </tp>
      <tp t="e">
        <v>#N/A</v>
        <stp/>
        <stp>BDH|10067705131578963089</stp>
        <tr r="R38" s="26"/>
      </tp>
      <tp t="e">
        <v>#N/A</v>
        <stp/>
        <stp>BDH|16198546606108000736</stp>
        <tr r="S29" s="34"/>
      </tp>
      <tp t="e">
        <v>#N/A</v>
        <stp/>
        <stp>BDH|11028858266647205413</stp>
        <tr r="L38" s="25"/>
      </tp>
      <tp t="e">
        <v>#N/A</v>
        <stp/>
        <stp>BDH|15767713426298308438</stp>
        <tr r="T28" s="4"/>
      </tp>
      <tp t="e">
        <v>#N/A</v>
        <stp/>
        <stp>BDH|11752557865877272953</stp>
        <tr r="Z40" s="24"/>
      </tp>
      <tp t="e">
        <v>#N/A</v>
        <stp/>
        <stp>BDH|10191272879648891179</stp>
        <tr r="P90" s="17"/>
      </tp>
      <tp t="e">
        <v>#N/A</v>
        <stp/>
        <stp>BDH|12817407888545462749</stp>
        <tr r="Y39" s="24"/>
      </tp>
      <tp t="e">
        <v>#N/A</v>
        <stp/>
        <stp>BDH|10715154614355533939</stp>
        <tr r="H137" s="18"/>
      </tp>
      <tp t="e">
        <v>#N/A</v>
        <stp/>
        <stp>BDH|16995708943509301097</stp>
        <tr r="M24" s="4"/>
        <tr r="M57" s="11"/>
      </tp>
      <tp t="e">
        <v>#N/A</v>
        <stp/>
        <stp>BDH|13535108721265098943</stp>
        <tr r="K14" s="11"/>
      </tp>
      <tp t="e">
        <v>#N/A</v>
        <stp/>
        <stp>BDH|15717364184015057753</stp>
        <tr r="U34" s="22"/>
      </tp>
      <tp t="e">
        <v>#N/A</v>
        <stp/>
        <stp>BDH|13137911370722859382</stp>
        <tr r="AA118" s="18"/>
      </tp>
      <tp t="e">
        <v>#N/A</v>
        <stp/>
        <stp>BDH|10986235466420487883</stp>
        <tr r="AA36" s="18"/>
      </tp>
      <tp t="e">
        <v>#N/A</v>
        <stp/>
        <stp>BDH|13378847030104694019</stp>
        <tr r="M52" s="24"/>
      </tp>
      <tp t="e">
        <v>#N/A</v>
        <stp/>
        <stp>BDH|11902467924403800832</stp>
        <tr r="X68" s="12"/>
      </tp>
      <tp t="e">
        <v>#N/A</v>
        <stp/>
        <stp>BDH|12739415580492040067</stp>
        <tr r="J6" s="6"/>
      </tp>
      <tp t="e">
        <v>#N/A</v>
        <stp/>
        <stp>BDH|12509845353557643444</stp>
        <tr r="T32" s="18"/>
      </tp>
      <tp t="e">
        <v>#N/A</v>
        <stp/>
        <stp>BDH|18109452136132031120</stp>
        <tr r="U69" s="12"/>
      </tp>
      <tp t="e">
        <v>#N/A</v>
        <stp/>
        <stp>BDH|16071610330558636771</stp>
        <tr r="T83" s="12"/>
      </tp>
      <tp t="e">
        <v>#N/A</v>
        <stp/>
        <stp>BDH|15809304568364716871</stp>
        <tr r="Z9" s="23"/>
      </tp>
      <tp t="e">
        <v>#N/A</v>
        <stp/>
        <stp>BDH|15766925102189746901</stp>
        <tr r="W23" s="5"/>
        <tr r="W23" s="9"/>
      </tp>
      <tp t="e">
        <v>#N/A</v>
        <stp/>
        <stp>BDH|11109221191554067225</stp>
        <tr r="S88" s="12"/>
      </tp>
      <tp t="e">
        <v>#N/A</v>
        <stp/>
        <stp>BDH|10433070684086739207</stp>
        <tr r="P52" s="12"/>
      </tp>
      <tp t="e">
        <v>#N/A</v>
        <stp/>
        <stp>BDH|18443990509869580412</stp>
        <tr r="R22" s="30"/>
        <tr r="R24" s="23"/>
      </tp>
      <tp t="e">
        <v>#N/A</v>
        <stp/>
        <stp>BDH|16958355168257059842</stp>
        <tr r="S18" s="24"/>
      </tp>
      <tp t="e">
        <v>#N/A</v>
        <stp/>
        <stp>BDH|17739056806709224265</stp>
        <tr r="Q53" s="17"/>
      </tp>
      <tp t="e">
        <v>#N/A</v>
        <stp/>
        <stp>BDH|18004145436416574073</stp>
        <tr r="J22" s="14"/>
      </tp>
      <tp t="e">
        <v>#N/A</v>
        <stp/>
        <stp>BDH|18124514857723770702</stp>
        <tr r="Y40" s="22"/>
      </tp>
      <tp t="e">
        <v>#N/A</v>
        <stp/>
        <stp>BDH|11296409456125079942</stp>
        <tr r="N9" s="27"/>
      </tp>
      <tp t="e">
        <v>#N/A</v>
        <stp/>
        <stp>BDH|18243065832544395359</stp>
        <tr r="M7" s="10"/>
      </tp>
      <tp t="e">
        <v>#N/A</v>
        <stp/>
        <stp>BDH|17356408677731373979</stp>
        <tr r="Z71" s="12"/>
      </tp>
      <tp t="e">
        <v>#N/A</v>
        <stp/>
        <stp>BDH|17155581499496085133</stp>
        <tr r="O37" s="10"/>
        <tr r="O29" s="11"/>
        <tr r="Q41" s="13"/>
      </tp>
      <tp t="e">
        <v>#N/A</v>
        <stp/>
        <stp>BDH|13630260393357986393</stp>
        <tr r="W81" s="12"/>
      </tp>
      <tp t="e">
        <v>#N/A</v>
        <stp/>
        <stp>BDH|10235616291523696072</stp>
        <tr r="H33" s="21"/>
      </tp>
      <tp t="e">
        <v>#N/A</v>
        <stp/>
        <stp>BDH|17017631598684150099</stp>
        <tr r="J38" s="34"/>
      </tp>
      <tp t="e">
        <v>#N/A</v>
        <stp/>
        <stp>BDH|12888994386559441605</stp>
        <tr r="O14" s="20"/>
      </tp>
      <tp t="e">
        <v>#N/A</v>
        <stp/>
        <stp>BDH|16787333596788565842</stp>
        <tr r="I20" s="9"/>
      </tp>
      <tp t="e">
        <v>#N/A</v>
        <stp/>
        <stp>BDH|18408796215554989623</stp>
        <tr r="M32" s="18"/>
      </tp>
      <tp t="e">
        <v>#N/A</v>
        <stp/>
        <stp>BDH|13202383709978018404</stp>
        <tr r="P60" s="24"/>
      </tp>
      <tp t="e">
        <v>#N/A</v>
        <stp/>
        <stp>BDH|14100123392039044928</stp>
        <tr r="V27" s="21"/>
      </tp>
      <tp t="e">
        <v>#N/A</v>
        <stp/>
        <stp>BDH|10428546491657461769</stp>
        <tr r="U48" s="6"/>
      </tp>
      <tp t="e">
        <v>#N/A</v>
        <stp/>
        <stp>BDH|18123118054832284256</stp>
        <tr r="D13" s="7"/>
      </tp>
      <tp t="e">
        <v>#N/A</v>
        <stp/>
        <stp>BDH|10244042614394260930</stp>
        <tr r="F13" s="22"/>
      </tp>
      <tp t="e">
        <v>#N/A</v>
        <stp/>
        <stp>BDH|11661041429716953916</stp>
        <tr r="L26" s="14"/>
      </tp>
      <tp t="e">
        <v>#N/A</v>
        <stp/>
        <stp>BDH|15435597765173872931</stp>
        <tr r="Y27" s="26"/>
      </tp>
      <tp t="e">
        <v>#N/A</v>
        <stp/>
        <stp>BDH|10271381619749469745</stp>
        <tr r="M62" s="12"/>
      </tp>
      <tp t="e">
        <v>#N/A</v>
        <stp/>
        <stp>BDH|15197908848314841026</stp>
        <tr r="E34" s="6"/>
      </tp>
      <tp t="e">
        <v>#N/A</v>
        <stp/>
        <stp>BDH|13183656285167077628</stp>
        <tr r="R139" s="18"/>
      </tp>
      <tp t="e">
        <v>#N/A</v>
        <stp/>
        <stp>BDH|11945186085607446330</stp>
        <tr r="E45" s="22"/>
      </tp>
      <tp t="e">
        <v>#N/A</v>
        <stp/>
        <stp>BDH|16096825057330288740</stp>
        <tr r="W23" s="13"/>
      </tp>
      <tp t="e">
        <v>#N/A</v>
        <stp/>
        <stp>BDH|18128195357600927054</stp>
        <tr r="D10" s="24"/>
      </tp>
      <tp t="e">
        <v>#N/A</v>
        <stp/>
        <stp>BDH|14553846390379049023</stp>
        <tr r="AA43" s="24"/>
      </tp>
      <tp t="e">
        <v>#N/A</v>
        <stp/>
        <stp>BDH|16516868672990563571</stp>
        <tr r="P37" s="12"/>
      </tp>
      <tp t="e">
        <v>#N/A</v>
        <stp/>
        <stp>BDH|10697975054370487021</stp>
        <tr r="P28" s="6"/>
      </tp>
      <tp t="e">
        <v>#N/A</v>
        <stp/>
        <stp>BDH|11227676125199128021</stp>
        <tr r="M9" s="14"/>
      </tp>
      <tp t="e">
        <v>#N/A</v>
        <stp/>
        <stp>BDH|10283414324009299360</stp>
        <tr r="N14" s="20"/>
      </tp>
      <tp t="e">
        <v>#N/A</v>
        <stp/>
        <stp>BDH|13264622905989317059</stp>
        <tr r="P71" s="12"/>
      </tp>
      <tp t="e">
        <v>#N/A</v>
        <stp/>
        <stp>BDH|18040710016773639124</stp>
        <tr r="C41" s="10"/>
        <tr r="C33" s="11"/>
      </tp>
      <tp t="e">
        <v>#N/A</v>
        <stp/>
        <stp>BDH|15540915292461105841</stp>
        <tr r="D59" s="13"/>
      </tp>
      <tp t="e">
        <v>#N/A</v>
        <stp/>
        <stp>BDH|14465188718471507931</stp>
        <tr r="F40" s="22"/>
      </tp>
      <tp t="e">
        <v>#N/A</v>
        <stp/>
        <stp>BDH|16633297158495726828</stp>
        <tr r="Q35" s="4"/>
      </tp>
      <tp t="e">
        <v>#N/A</v>
        <stp/>
        <stp>BDH|11701250333564694856</stp>
        <tr r="I90" s="24"/>
      </tp>
      <tp t="e">
        <v>#N/A</v>
        <stp/>
        <stp>BDH|18057855246428199004</stp>
        <tr r="U17" s="6"/>
      </tp>
      <tp t="e">
        <v>#N/A</v>
        <stp/>
        <stp>BDH|16211029923539574142</stp>
        <tr r="C95" s="18"/>
      </tp>
      <tp t="e">
        <v>#N/A</v>
        <stp/>
        <stp>BDH|15476311936220146908</stp>
        <tr r="M71" s="24"/>
      </tp>
      <tp t="e">
        <v>#N/A</v>
        <stp/>
        <stp>BDH|13625023454738272209</stp>
        <tr r="M93" s="18"/>
      </tp>
      <tp t="e">
        <v>#N/A</v>
        <stp/>
        <stp>BDH|10007813139347890021</stp>
        <tr r="J26" s="25"/>
        <tr r="J12" s="27"/>
      </tp>
      <tp t="e">
        <v>#N/A</v>
        <stp/>
        <stp>BDH|10589930444453214222</stp>
        <tr r="X24" s="21"/>
      </tp>
      <tp t="e">
        <v>#N/A</v>
        <stp/>
        <stp>BDH|15455795284841807737</stp>
        <tr r="K35" s="18"/>
      </tp>
      <tp t="e">
        <v>#N/A</v>
        <stp/>
        <stp>BDH|10559941762383891091</stp>
        <tr r="E91" s="18"/>
      </tp>
      <tp t="e">
        <v>#N/A</v>
        <stp/>
        <stp>BDH|10993891463031773360</stp>
        <tr r="D11" s="14"/>
      </tp>
      <tp t="e">
        <v>#N/A</v>
        <stp/>
        <stp>BDH|15206118336793665814</stp>
        <tr r="D52" s="17"/>
        <tr r="D10" s="25"/>
      </tp>
      <tp t="e">
        <v>#N/A</v>
        <stp/>
        <stp>BDH|15530995855187832239</stp>
        <tr r="C27" s="18"/>
      </tp>
      <tp t="e">
        <v>#N/A</v>
        <stp/>
        <stp>BDH|14346954504418797971</stp>
        <tr r="S20" s="17"/>
      </tp>
      <tp t="e">
        <v>#N/A</v>
        <stp/>
        <stp>BDH|10729874953720019113</stp>
        <tr r="Y47" s="21"/>
      </tp>
      <tp t="e">
        <v>#N/A</v>
        <stp/>
        <stp>BDH|13010801225026231350</stp>
        <tr r="J27" s="21"/>
      </tp>
      <tp t="e">
        <v>#N/A</v>
        <stp/>
        <stp>BDH|12452956808401825637</stp>
        <tr r="F21" s="27"/>
      </tp>
      <tp t="e">
        <v>#N/A</v>
        <stp/>
        <stp>BDH|17463805775201136520</stp>
        <tr r="S13" s="22"/>
      </tp>
      <tp t="e">
        <v>#N/A</v>
        <stp/>
        <stp>BDH|13552439745558497751</stp>
        <tr r="C19" s="20"/>
      </tp>
      <tp t="e">
        <v>#N/A</v>
        <stp/>
        <stp>BDH|18160176035720525644</stp>
        <tr r="W22" s="7"/>
      </tp>
      <tp t="e">
        <v>#N/A</v>
        <stp/>
        <stp>BDH|10554355888474245380</stp>
        <tr r="O45" s="34"/>
      </tp>
      <tp t="e">
        <v>#N/A</v>
        <stp/>
        <stp>BDH|17302043392720251251</stp>
        <tr r="V32" s="21"/>
      </tp>
      <tp t="e">
        <v>#N/A</v>
        <stp/>
        <stp>BDH|10667535915631362914</stp>
        <tr r="I42" s="34"/>
      </tp>
      <tp t="e">
        <v>#N/A</v>
        <stp/>
        <stp>BDH|12694632285927261703</stp>
        <tr r="H17" s="13"/>
      </tp>
      <tp t="e">
        <v>#N/A</v>
        <stp/>
        <stp>BDH|15728904193989406028</stp>
        <tr r="V21" s="24"/>
      </tp>
      <tp t="e">
        <v>#N/A</v>
        <stp/>
        <stp>BDH|11681079467489769235</stp>
        <tr r="W19" s="30"/>
      </tp>
      <tp t="e">
        <v>#N/A</v>
        <stp/>
        <stp>BDH|14706013322503393959</stp>
        <tr r="M57" s="10"/>
        <tr r="M49" s="11"/>
        <tr r="M18" s="7"/>
        <tr r="O57" s="13"/>
      </tp>
      <tp t="e">
        <v>#N/A</v>
        <stp/>
        <stp>BDH|12765387123559821660</stp>
        <tr r="M25" s="10"/>
        <tr r="O31" s="13"/>
      </tp>
      <tp t="e">
        <v>#N/A</v>
        <stp/>
        <stp>BDH|18106064785054204822</stp>
        <tr r="X20" s="26"/>
      </tp>
      <tp t="e">
        <v>#N/A</v>
        <stp/>
        <stp>BDH|15392337018699954238</stp>
        <tr r="F18" s="14"/>
      </tp>
      <tp t="e">
        <v>#N/A</v>
        <stp/>
        <stp>BDH|17332492670179038186</stp>
        <tr r="V25" s="13"/>
      </tp>
      <tp t="e">
        <v>#N/A</v>
        <stp/>
        <stp>BDH|12289577478138984463</stp>
        <tr r="Y28" s="26"/>
      </tp>
      <tp t="e">
        <v>#N/A</v>
        <stp/>
        <stp>BDH|14520511713728143445</stp>
        <tr r="F95" s="18"/>
      </tp>
      <tp t="e">
        <v>#N/A</v>
        <stp/>
        <stp>BDH|17098045440536415953</stp>
        <tr r="W14" s="22"/>
      </tp>
      <tp t="e">
        <v>#N/A</v>
        <stp/>
        <stp>BDH|13257009588473751487</stp>
        <tr r="AA36" s="22"/>
      </tp>
      <tp t="e">
        <v>#N/A</v>
        <stp/>
        <stp>BDH|17148673966543113849</stp>
        <tr r="D32" s="22"/>
      </tp>
      <tp t="e">
        <v>#N/A</v>
        <stp/>
        <stp>BDH|15338708909699619796</stp>
        <tr r="T10" s="28"/>
      </tp>
      <tp t="e">
        <v>#N/A</v>
        <stp/>
        <stp>BDH|10177660785772708008</stp>
        <tr r="H38" s="17"/>
      </tp>
      <tp t="e">
        <v>#N/A</v>
        <stp/>
        <stp>BDH|15653321287521408329</stp>
        <tr r="M25" s="25"/>
        <tr r="M10" s="27"/>
      </tp>
      <tp t="e">
        <v>#N/A</v>
        <stp/>
        <stp>BDH|13482635896716435606</stp>
        <tr r="V118" s="18"/>
      </tp>
      <tp t="e">
        <v>#N/A</v>
        <stp/>
        <stp>BDH|14690963937927156538</stp>
        <tr r="N70" s="10"/>
        <tr r="N62" s="11"/>
        <tr r="N20" s="7"/>
      </tp>
      <tp t="e">
        <v>#N/A</v>
        <stp/>
        <stp>BDH|12466879976488718974</stp>
        <tr r="AA48" s="21"/>
      </tp>
      <tp t="e">
        <v>#N/A</v>
        <stp/>
        <stp>BDH|16243829998503976842</stp>
        <tr r="S68" s="10"/>
      </tp>
      <tp t="e">
        <v>#N/A</v>
        <stp/>
        <stp>BDH|13151767082413397332</stp>
        <tr r="O12" s="6"/>
      </tp>
      <tp t="e">
        <v>#N/A</v>
        <stp/>
        <stp>BDH|10457818616425312055</stp>
        <tr r="R60" s="13"/>
      </tp>
      <tp t="e">
        <v>#N/A</v>
        <stp/>
        <stp>BDH|16637253102408015046</stp>
        <tr r="P69" s="17"/>
      </tp>
      <tp t="e">
        <v>#N/A</v>
        <stp/>
        <stp>BDH|13009331327226712860</stp>
        <tr r="Q14" s="13"/>
      </tp>
      <tp t="e">
        <v>#N/A</v>
        <stp/>
        <stp>BDH|14430770405477316804</stp>
        <tr r="C11" s="9"/>
      </tp>
      <tp t="e">
        <v>#N/A</v>
        <stp/>
        <stp>BDH|13309136057113618844</stp>
        <tr r="D18" s="25"/>
      </tp>
      <tp t="e">
        <v>#N/A</v>
        <stp/>
        <stp>BDH|14644862818681567084</stp>
        <tr r="V45" s="22"/>
      </tp>
      <tp t="e">
        <v>#N/A</v>
        <stp/>
        <stp>BDH|11345546935429273250</stp>
        <tr r="L9" s="30"/>
      </tp>
      <tp t="e">
        <v>#N/A</v>
        <stp/>
        <stp>BDH|13555118024669485512</stp>
        <tr r="V26" s="7"/>
      </tp>
      <tp t="e">
        <v>#N/A</v>
        <stp/>
        <stp>BDH|13090889941587433487</stp>
        <tr r="H54" s="12"/>
      </tp>
      <tp t="e">
        <v>#N/A</v>
        <stp/>
        <stp>BDH|11389506654144374918</stp>
        <tr r="W9" s="6"/>
      </tp>
      <tp t="e">
        <v>#N/A</v>
        <stp/>
        <stp>BDH|16750962281232065953</stp>
        <tr r="V84" s="12"/>
      </tp>
      <tp t="e">
        <v>#N/A</v>
        <stp/>
        <stp>BDH|13481874768114950578</stp>
        <tr r="R83" s="17"/>
      </tp>
      <tp t="e">
        <v>#N/A</v>
        <stp/>
        <stp>BDH|13743523540096778870</stp>
        <tr r="U32" s="25"/>
        <tr r="U18" s="27"/>
      </tp>
      <tp t="e">
        <v>#N/A</v>
        <stp/>
        <stp>BDH|10224232547182260810</stp>
        <tr r="C34" s="21"/>
      </tp>
      <tp t="e">
        <v>#N/A</v>
        <stp/>
        <stp>BDH|14778065297507412671</stp>
        <tr r="Q13" s="22"/>
      </tp>
      <tp t="e">
        <v>#N/A</v>
        <stp/>
        <stp>BDH|14038688890030542788</stp>
        <tr r="J25" s="17"/>
      </tp>
      <tp t="e">
        <v>#N/A</v>
        <stp/>
        <stp>BDH|16154860929634204495</stp>
        <tr r="W74" s="10"/>
        <tr r="W66" s="11"/>
      </tp>
      <tp t="e">
        <v>#N/A</v>
        <stp/>
        <stp>BDH|12459730843419824495</stp>
        <tr r="D131" s="18"/>
      </tp>
      <tp t="e">
        <v>#N/A</v>
        <stp/>
        <stp>BDH|16195253570318140708</stp>
        <tr r="R126" s="18"/>
      </tp>
      <tp t="e">
        <v>#N/A</v>
        <stp/>
        <stp>BDH|13013056891305939382</stp>
        <tr r="Q88" s="18"/>
      </tp>
      <tp t="e">
        <v>#N/A</v>
        <stp/>
        <stp>BDH|14363708464860513973</stp>
        <tr r="M21" s="2"/>
      </tp>
      <tp t="e">
        <v>#N/A</v>
        <stp/>
        <stp>BDH|14860772661160252994</stp>
        <tr r="P64" s="13"/>
      </tp>
      <tp t="e">
        <v>#N/A</v>
        <stp/>
        <stp>BDH|16694051296374968786</stp>
        <tr r="L79" s="12"/>
      </tp>
      <tp t="e">
        <v>#N/A</v>
        <stp/>
        <stp>BDH|15261183785561289192</stp>
        <tr r="O8" s="14"/>
      </tp>
      <tp t="e">
        <v>#N/A</v>
        <stp/>
        <stp>BDH|12222918425745758052</stp>
        <tr r="K73" s="24"/>
      </tp>
      <tp t="e">
        <v>#N/A</v>
        <stp/>
        <stp>BDH|13555689902260230997</stp>
        <tr r="R27" s="24"/>
      </tp>
      <tp t="e">
        <v>#N/A</v>
        <stp/>
        <stp>BDH|10501807204873531706</stp>
        <tr r="X34" s="29"/>
      </tp>
      <tp t="e">
        <v>#N/A</v>
        <stp/>
        <stp>BDH|13094487264565014880</stp>
        <tr r="M40" s="10"/>
        <tr r="M32" s="11"/>
      </tp>
      <tp t="e">
        <v>#N/A</v>
        <stp/>
        <stp>BDH|11534251924085383830</stp>
        <tr r="K64" s="17"/>
      </tp>
      <tp t="e">
        <v>#N/A</v>
        <stp/>
        <stp>BDH|16267975950994021212</stp>
        <tr r="J29" s="24"/>
      </tp>
      <tp t="e">
        <v>#N/A</v>
        <stp/>
        <stp>BDH|15775643586455727268</stp>
        <tr r="P11" s="17"/>
      </tp>
      <tp t="e">
        <v>#N/A</v>
        <stp/>
        <stp>BDH|16607602142159401149</stp>
        <tr r="H43" s="24"/>
      </tp>
      <tp t="e">
        <v>#N/A</v>
        <stp/>
        <stp>BDH|10265311334888601456</stp>
        <tr r="X15" s="4"/>
      </tp>
      <tp t="e">
        <v>#N/A</v>
        <stp/>
        <stp>BDH|12099205466248170230</stp>
        <tr r="W27" s="14"/>
      </tp>
      <tp t="e">
        <v>#N/A</v>
        <stp/>
        <stp>BDH|10529850831960219772</stp>
        <tr r="AA38" s="24"/>
      </tp>
      <tp t="e">
        <v>#N/A</v>
        <stp/>
        <stp>BDH|17523840135404294427</stp>
        <tr r="Z62" s="12"/>
      </tp>
      <tp t="e">
        <v>#N/A</v>
        <stp/>
        <stp>BDH|13383253081753207614</stp>
        <tr r="Y43" s="12"/>
      </tp>
      <tp t="e">
        <v>#N/A</v>
        <stp/>
        <stp>BDH|13632168843459402330</stp>
        <tr r="Q30" s="22"/>
      </tp>
      <tp t="e">
        <v>#N/A</v>
        <stp/>
        <stp>BDH|11432900930676734179</stp>
        <tr r="C128" s="18"/>
      </tp>
      <tp t="e">
        <v>#N/A</v>
        <stp/>
        <stp>BDH|11770391214108985770</stp>
        <tr r="Q87" s="18"/>
      </tp>
      <tp t="e">
        <v>#N/A</v>
        <stp/>
        <stp>BDH|11014959747065238545</stp>
        <tr r="W24" s="10"/>
      </tp>
      <tp t="e">
        <v>#N/A</v>
        <stp/>
        <stp>BDH|17707562385102388435</stp>
        <tr r="V41" s="24"/>
      </tp>
      <tp t="e">
        <v>#N/A</v>
        <stp/>
        <stp>BDH|16099385905381912800</stp>
        <tr r="K16" s="23"/>
      </tp>
      <tp t="e">
        <v>#N/A</v>
        <stp/>
        <stp>BDH|11763944606135442159</stp>
        <tr r="J20" s="20"/>
      </tp>
      <tp t="e">
        <v>#N/A</v>
        <stp/>
        <stp>BDH|15517134296253683222</stp>
        <tr r="L13" s="26"/>
      </tp>
      <tp t="e">
        <v>#N/A</v>
        <stp/>
        <stp>BDH|14864922332960501291</stp>
        <tr r="E7" s="8"/>
      </tp>
      <tp t="e">
        <v>#N/A</v>
        <stp/>
        <stp>BDH|15017313394117440454</stp>
        <tr r="W58" s="13"/>
      </tp>
      <tp t="e">
        <v>#N/A</v>
        <stp/>
        <stp>BDH|14730906044756758305</stp>
        <tr r="P22" s="24"/>
      </tp>
      <tp t="e">
        <v>#N/A</v>
        <stp/>
        <stp>BDH|11551408945364592915</stp>
        <tr r="I84" s="18"/>
      </tp>
      <tp t="e">
        <v>#N/A</v>
        <stp/>
        <stp>BDH|10817592243995583830</stp>
        <tr r="C44" s="6"/>
      </tp>
      <tp t="e">
        <v>#N/A</v>
        <stp/>
        <stp>BDH|16958307228412060951</stp>
        <tr r="X9" s="22"/>
      </tp>
      <tp t="e">
        <v>#N/A</v>
        <stp/>
        <stp>BDH|11464214496666072072</stp>
        <tr r="P22" s="30"/>
        <tr r="P24" s="23"/>
      </tp>
      <tp t="e">
        <v>#N/A</v>
        <stp/>
        <stp>BDH|11705077183620258554</stp>
        <tr r="L24" s="13"/>
      </tp>
      <tp t="e">
        <v>#N/A</v>
        <stp/>
        <stp>BDH|15128601552432120862</stp>
        <tr r="F92" s="17"/>
        <tr r="F13" s="28"/>
      </tp>
      <tp t="e">
        <v>#N/A</v>
        <stp/>
        <stp>BDH|15667376669528908452</stp>
        <tr r="L44" s="13"/>
      </tp>
      <tp t="e">
        <v>#N/A</v>
        <stp/>
        <stp>BDH|12054457487573574137</stp>
        <tr r="E40" s="10"/>
        <tr r="E32" s="11"/>
      </tp>
      <tp t="e">
        <v>#N/A</v>
        <stp/>
        <stp>BDH|17406037038948300089</stp>
        <tr r="C77" s="12"/>
      </tp>
      <tp t="e">
        <v>#N/A</v>
        <stp/>
        <stp>BDH|17795243734482795841</stp>
        <tr r="U84" s="17"/>
      </tp>
      <tp t="e">
        <v>#N/A</v>
        <stp/>
        <stp>BDH|16101861102680876296</stp>
        <tr r="Z60" s="24"/>
      </tp>
      <tp t="e">
        <v>#N/A</v>
        <stp/>
        <stp>BDH|14977238228669067169</stp>
        <tr r="P7" s="30"/>
      </tp>
      <tp t="e">
        <v>#N/A</v>
        <stp/>
        <stp>BDH|12555801945211240367</stp>
        <tr r="L33" s="9"/>
      </tp>
      <tp t="e">
        <v>#N/A</v>
        <stp/>
        <stp>BDH|16742876754664140315</stp>
        <tr r="W15" s="18"/>
      </tp>
      <tp t="e">
        <v>#N/A</v>
        <stp/>
        <stp>BDH|11708827154561720124</stp>
        <tr r="F38" s="12"/>
      </tp>
      <tp t="e">
        <v>#N/A</v>
        <stp/>
        <stp>BDH|17736631594305473102</stp>
        <tr r="T23" s="26"/>
      </tp>
      <tp t="e">
        <v>#N/A</v>
        <stp/>
        <stp>BDH|14529132693373616349</stp>
        <tr r="D27" s="10"/>
        <tr r="F33" s="13"/>
      </tp>
      <tp t="e">
        <v>#N/A</v>
        <stp/>
        <stp>BDH|17551132198384966709</stp>
        <tr r="E131" s="18"/>
      </tp>
      <tp t="e">
        <v>#N/A</v>
        <stp/>
        <stp>BDH|18209175462812955192</stp>
        <tr r="O21" s="14"/>
      </tp>
      <tp t="e">
        <v>#N/A</v>
        <stp/>
        <stp>BDH|12735681111958091198</stp>
        <tr r="K27" s="34"/>
      </tp>
      <tp t="e">
        <v>#N/A</v>
        <stp/>
        <stp>BDH|15561029578907064989</stp>
        <tr r="M136" s="18"/>
      </tp>
      <tp t="e">
        <v>#N/A</v>
        <stp/>
        <stp>BDH|10104748130709646142</stp>
        <tr r="N23" s="26"/>
      </tp>
      <tp t="e">
        <v>#N/A</v>
        <stp/>
        <stp>BDH|15748318920460963886</stp>
        <tr r="R111" s="18"/>
      </tp>
      <tp t="e">
        <v>#N/A</v>
        <stp/>
        <stp>BDH|16982902176321832502</stp>
        <tr r="U33" s="22"/>
      </tp>
      <tp t="e">
        <v>#N/A</v>
        <stp/>
        <stp>BDH|15182377780681573341</stp>
        <tr r="E28" s="21"/>
      </tp>
      <tp t="e">
        <v>#N/A</v>
        <stp/>
        <stp>BDH|16008257307719693136</stp>
        <tr r="F66" s="24"/>
      </tp>
      <tp t="e">
        <v>#N/A</v>
        <stp/>
        <stp>BDH|15260122941304315858</stp>
        <tr r="S110" s="18"/>
      </tp>
      <tp t="e">
        <v>#N/A</v>
        <stp/>
        <stp>BDH|18220720407511214228</stp>
        <tr r="W91" s="18"/>
      </tp>
      <tp t="e">
        <v>#N/A</v>
        <stp/>
        <stp>BDH|11774830472766965488</stp>
        <tr r="M14" s="28"/>
      </tp>
      <tp t="e">
        <v>#N/A</v>
        <stp/>
        <stp>BDH|12083172384551527613</stp>
        <tr r="J21" s="11"/>
      </tp>
      <tp t="e">
        <v>#N/A</v>
        <stp/>
        <stp>BDH|12138127606547356819</stp>
        <tr r="E17" s="29"/>
        <tr r="E40" s="29"/>
      </tp>
      <tp t="e">
        <v>#N/A</v>
        <stp/>
        <stp>BDH|14394258028470001898</stp>
        <tr r="Q74" s="24"/>
      </tp>
      <tp t="e">
        <v>#N/A</v>
        <stp/>
        <stp>BDH|10429953318806677282</stp>
        <tr r="G46" s="24"/>
      </tp>
      <tp t="e">
        <v>#N/A</v>
        <stp/>
        <stp>BDH|15446626564439188042</stp>
        <tr r="O88" s="17"/>
      </tp>
      <tp t="e">
        <v>#N/A</v>
        <stp/>
        <stp>BDH|13139294310188923468</stp>
        <tr r="V28" s="21"/>
      </tp>
      <tp t="e">
        <v>#N/A</v>
        <stp/>
        <stp>BDH|15646561447759425143</stp>
        <tr r="F26" s="18"/>
      </tp>
      <tp t="e">
        <v>#N/A</v>
        <stp/>
        <stp>BDH|18300373212715164300</stp>
        <tr r="G15" s="13"/>
      </tp>
      <tp t="e">
        <v>#N/A</v>
        <stp/>
        <stp>BDH|10373165014174004861</stp>
        <tr r="X50" s="21"/>
      </tp>
      <tp t="e">
        <v>#N/A</v>
        <stp/>
        <stp>BDH|14854781843463042845</stp>
        <tr r="O40" s="18"/>
      </tp>
      <tp t="e">
        <v>#N/A</v>
        <stp/>
        <stp>BDH|12455645847228054406</stp>
        <tr r="O38" s="26"/>
      </tp>
      <tp t="e">
        <v>#N/A</v>
        <stp/>
        <stp>BDH|10060840750013077230</stp>
        <tr r="Z92" s="18"/>
      </tp>
      <tp t="e">
        <v>#N/A</v>
        <stp/>
        <stp>BDH|10438012990326663345</stp>
        <tr r="H83" s="18"/>
      </tp>
      <tp t="e">
        <v>#N/A</v>
        <stp/>
        <stp>BDH|18360796513050838264</stp>
        <tr r="G121" s="18"/>
      </tp>
      <tp t="e">
        <v>#N/A</v>
        <stp/>
        <stp>BDH|15456288046107526889</stp>
        <tr r="F87" s="17"/>
      </tp>
      <tp t="e">
        <v>#N/A</v>
        <stp/>
        <stp>BDH|16866853670296399399</stp>
        <tr r="F39" s="12"/>
      </tp>
      <tp t="e">
        <v>#N/A</v>
        <stp/>
        <stp>BDH|11496994552076890702</stp>
        <tr r="Y14" s="29"/>
        <tr r="Y23" s="29"/>
        <tr r="Y37" s="29"/>
      </tp>
      <tp t="e">
        <v>#N/A</v>
        <stp/>
        <stp>BDH|13217381725109010786</stp>
        <tr r="N8" s="6"/>
      </tp>
      <tp t="e">
        <v>#N/A</v>
        <stp/>
        <stp>BDH|14546055995591706052</stp>
        <tr r="AA134" s="18"/>
      </tp>
      <tp t="e">
        <v>#N/A</v>
        <stp/>
        <stp>BDH|16328776486905767031</stp>
        <tr r="E18" s="2"/>
        <tr r="E53" s="4"/>
        <tr r="E46" s="10"/>
        <tr r="E38" s="11"/>
        <tr r="G51" s="13"/>
      </tp>
      <tp t="e">
        <v>#N/A</v>
        <stp/>
        <stp>BDH|11168004642738687137</stp>
        <tr r="P41" s="18"/>
      </tp>
      <tp t="e">
        <v>#N/A</v>
        <stp/>
        <stp>BDH|14023354313953103915</stp>
        <tr r="N70" s="24"/>
      </tp>
      <tp t="e">
        <v>#N/A</v>
        <stp/>
        <stp>BDH|17719168990393113062</stp>
        <tr r="V33" s="21"/>
      </tp>
      <tp t="e">
        <v>#N/A</v>
        <stp/>
        <stp>BDH|16529815919905827635</stp>
        <tr r="V57" s="12"/>
      </tp>
      <tp t="e">
        <v>#N/A</v>
        <stp/>
        <stp>BDH|10413139246740041973</stp>
        <tr r="C13" s="11"/>
      </tp>
      <tp t="e">
        <v>#N/A</v>
        <stp/>
        <stp>BDH|11139408996314576447</stp>
        <tr r="E36" s="10"/>
        <tr r="E48" s="10"/>
        <tr r="E28" s="11"/>
        <tr r="E40" s="11"/>
      </tp>
      <tp t="e">
        <v>#N/A</v>
        <stp/>
        <stp>BDH|11439979260181551306</stp>
        <tr r="C27" s="21"/>
      </tp>
      <tp t="e">
        <v>#N/A</v>
        <stp/>
        <stp>BDH|17808948441370334687</stp>
        <tr r="D42" s="34"/>
      </tp>
      <tp t="e">
        <v>#N/A</v>
        <stp/>
        <stp>BDH|14242308564318902590</stp>
        <tr r="Z39" s="22"/>
      </tp>
      <tp t="e">
        <v>#N/A</v>
        <stp/>
        <stp>BDH|13495314853110761977</stp>
        <tr r="Z62" s="18"/>
      </tp>
      <tp t="e">
        <v>#N/A</v>
        <stp/>
        <stp>BDH|10097161535456393868</stp>
        <tr r="R21" s="22"/>
      </tp>
      <tp t="e">
        <v>#N/A</v>
        <stp/>
        <stp>BDH|17773902960114221035</stp>
        <tr r="I89" s="17"/>
        <tr r="I34" s="25"/>
      </tp>
      <tp t="e">
        <v>#N/A</v>
        <stp/>
        <stp>BDH|13971840706542525583</stp>
        <tr r="S28" s="22"/>
      </tp>
      <tp t="e">
        <v>#N/A</v>
        <stp/>
        <stp>BDH|17059363230588024302</stp>
        <tr r="C41" s="34"/>
      </tp>
      <tp t="e">
        <v>#N/A</v>
        <stp/>
        <stp>BDH|16738633211294265917</stp>
        <tr r="N17" s="4"/>
        <tr r="P10" s="3"/>
        <tr r="N56" s="10"/>
        <tr r="N48" s="11"/>
        <tr r="N17" s="7"/>
        <tr r="P54" s="13"/>
      </tp>
      <tp t="e">
        <v>#N/A</v>
        <stp/>
        <stp>BDH|10812835302424926060</stp>
        <tr r="S19" s="9"/>
      </tp>
      <tp t="e">
        <v>#N/A</v>
        <stp/>
        <stp>BDH|15800199032399718229</stp>
        <tr r="W13" s="21"/>
      </tp>
      <tp t="e">
        <v>#N/A</v>
        <stp/>
        <stp>BDH|16140751193471064515</stp>
        <tr r="G18" s="10"/>
        <tr r="I16" s="13"/>
        <tr r="I27" s="13"/>
      </tp>
      <tp t="e">
        <v>#N/A</v>
        <stp/>
        <stp>BDH|14960814678307642004</stp>
        <tr r="T28" s="6"/>
      </tp>
      <tp t="e">
        <v>#N/A</v>
        <stp/>
        <stp>BDH|17498923457217680010</stp>
        <tr r="T60" s="24"/>
      </tp>
      <tp t="e">
        <v>#N/A</v>
        <stp/>
        <stp>BDH|14636884808318525856</stp>
        <tr r="S83" s="12"/>
      </tp>
      <tp t="e">
        <v>#N/A</v>
        <stp/>
        <stp>BDH|17364611097450534460</stp>
        <tr r="Z18" s="25"/>
      </tp>
      <tp t="e">
        <v>#N/A</v>
        <stp/>
        <stp>BDH|13602749055258730568</stp>
        <tr r="X12" s="24"/>
      </tp>
      <tp t="e">
        <v>#N/A</v>
        <stp/>
        <stp>BDH|16675759483936701310</stp>
        <tr r="F18" s="23"/>
      </tp>
      <tp t="e">
        <v>#N/A</v>
        <stp/>
        <stp>BDH|17630350294581697079</stp>
        <tr r="W12" s="22"/>
      </tp>
      <tp t="e">
        <v>#N/A</v>
        <stp/>
        <stp>BDH|10824495396374874595</stp>
        <tr r="W37" s="6"/>
      </tp>
      <tp t="e">
        <v>#N/A</v>
        <stp/>
        <stp>BDH|15741829490238111028</stp>
        <tr r="Z68" s="12"/>
      </tp>
      <tp t="e">
        <v>#N/A</v>
        <stp/>
        <stp>BDH|14197875140491547559</stp>
        <tr r="R78" s="18"/>
      </tp>
      <tp t="e">
        <v>#N/A</v>
        <stp/>
        <stp>BDH|13735353082291768511</stp>
        <tr r="U27" s="22"/>
      </tp>
      <tp t="e">
        <v>#N/A</v>
        <stp/>
        <stp>BDH|17542953532747352671</stp>
        <tr r="H21" s="17"/>
        <tr r="H15" s="3"/>
      </tp>
      <tp t="e">
        <v>#N/A</v>
        <stp/>
        <stp>BDH|15876964600850212051</stp>
        <tr r="K25" s="7"/>
      </tp>
      <tp t="e">
        <v>#N/A</v>
        <stp/>
        <stp>BDH|11918638483577466440</stp>
        <tr r="N40" s="18"/>
      </tp>
      <tp t="e">
        <v>#N/A</v>
        <stp/>
        <stp>BDH|13187950955593019086</stp>
        <tr r="U11" s="30"/>
      </tp>
      <tp t="e">
        <v>#N/A</v>
        <stp/>
        <stp>BDH|13849204640509466059</stp>
        <tr r="X18" s="26"/>
      </tp>
      <tp t="e">
        <v>#N/A</v>
        <stp/>
        <stp>BDH|10888273878651936874</stp>
        <tr r="V62" s="21"/>
      </tp>
      <tp t="e">
        <v>#N/A</v>
        <stp/>
        <stp>BDH|14993987576423976577</stp>
        <tr r="X59" s="17"/>
      </tp>
      <tp t="e">
        <v>#N/A</v>
        <stp/>
        <stp>BDH|10181331445592676982</stp>
        <tr r="N32" s="18"/>
      </tp>
      <tp t="e">
        <v>#N/A</v>
        <stp/>
        <stp>BDH|16952106406009684203</stp>
        <tr r="L50" s="13"/>
      </tp>
      <tp t="e">
        <v>#N/A</v>
        <stp/>
        <stp>BDH|11981252312787657917</stp>
        <tr r="K50" s="12"/>
      </tp>
      <tp t="e">
        <v>#N/A</v>
        <stp/>
        <stp>BDH|12407796127869139221</stp>
        <tr r="X25" s="22"/>
      </tp>
      <tp t="e">
        <v>#N/A</v>
        <stp/>
        <stp>BDH|15905468997522794668</stp>
        <tr r="R18" s="14"/>
      </tp>
      <tp t="e">
        <v>#N/A</v>
        <stp/>
        <stp>BDH|15041912838397786471</stp>
        <tr r="W22" s="17"/>
      </tp>
      <tp t="e">
        <v>#N/A</v>
        <stp/>
        <stp>BDH|17155385053474303908</stp>
        <tr r="U13" s="13"/>
      </tp>
      <tp t="e">
        <v>#N/A</v>
        <stp/>
        <stp>BDH|15459907685099150194</stp>
        <tr r="F55" s="13"/>
      </tp>
      <tp t="e">
        <v>#N/A</v>
        <stp/>
        <stp>BDH|18010088902631548568</stp>
        <tr r="H18" s="10"/>
        <tr r="J16" s="13"/>
        <tr r="J27" s="13"/>
      </tp>
      <tp t="e">
        <v>#N/A</v>
        <stp/>
        <stp>BDH|15474993051695551005</stp>
        <tr r="O46" s="21"/>
      </tp>
      <tp t="e">
        <v>#N/A</v>
        <stp/>
        <stp>BDH|15505240499420447252</stp>
        <tr r="P9" s="12"/>
      </tp>
      <tp t="e">
        <v>#N/A</v>
        <stp/>
        <stp>BDH|17538024119782144865</stp>
        <tr r="G43" s="4"/>
      </tp>
      <tp t="e">
        <v>#N/A</v>
        <stp/>
        <stp>BDH|17330078004732045999</stp>
        <tr r="R29" s="10"/>
        <tr r="T35" s="13"/>
      </tp>
      <tp t="e">
        <v>#N/A</v>
        <stp/>
        <stp>BDH|13425560831598375191</stp>
        <tr r="U21" s="5"/>
      </tp>
      <tp t="e">
        <v>#N/A</v>
        <stp/>
        <stp>BDH|11976425988489873821</stp>
        <tr r="J35" s="34"/>
      </tp>
      <tp t="e">
        <v>#N/A</v>
        <stp/>
        <stp>BDH|18214772108361715231</stp>
        <tr r="R74" s="24"/>
      </tp>
      <tp t="e">
        <v>#N/A</v>
        <stp/>
        <stp>BDH|12960945757805399705</stp>
        <tr r="D9" s="23"/>
      </tp>
      <tp t="e">
        <v>#N/A</v>
        <stp/>
        <stp>BDH|17169780813585222816</stp>
        <tr r="W14" s="21"/>
      </tp>
      <tp t="e">
        <v>#N/A</v>
        <stp/>
        <stp>BDH|11406198580902370671</stp>
        <tr r="L70" s="24"/>
      </tp>
      <tp t="e">
        <v>#N/A</v>
        <stp/>
        <stp>BDH|13331782420758263207</stp>
        <tr r="C55" s="13"/>
      </tp>
      <tp t="e">
        <v>#N/A</v>
        <stp/>
        <stp>BDH|10600665198076674575</stp>
        <tr r="P39" s="24"/>
      </tp>
      <tp t="e">
        <v>#N/A</v>
        <stp/>
        <stp>BDH|17000534891581312687</stp>
        <tr r="P117" s="18"/>
      </tp>
      <tp t="e">
        <v>#N/A</v>
        <stp/>
        <stp>BDH|16975953880709445211</stp>
        <tr r="E9" s="34"/>
      </tp>
      <tp t="e">
        <v>#N/A</v>
        <stp/>
        <stp>BDH|12257275955809185086</stp>
        <tr r="C48" s="21"/>
      </tp>
      <tp t="e">
        <v>#N/A</v>
        <stp/>
        <stp>BDH|10460624257556970916</stp>
        <tr r="H36" s="4"/>
      </tp>
      <tp t="e">
        <v>#N/A</v>
        <stp/>
        <stp>BDH|17084944735739046889</stp>
        <tr r="F65" s="12"/>
      </tp>
      <tp t="e">
        <v>#N/A</v>
        <stp/>
        <stp>BDH|17356324995644407592</stp>
        <tr r="S18" s="29"/>
        <tr r="S41" s="29"/>
      </tp>
      <tp t="e">
        <v>#N/A</v>
        <stp/>
        <stp>BDH|17720294050905131969</stp>
        <tr r="P16" s="23"/>
      </tp>
      <tp t="e">
        <v>#N/A</v>
        <stp/>
        <stp>BDH|17891120696140658339</stp>
        <tr r="C13" s="8"/>
      </tp>
      <tp t="e">
        <v>#N/A</v>
        <stp/>
        <stp>BDH|12799715989729666816</stp>
        <tr r="AA16" s="23"/>
      </tp>
      <tp t="e">
        <v>#N/A</v>
        <stp/>
        <stp>BDH|16065315683330286183</stp>
        <tr r="Y23" s="24"/>
      </tp>
      <tp t="e">
        <v>#N/A</v>
        <stp/>
        <stp>BDH|15706204186482017198</stp>
        <tr r="C54" s="24"/>
      </tp>
      <tp t="e">
        <v>#N/A</v>
        <stp/>
        <stp>BDH|10719682996715357628</stp>
        <tr r="Y10" s="17"/>
      </tp>
      <tp t="e">
        <v>#N/A</v>
        <stp/>
        <stp>BDH|10763314054833925930</stp>
        <tr r="V17" s="21"/>
      </tp>
      <tp t="e">
        <v>#N/A</v>
        <stp/>
        <stp>BDH|13961847261433046249</stp>
        <tr r="C42" s="24"/>
      </tp>
      <tp t="e">
        <v>#N/A</v>
        <stp/>
        <stp>BDH|15154382798195097691</stp>
        <tr r="M70" s="12"/>
      </tp>
      <tp t="e">
        <v>#N/A</v>
        <stp/>
        <stp>BDH|10058225900886238885</stp>
        <tr r="I45" s="17"/>
      </tp>
      <tp t="e">
        <v>#N/A</v>
        <stp/>
        <stp>BDH|14091988845691626438</stp>
        <tr r="X51" s="24"/>
      </tp>
      <tp t="e">
        <v>#N/A</v>
        <stp/>
        <stp>BDH|12622686695761262018</stp>
        <tr r="H39" s="10"/>
        <tr r="H31" s="11"/>
      </tp>
      <tp t="e">
        <v>#N/A</v>
        <stp/>
        <stp>BDH|16325996731374588463</stp>
        <tr r="X35" s="25"/>
      </tp>
      <tp t="e">
        <v>#N/A</v>
        <stp/>
        <stp>BDH|10119203506149684797</stp>
        <tr r="Q37" s="21"/>
        <tr r="Q24" s="3"/>
      </tp>
      <tp t="e">
        <v>#N/A</v>
        <stp/>
        <stp>BDH|14321530230839067780</stp>
        <tr r="L34" s="5"/>
        <tr r="M32" s="29"/>
      </tp>
      <tp t="e">
        <v>#N/A</v>
        <stp/>
        <stp>BDH|16385315353638964401</stp>
        <tr r="P34" s="18"/>
      </tp>
      <tp t="e">
        <v>#N/A</v>
        <stp/>
        <stp>BDH|10368096925287549924</stp>
        <tr r="Z35" s="12"/>
      </tp>
      <tp t="e">
        <v>#N/A</v>
        <stp/>
        <stp>BDH|10974119577823560922</stp>
        <tr r="V9" s="6"/>
      </tp>
      <tp t="e">
        <v>#N/A</v>
        <stp/>
        <stp>BDH|13889119255848788330</stp>
        <tr r="E123" s="18"/>
      </tp>
      <tp t="e">
        <v>#N/A</v>
        <stp/>
        <stp>BDH|14974971220005307657</stp>
        <tr r="K20" s="23"/>
      </tp>
      <tp t="e">
        <v>#N/A</v>
        <stp/>
        <stp>BDH|15462053018028569044</stp>
        <tr r="R33" s="21"/>
      </tp>
      <tp t="e">
        <v>#N/A</v>
        <stp/>
        <stp>BDH|10760967173523313192</stp>
        <tr r="S70" s="10"/>
        <tr r="S62" s="11"/>
        <tr r="S20" s="7"/>
      </tp>
      <tp t="e">
        <v>#N/A</v>
        <stp/>
        <stp>BDH|14022803107305703585</stp>
        <tr r="Q35" s="18"/>
      </tp>
      <tp t="e">
        <v>#N/A</v>
        <stp/>
        <stp>BDH|13193426542829197689</stp>
        <tr r="Y55" s="24"/>
      </tp>
      <tp t="e">
        <v>#N/A</v>
        <stp/>
        <stp>BDH|17963564685094367212</stp>
        <tr r="S6" s="15"/>
        <tr r="S12" s="2"/>
        <tr r="S11" s="4"/>
        <tr r="S6" s="10"/>
      </tp>
      <tp t="e">
        <v>#N/A</v>
        <stp/>
        <stp>BDH|13036533570385260890</stp>
        <tr r="E10" s="18"/>
      </tp>
      <tp t="e">
        <v>#N/A</v>
        <stp/>
        <stp>BDH|11778793990115332653</stp>
        <tr r="K25" s="34"/>
      </tp>
      <tp t="e">
        <v>#N/A</v>
        <stp/>
        <stp>BDH|13902788025303593996</stp>
        <tr r="Z27" s="21"/>
      </tp>
      <tp t="e">
        <v>#N/A</v>
        <stp/>
        <stp>BDH|14669989047525036022</stp>
        <tr r="G16" s="14"/>
      </tp>
      <tp t="e">
        <v>#N/A</v>
        <stp/>
        <stp>BDH|11934272068979510082</stp>
        <tr r="D28" s="10"/>
        <tr r="F34" s="13"/>
      </tp>
      <tp t="e">
        <v>#N/A</v>
        <stp/>
        <stp>BDH|18275057628894747236</stp>
        <tr r="AA28" s="25"/>
        <tr r="AA14" s="27"/>
      </tp>
      <tp t="e">
        <v>#N/A</v>
        <stp/>
        <stp>BDH|17000506799525389211</stp>
        <tr r="K9" s="29"/>
      </tp>
      <tp t="e">
        <v>#N/A</v>
        <stp/>
        <stp>BDH|14102898720470555263</stp>
        <tr r="P65" s="24"/>
      </tp>
      <tp t="e">
        <v>#N/A</v>
        <stp/>
        <stp>BDH|13257369596000834515</stp>
        <tr r="W31" s="18"/>
      </tp>
      <tp t="e">
        <v>#N/A</v>
        <stp/>
        <stp>BDH|13634677359758490473</stp>
        <tr r="X34" s="26"/>
      </tp>
      <tp t="e">
        <v>#N/A</v>
        <stp/>
        <stp>BDH|16905851800140490231</stp>
        <tr r="T39" s="25"/>
        <tr r="T7" s="3"/>
        <tr r="R18" s="11"/>
        <tr r="T22" s="13"/>
        <tr r="T7" s="13"/>
      </tp>
      <tp t="e">
        <v>#N/A</v>
        <stp/>
        <stp>BDH|14817529031107840985</stp>
        <tr r="X11" s="3"/>
        <tr r="V50" s="10"/>
        <tr r="V42" s="11"/>
        <tr r="V8" s="7"/>
      </tp>
      <tp t="e">
        <v>#N/A</v>
        <stp/>
        <stp>BDH|18081090274261214243</stp>
        <tr r="N29" s="4"/>
      </tp>
      <tp t="e">
        <v>#N/A</v>
        <stp/>
        <stp>BDH|14978607645868528222</stp>
        <tr r="M24" s="17"/>
      </tp>
      <tp t="e">
        <v>#N/A</v>
        <stp/>
        <stp>BDH|10983861700533622723</stp>
        <tr r="U11" s="24"/>
      </tp>
      <tp t="e">
        <v>#N/A</v>
        <stp/>
        <stp>BDH|18217569469422466527</stp>
        <tr r="Y25" s="25"/>
        <tr r="Y10" s="27"/>
      </tp>
      <tp t="e">
        <v>#N/A</v>
        <stp/>
        <stp>BDH|16947794378419507369</stp>
        <tr r="K69" s="24"/>
      </tp>
      <tp t="e">
        <v>#N/A</v>
        <stp/>
        <stp>BDH|14842919734105263746</stp>
        <tr r="J46" s="24"/>
      </tp>
      <tp t="e">
        <v>#N/A</v>
        <stp/>
        <stp>BDH|14621915609403098259</stp>
        <tr r="H84" s="17"/>
      </tp>
      <tp t="e">
        <v>#N/A</v>
        <stp/>
        <stp>BDH|10972804385005721902</stp>
        <tr r="H28" s="22"/>
      </tp>
      <tp t="e">
        <v>#N/A</v>
        <stp/>
        <stp>BDH|15372392811402201923</stp>
        <tr r="R41" s="18"/>
      </tp>
      <tp t="e">
        <v>#N/A</v>
        <stp/>
        <stp>BDH|10810081759390219900</stp>
        <tr r="L59" s="11"/>
        <tr r="N15" s="23"/>
      </tp>
      <tp t="e">
        <v>#N/A</v>
        <stp/>
        <stp>BDH|14481822229277632529</stp>
        <tr r="S16" s="10"/>
      </tp>
      <tp t="e">
        <v>#N/A</v>
        <stp/>
        <stp>BDH|15821817454613636702</stp>
        <tr r="H14" s="13"/>
      </tp>
      <tp t="e">
        <v>#N/A</v>
        <stp/>
        <stp>BDH|15593058098141180129</stp>
        <tr r="K66" s="17"/>
        <tr r="K18" s="3"/>
      </tp>
      <tp t="e">
        <v>#N/A</v>
        <stp/>
        <stp>BDH|17846086441799845621</stp>
        <tr r="Q64" s="13"/>
      </tp>
      <tp t="e">
        <v>#N/A</v>
        <stp/>
        <stp>BDH|13330265938137563931</stp>
        <tr r="F34" s="34"/>
      </tp>
      <tp t="e">
        <v>#N/A</v>
        <stp/>
        <stp>BDH|13390097994790004659</stp>
        <tr r="AA16" s="17"/>
        <tr r="AA19" s="28"/>
      </tp>
      <tp t="e">
        <v>#N/A</v>
        <stp/>
        <stp>BDH|13391695084948475912</stp>
        <tr r="C81" s="18"/>
      </tp>
      <tp t="e">
        <v>#N/A</v>
        <stp/>
        <stp>BDH|11296954061830977242</stp>
        <tr r="G62" s="21"/>
      </tp>
      <tp t="e">
        <v>#N/A</v>
        <stp/>
        <stp>BDH|11601374947842893852</stp>
        <tr r="E30" s="17"/>
      </tp>
      <tp t="e">
        <v>#N/A</v>
        <stp/>
        <stp>BDH|13826867933134342057</stp>
        <tr r="M9" s="26"/>
      </tp>
      <tp t="e">
        <v>#N/A</v>
        <stp/>
        <stp>BDH|10219942066630853337</stp>
        <tr r="R75" s="18"/>
        <tr r="R64" s="12"/>
      </tp>
      <tp t="e">
        <v>#N/A</v>
        <stp/>
        <stp>BDH|12021393945620089978</stp>
        <tr r="G42" s="22"/>
      </tp>
      <tp t="e">
        <v>#N/A</v>
        <stp/>
        <stp>BDH|18422455951500335587</stp>
        <tr r="E56" s="13"/>
      </tp>
      <tp t="e">
        <v>#N/A</v>
        <stp/>
        <stp>BDH|10406906323411466682</stp>
        <tr r="M80" s="18"/>
      </tp>
      <tp t="e">
        <v>#N/A</v>
        <stp/>
        <stp>BDH|12354027391915289296</stp>
        <tr r="C85" s="17"/>
      </tp>
      <tp t="e">
        <v>#N/A</v>
        <stp/>
        <stp>BDH|12594055190242235599</stp>
        <tr r="D132" s="18"/>
      </tp>
      <tp t="e">
        <v>#N/A</v>
        <stp/>
        <stp>BDH|13082797296562387376</stp>
        <tr r="W14" s="10"/>
      </tp>
      <tp t="e">
        <v>#N/A</v>
        <stp/>
        <stp>BDH|18336852698755481005</stp>
        <tr r="W40" s="10"/>
        <tr r="W32" s="11"/>
      </tp>
      <tp t="e">
        <v>#N/A</v>
        <stp/>
        <stp>BDH|15636744940562108899</stp>
        <tr r="G30" s="17"/>
      </tp>
      <tp t="e">
        <v>#N/A</v>
        <stp/>
        <stp>BDH|10686203382104717290</stp>
        <tr r="M29" s="34"/>
      </tp>
      <tp t="e">
        <v>#N/A</v>
        <stp/>
        <stp>BDH|16489291366068470654</stp>
        <tr r="O34" s="5"/>
        <tr r="P32" s="29"/>
      </tp>
      <tp t="e">
        <v>#N/A</v>
        <stp/>
        <stp>BDH|10779564449124114939</stp>
        <tr r="G50" s="18"/>
      </tp>
      <tp t="e">
        <v>#N/A</v>
        <stp/>
        <stp>BDH|11797863978812185020</stp>
        <tr r="U43" s="17"/>
      </tp>
      <tp t="e">
        <v>#N/A</v>
        <stp/>
        <stp>BDH|18147930128327299827</stp>
        <tr r="H47" s="21"/>
      </tp>
      <tp t="e">
        <v>#N/A</v>
        <stp/>
        <stp>BDH|10508549404689934065</stp>
        <tr r="K86" s="17"/>
      </tp>
      <tp t="e">
        <v>#N/A</v>
        <stp/>
        <stp>BDH|10811669820081773936</stp>
        <tr r="U17" s="20"/>
      </tp>
      <tp t="e">
        <v>#N/A</v>
        <stp/>
        <stp>BDH|15042126689332389221</stp>
        <tr r="C53" s="12"/>
      </tp>
      <tp t="e">
        <v>#N/A</v>
        <stp/>
        <stp>BDH|18379049449542567212</stp>
        <tr r="R9" s="27"/>
      </tp>
      <tp t="e">
        <v>#N/A</v>
        <stp/>
        <stp>BDH|15471434801844849940</stp>
        <tr r="V15" s="11"/>
      </tp>
      <tp t="e">
        <v>#N/A</v>
        <stp/>
        <stp>BDH|18151823869208588252</stp>
        <tr r="J14" s="13"/>
      </tp>
      <tp t="e">
        <v>#N/A</v>
        <stp/>
        <stp>BDH|13591857002534131396</stp>
        <tr r="X35" s="26"/>
      </tp>
      <tp t="e">
        <v>#N/A</v>
        <stp/>
        <stp>BDH|10506580947248295526</stp>
        <tr r="O82" s="17"/>
      </tp>
      <tp t="e">
        <v>#N/A</v>
        <stp/>
        <stp>BDH|12434792996406018619</stp>
        <tr r="L30" s="17"/>
      </tp>
      <tp t="e">
        <v>#N/A</v>
        <stp/>
        <stp>BDH|16492891260226067271</stp>
        <tr r="N18" s="13"/>
      </tp>
      <tp t="e">
        <v>#N/A</v>
        <stp/>
        <stp>BDH|17385986733203655244</stp>
        <tr r="Z50" s="24"/>
      </tp>
      <tp t="e">
        <v>#N/A</v>
        <stp/>
        <stp>BDH|18073573282450996965</stp>
        <tr r="L42" s="21"/>
      </tp>
      <tp t="e">
        <v>#N/A</v>
        <stp/>
        <stp>BDH|12512875459654335722</stp>
        <tr r="G58" s="18"/>
      </tp>
      <tp t="e">
        <v>#N/A</v>
        <stp/>
        <stp>BDH|13248866006076889109</stp>
        <tr r="H27" s="7"/>
      </tp>
      <tp t="e">
        <v>#N/A</v>
        <stp/>
        <stp>BDH|18396641428949110943</stp>
        <tr r="O77" s="24"/>
      </tp>
      <tp t="e">
        <v>#N/A</v>
        <stp/>
        <stp>BDH|10209110445431873841</stp>
        <tr r="L88" s="17"/>
      </tp>
      <tp t="e">
        <v>#N/A</v>
        <stp/>
        <stp>BDH|17097027218322762879</stp>
        <tr r="K41" s="10"/>
        <tr r="K33" s="11"/>
      </tp>
      <tp t="e">
        <v>#N/A</v>
        <stp/>
        <stp>BDH|10521566115951976958</stp>
        <tr r="K40" s="34"/>
      </tp>
      <tp t="e">
        <v>#N/A</v>
        <stp/>
        <stp>BDH|10584786583976455502</stp>
        <tr r="V15" s="5"/>
      </tp>
      <tp t="e">
        <v>#N/A</v>
        <stp/>
        <stp>BDH|17875997738542606352</stp>
        <tr r="I23" s="5"/>
        <tr r="I23" s="9"/>
      </tp>
      <tp t="e">
        <v>#N/A</v>
        <stp/>
        <stp>BDH|12368906396237961961</stp>
        <tr r="AA43" s="12"/>
      </tp>
      <tp t="e">
        <v>#N/A</v>
        <stp/>
        <stp>BDH|13949252296780448440</stp>
        <tr r="D60" s="12"/>
      </tp>
      <tp t="e">
        <v>#N/A</v>
        <stp/>
        <stp>BDH|17942871590028770236</stp>
        <tr r="U9" s="21"/>
      </tp>
      <tp t="e">
        <v>#N/A</v>
        <stp/>
        <stp>BDH|17200631616569843554</stp>
        <tr r="Y25" s="21"/>
      </tp>
      <tp t="e">
        <v>#N/A</v>
        <stp/>
        <stp>BDH|12310929921203836652</stp>
        <tr r="W15" s="4"/>
      </tp>
      <tp t="e">
        <v>#N/A</v>
        <stp/>
        <stp>BDH|12937052722878463474</stp>
        <tr r="R49" s="12"/>
      </tp>
      <tp t="e">
        <v>#N/A</v>
        <stp/>
        <stp>BDH|15972417981135789032</stp>
        <tr r="Y38" s="22"/>
      </tp>
      <tp t="e">
        <v>#N/A</v>
        <stp/>
        <stp>BDH|11979957926870238651</stp>
        <tr r="V11" s="28"/>
      </tp>
      <tp t="e">
        <v>#N/A</v>
        <stp/>
        <stp>BDH|16929708093612647612</stp>
        <tr r="P21" s="9"/>
      </tp>
      <tp t="e">
        <v>#N/A</v>
        <stp/>
        <stp>BDH|17432065561799787493</stp>
        <tr r="J86" s="24"/>
      </tp>
      <tp t="e">
        <v>#N/A</v>
        <stp/>
        <stp>BDH|15404084516999065172</stp>
        <tr r="F99" s="18"/>
        <tr r="F8" s="20"/>
      </tp>
      <tp t="e">
        <v>#N/A</v>
        <stp/>
        <stp>BDH|13572610565776400989</stp>
        <tr r="X46" s="12"/>
      </tp>
      <tp t="e">
        <v>#N/A</v>
        <stp/>
        <stp>BDH|10629927771207876508</stp>
        <tr r="C16" s="17"/>
        <tr r="C19" s="28"/>
      </tp>
      <tp t="e">
        <v>#N/A</v>
        <stp/>
        <stp>BDH|13024563168985132924</stp>
        <tr r="H33" s="22"/>
      </tp>
      <tp t="e">
        <v>#N/A</v>
        <stp/>
        <stp>BDH|16360118836029045194</stp>
        <tr r="D38" s="22"/>
      </tp>
      <tp t="e">
        <v>#N/A</v>
        <stp/>
        <stp>BDH|11162885950750130059</stp>
        <tr r="T39" s="4"/>
        <tr r="T66" s="10"/>
      </tp>
      <tp t="e">
        <v>#N/A</v>
        <stp/>
        <stp>BDH|13908750265809030745</stp>
        <tr r="O69" s="17"/>
      </tp>
      <tp t="e">
        <v>#N/A</v>
        <stp/>
        <stp>BDH|17473411277808641097</stp>
        <tr r="X19" s="25"/>
      </tp>
      <tp t="e">
        <v>#N/A</v>
        <stp/>
        <stp>BDH|11679590474166423928</stp>
        <tr r="R54" s="21"/>
      </tp>
      <tp t="e">
        <v>#N/A</v>
        <stp/>
        <stp>BDH|12384875254740416397</stp>
        <tr r="Y83" s="24"/>
      </tp>
      <tp t="e">
        <v>#N/A</v>
        <stp/>
        <stp>BDH|16974994454967101186</stp>
        <tr r="L64" s="17"/>
      </tp>
      <tp t="e">
        <v>#N/A</v>
        <stp/>
        <stp>BDH|12659965669758338978</stp>
        <tr r="Y49" s="24"/>
      </tp>
      <tp t="e">
        <v>#N/A</v>
        <stp/>
        <stp>BDH|14625527498344509045</stp>
        <tr r="I131" s="18"/>
      </tp>
      <tp t="e">
        <v>#N/A</v>
        <stp/>
        <stp>BDH|10122981317945581161</stp>
        <tr r="P33" s="22"/>
      </tp>
      <tp t="e">
        <v>#N/A</v>
        <stp/>
        <stp>BDH|10635496487694502401</stp>
        <tr r="U60" s="13"/>
      </tp>
      <tp t="e">
        <v>#N/A</v>
        <stp/>
        <stp>BDH|16961400044342333834</stp>
        <tr r="N8" s="22"/>
      </tp>
      <tp t="e">
        <v>#N/A</v>
        <stp/>
        <stp>BDH|11994262018948951637</stp>
        <tr r="O34" s="9"/>
      </tp>
      <tp t="e">
        <v>#N/A</v>
        <stp/>
        <stp>BDH|10976363473841294932</stp>
        <tr r="F43" s="10"/>
        <tr r="F35" s="11"/>
      </tp>
      <tp t="e">
        <v>#N/A</v>
        <stp/>
        <stp>BDH|12187174718299594761</stp>
        <tr r="H19" s="25"/>
      </tp>
      <tp t="e">
        <v>#N/A</v>
        <stp/>
        <stp>BDH|17957422840323406822</stp>
        <tr r="E140" s="18"/>
      </tp>
      <tp t="e">
        <v>#N/A</v>
        <stp/>
        <stp>BDH|15656454231347816975</stp>
        <tr r="V47" s="6"/>
      </tp>
      <tp t="e">
        <v>#N/A</v>
        <stp/>
        <stp>BDH|13553742643029746585</stp>
        <tr r="R8" s="27"/>
      </tp>
      <tp t="e">
        <v>#N/A</v>
        <stp/>
        <stp>BDH|17053803209786200564</stp>
        <tr r="D62" s="18"/>
      </tp>
      <tp t="e">
        <v>#N/A</v>
        <stp/>
        <stp>BDH|10949494255665040886</stp>
        <tr r="U46" s="22"/>
      </tp>
      <tp t="e">
        <v>#N/A</v>
        <stp/>
        <stp>BDH|13466269549539374059</stp>
        <tr r="V18" s="23"/>
      </tp>
      <tp t="e">
        <v>#N/A</v>
        <stp/>
        <stp>BDH|17112597410539380671</stp>
        <tr r="K45" s="24"/>
      </tp>
      <tp t="e">
        <v>#N/A</v>
        <stp/>
        <stp>BDH|13697001579529476170</stp>
        <tr r="G13" s="20"/>
      </tp>
      <tp t="e">
        <v>#N/A</v>
        <stp/>
        <stp>BDH|16156078949557622953</stp>
        <tr r="T52" s="17"/>
        <tr r="T10" s="25"/>
      </tp>
      <tp t="e">
        <v>#N/A</v>
        <stp/>
        <stp>BDH|10969450182971078121</stp>
        <tr r="G74" s="12"/>
      </tp>
      <tp t="e">
        <v>#N/A</v>
        <stp/>
        <stp>BDH|12980667740759012530</stp>
        <tr r="U43" s="29"/>
      </tp>
      <tp t="e">
        <v>#N/A</v>
        <stp/>
        <stp>BDH|10024285670928413106</stp>
        <tr r="S20" s="29"/>
      </tp>
      <tp t="e">
        <v>#N/A</v>
        <stp/>
        <stp>BDH|15049561308724687842</stp>
        <tr r="Q65" s="17"/>
      </tp>
      <tp t="e">
        <v>#N/A</v>
        <stp/>
        <stp>BDH|12451304955650467899</stp>
        <tr r="I78" s="12"/>
      </tp>
      <tp t="e">
        <v>#N/A</v>
        <stp/>
        <stp>BDH|11070686178598528499</stp>
        <tr r="D9" s="12"/>
      </tp>
      <tp t="e">
        <v>#N/A</v>
        <stp/>
        <stp>BDH|17070825869334293156</stp>
        <tr r="K25" s="9"/>
      </tp>
      <tp t="e">
        <v>#N/A</v>
        <stp/>
        <stp>BDH|12288824033034751187</stp>
        <tr r="X38" s="26"/>
      </tp>
      <tp t="e">
        <v>#N/A</v>
        <stp/>
        <stp>BDH|15946780881906573096</stp>
        <tr r="L12" s="26"/>
      </tp>
      <tp t="e">
        <v>#N/A</v>
        <stp/>
        <stp>BDH|16590705619114853884</stp>
        <tr r="H74" s="24"/>
      </tp>
      <tp t="e">
        <v>#N/A</v>
        <stp/>
        <stp>BDH|13221868610055165390</stp>
        <tr r="E18" s="6"/>
      </tp>
      <tp t="e">
        <v>#N/A</v>
        <stp/>
        <stp>BDH|12714782282809154802</stp>
        <tr r="AA10" s="14"/>
      </tp>
      <tp t="e">
        <v>#N/A</v>
        <stp/>
        <stp>BDH|12541973234486294289</stp>
        <tr r="C21" s="14"/>
      </tp>
      <tp t="e">
        <v>#N/A</v>
        <stp/>
        <stp>BDH|15043542587017954360</stp>
        <tr r="I22" s="14"/>
      </tp>
      <tp t="e">
        <v>#N/A</v>
        <stp/>
        <stp>BDH|17060123138908569138</stp>
        <tr r="Q12" s="24"/>
      </tp>
      <tp t="e">
        <v>#N/A</v>
        <stp/>
        <stp>BDH|10288373897095983371</stp>
        <tr r="R37" s="12"/>
      </tp>
      <tp t="e">
        <v>#N/A</v>
        <stp/>
        <stp>BDH|15850126682020275066</stp>
        <tr r="N97" s="18"/>
        <tr r="N6" s="20"/>
      </tp>
      <tp t="e">
        <v>#N/A</v>
        <stp/>
        <stp>BDH|10498974253886900655</stp>
        <tr r="J27" s="6"/>
      </tp>
      <tp t="e">
        <v>#N/A</v>
        <stp/>
        <stp>BDH|16774437050192962910</stp>
        <tr r="K21" s="9"/>
      </tp>
      <tp t="e">
        <v>#N/A</v>
        <stp/>
        <stp>BDH|16935532982522441507</stp>
        <tr r="I57" s="24"/>
      </tp>
      <tp t="e">
        <v>#N/A</v>
        <stp/>
        <stp>BDH|17509882729445881409</stp>
        <tr r="U27" s="10"/>
        <tr r="W33" s="13"/>
      </tp>
      <tp t="e">
        <v>#N/A</v>
        <stp/>
        <stp>BDH|10414867456151902010</stp>
        <tr r="X24" s="6"/>
      </tp>
      <tp t="e">
        <v>#N/A</v>
        <stp/>
        <stp>BDH|13895868292758904691</stp>
        <tr r="C19" s="30"/>
      </tp>
      <tp t="e">
        <v>#N/A</v>
        <stp/>
        <stp>BDH|17129750139779929680</stp>
        <tr r="W32" s="12"/>
      </tp>
      <tp t="e">
        <v>#N/A</v>
        <stp/>
        <stp>BDH|14752977904168054980</stp>
        <tr r="C9" s="27"/>
      </tp>
      <tp t="e">
        <v>#N/A</v>
        <stp/>
        <stp>BDH|14717192977527617931</stp>
        <tr r="T18" s="14"/>
      </tp>
      <tp t="e">
        <v>#N/A</v>
        <stp/>
        <stp>BDH|10922824571244289749</stp>
        <tr r="H54" s="21"/>
      </tp>
      <tp t="e">
        <v>#N/A</v>
        <stp/>
        <stp>BDH|13824625892543775331</stp>
        <tr r="E63" s="12"/>
      </tp>
      <tp t="e">
        <v>#N/A</v>
        <stp/>
        <stp>BDH|18422124745684961562</stp>
        <tr r="D99" s="18"/>
        <tr r="D8" s="20"/>
      </tp>
      <tp t="e">
        <v>#N/A</v>
        <stp/>
        <stp>BDH|14274289656697364805</stp>
        <tr r="F16" s="10"/>
      </tp>
      <tp t="e">
        <v>#N/A</v>
        <stp/>
        <stp>BDH|13858928552637627412</stp>
        <tr r="P63" s="18"/>
      </tp>
      <tp t="e">
        <v>#N/A</v>
        <stp/>
        <stp>BDH|14282825038424341746</stp>
        <tr r="I38" s="6"/>
      </tp>
      <tp t="e">
        <v>#N/A</v>
        <stp/>
        <stp>BDH|10263852769811757360</stp>
        <tr r="D11" s="6"/>
      </tp>
      <tp t="e">
        <v>#N/A</v>
        <stp/>
        <stp>BDH|10648729203418986319</stp>
        <tr r="Q16" s="22"/>
      </tp>
      <tp t="e">
        <v>#N/A</v>
        <stp/>
        <stp>BDH|10010409972076806950</stp>
        <tr r="U16" s="22"/>
      </tp>
      <tp t="e">
        <v>#N/A</v>
        <stp/>
        <stp>BDH|16589087837221258870</stp>
        <tr r="C103" s="18"/>
      </tp>
      <tp t="e">
        <v>#N/A</v>
        <stp/>
        <stp>BDH|17022146059968645741</stp>
        <tr r="N86" s="17"/>
      </tp>
      <tp t="e">
        <v>#N/A</v>
        <stp/>
        <stp>BDH|13087377005479840557</stp>
        <tr r="N74" s="18"/>
      </tp>
      <tp t="e">
        <v>#N/A</v>
        <stp/>
        <stp>BDH|15497271697242866034</stp>
        <tr r="U23" s="26"/>
      </tp>
      <tp t="e">
        <v>#N/A</v>
        <stp/>
        <stp>BDH|17086588554859763241</stp>
        <tr r="AA25" s="22"/>
      </tp>
      <tp t="e">
        <v>#N/A</v>
        <stp/>
        <stp>BDH|13924551195634591733</stp>
        <tr r="C19" s="10"/>
      </tp>
      <tp t="e">
        <v>#N/A</v>
        <stp/>
        <stp>BDH|15267432031578860679</stp>
        <tr r="U8" s="11"/>
      </tp>
      <tp t="e">
        <v>#N/A</v>
        <stp/>
        <stp>BDH|16847939478900881442</stp>
        <tr r="W16" s="24"/>
      </tp>
      <tp t="e">
        <v>#N/A</v>
        <stp/>
        <stp>BDH|16282487727065067924</stp>
        <tr r="F21" s="10"/>
      </tp>
      <tp t="e">
        <v>#N/A</v>
        <stp/>
        <stp>BDH|15597874738147584509</stp>
        <tr r="I130" s="18"/>
      </tp>
      <tp t="e">
        <v>#N/A</v>
        <stp/>
        <stp>BDH|13069935618457527019</stp>
        <tr r="K18" s="6"/>
      </tp>
      <tp t="e">
        <v>#N/A</v>
        <stp/>
        <stp>BDH|16966434816767592860</stp>
        <tr r="V58" s="13"/>
      </tp>
      <tp t="e">
        <v>#N/A</v>
        <stp/>
        <stp>BDH|14921165307920176965</stp>
        <tr r="Y64" s="13"/>
      </tp>
      <tp t="e">
        <v>#N/A</v>
        <stp/>
        <stp>BDH|17950567148218940218</stp>
        <tr r="E61" s="17"/>
      </tp>
      <tp t="e">
        <v>#N/A</v>
        <stp/>
        <stp>BDH|15877864725087424402</stp>
        <tr r="N33" s="9"/>
      </tp>
      <tp t="e">
        <v>#N/A</v>
        <stp/>
        <stp>BDH|11241076715515728986</stp>
        <tr r="U40" s="24"/>
      </tp>
      <tp t="e">
        <v>#N/A</v>
        <stp/>
        <stp>BDH|14438531837386607892</stp>
        <tr r="D44" s="6"/>
      </tp>
      <tp t="e">
        <v>#N/A</v>
        <stp/>
        <stp>BDH|11832491293325932541</stp>
        <tr r="O29" s="17"/>
      </tp>
      <tp t="e">
        <v>#N/A</v>
        <stp/>
        <stp>BDH|10014791994261779356</stp>
        <tr r="U90" s="12"/>
      </tp>
      <tp t="e">
        <v>#N/A</v>
        <stp/>
        <stp>BDH|15355949632371995234</stp>
        <tr r="AA105" s="18"/>
      </tp>
      <tp t="e">
        <v>#N/A</v>
        <stp/>
        <stp>BDH|17721117773789835421</stp>
        <tr r="F15" s="14"/>
      </tp>
      <tp t="e">
        <v>#N/A</v>
        <stp/>
        <stp>BDH|14416306588734168720</stp>
        <tr r="Q20" s="10"/>
      </tp>
      <tp t="e">
        <v>#N/A</v>
        <stp/>
        <stp>BDH|15265392943787125967</stp>
        <tr r="D17" s="17"/>
        <tr r="D20" s="28"/>
      </tp>
      <tp t="e">
        <v>#N/A</v>
        <stp/>
        <stp>BDH|11873874353383720347</stp>
        <tr r="P24" s="17"/>
      </tp>
      <tp t="e">
        <v>#N/A</v>
        <stp/>
        <stp>BDH|18148777003074854723</stp>
        <tr r="AA85" s="17"/>
      </tp>
      <tp t="e">
        <v>#N/A</v>
        <stp/>
        <stp>BDH|16599935998303221938</stp>
        <tr r="K20" s="24"/>
      </tp>
      <tp t="e">
        <v>#N/A</v>
        <stp/>
        <stp>BDH|17970905547394540241</stp>
        <tr r="O26" s="21"/>
      </tp>
      <tp t="e">
        <v>#N/A</v>
        <stp/>
        <stp>BDH|11189811344819265893</stp>
        <tr r="G34" s="18"/>
      </tp>
      <tp t="e">
        <v>#N/A</v>
        <stp/>
        <stp>BDH|16324566667168985149</stp>
        <tr r="O64" s="21"/>
        <tr r="L31" s="6"/>
      </tp>
      <tp t="e">
        <v>#N/A</v>
        <stp/>
        <stp>BDH|17186739651008802145</stp>
        <tr r="U75" s="12"/>
      </tp>
      <tp t="e">
        <v>#N/A</v>
        <stp/>
        <stp>BDH|14589304889383360012</stp>
        <tr r="C46" s="4"/>
        <tr r="C23" s="10"/>
        <tr r="E37" s="13"/>
      </tp>
      <tp t="e">
        <v>#N/A</v>
        <stp/>
        <stp>BDH|14660992864683391461</stp>
        <tr r="V45" s="12"/>
      </tp>
      <tp t="e">
        <v>#N/A</v>
        <stp/>
        <stp>BDH|11280760556616807944</stp>
        <tr r="X36" s="34"/>
      </tp>
      <tp t="e">
        <v>#N/A</v>
        <stp/>
        <stp>BDH|16457413449072256809</stp>
        <tr r="L74" s="18"/>
      </tp>
      <tp t="e">
        <v>#N/A</v>
        <stp/>
        <stp>BDH|16014042858607285805</stp>
        <tr r="M103" s="18"/>
      </tp>
      <tp t="e">
        <v>#N/A</v>
        <stp/>
        <stp>BDH|13439206094653929779</stp>
        <tr r="W28" s="22"/>
      </tp>
      <tp t="e">
        <v>#N/A</v>
        <stp/>
        <stp>BDH|17372942078704856198</stp>
        <tr r="X35" s="12"/>
      </tp>
      <tp t="e">
        <v>#N/A</v>
        <stp/>
        <stp>BDH|18098341709014602356</stp>
        <tr r="X35" s="21"/>
      </tp>
      <tp t="e">
        <v>#N/A</v>
        <stp/>
        <stp>BDH|17058360085983459397</stp>
        <tr r="Y21" s="4"/>
      </tp>
      <tp t="e">
        <v>#N/A</v>
        <stp/>
        <stp>BDH|11975534644004689865</stp>
        <tr r="L10" s="28"/>
      </tp>
      <tp t="e">
        <v>#N/A</v>
        <stp/>
        <stp>BDH|15501862335720024289</stp>
        <tr r="R22" s="11"/>
      </tp>
      <tp t="e">
        <v>#N/A</v>
        <stp/>
        <stp>BDH|11616162239348666718</stp>
        <tr r="I9" s="27"/>
      </tp>
      <tp t="e">
        <v>#N/A</v>
        <stp/>
        <stp>BDH|18365433329441562329</stp>
        <tr r="W22" s="22"/>
      </tp>
      <tp t="e">
        <v>#N/A</v>
        <stp/>
        <stp>BDH|17083396221359303350</stp>
        <tr r="P47" s="22"/>
      </tp>
      <tp t="e">
        <v>#N/A</v>
        <stp/>
        <stp>BDH|13566662168686062958</stp>
        <tr r="L89" s="12"/>
      </tp>
      <tp t="e">
        <v>#N/A</v>
        <stp/>
        <stp>BDH|13925821915590735676</stp>
        <tr r="X24" s="12"/>
      </tp>
      <tp t="e">
        <v>#N/A</v>
        <stp/>
        <stp>BDH|17074895931971307159</stp>
        <tr r="V19" s="18"/>
      </tp>
      <tp t="e">
        <v>#N/A</v>
        <stp/>
        <stp>BDH|13723117839769012411</stp>
        <tr r="V41" s="22"/>
      </tp>
      <tp t="e">
        <v>#N/A</v>
        <stp/>
        <stp>BDH|17825904381209063370</stp>
        <tr r="R56" s="6"/>
      </tp>
      <tp t="e">
        <v>#N/A</v>
        <stp/>
        <stp>BDH|14028806547737959304</stp>
        <tr r="AA9" s="14"/>
      </tp>
      <tp t="e">
        <v>#N/A</v>
        <stp/>
        <stp>BDH|11511966519092200766</stp>
        <tr r="G26" s="18"/>
      </tp>
      <tp t="e">
        <v>#N/A</v>
        <stp/>
        <stp>BDH|18048341401020820736</stp>
        <tr r="U45" s="4"/>
        <tr r="U31" s="10"/>
        <tr r="U23" s="11"/>
        <tr r="W30" s="13"/>
      </tp>
      <tp t="e">
        <v>#N/A</v>
        <stp/>
        <stp>BDH|13622933862855117589</stp>
        <tr r="O72" s="18"/>
      </tp>
      <tp t="e">
        <v>#N/A</v>
        <stp/>
        <stp>BDH|11127351684064600282</stp>
        <tr r="I10" s="13"/>
      </tp>
      <tp t="e">
        <v>#N/A</v>
        <stp/>
        <stp>BDH|18372965606245873856</stp>
        <tr r="M43" s="21"/>
      </tp>
      <tp t="e">
        <v>#N/A</v>
        <stp/>
        <stp>BDH|14241929482989955056</stp>
        <tr r="D26" s="17"/>
      </tp>
      <tp t="e">
        <v>#N/A</v>
        <stp/>
        <stp>BDH|15133573168609892388</stp>
        <tr r="K28" s="14"/>
      </tp>
      <tp t="e">
        <v>#N/A</v>
        <stp/>
        <stp>BDH|12339891694837242828</stp>
        <tr r="I36" s="10"/>
        <tr r="I48" s="10"/>
        <tr r="I28" s="11"/>
        <tr r="I40" s="11"/>
      </tp>
      <tp t="e">
        <v>#N/A</v>
        <stp/>
        <stp>BDH|17286524838904120971</stp>
        <tr r="N34" s="22"/>
      </tp>
      <tp t="e">
        <v>#N/A</v>
        <stp/>
        <stp>BDH|15408598301958771453</stp>
        <tr r="P59" s="18"/>
      </tp>
      <tp t="e">
        <v>#N/A</v>
        <stp/>
        <stp>BDH|18250455316853648299</stp>
        <tr r="D23" s="2"/>
        <tr r="F18" s="21"/>
        <tr r="F23" s="3"/>
      </tp>
      <tp t="e">
        <v>#N/A</v>
        <stp/>
        <stp>BDH|10109072018474479944</stp>
        <tr r="C37" s="12"/>
      </tp>
      <tp t="e">
        <v>#N/A</v>
        <stp/>
        <stp>BDH|10509590382696870784</stp>
        <tr r="D21" s="5"/>
      </tp>
      <tp t="e">
        <v>#N/A</v>
        <stp/>
        <stp>BDH|12487319794562617691</stp>
        <tr r="D82" s="24"/>
      </tp>
      <tp t="e">
        <v>#N/A</v>
        <stp/>
        <stp>BDH|14162371442117648938</stp>
        <tr r="W72" s="17"/>
      </tp>
      <tp t="e">
        <v>#N/A</v>
        <stp/>
        <stp>BDH|10761072480295191006</stp>
        <tr r="F13" s="9"/>
      </tp>
      <tp t="e">
        <v>#N/A</v>
        <stp/>
        <stp>BDH|15012921853353035709</stp>
        <tr r="Q56" s="24"/>
      </tp>
      <tp t="e">
        <v>#N/A</v>
        <stp/>
        <stp>BDH|10267764988987843556</stp>
        <tr r="V62" s="13"/>
      </tp>
      <tp t="e">
        <v>#N/A</v>
        <stp/>
        <stp>BDH|16413933176850156516</stp>
        <tr r="Q21" s="4"/>
      </tp>
      <tp t="e">
        <v>#N/A</v>
        <stp/>
        <stp>BDH|10587761956547779833</stp>
        <tr r="I23" s="25"/>
        <tr r="G20" s="11"/>
      </tp>
      <tp t="e">
        <v>#N/A</v>
        <stp/>
        <stp>BDH|13610478991704104701</stp>
        <tr r="M35" s="21"/>
      </tp>
      <tp t="e">
        <v>#N/A</v>
        <stp/>
        <stp>BDH|13462438102678632224</stp>
        <tr r="Z41" s="34"/>
      </tp>
      <tp t="e">
        <v>#N/A</v>
        <stp/>
        <stp>BDH|11689993636684139293</stp>
        <tr r="X7" s="11"/>
      </tp>
      <tp t="e">
        <v>#N/A</v>
        <stp/>
        <stp>BDH|10145016422726399901</stp>
        <tr r="W61" s="21"/>
      </tp>
      <tp t="e">
        <v>#N/A</v>
        <stp/>
        <stp>BDH|15132940072015163378</stp>
        <tr r="D25" s="7"/>
      </tp>
      <tp t="e">
        <v>#N/A</v>
        <stp/>
        <stp>BDH|15750728566088235102</stp>
        <tr r="I27" s="10"/>
        <tr r="K33" s="13"/>
      </tp>
      <tp t="e">
        <v>#N/A</v>
        <stp/>
        <stp>BDH|11177614827541637907</stp>
        <tr r="N42" s="4"/>
      </tp>
      <tp t="e">
        <v>#N/A</v>
        <stp/>
        <stp>BDH|16537040022199449064</stp>
        <tr r="Y6" s="15"/>
        <tr r="Y12" s="2"/>
        <tr r="Y11" s="4"/>
        <tr r="Y6" s="10"/>
      </tp>
      <tp t="e">
        <v>#N/A</v>
        <stp/>
        <stp>BDH|15731636189843494586</stp>
        <tr r="T13" s="17"/>
        <tr r="T16" s="28"/>
      </tp>
      <tp t="e">
        <v>#N/A</v>
        <stp/>
        <stp>BDH|15120156991664720431</stp>
        <tr r="C13" s="22"/>
      </tp>
      <tp t="e">
        <v>#N/A</v>
        <stp/>
        <stp>BDH|12188556930988740122</stp>
        <tr r="K25" s="17"/>
      </tp>
      <tp t="e">
        <v>#N/A</v>
        <stp/>
        <stp>BDH|10334532580580302025</stp>
        <tr r="Q33" s="9"/>
      </tp>
      <tp t="e">
        <v>#N/A</v>
        <stp/>
        <stp>BDH|17897747448321681834</stp>
        <tr r="E93" s="18"/>
      </tp>
      <tp t="e">
        <v>#N/A</v>
        <stp/>
        <stp>BDH|15206677622658756415</stp>
        <tr r="Z18" s="17"/>
      </tp>
      <tp t="e">
        <v>#N/A</v>
        <stp/>
        <stp>BDH|18373456527505345631</stp>
        <tr r="D141" s="18"/>
      </tp>
      <tp t="e">
        <v>#N/A</v>
        <stp/>
        <stp>BDH|17512982839280129043</stp>
        <tr r="P36" s="34"/>
      </tp>
      <tp t="e">
        <v>#N/A</v>
        <stp/>
        <stp>BDH|13830904129672360737</stp>
        <tr r="E27" s="18"/>
      </tp>
      <tp t="e">
        <v>#N/A</v>
        <stp/>
        <stp>BDH|17818767224166246994</stp>
        <tr r="I80" s="18"/>
      </tp>
      <tp t="e">
        <v>#N/A</v>
        <stp/>
        <stp>BDH|16443626697814195014</stp>
        <tr r="O28" s="6"/>
      </tp>
      <tp t="e">
        <v>#N/A</v>
        <stp/>
        <stp>BDH|15409420880315219154</stp>
        <tr r="D72" s="18"/>
      </tp>
      <tp t="e">
        <v>#N/A</v>
        <stp/>
        <stp>BDH|12485872791849143720</stp>
        <tr r="J52" s="10"/>
        <tr r="J44" s="11"/>
        <tr r="J15" s="7"/>
      </tp>
      <tp t="e">
        <v>#N/A</v>
        <stp/>
        <stp>BDH|15612971744615171057</stp>
        <tr r="G80" s="12"/>
      </tp>
      <tp t="e">
        <v>#N/A</v>
        <stp/>
        <stp>BDH|10793745596316610528</stp>
        <tr r="F20" s="22"/>
      </tp>
      <tp t="e">
        <v>#N/A</v>
        <stp/>
        <stp>BDH|16029079899993975161</stp>
        <tr r="F23" s="2"/>
        <tr r="H18" s="21"/>
        <tr r="H23" s="3"/>
      </tp>
      <tp t="e">
        <v>#N/A</v>
        <stp/>
        <stp>BDH|18102790549323378530</stp>
        <tr r="T19" s="25"/>
      </tp>
      <tp t="e">
        <v>#N/A</v>
        <stp/>
        <stp>BDH|12157187851773177886</stp>
        <tr r="Z30" s="22"/>
      </tp>
      <tp t="e">
        <v>#N/A</v>
        <stp/>
        <stp>BDH|13108600166238503636</stp>
        <tr r="E29" s="17"/>
      </tp>
      <tp t="e">
        <v>#N/A</v>
        <stp/>
        <stp>BDH|13015727155034345856</stp>
        <tr r="G47" s="22"/>
      </tp>
      <tp t="e">
        <v>#N/A</v>
        <stp/>
        <stp>BDH|14872065194094287481</stp>
        <tr r="M90" s="18"/>
      </tp>
      <tp t="e">
        <v>#N/A</v>
        <stp/>
        <stp>BDH|15704571520686754979</stp>
        <tr r="I53" s="17"/>
      </tp>
      <tp t="e">
        <v>#N/A</v>
        <stp/>
        <stp>BDH|17380215777709649635</stp>
        <tr r="T36" s="10"/>
        <tr r="T48" s="10"/>
        <tr r="T28" s="11"/>
        <tr r="T40" s="11"/>
      </tp>
      <tp t="e">
        <v>#N/A</v>
        <stp/>
        <stp>BDH|13297982156396545497</stp>
        <tr r="Z23" s="25"/>
        <tr r="X20" s="11"/>
      </tp>
      <tp t="e">
        <v>#N/A</v>
        <stp/>
        <stp>BDH|10665417185414190537</stp>
        <tr r="F21" s="14"/>
      </tp>
      <tp t="e">
        <v>#N/A</v>
        <stp/>
        <stp>BDH|16367329277739142677</stp>
        <tr r="L58" s="18"/>
      </tp>
      <tp t="e">
        <v>#N/A</v>
        <stp/>
        <stp>BDH|15783309702759046259</stp>
        <tr r="R15" s="21"/>
      </tp>
      <tp t="e">
        <v>#N/A</v>
        <stp/>
        <stp>BDH|17931459286171888729</stp>
        <tr r="S88" s="18"/>
      </tp>
      <tp t="e">
        <v>#N/A</v>
        <stp/>
        <stp>BDH|13577724890417191764</stp>
        <tr r="G52" s="12"/>
      </tp>
      <tp t="e">
        <v>#N/A</v>
        <stp/>
        <stp>BDH|11321063394861258435</stp>
        <tr r="V63" s="10"/>
      </tp>
      <tp t="e">
        <v>#N/A</v>
        <stp/>
        <stp>BDH|16602613617045190913</stp>
        <tr r="X32" s="9"/>
      </tp>
      <tp t="e">
        <v>#N/A</v>
        <stp/>
        <stp>BDH|12975982818801917604</stp>
        <tr r="N28" s="22"/>
      </tp>
      <tp t="e">
        <v>#N/A</v>
        <stp/>
        <stp>BDH|16497120396664213726</stp>
        <tr r="AA52" s="24"/>
      </tp>
      <tp t="e">
        <v>#N/A</v>
        <stp/>
        <stp>BDH|13105890541750976208</stp>
        <tr r="L21" s="18"/>
      </tp>
      <tp t="e">
        <v>#N/A</v>
        <stp/>
        <stp>BDH|16950446598624086251</stp>
        <tr r="V37" s="10"/>
        <tr r="V29" s="11"/>
        <tr r="X41" s="13"/>
      </tp>
      <tp t="e">
        <v>#N/A</v>
        <stp/>
        <stp>BDH|12184009080757635076</stp>
        <tr r="P16" s="17"/>
        <tr r="P19" s="28"/>
      </tp>
      <tp t="e">
        <v>#N/A</v>
        <stp/>
        <stp>BDH|14818888020515392637</stp>
        <tr r="U10" s="24"/>
      </tp>
      <tp t="e">
        <v>#N/A</v>
        <stp/>
        <stp>BDH|15362726304808735729</stp>
        <tr r="E54" s="18"/>
      </tp>
      <tp t="e">
        <v>#N/A</v>
        <stp/>
        <stp>BDH|12571641460276401956</stp>
        <tr r="E14" s="11"/>
      </tp>
      <tp t="e">
        <v>#N/A</v>
        <stp/>
        <stp>BDH|13602237394871569448</stp>
        <tr r="I16" s="23"/>
      </tp>
      <tp t="e">
        <v>#N/A</v>
        <stp/>
        <stp>BDH|12047005306597379852</stp>
        <tr r="I61" s="18"/>
      </tp>
      <tp t="e">
        <v>#N/A</v>
        <stp/>
        <stp>BDH|10235309025535190967</stp>
        <tr r="X84" s="17"/>
      </tp>
      <tp t="e">
        <v>#N/A</v>
        <stp/>
        <stp>BDH|11315934476573157174</stp>
        <tr r="P6" s="19"/>
        <tr r="P35" s="17"/>
        <tr r="P16" s="3"/>
      </tp>
      <tp t="e">
        <v>#N/A</v>
        <stp/>
        <stp>BDH|12632461055267345965</stp>
        <tr r="H70" s="10"/>
        <tr r="H62" s="11"/>
        <tr r="H20" s="7"/>
      </tp>
      <tp t="e">
        <v>#N/A</v>
        <stp/>
        <stp>BDH|13497713517939421160</stp>
        <tr r="N56" s="18"/>
      </tp>
      <tp t="e">
        <v>#N/A</v>
        <stp/>
        <stp>BDH|15658048953524218939</stp>
        <tr r="P11" s="14"/>
      </tp>
      <tp t="e">
        <v>#N/A</v>
        <stp/>
        <stp>BDH|14967785088172973402</stp>
        <tr r="Q26" s="25"/>
        <tr r="Q12" s="27"/>
      </tp>
      <tp t="e">
        <v>#N/A</v>
        <stp/>
        <stp>BDH|15299653244788691252</stp>
        <tr r="O19" s="12"/>
      </tp>
      <tp t="e">
        <v>#N/A</v>
        <stp/>
        <stp>BDH|16328018107639285271</stp>
        <tr r="D46" s="17"/>
      </tp>
      <tp t="e">
        <v>#N/A</v>
        <stp/>
        <stp>BDH|13077321850118076025</stp>
        <tr r="Q45" s="18"/>
      </tp>
      <tp t="e">
        <v>#N/A</v>
        <stp/>
        <stp>BDH|16697338308859553189</stp>
        <tr r="T7" s="8"/>
      </tp>
      <tp t="e">
        <v>#N/A</v>
        <stp/>
        <stp>BDH|17702973295073271970</stp>
        <tr r="L8" s="8"/>
      </tp>
      <tp t="e">
        <v>#N/A</v>
        <stp/>
        <stp>BDH|13734616881980020044</stp>
        <tr r="U28" s="26"/>
      </tp>
      <tp t="e">
        <v>#N/A</v>
        <stp/>
        <stp>BDH|18331922694654785115</stp>
        <tr r="R39" s="4"/>
        <tr r="R66" s="10"/>
      </tp>
      <tp t="e">
        <v>#N/A</v>
        <stp/>
        <stp>BDH|12591426460445557814</stp>
        <tr r="P129" s="18"/>
      </tp>
      <tp t="e">
        <v>#N/A</v>
        <stp/>
        <stp>BDH|12782272059669202186</stp>
        <tr r="O18" s="24"/>
      </tp>
      <tp t="e">
        <v>#N/A</v>
        <stp/>
        <stp>BDH|15292554622169174671</stp>
        <tr r="Y76" s="17"/>
        <tr r="Y19" s="3"/>
      </tp>
      <tp t="e">
        <v>#N/A</v>
        <stp/>
        <stp>BDH|16201085706062744988</stp>
        <tr r="T86" s="24"/>
      </tp>
      <tp t="e">
        <v>#N/A</v>
        <stp/>
        <stp>BDH|17401709123907483800</stp>
        <tr r="T91" s="17"/>
        <tr r="T7" s="27"/>
      </tp>
      <tp t="e">
        <v>#N/A</v>
        <stp/>
        <stp>BDH|16110747793216582303</stp>
        <tr r="O87" s="12"/>
      </tp>
      <tp t="e">
        <v>#N/A</v>
        <stp/>
        <stp>BDH|15651808721186208463</stp>
        <tr r="O66" s="12"/>
      </tp>
      <tp t="e">
        <v>#N/A</v>
        <stp/>
        <stp>BDH|17180391321992897927</stp>
        <tr r="P29" s="10"/>
        <tr r="R35" s="13"/>
      </tp>
      <tp t="e">
        <v>#N/A</v>
        <stp/>
        <stp>BDH|16372337257044578919</stp>
        <tr r="Q21" s="21"/>
      </tp>
      <tp t="e">
        <v>#N/A</v>
        <stp/>
        <stp>BDH|11571449749165378985</stp>
        <tr r="G63" s="21"/>
        <tr r="E23" s="7"/>
      </tp>
      <tp t="e">
        <v>#N/A</v>
        <stp/>
        <stp>BDH|10490778986865124777</stp>
        <tr r="G43" s="34"/>
      </tp>
      <tp t="e">
        <v>#N/A</v>
        <stp/>
        <stp>BDH|12310628135729037371</stp>
        <tr r="H69" s="17"/>
      </tp>
      <tp t="e">
        <v>#N/A</v>
        <stp/>
        <stp>BDH|10799271523798273524</stp>
        <tr r="X13" s="8"/>
      </tp>
      <tp t="e">
        <v>#N/A</v>
        <stp/>
        <stp>BDH|14045155926179850386</stp>
        <tr r="G8" s="18"/>
      </tp>
      <tp t="e">
        <v>#N/A</v>
        <stp/>
        <stp>BDH|17414166761474640964</stp>
        <tr r="S16" s="12"/>
      </tp>
      <tp t="e">
        <v>#N/A</v>
        <stp/>
        <stp>BDH|17861756441139802073</stp>
        <tr r="U32" s="24"/>
      </tp>
      <tp t="e">
        <v>#N/A</v>
        <stp/>
        <stp>BDH|10674789361675920958</stp>
        <tr r="U45" s="34"/>
      </tp>
      <tp t="e">
        <v>#N/A</v>
        <stp/>
        <stp>BDH|17526841323596545643</stp>
        <tr r="W113" s="18"/>
      </tp>
      <tp t="e">
        <v>#N/A</v>
        <stp/>
        <stp>BDH|18360529537677682430</stp>
        <tr r="I10" s="28"/>
      </tp>
      <tp t="e">
        <v>#N/A</v>
        <stp/>
        <stp>BDH|10901983850524658542</stp>
        <tr r="I10" s="24"/>
      </tp>
      <tp t="e">
        <v>#N/A</v>
        <stp/>
        <stp>BDH|17855001678688040536</stp>
        <tr r="G29" s="12"/>
      </tp>
      <tp t="e">
        <v>#N/A</v>
        <stp/>
        <stp>BDH|14962992765020767612</stp>
        <tr r="W86" s="17"/>
      </tp>
      <tp t="e">
        <v>#N/A</v>
        <stp/>
        <stp>BDH|17121375713638158073</stp>
        <tr r="N24" s="4"/>
        <tr r="N57" s="11"/>
      </tp>
      <tp t="e">
        <v>#N/A</v>
        <stp/>
        <stp>BDH|12349070317559539755</stp>
        <tr r="K84" s="24"/>
      </tp>
      <tp t="e">
        <v>#N/A</v>
        <stp/>
        <stp>BDH|13672669232698778368</stp>
        <tr r="S10" s="12"/>
      </tp>
      <tp t="e">
        <v>#N/A</v>
        <stp/>
        <stp>BDH|17434881958295014276</stp>
        <tr r="G12" s="26"/>
      </tp>
      <tp t="e">
        <v>#N/A</v>
        <stp/>
        <stp>BDH|13726001463349604117</stp>
        <tr r="K34" s="10"/>
        <tr r="K26" s="11"/>
      </tp>
      <tp t="e">
        <v>#N/A</v>
        <stp/>
        <stp>BDH|12198345623938015652</stp>
        <tr r="L41" s="17"/>
        <tr r="L9" s="25"/>
      </tp>
      <tp t="e">
        <v>#N/A</v>
        <stp/>
        <stp>BDH|15278004242735229910</stp>
        <tr r="X18" s="23"/>
      </tp>
      <tp t="e">
        <v>#N/A</v>
        <stp/>
        <stp>BDH|13200362156409768165</stp>
        <tr r="T21" s="11"/>
      </tp>
      <tp t="e">
        <v>#N/A</v>
        <stp/>
        <stp>BDH|12055406591517300512</stp>
        <tr r="K27" s="10"/>
        <tr r="M33" s="13"/>
      </tp>
      <tp t="e">
        <v>#N/A</v>
        <stp/>
        <stp>BDH|12513685138342604803</stp>
        <tr r="P57" s="17"/>
      </tp>
      <tp t="e">
        <v>#N/A</v>
        <stp/>
        <stp>BDH|12769905267639799957</stp>
        <tr r="U73" s="10"/>
        <tr r="U65" s="11"/>
      </tp>
      <tp t="e">
        <v>#N/A</v>
        <stp/>
        <stp>BDH|11034704241636385902</stp>
        <tr r="H141" s="18"/>
      </tp>
      <tp t="e">
        <v>#N/A</v>
        <stp/>
        <stp>BDH|13221018452682736945</stp>
        <tr r="O20" s="9"/>
      </tp>
      <tp t="e">
        <v>#N/A</v>
        <stp/>
        <stp>BDH|14282687768019612067</stp>
        <tr r="X62" s="24"/>
      </tp>
      <tp t="e">
        <v>#N/A</v>
        <stp/>
        <stp>BDH|10035975256188698956</stp>
        <tr r="Q26" s="12"/>
      </tp>
      <tp t="e">
        <v>#N/A</v>
        <stp/>
        <stp>BDH|17686816310710269370</stp>
        <tr r="O17" s="30"/>
      </tp>
      <tp t="e">
        <v>#N/A</v>
        <stp/>
        <stp>BDH|10738469212520102800</stp>
        <tr r="O60" s="24"/>
      </tp>
      <tp t="e">
        <v>#N/A</v>
        <stp/>
        <stp>BDH|11105588365859999676</stp>
        <tr r="R17" s="17"/>
        <tr r="R20" s="28"/>
      </tp>
      <tp t="e">
        <v>#N/A</v>
        <stp/>
        <stp>BDH|14869879828553132046</stp>
        <tr r="E66" s="24"/>
      </tp>
      <tp t="e">
        <v>#N/A</v>
        <stp/>
        <stp>BDH|10173665224630782962</stp>
        <tr r="X12" s="12"/>
      </tp>
      <tp t="e">
        <v>#N/A</v>
        <stp/>
        <stp>BDH|17049910211832181039</stp>
        <tr r="T80" s="24"/>
      </tp>
      <tp t="e">
        <v>#N/A</v>
        <stp/>
        <stp>BDH|10679496906891250890</stp>
        <tr r="D71" s="12"/>
      </tp>
      <tp t="e">
        <v>#N/A</v>
        <stp/>
        <stp>BDH|14888905364381634781</stp>
        <tr r="P22" s="7"/>
      </tp>
      <tp t="e">
        <v>#N/A</v>
        <stp/>
        <stp>BDH|12216321190904577172</stp>
        <tr r="K22" s="12"/>
      </tp>
      <tp t="e">
        <v>#N/A</v>
        <stp/>
        <stp>BDH|15600133536248051218</stp>
        <tr r="Z17" s="17"/>
        <tr r="Z20" s="28"/>
      </tp>
      <tp t="e">
        <v>#N/A</v>
        <stp/>
        <stp>BDH|16057439291892027407</stp>
        <tr r="X57" s="18"/>
      </tp>
      <tp t="e">
        <v>#N/A</v>
        <stp/>
        <stp>BDH|14771300282261012375</stp>
        <tr r="V68" s="12"/>
      </tp>
      <tp t="e">
        <v>#N/A</v>
        <stp/>
        <stp>BDH|11815163880851928459</stp>
        <tr r="T36" s="22"/>
      </tp>
      <tp t="e">
        <v>#N/A</v>
        <stp/>
        <stp>BDH|17767313783506431733</stp>
        <tr r="O51" s="24"/>
      </tp>
      <tp t="e">
        <v>#N/A</v>
        <stp/>
        <stp>BDH|13507388887783165699</stp>
        <tr r="Y26" s="26"/>
      </tp>
      <tp t="e">
        <v>#N/A</v>
        <stp/>
        <stp>BDH|18268100848610113091</stp>
        <tr r="U9" s="2"/>
        <tr r="W8" s="25"/>
        <tr r="T10" s="5"/>
      </tp>
      <tp t="e">
        <v>#N/A</v>
        <stp/>
        <stp>BDH|16148840714364150625</stp>
        <tr r="Y34" s="17"/>
      </tp>
      <tp t="e">
        <v>#N/A</v>
        <stp/>
        <stp>BDH|14474800153837595301</stp>
        <tr r="T15" s="24"/>
      </tp>
      <tp t="e">
        <v>#N/A</v>
        <stp/>
        <stp>BDH|15630951200060236136</stp>
        <tr r="K40" s="12"/>
      </tp>
      <tp t="e">
        <v>#N/A</v>
        <stp/>
        <stp>BDH|15535567856201467936</stp>
        <tr r="Y16" s="2"/>
        <tr r="Y32" s="4"/>
        <tr r="Y62" s="10"/>
        <tr r="AA19" s="13"/>
      </tp>
      <tp t="e">
        <v>#N/A</v>
        <stp/>
        <stp>BDH|16091509982005708376</stp>
        <tr r="C13" s="30"/>
      </tp>
      <tp t="e">
        <v>#N/A</v>
        <stp/>
        <stp>BDH|14230565280674369052</stp>
        <tr r="N119" s="18"/>
      </tp>
      <tp t="e">
        <v>#N/A</v>
        <stp/>
        <stp>BDH|13117164886130492779</stp>
        <tr r="S24" s="4"/>
        <tr r="S57" s="11"/>
      </tp>
      <tp t="e">
        <v>#N/A</v>
        <stp/>
        <stp>BDH|15295246812423296846</stp>
        <tr r="T63" s="18"/>
      </tp>
      <tp t="e">
        <v>#N/A</v>
        <stp/>
        <stp>BDH|10110258907998353721</stp>
        <tr r="U48" s="22"/>
      </tp>
      <tp t="e">
        <v>#N/A</v>
        <stp/>
        <stp>BDH|13629682756468872558</stp>
        <tr r="U76" s="17"/>
        <tr r="U19" s="3"/>
      </tp>
      <tp t="e">
        <v>#N/A</v>
        <stp/>
        <stp>BDH|12782877213932346459</stp>
        <tr r="N53" s="24"/>
      </tp>
      <tp t="e">
        <v>#N/A</v>
        <stp/>
        <stp>BDH|15213134595883916386</stp>
        <tr r="R23" s="17"/>
      </tp>
      <tp t="e">
        <v>#N/A</v>
        <stp/>
        <stp>BDH|16554857412950138261</stp>
        <tr r="C68" s="12"/>
      </tp>
      <tp t="e">
        <v>#N/A</v>
        <stp/>
        <stp>BDH|14900895862942110564</stp>
        <tr r="E10" s="4"/>
        <tr r="D6" s="16"/>
        <tr r="G6" s="3"/>
        <tr r="E6" s="11"/>
      </tp>
      <tp t="e">
        <v>#N/A</v>
        <stp/>
        <stp>BDH|15023673986870036643</stp>
        <tr r="K55" s="12"/>
      </tp>
      <tp t="e">
        <v>#N/A</v>
        <stp/>
        <stp>BDH|15042974336970617221</stp>
        <tr r="Z23" s="22"/>
      </tp>
      <tp t="e">
        <v>#N/A</v>
        <stp/>
        <stp>BDH|15704767268359544098</stp>
        <tr r="S86" s="12"/>
      </tp>
      <tp t="e">
        <v>#N/A</v>
        <stp/>
        <stp>BDH|10947199284001477552</stp>
        <tr r="O30" s="10"/>
        <tr r="Q36" s="13"/>
      </tp>
      <tp t="e">
        <v>#N/A</v>
        <stp/>
        <stp>BDH|18192579382051072918</stp>
        <tr r="W7" s="8"/>
      </tp>
      <tp t="e">
        <v>#N/A</v>
        <stp/>
        <stp>BDH|12202498158708286649</stp>
        <tr r="J10" s="11"/>
      </tp>
      <tp t="e">
        <v>#N/A</v>
        <stp/>
        <stp>BDH|16960880732358190870</stp>
        <tr r="P32" s="26"/>
      </tp>
      <tp t="e">
        <v>#N/A</v>
        <stp/>
        <stp>BDH|12474460480657262454</stp>
        <tr r="F56" s="13"/>
      </tp>
      <tp t="e">
        <v>#N/A</v>
        <stp/>
        <stp>BDH|17886380761837232860</stp>
        <tr r="G27" s="14"/>
      </tp>
      <tp t="e">
        <v>#N/A</v>
        <stp/>
        <stp>BDH|17455206351398753577</stp>
        <tr r="E100" s="18"/>
        <tr r="E9" s="20"/>
      </tp>
      <tp t="e">
        <v>#N/A</v>
        <stp/>
        <stp>BDH|16498992858992910591</stp>
        <tr r="L141" s="18"/>
      </tp>
      <tp t="e">
        <v>#N/A</v>
        <stp/>
        <stp>BDH|10174995249596344671</stp>
        <tr r="W22" s="24"/>
      </tp>
      <tp t="e">
        <v>#N/A</v>
        <stp/>
        <stp>BDH|13334255453248408145</stp>
        <tr r="J15" s="24"/>
      </tp>
      <tp t="e">
        <v>#N/A</v>
        <stp/>
        <stp>BDH|16922382137782317907</stp>
        <tr r="Y34" s="29"/>
      </tp>
      <tp t="e">
        <v>#N/A</v>
        <stp/>
        <stp>BDH|17054056448797870903</stp>
        <tr r="G49" s="6"/>
      </tp>
      <tp t="e">
        <v>#N/A</v>
        <stp/>
        <stp>BDH|15111636304839560769</stp>
        <tr r="R64" s="21"/>
        <tr r="O31" s="6"/>
      </tp>
      <tp t="e">
        <v>#N/A</v>
        <stp/>
        <stp>BDH|10952341500338103690</stp>
        <tr r="O16" s="12"/>
      </tp>
      <tp t="e">
        <v>#N/A</v>
        <stp/>
        <stp>BDH|15790928254695762137</stp>
        <tr r="W39" s="17"/>
      </tp>
      <tp t="e">
        <v>#N/A</v>
        <stp/>
        <stp>BDH|11758959854412791247</stp>
        <tr r="W49" s="17"/>
      </tp>
      <tp t="e">
        <v>#N/A</v>
        <stp/>
        <stp>BDH|18139510709068402886</stp>
        <tr r="AA50" s="13"/>
      </tp>
      <tp t="e">
        <v>#N/A</v>
        <stp/>
        <stp>BDH|10928586552019058464</stp>
        <tr r="AA55" s="18"/>
      </tp>
      <tp t="e">
        <v>#N/A</v>
        <stp/>
        <stp>BDH|11722892418575665056</stp>
        <tr r="Y73" s="12"/>
      </tp>
      <tp t="e">
        <v>#N/A</v>
        <stp/>
        <stp>BDH|18039462947162660723</stp>
        <tr r="T44" s="22"/>
      </tp>
      <tp t="e">
        <v>#N/A</v>
        <stp/>
        <stp>BDH|13247621737363674844</stp>
        <tr r="S6" s="6"/>
      </tp>
      <tp t="e">
        <v>#N/A</v>
        <stp/>
        <stp>BDH|12126358642779318117</stp>
        <tr r="W30" s="10"/>
        <tr r="Y36" s="13"/>
      </tp>
      <tp t="e">
        <v>#N/A</v>
        <stp/>
        <stp>BDH|13987387848108836157</stp>
        <tr r="O67" s="18"/>
      </tp>
      <tp t="e">
        <v>#N/A</v>
        <stp/>
        <stp>BDH|12949830470930961072</stp>
        <tr r="E23" s="5"/>
        <tr r="E23" s="9"/>
      </tp>
      <tp t="e">
        <v>#N/A</v>
        <stp/>
        <stp>BDH|18265426727134105728</stp>
        <tr r="Q45" s="24"/>
      </tp>
      <tp t="e">
        <v>#N/A</v>
        <stp/>
        <stp>BDH|14285329486022495061</stp>
        <tr r="M83" s="18"/>
      </tp>
      <tp t="e">
        <v>#N/A</v>
        <stp/>
        <stp>BDH|14702953901893076374</stp>
        <tr r="W56" s="17"/>
      </tp>
      <tp t="e">
        <v>#N/A</v>
        <stp/>
        <stp>BDH|12553759160406646823</stp>
        <tr r="X68" s="17"/>
      </tp>
      <tp t="e">
        <v>#N/A</v>
        <stp/>
        <stp>BDH|14462955025066485444</stp>
        <tr r="I30" s="21"/>
      </tp>
      <tp t="e">
        <v>#N/A</v>
        <stp/>
        <stp>BDH|10816381481233058559</stp>
        <tr r="N69" s="18"/>
      </tp>
      <tp t="e">
        <v>#N/A</v>
        <stp/>
        <stp>BDH|15707165235259795370</stp>
        <tr r="M29" s="17"/>
      </tp>
      <tp t="e">
        <v>#N/A</v>
        <stp/>
        <stp>BDH|13158510490595287766</stp>
        <tr r="D19" s="24"/>
      </tp>
      <tp t="e">
        <v>#N/A</v>
        <stp/>
        <stp>BDH|12961820833313492781</stp>
        <tr r="F53" s="24"/>
      </tp>
      <tp t="e">
        <v>#N/A</v>
        <stp/>
        <stp>BDH|16067801942994660305</stp>
        <tr r="M49" s="21"/>
      </tp>
      <tp t="e">
        <v>#N/A</v>
        <stp/>
        <stp>BDH|18270348961684261412</stp>
        <tr r="Q9" s="24"/>
      </tp>
      <tp t="e">
        <v>#N/A</v>
        <stp/>
        <stp>BDH|15920443946031898974</stp>
        <tr r="U27" s="24"/>
      </tp>
      <tp t="e">
        <v>#N/A</v>
        <stp/>
        <stp>BDH|13154370996135671120</stp>
        <tr r="E113" s="18"/>
      </tp>
      <tp t="e">
        <v>#N/A</v>
        <stp/>
        <stp>BDH|17416822200330168235</stp>
        <tr r="D38" s="25"/>
      </tp>
      <tp t="e">
        <v>#N/A</v>
        <stp/>
        <stp>BDH|11032844212744571174</stp>
        <tr r="X7" s="21"/>
      </tp>
      <tp t="e">
        <v>#N/A</v>
        <stp/>
        <stp>BDH|11060570045245424825</stp>
        <tr r="H32" s="10"/>
        <tr r="H24" s="11"/>
      </tp>
      <tp t="e">
        <v>#N/A</v>
        <stp/>
        <stp>BDH|14280070146459478439</stp>
        <tr r="S47" s="10"/>
        <tr r="S39" s="11"/>
      </tp>
      <tp t="e">
        <v>#N/A</v>
        <stp/>
        <stp>BDH|16743680577198428285</stp>
        <tr r="W14" s="20"/>
      </tp>
      <tp t="e">
        <v>#N/A</v>
        <stp/>
        <stp>BDH|16264323093554360544</stp>
        <tr r="F36" s="34"/>
      </tp>
      <tp t="e">
        <v>#N/A</v>
        <stp/>
        <stp>BDH|10149170891101622455</stp>
        <tr r="S15" s="14"/>
      </tp>
      <tp t="e">
        <v>#N/A</v>
        <stp/>
        <stp>BDH|13318975491257766961</stp>
        <tr r="O9" s="22"/>
      </tp>
      <tp t="e">
        <v>#N/A</v>
        <stp/>
        <stp>BDH|11735557916271830984</stp>
        <tr r="U27" s="34"/>
      </tp>
      <tp t="e">
        <v>#N/A</v>
        <stp/>
        <stp>BDH|11763050750031166871</stp>
        <tr r="P6" s="28"/>
      </tp>
      <tp t="e">
        <v>#N/A</v>
        <stp/>
        <stp>BDH|12140353065219222376</stp>
        <tr r="H25" s="24"/>
      </tp>
      <tp t="e">
        <v>#N/A</v>
        <stp/>
        <stp>BDH|18377364123685331116</stp>
        <tr r="F10" s="21"/>
      </tp>
      <tp t="e">
        <v>#N/A</v>
        <stp/>
        <stp>BDH|18436533312831402058</stp>
        <tr r="P21" s="2"/>
      </tp>
      <tp t="e">
        <v>#N/A</v>
        <stp/>
        <stp>BDH|12712628483575391415</stp>
        <tr r="K6" s="6"/>
      </tp>
      <tp t="e">
        <v>#N/A</v>
        <stp/>
        <stp>BDH|11767024381311087509</stp>
        <tr r="AA21" s="21"/>
      </tp>
      <tp t="e">
        <v>#N/A</v>
        <stp/>
        <stp>BDH|18134247976888799802</stp>
        <tr r="I37" s="12"/>
      </tp>
      <tp t="e">
        <v>#N/A</v>
        <stp/>
        <stp>BDH|17018563828485331892</stp>
        <tr r="O92" s="17"/>
        <tr r="O13" s="28"/>
      </tp>
      <tp t="e">
        <v>#N/A</v>
        <stp/>
        <stp>BDH|16972881625746308736</stp>
        <tr r="V20" s="25"/>
      </tp>
      <tp t="e">
        <v>#N/A</v>
        <stp/>
        <stp>BDH|10469674270754449836</stp>
        <tr r="C23" s="21"/>
      </tp>
      <tp t="e">
        <v>#N/A</v>
        <stp/>
        <stp>BDH|15511353914092903895</stp>
        <tr r="Y90" s="12"/>
      </tp>
      <tp t="e">
        <v>#N/A</v>
        <stp/>
        <stp>BDH|10499739185832181076</stp>
        <tr r="K10" s="2"/>
        <tr r="J11" s="5"/>
        <tr r="J55" s="6"/>
        <tr r="K33" s="29"/>
        <tr r="K42" s="29"/>
      </tp>
      <tp t="e">
        <v>#N/A</v>
        <stp/>
        <stp>BDH|11324924273171760317</stp>
        <tr r="K91" s="17"/>
        <tr r="K7" s="27"/>
      </tp>
      <tp t="e">
        <v>#N/A</v>
        <stp/>
        <stp>BDH|14070332366388504443</stp>
        <tr r="V93" s="17"/>
      </tp>
      <tp t="e">
        <v>#N/A</v>
        <stp/>
        <stp>BDH|17547822541586614047</stp>
        <tr r="S32" s="22"/>
      </tp>
      <tp t="e">
        <v>#N/A</v>
        <stp/>
        <stp>BDH|12461137607559407701</stp>
        <tr r="Y21" s="30"/>
      </tp>
      <tp t="e">
        <v>#N/A</v>
        <stp/>
        <stp>BDH|14372830392200565836</stp>
        <tr r="S25" s="24"/>
      </tp>
      <tp t="e">
        <v>#N/A</v>
        <stp/>
        <stp>BDH|17597398139398062210</stp>
        <tr r="R16" s="26"/>
      </tp>
      <tp t="e">
        <v>#N/A</v>
        <stp/>
        <stp>BDH|16646567492293572432</stp>
        <tr r="N17" s="20"/>
      </tp>
      <tp t="e">
        <v>#N/A</v>
        <stp/>
        <stp>BDH|12058855006856386144</stp>
        <tr r="R8" s="24"/>
      </tp>
      <tp t="e">
        <v>#N/A</v>
        <stp/>
        <stp>BDH|14921288081725784631</stp>
        <tr r="I24" s="29"/>
      </tp>
      <tp t="e">
        <v>#N/A</v>
        <stp/>
        <stp>BDH|10576902820491837796</stp>
        <tr r="Y92" s="18"/>
      </tp>
      <tp t="e">
        <v>#N/A</v>
        <stp/>
        <stp>BDH|12392262402018568556</stp>
        <tr r="N24" s="18"/>
      </tp>
      <tp t="e">
        <v>#N/A</v>
        <stp/>
        <stp>BDH|17853235050609499484</stp>
        <tr r="F26" s="29"/>
      </tp>
      <tp t="e">
        <v>#N/A</v>
        <stp/>
        <stp>BDH|14690612813799045733</stp>
        <tr r="N32" s="24"/>
      </tp>
      <tp t="e">
        <v>#N/A</v>
        <stp/>
        <stp>BDH|12511236524069382664</stp>
        <tr r="Y9" s="2"/>
        <tr r="AA8" s="25"/>
        <tr r="X10" s="5"/>
      </tp>
      <tp t="e">
        <v>#N/A</v>
        <stp/>
        <stp>BDH|15679925196630299876</stp>
        <tr r="Q11" s="22"/>
      </tp>
      <tp t="e">
        <v>#N/A</v>
        <stp/>
        <stp>BDH|15488908599200296881</stp>
        <tr r="W84" s="12"/>
      </tp>
      <tp t="e">
        <v>#N/A</v>
        <stp/>
        <stp>BDH|11157590200580737989</stp>
        <tr r="M34" s="22"/>
      </tp>
      <tp t="e">
        <v>#N/A</v>
        <stp/>
        <stp>BDH|10840289254263301905</stp>
        <tr r="E26" s="18"/>
      </tp>
      <tp t="e">
        <v>#N/A</v>
        <stp/>
        <stp>BDH|17981967926504774594</stp>
        <tr r="U14" s="4"/>
      </tp>
      <tp t="e">
        <v>#N/A</v>
        <stp/>
        <stp>BDH|11756991391994146890</stp>
        <tr r="P91" s="18"/>
      </tp>
      <tp t="e">
        <v>#N/A</v>
        <stp/>
        <stp>BDH|14439883404380897173</stp>
        <tr r="J33" s="18"/>
      </tp>
      <tp t="e">
        <v>#N/A</v>
        <stp/>
        <stp>BDH|12760610168748098790</stp>
        <tr r="E19" s="22"/>
      </tp>
      <tp t="e">
        <v>#N/A</v>
        <stp/>
        <stp>BDH|14385937226345112702</stp>
        <tr r="Z97" s="18"/>
        <tr r="Z6" s="20"/>
      </tp>
      <tp t="e">
        <v>#N/A</v>
        <stp/>
        <stp>BDH|15365160071988538662</stp>
        <tr r="N8" s="4"/>
      </tp>
      <tp t="e">
        <v>#N/A</v>
        <stp/>
        <stp>BDH|15311571899057899325</stp>
        <tr r="Q49" s="24"/>
      </tp>
      <tp t="e">
        <v>#N/A</v>
        <stp/>
        <stp>BDH|10638513788019157996</stp>
        <tr r="O43" s="10"/>
        <tr r="O35" s="11"/>
      </tp>
      <tp t="e">
        <v>#N/A</v>
        <stp/>
        <stp>BDH|11381332596396619079</stp>
        <tr r="V64" s="10"/>
      </tp>
      <tp t="e">
        <v>#N/A</v>
        <stp/>
        <stp>BDH|10766243202517523833</stp>
        <tr r="I89" s="18"/>
      </tp>
      <tp t="e">
        <v>#N/A</v>
        <stp/>
        <stp>BDH|13230668305411682906</stp>
        <tr r="W40" s="17"/>
      </tp>
      <tp t="e">
        <v>#N/A</v>
        <stp/>
        <stp>BDH|12559803332157633364</stp>
        <tr r="O40" s="21"/>
      </tp>
      <tp t="e">
        <v>#N/A</v>
        <stp/>
        <stp>BDH|12694818152206105433</stp>
        <tr r="D56" s="24"/>
      </tp>
      <tp t="e">
        <v>#N/A</v>
        <stp/>
        <stp>BDH|14722676396227657174</stp>
        <tr r="J59" s="18"/>
      </tp>
      <tp t="e">
        <v>#N/A</v>
        <stp/>
        <stp>BDH|15717415666018406233</stp>
        <tr r="AA63" s="13"/>
      </tp>
      <tp t="e">
        <v>#N/A</v>
        <stp/>
        <stp>BDH|10128288342722929958</stp>
        <tr r="U76" s="24"/>
      </tp>
      <tp t="e">
        <v>#N/A</v>
        <stp/>
        <stp>BDH|17315292618628446117</stp>
        <tr r="P83" s="17"/>
      </tp>
      <tp t="e">
        <v>#N/A</v>
        <stp/>
        <stp>BDH|14733826550564140032</stp>
        <tr r="T20" s="26"/>
      </tp>
      <tp t="e">
        <v>#N/A</v>
        <stp/>
        <stp>BDH|16477450947972330929</stp>
        <tr r="AA10" s="24"/>
      </tp>
      <tp t="e">
        <v>#N/A</v>
        <stp/>
        <stp>BDH|12826618168849036665</stp>
        <tr r="E34" s="10"/>
        <tr r="E26" s="11"/>
      </tp>
      <tp t="e">
        <v>#N/A</v>
        <stp/>
        <stp>BDH|15733754050718133247</stp>
        <tr r="K18" s="23"/>
      </tp>
      <tp t="e">
        <v>#N/A</v>
        <stp/>
        <stp>BDH|10024178740521007914</stp>
        <tr r="D13" s="13"/>
      </tp>
      <tp t="e">
        <v>#N/A</v>
        <stp/>
        <stp>BDH|13100551156087390972</stp>
        <tr r="M32" s="12"/>
      </tp>
      <tp t="e">
        <v>#N/A</v>
        <stp/>
        <stp>BDH|13282856666725676514</stp>
        <tr r="R9" s="18"/>
      </tp>
      <tp t="e">
        <v>#N/A</v>
        <stp/>
        <stp>BDH|18293250962703254212</stp>
        <tr r="AA41" s="18"/>
      </tp>
      <tp t="e">
        <v>#N/A</v>
        <stp/>
        <stp>BDH|12375869347773275067</stp>
        <tr r="U6" s="19"/>
        <tr r="U35" s="17"/>
        <tr r="U16" s="3"/>
      </tp>
      <tp t="e">
        <v>#N/A</v>
        <stp/>
        <stp>BDH|13115548059297206983</stp>
        <tr r="C47" s="21"/>
      </tp>
      <tp t="e">
        <v>#N/A</v>
        <stp/>
        <stp>BDH|18108008456008406850</stp>
        <tr r="D48" s="17"/>
      </tp>
      <tp t="e">
        <v>#N/A</v>
        <stp/>
        <stp>BDH|12216434299907621586</stp>
        <tr r="X9" s="10"/>
      </tp>
      <tp t="e">
        <v>#N/A</v>
        <stp/>
        <stp>BDH|13215227164528124239</stp>
        <tr r="H53" s="12"/>
      </tp>
      <tp t="e">
        <v>#N/A</v>
        <stp/>
        <stp>BDH|11846589691914497432</stp>
        <tr r="D133" s="18"/>
      </tp>
      <tp t="e">
        <v>#N/A</v>
        <stp/>
        <stp>BDH|15077463599915162084</stp>
        <tr r="T17" s="17"/>
        <tr r="T20" s="28"/>
      </tp>
      <tp t="e">
        <v>#N/A</v>
        <stp/>
        <stp>BDH|13555955804652315519</stp>
        <tr r="M28" s="18"/>
      </tp>
      <tp t="e">
        <v>#N/A</v>
        <stp/>
        <stp>BDH|17454848661451328545</stp>
        <tr r="G89" s="18"/>
      </tp>
      <tp t="e">
        <v>#N/A</v>
        <stp/>
        <stp>BDH|17749433273911330823</stp>
        <tr r="J41" s="21"/>
      </tp>
      <tp t="e">
        <v>#N/A</v>
        <stp/>
        <stp>BDH|12137275746041500838</stp>
        <tr r="O23" s="12"/>
      </tp>
      <tp t="e">
        <v>#N/A</v>
        <stp/>
        <stp>BDH|16991165289075755777</stp>
        <tr r="L8" s="27"/>
      </tp>
      <tp t="e">
        <v>#N/A</v>
        <stp/>
        <stp>BDH|13706087367421872969</stp>
        <tr r="I142" s="18"/>
      </tp>
      <tp t="e">
        <v>#N/A</v>
        <stp/>
        <stp>BDH|16319981729879069943</stp>
        <tr r="R59" s="11"/>
        <tr r="T15" s="23"/>
      </tp>
      <tp t="e">
        <v>#N/A</v>
        <stp/>
        <stp>BDH|13778339446730386972</stp>
        <tr r="W31" s="17"/>
      </tp>
      <tp t="e">
        <v>#N/A</v>
        <stp/>
        <stp>BDH|18405427839113039196</stp>
        <tr r="M10" s="14"/>
      </tp>
      <tp t="e">
        <v>#N/A</v>
        <stp/>
        <stp>BDH|10560320082556341005</stp>
        <tr r="D71" s="17"/>
      </tp>
      <tp t="e">
        <v>#N/A</v>
        <stp/>
        <stp>BDH|10616391240263873917</stp>
        <tr r="V24" s="24"/>
      </tp>
      <tp t="e">
        <v>#N/A</v>
        <stp/>
        <stp>BDH|18021123867310749244</stp>
        <tr r="F43" s="12"/>
      </tp>
      <tp t="e">
        <v>#N/A</v>
        <stp/>
        <stp>BDH|11766864256195570445</stp>
        <tr r="J7" s="6"/>
      </tp>
      <tp t="e">
        <v>#N/A</v>
        <stp/>
        <stp>BDH|15860831165497944116</stp>
        <tr r="U17" s="17"/>
        <tr r="U20" s="28"/>
      </tp>
      <tp t="e">
        <v>#N/A</v>
        <stp/>
        <stp>BDH|17076207394546614745</stp>
        <tr r="O13" s="20"/>
      </tp>
      <tp t="e">
        <v>#N/A</v>
        <stp/>
        <stp>BDH|12049975741594901695</stp>
        <tr r="W31" s="25"/>
        <tr r="T14" s="5"/>
        <tr r="W17" s="27"/>
      </tp>
      <tp t="e">
        <v>#N/A</v>
        <stp/>
        <stp>BDH|15857773351933991917</stp>
        <tr r="P58" s="13"/>
      </tp>
      <tp t="e">
        <v>#N/A</v>
        <stp/>
        <stp>BDH|10427397453388038384</stp>
        <tr r="V44" s="18"/>
      </tp>
      <tp t="e">
        <v>#N/A</v>
        <stp/>
        <stp>BDH|14265736535528048521</stp>
        <tr r="U30" s="12"/>
      </tp>
      <tp t="e">
        <v>#N/A</v>
        <stp/>
        <stp>BDH|16016140221451274912</stp>
        <tr r="Q48" s="6"/>
      </tp>
      <tp t="e">
        <v>#N/A</v>
        <stp/>
        <stp>BDH|11293504024002944999</stp>
        <tr r="G77" s="17"/>
      </tp>
      <tp t="e">
        <v>#N/A</v>
        <stp/>
        <stp>BDH|15726161512499644134</stp>
        <tr r="P28" s="22"/>
      </tp>
      <tp t="e">
        <v>#N/A</v>
        <stp/>
        <stp>BDH|17032483124624273886</stp>
        <tr r="C69" s="18"/>
      </tp>
      <tp t="e">
        <v>#N/A</v>
        <stp/>
        <stp>BDH|11981917276564042688</stp>
        <tr r="R28" s="21"/>
      </tp>
      <tp t="e">
        <v>#N/A</v>
        <stp/>
        <stp>BDH|17776296109369853191</stp>
        <tr r="G15" s="24"/>
      </tp>
      <tp t="e">
        <v>#N/A</v>
        <stp/>
        <stp>BDH|10421065931139260775</stp>
        <tr r="T10" s="18"/>
      </tp>
      <tp t="e">
        <v>#N/A</v>
        <stp/>
        <stp>BDH|18439139255083587217</stp>
        <tr r="W93" s="18"/>
      </tp>
      <tp t="e">
        <v>#N/A</v>
        <stp/>
        <stp>BDH|11272423090441141071</stp>
        <tr r="D18" s="23"/>
      </tp>
      <tp t="e">
        <v>#N/A</v>
        <stp/>
        <stp>BDH|17307409754958767363</stp>
        <tr r="G16" s="2"/>
        <tr r="G32" s="4"/>
        <tr r="G62" s="10"/>
        <tr r="I19" s="13"/>
      </tp>
      <tp t="e">
        <v>#N/A</v>
        <stp/>
        <stp>BDH|17471241638059399225</stp>
        <tr r="F26" s="22"/>
      </tp>
      <tp t="e">
        <v>#N/A</v>
        <stp/>
        <stp>BDH|13893559452637644908</stp>
        <tr r="Z43" s="18"/>
      </tp>
      <tp t="e">
        <v>#N/A</v>
        <stp/>
        <stp>BDH|16103811473981815520</stp>
        <tr r="D43" s="12"/>
      </tp>
      <tp t="e">
        <v>#N/A</v>
        <stp/>
        <stp>BDH|11404275599810027736</stp>
        <tr r="Q89" s="17"/>
        <tr r="Q34" s="25"/>
      </tp>
      <tp t="e">
        <v>#N/A</v>
        <stp/>
        <stp>BDH|17648374893811844134</stp>
        <tr r="F34" s="17"/>
      </tp>
      <tp t="e">
        <v>#N/A</v>
        <stp/>
        <stp>BDH|15790657494282602593</stp>
        <tr r="W40" s="12"/>
      </tp>
      <tp t="e">
        <v>#N/A</v>
        <stp/>
        <stp>BDH|10019586154754667938</stp>
        <tr r="U29" s="12"/>
      </tp>
      <tp t="e">
        <v>#N/A</v>
        <stp/>
        <stp>BDH|12328801999619536768</stp>
        <tr r="K65" s="21"/>
      </tp>
      <tp t="e">
        <v>#N/A</v>
        <stp/>
        <stp>BDH|16887922702640922280</stp>
        <tr r="N86" s="12"/>
      </tp>
      <tp t="e">
        <v>#N/A</v>
        <stp/>
        <stp>BDH|10572999351508410904</stp>
        <tr r="R57" s="18"/>
      </tp>
      <tp t="e">
        <v>#N/A</v>
        <stp/>
        <stp>BDH|11187977308166043379</stp>
        <tr r="D85" s="18"/>
      </tp>
      <tp t="e">
        <v>#N/A</v>
        <stp/>
        <stp>BDH|13538787463809588626</stp>
        <tr r="R11" s="30"/>
      </tp>
      <tp t="e">
        <v>#N/A</v>
        <stp/>
        <stp>BDH|12982015086970649711</stp>
        <tr r="N87" s="17"/>
      </tp>
      <tp t="e">
        <v>#N/A</v>
        <stp/>
        <stp>BDH|13785124920779523498</stp>
        <tr r="K13" s="13"/>
      </tp>
      <tp t="e">
        <v>#N/A</v>
        <stp/>
        <stp>BDH|12117618569317093802</stp>
        <tr r="I127" s="18"/>
      </tp>
      <tp t="e">
        <v>#N/A</v>
        <stp/>
        <stp>BDH|12460571078448606542</stp>
        <tr r="L11" s="12"/>
      </tp>
      <tp t="e">
        <v>#N/A</v>
        <stp/>
        <stp>BDH|11062122398440148424</stp>
        <tr r="J10" s="26"/>
      </tp>
      <tp t="e">
        <v>#N/A</v>
        <stp/>
        <stp>BDH|14389103580056997632</stp>
        <tr r="P48" s="21"/>
      </tp>
      <tp t="e">
        <v>#N/A</v>
        <stp/>
        <stp>BDH|12875012894417156154</stp>
        <tr r="K119" s="18"/>
      </tp>
      <tp t="e">
        <v>#N/A</v>
        <stp/>
        <stp>BDH|16031858290832556896</stp>
        <tr r="O105" s="18"/>
      </tp>
      <tp t="e">
        <v>#N/A</v>
        <stp/>
        <stp>BDH|17725800669231454532</stp>
        <tr r="Y23" s="2"/>
        <tr r="AA18" s="21"/>
        <tr r="AA23" s="3"/>
      </tp>
      <tp t="e">
        <v>#N/A</v>
        <stp/>
        <stp>BDH|16736014771029873567</stp>
        <tr r="N8" s="12"/>
      </tp>
      <tp t="e">
        <v>#N/A</v>
        <stp/>
        <stp>BDH|10095132413569011499</stp>
        <tr r="C9" s="23"/>
      </tp>
      <tp t="e">
        <v>#N/A</v>
        <stp/>
        <stp>BDH|13754796753355222966</stp>
        <tr r="P11" s="29"/>
      </tp>
      <tp t="e">
        <v>#N/A</v>
        <stp/>
        <stp>BDH|15913204040308527650</stp>
        <tr r="O60" s="11"/>
        <tr r="Q19" s="23"/>
      </tp>
      <tp t="e">
        <v>#N/A</v>
        <stp/>
        <stp>BDH|11949212600808867683</stp>
        <tr r="J63" s="10"/>
      </tp>
      <tp t="e">
        <v>#N/A</v>
        <stp/>
        <stp>BDH|12542573160479382590</stp>
        <tr r="C20" s="23"/>
      </tp>
      <tp t="e">
        <v>#N/A</v>
        <stp/>
        <stp>BDH|17285065686280213284</stp>
        <tr r="E42" s="34"/>
      </tp>
      <tp t="e">
        <v>#N/A</v>
        <stp/>
        <stp>BDH|12142494539788197087</stp>
        <tr r="W43" s="22"/>
      </tp>
      <tp t="e">
        <v>#N/A</v>
        <stp/>
        <stp>BDH|11495982873382788008</stp>
        <tr r="S126" s="18"/>
      </tp>
      <tp t="e">
        <v>#N/A</v>
        <stp/>
        <stp>BDH|13888953614474436254</stp>
        <tr r="K32" s="24"/>
      </tp>
      <tp t="e">
        <v>#N/A</v>
        <stp/>
        <stp>BDH|15795922345777906214</stp>
        <tr r="P109" s="18"/>
      </tp>
      <tp t="e">
        <v>#N/A</v>
        <stp/>
        <stp>BDH|16649378916651845871</stp>
        <tr r="M45" s="34"/>
      </tp>
      <tp t="e">
        <v>#N/A</v>
        <stp/>
        <stp>BDH|13815237650500641958</stp>
        <tr r="K8" s="24"/>
      </tp>
      <tp t="e">
        <v>#N/A</v>
        <stp/>
        <stp>BDH|16554299369598445790</stp>
        <tr r="Y111" s="18"/>
      </tp>
      <tp t="e">
        <v>#N/A</v>
        <stp/>
        <stp>BDH|15613670699965903295</stp>
        <tr r="C39" s="4"/>
        <tr r="C66" s="10"/>
      </tp>
      <tp t="e">
        <v>#N/A</v>
        <stp/>
        <stp>BDH|13396213401669272597</stp>
        <tr r="U22" s="27"/>
      </tp>
      <tp t="e">
        <v>#N/A</v>
        <stp/>
        <stp>BDH|16305963186903917927</stp>
        <tr r="X34" s="18"/>
      </tp>
      <tp t="e">
        <v>#N/A</v>
        <stp/>
        <stp>BDH|12786118861848935068</stp>
        <tr r="V24" s="17"/>
      </tp>
      <tp t="e">
        <v>#N/A</v>
        <stp/>
        <stp>BDH|15867907407028328940</stp>
        <tr r="Q24" s="21"/>
      </tp>
      <tp t="e">
        <v>#N/A</v>
        <stp/>
        <stp>BDH|18182735149156496076</stp>
        <tr r="L61" s="13"/>
      </tp>
      <tp t="e">
        <v>#N/A</v>
        <stp/>
        <stp>BDH|13930432290873736059</stp>
        <tr r="Z21" s="24"/>
      </tp>
      <tp t="e">
        <v>#N/A</v>
        <stp/>
        <stp>BDH|12779071678420640864</stp>
        <tr r="H19" s="11"/>
      </tp>
      <tp t="e">
        <v>#N/A</v>
        <stp/>
        <stp>BDH|15756095748895881962</stp>
        <tr r="U24" s="2"/>
      </tp>
      <tp t="e">
        <v>#N/A</v>
        <stp/>
        <stp>BDH|15310995027587369465</stp>
        <tr r="I25" s="22"/>
      </tp>
      <tp t="e">
        <v>#N/A</v>
        <stp/>
        <stp>BDH|11387393971759792144</stp>
        <tr r="X20" s="17"/>
      </tp>
      <tp t="e">
        <v>#N/A</v>
        <stp/>
        <stp>BDH|14583889271315104353</stp>
        <tr r="R38" s="22"/>
      </tp>
      <tp t="e">
        <v>#N/A</v>
        <stp/>
        <stp>BDH|10590143341801932910</stp>
        <tr r="R24" s="17"/>
      </tp>
      <tp t="e">
        <v>#N/A</v>
        <stp/>
        <stp>BDH|11146689283430695241</stp>
        <tr r="M23" s="12"/>
      </tp>
      <tp t="e">
        <v>#N/A</v>
        <stp/>
        <stp>BDH|12775047153103816901</stp>
        <tr r="N44" s="17"/>
      </tp>
      <tp t="e">
        <v>#N/A</v>
        <stp/>
        <stp>BDH|12833307919714004993</stp>
        <tr r="W21" s="14"/>
      </tp>
      <tp t="e">
        <v>#N/A</v>
        <stp/>
        <stp>BDH|11343746878435751903</stp>
        <tr r="W60" s="12"/>
      </tp>
      <tp t="e">
        <v>#N/A</v>
        <stp/>
        <stp>BDH|12794950968823038322</stp>
        <tr r="V14" s="29"/>
        <tr r="V23" s="29"/>
        <tr r="V37" s="29"/>
      </tp>
      <tp t="e">
        <v>#N/A</v>
        <stp/>
        <stp>BDH|15204351983457865444</stp>
        <tr r="E38" s="12"/>
      </tp>
      <tp t="e">
        <v>#N/A</v>
        <stp/>
        <stp>BDH|15215063981641407193</stp>
        <tr r="R53" s="10"/>
        <tr r="R45" s="11"/>
        <tr r="R16" s="7"/>
      </tp>
      <tp t="e">
        <v>#N/A</v>
        <stp/>
        <stp>BDH|13678574458346779862</stp>
        <tr r="H12" s="6"/>
      </tp>
      <tp t="e">
        <v>#N/A</v>
        <stp/>
        <stp>BDH|13661829745967948506</stp>
        <tr r="C66" s="17"/>
        <tr r="C18" s="3"/>
      </tp>
      <tp t="e">
        <v>#N/A</v>
        <stp/>
        <stp>BDH|17995823231012766367</stp>
        <tr r="S38" s="22"/>
      </tp>
      <tp t="e">
        <v>#N/A</v>
        <stp/>
        <stp>BDH|14177807499821633951</stp>
        <tr r="M65" s="17"/>
      </tp>
      <tp t="e">
        <v>#N/A</v>
        <stp/>
        <stp>BDH|11483977108695244024</stp>
        <tr r="D11" s="29"/>
      </tp>
      <tp t="e">
        <v>#N/A</v>
        <stp/>
        <stp>BDH|15017098961637202916</stp>
        <tr r="O94" s="18"/>
      </tp>
      <tp t="e">
        <v>#N/A</v>
        <stp/>
        <stp>BDH|16772239664508242796</stp>
        <tr r="F9" s="6"/>
      </tp>
      <tp t="e">
        <v>#N/A</v>
        <stp/>
        <stp>BDH|17475186658877747985</stp>
        <tr r="I18" s="24"/>
      </tp>
      <tp t="e">
        <v>#N/A</v>
        <stp/>
        <stp>BDH|10488345771280227982</stp>
        <tr r="Q86" s="17"/>
      </tp>
      <tp t="e">
        <v>#N/A</v>
        <stp/>
        <stp>BDH|11416211511099999666</stp>
        <tr r="D43" s="10"/>
        <tr r="D35" s="11"/>
      </tp>
      <tp t="e">
        <v>#N/A</v>
        <stp/>
        <stp>BDH|14398397691425160611</stp>
        <tr r="V50" s="24"/>
      </tp>
      <tp t="e">
        <v>#N/A</v>
        <stp/>
        <stp>BDH|11958999460415274692</stp>
        <tr r="H20" s="5"/>
      </tp>
      <tp t="e">
        <v>#N/A</v>
        <stp/>
        <stp>BDH|17711998203366320554</stp>
        <tr r="H13" s="13"/>
      </tp>
      <tp t="e">
        <v>#N/A</v>
        <stp/>
        <stp>BDH|16752568021115293999</stp>
        <tr r="U14" s="28"/>
      </tp>
      <tp t="e">
        <v>#N/A</v>
        <stp/>
        <stp>BDH|13997756074086484875</stp>
        <tr r="V48" s="17"/>
      </tp>
      <tp t="e">
        <v>#N/A</v>
        <stp/>
        <stp>BDH|14914048057964336821</stp>
        <tr r="E12" s="26"/>
      </tp>
      <tp t="e">
        <v>#N/A</v>
        <stp/>
        <stp>BDH|16932621775579175342</stp>
        <tr r="K31" s="21"/>
      </tp>
      <tp t="e">
        <v>#N/A</v>
        <stp/>
        <stp>BDH|13170824533966881330</stp>
        <tr r="P45" s="34"/>
      </tp>
      <tp t="e">
        <v>#N/A</v>
        <stp/>
        <stp>BDH|17807843210801239259</stp>
        <tr r="I16" s="29"/>
        <tr r="I39" s="29"/>
      </tp>
      <tp t="e">
        <v>#N/A</v>
        <stp/>
        <stp>BDH|13033140278238481038</stp>
        <tr r="Q63" s="12"/>
      </tp>
      <tp t="e">
        <v>#N/A</v>
        <stp/>
        <stp>BDH|12935328896234106179</stp>
        <tr r="R23" s="30"/>
        <tr r="R25" s="23"/>
      </tp>
      <tp t="e">
        <v>#N/A</v>
        <stp/>
        <stp>BDH|17564087724521726956</stp>
        <tr r="V9" s="18"/>
      </tp>
      <tp t="e">
        <v>#N/A</v>
        <stp/>
        <stp>BDH|11774624725401867936</stp>
        <tr r="Y49" s="17"/>
      </tp>
      <tp t="e">
        <v>#N/A</v>
        <stp/>
        <stp>BDH|10443547092863854219</stp>
        <tr r="Q9" s="28"/>
      </tp>
      <tp t="e">
        <v>#N/A</v>
        <stp/>
        <stp>BDH|17735663513629922403</stp>
        <tr r="R61" s="12"/>
      </tp>
      <tp t="e">
        <v>#N/A</v>
        <stp/>
        <stp>BDH|18237811292532224682</stp>
        <tr r="Z23" s="26"/>
      </tp>
      <tp t="e">
        <v>#N/A</v>
        <stp/>
        <stp>BDH|12550164488380017605</stp>
        <tr r="V67" s="24"/>
      </tp>
      <tp t="e">
        <v>#N/A</v>
        <stp/>
        <stp>BDH|15210123429558156334</stp>
        <tr r="V86" s="12"/>
      </tp>
      <tp t="e">
        <v>#N/A</v>
        <stp/>
        <stp>BDH|10320962415335856030</stp>
        <tr r="L15" s="10"/>
      </tp>
      <tp t="e">
        <v>#N/A</v>
        <stp/>
        <stp>BDH|14890708682915385326</stp>
        <tr r="D127" s="18"/>
      </tp>
      <tp t="e">
        <v>#N/A</v>
        <stp/>
        <stp>BDH|10307856597978896423</stp>
        <tr r="W76" s="12"/>
      </tp>
      <tp t="e">
        <v>#N/A</v>
        <stp/>
        <stp>BDH|13851026460390788873</stp>
        <tr r="AA11" s="12"/>
      </tp>
      <tp t="e">
        <v>#N/A</v>
        <stp/>
        <stp>BDH|13934029989805084380</stp>
        <tr r="R75" s="17"/>
        <tr r="O9" s="5"/>
        <tr r="O9" s="9"/>
      </tp>
      <tp t="e">
        <v>#N/A</v>
        <stp/>
        <stp>BDH|10103527747718682482</stp>
        <tr r="L29" s="17"/>
      </tp>
      <tp t="e">
        <v>#N/A</v>
        <stp/>
        <stp>BDH|17760178191081918325</stp>
        <tr r="M48" s="24"/>
      </tp>
      <tp t="e">
        <v>#N/A</v>
        <stp/>
        <stp>BDH|12180976117655359285</stp>
        <tr r="Q141" s="18"/>
      </tp>
      <tp t="e">
        <v>#N/A</v>
        <stp/>
        <stp>BDH|10998721809793118996</stp>
        <tr r="S15" s="9"/>
      </tp>
      <tp t="e">
        <v>#N/A</v>
        <stp/>
        <stp>BDH|15859962657667188326</stp>
        <tr r="O7" s="14"/>
      </tp>
      <tp t="e">
        <v>#N/A</v>
        <stp/>
        <stp>BDH|15764469813729853403</stp>
        <tr r="U17" s="13"/>
      </tp>
      <tp t="e">
        <v>#N/A</v>
        <stp/>
        <stp>BDH|14499691319736846865</stp>
        <tr r="X30" s="34"/>
      </tp>
      <tp t="e">
        <v>#N/A</v>
        <stp/>
        <stp>BDH|16746332590359827869</stp>
        <tr r="C64" s="18"/>
      </tp>
      <tp t="e">
        <v>#N/A</v>
        <stp/>
        <stp>BDH|11826613033930662963</stp>
        <tr r="F16" s="11"/>
      </tp>
      <tp t="e">
        <v>#N/A</v>
        <stp/>
        <stp>BDH|17155174685305881617</stp>
        <tr r="D6" s="6"/>
      </tp>
      <tp t="e">
        <v>#N/A</v>
        <stp/>
        <stp>BDH|15886261754126748970</stp>
        <tr r="W23" s="23"/>
      </tp>
      <tp t="e">
        <v>#N/A</v>
        <stp/>
        <stp>BDH|15774940918035424559</stp>
        <tr r="P42" s="18"/>
      </tp>
      <tp t="e">
        <v>#N/A</v>
        <stp/>
        <stp>BDH|17213568594647363195</stp>
        <tr r="AA67" s="12"/>
      </tp>
      <tp t="e">
        <v>#N/A</v>
        <stp/>
        <stp>BDH|12550397386683865781</stp>
        <tr r="R90" s="12"/>
      </tp>
      <tp t="e">
        <v>#N/A</v>
        <stp/>
        <stp>BDH|12732160948119260313</stp>
        <tr r="S94" s="18"/>
      </tp>
      <tp t="e">
        <v>#N/A</v>
        <stp/>
        <stp>BDH|14710685503579370651</stp>
        <tr r="S46" s="12"/>
      </tp>
      <tp t="e">
        <v>#N/A</v>
        <stp/>
        <stp>BDH|17949130010283406940</stp>
        <tr r="U70" s="18"/>
      </tp>
      <tp t="e">
        <v>#N/A</v>
        <stp/>
        <stp>BDH|14223919218133044218</stp>
        <tr r="O32" s="26"/>
      </tp>
      <tp t="e">
        <v>#N/A</v>
        <stp/>
        <stp>BDH|14527993332075671620</stp>
        <tr r="U63" s="12"/>
      </tp>
      <tp t="e">
        <v>#N/A</v>
        <stp/>
        <stp>BDH|12766507772169825476</stp>
        <tr r="O41" s="22"/>
      </tp>
      <tp t="e">
        <v>#N/A</v>
        <stp/>
        <stp>BDH|10487971549038765805</stp>
        <tr r="L15" s="18"/>
      </tp>
      <tp t="e">
        <v>#N/A</v>
        <stp/>
        <stp>BDH|17053411890610489780</stp>
        <tr r="O39" s="6"/>
      </tp>
      <tp t="e">
        <v>#N/A</v>
        <stp/>
        <stp>BDH|16341917782243906948</stp>
        <tr r="D34" s="12"/>
      </tp>
      <tp t="e">
        <v>#N/A</v>
        <stp/>
        <stp>BDH|10404901204421547588</stp>
        <tr r="R35" s="10"/>
        <tr r="R27" s="11"/>
      </tp>
      <tp t="e">
        <v>#N/A</v>
        <stp/>
        <stp>BDH|12286298886692985796</stp>
        <tr r="F22" s="17"/>
      </tp>
      <tp t="e">
        <v>#N/A</v>
        <stp/>
        <stp>BDH|16512605119945976985</stp>
        <tr r="F75" s="12"/>
      </tp>
      <tp t="e">
        <v>#N/A</v>
        <stp/>
        <stp>BDH|10057985751001383076</stp>
        <tr r="H61" s="21"/>
      </tp>
      <tp t="e">
        <v>#N/A</v>
        <stp/>
        <stp>BDH|10124429218550760816</stp>
        <tr r="S74" s="18"/>
      </tp>
      <tp t="e">
        <v>#N/A</v>
        <stp/>
        <stp>BDH|17204194583046786522</stp>
        <tr r="AA72" s="12"/>
      </tp>
      <tp t="e">
        <v>#N/A</v>
        <stp/>
        <stp>BDH|11390572964509805653</stp>
        <tr r="Y14" s="20"/>
      </tp>
      <tp t="e">
        <v>#N/A</v>
        <stp/>
        <stp>BDH|13463021184293894571</stp>
        <tr r="N23" s="23"/>
      </tp>
      <tp t="e">
        <v>#N/A</v>
        <stp/>
        <stp>BDH|12212947929263305719</stp>
        <tr r="P63" s="12"/>
      </tp>
      <tp t="e">
        <v>#N/A</v>
        <stp/>
        <stp>BDH|12825534036571266827</stp>
        <tr r="O15" s="26"/>
      </tp>
      <tp t="e">
        <v>#N/A</v>
        <stp/>
        <stp>BDH|13658162748539439211</stp>
        <tr r="N8" s="14"/>
      </tp>
      <tp t="e">
        <v>#N/A</v>
        <stp/>
        <stp>BDH|10359246993042068492</stp>
        <tr r="O14" s="6"/>
      </tp>
      <tp t="e">
        <v>#N/A</v>
        <stp/>
        <stp>BDH|15937437896024043117</stp>
        <tr r="F76" s="24"/>
      </tp>
      <tp t="e">
        <v>#N/A</v>
        <stp/>
        <stp>BDH|10949040597971691513</stp>
        <tr r="P13" s="8"/>
      </tp>
      <tp t="e">
        <v>#N/A</v>
        <stp/>
        <stp>BDH|16203877749676227134</stp>
        <tr r="U68" s="18"/>
      </tp>
      <tp t="e">
        <v>#N/A</v>
        <stp/>
        <stp>BDH|12717846259214606612</stp>
        <tr r="I31" s="34"/>
      </tp>
      <tp t="e">
        <v>#N/A</v>
        <stp/>
        <stp>BDH|16661994512441222223</stp>
        <tr r="I26" s="26"/>
      </tp>
      <tp t="e">
        <v>#N/A</v>
        <stp/>
        <stp>BDH|10245129183123885761</stp>
        <tr r="D39" s="6"/>
      </tp>
      <tp t="e">
        <v>#N/A</v>
        <stp/>
        <stp>BDH|16576397929753922911</stp>
        <tr r="O36" s="12"/>
      </tp>
      <tp t="e">
        <v>#N/A</v>
        <stp/>
        <stp>BDH|15402085195817797630</stp>
        <tr r="F19" s="17"/>
      </tp>
      <tp t="e">
        <v>#N/A</v>
        <stp/>
        <stp>BDH|10322182451231213848</stp>
        <tr r="Y48" s="17"/>
      </tp>
      <tp t="e">
        <v>#N/A</v>
        <stp/>
        <stp>BDH|11866812755516598752</stp>
        <tr r="E107" s="18"/>
      </tp>
      <tp t="e">
        <v>#N/A</v>
        <stp/>
        <stp>BDH|15965789040618963345</stp>
        <tr r="W30" s="17"/>
      </tp>
      <tp t="e">
        <v>#N/A</v>
        <stp/>
        <stp>BDH|17043787901894180949</stp>
        <tr r="J21" s="14"/>
      </tp>
      <tp t="e">
        <v>#N/A</v>
        <stp/>
        <stp>BDH|14221145590661888020</stp>
        <tr r="AA91" s="18"/>
      </tp>
      <tp t="e">
        <v>#N/A</v>
        <stp/>
        <stp>BDH|11040733428811079870</stp>
        <tr r="Q14" s="11"/>
      </tp>
      <tp t="e">
        <v>#N/A</v>
        <stp/>
        <stp>BDH|18074416247906959335</stp>
        <tr r="Q9" s="23"/>
      </tp>
      <tp t="e">
        <v>#N/A</v>
        <stp/>
        <stp>BDH|11360005198014226159</stp>
        <tr r="Y20" s="26"/>
      </tp>
      <tp t="e">
        <v>#N/A</v>
        <stp/>
        <stp>BDH|17204388994555265504</stp>
        <tr r="T44" s="18"/>
      </tp>
      <tp t="e">
        <v>#N/A</v>
        <stp/>
        <stp>BDH|12061891291306190852</stp>
        <tr r="Z8" s="23"/>
      </tp>
      <tp t="e">
        <v>#N/A</v>
        <stp/>
        <stp>BDH|13557699598517169691</stp>
        <tr r="R79" s="12"/>
      </tp>
      <tp t="e">
        <v>#N/A</v>
        <stp/>
        <stp>BDH|14738833573020975629</stp>
        <tr r="D18" s="14"/>
      </tp>
      <tp t="e">
        <v>#N/A</v>
        <stp/>
        <stp>BDH|17282650849890149839</stp>
        <tr r="N14" s="21"/>
      </tp>
      <tp t="e">
        <v>#N/A</v>
        <stp/>
        <stp>BDH|10403658349896050949</stp>
        <tr r="U83" s="12"/>
      </tp>
      <tp t="e">
        <v>#N/A</v>
        <stp/>
        <stp>BDH|16990427200306666917</stp>
        <tr r="J16" s="22"/>
      </tp>
      <tp t="e">
        <v>#N/A</v>
        <stp/>
        <stp>BDH|17632490259182214980</stp>
        <tr r="U82" s="12"/>
      </tp>
      <tp t="e">
        <v>#N/A</v>
        <stp/>
        <stp>BDH|16664490820578161526</stp>
        <tr r="N12" s="12"/>
      </tp>
      <tp t="e">
        <v>#N/A</v>
        <stp/>
        <stp>BDH|11233584107899288034</stp>
        <tr r="P8" s="10"/>
      </tp>
      <tp t="e">
        <v>#N/A</v>
        <stp/>
        <stp>BDH|13937220244271106923</stp>
        <tr r="J127" s="18"/>
      </tp>
      <tp t="e">
        <v>#N/A</v>
        <stp/>
        <stp>BDH|11806484355698872514</stp>
        <tr r="O16" s="10"/>
      </tp>
      <tp t="e">
        <v>#N/A</v>
        <stp/>
        <stp>BDH|12948807741070365375</stp>
        <tr r="H16" s="17"/>
        <tr r="H19" s="28"/>
      </tp>
      <tp t="e">
        <v>#N/A</v>
        <stp/>
        <stp>BDH|16013354978616720961</stp>
        <tr r="O9" s="11"/>
      </tp>
      <tp t="e">
        <v>#N/A</v>
        <stp/>
        <stp>BDH|11389829360011833355</stp>
        <tr r="J56" s="24"/>
      </tp>
      <tp t="e">
        <v>#N/A</v>
        <stp/>
        <stp>BDH|16630995962662360620</stp>
        <tr r="I13" s="7"/>
      </tp>
      <tp t="e">
        <v>#N/A</v>
        <stp/>
        <stp>BDH|14538265570345901963</stp>
        <tr r="H90" s="17"/>
      </tp>
      <tp t="e">
        <v>#N/A</v>
        <stp/>
        <stp>BDH|16312216677696127885</stp>
        <tr r="E11" s="30"/>
      </tp>
      <tp t="e">
        <v>#N/A</v>
        <stp/>
        <stp>BDH|15643713406116931943</stp>
        <tr r="E15" s="18"/>
      </tp>
      <tp t="e">
        <v>#N/A</v>
        <stp/>
        <stp>BDH|11939890360246821446</stp>
        <tr r="P24" s="13"/>
      </tp>
      <tp t="e">
        <v>#N/A</v>
        <stp/>
        <stp>BDH|14059971166144825252</stp>
        <tr r="H9" s="28"/>
      </tp>
      <tp t="e">
        <v>#N/A</v>
        <stp/>
        <stp>BDH|11200573059318536456</stp>
        <tr r="R18" s="23"/>
      </tp>
      <tp t="e">
        <v>#N/A</v>
        <stp/>
        <stp>BDH|17862730375559703356</stp>
        <tr r="AA19" s="18"/>
      </tp>
      <tp t="e">
        <v>#N/A</v>
        <stp/>
        <stp>BDH|10112572323079136385</stp>
        <tr r="O17" s="24"/>
      </tp>
      <tp t="e">
        <v>#N/A</v>
        <stp/>
        <stp>BDH|14143531921176801870</stp>
        <tr r="I24" s="2"/>
      </tp>
      <tp t="e">
        <v>#N/A</v>
        <stp/>
        <stp>BDH|15910317598214938653</stp>
        <tr r="O17" s="17"/>
        <tr r="O20" s="28"/>
      </tp>
      <tp t="e">
        <v>#N/A</v>
        <stp/>
        <stp>BDH|14615267287230221392</stp>
        <tr r="S137" s="18"/>
      </tp>
      <tp t="e">
        <v>#N/A</v>
        <stp/>
        <stp>BDH|11641129479518070224</stp>
        <tr r="H41" s="21"/>
      </tp>
      <tp t="e">
        <v>#N/A</v>
        <stp/>
        <stp>BDH|10245052849138343129</stp>
        <tr r="Y8" s="23"/>
      </tp>
      <tp t="e">
        <v>#N/A</v>
        <stp/>
        <stp>BDH|17522398895343649307</stp>
        <tr r="H49" s="13"/>
      </tp>
      <tp t="e">
        <v>#N/A</v>
        <stp/>
        <stp>BDH|12462908647307428586</stp>
        <tr r="R74" s="18"/>
      </tp>
      <tp t="e">
        <v>#N/A</v>
        <stp/>
        <stp>BDH|16501643389030787502</stp>
        <tr r="N20" s="17"/>
      </tp>
      <tp t="e">
        <v>#N/A</v>
        <stp/>
        <stp>BDH|14672583197985737013</stp>
        <tr r="N59" s="17"/>
      </tp>
      <tp t="e">
        <v>#N/A</v>
        <stp/>
        <stp>BDH|17910908516966696464</stp>
        <tr r="H47" s="10"/>
        <tr r="H39" s="11"/>
      </tp>
      <tp t="e">
        <v>#N/A</v>
        <stp/>
        <stp>BDH|16147977628350894094</stp>
        <tr r="W8" s="34"/>
      </tp>
      <tp t="e">
        <v>#N/A</v>
        <stp/>
        <stp>BDH|10391222524769264486</stp>
        <tr r="I81" s="24"/>
      </tp>
      <tp t="e">
        <v>#N/A</v>
        <stp/>
        <stp>BDH|14509371092167645497</stp>
        <tr r="D16" s="23"/>
      </tp>
      <tp t="e">
        <v>#N/A</v>
        <stp/>
        <stp>BDH|12663036624305856865</stp>
        <tr r="K63" s="12"/>
      </tp>
      <tp t="e">
        <v>#N/A</v>
        <stp/>
        <stp>BDH|17142755415354919871</stp>
        <tr r="AA65" s="12"/>
      </tp>
      <tp t="e">
        <v>#N/A</v>
        <stp/>
        <stp>BDH|11939136194692112600</stp>
        <tr r="G20" s="20"/>
      </tp>
      <tp t="e">
        <v>#N/A</v>
        <stp/>
        <stp>BDH|12127495330620349844</stp>
        <tr r="AA46" s="18"/>
      </tp>
      <tp t="e">
        <v>#N/A</v>
        <stp/>
        <stp>BDH|17097330089981126042</stp>
        <tr r="U67" s="10"/>
      </tp>
      <tp t="e">
        <v>#N/A</v>
        <stp/>
        <stp>BDH|17988032371808533511</stp>
        <tr r="AA41" s="34"/>
      </tp>
      <tp t="e">
        <v>#N/A</v>
        <stp/>
        <stp>BDH|12655461909222405921</stp>
        <tr r="V22" s="21"/>
      </tp>
      <tp t="e">
        <v>#N/A</v>
        <stp/>
        <stp>BDH|11741042469298071255</stp>
        <tr r="H86" s="12"/>
      </tp>
      <tp t="e">
        <v>#N/A</v>
        <stp/>
        <stp>BDH|13424854387426123886</stp>
        <tr r="W18" s="12"/>
      </tp>
      <tp t="e">
        <v>#N/A</v>
        <stp/>
        <stp>BDH|10092461784655595482</stp>
        <tr r="W18" s="14"/>
      </tp>
      <tp t="e">
        <v>#N/A</v>
        <stp/>
        <stp>BDH|13140188018616965879</stp>
        <tr r="D64" s="13"/>
      </tp>
      <tp t="e">
        <v>#N/A</v>
        <stp/>
        <stp>BDH|10821838025950255733</stp>
        <tr r="D12" s="7"/>
      </tp>
      <tp t="e">
        <v>#N/A</v>
        <stp/>
        <stp>BDH|12086837790229891741</stp>
        <tr r="O21" s="3"/>
      </tp>
      <tp t="e">
        <v>#N/A</v>
        <stp/>
        <stp>BDH|13547254687324017086</stp>
        <tr r="O49" s="18"/>
      </tp>
      <tp t="e">
        <v>#N/A</v>
        <stp/>
        <stp>BDH|16289230932468859252</stp>
        <tr r="X21" s="10"/>
      </tp>
      <tp t="e">
        <v>#N/A</v>
        <stp/>
        <stp>BDH|12228898474710967080</stp>
        <tr r="L124" s="18"/>
      </tp>
      <tp t="e">
        <v>#N/A</v>
        <stp/>
        <stp>BDH|16588865912613895178</stp>
        <tr r="S127" s="18"/>
      </tp>
      <tp t="e">
        <v>#N/A</v>
        <stp/>
        <stp>BDH|15286802227285378785</stp>
        <tr r="Q10" s="4"/>
        <tr r="P6" s="16"/>
        <tr r="S6" s="3"/>
        <tr r="Q6" s="11"/>
      </tp>
      <tp t="e">
        <v>#N/A</v>
        <stp/>
        <stp>BDH|12490060296673374592</stp>
        <tr r="O13" s="30"/>
      </tp>
      <tp t="e">
        <v>#N/A</v>
        <stp/>
        <stp>BDH|11399901003632715796</stp>
        <tr r="J41" s="12"/>
      </tp>
      <tp t="e">
        <v>#N/A</v>
        <stp/>
        <stp>BDH|16758818259075634377</stp>
        <tr r="X58" s="21"/>
        <tr r="X37" s="25"/>
        <tr r="V31" s="4"/>
        <tr r="V54" s="11"/>
      </tp>
      <tp t="e">
        <v>#N/A</v>
        <stp/>
        <stp>BDH|13639527184685985673</stp>
        <tr r="E33" s="5"/>
      </tp>
      <tp t="e">
        <v>#N/A</v>
        <stp/>
        <stp>BDH|13004837371970940153</stp>
        <tr r="M15" s="13"/>
      </tp>
      <tp t="e">
        <v>#N/A</v>
        <stp/>
        <stp>BDH|12280802777226206691</stp>
        <tr r="V82" s="17"/>
      </tp>
      <tp t="e">
        <v>#N/A</v>
        <stp/>
        <stp>BDH|12330925878879614817</stp>
        <tr r="N42" s="10"/>
        <tr r="N34" s="11"/>
      </tp>
      <tp t="e">
        <v>#N/A</v>
        <stp/>
        <stp>BDH|13980617631779606210</stp>
        <tr r="H17" s="23"/>
      </tp>
      <tp t="e">
        <v>#N/A</v>
        <stp/>
        <stp>BDH|13278100288120488706</stp>
        <tr r="T22" s="22"/>
      </tp>
      <tp t="e">
        <v>#N/A</v>
        <stp/>
        <stp>BDH|15016690372941429815</stp>
        <tr r="P56" s="17"/>
      </tp>
      <tp t="e">
        <v>#N/A</v>
        <stp/>
        <stp>BDH|10406307120364331898</stp>
        <tr r="D77" s="18"/>
      </tp>
      <tp t="e">
        <v>#N/A</v>
        <stp/>
        <stp>BDH|14683670887602132593</stp>
        <tr r="P41" s="34"/>
      </tp>
      <tp t="e">
        <v>#N/A</v>
        <stp/>
        <stp>BDH|14337824920150710389</stp>
        <tr r="K20" s="25"/>
      </tp>
      <tp t="e">
        <v>#N/A</v>
        <stp/>
        <stp>BDH|16528733395297589285</stp>
        <tr r="E26" s="24"/>
      </tp>
      <tp t="e">
        <v>#N/A</v>
        <stp/>
        <stp>BDH|12073302270119624288</stp>
        <tr r="P92" s="17"/>
        <tr r="P13" s="28"/>
      </tp>
      <tp t="e">
        <v>#N/A</v>
        <stp/>
        <stp>BDH|14388407572958695292</stp>
        <tr r="Q29" s="21"/>
      </tp>
      <tp t="e">
        <v>#N/A</v>
        <stp/>
        <stp>BDH|16905267893351504178</stp>
        <tr r="Y25" s="3"/>
      </tp>
      <tp t="e">
        <v>#N/A</v>
        <stp/>
        <stp>BDH|11102157058129558170</stp>
        <tr r="L27" s="7"/>
      </tp>
      <tp t="e">
        <v>#N/A</v>
        <stp/>
        <stp>BDH|12322845869475625462</stp>
        <tr r="M43" s="12"/>
      </tp>
      <tp t="e">
        <v>#N/A</v>
        <stp/>
        <stp>BDH|15383070589758357809</stp>
        <tr r="D51" s="18"/>
      </tp>
      <tp t="e">
        <v>#N/A</v>
        <stp/>
        <stp>BDH|10317033111705826974</stp>
        <tr r="H20" s="22"/>
      </tp>
      <tp t="e">
        <v>#N/A</v>
        <stp/>
        <stp>BDH|18109149150940200191</stp>
        <tr r="V66" s="17"/>
        <tr r="V18" s="3"/>
      </tp>
      <tp t="e">
        <v>#N/A</v>
        <stp/>
        <stp>BDH|17879941773233957780</stp>
        <tr r="P21" s="30"/>
      </tp>
      <tp t="e">
        <v>#N/A</v>
        <stp/>
        <stp>BDH|12870361195624212170</stp>
        <tr r="O29" s="18"/>
      </tp>
      <tp t="e">
        <v>#N/A</v>
        <stp/>
        <stp>BDH|14603612987811990673</stp>
        <tr r="R46" s="34"/>
      </tp>
      <tp t="e">
        <v>#N/A</v>
        <stp/>
        <stp>BDH|14193081860989525624</stp>
        <tr r="M34" s="18"/>
      </tp>
      <tp t="e">
        <v>#N/A</v>
        <stp/>
        <stp>BDH|16909688453851849943</stp>
        <tr r="AA88" s="12"/>
      </tp>
      <tp t="e">
        <v>#N/A</v>
        <stp/>
        <stp>BDH|16747770113889529488</stp>
        <tr r="I29" s="4"/>
      </tp>
      <tp t="e">
        <v>#N/A</v>
        <stp/>
        <stp>BDH|10401047503804521988</stp>
        <tr r="W8" s="18"/>
      </tp>
      <tp t="e">
        <v>#N/A</v>
        <stp/>
        <stp>BDH|11097145548820547975</stp>
        <tr r="Z14" s="21"/>
      </tp>
      <tp t="e">
        <v>#N/A</v>
        <stp/>
        <stp>BDH|17649422134798901575</stp>
        <tr r="Z83" s="17"/>
      </tp>
      <tp t="e">
        <v>#N/A</v>
        <stp/>
        <stp>BDH|14982616929143410145</stp>
        <tr r="X29" s="10"/>
        <tr r="Z35" s="13"/>
      </tp>
      <tp t="e">
        <v>#N/A</v>
        <stp/>
        <stp>BDH|14030837113769513649</stp>
        <tr r="X62" s="18"/>
      </tp>
      <tp t="e">
        <v>#N/A</v>
        <stp/>
        <stp>BDH|18380311731149154336</stp>
        <tr r="C41" s="13"/>
      </tp>
      <tp t="e">
        <v>#N/A</v>
        <stp/>
        <stp>BDH|17466966538888329781</stp>
        <tr r="N20" s="27"/>
      </tp>
      <tp t="e">
        <v>#N/A</v>
        <stp/>
        <stp>BDH|18401066402962630875</stp>
        <tr r="Q43" s="6"/>
      </tp>
      <tp t="e">
        <v>#N/A</v>
        <stp/>
        <stp>BDH|14791022651510031355</stp>
        <tr r="Z113" s="18"/>
      </tp>
      <tp t="e">
        <v>#N/A</v>
        <stp/>
        <stp>BDH|14673609415462608344</stp>
        <tr r="R83" s="18"/>
      </tp>
      <tp t="e">
        <v>#N/A</v>
        <stp/>
        <stp>BDH|11621448288067341882</stp>
        <tr r="C18" s="17"/>
      </tp>
      <tp t="e">
        <v>#N/A</v>
        <stp/>
        <stp>BDH|14931532238930627056</stp>
        <tr r="P131" s="18"/>
      </tp>
      <tp t="e">
        <v>#N/A</v>
        <stp/>
        <stp>BDH|15987240102700866565</stp>
        <tr r="I14" s="17"/>
        <tr r="I17" s="28"/>
      </tp>
      <tp t="e">
        <v>#N/A</v>
        <stp/>
        <stp>BDH|16548571670367345101</stp>
        <tr r="I38" s="25"/>
      </tp>
      <tp t="e">
        <v>#N/A</v>
        <stp/>
        <stp>BDH|18240441573288014145</stp>
        <tr r="AA14" s="28"/>
      </tp>
      <tp t="e">
        <v>#N/A</v>
        <stp/>
        <stp>BDH|12599805781712607238</stp>
        <tr r="F25" s="24"/>
      </tp>
      <tp t="e">
        <v>#N/A</v>
        <stp/>
        <stp>BDH|18030827311661350214</stp>
        <tr r="D46" s="21"/>
      </tp>
      <tp t="e">
        <v>#N/A</v>
        <stp/>
        <stp>BDH|11878649276020959228</stp>
        <tr r="C67" s="18"/>
      </tp>
      <tp t="e">
        <v>#N/A</v>
        <stp/>
        <stp>BDH|16532807045379649171</stp>
        <tr r="E71" s="18"/>
      </tp>
      <tp t="e">
        <v>#N/A</v>
        <stp/>
        <stp>BDH|10652751746789006841</stp>
        <tr r="N62" s="24"/>
      </tp>
      <tp t="e">
        <v>#N/A</v>
        <stp/>
        <stp>BDH|15666692307559006893</stp>
        <tr r="W33" s="21"/>
      </tp>
      <tp t="e">
        <v>#N/A</v>
        <stp/>
        <stp>BDH|12076949997499787950</stp>
        <tr r="U34" s="26"/>
      </tp>
      <tp t="e">
        <v>#N/A</v>
        <stp/>
        <stp>BDH|18019801565785567113</stp>
        <tr r="E119" s="18"/>
      </tp>
      <tp t="e">
        <v>#N/A</v>
        <stp/>
        <stp>BDH|14000136370265607546</stp>
        <tr r="R16" s="25"/>
      </tp>
      <tp t="e">
        <v>#N/A</v>
        <stp/>
        <stp>BDH|14224360050346688639</stp>
        <tr r="D32" s="12"/>
      </tp>
      <tp t="e">
        <v>#N/A</v>
        <stp/>
        <stp>BDH|15567370579353832026</stp>
        <tr r="D14" s="4"/>
      </tp>
      <tp t="e">
        <v>#N/A</v>
        <stp/>
        <stp>BDH|14762989992727599191</stp>
        <tr r="C20" s="2"/>
        <tr r="C18" s="4"/>
        <tr r="C58" s="10"/>
        <tr r="C50" s="11"/>
        <tr r="C19" s="7"/>
        <tr r="E65" s="13"/>
      </tp>
      <tp t="e">
        <v>#N/A</v>
        <stp/>
        <stp>BDH|12881082050892977782</stp>
        <tr r="X47" s="34"/>
      </tp>
      <tp t="e">
        <v>#N/A</v>
        <stp/>
        <stp>BDH|13769274235033721337</stp>
        <tr r="C12" s="6"/>
      </tp>
      <tp t="e">
        <v>#N/A</v>
        <stp/>
        <stp>BDH|15440685984068077191</stp>
        <tr r="P19" s="18"/>
      </tp>
      <tp t="e">
        <v>#N/A</v>
        <stp/>
        <stp>BDH|18092549822719241454</stp>
        <tr r="J77" s="18"/>
      </tp>
      <tp t="e">
        <v>#N/A</v>
        <stp/>
        <stp>BDH|16302101337650305660</stp>
        <tr r="P91" s="17"/>
        <tr r="P7" s="27"/>
      </tp>
      <tp t="e">
        <v>#N/A</v>
        <stp/>
        <stp>BDH|16164151669592844140</stp>
        <tr r="Q6" s="28"/>
      </tp>
      <tp t="e">
        <v>#N/A</v>
        <stp/>
        <stp>BDH|15596456136488388845</stp>
        <tr r="D37" s="18"/>
      </tp>
      <tp t="e">
        <v>#N/A</v>
        <stp/>
        <stp>BDH|16539053207030268440</stp>
        <tr r="K41" s="24"/>
      </tp>
      <tp t="e">
        <v>#N/A</v>
        <stp/>
        <stp>BDH|16448263725385458124</stp>
        <tr r="N65" s="21"/>
      </tp>
      <tp t="e">
        <v>#N/A</v>
        <stp/>
        <stp>BDH|14762315799354979872</stp>
        <tr r="D42" s="13"/>
      </tp>
      <tp t="e">
        <v>#N/A</v>
        <stp/>
        <stp>BDH|13231751881176155863</stp>
        <tr r="V62" s="24"/>
      </tp>
      <tp t="e">
        <v>#N/A</v>
        <stp/>
        <stp>BDH|12193415436184400339</stp>
        <tr r="S53" s="10"/>
        <tr r="S45" s="11"/>
        <tr r="S16" s="7"/>
      </tp>
      <tp t="e">
        <v>#N/A</v>
        <stp/>
        <stp>BDH|14115680825985440798</stp>
        <tr r="Y68" s="24"/>
      </tp>
      <tp t="e">
        <v>#N/A</v>
        <stp/>
        <stp>BDH|11706209068936752191</stp>
        <tr r="S11" s="3"/>
        <tr r="Q50" s="10"/>
        <tr r="Q42" s="11"/>
        <tr r="Q8" s="7"/>
      </tp>
      <tp t="e">
        <v>#N/A</v>
        <stp/>
        <stp>BDH|11750742463131831391</stp>
        <tr r="O67" s="17"/>
        <tr r="L8" s="5"/>
        <tr r="L8" s="9"/>
      </tp>
      <tp t="e">
        <v>#N/A</v>
        <stp/>
        <stp>BDH|11894889914483255975</stp>
        <tr r="H28" s="18"/>
      </tp>
      <tp t="e">
        <v>#N/A</v>
        <stp/>
        <stp>BDH|17267770688419450383</stp>
        <tr r="P47" s="18"/>
      </tp>
      <tp t="e">
        <v>#N/A</v>
        <stp/>
        <stp>BDH|17793675908271833206</stp>
        <tr r="P68" s="17"/>
      </tp>
      <tp t="e">
        <v>#N/A</v>
        <stp/>
        <stp>BDH|16211860665943035910</stp>
        <tr r="G27" s="12"/>
      </tp>
      <tp t="e">
        <v>#N/A</v>
        <stp/>
        <stp>BDH|18405256213149683045</stp>
        <tr r="D44" s="18"/>
      </tp>
      <tp t="e">
        <v>#N/A</v>
        <stp/>
        <stp>BDH|17794959894284297141</stp>
        <tr r="V34" s="21"/>
      </tp>
      <tp t="e">
        <v>#N/A</v>
        <stp/>
        <stp>BDH|17481092779827416509</stp>
        <tr r="Y34" s="26"/>
      </tp>
      <tp t="e">
        <v>#N/A</v>
        <stp/>
        <stp>BDH|13769479392008250403</stp>
        <tr r="K25" s="12"/>
      </tp>
      <tp t="e">
        <v>#N/A</v>
        <stp/>
        <stp>BDH|17466008340126223764</stp>
        <tr r="P17" s="11"/>
      </tp>
      <tp t="e">
        <v>#N/A</v>
        <stp/>
        <stp>BDH|14257928730754302833</stp>
        <tr r="T63" s="12"/>
      </tp>
      <tp t="e">
        <v>#N/A</v>
        <stp/>
        <stp>BDH|13785017452547103353</stp>
        <tr r="N25" s="14"/>
      </tp>
      <tp t="e">
        <v>#N/A</v>
        <stp/>
        <stp>BDH|11380358946235323138</stp>
        <tr r="H39" s="22"/>
      </tp>
      <tp t="e">
        <v>#N/A</v>
        <stp/>
        <stp>BDH|14952884058248891312</stp>
        <tr r="E103" s="18"/>
      </tp>
      <tp t="e">
        <v>#N/A</v>
        <stp/>
        <stp>BDH|11121908567278360456</stp>
        <tr r="M20" s="22"/>
      </tp>
      <tp t="e">
        <v>#N/A</v>
        <stp/>
        <stp>BDH|12273450803907350374</stp>
        <tr r="F12" s="10"/>
      </tp>
      <tp t="e">
        <v>#N/A</v>
        <stp/>
        <stp>BDH|16510253853461715248</stp>
        <tr r="F43" s="34"/>
      </tp>
      <tp t="e">
        <v>#N/A</v>
        <stp/>
        <stp>BDH|13618049989300245990</stp>
        <tr r="L20" s="27"/>
      </tp>
      <tp t="e">
        <v>#N/A</v>
        <stp/>
        <stp>BDH|16866700869226188303</stp>
        <tr r="D19" s="6"/>
      </tp>
      <tp t="e">
        <v>#N/A</v>
        <stp/>
        <stp>BDH|11743360374977454017</stp>
        <tr r="D47" s="17"/>
      </tp>
      <tp t="e">
        <v>#N/A</v>
        <stp/>
        <stp>BDH|12122564280084605918</stp>
        <tr r="J60" s="18"/>
      </tp>
      <tp t="e">
        <v>#N/A</v>
        <stp/>
        <stp>BDH|12213749371297565722</stp>
        <tr r="X11" s="28"/>
      </tp>
      <tp t="e">
        <v>#N/A</v>
        <stp/>
        <stp>BDH|16784684678532618716</stp>
        <tr r="C7" s="28"/>
      </tp>
      <tp t="e">
        <v>#N/A</v>
        <stp/>
        <stp>BDH|16908377739340033479</stp>
        <tr r="AA110" s="18"/>
      </tp>
      <tp t="e">
        <v>#N/A</v>
        <stp/>
        <stp>BDH|10802615303203316798</stp>
        <tr r="M42" s="4"/>
      </tp>
      <tp t="e">
        <v>#N/A</v>
        <stp/>
        <stp>BDH|16478744051884002215</stp>
        <tr r="F80" s="12"/>
      </tp>
      <tp t="e">
        <v>#N/A</v>
        <stp/>
        <stp>BDH|17177910280032899682</stp>
        <tr r="R13" s="6"/>
      </tp>
      <tp t="e">
        <v>#N/A</v>
        <stp/>
        <stp>BDH|12537561273985935794</stp>
        <tr r="W32" s="9"/>
      </tp>
      <tp t="e">
        <v>#N/A</v>
        <stp/>
        <stp>BDH|13193529438916823137</stp>
        <tr r="E57" s="24"/>
      </tp>
      <tp t="e">
        <v>#N/A</v>
        <stp/>
        <stp>BDH|12447153745921156457</stp>
        <tr r="T75" s="12"/>
      </tp>
      <tp t="e">
        <v>#N/A</v>
        <stp/>
        <stp>BDH|10809644374426035580</stp>
        <tr r="M82" s="18"/>
      </tp>
      <tp t="e">
        <v>#N/A</v>
        <stp/>
        <stp>BDH|12671277921129136911</stp>
        <tr r="H16" s="21"/>
      </tp>
      <tp t="e">
        <v>#N/A</v>
        <stp/>
        <stp>BDH|15604070704015227271</stp>
        <tr r="E33" s="22"/>
      </tp>
      <tp t="e">
        <v>#N/A</v>
        <stp/>
        <stp>BDH|18174133774739035563</stp>
        <tr r="U58" s="12"/>
      </tp>
      <tp t="e">
        <v>#N/A</v>
        <stp/>
        <stp>BDH|15982594100065299727</stp>
        <tr r="O68" s="17"/>
      </tp>
      <tp t="e">
        <v>#N/A</v>
        <stp/>
        <stp>BDH|12098788209252024513</stp>
        <tr r="N22" s="6"/>
      </tp>
      <tp t="e">
        <v>#N/A</v>
        <stp/>
        <stp>BDH|11164714445019666936</stp>
        <tr r="L22" s="30"/>
        <tr r="L24" s="23"/>
      </tp>
      <tp t="e">
        <v>#N/A</v>
        <stp/>
        <stp>BDH|16151617567605248151</stp>
        <tr r="Q57" s="6"/>
      </tp>
      <tp t="e">
        <v>#N/A</v>
        <stp/>
        <stp>BDH|12033996211788171094</stp>
        <tr r="Z81" s="12"/>
      </tp>
      <tp t="e">
        <v>#N/A</v>
        <stp/>
        <stp>BDH|14538530326007041606</stp>
        <tr r="K29" s="12"/>
      </tp>
      <tp t="e">
        <v>#N/A</v>
        <stp/>
        <stp>BDH|13743677485836184942</stp>
        <tr r="U45" s="13"/>
      </tp>
      <tp t="e">
        <v>#N/A</v>
        <stp/>
        <stp>BDH|14419406902270127276</stp>
        <tr r="D111" s="18"/>
      </tp>
      <tp t="e">
        <v>#N/A</v>
        <stp/>
        <stp>BDH|10577565481359589679</stp>
        <tr r="E8" s="14"/>
      </tp>
      <tp t="e">
        <v>#N/A</v>
        <stp/>
        <stp>BDH|14714131271274119443</stp>
        <tr r="O11" s="9"/>
      </tp>
      <tp t="e">
        <v>#N/A</v>
        <stp/>
        <stp>BDH|13183572407902634670</stp>
        <tr r="P25" s="3"/>
      </tp>
      <tp t="e">
        <v>#N/A</v>
        <stp/>
        <stp>BDH|16232361857252733045</stp>
        <tr r="AA14" s="22"/>
      </tp>
      <tp t="e">
        <v>#N/A</v>
        <stp/>
        <stp>BDH|11834547659925599602</stp>
        <tr r="I76" s="18"/>
      </tp>
      <tp t="e">
        <v>#N/A</v>
        <stp/>
        <stp>BDH|12842176870296846072</stp>
        <tr r="J33" s="17"/>
      </tp>
      <tp t="e">
        <v>#N/A</v>
        <stp/>
        <stp>BDH|15556196978524102553</stp>
        <tr r="F117" s="18"/>
      </tp>
      <tp t="e">
        <v>#N/A</v>
        <stp/>
        <stp>BDH|17452611565593301634</stp>
        <tr r="G25" s="7"/>
      </tp>
      <tp t="e">
        <v>#N/A</v>
        <stp/>
        <stp>BDH|16046457668356438097</stp>
        <tr r="S23" s="5"/>
        <tr r="S23" s="9"/>
      </tp>
      <tp t="e">
        <v>#N/A</v>
        <stp/>
        <stp>BDH|11540349245500544418</stp>
        <tr r="Y58" s="21"/>
        <tr r="Y37" s="25"/>
        <tr r="W31" s="4"/>
        <tr r="W54" s="11"/>
      </tp>
      <tp t="e">
        <v>#N/A</v>
        <stp/>
        <stp>BDH|12318447560435118767</stp>
        <tr r="J19" s="30"/>
      </tp>
      <tp t="e">
        <v>#N/A</v>
        <stp/>
        <stp>BDH|17655107227225474353</stp>
        <tr r="V40" s="12"/>
      </tp>
      <tp t="e">
        <v>#N/A</v>
        <stp/>
        <stp>BDH|15023529822787213729</stp>
        <tr r="V27" s="22"/>
      </tp>
      <tp t="e">
        <v>#N/A</v>
        <stp/>
        <stp>BDH|15396477734706181615</stp>
        <tr r="M18" s="17"/>
      </tp>
      <tp t="e">
        <v>#N/A</v>
        <stp/>
        <stp>BDH|11317168432699027846</stp>
        <tr r="O56" s="17"/>
      </tp>
      <tp t="e">
        <v>#N/A</v>
        <stp/>
        <stp>BDH|11828213332933939110</stp>
        <tr r="L14" s="4"/>
      </tp>
      <tp t="e">
        <v>#N/A</v>
        <stp/>
        <stp>BDH|17034759661085340144</stp>
        <tr r="P46" s="17"/>
      </tp>
      <tp t="e">
        <v>#N/A</v>
        <stp/>
        <stp>BDH|12513944088368845928</stp>
        <tr r="H31" s="17"/>
      </tp>
      <tp t="e">
        <v>#N/A</v>
        <stp/>
        <stp>BDH|12770636841940307257</stp>
        <tr r="I18" s="20"/>
      </tp>
      <tp t="e">
        <v>#N/A</v>
        <stp/>
        <stp>BDH|15464197817875161281</stp>
        <tr r="N19" s="30"/>
      </tp>
      <tp t="e">
        <v>#N/A</v>
        <stp/>
        <stp>BDH|10284359476614737259</stp>
        <tr r="N64" s="21"/>
        <tr r="K31" s="6"/>
      </tp>
      <tp t="e">
        <v>#N/A</v>
        <stp/>
        <stp>BDH|16588617706630326227</stp>
        <tr r="Y13" s="25"/>
      </tp>
      <tp t="e">
        <v>#N/A</v>
        <stp/>
        <stp>BDH|14606532264705581071</stp>
        <tr r="V95" s="18"/>
      </tp>
      <tp t="e">
        <v>#N/A</v>
        <stp/>
        <stp>BDH|12265908487693068262</stp>
        <tr r="P17" s="6"/>
      </tp>
      <tp t="e">
        <v>#N/A</v>
        <stp/>
        <stp>BDH|17104483776824503297</stp>
        <tr r="AA104" s="18"/>
      </tp>
      <tp t="e">
        <v>#N/A</v>
        <stp/>
        <stp>BDH|11309292971087833102</stp>
        <tr r="J12" s="12"/>
      </tp>
      <tp t="e">
        <v>#N/A</v>
        <stp/>
        <stp>BDH|10938168813311791382</stp>
        <tr r="W29" s="34"/>
      </tp>
      <tp t="e">
        <v>#N/A</v>
        <stp/>
        <stp>BDH|14738467029068372881</stp>
        <tr r="K63" s="18"/>
      </tp>
      <tp t="e">
        <v>#N/A</v>
        <stp/>
        <stp>BDH|12263821877257214866</stp>
        <tr r="W17" s="11"/>
      </tp>
      <tp t="e">
        <v>#N/A</v>
        <stp/>
        <stp>BDH|11409443724175779007</stp>
        <tr r="T42" s="24"/>
      </tp>
      <tp t="e">
        <v>#N/A</v>
        <stp/>
        <stp>BDH|13336782139511536446</stp>
        <tr r="H10" s="34"/>
      </tp>
      <tp t="e">
        <v>#N/A</v>
        <stp/>
        <stp>BDH|17247587450260178586</stp>
        <tr r="H8" s="18"/>
      </tp>
      <tp t="e">
        <v>#N/A</v>
        <stp/>
        <stp>BDH|15747960624488000460</stp>
        <tr r="Y91" s="18"/>
      </tp>
      <tp t="e">
        <v>#N/A</v>
        <stp/>
        <stp>BDH|13619973405361059974</stp>
        <tr r="F57" s="17"/>
      </tp>
      <tp t="e">
        <v>#N/A</v>
        <stp/>
        <stp>BDH|18341962553197244175</stp>
        <tr r="P43" s="22"/>
      </tp>
      <tp t="e">
        <v>#N/A</v>
        <stp/>
        <stp>BDH|11010252866631333630</stp>
        <tr r="R7" s="17"/>
      </tp>
      <tp t="e">
        <v>#N/A</v>
        <stp/>
        <stp>BDH|10147098534827957667</stp>
        <tr r="M21" s="18"/>
      </tp>
      <tp t="e">
        <v>#N/A</v>
        <stp/>
        <stp>BDH|14201350228743907451</stp>
        <tr r="Y7" s="4"/>
      </tp>
      <tp t="e">
        <v>#N/A</v>
        <stp/>
        <stp>BDH|14595124129883922642</stp>
        <tr r="R15" s="26"/>
      </tp>
      <tp t="e">
        <v>#N/A</v>
        <stp/>
        <stp>BDH|12573714452146774420</stp>
        <tr r="G32" s="9"/>
      </tp>
      <tp t="e">
        <v>#N/A</v>
        <stp/>
        <stp>BDH|12894718701576397188</stp>
        <tr r="Q18" s="14"/>
      </tp>
      <tp t="e">
        <v>#N/A</v>
        <stp/>
        <stp>BDH|12614519116664728058</stp>
        <tr r="E44" s="34"/>
      </tp>
      <tp t="e">
        <v>#N/A</v>
        <stp/>
        <stp>BDH|11544088100902902171</stp>
        <tr r="J58" s="18"/>
      </tp>
      <tp t="e">
        <v>#N/A</v>
        <stp/>
        <stp>BDH|10735776055785482531</stp>
        <tr r="H33" s="5"/>
      </tp>
      <tp t="e">
        <v>#N/A</v>
        <stp/>
        <stp>BDH|13439490827012189590</stp>
        <tr r="T12" s="10"/>
      </tp>
      <tp t="e">
        <v>#N/A</v>
        <stp/>
        <stp>BDH|18183196683486855515</stp>
        <tr r="Z34" s="22"/>
      </tp>
      <tp t="e">
        <v>#N/A</v>
        <stp/>
        <stp>BDH|11075226600573490247</stp>
        <tr r="S54" s="17"/>
      </tp>
      <tp t="e">
        <v>#N/A</v>
        <stp/>
        <stp>BDH|10582429776867609650</stp>
        <tr r="P35" s="34"/>
      </tp>
      <tp t="e">
        <v>#N/A</v>
        <stp/>
        <stp>BDH|18254043061749204578</stp>
        <tr r="L15" s="25"/>
      </tp>
      <tp t="e">
        <v>#N/A</v>
        <stp/>
        <stp>BDH|12455726364870346136</stp>
        <tr r="F64" s="21"/>
        <tr r="C31" s="6"/>
      </tp>
      <tp t="e">
        <v>#N/A</v>
        <stp/>
        <stp>BDH|11120170032948107972</stp>
        <tr r="Q61" s="17"/>
      </tp>
      <tp t="e">
        <v>#N/A</v>
        <stp/>
        <stp>BDH|14084768207893065236</stp>
        <tr r="AA60" s="24"/>
      </tp>
      <tp t="e">
        <v>#N/A</v>
        <stp/>
        <stp>BDH|11877193071875520076</stp>
        <tr r="L44" s="6"/>
      </tp>
      <tp t="e">
        <v>#N/A</v>
        <stp/>
        <stp>BDH|14354551243522594520</stp>
        <tr r="V25" s="34"/>
      </tp>
      <tp t="e">
        <v>#N/A</v>
        <stp/>
        <stp>BDH|14285422257152659531</stp>
        <tr r="M38" s="26"/>
      </tp>
      <tp t="e">
        <v>#N/A</v>
        <stp/>
        <stp>BDH|10531844160864420872</stp>
        <tr r="O10" s="11"/>
      </tp>
      <tp t="e">
        <v>#N/A</v>
        <stp/>
        <stp>BDH|15652760159763883635</stp>
        <tr r="Z122" s="18"/>
      </tp>
      <tp t="e">
        <v>#N/A</v>
        <stp/>
        <stp>BDH|13100475238726980055</stp>
        <tr r="V26" s="34"/>
      </tp>
      <tp t="e">
        <v>#N/A</v>
        <stp/>
        <stp>BDH|17403121362554592633</stp>
        <tr r="N37" s="10"/>
        <tr r="N29" s="11"/>
        <tr r="P41" s="13"/>
      </tp>
      <tp t="e">
        <v>#N/A</v>
        <stp/>
        <stp>BDH|11716184609075436708</stp>
        <tr r="O24" s="9"/>
      </tp>
      <tp t="e">
        <v>#N/A</v>
        <stp/>
        <stp>BDH|14894018985007988974</stp>
        <tr r="C33" s="5"/>
      </tp>
      <tp t="e">
        <v>#N/A</v>
        <stp/>
        <stp>BDH|16818775731403988354</stp>
        <tr r="M55" s="13"/>
      </tp>
      <tp t="e">
        <v>#N/A</v>
        <stp/>
        <stp>BDH|11089848163288692537</stp>
        <tr r="S29" s="18"/>
      </tp>
      <tp t="e">
        <v>#N/A</v>
        <stp/>
        <stp>BDH|13696689669223205270</stp>
        <tr r="G48" s="17"/>
      </tp>
      <tp t="e">
        <v>#N/A</v>
        <stp/>
        <stp>BDH|15614982890876989151</stp>
        <tr r="W46" s="34"/>
      </tp>
      <tp t="e">
        <v>#N/A</v>
        <stp/>
        <stp>BDH|10333460915096139131</stp>
        <tr r="F14" s="28"/>
      </tp>
      <tp t="e">
        <v>#N/A</v>
        <stp/>
        <stp>BDH|10964632763367252593</stp>
        <tr r="P26" s="24"/>
      </tp>
      <tp t="e">
        <v>#N/A</v>
        <stp/>
        <stp>BDH|17290709952060639742</stp>
        <tr r="Y60" s="11"/>
        <tr r="AA19" s="23"/>
      </tp>
      <tp t="e">
        <v>#N/A</v>
        <stp/>
        <stp>BDH|17189428870901491751</stp>
        <tr r="U21" s="30"/>
      </tp>
      <tp t="e">
        <v>#N/A</v>
        <stp/>
        <stp>BDH|12652862060588501672</stp>
        <tr r="K71" s="17"/>
      </tp>
      <tp t="e">
        <v>#N/A</v>
        <stp/>
        <stp>BDH|13400444217581601531</stp>
        <tr r="Y33" s="24"/>
      </tp>
      <tp t="e">
        <v>#N/A</v>
        <stp/>
        <stp>BDH|11404142037839683832</stp>
        <tr r="L17" s="13"/>
      </tp>
      <tp t="e">
        <v>#N/A</v>
        <stp/>
        <stp>BDH|14056575456206523060</stp>
        <tr r="F6" s="15"/>
        <tr r="F12" s="2"/>
        <tr r="F11" s="4"/>
        <tr r="F6" s="10"/>
      </tp>
      <tp t="e">
        <v>#N/A</v>
        <stp/>
        <stp>BDH|16701554691319368126</stp>
        <tr r="C32" s="9"/>
      </tp>
      <tp t="e">
        <v>#N/A</v>
        <stp/>
        <stp>BDH|10671587753092853073</stp>
        <tr r="N40" s="17"/>
      </tp>
      <tp t="e">
        <v>#N/A</v>
        <stp/>
        <stp>BDH|13450142808316977635</stp>
        <tr r="N8" s="24"/>
      </tp>
      <tp t="e">
        <v>#N/A</v>
        <stp/>
        <stp>BDH|17413606420241512032</stp>
        <tr r="H87" s="17"/>
      </tp>
      <tp t="e">
        <v>#N/A</v>
        <stp/>
        <stp>BDH|17878373579708312977</stp>
        <tr r="M98" s="18"/>
        <tr r="M7" s="20"/>
      </tp>
      <tp t="e">
        <v>#N/A</v>
        <stp/>
        <stp>BDH|16401706351347162118</stp>
        <tr r="I14" s="11"/>
      </tp>
      <tp t="e">
        <v>#N/A</v>
        <stp/>
        <stp>BDH|16448319407294701304</stp>
        <tr r="W35" s="10"/>
        <tr r="W27" s="11"/>
      </tp>
      <tp t="e">
        <v>#N/A</v>
        <stp/>
        <stp>BDH|17185792072105861076</stp>
        <tr r="O74" s="17"/>
      </tp>
      <tp t="e">
        <v>#N/A</v>
        <stp/>
        <stp>BDH|13981255017330613284</stp>
        <tr r="C9" s="13"/>
      </tp>
      <tp t="e">
        <v>#N/A</v>
        <stp/>
        <stp>BDH|11589550019173870444</stp>
        <tr r="U37" s="18"/>
      </tp>
      <tp t="e">
        <v>#N/A</v>
        <stp/>
        <stp>BDH|14357568125122110347</stp>
        <tr r="Q121" s="18"/>
      </tp>
      <tp t="e">
        <v>#N/A</v>
        <stp/>
        <stp>BDH|15770539832230470172</stp>
        <tr r="D122" s="18"/>
      </tp>
      <tp t="e">
        <v>#N/A</v>
        <stp/>
        <stp>BDH|10529196831620895002</stp>
        <tr r="N15" s="14"/>
      </tp>
      <tp t="e">
        <v>#N/A</v>
        <stp/>
        <stp>BDH|12191475621365427364</stp>
        <tr r="L21" s="2"/>
      </tp>
      <tp t="e">
        <v>#N/A</v>
        <stp/>
        <stp>BDH|12096244045242208467</stp>
        <tr r="E22" s="11"/>
      </tp>
      <tp t="e">
        <v>#N/A</v>
        <stp/>
        <stp>BDH|11087729207322431649</stp>
        <tr r="H46" s="4"/>
        <tr r="H23" s="10"/>
        <tr r="J37" s="13"/>
      </tp>
      <tp t="e">
        <v>#N/A</v>
        <stp/>
        <stp>BDH|15602186096358485795</stp>
        <tr r="Y45" s="22"/>
      </tp>
      <tp t="e">
        <v>#N/A</v>
        <stp/>
        <stp>BDH|11702839039189134194</stp>
        <tr r="R41" s="12"/>
      </tp>
      <tp t="e">
        <v>#N/A</v>
        <stp/>
        <stp>BDH|12411057203503299354</stp>
        <tr r="Y21" s="21"/>
      </tp>
      <tp t="e">
        <v>#N/A</v>
        <stp/>
        <stp>BDH|10006935882863748037</stp>
        <tr r="Z44" s="22"/>
      </tp>
      <tp t="e">
        <v>#N/A</v>
        <stp/>
        <stp>BDH|17039696261726876358</stp>
        <tr r="AA24" s="13"/>
      </tp>
      <tp t="e">
        <v>#N/A</v>
        <stp/>
        <stp>BDH|13162829786146218722</stp>
        <tr r="T26" s="21"/>
      </tp>
      <tp t="e">
        <v>#N/A</v>
        <stp/>
        <stp>BDH|16489626977084542117</stp>
        <tr r="V47" s="10"/>
        <tr r="V39" s="11"/>
      </tp>
      <tp t="e">
        <v>#N/A</v>
        <stp/>
        <stp>BDH|13207089505691248086</stp>
        <tr r="D29" s="34"/>
      </tp>
      <tp t="e">
        <v>#N/A</v>
        <stp/>
        <stp>BDH|11002963881301002323</stp>
        <tr r="W80" s="12"/>
      </tp>
      <tp t="e">
        <v>#N/A</v>
        <stp/>
        <stp>BDH|10790630121234986290</stp>
        <tr r="P49" s="6"/>
      </tp>
      <tp t="e">
        <v>#N/A</v>
        <stp/>
        <stp>BDH|11317960795641314265</stp>
        <tr r="D61" s="24"/>
      </tp>
      <tp t="e">
        <v>#N/A</v>
        <stp/>
        <stp>BDH|15395951783241405749</stp>
        <tr r="Y28" s="25"/>
        <tr r="Y14" s="27"/>
      </tp>
      <tp t="e">
        <v>#N/A</v>
        <stp/>
        <stp>BDH|12703637291596637960</stp>
        <tr r="Q79" s="18"/>
      </tp>
      <tp t="e">
        <v>#N/A</v>
        <stp/>
        <stp>BDH|18192816403315049769</stp>
        <tr r="T30" s="10"/>
        <tr r="V36" s="13"/>
      </tp>
      <tp t="e">
        <v>#N/A</v>
        <stp/>
        <stp>BDH|16821371559191365305</stp>
        <tr r="T50" s="21"/>
      </tp>
      <tp t="e">
        <v>#N/A</v>
        <stp/>
        <stp>BDH|13938761822127803302</stp>
        <tr r="E47" s="17"/>
      </tp>
      <tp t="e">
        <v>#N/A</v>
        <stp/>
        <stp>BDH|15691612636872553017</stp>
        <tr r="N6" s="28"/>
      </tp>
      <tp t="e">
        <v>#N/A</v>
        <stp/>
        <stp>BDH|15168818730608000458</stp>
        <tr r="Q14" s="6"/>
      </tp>
      <tp t="e">
        <v>#N/A</v>
        <stp/>
        <stp>BDH|13486150755423589644</stp>
        <tr r="W7" s="11"/>
      </tp>
      <tp t="e">
        <v>#N/A</v>
        <stp/>
        <stp>BDH|15540117063348343814</stp>
        <tr r="C46" s="24"/>
      </tp>
      <tp t="e">
        <v>#N/A</v>
        <stp/>
        <stp>BDH|12147938779029894765</stp>
        <tr r="D7" s="10"/>
      </tp>
      <tp t="e">
        <v>#N/A</v>
        <stp/>
        <stp>BDH|12261415364790064225</stp>
        <tr r="V75" s="12"/>
      </tp>
      <tp t="e">
        <v>#N/A</v>
        <stp/>
        <stp>BDH|12567939492712383227</stp>
        <tr r="L78" s="18"/>
      </tp>
      <tp t="e">
        <v>#N/A</v>
        <stp/>
        <stp>BDH|12379670941972097000</stp>
        <tr r="R64" s="17"/>
      </tp>
      <tp t="e">
        <v>#N/A</v>
        <stp/>
        <stp>BDH|11134501323474363047</stp>
        <tr r="P35" s="14"/>
      </tp>
      <tp t="e">
        <v>#N/A</v>
        <stp/>
        <stp>BDH|16133123587535408853</stp>
        <tr r="Q32" s="5"/>
      </tp>
      <tp t="e">
        <v>#N/A</v>
        <stp/>
        <stp>BDH|13427306174390213570</stp>
        <tr r="P43" s="24"/>
      </tp>
      <tp t="e">
        <v>#N/A</v>
        <stp/>
        <stp>BDH|14454255615527449257</stp>
        <tr r="T32" s="24"/>
      </tp>
      <tp t="e">
        <v>#N/A</v>
        <stp/>
        <stp>BDH|18359833832086032773</stp>
        <tr r="X27" s="14"/>
      </tp>
      <tp t="e">
        <v>#N/A</v>
        <stp/>
        <stp>BDH|12756221082352723853</stp>
        <tr r="I20" s="12"/>
      </tp>
      <tp t="e">
        <v>#N/A</v>
        <stp/>
        <stp>BDH|12287608845584224601</stp>
        <tr r="Y24" s="13"/>
      </tp>
      <tp t="e">
        <v>#N/A</v>
        <stp/>
        <stp>BDH|13062742474197083658</stp>
        <tr r="D27" s="12"/>
      </tp>
      <tp t="e">
        <v>#N/A</v>
        <stp/>
        <stp>BDH|18102574097480675622</stp>
        <tr r="I14" s="2"/>
        <tr r="I11" s="10"/>
      </tp>
      <tp t="e">
        <v>#N/A</v>
        <stp/>
        <stp>BDH|13981223563252598785</stp>
        <tr r="L15" s="29"/>
        <tr r="L38" s="29"/>
      </tp>
      <tp t="e">
        <v>#N/A</v>
        <stp/>
        <stp>BDH|15210326662625041770</stp>
        <tr r="I54" s="17"/>
      </tp>
      <tp t="e">
        <v>#N/A</v>
        <stp/>
        <stp>BDH|16533437051167490269</stp>
        <tr r="Y27" s="14"/>
      </tp>
      <tp t="e">
        <v>#N/A</v>
        <stp/>
        <stp>BDH|16419351752233309157</stp>
        <tr r="T32" s="12"/>
      </tp>
      <tp t="e">
        <v>#N/A</v>
        <stp/>
        <stp>BDH|12665977518829445188</stp>
        <tr r="Q27" s="26"/>
      </tp>
      <tp t="e">
        <v>#N/A</v>
        <stp/>
        <stp>BDH|11059710122570609605</stp>
        <tr r="C55" s="12"/>
      </tp>
      <tp t="e">
        <v>#N/A</v>
        <stp/>
        <stp>BDH|13628234214833339178</stp>
        <tr r="R73" s="17"/>
      </tp>
      <tp t="e">
        <v>#N/A</v>
        <stp/>
        <stp>BDH|14645676832034708716</stp>
        <tr r="D25" s="22"/>
      </tp>
      <tp t="e">
        <v>#N/A</v>
        <stp/>
        <stp>BDH|15599692755882534694</stp>
        <tr r="G31" s="34"/>
      </tp>
      <tp t="e">
        <v>#N/A</v>
        <stp/>
        <stp>BDH|13060273980423392802</stp>
        <tr r="K13" s="29"/>
        <tr r="K22" s="29"/>
        <tr r="K36" s="29"/>
      </tp>
      <tp t="e">
        <v>#N/A</v>
        <stp/>
        <stp>BDH|11298575350746297538</stp>
        <tr r="V42" s="24"/>
      </tp>
      <tp t="e">
        <v>#N/A</v>
        <stp/>
        <stp>BDH|13510902972937411871</stp>
        <tr r="N133" s="18"/>
      </tp>
      <tp t="e">
        <v>#N/A</v>
        <stp/>
        <stp>BDH|15411505872810652540</stp>
        <tr r="H33" s="18"/>
      </tp>
      <tp t="e">
        <v>#N/A</v>
        <stp/>
        <stp>BDH|13454958083785209543</stp>
        <tr r="N10" s="24"/>
      </tp>
      <tp t="e">
        <v>#N/A</v>
        <stp/>
        <stp>BDH|16445723630917466761</stp>
        <tr r="T20" s="17"/>
      </tp>
      <tp t="e">
        <v>#N/A</v>
        <stp/>
        <stp>BDH|11346886425311815829</stp>
        <tr r="O10" s="13"/>
      </tp>
      <tp t="e">
        <v>#N/A</v>
        <stp/>
        <stp>BDH|14248903674398381015</stp>
        <tr r="R13" s="5"/>
      </tp>
      <tp t="e">
        <v>#N/A</v>
        <stp/>
        <stp>BDH|16708633460815167115</stp>
        <tr r="S10" s="10"/>
      </tp>
      <tp t="e">
        <v>#N/A</v>
        <stp/>
        <stp>BDH|15103139405295409373</stp>
        <tr r="L43" s="29"/>
      </tp>
      <tp t="e">
        <v>#N/A</v>
        <stp/>
        <stp>BDH|10988963050189228797</stp>
        <tr r="L74" s="24"/>
      </tp>
      <tp t="e">
        <v>#N/A</v>
        <stp/>
        <stp>BDH|12818689934411633460</stp>
        <tr r="Y129" s="18"/>
      </tp>
      <tp t="e">
        <v>#N/A</v>
        <stp/>
        <stp>BDH|10929292421986317467</stp>
        <tr r="S15" s="18"/>
      </tp>
      <tp t="e">
        <v>#N/A</v>
        <stp/>
        <stp>BDH|18183413880594490208</stp>
        <tr r="O51" s="6"/>
        <tr r="Q6" s="8"/>
      </tp>
      <tp t="e">
        <v>#N/A</v>
        <stp/>
        <stp>BDH|17619243930983406725</stp>
        <tr r="H8" s="27"/>
      </tp>
      <tp t="e">
        <v>#N/A</v>
        <stp/>
        <stp>BDH|10245188449396122160</stp>
        <tr r="U73" s="17"/>
      </tp>
      <tp t="e">
        <v>#N/A</v>
        <stp/>
        <stp>BDH|17278075465502785133</stp>
        <tr r="E31" s="24"/>
      </tp>
      <tp t="e">
        <v>#N/A</v>
        <stp/>
        <stp>BDH|12920299027682432272</stp>
        <tr r="Z43" s="12"/>
      </tp>
      <tp t="e">
        <v>#N/A</v>
        <stp/>
        <stp>BDH|17775127557506310758</stp>
        <tr r="V11" s="7"/>
      </tp>
      <tp t="e">
        <v>#N/A</v>
        <stp/>
        <stp>BDH|11270073461853922692</stp>
        <tr r="W20" s="18"/>
      </tp>
      <tp t="e">
        <v>#N/A</v>
        <stp/>
        <stp>BDH|11345032824275237424</stp>
        <tr r="F10" s="28"/>
      </tp>
      <tp t="e">
        <v>#N/A</v>
        <stp/>
        <stp>BDH|16204333554296155407</stp>
        <tr r="AA12" s="26"/>
      </tp>
      <tp t="e">
        <v>#N/A</v>
        <stp/>
        <stp>BDH|12762745462747706627</stp>
        <tr r="I40" s="22"/>
      </tp>
      <tp t="e">
        <v>#N/A</v>
        <stp/>
        <stp>BDH|17136012565040703363</stp>
        <tr r="P7" s="21"/>
      </tp>
      <tp t="e">
        <v>#N/A</v>
        <stp/>
        <stp>BDH|15845665171132308481</stp>
        <tr r="E28" s="12"/>
      </tp>
      <tp t="e">
        <v>#N/A</v>
        <stp/>
        <stp>BDH|11430443378170563096</stp>
        <tr r="X13" s="22"/>
      </tp>
      <tp t="e">
        <v>#N/A</v>
        <stp/>
        <stp>BDH|12109647310660781769</stp>
        <tr r="D20" s="2"/>
        <tr r="D18" s="4"/>
        <tr r="D58" s="10"/>
        <tr r="D50" s="11"/>
        <tr r="D19" s="7"/>
        <tr r="F65" s="13"/>
      </tp>
      <tp t="e">
        <v>#N/A</v>
        <stp/>
        <stp>BDH|16374290367675929504</stp>
        <tr r="P12" s="24"/>
      </tp>
      <tp t="e">
        <v>#N/A</v>
        <stp/>
        <stp>BDH|13289114343554087046</stp>
        <tr r="R36" s="21"/>
      </tp>
      <tp t="e">
        <v>#N/A</v>
        <stp/>
        <stp>BDH|14291333105770695563</stp>
        <tr r="F46" s="24"/>
      </tp>
      <tp t="e">
        <v>#N/A</v>
        <stp/>
        <stp>BDH|15899756493970855925</stp>
        <tr r="J135" s="18"/>
      </tp>
      <tp t="e">
        <v>#N/A</v>
        <stp/>
        <stp>BDH|14011200152369520836</stp>
        <tr r="D25" s="21"/>
      </tp>
      <tp t="e">
        <v>#N/A</v>
        <stp/>
        <stp>BDH|11826695458710833055</stp>
        <tr r="M92" s="18"/>
      </tp>
      <tp t="e">
        <v>#N/A</v>
        <stp/>
        <stp>BDH|10765097857184447392</stp>
        <tr r="H15" s="12"/>
      </tp>
      <tp t="e">
        <v>#N/A</v>
        <stp/>
        <stp>BDH|14641520207064545725</stp>
        <tr r="W13" s="8"/>
      </tp>
      <tp t="e">
        <v>#N/A</v>
        <stp/>
        <stp>BDH|12346705337523254724</stp>
        <tr r="T22" s="7"/>
      </tp>
      <tp t="e">
        <v>#N/A</v>
        <stp/>
        <stp>BDH|13435442215713828790</stp>
        <tr r="K61" s="24"/>
      </tp>
      <tp t="e">
        <v>#N/A</v>
        <stp/>
        <stp>BDH|16738394528747219205</stp>
        <tr r="H52" s="6"/>
        <tr r="J9" s="8"/>
      </tp>
      <tp t="e">
        <v>#N/A</v>
        <stp/>
        <stp>BDH|18006579989632076592</stp>
        <tr r="S31" s="26"/>
        <tr r="P14" s="9"/>
      </tp>
      <tp t="e">
        <v>#N/A</v>
        <stp/>
        <stp>BDH|16572245871517158668</stp>
        <tr r="I21" s="5"/>
      </tp>
      <tp t="e">
        <v>#N/A</v>
        <stp/>
        <stp>BDH|18190965058994192295</stp>
        <tr r="F8" s="13"/>
      </tp>
      <tp t="e">
        <v>#N/A</v>
        <stp/>
        <stp>BDH|13620411401516693376</stp>
        <tr r="E70" s="12"/>
      </tp>
      <tp t="e">
        <v>#N/A</v>
        <stp/>
        <stp>BDH|17493478043650774509</stp>
        <tr r="H72" s="17"/>
      </tp>
      <tp t="e">
        <v>#N/A</v>
        <stp/>
        <stp>BDH|13291643646173511025</stp>
        <tr r="V21" s="5"/>
      </tp>
      <tp t="e">
        <v>#N/A</v>
        <stp/>
        <stp>BDH|15679500336101583020</stp>
        <tr r="E23" s="21"/>
      </tp>
      <tp t="e">
        <v>#N/A</v>
        <stp/>
        <stp>BDH|15063348753114448546</stp>
        <tr r="J40" s="12"/>
      </tp>
      <tp t="e">
        <v>#N/A</v>
        <stp/>
        <stp>BDH|12566037526134348649</stp>
        <tr r="U63" s="10"/>
      </tp>
      <tp t="e">
        <v>#N/A</v>
        <stp/>
        <stp>BDH|18057170013788089237</stp>
        <tr r="J52" s="4"/>
        <tr r="L8" s="3"/>
        <tr r="J44" s="10"/>
        <tr r="J36" s="11"/>
        <tr r="L40" s="13"/>
      </tp>
      <tp t="e">
        <v>#N/A</v>
        <stp/>
        <stp>BDH|16977577908573719269</stp>
        <tr r="AA68" s="12"/>
      </tp>
      <tp t="e">
        <v>#N/A</v>
        <stp/>
        <stp>BDH|14089913892062258462</stp>
        <tr r="O83" s="18"/>
      </tp>
      <tp t="e">
        <v>#N/A</v>
        <stp/>
        <stp>BDH|13643336961210532460</stp>
        <tr r="S27" s="34"/>
      </tp>
      <tp t="e">
        <v>#N/A</v>
        <stp/>
        <stp>BDH|16511270753373466027</stp>
        <tr r="O52" s="6"/>
        <tr r="Q9" s="8"/>
      </tp>
      <tp t="e">
        <v>#N/A</v>
        <stp/>
        <stp>BDH|16453924181271515451</stp>
        <tr r="O19" s="20"/>
      </tp>
      <tp t="e">
        <v>#N/A</v>
        <stp/>
        <stp>BDH|16124641806996609428</stp>
        <tr r="S50" s="17"/>
      </tp>
      <tp t="e">
        <v>#N/A</v>
        <stp/>
        <stp>BDH|12343771102826595146</stp>
        <tr r="H65" s="18"/>
      </tp>
      <tp t="e">
        <v>#N/A</v>
        <stp/>
        <stp>BDH|18405864009552967055</stp>
        <tr r="H29" s="17"/>
      </tp>
      <tp t="e">
        <v>#N/A</v>
        <stp/>
        <stp>BDH|15265341753521013021</stp>
        <tr r="H63" s="18"/>
      </tp>
      <tp t="e">
        <v>#N/A</v>
        <stp/>
        <stp>BDH|10924647900414222082</stp>
        <tr r="T76" s="18"/>
      </tp>
      <tp t="e">
        <v>#N/A</v>
        <stp/>
        <stp>BDH|10471247242140172447</stp>
        <tr r="AA21" s="3"/>
      </tp>
      <tp t="e">
        <v>#N/A</v>
        <stp/>
        <stp>BDH|12820229869815166155</stp>
        <tr r="E12" s="22"/>
      </tp>
      <tp t="e">
        <v>#N/A</v>
        <stp/>
        <stp>BDH|10499854005739594363</stp>
        <tr r="W11" s="29"/>
      </tp>
      <tp t="e">
        <v>#N/A</v>
        <stp/>
        <stp>BDH|11808740300393966725</stp>
        <tr r="W137" s="18"/>
      </tp>
      <tp t="e">
        <v>#N/A</v>
        <stp/>
        <stp>BDH|17412232505723466415</stp>
        <tr r="Z56" s="17"/>
      </tp>
      <tp t="e">
        <v>#N/A</v>
        <stp/>
        <stp>BDH|14484718203961683077</stp>
        <tr r="O93" s="18"/>
      </tp>
      <tp t="e">
        <v>#N/A</v>
        <stp/>
        <stp>BDH|10536262316792647347</stp>
        <tr r="F71" s="10"/>
        <tr r="F63" s="11"/>
      </tp>
      <tp t="e">
        <v>#N/A</v>
        <stp/>
        <stp>BDH|17870878506989946477</stp>
        <tr r="Y66" s="12"/>
      </tp>
      <tp t="e">
        <v>#N/A</v>
        <stp/>
        <stp>BDH|11081809064639018432</stp>
        <tr r="P63" s="21"/>
        <tr r="N23" s="7"/>
      </tp>
      <tp t="e">
        <v>#N/A</v>
        <stp/>
        <stp>BDH|17955542311021358099</stp>
        <tr r="Y19" s="20"/>
      </tp>
      <tp t="e">
        <v>#N/A</v>
        <stp/>
        <stp>BDH|10352628622181366761</stp>
        <tr r="R40" s="12"/>
      </tp>
      <tp t="e">
        <v>#N/A</v>
        <stp/>
        <stp>BDH|10936205429914625606</stp>
        <tr r="V8" s="18"/>
      </tp>
      <tp t="e">
        <v>#N/A</v>
        <stp/>
        <stp>BDH|12029640515752698516</stp>
        <tr r="I63" s="17"/>
      </tp>
      <tp t="e">
        <v>#N/A</v>
        <stp/>
        <stp>BDH|13673307562697294306</stp>
        <tr r="S24" s="13"/>
      </tp>
      <tp t="e">
        <v>#N/A</v>
        <stp/>
        <stp>BDH|17711868606648228534</stp>
        <tr r="Q96" s="18"/>
      </tp>
      <tp t="e">
        <v>#N/A</v>
        <stp/>
        <stp>BDH|10704252373897759006</stp>
        <tr r="N55" s="17"/>
      </tp>
      <tp t="e">
        <v>#N/A</v>
        <stp/>
        <stp>BDH|16080286857232804114</stp>
        <tr r="E48" s="6"/>
      </tp>
      <tp t="e">
        <v>#N/A</v>
        <stp/>
        <stp>BDH|17740408110401480158</stp>
        <tr r="H32" s="14"/>
      </tp>
      <tp t="e">
        <v>#N/A</v>
        <stp/>
        <stp>BDH|13845810999907730711</stp>
        <tr r="D32" s="26"/>
      </tp>
      <tp t="e">
        <v>#N/A</v>
        <stp/>
        <stp>BDH|15960519030715774490</stp>
        <tr r="W112" s="18"/>
      </tp>
      <tp t="e">
        <v>#N/A</v>
        <stp/>
        <stp>BDH|15597986657722451982</stp>
        <tr r="J15" s="30"/>
      </tp>
      <tp t="e">
        <v>#N/A</v>
        <stp/>
        <stp>BDH|14028672054622713729</stp>
        <tr r="O28" s="14"/>
      </tp>
      <tp t="e">
        <v>#N/A</v>
        <stp/>
        <stp>BDH|12395314228609840841</stp>
        <tr r="M91" s="17"/>
        <tr r="M7" s="27"/>
      </tp>
      <tp t="e">
        <v>#N/A</v>
        <stp/>
        <stp>BDH|11158279877712131466</stp>
        <tr r="G40" s="22"/>
      </tp>
      <tp t="e">
        <v>#N/A</v>
        <stp/>
        <stp>BDH|12067142307086517708</stp>
        <tr r="Z42" s="22"/>
      </tp>
      <tp t="e">
        <v>#N/A</v>
        <stp/>
        <stp>BDH|13623020065790480730</stp>
        <tr r="C14" s="3"/>
      </tp>
      <tp t="e">
        <v>#N/A</v>
        <stp/>
        <stp>BDH|11407335058817993209</stp>
        <tr r="K12" s="3"/>
        <tr r="I55" s="10"/>
        <tr r="I47" s="11"/>
        <tr r="I7" s="7"/>
      </tp>
      <tp t="e">
        <v>#N/A</v>
        <stp/>
        <stp>BDH|14078714371106289047</stp>
        <tr r="D26" s="24"/>
      </tp>
      <tp t="e">
        <v>#N/A</v>
        <stp/>
        <stp>BDH|15478202351973533363</stp>
        <tr r="F17" s="13"/>
      </tp>
      <tp t="e">
        <v>#N/A</v>
        <stp/>
        <stp>BDH|15238485278084226068</stp>
        <tr r="C14" s="13"/>
      </tp>
      <tp t="e">
        <v>#N/A</v>
        <stp/>
        <stp>BDH|16726942092596073271</stp>
        <tr r="E10" s="11"/>
      </tp>
      <tp t="e">
        <v>#N/A</v>
        <stp/>
        <stp>BDH|11713264211272218245</stp>
        <tr r="D18" s="17"/>
      </tp>
      <tp t="e">
        <v>#N/A</v>
        <stp/>
        <stp>BDH|10322448653247039428</stp>
        <tr r="L19" s="26"/>
      </tp>
      <tp t="e">
        <v>#N/A</v>
        <stp/>
        <stp>BDH|10629450104074325223</stp>
        <tr r="O30" s="26"/>
      </tp>
      <tp t="e">
        <v>#N/A</v>
        <stp/>
        <stp>BDH|16201112350558673833</stp>
        <tr r="R32" s="17"/>
      </tp>
      <tp t="e">
        <v>#N/A</v>
        <stp/>
        <stp>BDH|17469356284579368700</stp>
        <tr r="H89" s="17"/>
        <tr r="H34" s="25"/>
      </tp>
      <tp t="e">
        <v>#N/A</v>
        <stp/>
        <stp>BDH|13231726360780696009</stp>
        <tr r="M38" s="18"/>
      </tp>
      <tp t="e">
        <v>#N/A</v>
        <stp/>
        <stp>BDH|16905826309095345970</stp>
        <tr r="N13" s="20"/>
      </tp>
      <tp t="e">
        <v>#N/A</v>
        <stp/>
        <stp>BDH|11152256821071054237</stp>
        <tr r="C18" s="12"/>
      </tp>
      <tp t="e">
        <v>#N/A</v>
        <stp/>
        <stp>BDH|16020424014632179316</stp>
        <tr r="AA67" s="17"/>
        <tr r="X8" s="5"/>
        <tr r="X8" s="9"/>
      </tp>
      <tp t="e">
        <v>#N/A</v>
        <stp/>
        <stp>BDH|10511829355027590810</stp>
        <tr r="L29" s="4"/>
      </tp>
      <tp t="e">
        <v>#N/A</v>
        <stp/>
        <stp>BDH|14277121916337231126</stp>
        <tr r="P12" s="21"/>
      </tp>
      <tp t="e">
        <v>#N/A</v>
        <stp/>
        <stp>BDH|14543281184329836575</stp>
        <tr r="F27" s="12"/>
      </tp>
      <tp t="e">
        <v>#N/A</v>
        <stp/>
        <stp>BDH|17941472713423250390</stp>
        <tr r="V17" s="12"/>
      </tp>
      <tp t="e">
        <v>#N/A</v>
        <stp/>
        <stp>BDH|16219953681381779470</stp>
        <tr r="L12" s="3"/>
        <tr r="J55" s="10"/>
        <tr r="J47" s="11"/>
        <tr r="J7" s="7"/>
      </tp>
      <tp t="e">
        <v>#N/A</v>
        <stp/>
        <stp>BDH|12764397524163500295</stp>
        <tr r="X22" s="7"/>
      </tp>
      <tp t="e">
        <v>#N/A</v>
        <stp/>
        <stp>BDH|16525163479540875246</stp>
        <tr r="U142" s="18"/>
      </tp>
      <tp t="e">
        <v>#N/A</v>
        <stp/>
        <stp>BDH|16566525323206269503</stp>
        <tr r="G28" s="22"/>
      </tp>
      <tp t="e">
        <v>#N/A</v>
        <stp/>
        <stp>BDH|16468912815474755811</stp>
        <tr r="E68" s="18"/>
      </tp>
      <tp t="e">
        <v>#N/A</v>
        <stp/>
        <stp>BDH|14972452444207346128</stp>
        <tr r="E36" s="12"/>
      </tp>
      <tp t="e">
        <v>#N/A</v>
        <stp/>
        <stp>BDH|11016805119923165911</stp>
        <tr r="H9" s="12"/>
      </tp>
      <tp t="e">
        <v>#N/A</v>
        <stp/>
        <stp>BDH|12311938548415608874</stp>
        <tr r="F23" s="22"/>
      </tp>
      <tp t="e">
        <v>#N/A</v>
        <stp/>
        <stp>BDH|15959693149812267721</stp>
        <tr r="K43" s="34"/>
      </tp>
      <tp t="e">
        <v>#N/A</v>
        <stp/>
        <stp>BDH|14169394363585764658</stp>
        <tr r="W30" s="24"/>
      </tp>
      <tp t="e">
        <v>#N/A</v>
        <stp/>
        <stp>BDH|12589084107237079730</stp>
        <tr r="Q138" s="18"/>
      </tp>
      <tp t="e">
        <v>#N/A</v>
        <stp/>
        <stp>BDH|11296401009050446764</stp>
        <tr r="K34" s="21"/>
      </tp>
      <tp t="e">
        <v>#N/A</v>
        <stp/>
        <stp>BDH|14295516548912781556</stp>
        <tr r="L7" s="2"/>
        <tr r="K7" s="5"/>
        <tr r="K7" s="9"/>
        <tr r="N14" s="3"/>
      </tp>
      <tp t="e">
        <v>#N/A</v>
        <stp/>
        <stp>BDH|13410982554239878499</stp>
        <tr r="U25" s="26"/>
      </tp>
      <tp t="e">
        <v>#N/A</v>
        <stp/>
        <stp>BDH|15021733233825919607</stp>
        <tr r="AA50" s="17"/>
      </tp>
      <tp t="e">
        <v>#N/A</v>
        <stp/>
        <stp>BDH|16230512266110866749</stp>
        <tr r="R42" s="24"/>
      </tp>
      <tp t="e">
        <v>#N/A</v>
        <stp/>
        <stp>BDH|10367709286328503593</stp>
        <tr r="S8" s="12"/>
      </tp>
      <tp t="e">
        <v>#N/A</v>
        <stp/>
        <stp>BDH|17586162283254048892</stp>
        <tr r="N16" s="22"/>
      </tp>
      <tp t="e">
        <v>#N/A</v>
        <stp/>
        <stp>BDH|15597616466210327781</stp>
        <tr r="M21" s="3"/>
      </tp>
      <tp t="e">
        <v>#N/A</v>
        <stp/>
        <stp>BDH|10397562898387714937</stp>
        <tr r="R81" s="18"/>
      </tp>
      <tp t="e">
        <v>#N/A</v>
        <stp/>
        <stp>BDH|13918612331351746579</stp>
        <tr r="AA9" s="21"/>
      </tp>
      <tp t="e">
        <v>#N/A</v>
        <stp/>
        <stp>BDH|17694377871166962704</stp>
        <tr r="K74" s="12"/>
      </tp>
      <tp t="e">
        <v>#N/A</v>
        <stp/>
        <stp>BDH|17864250883959560625</stp>
        <tr r="T33" s="9"/>
      </tp>
      <tp t="e">
        <v>#N/A</v>
        <stp/>
        <stp>BDH|16965151106142698753</stp>
        <tr r="H63" s="21"/>
        <tr r="F23" s="7"/>
      </tp>
      <tp t="e">
        <v>#N/A</v>
        <stp/>
        <stp>BDH|13202008754316901267</stp>
        <tr r="O67" s="10"/>
      </tp>
      <tp t="e">
        <v>#N/A</v>
        <stp/>
        <stp>BDH|17493806614449971500</stp>
        <tr r="S20" s="9"/>
      </tp>
      <tp t="e">
        <v>#N/A</v>
        <stp/>
        <stp>BDH|16509807783444621092</stp>
        <tr r="F44" s="22"/>
      </tp>
      <tp t="e">
        <v>#N/A</v>
        <stp/>
        <stp>BDH|13864964651029222443</stp>
        <tr r="J32" s="24"/>
      </tp>
      <tp t="e">
        <v>#N/A</v>
        <stp/>
        <stp>BDH|10730656869655453764</stp>
        <tr r="H30" s="5"/>
        <tr r="H30" s="9"/>
      </tp>
      <tp t="e">
        <v>#N/A</v>
        <stp/>
        <stp>BDH|16559692441746132051</stp>
        <tr r="C35" s="10"/>
        <tr r="C27" s="11"/>
      </tp>
      <tp t="e">
        <v>#N/A</v>
        <stp/>
        <stp>BDH|14112298297238493520</stp>
        <tr r="F32" s="25"/>
        <tr r="F18" s="27"/>
      </tp>
      <tp t="e">
        <v>#N/A</v>
        <stp/>
        <stp>BDH|10259437158141471245</stp>
        <tr r="Q51" s="24"/>
      </tp>
      <tp t="e">
        <v>#N/A</v>
        <stp/>
        <stp>BDH|11255720874532490198</stp>
        <tr r="I12" s="13"/>
      </tp>
      <tp t="e">
        <v>#N/A</v>
        <stp/>
        <stp>BDH|14289443259267493021</stp>
        <tr r="R76" s="17"/>
        <tr r="R19" s="3"/>
      </tp>
      <tp t="e">
        <v>#N/A</v>
        <stp/>
        <stp>BDH|10145999402978272312</stp>
        <tr r="G113" s="18"/>
      </tp>
      <tp t="e">
        <v>#N/A</v>
        <stp/>
        <stp>BDH|10832451677456403777</stp>
        <tr r="X11" s="30"/>
      </tp>
      <tp t="e">
        <v>#N/A</v>
        <stp/>
        <stp>BDH|13626097388509967077</stp>
        <tr r="K61" s="13"/>
      </tp>
      <tp t="e">
        <v>#N/A</v>
        <stp/>
        <stp>BDH|17431336969167232757</stp>
        <tr r="Y101" s="18"/>
      </tp>
      <tp t="e">
        <v>#N/A</v>
        <stp/>
        <stp>BDH|15927353388694858852</stp>
        <tr r="S10" s="13"/>
      </tp>
      <tp t="e">
        <v>#N/A</v>
        <stp/>
        <stp>BDH|14564128611246655099</stp>
        <tr r="L77" s="12"/>
      </tp>
      <tp t="e">
        <v>#N/A</v>
        <stp/>
        <stp>BDH|15024575790282734991</stp>
        <tr r="S21" s="27"/>
      </tp>
      <tp t="e">
        <v>#N/A</v>
        <stp/>
        <stp>BDH|13068670051327621590</stp>
        <tr r="AA44" s="12"/>
      </tp>
      <tp t="e">
        <v>#N/A</v>
        <stp/>
        <stp>BDH|11508182186402369817</stp>
        <tr r="K132" s="18"/>
      </tp>
      <tp t="e">
        <v>#N/A</v>
        <stp/>
        <stp>BDH|14848788530883848116</stp>
        <tr r="F26" s="13"/>
      </tp>
      <tp t="e">
        <v>#N/A</v>
        <stp/>
        <stp>BDH|15588108520306540291</stp>
        <tr r="I18" s="26"/>
      </tp>
      <tp t="e">
        <v>#N/A</v>
        <stp/>
        <stp>BDH|14026130194909856768</stp>
        <tr r="H17" s="29"/>
        <tr r="H40" s="29"/>
      </tp>
      <tp t="e">
        <v>#N/A</v>
        <stp/>
        <stp>BDH|11467078309992679155</stp>
        <tr r="I63" s="10"/>
      </tp>
      <tp t="e">
        <v>#N/A</v>
        <stp/>
        <stp>BDH|11396281937952605035</stp>
        <tr r="L11" s="29"/>
      </tp>
      <tp t="e">
        <v>#N/A</v>
        <stp/>
        <stp>BDH|10165081433413614256</stp>
        <tr r="X42" s="34"/>
      </tp>
      <tp t="e">
        <v>#N/A</v>
        <stp/>
        <stp>BDH|13657383680219206350</stp>
        <tr r="I62" s="13"/>
      </tp>
      <tp t="e">
        <v>#N/A</v>
        <stp/>
        <stp>BDH|10110232015100601186</stp>
        <tr r="I16" s="26"/>
      </tp>
      <tp t="e">
        <v>#N/A</v>
        <stp/>
        <stp>BDH|10768518726282987700</stp>
        <tr r="C34" s="24"/>
      </tp>
      <tp t="e">
        <v>#N/A</v>
        <stp/>
        <stp>BDH|14908841968468884049</stp>
        <tr r="D7" s="14"/>
      </tp>
      <tp t="e">
        <v>#N/A</v>
        <stp/>
        <stp>BDH|13566869396806577694</stp>
        <tr r="S82" s="24"/>
      </tp>
      <tp t="e">
        <v>#N/A</v>
        <stp/>
        <stp>BDH|11084440924642850700</stp>
        <tr r="Q51" s="17"/>
        <tr r="Q17" s="3"/>
      </tp>
      <tp t="e">
        <v>#N/A</v>
        <stp/>
        <stp>BDH|13746258618106755453</stp>
        <tr r="L24" s="10"/>
      </tp>
      <tp t="e">
        <v>#N/A</v>
        <stp/>
        <stp>BDH|10969643450599494812</stp>
        <tr r="L21" s="5"/>
      </tp>
      <tp t="e">
        <v>#N/A</v>
        <stp/>
        <stp>BDH|18158184691585074708</stp>
        <tr r="O41" s="10"/>
        <tr r="O33" s="11"/>
      </tp>
      <tp t="e">
        <v>#N/A</v>
        <stp/>
        <stp>BDH|13789060310961180183</stp>
        <tr r="K43" s="6"/>
      </tp>
      <tp t="e">
        <v>#N/A</v>
        <stp/>
        <stp>BDH|12057738671963262388</stp>
        <tr r="T34" s="17"/>
      </tp>
      <tp t="e">
        <v>#N/A</v>
        <stp/>
        <stp>BDH|12131532469817533460</stp>
        <tr r="L92" s="17"/>
        <tr r="L13" s="28"/>
      </tp>
      <tp t="e">
        <v>#N/A</v>
        <stp/>
        <stp>BDH|13836266079063980767</stp>
        <tr r="O45" s="12"/>
      </tp>
      <tp t="e">
        <v>#N/A</v>
        <stp/>
        <stp>BDH|15562383564227160508</stp>
        <tr r="L8" s="12"/>
      </tp>
      <tp t="e">
        <v>#N/A</v>
        <stp/>
        <stp>BDH|10424305648502535718</stp>
        <tr r="H56" s="18"/>
      </tp>
      <tp t="e">
        <v>#N/A</v>
        <stp/>
        <stp>BDH|10387002788783117924</stp>
        <tr r="N51" s="12"/>
      </tp>
      <tp t="e">
        <v>#N/A</v>
        <stp/>
        <stp>BDH|12025773850274724689</stp>
        <tr r="R43" s="18"/>
      </tp>
      <tp t="e">
        <v>#N/A</v>
        <stp/>
        <stp>BDH|15439533521510746099</stp>
        <tr r="T19" s="18"/>
      </tp>
      <tp t="e">
        <v>#N/A</v>
        <stp/>
        <stp>BDH|13886240259901801759</stp>
        <tr r="W59" s="18"/>
      </tp>
      <tp t="e">
        <v>#N/A</v>
        <stp/>
        <stp>BDH|10419478416521939640</stp>
        <tr r="K19" s="18"/>
      </tp>
      <tp t="e">
        <v>#N/A</v>
        <stp/>
        <stp>BDH|16544263867348596893</stp>
        <tr r="D45" s="24"/>
      </tp>
      <tp t="e">
        <v>#N/A</v>
        <stp/>
        <stp>BDH|13486494706036651357</stp>
        <tr r="P10" s="24"/>
      </tp>
      <tp t="e">
        <v>#N/A</v>
        <stp/>
        <stp>BDH|15798031295038035696</stp>
        <tr r="R28" s="17"/>
      </tp>
      <tp t="e">
        <v>#N/A</v>
        <stp/>
        <stp>BDH|14795339910591998550</stp>
        <tr r="F113" s="18"/>
      </tp>
      <tp t="e">
        <v>#N/A</v>
        <stp/>
        <stp>BDH|16844129452822681261</stp>
        <tr r="K25" s="4"/>
        <tr r="K65" s="10"/>
      </tp>
      <tp t="e">
        <v>#N/A</v>
        <stp/>
        <stp>BDH|16191692447327028179</stp>
        <tr r="F47" s="22"/>
      </tp>
      <tp t="e">
        <v>#N/A</v>
        <stp/>
        <stp>BDH|18067350257775248986</stp>
        <tr r="X30" s="12"/>
      </tp>
      <tp t="e">
        <v>#N/A</v>
        <stp/>
        <stp>BDH|16918707227286645703</stp>
        <tr r="AA27" s="12"/>
      </tp>
      <tp t="e">
        <v>#N/A</v>
        <stp/>
        <stp>BDH|14137478214830257385</stp>
        <tr r="N11" s="28"/>
      </tp>
      <tp t="e">
        <v>#N/A</v>
        <stp/>
        <stp>BDH|14647976566128730183</stp>
        <tr r="H21" s="4"/>
      </tp>
      <tp t="e">
        <v>#N/A</v>
        <stp/>
        <stp>BDH|10275246840494636085</stp>
        <tr r="V57" s="24"/>
      </tp>
      <tp t="e">
        <v>#N/A</v>
        <stp/>
        <stp>BDH|17119772543481809755</stp>
        <tr r="L32" s="22"/>
      </tp>
      <tp t="e">
        <v>#N/A</v>
        <stp/>
        <stp>BDH|14958327545804404528</stp>
        <tr r="P24" s="24"/>
      </tp>
      <tp t="e">
        <v>#N/A</v>
        <stp/>
        <stp>BDH|16464439638857737406</stp>
        <tr r="C16" s="24"/>
      </tp>
      <tp t="e">
        <v>#N/A</v>
        <stp/>
        <stp>BDH|16749967142158916122</stp>
        <tr r="F26" s="17"/>
      </tp>
      <tp t="e">
        <v>#N/A</v>
        <stp/>
        <stp>BDH|12312203780302911826</stp>
        <tr r="P17" s="20"/>
      </tp>
      <tp t="e">
        <v>#N/A</v>
        <stp/>
        <stp>BDH|14936843181335310374</stp>
        <tr r="F31" s="25"/>
        <tr r="C14" s="5"/>
        <tr r="F17" s="27"/>
      </tp>
      <tp t="e">
        <v>#N/A</v>
        <stp/>
        <stp>BDH|12048990821033044806</stp>
        <tr r="O21" s="11"/>
      </tp>
      <tp t="e">
        <v>#N/A</v>
        <stp/>
        <stp>BDH|15911780816680822173</stp>
        <tr r="F24" s="13"/>
      </tp>
      <tp t="e">
        <v>#N/A</v>
        <stp/>
        <stp>BDH|12878473596628872590</stp>
        <tr r="E77" s="18"/>
      </tp>
      <tp t="e">
        <v>#N/A</v>
        <stp/>
        <stp>BDH|10020772845740258187</stp>
        <tr r="G22" s="24"/>
      </tp>
      <tp t="e">
        <v>#N/A</v>
        <stp/>
        <stp>BDH|14362677489358701027</stp>
        <tr r="M60" s="13"/>
      </tp>
      <tp t="e">
        <v>#N/A</v>
        <stp/>
        <stp>BDH|12817763950786673406</stp>
        <tr r="H43" s="22"/>
      </tp>
      <tp t="e">
        <v>#N/A</v>
        <stp/>
        <stp>BDH|13728594152693511215</stp>
        <tr r="Y43" s="24"/>
      </tp>
      <tp t="e">
        <v>#N/A</v>
        <stp/>
        <stp>BDH|17923945227407798960</stp>
        <tr r="G30" s="24"/>
      </tp>
      <tp t="e">
        <v>#N/A</v>
        <stp/>
        <stp>BDH|16965859350708614113</stp>
        <tr r="I61" s="11"/>
      </tp>
      <tp t="e">
        <v>#N/A</v>
        <stp/>
        <stp>BDH|12585102350496710297</stp>
        <tr r="N91" s="18"/>
      </tp>
      <tp t="e">
        <v>#N/A</v>
        <stp/>
        <stp>BDH|17153803376268840248</stp>
        <tr r="D8" s="3"/>
        <tr r="D40" s="13"/>
      </tp>
      <tp t="e">
        <v>#N/A</v>
        <stp/>
        <stp>BDH|10225235895578981165</stp>
        <tr r="J126" s="18"/>
      </tp>
      <tp t="e">
        <v>#N/A</v>
        <stp/>
        <stp>BDH|10439266348650049418</stp>
        <tr r="J33" s="22"/>
      </tp>
      <tp t="e">
        <v>#N/A</v>
        <stp/>
        <stp>BDH|16975675974922636776</stp>
        <tr r="E14" s="29"/>
        <tr r="E23" s="29"/>
        <tr r="E37" s="29"/>
      </tp>
      <tp t="e">
        <v>#N/A</v>
        <stp/>
        <stp>BDH|15734266574557873569</stp>
        <tr r="U33" s="21"/>
      </tp>
      <tp t="e">
        <v>#N/A</v>
        <stp/>
        <stp>BDH|15452660008160522148</stp>
        <tr r="D89" s="17"/>
        <tr r="D34" s="25"/>
      </tp>
      <tp t="e">
        <v>#N/A</v>
        <stp/>
        <stp>BDH|10970654844201055139</stp>
        <tr r="X59" s="11"/>
        <tr r="Z15" s="23"/>
      </tp>
      <tp t="e">
        <v>#N/A</v>
        <stp/>
        <stp>BDH|14230544240267891051</stp>
        <tr r="T15" s="13"/>
      </tp>
      <tp t="e">
        <v>#N/A</v>
        <stp/>
        <stp>BDH|11413144206696468498</stp>
        <tr r="X27" s="17"/>
      </tp>
      <tp t="e">
        <v>#N/A</v>
        <stp/>
        <stp>BDH|15584254648675621454</stp>
        <tr r="R45" s="22"/>
      </tp>
      <tp t="e">
        <v>#N/A</v>
        <stp/>
        <stp>BDH|17128203643884017794</stp>
        <tr r="P11" s="18"/>
      </tp>
      <tp t="e">
        <v>#N/A</v>
        <stp/>
        <stp>BDH|11807207439945864724</stp>
        <tr r="X22" s="10"/>
      </tp>
      <tp t="e">
        <v>#N/A</v>
        <stp/>
        <stp>BDH|13534516205465344196</stp>
        <tr r="X28" s="17"/>
      </tp>
      <tp t="e">
        <v>#N/A</v>
        <stp/>
        <stp>BDH|15391889133215745945</stp>
        <tr r="G13" s="25"/>
      </tp>
      <tp t="e">
        <v>#N/A</v>
        <stp/>
        <stp>BDH|16157781973995186106</stp>
        <tr r="G44" s="22"/>
      </tp>
      <tp t="e">
        <v>#N/A</v>
        <stp/>
        <stp>BDH|12110257598159338246</stp>
        <tr r="G55" s="18"/>
      </tp>
      <tp t="e">
        <v>#N/A</v>
        <stp/>
        <stp>BDH|11938405634320627405</stp>
        <tr r="M83" s="24"/>
      </tp>
      <tp t="e">
        <v>#N/A</v>
        <stp/>
        <stp>BDH|17416057439356208014</stp>
        <tr r="K42" s="17"/>
      </tp>
      <tp t="e">
        <v>#N/A</v>
        <stp/>
        <stp>BDH|10667292284680754876</stp>
        <tr r="C92" s="17"/>
        <tr r="C13" s="28"/>
      </tp>
      <tp t="e">
        <v>#N/A</v>
        <stp/>
        <stp>BDH|11646011650443450585</stp>
        <tr r="S57" s="17"/>
      </tp>
      <tp t="e">
        <v>#N/A</v>
        <stp/>
        <stp>BDH|18435376229672820990</stp>
        <tr r="F11" s="30"/>
      </tp>
      <tp t="e">
        <v>#N/A</v>
        <stp/>
        <stp>BDH|16559102047472026391</stp>
        <tr r="S28" s="10"/>
        <tr r="U34" s="13"/>
      </tp>
      <tp t="e">
        <v>#N/A</v>
        <stp/>
        <stp>BDH|15392233649344316518</stp>
        <tr r="J56" s="17"/>
      </tp>
      <tp t="e">
        <v>#N/A</v>
        <stp/>
        <stp>BDH|13692319318766088548</stp>
        <tr r="Z65" s="12"/>
      </tp>
      <tp t="e">
        <v>#N/A</v>
        <stp/>
        <stp>BDH|13533698237864563052</stp>
        <tr r="J41" s="18"/>
      </tp>
      <tp t="e">
        <v>#N/A</v>
        <stp/>
        <stp>BDH|16636142940128049993</stp>
        <tr r="Q28" s="25"/>
        <tr r="Q14" s="27"/>
      </tp>
      <tp t="e">
        <v>#N/A</v>
        <stp/>
        <stp>BDH|16913222505124465213</stp>
        <tr r="I88" s="12"/>
      </tp>
      <tp t="e">
        <v>#N/A</v>
        <stp/>
        <stp>BDH|14793187333121482530</stp>
        <tr r="X119" s="18"/>
      </tp>
      <tp t="e">
        <v>#N/A</v>
        <stp/>
        <stp>BDH|17634701202023758181</stp>
        <tr r="J68" s="12"/>
      </tp>
      <tp t="e">
        <v>#N/A</v>
        <stp/>
        <stp>BDH|13048397047915656339</stp>
        <tr r="Q98" s="18"/>
        <tr r="Q7" s="20"/>
      </tp>
      <tp t="e">
        <v>#N/A</v>
        <stp/>
        <stp>BDH|15641496106490023322</stp>
        <tr r="I35" s="26"/>
      </tp>
      <tp t="e">
        <v>#N/A</v>
        <stp/>
        <stp>BDH|15618543079184213124</stp>
        <tr r="U21" s="18"/>
      </tp>
      <tp t="e">
        <v>#N/A</v>
        <stp/>
        <stp>BDH|10656785760201353261</stp>
        <tr r="Q64" s="18"/>
      </tp>
      <tp t="e">
        <v>#N/A</v>
        <stp/>
        <stp>BDH|16163773665852899701</stp>
        <tr r="L48" s="22"/>
      </tp>
      <tp t="e">
        <v>#N/A</v>
        <stp/>
        <stp>BDH|13860103202591011114</stp>
        <tr r="L43" s="21"/>
      </tp>
      <tp t="e">
        <v>#N/A</v>
        <stp/>
        <stp>BDH|18034370503300811974</stp>
        <tr r="S59" s="21"/>
        <tr r="Q55" s="11"/>
      </tp>
      <tp t="e">
        <v>#N/A</v>
        <stp/>
        <stp>BDH|11267015354486929051</stp>
        <tr r="V106" s="18"/>
      </tp>
      <tp t="e">
        <v>#N/A</v>
        <stp/>
        <stp>BDH|10259006218622198108</stp>
        <tr r="V18" s="5"/>
        <tr r="V41" s="6"/>
      </tp>
      <tp t="e">
        <v>#N/A</v>
        <stp/>
        <stp>BDH|14541742601396974739</stp>
        <tr r="E60" s="11"/>
        <tr r="G19" s="23"/>
      </tp>
      <tp t="e">
        <v>#N/A</v>
        <stp/>
        <stp>BDH|13027020080570987914</stp>
        <tr r="U41" s="18"/>
      </tp>
      <tp t="e">
        <v>#N/A</v>
        <stp/>
        <stp>BDH|11971612827870376760</stp>
        <tr r="V16" s="24"/>
      </tp>
      <tp t="e">
        <v>#N/A</v>
        <stp/>
        <stp>BDH|11712422957800925210</stp>
        <tr r="Q8" s="4"/>
      </tp>
      <tp t="e">
        <v>#N/A</v>
        <stp/>
        <stp>BDH|16634993752470741809</stp>
        <tr r="Y14" s="10"/>
      </tp>
      <tp t="e">
        <v>#N/A</v>
        <stp/>
        <stp>BDH|15284528350535345298</stp>
        <tr r="Q26" s="13"/>
      </tp>
      <tp t="e">
        <v>#N/A</v>
        <stp/>
        <stp>BDH|13695116544543956706</stp>
        <tr r="S18" s="13"/>
      </tp>
      <tp t="e">
        <v>#N/A</v>
        <stp/>
        <stp>BDH|15962186617620988756</stp>
        <tr r="L35" s="4"/>
      </tp>
      <tp t="e">
        <v>#N/A</v>
        <stp/>
        <stp>BDH|16878538102868095931</stp>
        <tr r="Y22" s="10"/>
      </tp>
      <tp t="e">
        <v>#N/A</v>
        <stp/>
        <stp>BDH|11640106079905023056</stp>
        <tr r="W76" s="18"/>
      </tp>
      <tp t="e">
        <v>#N/A</v>
        <stp/>
        <stp>BDH|12890156744627728245</stp>
        <tr r="I34" s="17"/>
      </tp>
      <tp t="e">
        <v>#N/A</v>
        <stp/>
        <stp>BDH|13405489473476136440</stp>
        <tr r="R18" s="9"/>
      </tp>
      <tp t="e">
        <v>#N/A</v>
        <stp/>
        <stp>BDH|14920070177587199623</stp>
        <tr r="E17" s="10"/>
      </tp>
      <tp t="e">
        <v>#N/A</v>
        <stp/>
        <stp>BDH|16889529763454306309</stp>
        <tr r="D37" s="6"/>
      </tp>
      <tp t="e">
        <v>#N/A</v>
        <stp/>
        <stp>BDH|14410005065294885432</stp>
        <tr r="D31" s="26"/>
      </tp>
      <tp t="e">
        <v>#N/A</v>
        <stp/>
        <stp>BDH|11749580742746795406</stp>
        <tr r="C76" s="12"/>
      </tp>
      <tp t="e">
        <v>#N/A</v>
        <stp/>
        <stp>BDH|15928464056596076037</stp>
        <tr r="M92" s="17"/>
        <tr r="M13" s="28"/>
      </tp>
      <tp t="e">
        <v>#N/A</v>
        <stp/>
        <stp>BDH|11969200712967140709</stp>
        <tr r="C30" s="26"/>
      </tp>
      <tp t="e">
        <v>#N/A</v>
        <stp/>
        <stp>BDH|10447175456747630197</stp>
        <tr r="E16" s="18"/>
      </tp>
      <tp t="e">
        <v>#N/A</v>
        <stp/>
        <stp>BDH|12172192540604674146</stp>
        <tr r="K21" s="30"/>
      </tp>
      <tp t="e">
        <v>#N/A</v>
        <stp/>
        <stp>BDH|13362816734478871241</stp>
        <tr r="T20" s="23"/>
      </tp>
      <tp t="e">
        <v>#N/A</v>
        <stp/>
        <stp>BDH|17042722342816993035</stp>
        <tr r="L85" s="18"/>
      </tp>
      <tp t="e">
        <v>#N/A</v>
        <stp/>
        <stp>BDH|14913666702403729300</stp>
        <tr r="D19" s="10"/>
      </tp>
      <tp t="e">
        <v>#N/A</v>
        <stp/>
        <stp>BDH|16502559009954589569</stp>
        <tr r="I28" s="4"/>
      </tp>
      <tp t="e">
        <v>#N/A</v>
        <stp/>
        <stp>BDH|16051061202610727491</stp>
        <tr r="G86" s="24"/>
      </tp>
      <tp t="e">
        <v>#N/A</v>
        <stp/>
        <stp>BDH|12213781781096040913</stp>
        <tr r="M25" s="24"/>
      </tp>
      <tp t="e">
        <v>#N/A</v>
        <stp/>
        <stp>BDH|15526251188258754553</stp>
        <tr r="J53" s="12"/>
      </tp>
      <tp t="e">
        <v>#N/A</v>
        <stp/>
        <stp>BDH|12880694455800616382</stp>
        <tr r="P12" s="12"/>
      </tp>
      <tp t="e">
        <v>#N/A</v>
        <stp/>
        <stp>BDH|14908469782953057973</stp>
        <tr r="L25" s="7"/>
      </tp>
      <tp t="e">
        <v>#N/A</v>
        <stp/>
        <stp>BDH|15524345977206839540</stp>
        <tr r="W14" s="29"/>
        <tr r="W23" s="29"/>
        <tr r="W37" s="29"/>
      </tp>
      <tp t="e">
        <v>#N/A</v>
        <stp/>
        <stp>BDH|11277656339591110750</stp>
        <tr r="J40" s="17"/>
      </tp>
      <tp t="e">
        <v>#N/A</v>
        <stp/>
        <stp>BDH|15420146570434218584</stp>
        <tr r="W21" s="11"/>
      </tp>
      <tp t="e">
        <v>#N/A</v>
        <stp/>
        <stp>BDH|10786098321591444114</stp>
        <tr r="Q57" s="18"/>
      </tp>
      <tp t="e">
        <v>#N/A</v>
        <stp/>
        <stp>BDH|17907173527416048036</stp>
        <tr r="O31" s="34"/>
      </tp>
      <tp t="e">
        <v>#N/A</v>
        <stp/>
        <stp>BDH|10569801418763221857</stp>
        <tr r="J122" s="18"/>
      </tp>
      <tp t="e">
        <v>#N/A</v>
        <stp/>
        <stp>BDH|11626187364134596059</stp>
        <tr r="Z55" s="18"/>
      </tp>
      <tp t="e">
        <v>#N/A</v>
        <stp/>
        <stp>BDH|18012186489635375682</stp>
        <tr r="S56" s="24"/>
      </tp>
      <tp t="e">
        <v>#N/A</v>
        <stp/>
        <stp>BDH|12034949157188969476</stp>
        <tr r="AA90" s="12"/>
      </tp>
      <tp t="e">
        <v>#N/A</v>
        <stp/>
        <stp>BDH|15177284030535052348</stp>
        <tr r="Y59" s="13"/>
      </tp>
      <tp t="e">
        <v>#N/A</v>
        <stp/>
        <stp>BDH|13153198182858786006</stp>
        <tr r="E7" s="10"/>
      </tp>
      <tp t="e">
        <v>#N/A</v>
        <stp/>
        <stp>BDH|14771809583850853618</stp>
        <tr r="I115" s="18"/>
      </tp>
      <tp t="e">
        <v>#N/A</v>
        <stp/>
        <stp>BDH|13813702246095605759</stp>
        <tr r="C50" s="12"/>
      </tp>
      <tp t="e">
        <v>#N/A</v>
        <stp/>
        <stp>BDH|15051480842443024479</stp>
        <tr r="M18" s="10"/>
        <tr r="O16" s="13"/>
        <tr r="O27" s="13"/>
      </tp>
      <tp t="e">
        <v>#N/A</v>
        <stp/>
        <stp>BDH|12090455733575375284</stp>
        <tr r="F71" s="17"/>
      </tp>
      <tp t="e">
        <v>#N/A</v>
        <stp/>
        <stp>BDH|16443991431968727664</stp>
        <tr r="I32" s="10"/>
        <tr r="I24" s="11"/>
      </tp>
      <tp t="e">
        <v>#N/A</v>
        <stp/>
        <stp>BDH|10890053841324173206</stp>
        <tr r="C61" s="17"/>
      </tp>
      <tp t="e">
        <v>#N/A</v>
        <stp/>
        <stp>BDH|14184886904576346832</stp>
        <tr r="G127" s="18"/>
      </tp>
      <tp t="e">
        <v>#N/A</v>
        <stp/>
        <stp>BDH|11737207356653465789</stp>
        <tr r="E9" s="24"/>
      </tp>
      <tp t="e">
        <v>#N/A</v>
        <stp/>
        <stp>BDH|10193442159316151500</stp>
        <tr r="J39" s="26"/>
      </tp>
      <tp t="e">
        <v>#N/A</v>
        <stp/>
        <stp>BDH|16294102838247362143</stp>
        <tr r="E61" s="12"/>
      </tp>
      <tp t="e">
        <v>#N/A</v>
        <stp/>
        <stp>BDH|16778453529917046565</stp>
        <tr r="K26" s="12"/>
      </tp>
      <tp t="e">
        <v>#N/A</v>
        <stp/>
        <stp>BDH|10382742168947669446</stp>
        <tr r="R39" s="26"/>
      </tp>
      <tp t="e">
        <v>#N/A</v>
        <stp/>
        <stp>BDH|13409558321383819559</stp>
        <tr r="D40" s="22"/>
      </tp>
      <tp t="e">
        <v>#N/A</v>
        <stp/>
        <stp>BDH|10944307196808092021</stp>
        <tr r="F131" s="18"/>
      </tp>
      <tp t="e">
        <v>#N/A</v>
        <stp/>
        <stp>BDH|11891368569215363396</stp>
        <tr r="E11" s="13"/>
      </tp>
      <tp t="e">
        <v>#N/A</v>
        <stp/>
        <stp>BDH|11749733679592614160</stp>
        <tr r="K92" s="17"/>
        <tr r="K13" s="28"/>
      </tp>
      <tp t="e">
        <v>#N/A</v>
        <stp/>
        <stp>BDH|17759423859442689678</stp>
        <tr r="X74" s="24"/>
      </tp>
      <tp t="e">
        <v>#N/A</v>
        <stp/>
        <stp>BDH|13388178910267899619</stp>
        <tr r="E8" s="22"/>
      </tp>
      <tp t="e">
        <v>#N/A</v>
        <stp/>
        <stp>BDH|16630482665762602404</stp>
        <tr r="V25" s="17"/>
      </tp>
      <tp t="e">
        <v>#N/A</v>
        <stp/>
        <stp>BDH|15601110860803382390</stp>
        <tr r="W54" s="18"/>
      </tp>
      <tp t="e">
        <v>#N/A</v>
        <stp/>
        <stp>BDH|10906137144436334100</stp>
        <tr r="H19" s="17"/>
      </tp>
      <tp t="e">
        <v>#N/A</v>
        <stp/>
        <stp>BDH|16758743078182413626</stp>
        <tr r="F76" s="17"/>
        <tr r="F19" s="3"/>
      </tp>
      <tp t="e">
        <v>#N/A</v>
        <stp/>
        <stp>BDH|15773622953651226597</stp>
        <tr r="X83" s="24"/>
      </tp>
      <tp t="e">
        <v>#N/A</v>
        <stp/>
        <stp>BDH|12077985216169059130</stp>
        <tr r="W62" s="18"/>
      </tp>
      <tp t="e">
        <v>#N/A</v>
        <stp/>
        <stp>BDH|15313149308872070421</stp>
        <tr r="V50" s="18"/>
      </tp>
      <tp t="e">
        <v>#N/A</v>
        <stp/>
        <stp>BDH|12055630549131765304</stp>
        <tr r="AA37" s="18"/>
      </tp>
      <tp t="e">
        <v>#N/A</v>
        <stp/>
        <stp>BDH|11745269421095496691</stp>
        <tr r="W41" s="18"/>
      </tp>
      <tp t="e">
        <v>#N/A</v>
        <stp/>
        <stp>BDH|18247927835366138696</stp>
        <tr r="T40" s="34"/>
      </tp>
      <tp t="e">
        <v>#N/A</v>
        <stp/>
        <stp>BDH|15218676618717772773</stp>
        <tr r="K122" s="18"/>
      </tp>
      <tp t="e">
        <v>#N/A</v>
        <stp/>
        <stp>BDH|12549408104147487381</stp>
        <tr r="Y112" s="18"/>
      </tp>
      <tp t="e">
        <v>#N/A</v>
        <stp/>
        <stp>BDH|11417812263835862839</stp>
        <tr r="Y16" s="17"/>
        <tr r="Y19" s="28"/>
      </tp>
      <tp t="e">
        <v>#N/A</v>
        <stp/>
        <stp>BDH|11675262217237845727</stp>
        <tr r="C16" s="26"/>
      </tp>
      <tp t="e">
        <v>#N/A</v>
        <stp/>
        <stp>BDH|12053866423949846315</stp>
        <tr r="D40" s="24"/>
      </tp>
      <tp t="e">
        <v>#N/A</v>
        <stp/>
        <stp>BDH|14481184329302825716</stp>
        <tr r="H46" s="18"/>
      </tp>
      <tp t="e">
        <v>#N/A</v>
        <stp/>
        <stp>BDH|10740029537620736193</stp>
        <tr r="D17" s="22"/>
      </tp>
      <tp t="e">
        <v>#N/A</v>
        <stp/>
        <stp>BDH|11491474201116700197</stp>
        <tr r="Y12" s="14"/>
      </tp>
      <tp t="e">
        <v>#N/A</v>
        <stp/>
        <stp>BDH|18091751919155310932</stp>
        <tr r="I44" s="17"/>
      </tp>
      <tp t="e">
        <v>#N/A</v>
        <stp/>
        <stp>BDH|16880613673887614208</stp>
        <tr r="U20" s="20"/>
      </tp>
      <tp t="e">
        <v>#N/A</v>
        <stp/>
        <stp>BDH|13166041524957420496</stp>
        <tr r="V29" s="12"/>
      </tp>
      <tp t="e">
        <v>#N/A</v>
        <stp/>
        <stp>BDH|11832706835877635077</stp>
        <tr r="S36" s="4"/>
      </tp>
      <tp t="e">
        <v>#N/A</v>
        <stp/>
        <stp>BDH|12550080624407302568</stp>
        <tr r="R23" s="21"/>
      </tp>
      <tp t="e">
        <v>#N/A</v>
        <stp/>
        <stp>BDH|13176983986898232816</stp>
        <tr r="I39" s="26"/>
      </tp>
      <tp t="e">
        <v>#N/A</v>
        <stp/>
        <stp>BDH|17629818205454701996</stp>
        <tr r="E13" s="8"/>
      </tp>
      <tp t="e">
        <v>#N/A</v>
        <stp/>
        <stp>BDH|17256178756181922066</stp>
        <tr r="N6" s="19"/>
        <tr r="N35" s="17"/>
        <tr r="N16" s="3"/>
      </tp>
      <tp t="e">
        <v>#N/A</v>
        <stp/>
        <stp>BDH|18355905875000888420</stp>
        <tr r="K36" s="10"/>
        <tr r="K48" s="10"/>
        <tr r="K28" s="11"/>
        <tr r="K40" s="11"/>
      </tp>
      <tp t="e">
        <v>#N/A</v>
        <stp/>
        <stp>BDH|16648659933567914651</stp>
        <tr r="I24" s="6"/>
      </tp>
      <tp t="e">
        <v>#N/A</v>
        <stp/>
        <stp>BDH|14463444747782337489</stp>
        <tr r="T60" s="17"/>
      </tp>
      <tp t="e">
        <v>#N/A</v>
        <stp/>
        <stp>BDH|16425624159296537168</stp>
        <tr r="W93" s="17"/>
      </tp>
      <tp t="e">
        <v>#N/A</v>
        <stp/>
        <stp>BDH|17691372509216066040</stp>
        <tr r="G34" s="22"/>
      </tp>
      <tp t="e">
        <v>#N/A</v>
        <stp/>
        <stp>BDH|12210169609538436950</stp>
        <tr r="D29" s="12"/>
      </tp>
      <tp t="e">
        <v>#N/A</v>
        <stp/>
        <stp>BDH|18011142540978045783</stp>
        <tr r="Y84" s="24"/>
      </tp>
      <tp t="e">
        <v>#N/A</v>
        <stp/>
        <stp>BDH|10993909282821512224</stp>
        <tr r="K39" s="25"/>
        <tr r="K7" s="3"/>
        <tr r="I18" s="11"/>
        <tr r="K22" s="13"/>
        <tr r="K7" s="13"/>
      </tp>
      <tp t="e">
        <v>#N/A</v>
        <stp/>
        <stp>BDH|15219479060785911003</stp>
        <tr r="Y35" s="12"/>
      </tp>
      <tp t="e">
        <v>#N/A</v>
        <stp/>
        <stp>BDH|12206745898846615840</stp>
        <tr r="P53" s="18"/>
      </tp>
      <tp t="e">
        <v>#N/A</v>
        <stp/>
        <stp>BDH|12928477367741080356</stp>
        <tr r="M78" s="18"/>
      </tp>
      <tp t="e">
        <v>#N/A</v>
        <stp/>
        <stp>BDH|12020901194240092084</stp>
        <tr r="C15" s="13"/>
      </tp>
      <tp t="e">
        <v>#N/A</v>
        <stp/>
        <stp>BDH|12777044669981218747</stp>
        <tr r="D9" s="29"/>
      </tp>
      <tp t="e">
        <v>#N/A</v>
        <stp/>
        <stp>BDH|13810012863336398155</stp>
        <tr r="Y61" s="12"/>
      </tp>
      <tp t="e">
        <v>#N/A</v>
        <stp/>
        <stp>BDH|10812218715374340532</stp>
        <tr r="Y21" s="24"/>
      </tp>
      <tp t="e">
        <v>#N/A</v>
        <stp/>
        <stp>BDH|13206033768586673132</stp>
        <tr r="G62" s="17"/>
      </tp>
      <tp t="e">
        <v>#N/A</v>
        <stp/>
        <stp>BDH|13374662166374732586</stp>
        <tr r="R42" s="4"/>
      </tp>
      <tp t="e">
        <v>#N/A</v>
        <stp/>
        <stp>BDH|13068753319105064200</stp>
        <tr r="J75" s="24"/>
      </tp>
      <tp t="e">
        <v>#N/A</v>
        <stp/>
        <stp>BDH|15459652653393954773</stp>
        <tr r="V31" s="24"/>
      </tp>
      <tp t="e">
        <v>#N/A</v>
        <stp/>
        <stp>BDH|17552135808403637746</stp>
        <tr r="Z7" s="14"/>
      </tp>
      <tp t="e">
        <v>#N/A</v>
        <stp/>
        <stp>BDH|14412387444321742030</stp>
        <tr r="F45" s="34"/>
      </tp>
      <tp t="e">
        <v>#N/A</v>
        <stp/>
        <stp>BDH|10876100141120575700</stp>
        <tr r="Z9" s="28"/>
      </tp>
      <tp t="e">
        <v>#N/A</v>
        <stp/>
        <stp>BDH|13574267008722111166</stp>
        <tr r="M46" s="21"/>
      </tp>
      <tp t="e">
        <v>#N/A</v>
        <stp/>
        <stp>BDH|11175592832582174777</stp>
        <tr r="Q63" s="13"/>
      </tp>
      <tp t="e">
        <v>#N/A</v>
        <stp/>
        <stp>BDH|15671818995622609489</stp>
        <tr r="R36" s="4"/>
      </tp>
      <tp t="e">
        <v>#N/A</v>
        <stp/>
        <stp>BDH|11222067939474460450</stp>
        <tr r="S48" s="21"/>
      </tp>
      <tp t="e">
        <v>#N/A</v>
        <stp/>
        <stp>BDH|16407301112783817522</stp>
        <tr r="M34" s="29"/>
      </tp>
      <tp t="e">
        <v>#N/A</v>
        <stp/>
        <stp>BDH|10635081640011539774</stp>
        <tr r="Y89" s="17"/>
        <tr r="Y34" s="25"/>
      </tp>
      <tp t="e">
        <v>#N/A</v>
        <stp/>
        <stp>BDH|16869803904369005502</stp>
        <tr r="L26" s="6"/>
      </tp>
      <tp t="e">
        <v>#N/A</v>
        <stp/>
        <stp>BDH|11303419348461770221</stp>
        <tr r="V36" s="21"/>
      </tp>
      <tp t="e">
        <v>#N/A</v>
        <stp/>
        <stp>BDH|15246646267834887369</stp>
        <tr r="W7" s="28"/>
      </tp>
      <tp t="e">
        <v>#N/A</v>
        <stp/>
        <stp>BDH|14890764739146106496</stp>
        <tr r="H100" s="18"/>
        <tr r="H9" s="20"/>
      </tp>
      <tp t="e">
        <v>#N/A</v>
        <stp/>
        <stp>BDH|14303048209271936780</stp>
        <tr r="X38" s="24"/>
      </tp>
      <tp t="e">
        <v>#N/A</v>
        <stp/>
        <stp>BDH|14149314836097104188</stp>
        <tr r="O23" s="24"/>
      </tp>
      <tp t="e">
        <v>#N/A</v>
        <stp/>
        <stp>BDH|15073735105754084495</stp>
        <tr r="Y12" s="25"/>
      </tp>
      <tp t="e">
        <v>#N/A</v>
        <stp/>
        <stp>BDH|14571192143866904592</stp>
        <tr r="G72" s="17"/>
      </tp>
      <tp t="e">
        <v>#N/A</v>
        <stp/>
        <stp>BDH|16139165734414492285</stp>
        <tr r="M18" s="12"/>
      </tp>
      <tp t="e">
        <v>#N/A</v>
        <stp/>
        <stp>BDH|12770980499612897216</stp>
        <tr r="V69" s="18"/>
      </tp>
      <tp t="e">
        <v>#N/A</v>
        <stp/>
        <stp>BDH|11920470507181368658</stp>
        <tr r="I45" s="22"/>
      </tp>
      <tp t="e">
        <v>#N/A</v>
        <stp/>
        <stp>BDH|11180412559542336051</stp>
        <tr r="E40" s="22"/>
      </tp>
      <tp t="e">
        <v>#N/A</v>
        <stp/>
        <stp>BDH|17001742055560624788</stp>
        <tr r="AA11" s="22"/>
      </tp>
      <tp t="e">
        <v>#N/A</v>
        <stp/>
        <stp>BDH|10520464120645559199</stp>
        <tr r="K7" s="34"/>
      </tp>
      <tp t="e">
        <v>#N/A</v>
        <stp/>
        <stp>BDH|12091867928943789963</stp>
        <tr r="L51" s="18"/>
      </tp>
      <tp t="e">
        <v>#N/A</v>
        <stp/>
        <stp>BDH|12649401759955184417</stp>
        <tr r="N49" s="22"/>
      </tp>
      <tp t="e">
        <v>#N/A</v>
        <stp/>
        <stp>BDH|17534694555116679002</stp>
        <tr r="E51" s="24"/>
      </tp>
      <tp t="e">
        <v>#N/A</v>
        <stp/>
        <stp>BDH|16881533262904438322</stp>
        <tr r="J17" s="17"/>
        <tr r="J20" s="28"/>
      </tp>
      <tp t="e">
        <v>#N/A</v>
        <stp/>
        <stp>BDH|17805367013547694048</stp>
        <tr r="D49" s="22"/>
      </tp>
      <tp t="e">
        <v>#N/A</v>
        <stp/>
        <stp>BDH|15489641209561791017</stp>
        <tr r="G48" s="21"/>
      </tp>
      <tp t="e">
        <v>#N/A</v>
        <stp/>
        <stp>BDH|16100085663186266470</stp>
        <tr r="M62" s="24"/>
      </tp>
      <tp t="e">
        <v>#N/A</v>
        <stp/>
        <stp>BDH|15721694536944780605</stp>
        <tr r="S43" s="24"/>
      </tp>
      <tp t="e">
        <v>#N/A</v>
        <stp/>
        <stp>BDH|16180410260077936169</stp>
        <tr r="U72" s="17"/>
      </tp>
      <tp t="e">
        <v>#N/A</v>
        <stp/>
        <stp>BDH|13163291058655604393</stp>
        <tr r="R12" s="12"/>
      </tp>
      <tp t="e">
        <v>#N/A</v>
        <stp/>
        <stp>BDH|12999956200879060030</stp>
        <tr r="Z44" s="12"/>
      </tp>
      <tp t="e">
        <v>#N/A</v>
        <stp/>
        <stp>BDH|15379431477796888208</stp>
        <tr r="G7" s="2"/>
        <tr r="F7" s="5"/>
        <tr r="F7" s="9"/>
        <tr r="I14" s="3"/>
      </tp>
      <tp t="e">
        <v>#N/A</v>
        <stp/>
        <stp>BDH|16872665021276598659</stp>
        <tr r="V34" s="14"/>
      </tp>
      <tp t="e">
        <v>#N/A</v>
        <stp/>
        <stp>BDH|10984664025904417213</stp>
        <tr r="M46" s="13"/>
      </tp>
      <tp t="e">
        <v>#N/A</v>
        <stp/>
        <stp>BDH|15643586250670525741</stp>
        <tr r="H50" s="4"/>
      </tp>
      <tp t="e">
        <v>#N/A</v>
        <stp/>
        <stp>BDH|10224385345751034405</stp>
        <tr r="AA62" s="13"/>
      </tp>
      <tp t="e">
        <v>#N/A</v>
        <stp/>
        <stp>BDH|11001091902475360676</stp>
        <tr r="H21" s="10"/>
      </tp>
      <tp t="e">
        <v>#N/A</v>
        <stp/>
        <stp>BDH|15992465552924554275</stp>
        <tr r="K42" s="22"/>
      </tp>
      <tp t="e">
        <v>#N/A</v>
        <stp/>
        <stp>BDH|10475321319703339336</stp>
        <tr r="K28" s="22"/>
      </tp>
      <tp t="e">
        <v>#N/A</v>
        <stp/>
        <stp>BDH|17716893126736583929</stp>
        <tr r="I62" s="18"/>
      </tp>
      <tp t="e">
        <v>#N/A</v>
        <stp/>
        <stp>BDH|13164996927269919397</stp>
        <tr r="K17" s="17"/>
        <tr r="K20" s="28"/>
      </tp>
      <tp t="e">
        <v>#N/A</v>
        <stp/>
        <stp>BDH|11992960820190222831</stp>
        <tr r="L23" s="25"/>
        <tr r="J20" s="11"/>
      </tp>
      <tp t="e">
        <v>#N/A</v>
        <stp/>
        <stp>BDH|12972809093407515612</stp>
        <tr r="M80" s="12"/>
      </tp>
      <tp t="e">
        <v>#N/A</v>
        <stp/>
        <stp>BDH|12966663304912016454</stp>
        <tr r="C8" s="3"/>
        <tr r="C40" s="13"/>
      </tp>
      <tp t="e">
        <v>#N/A</v>
        <stp/>
        <stp>BDH|17848120027036482074</stp>
        <tr r="O32" s="17"/>
      </tp>
      <tp t="e">
        <v>#N/A</v>
        <stp/>
        <stp>BDH|15798805025728551596</stp>
        <tr r="U86" s="18"/>
      </tp>
      <tp t="e">
        <v>#N/A</v>
        <stp/>
        <stp>BDH|17052138351439989859</stp>
        <tr r="Q19" s="26"/>
      </tp>
      <tp t="e">
        <v>#N/A</v>
        <stp/>
        <stp>BDH|15933333169071990341</stp>
        <tr r="I19" s="11"/>
      </tp>
      <tp t="e">
        <v>#N/A</v>
        <stp/>
        <stp>BDH|12746210959395216239</stp>
        <tr r="Y43" s="13"/>
      </tp>
      <tp t="e">
        <v>#N/A</v>
        <stp/>
        <stp>BDH|13357725640207751588</stp>
        <tr r="K63" s="17"/>
      </tp>
      <tp t="e">
        <v>#N/A</v>
        <stp/>
        <stp>BDH|16341694210912733134</stp>
        <tr r="P20" s="24"/>
      </tp>
      <tp t="e">
        <v>#N/A</v>
        <stp/>
        <stp>BDH|13376078176363525593</stp>
        <tr r="E18" s="22"/>
      </tp>
      <tp t="e">
        <v>#N/A</v>
        <stp/>
        <stp>BDH|12982681564250974021</stp>
        <tr r="Y47" s="13"/>
      </tp>
      <tp t="e">
        <v>#N/A</v>
        <stp/>
        <stp>BDH|16737086232984402370</stp>
        <tr r="W50" s="24"/>
      </tp>
      <tp t="e">
        <v>#N/A</v>
        <stp/>
        <stp>BDH|12104281870127390245</stp>
        <tr r="H15" s="25"/>
      </tp>
      <tp t="e">
        <v>#N/A</v>
        <stp/>
        <stp>BDH|17378521015571266089</stp>
        <tr r="X10" s="14"/>
      </tp>
      <tp t="e">
        <v>#N/A</v>
        <stp/>
        <stp>BDH|17344633078356795211</stp>
        <tr r="L54" s="24"/>
      </tp>
      <tp t="e">
        <v>#N/A</v>
        <stp/>
        <stp>BDH|10306683137955135235</stp>
        <tr r="W9" s="3"/>
        <tr r="U51" s="10"/>
        <tr r="U43" s="11"/>
        <tr r="U14" s="7"/>
      </tp>
      <tp t="e">
        <v>#N/A</v>
        <stp/>
        <stp>BDH|15836546341621408771</stp>
        <tr r="D57" s="6"/>
      </tp>
      <tp t="e">
        <v>#N/A</v>
        <stp/>
        <stp>BDH|16223421079807299050</stp>
        <tr r="N21" s="6"/>
      </tp>
      <tp t="e">
        <v>#N/A</v>
        <stp/>
        <stp>BDH|12471556667095129691</stp>
        <tr r="O45" s="21"/>
      </tp>
      <tp t="e">
        <v>#N/A</v>
        <stp/>
        <stp>BDH|17945541976347418015</stp>
        <tr r="AA45" s="24"/>
      </tp>
      <tp t="e">
        <v>#N/A</v>
        <stp/>
        <stp>BDH|14830443337555032457</stp>
        <tr r="D15" s="4"/>
      </tp>
      <tp t="e">
        <v>#N/A</v>
        <stp/>
        <stp>BDH|12375522220772861573</stp>
        <tr r="F13" s="30"/>
      </tp>
      <tp t="e">
        <v>#N/A</v>
        <stp/>
        <stp>BDH|14764071444621347393</stp>
        <tr r="E82" s="24"/>
      </tp>
      <tp t="e">
        <v>#N/A</v>
        <stp/>
        <stp>BDH|14590936188952520552</stp>
        <tr r="W15" s="26"/>
      </tp>
      <tp t="e">
        <v>#N/A</v>
        <stp/>
        <stp>BDH|10840170665671757433</stp>
        <tr r="D30" s="26"/>
      </tp>
      <tp t="e">
        <v>#N/A</v>
        <stp/>
        <stp>BDH|14781251236223962439</stp>
        <tr r="C77" s="17"/>
      </tp>
      <tp t="e">
        <v>#N/A</v>
        <stp/>
        <stp>BDH|15811085214950179741</stp>
        <tr r="I7" s="24"/>
      </tp>
      <tp t="e">
        <v>#N/A</v>
        <stp/>
        <stp>BDH|16897747077383240682</stp>
        <tr r="E56" s="12"/>
      </tp>
      <tp t="e">
        <v>#N/A</v>
        <stp/>
        <stp>BDH|12048536001426181225</stp>
        <tr r="E54" s="17"/>
      </tp>
      <tp t="e">
        <v>#N/A</v>
        <stp/>
        <stp>BDH|10249196933665883417</stp>
        <tr r="Z63" s="12"/>
      </tp>
      <tp t="e">
        <v>#N/A</v>
        <stp/>
        <stp>BDH|11354126955920108641</stp>
        <tr r="H43" s="18"/>
      </tp>
      <tp t="e">
        <v>#N/A</v>
        <stp/>
        <stp>BDH|13843427351223292283</stp>
        <tr r="R10" s="2"/>
        <tr r="Q11" s="5"/>
        <tr r="Q55" s="6"/>
        <tr r="R33" s="29"/>
        <tr r="R42" s="29"/>
      </tp>
      <tp t="e">
        <v>#N/A</v>
        <stp/>
        <stp>BDH|13180124664894576339</stp>
        <tr r="AA80" s="12"/>
      </tp>
      <tp t="e">
        <v>#N/A</v>
        <stp/>
        <stp>BDH|12232829723698406366</stp>
        <tr r="T47" s="21"/>
      </tp>
      <tp t="e">
        <v>#N/A</v>
        <stp/>
        <stp>BDH|10375992289232354018</stp>
        <tr r="X16" s="21"/>
      </tp>
      <tp t="e">
        <v>#N/A</v>
        <stp/>
        <stp>BDH|10086512551484578743</stp>
        <tr r="P82" s="18"/>
      </tp>
      <tp t="e">
        <v>#N/A</v>
        <stp/>
        <stp>BDH|11782058665863014760</stp>
        <tr r="Q130" s="18"/>
      </tp>
      <tp t="e">
        <v>#N/A</v>
        <stp/>
        <stp>BDH|11623580529840507532</stp>
        <tr r="H46" s="22"/>
      </tp>
      <tp t="e">
        <v>#N/A</v>
        <stp/>
        <stp>BDH|15588779460422696553</stp>
        <tr r="H63" s="17"/>
      </tp>
      <tp t="e">
        <v>#N/A</v>
        <stp/>
        <stp>BDH|17433034643962067257</stp>
        <tr r="W133" s="18"/>
      </tp>
      <tp t="e">
        <v>#N/A</v>
        <stp/>
        <stp>BDH|18006973868594881061</stp>
        <tr r="G51" s="17"/>
        <tr r="G17" s="3"/>
      </tp>
      <tp t="e">
        <v>#N/A</v>
        <stp/>
        <stp>BDH|10338364413927735603</stp>
        <tr r="M42" s="34"/>
      </tp>
      <tp t="e">
        <v>#N/A</v>
        <stp/>
        <stp>BDH|13421448630894044318</stp>
        <tr r="P24" s="4"/>
        <tr r="P57" s="11"/>
      </tp>
      <tp t="e">
        <v>#N/A</v>
        <stp/>
        <stp>BDH|13600770064946272760</stp>
        <tr r="U30" s="29"/>
        <tr r="U8" s="29"/>
      </tp>
      <tp t="e">
        <v>#N/A</v>
        <stp/>
        <stp>BDH|10583420242406518510</stp>
        <tr r="U25" s="34"/>
      </tp>
      <tp t="e">
        <v>#N/A</v>
        <stp/>
        <stp>BDH|11711592235052282686</stp>
        <tr r="C36" s="18"/>
      </tp>
      <tp t="e">
        <v>#N/A</v>
        <stp/>
        <stp>BDH|14861952292906922172</stp>
        <tr r="AA13" s="22"/>
      </tp>
      <tp t="e">
        <v>#N/A</v>
        <stp/>
        <stp>BDH|13442021524984386608</stp>
        <tr r="F21" s="11"/>
      </tp>
      <tp t="e">
        <v>#N/A</v>
        <stp/>
        <stp>BDH|16609342263784517458</stp>
        <tr r="T86" s="18"/>
      </tp>
      <tp t="e">
        <v>#N/A</v>
        <stp/>
        <stp>BDH|10713865200612361938</stp>
        <tr r="C11" s="13"/>
      </tp>
      <tp t="e">
        <v>#N/A</v>
        <stp/>
        <stp>BDH|16468616630361776137</stp>
        <tr r="K22" s="10"/>
      </tp>
      <tp t="e">
        <v>#N/A</v>
        <stp/>
        <stp>BDH|15823011234320869545</stp>
        <tr r="T43" s="13"/>
      </tp>
      <tp t="e">
        <v>#N/A</v>
        <stp/>
        <stp>BDH|15180749160653111455</stp>
        <tr r="K11" s="11"/>
      </tp>
      <tp t="e">
        <v>#N/A</v>
        <stp/>
        <stp>BDH|13795586132576907059</stp>
        <tr r="AA60" s="17"/>
      </tp>
      <tp t="e">
        <v>#N/A</v>
        <stp/>
        <stp>BDH|11593039277764311135</stp>
        <tr r="V14" s="2"/>
        <tr r="V11" s="10"/>
      </tp>
      <tp t="e">
        <v>#N/A</v>
        <stp/>
        <stp>BDH|13534156704079262870</stp>
        <tr r="W48" s="21"/>
      </tp>
      <tp t="e">
        <v>#N/A</v>
        <stp/>
        <stp>BDH|12546223059686872074</stp>
        <tr r="I32" s="6"/>
      </tp>
      <tp t="e">
        <v>#N/A</v>
        <stp/>
        <stp>BDH|16346611272532848696</stp>
        <tr r="I8" s="4"/>
      </tp>
      <tp t="e">
        <v>#N/A</v>
        <stp/>
        <stp>BDH|17714884049958654018</stp>
        <tr r="V10" s="10"/>
      </tp>
      <tp t="e">
        <v>#N/A</v>
        <stp/>
        <stp>BDH|16611276492018260600</stp>
        <tr r="C47" s="17"/>
      </tp>
      <tp t="e">
        <v>#N/A</v>
        <stp/>
        <stp>BDH|10824934797752887158</stp>
        <tr r="P46" s="21"/>
      </tp>
      <tp t="e">
        <v>#N/A</v>
        <stp/>
        <stp>BDH|10967040463570957567</stp>
        <tr r="J32" s="6"/>
      </tp>
      <tp t="e">
        <v>#N/A</v>
        <stp/>
        <stp>BDH|17553471260743749547</stp>
        <tr r="V31" s="18"/>
      </tp>
      <tp t="e">
        <v>#N/A</v>
        <stp/>
        <stp>BDH|15091761506098482950</stp>
        <tr r="Q43" s="10"/>
        <tr r="Q35" s="11"/>
      </tp>
      <tp t="e">
        <v>#N/A</v>
        <stp/>
        <stp>BDH|15948921178501748953</stp>
        <tr r="Q23" s="26"/>
      </tp>
      <tp t="e">
        <v>#N/A</v>
        <stp/>
        <stp>BDH|12631647630694351001</stp>
        <tr r="D59" s="21"/>
      </tp>
      <tp t="e">
        <v>#N/A</v>
        <stp/>
        <stp>BDH|10461198599873260876</stp>
        <tr r="N18" s="6"/>
      </tp>
      <tp t="e">
        <v>#N/A</v>
        <stp/>
        <stp>BDH|12296945093584781534</stp>
        <tr r="E54" s="21"/>
      </tp>
      <tp t="e">
        <v>#N/A</v>
        <stp/>
        <stp>BDH|13319482919302237716</stp>
        <tr r="N24" s="9"/>
      </tp>
      <tp t="e">
        <v>#N/A</v>
        <stp/>
        <stp>BDH|12900547000151949556</stp>
        <tr r="J54" s="21"/>
      </tp>
      <tp t="e">
        <v>#N/A</v>
        <stp/>
        <stp>BDH|10531278208913865230</stp>
        <tr r="Z73" s="24"/>
      </tp>
      <tp t="e">
        <v>#N/A</v>
        <stp/>
        <stp>BDH|13456779721691668458</stp>
        <tr r="R113" s="18"/>
      </tp>
      <tp t="e">
        <v>#N/A</v>
        <stp/>
        <stp>BDH|17645708665176163320</stp>
        <tr r="M67" s="18"/>
      </tp>
      <tp t="e">
        <v>#N/A</v>
        <stp/>
        <stp>BDH|14525624435892243000</stp>
        <tr r="T49" s="21"/>
      </tp>
      <tp t="e">
        <v>#N/A</v>
        <stp/>
        <stp>BDH|17808139560313846034</stp>
        <tr r="Z68" s="24"/>
      </tp>
      <tp t="e">
        <v>#N/A</v>
        <stp/>
        <stp>BDH|16291079814010098413</stp>
        <tr r="C69" s="17"/>
      </tp>
      <tp t="e">
        <v>#N/A</v>
        <stp/>
        <stp>BDH|16485892139919585712</stp>
        <tr r="W52" s="24"/>
      </tp>
      <tp t="e">
        <v>#N/A</v>
        <stp/>
        <stp>BDH|12379514617667345269</stp>
        <tr r="P50" s="24"/>
      </tp>
      <tp t="e">
        <v>#N/A</v>
        <stp/>
        <stp>BDH|10898726279831672258</stp>
        <tr r="T62" s="18"/>
      </tp>
      <tp t="e">
        <v>#N/A</v>
        <stp/>
        <stp>BDH|13076701143866126524</stp>
        <tr r="AA46" s="12"/>
      </tp>
      <tp t="e">
        <v>#N/A</v>
        <stp/>
        <stp>BDH|17271371833385047169</stp>
        <tr r="K19" s="24"/>
      </tp>
      <tp t="e">
        <v>#N/A</v>
        <stp/>
        <stp>BDH|18098179906068782267</stp>
        <tr r="R15" s="17"/>
        <tr r="R18" s="28"/>
      </tp>
      <tp t="e">
        <v>#N/A</v>
        <stp/>
        <stp>BDH|13265231012163785041</stp>
        <tr r="K120" s="18"/>
      </tp>
      <tp t="e">
        <v>#N/A</v>
        <stp/>
        <stp>BDH|15953616568802237427</stp>
        <tr r="Y81" s="24"/>
      </tp>
      <tp t="e">
        <v>#N/A</v>
        <stp/>
        <stp>BDH|16347081907901811443</stp>
        <tr r="H16" s="2"/>
        <tr r="H32" s="4"/>
        <tr r="H62" s="10"/>
        <tr r="J19" s="13"/>
      </tp>
      <tp t="e">
        <v>#N/A</v>
        <stp/>
        <stp>BDH|12626478163680631341</stp>
        <tr r="S9" s="12"/>
      </tp>
      <tp t="e">
        <v>#N/A</v>
        <stp/>
        <stp>BDH|12151359187328045235</stp>
        <tr r="F42" s="22"/>
      </tp>
      <tp t="e">
        <v>#N/A</v>
        <stp/>
        <stp>BDH|11203018017154168752</stp>
        <tr r="V39" s="34"/>
      </tp>
      <tp t="e">
        <v>#N/A</v>
        <stp/>
        <stp>BDH|17778257726955163152</stp>
        <tr r="P21" s="5"/>
      </tp>
      <tp t="e">
        <v>#N/A</v>
        <stp/>
        <stp>BDH|12995040908506006751</stp>
        <tr r="J21" s="27"/>
      </tp>
      <tp t="e">
        <v>#N/A</v>
        <stp/>
        <stp>BDH|14907407149962111512</stp>
        <tr r="C10" s="22"/>
      </tp>
      <tp t="e">
        <v>#N/A</v>
        <stp/>
        <stp>BDH|11311568854797038511</stp>
        <tr r="V32" s="17"/>
      </tp>
      <tp t="e">
        <v>#N/A</v>
        <stp/>
        <stp>BDH|14583477244284474329</stp>
        <tr r="Q44" s="12"/>
      </tp>
      <tp t="e">
        <v>#N/A</v>
        <stp/>
        <stp>BDH|16917601022897831638</stp>
        <tr r="Y104" s="18"/>
      </tp>
      <tp t="e">
        <v>#N/A</v>
        <stp/>
        <stp>BDH|13376706305322658505</stp>
        <tr r="W89" s="12"/>
      </tp>
      <tp t="e">
        <v>#N/A</v>
        <stp/>
        <stp>BDH|11520527569024852562</stp>
        <tr r="V48" s="18"/>
      </tp>
      <tp t="e">
        <v>#N/A</v>
        <stp/>
        <stp>BDH|16808820951159932120</stp>
        <tr r="L111" s="18"/>
      </tp>
      <tp t="e">
        <v>#N/A</v>
        <stp/>
        <stp>BDH|13047381084138406386</stp>
        <tr r="X85" s="12"/>
      </tp>
      <tp t="e">
        <v>#N/A</v>
        <stp/>
        <stp>BDH|11074720888329303495</stp>
        <tr r="J21" s="21"/>
      </tp>
      <tp t="e">
        <v>#N/A</v>
        <stp/>
        <stp>BDH|16939096735411686738</stp>
        <tr r="F14" s="21"/>
      </tp>
      <tp t="e">
        <v>#N/A</v>
        <stp/>
        <stp>BDH|18096031646568757729</stp>
        <tr r="P71" s="10"/>
        <tr r="P63" s="11"/>
      </tp>
      <tp t="e">
        <v>#N/A</v>
        <stp/>
        <stp>BDH|13351863892367310644</stp>
        <tr r="N20" s="5"/>
      </tp>
      <tp t="e">
        <v>#N/A</v>
        <stp/>
        <stp>BDH|15115738471876753044</stp>
        <tr r="D38" s="12"/>
      </tp>
      <tp t="e">
        <v>#N/A</v>
        <stp/>
        <stp>BDH|16105014897605039971</stp>
        <tr r="X9" s="6"/>
      </tp>
      <tp t="e">
        <v>#N/A</v>
        <stp/>
        <stp>BDH|17266146261617502426</stp>
        <tr r="Q19" s="17"/>
      </tp>
      <tp t="e">
        <v>#N/A</v>
        <stp/>
        <stp>BDH|15233833680400242637</stp>
        <tr r="T75" s="24"/>
      </tp>
      <tp t="e">
        <v>#N/A</v>
        <stp/>
        <stp>BDH|11146744283429632401</stp>
        <tr r="O25" s="25"/>
        <tr r="O10" s="27"/>
      </tp>
      <tp t="e">
        <v>#N/A</v>
        <stp/>
        <stp>BDH|10712695860904707798</stp>
        <tr r="Y25" s="26"/>
      </tp>
      <tp t="e">
        <v>#N/A</v>
        <stp/>
        <stp>BDH|13529683231103967653</stp>
        <tr r="S75" s="18"/>
        <tr r="S64" s="12"/>
      </tp>
      <tp t="e">
        <v>#N/A</v>
        <stp/>
        <stp>BDH|13751647553641712270</stp>
        <tr r="H31" s="24"/>
      </tp>
      <tp t="e">
        <v>#N/A</v>
        <stp/>
        <stp>BDH|12343508929614870229</stp>
        <tr r="E36" s="34"/>
      </tp>
      <tp t="e">
        <v>#N/A</v>
        <stp/>
        <stp>BDH|16662820685137050216</stp>
        <tr r="H41" s="10"/>
        <tr r="H33" s="11"/>
      </tp>
      <tp t="e">
        <v>#N/A</v>
        <stp/>
        <stp>BDH|14510331714987200232</stp>
        <tr r="N55" s="24"/>
      </tp>
      <tp t="e">
        <v>#N/A</v>
        <stp/>
        <stp>BDH|12895346699918797314</stp>
        <tr r="O33" s="22"/>
      </tp>
      <tp t="e">
        <v>#N/A</v>
        <stp/>
        <stp>BDH|13202284830067169688</stp>
        <tr r="F22" s="30"/>
        <tr r="F24" s="23"/>
      </tp>
      <tp t="e">
        <v>#N/A</v>
        <stp/>
        <stp>BDH|17201429603285503552</stp>
        <tr r="G25" s="13"/>
      </tp>
      <tp t="e">
        <v>#N/A</v>
        <stp/>
        <stp>BDH|11792575130491171527</stp>
        <tr r="W42" s="4"/>
      </tp>
      <tp t="e">
        <v>#N/A</v>
        <stp/>
        <stp>BDH|18246088325359837044</stp>
        <tr r="V17" s="14"/>
      </tp>
      <tp t="e">
        <v>#N/A</v>
        <stp/>
        <stp>BDH|11521468764416100651</stp>
        <tr r="K85" s="12"/>
      </tp>
      <tp t="e">
        <v>#N/A</v>
        <stp/>
        <stp>BDH|14376959256959091231</stp>
        <tr r="Y120" s="18"/>
      </tp>
      <tp t="e">
        <v>#N/A</v>
        <stp/>
        <stp>BDH|10854682955118705818</stp>
        <tr r="I18" s="18"/>
      </tp>
      <tp t="e">
        <v>#N/A</v>
        <stp/>
        <stp>BDH|14632590576465211088</stp>
        <tr r="R8" s="11"/>
      </tp>
      <tp t="e">
        <v>#N/A</v>
        <stp/>
        <stp>BDH|14583481939711449134</stp>
        <tr r="J12" s="3"/>
        <tr r="H55" s="10"/>
        <tr r="H47" s="11"/>
        <tr r="H7" s="7"/>
      </tp>
      <tp t="e">
        <v>#N/A</v>
        <stp/>
        <stp>BDH|14603476964631247449</stp>
        <tr r="M129" s="18"/>
      </tp>
      <tp t="e">
        <v>#N/A</v>
        <stp/>
        <stp>BDH|17291269857726694562</stp>
        <tr r="D38" s="17"/>
      </tp>
      <tp t="e">
        <v>#N/A</v>
        <stp/>
        <stp>BDH|15159838296836503129</stp>
        <tr r="G50" s="24"/>
      </tp>
      <tp t="e">
        <v>#N/A</v>
        <stp/>
        <stp>BDH|14188721461194054211</stp>
        <tr r="H41" s="18"/>
      </tp>
      <tp t="e">
        <v>#N/A</v>
        <stp/>
        <stp>BDH|11903310637253885149</stp>
        <tr r="D68" s="12"/>
      </tp>
      <tp t="e">
        <v>#N/A</v>
        <stp/>
        <stp>BDH|11628143931045221520</stp>
        <tr r="D22" s="10"/>
      </tp>
      <tp t="e">
        <v>#N/A</v>
        <stp/>
        <stp>BDH|11007673172641723214</stp>
        <tr r="U44" s="18"/>
      </tp>
      <tp t="e">
        <v>#N/A</v>
        <stp/>
        <stp>BDH|15727525431419313941</stp>
        <tr r="Q13" s="8"/>
      </tp>
      <tp t="e">
        <v>#N/A</v>
        <stp/>
        <stp>BDH|14428486106125005697</stp>
        <tr r="O40" s="12"/>
      </tp>
      <tp t="e">
        <v>#N/A</v>
        <stp/>
        <stp>BDH|10350792988309322524</stp>
        <tr r="W53" s="10"/>
        <tr r="W45" s="11"/>
        <tr r="W16" s="7"/>
      </tp>
      <tp t="e">
        <v>#N/A</v>
        <stp/>
        <stp>BDH|16582768053055399208</stp>
        <tr r="X18" s="20"/>
      </tp>
      <tp t="e">
        <v>#N/A</v>
        <stp/>
        <stp>BDH|12343309070672232729</stp>
        <tr r="U114" s="18"/>
      </tp>
      <tp t="e">
        <v>#N/A</v>
        <stp/>
        <stp>BDH|16056714476001592418</stp>
        <tr r="Q18" s="6"/>
      </tp>
      <tp t="e">
        <v>#N/A</v>
        <stp/>
        <stp>BDH|16555965687736710206</stp>
        <tr r="R13" s="11"/>
      </tp>
      <tp t="e">
        <v>#N/A</v>
        <stp/>
        <stp>BDH|13186571742758396947</stp>
        <tr r="O33" s="18"/>
      </tp>
      <tp t="e">
        <v>#N/A</v>
        <stp/>
        <stp>BDH|10069578030185611029</stp>
        <tr r="W99" s="18"/>
        <tr r="W8" s="20"/>
      </tp>
      <tp t="e">
        <v>#N/A</v>
        <stp/>
        <stp>BDH|10045372117304066534</stp>
        <tr r="W78" s="18"/>
      </tp>
      <tp t="e">
        <v>#N/A</v>
        <stp/>
        <stp>BDH|12739576604405170160</stp>
        <tr r="AA43" s="22"/>
      </tp>
      <tp t="e">
        <v>#N/A</v>
        <stp/>
        <stp>BDH|11764446531647170207</stp>
        <tr r="V22" s="4"/>
      </tp>
      <tp t="e">
        <v>#N/A</v>
        <stp/>
        <stp>BDH|11453784358182445231</stp>
        <tr r="N40" s="10"/>
        <tr r="N32" s="11"/>
      </tp>
      <tp t="e">
        <v>#N/A</v>
        <stp/>
        <stp>BDH|16531001974167600546</stp>
        <tr r="F63" s="10"/>
      </tp>
      <tp t="e">
        <v>#N/A</v>
        <stp/>
        <stp>BDH|11254533667144372565</stp>
        <tr r="R135" s="18"/>
      </tp>
      <tp t="e">
        <v>#N/A</v>
        <stp/>
        <stp>BDH|18300449962038198175</stp>
        <tr r="H33" s="14"/>
      </tp>
      <tp t="e">
        <v>#N/A</v>
        <stp/>
        <stp>BDH|12546321503487105565</stp>
        <tr r="T49" s="18"/>
      </tp>
      <tp t="e">
        <v>#N/A</v>
        <stp/>
        <stp>BDH|13140291514322626190</stp>
        <tr r="S113" s="18"/>
      </tp>
      <tp t="e">
        <v>#N/A</v>
        <stp/>
        <stp>BDH|18019206485196257747</stp>
        <tr r="I97" s="18"/>
        <tr r="I6" s="20"/>
      </tp>
      <tp t="e">
        <v>#N/A</v>
        <stp/>
        <stp>BDH|13176031039397198487</stp>
        <tr r="V57" s="10"/>
        <tr r="V49" s="11"/>
        <tr r="V18" s="7"/>
        <tr r="X57" s="13"/>
      </tp>
      <tp t="e">
        <v>#N/A</v>
        <stp/>
        <stp>BDH|17190991778178373215</stp>
        <tr r="N29" s="17"/>
      </tp>
      <tp t="e">
        <v>#N/A</v>
        <stp/>
        <stp>BDH|13349420433211042608</stp>
        <tr r="O71" s="10"/>
        <tr r="O63" s="11"/>
      </tp>
      <tp t="e">
        <v>#N/A</v>
        <stp/>
        <stp>BDH|12964482416184680037</stp>
        <tr r="S20" s="20"/>
      </tp>
      <tp t="e">
        <v>#N/A</v>
        <stp/>
        <stp>BDH|15793561993599169311</stp>
        <tr r="F17" s="5"/>
        <tr r="F36" s="6"/>
      </tp>
      <tp t="e">
        <v>#N/A</v>
        <stp/>
        <stp>BDH|12092633724214752127</stp>
        <tr r="N12" s="7"/>
      </tp>
      <tp t="e">
        <v>#N/A</v>
        <stp/>
        <stp>BDH|11110373681948110140</stp>
        <tr r="D30" s="21"/>
      </tp>
      <tp t="e">
        <v>#N/A</v>
        <stp/>
        <stp>BDH|14102564700947412515</stp>
        <tr r="M21" s="10"/>
      </tp>
      <tp t="e">
        <v>#N/A</v>
        <stp/>
        <stp>BDH|15428323101936524302</stp>
        <tr r="X40" s="17"/>
      </tp>
      <tp t="e">
        <v>#N/A</v>
        <stp/>
        <stp>BDH|13732483012926922363</stp>
        <tr r="Y6" s="19"/>
        <tr r="Y35" s="17"/>
        <tr r="Y16" s="3"/>
      </tp>
      <tp t="e">
        <v>#N/A</v>
        <stp/>
        <stp>BDH|14456370752076554768</stp>
        <tr r="P26" s="14"/>
      </tp>
      <tp t="e">
        <v>#N/A</v>
        <stp/>
        <stp>BDH|11292003445457737122</stp>
        <tr r="E61" s="18"/>
      </tp>
      <tp t="e">
        <v>#N/A</v>
        <stp/>
        <stp>BDH|11327264134800378307</stp>
        <tr r="Z92" s="17"/>
        <tr r="Z13" s="28"/>
      </tp>
      <tp t="e">
        <v>#N/A</v>
        <stp/>
        <stp>BDH|12499048467876551101</stp>
        <tr r="E37" s="24"/>
      </tp>
      <tp t="e">
        <v>#N/A</v>
        <stp/>
        <stp>BDH|17146337302522497562</stp>
        <tr r="T71" s="17"/>
      </tp>
      <tp t="e">
        <v>#N/A</v>
        <stp/>
        <stp>BDH|14379276616676471243</stp>
        <tr r="L16" s="11"/>
      </tp>
      <tp t="e">
        <v>#N/A</v>
        <stp/>
        <stp>BDH|12916349169527082366</stp>
        <tr r="J62" s="18"/>
      </tp>
      <tp t="e">
        <v>#N/A</v>
        <stp/>
        <stp>BDH|15358254234156713173</stp>
        <tr r="X9" s="3"/>
        <tr r="V51" s="10"/>
        <tr r="V43" s="11"/>
        <tr r="V14" s="7"/>
      </tp>
      <tp t="e">
        <v>#N/A</v>
        <stp/>
        <stp>BDH|10750243551763106713</stp>
        <tr r="X42" s="17"/>
      </tp>
      <tp t="e">
        <v>#N/A</v>
        <stp/>
        <stp>BDH|12427721073656264751</stp>
        <tr r="AA55" s="13"/>
      </tp>
      <tp t="e">
        <v>#N/A</v>
        <stp/>
        <stp>BDH|12340832765637425830</stp>
        <tr r="V27" s="26"/>
      </tp>
      <tp t="e">
        <v>#N/A</v>
        <stp/>
        <stp>BDH|11366549638657986340</stp>
        <tr r="F7" s="2"/>
        <tr r="E7" s="5"/>
        <tr r="E7" s="9"/>
        <tr r="H14" s="3"/>
      </tp>
      <tp t="e">
        <v>#N/A</v>
        <stp/>
        <stp>BDH|10947298000905465462</stp>
        <tr r="AA54" s="21"/>
      </tp>
      <tp t="e">
        <v>#N/A</v>
        <stp/>
        <stp>BDH|12102433796284039865</stp>
        <tr r="I7" s="34"/>
      </tp>
      <tp t="e">
        <v>#N/A</v>
        <stp/>
        <stp>BDH|10135796139682561563</stp>
        <tr r="M9" s="6"/>
      </tp>
      <tp t="e">
        <v>#N/A</v>
        <stp/>
        <stp>BDH|18287845910821151356</stp>
        <tr r="I65" s="24"/>
      </tp>
      <tp t="e">
        <v>#N/A</v>
        <stp/>
        <stp>BDH|11721307538982908049</stp>
        <tr r="K60" s="13"/>
      </tp>
      <tp t="e">
        <v>#N/A</v>
        <stp/>
        <stp>BDH|16790158741548195808</stp>
        <tr r="F24" s="2"/>
      </tp>
      <tp t="e">
        <v>#N/A</v>
        <stp/>
        <stp>BDH|11213002837713097279</stp>
        <tr r="C43" s="10"/>
        <tr r="C35" s="11"/>
      </tp>
      <tp t="e">
        <v>#N/A</v>
        <stp/>
        <stp>BDH|13397088569481346735</stp>
        <tr r="T70" s="10"/>
        <tr r="T62" s="11"/>
        <tr r="T20" s="7"/>
      </tp>
      <tp t="e">
        <v>#N/A</v>
        <stp/>
        <stp>BDH|10769832141107506821</stp>
        <tr r="W35" s="22"/>
      </tp>
      <tp t="e">
        <v>#N/A</v>
        <stp/>
        <stp>BDH|16050814093410709471</stp>
        <tr r="W60" s="13"/>
      </tp>
      <tp t="e">
        <v>#N/A</v>
        <stp/>
        <stp>BDH|15514115858156793498</stp>
        <tr r="W10" s="18"/>
      </tp>
      <tp t="e">
        <v>#N/A</v>
        <stp/>
        <stp>BDH|12168881779388230603</stp>
        <tr r="P34" s="10"/>
        <tr r="P26" s="11"/>
      </tp>
      <tp t="e">
        <v>#N/A</v>
        <stp/>
        <stp>BDH|11556248754396153310</stp>
        <tr r="N39" s="6"/>
      </tp>
      <tp t="e">
        <v>#N/A</v>
        <stp/>
        <stp>BDH|17487054945622517241</stp>
        <tr r="S72" s="18"/>
      </tp>
      <tp t="e">
        <v>#N/A</v>
        <stp/>
        <stp>BDH|16348133205492016608</stp>
        <tr r="Y23" s="13"/>
      </tp>
      <tp t="e">
        <v>#N/A</v>
        <stp/>
        <stp>BDH|17162371318406890030</stp>
        <tr r="M21" s="24"/>
      </tp>
      <tp t="e">
        <v>#N/A</v>
        <stp/>
        <stp>BDH|16697120603252239601</stp>
        <tr r="V32" s="5"/>
      </tp>
      <tp t="e">
        <v>#N/A</v>
        <stp/>
        <stp>BDH|10330334735756309539</stp>
        <tr r="I73" s="17"/>
      </tp>
      <tp t="e">
        <v>#N/A</v>
        <stp/>
        <stp>BDH|13820858601939830119</stp>
        <tr r="M119" s="18"/>
      </tp>
      <tp t="e">
        <v>#N/A</v>
        <stp/>
        <stp>BDH|10353571765424607429</stp>
        <tr r="E14" s="23"/>
      </tp>
      <tp t="e">
        <v>#N/A</v>
        <stp/>
        <stp>BDH|13454072934323499065</stp>
        <tr r="Y116" s="18"/>
      </tp>
      <tp t="e">
        <v>#N/A</v>
        <stp/>
        <stp>BDH|11435338007198010954</stp>
        <tr r="L20" s="5"/>
      </tp>
      <tp t="e">
        <v>#N/A</v>
        <stp/>
        <stp>BDH|12018554115223092651</stp>
        <tr r="C19" s="12"/>
      </tp>
      <tp t="e">
        <v>#N/A</v>
        <stp/>
        <stp>BDH|10196831914308209214</stp>
        <tr r="P96" s="18"/>
      </tp>
      <tp t="e">
        <v>#N/A</v>
        <stp/>
        <stp>BDH|15747663115967726663</stp>
        <tr r="E76" s="18"/>
      </tp>
      <tp t="e">
        <v>#N/A</v>
        <stp/>
        <stp>BDH|17697548935944250603</stp>
        <tr r="X14" s="22"/>
      </tp>
      <tp t="e">
        <v>#N/A</v>
        <stp/>
        <stp>BDH|13087426910093460636</stp>
        <tr r="AA7" s="30"/>
      </tp>
      <tp t="e">
        <v>#N/A</v>
        <stp/>
        <stp>BDH|13849993874826761877</stp>
        <tr r="U58" s="13"/>
      </tp>
      <tp t="e">
        <v>#N/A</v>
        <stp/>
        <stp>BDH|10049568092256503943</stp>
        <tr r="E58" s="6"/>
      </tp>
      <tp t="e">
        <v>#N/A</v>
        <stp/>
        <stp>BDH|17712637524683391365</stp>
        <tr r="T59" s="24"/>
      </tp>
      <tp t="e">
        <v>#N/A</v>
        <stp/>
        <stp>BDH|10378481739191220559</stp>
        <tr r="G27" s="6"/>
      </tp>
      <tp t="e">
        <v>#N/A</v>
        <stp/>
        <stp>BDH|11363557816457433115</stp>
        <tr r="V26" s="26"/>
      </tp>
      <tp t="e">
        <v>#N/A</v>
        <stp/>
        <stp>BDH|15132706874072870481</stp>
        <tr r="C124" s="18"/>
      </tp>
      <tp t="e">
        <v>#N/A</v>
        <stp/>
        <stp>BDH|13519603123050289419</stp>
        <tr r="V12" s="11"/>
      </tp>
      <tp t="e">
        <v>#N/A</v>
        <stp/>
        <stp>BDH|15845888077001298807</stp>
        <tr r="R26" s="6"/>
      </tp>
      <tp t="e">
        <v>#N/A</v>
        <stp/>
        <stp>BDH|16113395963516726691</stp>
        <tr r="O7" s="17"/>
      </tp>
      <tp t="e">
        <v>#N/A</v>
        <stp/>
        <stp>BDH|11314722884188613561</stp>
        <tr r="S13" s="10"/>
      </tp>
      <tp t="e">
        <v>#N/A</v>
        <stp/>
        <stp>BDH|12740642561458797909</stp>
        <tr r="S22" s="7"/>
      </tp>
      <tp t="e">
        <v>#N/A</v>
        <stp/>
        <stp>BDH|11834220597118016181</stp>
        <tr r="D18" s="18"/>
      </tp>
      <tp t="e">
        <v>#N/A</v>
        <stp/>
        <stp>BDH|15835685714749954886</stp>
        <tr r="I27" s="34"/>
      </tp>
      <tp t="e">
        <v>#N/A</v>
        <stp/>
        <stp>BDH|14183477885929100277</stp>
        <tr r="M57" s="18"/>
      </tp>
      <tp t="e">
        <v>#N/A</v>
        <stp/>
        <stp>BDH|11832707022380671791</stp>
        <tr r="L13" s="29"/>
        <tr r="L22" s="29"/>
        <tr r="L36" s="29"/>
      </tp>
      <tp t="e">
        <v>#N/A</v>
        <stp/>
        <stp>BDH|11451673537391117605</stp>
        <tr r="U40" s="17"/>
      </tp>
      <tp t="e">
        <v>#N/A</v>
        <stp/>
        <stp>BDH|10152399418671424019</stp>
        <tr r="P13" s="24"/>
      </tp>
      <tp t="e">
        <v>#N/A</v>
        <stp/>
        <stp>BDH|18257965631220036100</stp>
        <tr r="D35" s="10"/>
        <tr r="D27" s="11"/>
      </tp>
      <tp t="e">
        <v>#N/A</v>
        <stp/>
        <stp>BDH|15242079466405400528</stp>
        <tr r="H13" s="8"/>
      </tp>
      <tp t="e">
        <v>#N/A</v>
        <stp/>
        <stp>BDH|10513066117542275034</stp>
        <tr r="Y29" s="18"/>
      </tp>
      <tp t="e">
        <v>#N/A</v>
        <stp/>
        <stp>BDH|12520720265500176060</stp>
        <tr r="L69" s="24"/>
      </tp>
      <tp t="e">
        <v>#N/A</v>
        <stp/>
        <stp>BDH|14400092215555830353</stp>
        <tr r="T89" s="12"/>
      </tp>
      <tp t="e">
        <v>#N/A</v>
        <stp/>
        <stp>BDH|10104430377877196716</stp>
        <tr r="O92" s="18"/>
      </tp>
      <tp t="e">
        <v>#N/A</v>
        <stp/>
        <stp>BDH|11154089825953932300</stp>
        <tr r="Q32" s="10"/>
        <tr r="Q24" s="11"/>
      </tp>
      <tp t="e">
        <v>#N/A</v>
        <stp/>
        <stp>BDH|11414785512026206292</stp>
        <tr r="U59" s="18"/>
      </tp>
      <tp t="e">
        <v>#N/A</v>
        <stp/>
        <stp>BDH|10560880361335804813</stp>
        <tr r="V9" s="22"/>
      </tp>
      <tp t="e">
        <v>#N/A</v>
        <stp/>
        <stp>BDH|16772222705093650435</stp>
        <tr r="K25" s="25"/>
        <tr r="K10" s="27"/>
      </tp>
      <tp t="e">
        <v>#N/A</v>
        <stp/>
        <stp>BDH|15516413111967965498</stp>
        <tr r="W15" s="13"/>
      </tp>
      <tp t="e">
        <v>#N/A</v>
        <stp/>
        <stp>BDH|18027150000623132912</stp>
        <tr r="U33" s="14"/>
      </tp>
      <tp t="e">
        <v>#N/A</v>
        <stp/>
        <stp>BDH|12391727770540474109</stp>
        <tr r="W84" s="17"/>
      </tp>
      <tp t="e">
        <v>#N/A</v>
        <stp/>
        <stp>BDH|10789310926930245271</stp>
        <tr r="T16" s="21"/>
      </tp>
      <tp t="e">
        <v>#N/A</v>
        <stp/>
        <stp>BDH|17179568277221155752</stp>
        <tr r="F31" s="26"/>
        <tr r="C14" s="9"/>
      </tp>
      <tp t="e">
        <v>#N/A</v>
        <stp/>
        <stp>BDH|16510639855286709000</stp>
        <tr r="G50" s="21"/>
      </tp>
      <tp t="e">
        <v>#N/A</v>
        <stp/>
        <stp>BDH|16580787928030922087</stp>
        <tr r="G34" s="26"/>
      </tp>
      <tp t="e">
        <v>#N/A</v>
        <stp/>
        <stp>BDH|10152300069676529098</stp>
        <tr r="N15" s="21"/>
      </tp>
      <tp t="e">
        <v>#N/A</v>
        <stp/>
        <stp>BDH|12329721056984469774</stp>
        <tr r="S50" s="13"/>
      </tp>
      <tp t="e">
        <v>#N/A</v>
        <stp/>
        <stp>BDH|13110378431458039836</stp>
        <tr r="Q82" s="18"/>
      </tp>
      <tp t="e">
        <v>#N/A</v>
        <stp/>
        <stp>BDH|11141243105901545115</stp>
        <tr r="Y76" s="24"/>
      </tp>
      <tp t="e">
        <v>#N/A</v>
        <stp/>
        <stp>BDH|13313637301597577109</stp>
        <tr r="AA59" s="12"/>
      </tp>
      <tp t="e">
        <v>#N/A</v>
        <stp/>
        <stp>BDH|17547092845460994048</stp>
        <tr r="AA10" s="26"/>
      </tp>
      <tp t="e">
        <v>#N/A</v>
        <stp/>
        <stp>BDH|15526204633182754551</stp>
        <tr r="AA47" s="22"/>
      </tp>
      <tp t="e">
        <v>#N/A</v>
        <stp/>
        <stp>BDH|12209343614401535237</stp>
        <tr r="I85" s="17"/>
      </tp>
      <tp t="e">
        <v>#N/A</v>
        <stp/>
        <stp>BDH|12477896844738978542</stp>
        <tr r="J44" s="21"/>
      </tp>
      <tp t="e">
        <v>#N/A</v>
        <stp/>
        <stp>BDH|10751464708352973546</stp>
        <tr r="Y98" s="18"/>
        <tr r="Y7" s="20"/>
      </tp>
      <tp t="e">
        <v>#N/A</v>
        <stp/>
        <stp>BDH|15749131437463158767</stp>
        <tr r="S123" s="18"/>
      </tp>
      <tp t="e">
        <v>#N/A</v>
        <stp/>
        <stp>BDH|10497407817952228456</stp>
        <tr r="H14" s="2"/>
        <tr r="H11" s="10"/>
      </tp>
      <tp t="e">
        <v>#N/A</v>
        <stp/>
        <stp>BDH|14933777310015959433</stp>
        <tr r="X22" s="14"/>
      </tp>
      <tp t="e">
        <v>#N/A</v>
        <stp/>
        <stp>BDH|13902592215307473354</stp>
        <tr r="D87" s="17"/>
      </tp>
      <tp t="e">
        <v>#N/A</v>
        <stp/>
        <stp>BDH|15052113965004870580</stp>
        <tr r="O111" s="18"/>
      </tp>
      <tp t="e">
        <v>#N/A</v>
        <stp/>
        <stp>BDH|15601444725353464370</stp>
        <tr r="F46" s="13"/>
      </tp>
      <tp t="e">
        <v>#N/A</v>
        <stp/>
        <stp>BDH|15331790140140849566</stp>
        <tr r="AA24" s="17"/>
      </tp>
      <tp t="e">
        <v>#N/A</v>
        <stp/>
        <stp>BDH|14561178332094667128</stp>
        <tr r="O21" s="6"/>
      </tp>
      <tp t="e">
        <v>#N/A</v>
        <stp/>
        <stp>BDH|15297409117353537040</stp>
        <tr r="Q10" s="23"/>
      </tp>
      <tp t="e">
        <v>#N/A</v>
        <stp/>
        <stp>BDH|15998480547354254208</stp>
        <tr r="G9" s="11"/>
      </tp>
      <tp t="e">
        <v>#N/A</v>
        <stp/>
        <stp>BDH|12737486800105901023</stp>
        <tr r="U73" s="18"/>
      </tp>
      <tp t="e">
        <v>#N/A</v>
        <stp/>
        <stp>BDH|15058022112711373670</stp>
        <tr r="Q8" s="23"/>
      </tp>
      <tp t="e">
        <v>#N/A</v>
        <stp/>
        <stp>BDH|16145220826881084413</stp>
        <tr r="F64" s="13"/>
      </tp>
      <tp t="e">
        <v>#N/A</v>
        <stp/>
        <stp>BDH|15218003561112444231</stp>
        <tr r="J24" s="18"/>
      </tp>
      <tp t="e">
        <v>#N/A</v>
        <stp/>
        <stp>BDH|12230642759765915721</stp>
        <tr r="D52" s="6"/>
        <tr r="F9" s="8"/>
      </tp>
      <tp t="e">
        <v>#N/A</v>
        <stp/>
        <stp>BDH|10867180450563715434</stp>
        <tr r="O46" s="4"/>
        <tr r="O23" s="10"/>
        <tr r="Q37" s="13"/>
      </tp>
      <tp t="e">
        <v>#N/A</v>
        <stp/>
        <stp>BDH|14750561870831206479</stp>
        <tr r="V21" s="21"/>
      </tp>
      <tp t="e">
        <v>#N/A</v>
        <stp/>
        <stp>BDH|15395479592872259908</stp>
        <tr r="V7" s="28"/>
      </tp>
      <tp t="e">
        <v>#N/A</v>
        <stp/>
        <stp>BDH|13115403116566552367</stp>
        <tr r="C35" s="22"/>
      </tp>
      <tp t="e">
        <v>#N/A</v>
        <stp/>
        <stp>BDH|12106411784068135517</stp>
        <tr r="X27" s="21"/>
      </tp>
      <tp t="e">
        <v>#N/A</v>
        <stp/>
        <stp>BDH|11073687965701936300</stp>
        <tr r="F24" s="24"/>
      </tp>
      <tp t="e">
        <v>#N/A</v>
        <stp/>
        <stp>BDH|10833543308564911290</stp>
        <tr r="Z64" s="17"/>
      </tp>
      <tp t="e">
        <v>#N/A</v>
        <stp/>
        <stp>BDH|11710099209140787245</stp>
        <tr r="O44" s="17"/>
      </tp>
      <tp t="e">
        <v>#N/A</v>
        <stp/>
        <stp>BDH|14046529527842166238</stp>
        <tr r="Q19" s="6"/>
      </tp>
      <tp t="e">
        <v>#N/A</v>
        <stp/>
        <stp>BDH|16149586723820951245</stp>
        <tr r="L42" s="24"/>
      </tp>
      <tp t="e">
        <v>#N/A</v>
        <stp/>
        <stp>BDH|13939810921279938378</stp>
        <tr r="K32" s="12"/>
      </tp>
      <tp t="e">
        <v>#N/A</v>
        <stp/>
        <stp>BDH|11198120072991523538</stp>
        <tr r="W53" s="6"/>
        <tr r="Y10" s="8"/>
      </tp>
      <tp t="e">
        <v>#N/A</v>
        <stp/>
        <stp>BDH|18310748284377522311</stp>
        <tr r="T28" s="17"/>
      </tp>
      <tp t="e">
        <v>#N/A</v>
        <stp/>
        <stp>BDH|11728849046628745651</stp>
        <tr r="M82" s="24"/>
      </tp>
      <tp t="e">
        <v>#N/A</v>
        <stp/>
        <stp>BDH|16399991422648992668</stp>
        <tr r="T13" s="10"/>
      </tp>
      <tp t="e">
        <v>#N/A</v>
        <stp/>
        <stp>BDH|17940898940410632814</stp>
        <tr r="E19" s="12"/>
      </tp>
      <tp t="e">
        <v>#N/A</v>
        <stp/>
        <stp>BDH|12693320661981489567</stp>
        <tr r="L16" s="21"/>
      </tp>
      <tp t="e">
        <v>#N/A</v>
        <stp/>
        <stp>BDH|12759542501667289377</stp>
        <tr r="I60" s="24"/>
      </tp>
      <tp t="e">
        <v>#N/A</v>
        <stp/>
        <stp>BDH|16465532894859510010</stp>
        <tr r="T31" s="22"/>
      </tp>
      <tp t="e">
        <v>#N/A</v>
        <stp/>
        <stp>BDH|16732729920598765854</stp>
        <tr r="C116" s="18"/>
      </tp>
      <tp t="e">
        <v>#N/A</v>
        <stp/>
        <stp>BDH|13930584769295888671</stp>
        <tr r="U41" s="10"/>
        <tr r="U33" s="11"/>
      </tp>
      <tp t="e">
        <v>#N/A</v>
        <stp/>
        <stp>BDH|15103381038306493027</stp>
        <tr r="K38" s="6"/>
      </tp>
      <tp t="e">
        <v>#N/A</v>
        <stp/>
        <stp>BDH|12666606251197977595</stp>
        <tr r="P7" s="34"/>
      </tp>
      <tp t="e">
        <v>#N/A</v>
        <stp/>
        <stp>BDH|12747494371367848504</stp>
        <tr r="J18" s="9"/>
      </tp>
      <tp t="e">
        <v>#N/A</v>
        <stp/>
        <stp>BDH|11459153014083604145</stp>
        <tr r="D17" s="11"/>
      </tp>
      <tp t="e">
        <v>#N/A</v>
        <stp/>
        <stp>BDH|13243319665532335728</stp>
        <tr r="J59" s="17"/>
      </tp>
      <tp t="e">
        <v>#N/A</v>
        <stp/>
        <stp>BDH|13359997734298016293</stp>
        <tr r="S41" s="22"/>
      </tp>
      <tp t="e">
        <v>#N/A</v>
        <stp/>
        <stp>BDH|12873105030001703280</stp>
        <tr r="H22" s="30"/>
        <tr r="H24" s="23"/>
      </tp>
      <tp t="e">
        <v>#N/A</v>
        <stp/>
        <stp>BDH|11323507171496664637</stp>
        <tr r="G84" s="18"/>
      </tp>
      <tp t="e">
        <v>#N/A</v>
        <stp/>
        <stp>BDH|10726678154348099837</stp>
        <tr r="N39" s="26"/>
      </tp>
      <tp t="e">
        <v>#N/A</v>
        <stp/>
        <stp>BDH|17037730756896749058</stp>
        <tr r="W14" s="6"/>
      </tp>
      <tp t="e">
        <v>#N/A</v>
        <stp/>
        <stp>BDH|13826217068476238244</stp>
        <tr r="D26" s="14"/>
      </tp>
      <tp t="e">
        <v>#N/A</v>
        <stp/>
        <stp>BDH|17235761506233458013</stp>
        <tr r="Z11" s="22"/>
      </tp>
      <tp t="e">
        <v>#N/A</v>
        <stp/>
        <stp>BDH|13165271641846112018</stp>
        <tr r="Z30" s="25"/>
        <tr r="Z16" s="27"/>
      </tp>
      <tp t="e">
        <v>#N/A</v>
        <stp/>
        <stp>BDH|14668567857704726372</stp>
        <tr r="E62" s="17"/>
      </tp>
      <tp t="e">
        <v>#N/A</v>
        <stp/>
        <stp>BDH|13505223626466736612</stp>
        <tr r="T45" s="17"/>
      </tp>
      <tp t="e">
        <v>#N/A</v>
        <stp/>
        <stp>BDH|11869293474457617045</stp>
        <tr r="X17" s="13"/>
      </tp>
      <tp t="e">
        <v>#N/A</v>
        <stp/>
        <stp>BDH|15616715620285236620</stp>
        <tr r="P20" s="23"/>
      </tp>
      <tp t="e">
        <v>#N/A</v>
        <stp/>
        <stp>BDH|11562785308565345017</stp>
        <tr r="Y62" s="12"/>
      </tp>
      <tp t="e">
        <v>#N/A</v>
        <stp/>
        <stp>BDH|15202499423895771582</stp>
        <tr r="M32" s="25"/>
        <tr r="M18" s="27"/>
      </tp>
      <tp t="e">
        <v>#N/A</v>
        <stp/>
        <stp>BDH|14768323273165704660</stp>
        <tr r="W56" s="12"/>
      </tp>
      <tp t="e">
        <v>#N/A</v>
        <stp/>
        <stp>BDH|10561846597551402351</stp>
        <tr r="Z39" s="26"/>
      </tp>
      <tp t="e">
        <v>#N/A</v>
        <stp/>
        <stp>BDH|17224875987170784435</stp>
        <tr r="Z15" s="22"/>
      </tp>
      <tp t="e">
        <v>#N/A</v>
        <stp/>
        <stp>BDH|12663543445927104707</stp>
        <tr r="L88" s="12"/>
      </tp>
      <tp t="e">
        <v>#N/A</v>
        <stp/>
        <stp>BDH|10243309535541612273</stp>
        <tr r="V8" s="8"/>
      </tp>
      <tp t="e">
        <v>#N/A</v>
        <stp/>
        <stp>BDH|10600472814367107128</stp>
        <tr r="AA68" s="18"/>
      </tp>
      <tp t="e">
        <v>#N/A</v>
        <stp/>
        <stp>BDH|17180106606561318423</stp>
        <tr r="C140" s="18"/>
      </tp>
      <tp t="e">
        <v>#N/A</v>
        <stp/>
        <stp>BDH|15622126659037390584</stp>
        <tr r="I18" s="9"/>
      </tp>
      <tp t="e">
        <v>#N/A</v>
        <stp/>
        <stp>BDH|14486425140025914295</stp>
        <tr r="C17" s="5"/>
        <tr r="C36" s="6"/>
      </tp>
      <tp t="e">
        <v>#N/A</v>
        <stp/>
        <stp>BDH|17166623616492204119</stp>
        <tr r="L24" s="2"/>
      </tp>
      <tp t="e">
        <v>#N/A</v>
        <stp/>
        <stp>BDH|13773976089216687793</stp>
        <tr r="U61" s="21"/>
      </tp>
      <tp t="e">
        <v>#N/A</v>
        <stp/>
        <stp>BDH|11656961576875950991</stp>
        <tr r="Q21" s="22"/>
      </tp>
      <tp t="e">
        <v>#N/A</v>
        <stp/>
        <stp>BDH|14198722550902743729</stp>
        <tr r="C15" s="9"/>
      </tp>
      <tp t="e">
        <v>#N/A</v>
        <stp/>
        <stp>BDH|18382036422058372176</stp>
        <tr r="D18" s="24"/>
      </tp>
      <tp t="e">
        <v>#N/A</v>
        <stp/>
        <stp>BDH|17729649714786125501</stp>
        <tr r="G44" s="17"/>
      </tp>
      <tp t="e">
        <v>#N/A</v>
        <stp/>
        <stp>BDH|14454240945888326901</stp>
        <tr r="T13" s="9"/>
      </tp>
      <tp t="e">
        <v>#N/A</v>
        <stp/>
        <stp>BDH|14434131466187690717</stp>
        <tr r="N24" s="29"/>
      </tp>
      <tp t="e">
        <v>#N/A</v>
        <stp/>
        <stp>BDH|11696532743257357431</stp>
        <tr r="C23" s="26"/>
      </tp>
      <tp t="e">
        <v>#N/A</v>
        <stp/>
        <stp>BDH|12563409053293629362</stp>
        <tr r="P12" s="3"/>
        <tr r="N55" s="10"/>
        <tr r="N47" s="11"/>
        <tr r="N7" s="7"/>
      </tp>
      <tp t="e">
        <v>#N/A</v>
        <stp/>
        <stp>BDH|10465763709695879159</stp>
        <tr r="U131" s="18"/>
      </tp>
      <tp t="e">
        <v>#N/A</v>
        <stp/>
        <stp>BDH|15262869872220547955</stp>
        <tr r="P61" s="17"/>
      </tp>
      <tp t="e">
        <v>#N/A</v>
        <stp/>
        <stp>BDH|17219231260639543921</stp>
        <tr r="G31" s="25"/>
        <tr r="D14" s="5"/>
        <tr r="G17" s="27"/>
      </tp>
      <tp t="e">
        <v>#N/A</v>
        <stp/>
        <stp>BDH|10557510657420066354</stp>
        <tr r="Q74" s="17"/>
      </tp>
      <tp t="e">
        <v>#N/A</v>
        <stp/>
        <stp>BDH|17513411422775174713</stp>
        <tr r="E24" s="2"/>
      </tp>
      <tp t="e">
        <v>#N/A</v>
        <stp/>
        <stp>BDH|11469615873884318739</stp>
        <tr r="M23" s="21"/>
      </tp>
      <tp t="e">
        <v>#N/A</v>
        <stp/>
        <stp>BDH|11161393279774268256</stp>
        <tr r="G12" s="22"/>
      </tp>
      <tp t="e">
        <v>#N/A</v>
        <stp/>
        <stp>BDH|13789582264143914048</stp>
        <tr r="G44" s="34"/>
      </tp>
      <tp t="e">
        <v>#N/A</v>
        <stp/>
        <stp>BDH|13798267187953669963</stp>
        <tr r="T48" s="21"/>
      </tp>
      <tp t="e">
        <v>#N/A</v>
        <stp/>
        <stp>BDH|15320832927479958583</stp>
        <tr r="L59" s="21"/>
        <tr r="J55" s="11"/>
      </tp>
      <tp t="e">
        <v>#N/A</v>
        <stp/>
        <stp>BDH|16751135463167632570</stp>
        <tr r="N23" s="6"/>
      </tp>
      <tp t="e">
        <v>#N/A</v>
        <stp/>
        <stp>BDH|18244383041284813855</stp>
        <tr r="O63" s="12"/>
      </tp>
      <tp t="e">
        <v>#N/A</v>
        <stp/>
        <stp>BDH|17757795949657551042</stp>
        <tr r="AA22" s="24"/>
      </tp>
      <tp t="e">
        <v>#N/A</v>
        <stp/>
        <stp>BDH|12271411145183847283</stp>
        <tr r="P27" s="21"/>
      </tp>
      <tp t="e">
        <v>#N/A</v>
        <stp/>
        <stp>BDH|13818700448990091361</stp>
        <tr r="H7" s="8"/>
      </tp>
      <tp t="e">
        <v>#N/A</v>
        <stp/>
        <stp>BDH|14326200015727369334</stp>
        <tr r="L7" s="10"/>
      </tp>
      <tp t="e">
        <v>#N/A</v>
        <stp/>
        <stp>BDH|11590547636340726468</stp>
        <tr r="P40" s="21"/>
      </tp>
      <tp t="e">
        <v>#N/A</v>
        <stp/>
        <stp>BDH|15984569108342436156</stp>
        <tr r="X103" s="18"/>
      </tp>
      <tp t="e">
        <v>#N/A</v>
        <stp/>
        <stp>BDH|15640330404806087373</stp>
        <tr r="J38" s="17"/>
      </tp>
      <tp t="e">
        <v>#N/A</v>
        <stp/>
        <stp>BDH|11004057020174121423</stp>
        <tr r="L7" s="8"/>
      </tp>
      <tp t="e">
        <v>#N/A</v>
        <stp/>
        <stp>BDH|16364183431060828741</stp>
        <tr r="C14" s="20"/>
      </tp>
      <tp t="e">
        <v>#N/A</v>
        <stp/>
        <stp>BDH|17299121241971352042</stp>
        <tr r="X13" s="20"/>
      </tp>
      <tp t="e">
        <v>#N/A</v>
        <stp/>
        <stp>BDH|17075445446792201663</stp>
        <tr r="S8" s="26"/>
        <tr r="P10" s="9"/>
      </tp>
      <tp t="e">
        <v>#N/A</v>
        <stp/>
        <stp>BDH|17155957183720163505</stp>
        <tr r="T21" s="4"/>
      </tp>
      <tp t="e">
        <v>#N/A</v>
        <stp/>
        <stp>BDH|18347854021099012814</stp>
        <tr r="J13" s="13"/>
      </tp>
      <tp t="e">
        <v>#N/A</v>
        <stp/>
        <stp>BDH|12738441690319500504</stp>
        <tr r="I11" s="29"/>
      </tp>
      <tp t="e">
        <v>#N/A</v>
        <stp/>
        <stp>BDH|15389165766144210578</stp>
        <tr r="Y8" s="26"/>
        <tr r="V10" s="9"/>
      </tp>
      <tp t="e">
        <v>#N/A</v>
        <stp/>
        <stp>BDH|15961453706364513692</stp>
        <tr r="S19" s="5"/>
        <tr r="S46" s="6"/>
      </tp>
      <tp t="e">
        <v>#N/A</v>
        <stp/>
        <stp>BDH|11900697555435214417</stp>
        <tr r="Y9" s="22"/>
      </tp>
      <tp t="e">
        <v>#N/A</v>
        <stp/>
        <stp>BDH|14144297868207210444</stp>
        <tr r="K51" s="18"/>
      </tp>
      <tp t="e">
        <v>#N/A</v>
        <stp/>
        <stp>BDH|15605476971625112075</stp>
        <tr r="U15" s="29"/>
        <tr r="U38" s="29"/>
      </tp>
      <tp t="e">
        <v>#N/A</v>
        <stp/>
        <stp>BDH|17648322227544546103</stp>
        <tr r="Y52" s="10"/>
        <tr r="Y44" s="11"/>
        <tr r="Y15" s="7"/>
      </tp>
      <tp t="e">
        <v>#N/A</v>
        <stp/>
        <stp>BDH|14662091822092333780</stp>
        <tr r="E62" s="12"/>
      </tp>
      <tp t="e">
        <v>#N/A</v>
        <stp/>
        <stp>BDH|10516457589056744986</stp>
        <tr r="AA70" s="24"/>
      </tp>
      <tp t="e">
        <v>#N/A</v>
        <stp/>
        <stp>BDH|11636342143187029289</stp>
        <tr r="H17" s="9"/>
      </tp>
      <tp t="e">
        <v>#N/A</v>
        <stp/>
        <stp>BDH|15827055744625691763</stp>
        <tr r="J23" s="25"/>
        <tr r="H20" s="11"/>
      </tp>
      <tp t="e">
        <v>#N/A</v>
        <stp/>
        <stp>BDH|17458430662937907156</stp>
        <tr r="V25" s="4"/>
        <tr r="V65" s="10"/>
      </tp>
      <tp t="e">
        <v>#N/A</v>
        <stp/>
        <stp>BDH|10562462543925104687</stp>
        <tr r="H37" s="34"/>
      </tp>
      <tp t="e">
        <v>#N/A</v>
        <stp/>
        <stp>BDH|14810439620173268207</stp>
        <tr r="F35" s="21"/>
      </tp>
      <tp t="e">
        <v>#N/A</v>
        <stp/>
        <stp>BDH|11467475749907276515</stp>
        <tr r="R17" s="11"/>
      </tp>
      <tp t="e">
        <v>#N/A</v>
        <stp/>
        <stp>BDH|12420292742796306158</stp>
        <tr r="K90" s="17"/>
      </tp>
      <tp t="e">
        <v>#N/A</v>
        <stp/>
        <stp>BDH|17935111306672189763</stp>
        <tr r="V96" s="18"/>
      </tp>
      <tp t="e">
        <v>#N/A</v>
        <stp/>
        <stp>BDH|16048394961858353822</stp>
        <tr r="G76" s="12"/>
      </tp>
      <tp t="e">
        <v>#N/A</v>
        <stp/>
        <stp>BDH|13877302166960536520</stp>
        <tr r="Y24" s="29"/>
      </tp>
      <tp t="e">
        <v>#N/A</v>
        <stp/>
        <stp>BDH|15788970168788713161</stp>
        <tr r="R68" s="10"/>
      </tp>
      <tp t="e">
        <v>#N/A</v>
        <stp/>
        <stp>BDH|17864032962361695360</stp>
        <tr r="T27" s="18"/>
      </tp>
      <tp t="e">
        <v>#N/A</v>
        <stp/>
        <stp>BDH|14747429302694745791</stp>
        <tr r="K84" s="18"/>
      </tp>
      <tp t="e">
        <v>#N/A</v>
        <stp/>
        <stp>BDH|13176189123146046535</stp>
        <tr r="I14" s="12"/>
      </tp>
      <tp t="e">
        <v>#N/A</v>
        <stp/>
        <stp>BDH|17394799551470337619</stp>
        <tr r="W22" s="21"/>
      </tp>
      <tp t="e">
        <v>#N/A</v>
        <stp/>
        <stp>BDH|17934464485468489076</stp>
        <tr r="D74" s="12"/>
      </tp>
      <tp t="e">
        <v>#N/A</v>
        <stp/>
        <stp>BDH|11509762713291054598</stp>
        <tr r="X10" s="2"/>
        <tr r="W11" s="5"/>
        <tr r="W55" s="6"/>
        <tr r="X33" s="29"/>
        <tr r="X42" s="29"/>
      </tp>
      <tp t="e">
        <v>#N/A</v>
        <stp/>
        <stp>BDH|14120080213892787440</stp>
        <tr r="L16" s="17"/>
        <tr r="L19" s="28"/>
      </tp>
      <tp t="e">
        <v>#N/A</v>
        <stp/>
        <stp>BDH|13895369322200188148</stp>
        <tr r="R77" s="17"/>
      </tp>
      <tp t="e">
        <v>#N/A</v>
        <stp/>
        <stp>BDH|17474573349382464773</stp>
        <tr r="Z13" s="8"/>
      </tp>
      <tp t="e">
        <v>#N/A</v>
        <stp/>
        <stp>BDH|14386269071443508187</stp>
        <tr r="C32" s="26"/>
      </tp>
      <tp t="e">
        <v>#N/A</v>
        <stp/>
        <stp>BDH|10745271171714169295</stp>
        <tr r="Y71" s="24"/>
      </tp>
      <tp t="e">
        <v>#N/A</v>
        <stp/>
        <stp>BDH|17592484205097443758</stp>
        <tr r="R30" s="22"/>
      </tp>
      <tp t="e">
        <v>#N/A</v>
        <stp/>
        <stp>BDH|16803786372664203190</stp>
        <tr r="R40" s="18"/>
      </tp>
      <tp t="e">
        <v>#N/A</v>
        <stp/>
        <stp>BDH|14950053264123639273</stp>
        <tr r="T14" s="20"/>
      </tp>
      <tp t="e">
        <v>#N/A</v>
        <stp/>
        <stp>BDH|15138699030093749069</stp>
        <tr r="F57" s="6"/>
      </tp>
      <tp t="e">
        <v>#N/A</v>
        <stp/>
        <stp>BDH|11351113827575534497</stp>
        <tr r="Y12" s="24"/>
      </tp>
      <tp t="e">
        <v>#N/A</v>
        <stp/>
        <stp>BDH|14122804736195846964</stp>
        <tr r="V52" s="4"/>
        <tr r="X8" s="3"/>
        <tr r="V44" s="10"/>
        <tr r="V36" s="11"/>
        <tr r="X40" s="13"/>
      </tp>
      <tp t="e">
        <v>#N/A</v>
        <stp/>
        <stp>BDH|16119882004508254565</stp>
        <tr r="S14" s="2"/>
        <tr r="S11" s="10"/>
      </tp>
      <tp t="e">
        <v>#N/A</v>
        <stp/>
        <stp>BDH|10883175715996611553</stp>
        <tr r="W81" s="18"/>
      </tp>
      <tp t="e">
        <v>#N/A</v>
        <stp/>
        <stp>BDH|16519689666190573578</stp>
        <tr r="D11" s="18"/>
      </tp>
      <tp t="e">
        <v>#N/A</v>
        <stp/>
        <stp>BDH|16986758408812967048</stp>
        <tr r="K8" s="12"/>
      </tp>
      <tp t="e">
        <v>#N/A</v>
        <stp/>
        <stp>BDH|14011752610319471881</stp>
        <tr r="P39" s="10"/>
        <tr r="P31" s="11"/>
      </tp>
      <tp t="e">
        <v>#N/A</v>
        <stp/>
        <stp>BDH|16433510287938895035</stp>
        <tr r="I17" s="13"/>
      </tp>
      <tp t="e">
        <v>#N/A</v>
        <stp/>
        <stp>BDH|10537887281001717223</stp>
        <tr r="J84" s="24"/>
      </tp>
      <tp t="e">
        <v>#N/A</v>
        <stp/>
        <stp>BDH|16961736252123804494</stp>
        <tr r="J34" s="10"/>
        <tr r="J26" s="11"/>
      </tp>
      <tp t="e">
        <v>#N/A</v>
        <stp/>
        <stp>BDH|18419312213690871977</stp>
        <tr r="AA24" s="24"/>
      </tp>
      <tp t="e">
        <v>#N/A</v>
        <stp/>
        <stp>BDH|10859201859914812009</stp>
        <tr r="M14" s="4"/>
      </tp>
      <tp t="e">
        <v>#N/A</v>
        <stp/>
        <stp>BDH|14141776119885595437</stp>
        <tr r="W7" s="30"/>
      </tp>
      <tp t="e">
        <v>#N/A</v>
        <stp/>
        <stp>BDH|17578513022502835176</stp>
        <tr r="P23" s="25"/>
        <tr r="N20" s="11"/>
      </tp>
      <tp t="e">
        <v>#N/A</v>
        <stp/>
        <stp>BDH|12305622920405810003</stp>
        <tr r="S62" s="24"/>
      </tp>
      <tp t="e">
        <v>#N/A</v>
        <stp/>
        <stp>BDH|17008915602565274883</stp>
        <tr r="K19" s="22"/>
      </tp>
      <tp t="e">
        <v>#N/A</v>
        <stp/>
        <stp>BDH|13723011659563238641</stp>
        <tr r="Q65" s="12"/>
      </tp>
      <tp t="e">
        <v>#N/A</v>
        <stp/>
        <stp>BDH|17605814790742609798</stp>
        <tr r="V26" s="21"/>
      </tp>
      <tp t="e">
        <v>#N/A</v>
        <stp/>
        <stp>BDH|10623509428322602603</stp>
        <tr r="G16" s="12"/>
      </tp>
      <tp t="e">
        <v>#N/A</v>
        <stp/>
        <stp>BDH|12787503357083882209</stp>
        <tr r="Y41" s="12"/>
      </tp>
      <tp t="e">
        <v>#N/A</v>
        <stp/>
        <stp>BDH|14952174632826628321</stp>
        <tr r="R19" s="30"/>
      </tp>
      <tp t="e">
        <v>#N/A</v>
        <stp/>
        <stp>BDH|15545212467881301384</stp>
        <tr r="Z17" s="21"/>
      </tp>
      <tp t="e">
        <v>#N/A</v>
        <stp/>
        <stp>BDH|12231459552222902242</stp>
        <tr r="P55" s="18"/>
      </tp>
      <tp t="e">
        <v>#N/A</v>
        <stp/>
        <stp>BDH|11941010762924705057</stp>
        <tr r="X77" s="24"/>
      </tp>
      <tp t="e">
        <v>#N/A</v>
        <stp/>
        <stp>BDH|12645991670718303748</stp>
        <tr r="V17" s="24"/>
      </tp>
      <tp t="e">
        <v>#N/A</v>
        <stp/>
        <stp>BDH|14275837682397209099</stp>
        <tr r="AA88" s="17"/>
      </tp>
      <tp t="e">
        <v>#N/A</v>
        <stp/>
        <stp>BDH|17267444589678793004</stp>
        <tr r="Z13" s="13"/>
      </tp>
      <tp t="e">
        <v>#N/A</v>
        <stp/>
        <stp>BDH|11217344866207884000</stp>
        <tr r="N55" s="12"/>
      </tp>
      <tp t="e">
        <v>#N/A</v>
        <stp/>
        <stp>BDH|18190074056479034785</stp>
        <tr r="F34" s="18"/>
      </tp>
      <tp t="e">
        <v>#N/A</v>
        <stp/>
        <stp>BDH|16589045058680154000</stp>
        <tr r="C9" s="29"/>
      </tp>
      <tp t="e">
        <v>#N/A</v>
        <stp/>
        <stp>BDH|14283607687329466094</stp>
        <tr r="N18" s="12"/>
      </tp>
      <tp t="e">
        <v>#N/A</v>
        <stp/>
        <stp>BDH|14218408576217800346</stp>
        <tr r="P9" s="24"/>
      </tp>
      <tp t="e">
        <v>#N/A</v>
        <stp/>
        <stp>BDH|15009858546153236997</stp>
        <tr r="D103" s="18"/>
      </tp>
      <tp t="e">
        <v>#N/A</v>
        <stp/>
        <stp>BDH|10937948517072177930</stp>
        <tr r="G35" s="12"/>
      </tp>
      <tp t="e">
        <v>#N/A</v>
        <stp/>
        <stp>BDH|15241340971336836477</stp>
        <tr r="O98" s="18"/>
        <tr r="O7" s="20"/>
      </tp>
      <tp t="e">
        <v>#N/A</v>
        <stp/>
        <stp>BDH|11606855373158923515</stp>
        <tr r="Y25" s="2"/>
        <tr r="AA60" s="21"/>
      </tp>
      <tp t="e">
        <v>#N/A</v>
        <stp/>
        <stp>BDH|10983141650117199043</stp>
        <tr r="I54" s="21"/>
      </tp>
      <tp t="e">
        <v>#N/A</v>
        <stp/>
        <stp>BDH|15366727754096457296</stp>
        <tr r="Q64" s="10"/>
      </tp>
      <tp t="e">
        <v>#N/A</v>
        <stp/>
        <stp>BDH|18038653210379435592</stp>
        <tr r="P26" s="6"/>
      </tp>
      <tp t="e">
        <v>#N/A</v>
        <stp/>
        <stp>BDH|16307765328989450918</stp>
        <tr r="Z61" s="24"/>
      </tp>
      <tp t="e">
        <v>#N/A</v>
        <stp/>
        <stp>BDH|18146068155189995735</stp>
        <tr r="V13" s="20"/>
      </tp>
      <tp t="e">
        <v>#N/A</v>
        <stp/>
        <stp>BDH|17300781603455646660</stp>
        <tr r="T22" s="17"/>
      </tp>
      <tp t="e">
        <v>#N/A</v>
        <stp/>
        <stp>BDH|17046579507080048189</stp>
        <tr r="Y87" s="24"/>
      </tp>
      <tp t="e">
        <v>#N/A</v>
        <stp/>
        <stp>BDH|13048283497292027977</stp>
        <tr r="W23" s="6"/>
      </tp>
      <tp t="e">
        <v>#N/A</v>
        <stp/>
        <stp>BDH|16175502178242375527</stp>
        <tr r="C29" s="34"/>
      </tp>
      <tp t="e">
        <v>#N/A</v>
        <stp/>
        <stp>BDH|18266095336841294975</stp>
        <tr r="W46" s="13"/>
      </tp>
      <tp t="e">
        <v>#N/A</v>
        <stp/>
        <stp>BDH|10695113439937066662</stp>
        <tr r="F118" s="18"/>
      </tp>
      <tp t="e">
        <v>#N/A</v>
        <stp/>
        <stp>BDH|12969963085793500375</stp>
        <tr r="W17" s="24"/>
      </tp>
      <tp t="e">
        <v>#N/A</v>
        <stp/>
        <stp>BDH|11815675346739737967</stp>
        <tr r="V61" s="13"/>
      </tp>
      <tp t="e">
        <v>#N/A</v>
        <stp/>
        <stp>BDH|12966131898231863825</stp>
        <tr r="U15" s="18"/>
      </tp>
      <tp t="e">
        <v>#N/A</v>
        <stp/>
        <stp>BDH|13539103202634725581</stp>
        <tr r="C96" s="18"/>
      </tp>
      <tp t="e">
        <v>#N/A</v>
        <stp/>
        <stp>BDH|13006283992023178831</stp>
        <tr r="AA31" s="22"/>
      </tp>
      <tp t="e">
        <v>#N/A</v>
        <stp/>
        <stp>BDH|10988115448516883004</stp>
        <tr r="R50" s="4"/>
      </tp>
      <tp t="e">
        <v>#N/A</v>
        <stp/>
        <stp>BDH|12953367454216747140</stp>
        <tr r="X66" s="12"/>
      </tp>
      <tp t="e">
        <v>#N/A</v>
        <stp/>
        <stp>BDH|10834779481994319856</stp>
        <tr r="P37" s="24"/>
      </tp>
      <tp t="e">
        <v>#N/A</v>
        <stp/>
        <stp>BDH|14141209916457523390</stp>
        <tr r="K14" s="8"/>
      </tp>
      <tp t="e">
        <v>#N/A</v>
        <stp/>
        <stp>BDH|16016243273719970959</stp>
        <tr r="D89" s="24"/>
      </tp>
      <tp t="e">
        <v>#N/A</v>
        <stp/>
        <stp>BDH|11085676391504451995</stp>
        <tr r="D22" s="14"/>
      </tp>
      <tp t="e">
        <v>#N/A</v>
        <stp/>
        <stp>BDH|12538314803590815249</stp>
        <tr r="M36" s="10"/>
        <tr r="M48" s="10"/>
        <tr r="M28" s="11"/>
        <tr r="M40" s="11"/>
      </tp>
      <tp t="e">
        <v>#N/A</v>
        <stp/>
        <stp>BDH|10685258041832868714</stp>
        <tr r="R18" s="10"/>
        <tr r="T16" s="13"/>
        <tr r="T27" s="13"/>
      </tp>
      <tp t="e">
        <v>#N/A</v>
        <stp/>
        <stp>BDH|16244675849257212058</stp>
        <tr r="U18" s="29"/>
        <tr r="U41" s="29"/>
      </tp>
      <tp t="e">
        <v>#N/A</v>
        <stp/>
        <stp>BDH|12712267221268967928</stp>
        <tr r="H15" s="10"/>
      </tp>
      <tp t="e">
        <v>#N/A</v>
        <stp/>
        <stp>BDH|10043297515968357846</stp>
        <tr r="G88" s="18"/>
      </tp>
      <tp t="e">
        <v>#N/A</v>
        <stp/>
        <stp>BDH|13593062405306901641</stp>
        <tr r="C66" s="18"/>
      </tp>
      <tp t="e">
        <v>#N/A</v>
        <stp/>
        <stp>BDH|10712469463122954305</stp>
        <tr r="W8" s="6"/>
      </tp>
      <tp t="e">
        <v>#N/A</v>
        <stp/>
        <stp>BDH|11022228464652543481</stp>
        <tr r="AA15" s="21"/>
      </tp>
      <tp t="e">
        <v>#N/A</v>
        <stp/>
        <stp>BDH|11694107723232720397</stp>
        <tr r="N33" s="21"/>
      </tp>
      <tp t="e">
        <v>#N/A</v>
        <stp/>
        <stp>BDH|13778579036581570785</stp>
        <tr r="G7" s="23"/>
      </tp>
      <tp t="e">
        <v>#N/A</v>
        <stp/>
        <stp>BDH|12639257776877706394</stp>
        <tr r="V8" s="2"/>
      </tp>
      <tp t="e">
        <v>#N/A</v>
        <stp/>
        <stp>BDH|14522688956600163412</stp>
        <tr r="P86" s="12"/>
      </tp>
      <tp t="e">
        <v>#N/A</v>
        <stp/>
        <stp>BDH|15220056144004096685</stp>
        <tr r="O47" s="24"/>
      </tp>
      <tp t="e">
        <v>#N/A</v>
        <stp/>
        <stp>BDH|17252667924534394481</stp>
        <tr r="F89" s="24"/>
      </tp>
      <tp t="e">
        <v>#N/A</v>
        <stp/>
        <stp>BDH|18118339191503051287</stp>
        <tr r="L10" s="11"/>
      </tp>
      <tp t="e">
        <v>#N/A</v>
        <stp/>
        <stp>BDH|13656586721395069248</stp>
        <tr r="O61" s="17"/>
      </tp>
      <tp t="e">
        <v>#N/A</v>
        <stp/>
        <stp>BDH|11328874886237184581</stp>
        <tr r="AA8" s="17"/>
      </tp>
      <tp t="e">
        <v>#N/A</v>
        <stp/>
        <stp>BDH|10634296164687779078</stp>
        <tr r="M110" s="18"/>
      </tp>
      <tp t="e">
        <v>#N/A</v>
        <stp/>
        <stp>BDH|11130319508117213619</stp>
        <tr r="R46" s="13"/>
      </tp>
      <tp t="e">
        <v>#N/A</v>
        <stp/>
        <stp>BDH|16857140057229227827</stp>
        <tr r="M72" s="10"/>
        <tr r="M64" s="11"/>
      </tp>
      <tp t="e">
        <v>#N/A</v>
        <stp/>
        <stp>BDH|12605662678095107523</stp>
        <tr r="P89" s="12"/>
      </tp>
      <tp t="e">
        <v>#N/A</v>
        <stp/>
        <stp>BDH|17172148800477721298</stp>
        <tr r="E71" s="12"/>
      </tp>
      <tp t="e">
        <v>#N/A</v>
        <stp/>
        <stp>BDH|12838665079776960656</stp>
        <tr r="F64" s="17"/>
      </tp>
      <tp t="e">
        <v>#N/A</v>
        <stp/>
        <stp>BDH|17423660898348355325</stp>
        <tr r="M24" s="29"/>
      </tp>
      <tp t="e">
        <v>#N/A</v>
        <stp/>
        <stp>BDH|17818253753662254171</stp>
        <tr r="J31" s="17"/>
      </tp>
      <tp t="e">
        <v>#N/A</v>
        <stp/>
        <stp>BDH|11766021849625304346</stp>
        <tr r="C61" s="24"/>
      </tp>
      <tp t="e">
        <v>#N/A</v>
        <stp/>
        <stp>BDH|11288788375717320572</stp>
        <tr r="V54" s="17"/>
      </tp>
      <tp t="e">
        <v>#N/A</v>
        <stp/>
        <stp>BDH|16141002563671037294</stp>
        <tr r="X123" s="18"/>
      </tp>
      <tp t="e">
        <v>#N/A</v>
        <stp/>
        <stp>BDH|17306486601759671971</stp>
        <tr r="U9" s="6"/>
      </tp>
      <tp t="e">
        <v>#N/A</v>
        <stp/>
        <stp>BDH|12906221498769083388</stp>
        <tr r="E62" s="18"/>
      </tp>
      <tp t="e">
        <v>#N/A</v>
        <stp/>
        <stp>BDH|12238882074567595908</stp>
        <tr r="M18" s="22"/>
      </tp>
      <tp t="e">
        <v>#N/A</v>
        <stp/>
        <stp>BDH|12975550046962385223</stp>
        <tr r="E46" s="24"/>
      </tp>
      <tp t="e">
        <v>#N/A</v>
        <stp/>
        <stp>BDH|15332086230054255125</stp>
        <tr r="Q84" s="12"/>
      </tp>
      <tp t="e">
        <v>#N/A</v>
        <stp/>
        <stp>BDH|18392084294935153754</stp>
        <tr r="P40" s="17"/>
      </tp>
      <tp t="e">
        <v>#N/A</v>
        <stp/>
        <stp>BDH|10731095925220484148</stp>
        <tr r="M17" s="10"/>
      </tp>
      <tp t="e">
        <v>#N/A</v>
        <stp/>
        <stp>BDH|12495585502174384061</stp>
        <tr r="P70" s="18"/>
      </tp>
      <tp t="e">
        <v>#N/A</v>
        <stp/>
        <stp>BDH|16163501968485721355</stp>
        <tr r="F70" s="12"/>
      </tp>
      <tp t="e">
        <v>#N/A</v>
        <stp/>
        <stp>BDH|13898833096822381341</stp>
        <tr r="R22" s="27"/>
      </tp>
      <tp t="e">
        <v>#N/A</v>
        <stp/>
        <stp>BDH|13439072753902273785</stp>
        <tr r="I55" s="18"/>
      </tp>
      <tp t="e">
        <v>#N/A</v>
        <stp/>
        <stp>BDH|15139259964172958034</stp>
        <tr r="G41" s="12"/>
      </tp>
      <tp t="e">
        <v>#N/A</v>
        <stp/>
        <stp>BDH|14252962188411798710</stp>
        <tr r="O23" s="26"/>
      </tp>
      <tp t="e">
        <v>#N/A</v>
        <stp/>
        <stp>BDH|14802068546545743653</stp>
        <tr r="R132" s="18"/>
      </tp>
      <tp t="e">
        <v>#N/A</v>
        <stp/>
        <stp>BDH|10897640502562215764</stp>
        <tr r="Z79" s="18"/>
      </tp>
      <tp t="e">
        <v>#N/A</v>
        <stp/>
        <stp>BDH|10818185761146941229</stp>
        <tr r="W103" s="18"/>
      </tp>
      <tp t="e">
        <v>#N/A</v>
        <stp/>
        <stp>BDH|14664923491872673595</stp>
        <tr r="O48" s="21"/>
      </tp>
      <tp t="e">
        <v>#N/A</v>
        <stp/>
        <stp>BDH|11058922242348821728</stp>
        <tr r="T25" s="2"/>
        <tr r="V60" s="21"/>
      </tp>
      <tp t="e">
        <v>#N/A</v>
        <stp/>
        <stp>BDH|13556092880970506830</stp>
        <tr r="Q13" s="21"/>
      </tp>
      <tp t="e">
        <v>#N/A</v>
        <stp/>
        <stp>BDH|12843297356130495695</stp>
        <tr r="R15" s="4"/>
      </tp>
      <tp t="e">
        <v>#N/A</v>
        <stp/>
        <stp>BDH|13916055140544285047</stp>
        <tr r="D7" s="34"/>
      </tp>
      <tp t="e">
        <v>#N/A</v>
        <stp/>
        <stp>BDH|18338396888955088589</stp>
        <tr r="F12" s="21"/>
      </tp>
      <tp t="e">
        <v>#N/A</v>
        <stp/>
        <stp>BDH|13867540809895949067</stp>
        <tr r="P17" s="9"/>
      </tp>
      <tp t="e">
        <v>#N/A</v>
        <stp/>
        <stp>BDH|15356499966816012266</stp>
        <tr r="C10" s="8"/>
      </tp>
      <tp t="e">
        <v>#N/A</v>
        <stp/>
        <stp>BDH|10885539984939480713</stp>
        <tr r="S25" s="9"/>
      </tp>
      <tp t="e">
        <v>#N/A</v>
        <stp/>
        <stp>BDH|10058374857961382493</stp>
        <tr r="Y19" s="18"/>
      </tp>
      <tp t="e">
        <v>#N/A</v>
        <stp/>
        <stp>BDH|14007342452029903851</stp>
        <tr r="O55" s="17"/>
      </tp>
      <tp t="e">
        <v>#N/A</v>
        <stp/>
        <stp>BDH|12161204058402341403</stp>
        <tr r="Y19" s="11"/>
      </tp>
      <tp t="e">
        <v>#N/A</v>
        <stp/>
        <stp>BDH|11859055206336945487</stp>
        <tr r="D43" s="21"/>
      </tp>
      <tp t="e">
        <v>#N/A</v>
        <stp/>
        <stp>BDH|16994909202289911583</stp>
        <tr r="AA84" s="18"/>
      </tp>
      <tp t="e">
        <v>#N/A</v>
        <stp/>
        <stp>BDH|18108527328548828490</stp>
        <tr r="S121" s="18"/>
      </tp>
      <tp t="e">
        <v>#N/A</v>
        <stp/>
        <stp>BDH|18402285274318376616</stp>
        <tr r="U64" s="17"/>
      </tp>
      <tp t="e">
        <v>#N/A</v>
        <stp/>
        <stp>BDH|17779320772165421592</stp>
        <tr r="P44" s="18"/>
      </tp>
      <tp t="e">
        <v>#N/A</v>
        <stp/>
        <stp>BDH|16474498284519456079</stp>
        <tr r="C73" s="17"/>
      </tp>
      <tp t="e">
        <v>#N/A</v>
        <stp/>
        <stp>BDH|14109892414637771916</stp>
        <tr r="X23" s="26"/>
      </tp>
      <tp t="e">
        <v>#N/A</v>
        <stp/>
        <stp>BDH|17959198648001616049</stp>
        <tr r="AA24" s="22"/>
      </tp>
      <tp t="e">
        <v>#N/A</v>
        <stp/>
        <stp>BDH|16525607801777740493</stp>
        <tr r="P10" s="2"/>
        <tr r="O11" s="5"/>
        <tr r="O55" s="6"/>
        <tr r="P33" s="29"/>
        <tr r="P42" s="29"/>
      </tp>
      <tp t="e">
        <v>#N/A</v>
        <stp/>
        <stp>BDH|12514001711770770095</stp>
        <tr r="M16" s="21"/>
      </tp>
      <tp t="e">
        <v>#N/A</v>
        <stp/>
        <stp>BDH|11516763215806582297</stp>
        <tr r="P31" s="17"/>
      </tp>
      <tp t="e">
        <v>#N/A</v>
        <stp/>
        <stp>BDH|17636606178447363272</stp>
        <tr r="V37" s="18"/>
      </tp>
      <tp t="e">
        <v>#N/A</v>
        <stp/>
        <stp>BDH|16294447272000689682</stp>
        <tr r="W88" s="18"/>
      </tp>
      <tp t="e">
        <v>#N/A</v>
        <stp/>
        <stp>BDH|12155412465723616095</stp>
        <tr r="S19" s="22"/>
      </tp>
      <tp t="e">
        <v>#N/A</v>
        <stp/>
        <stp>BDH|15711001029091484571</stp>
        <tr r="F22" s="4"/>
      </tp>
      <tp t="e">
        <v>#N/A</v>
        <stp/>
        <stp>BDH|12489071807729024895</stp>
        <tr r="I29" s="6"/>
      </tp>
      <tp t="e">
        <v>#N/A</v>
        <stp/>
        <stp>BDH|13480958990201928159</stp>
        <tr r="V27" s="14"/>
      </tp>
      <tp t="e">
        <v>#N/A</v>
        <stp/>
        <stp>BDH|10927240247565769009</stp>
        <tr r="Q46" s="22"/>
      </tp>
      <tp t="e">
        <v>#N/A</v>
        <stp/>
        <stp>BDH|10581595101206206027</stp>
        <tr r="L14" s="12"/>
      </tp>
      <tp t="e">
        <v>#N/A</v>
        <stp/>
        <stp>BDH|11608088821586729657</stp>
        <tr r="R80" s="18"/>
      </tp>
      <tp t="e">
        <v>#N/A</v>
        <stp/>
        <stp>BDH|14819829640023434834</stp>
        <tr r="C24" s="9"/>
      </tp>
      <tp t="e">
        <v>#N/A</v>
        <stp/>
        <stp>BDH|10086058279224343029</stp>
        <tr r="S33" s="10"/>
        <tr r="S25" s="11"/>
      </tp>
      <tp t="e">
        <v>#N/A</v>
        <stp/>
        <stp>BDH|14642151355957823431</stp>
        <tr r="Y42" s="18"/>
      </tp>
      <tp t="e">
        <v>#N/A</v>
        <stp/>
        <stp>BDH|12617361062473886773</stp>
        <tr r="V50" s="13"/>
      </tp>
      <tp t="e">
        <v>#N/A</v>
        <stp/>
        <stp>BDH|10681822917699924370</stp>
        <tr r="V13" s="5"/>
      </tp>
      <tp t="e">
        <v>#N/A</v>
        <stp/>
        <stp>BDH|17627199613332923684</stp>
        <tr r="Z37" s="26"/>
      </tp>
      <tp t="e">
        <v>#N/A</v>
        <stp/>
        <stp>BDH|12557289109273020091</stp>
        <tr r="AA7" s="28"/>
      </tp>
      <tp t="e">
        <v>#N/A</v>
        <stp/>
        <stp>BDH|13286551873312872011</stp>
        <tr r="U27" s="21"/>
      </tp>
      <tp t="e">
        <v>#N/A</v>
        <stp/>
        <stp>BDH|10936493036576895230</stp>
        <tr r="F37" s="6"/>
      </tp>
      <tp t="e">
        <v>#N/A</v>
        <stp/>
        <stp>BDH|14872963492836192109</stp>
        <tr r="J17" s="4"/>
        <tr r="L10" s="3"/>
        <tr r="J56" s="10"/>
        <tr r="J48" s="11"/>
        <tr r="J17" s="7"/>
        <tr r="L54" s="13"/>
      </tp>
      <tp t="e">
        <v>#N/A</v>
        <stp/>
        <stp>BDH|12270615502585411285</stp>
        <tr r="Y21" s="3"/>
      </tp>
      <tp t="e">
        <v>#N/A</v>
        <stp/>
        <stp>BDH|12464457975383159184</stp>
        <tr r="P25" s="2"/>
        <tr r="R60" s="21"/>
      </tp>
      <tp t="e">
        <v>#N/A</v>
        <stp/>
        <stp>BDH|14265295632144263267</stp>
        <tr r="Z16" s="26"/>
      </tp>
      <tp t="e">
        <v>#N/A</v>
        <stp/>
        <stp>BDH|15043304446717245690</stp>
        <tr r="AA25" s="14"/>
      </tp>
      <tp t="e">
        <v>#N/A</v>
        <stp/>
        <stp>BDH|14167649069722689572</stp>
        <tr r="J44" s="13"/>
      </tp>
      <tp t="e">
        <v>#N/A</v>
        <stp/>
        <stp>BDH|11219331745356038392</stp>
        <tr r="L20" s="20"/>
      </tp>
      <tp t="e">
        <v>#N/A</v>
        <stp/>
        <stp>BDH|14338133035144861106</stp>
        <tr r="Q116" s="18"/>
      </tp>
      <tp t="e">
        <v>#N/A</v>
        <stp/>
        <stp>BDH|15099300424366882113</stp>
        <tr r="Y76" s="12"/>
      </tp>
      <tp t="e">
        <v>#N/A</v>
        <stp/>
        <stp>BDH|10487094574021555518</stp>
        <tr r="Z29" s="21"/>
      </tp>
      <tp t="e">
        <v>#N/A</v>
        <stp/>
        <stp>BDH|10631398633697698475</stp>
        <tr r="S28" s="12"/>
      </tp>
      <tp t="e">
        <v>#N/A</v>
        <stp/>
        <stp>BDH|10305823126130928930</stp>
        <tr r="E49" s="24"/>
      </tp>
      <tp t="e">
        <v>#N/A</v>
        <stp/>
        <stp>BDH|12586007784249842049</stp>
        <tr r="L35" s="21"/>
      </tp>
      <tp t="e">
        <v>#N/A</v>
        <stp/>
        <stp>BDH|14967600309610854152</stp>
        <tr r="R91" s="18"/>
      </tp>
      <tp t="e">
        <v>#N/A</v>
        <stp/>
        <stp>BDH|10703483691669300702</stp>
        <tr r="H23" s="24"/>
      </tp>
      <tp t="e">
        <v>#N/A</v>
        <stp/>
        <stp>BDH|16888548654446104341</stp>
        <tr r="F23" s="23"/>
      </tp>
      <tp t="e">
        <v>#N/A</v>
        <stp/>
        <stp>BDH|16523687627965208459</stp>
        <tr r="W52" s="17"/>
        <tr r="W10" s="25"/>
      </tp>
      <tp t="e">
        <v>#N/A</v>
        <stp/>
        <stp>BDH|15002559800166098584</stp>
        <tr r="V8" s="17"/>
      </tp>
      <tp t="e">
        <v>#N/A</v>
        <stp/>
        <stp>BDH|15756293341470512076</stp>
        <tr r="I43" s="13"/>
      </tp>
      <tp t="e">
        <v>#N/A</v>
        <stp/>
        <stp>BDH|17245851209719669550</stp>
        <tr r="I31" s="5"/>
      </tp>
      <tp t="e">
        <v>#N/A</v>
        <stp/>
        <stp>BDH|15135705279594659232</stp>
        <tr r="D35" s="26"/>
      </tp>
      <tp t="e">
        <v>#N/A</v>
        <stp/>
        <stp>BDH|15910732238491884364</stp>
        <tr r="S73" s="12"/>
      </tp>
      <tp t="e">
        <v>#N/A</v>
        <stp/>
        <stp>BDH|13029367179864654053</stp>
        <tr r="H8" s="4"/>
      </tp>
      <tp t="e">
        <v>#N/A</v>
        <stp/>
        <stp>BDH|17299936882460657595</stp>
        <tr r="J26" s="12"/>
      </tp>
      <tp t="e">
        <v>#N/A</v>
        <stp/>
        <stp>BDH|10790897985400518321</stp>
        <tr r="M40" s="21"/>
      </tp>
      <tp t="e">
        <v>#N/A</v>
        <stp/>
        <stp>BDH|17328154201835249090</stp>
        <tr r="C18" s="2"/>
        <tr r="C53" s="4"/>
        <tr r="C46" s="10"/>
        <tr r="C38" s="11"/>
        <tr r="E51" s="13"/>
      </tp>
      <tp t="e">
        <v>#N/A</v>
        <stp/>
        <stp>BDH|17371531919953426312</stp>
        <tr r="O9" s="28"/>
      </tp>
      <tp t="e">
        <v>#N/A</v>
        <stp/>
        <stp>BDH|12752550237802157586</stp>
        <tr r="Q39" s="22"/>
      </tp>
      <tp t="e">
        <v>#N/A</v>
        <stp/>
        <stp>BDH|11147645642382995227</stp>
        <tr r="I11" s="17"/>
      </tp>
      <tp t="e">
        <v>#N/A</v>
        <stp/>
        <stp>BDH|17796022558596121700</stp>
        <tr r="V126" s="18"/>
      </tp>
      <tp t="e">
        <v>#N/A</v>
        <stp/>
        <stp>BDH|11624435839820753579</stp>
        <tr r="C22" s="21"/>
      </tp>
      <tp t="e">
        <v>#N/A</v>
        <stp/>
        <stp>BDH|17058906345509803015</stp>
        <tr r="P17" s="17"/>
        <tr r="P20" s="28"/>
      </tp>
      <tp t="e">
        <v>#N/A</v>
        <stp/>
        <stp>BDH|10249490225897474268</stp>
        <tr r="V22" s="12"/>
      </tp>
      <tp t="e">
        <v>#N/A</v>
        <stp/>
        <stp>BDH|10437454675833986315</stp>
        <tr r="C52" s="4"/>
        <tr r="E8" s="3"/>
        <tr r="C44" s="10"/>
        <tr r="C36" s="11"/>
        <tr r="E40" s="13"/>
      </tp>
      <tp t="e">
        <v>#N/A</v>
        <stp/>
        <stp>BDH|10659000843197029094</stp>
        <tr r="J13" s="9"/>
      </tp>
      <tp t="e">
        <v>#N/A</v>
        <stp/>
        <stp>BDH|15330196532440720431</stp>
        <tr r="U29" s="6"/>
      </tp>
      <tp t="e">
        <v>#N/A</v>
        <stp/>
        <stp>BDH|10374251482978095184</stp>
        <tr r="H31" s="5"/>
      </tp>
      <tp t="e">
        <v>#N/A</v>
        <stp/>
        <stp>BDH|18403032389116379514</stp>
        <tr r="E16" s="11"/>
      </tp>
      <tp t="e">
        <v>#N/A</v>
        <stp/>
        <stp>BDH|18225416228839788402</stp>
        <tr r="G20" s="29"/>
      </tp>
      <tp t="e">
        <v>#N/A</v>
        <stp/>
        <stp>BDH|13515593864845474608</stp>
        <tr r="J36" s="12"/>
      </tp>
      <tp t="e">
        <v>#N/A</v>
        <stp/>
        <stp>BDH|17533012995239954443</stp>
        <tr r="L19" s="17"/>
      </tp>
      <tp t="e">
        <v>#N/A</v>
        <stp/>
        <stp>BDH|10055093492378042274</stp>
        <tr r="Q22" s="12"/>
      </tp>
      <tp t="e">
        <v>#N/A</v>
        <stp/>
        <stp>BDH|16965027079396814467</stp>
        <tr r="I55" s="13"/>
      </tp>
      <tp t="e">
        <v>#N/A</v>
        <stp/>
        <stp>BDH|14940002419944809275</stp>
        <tr r="E55" s="17"/>
      </tp>
      <tp t="e">
        <v>#N/A</v>
        <stp/>
        <stp>BDH|14744285517931023570</stp>
        <tr r="T8" s="13"/>
      </tp>
      <tp t="e">
        <v>#N/A</v>
        <stp/>
        <stp>BDH|15865653194159482026</stp>
        <tr r="I51" s="24"/>
      </tp>
      <tp t="e">
        <v>#N/A</v>
        <stp/>
        <stp>BDH|14857220331166585014</stp>
        <tr r="W47" s="6"/>
      </tp>
      <tp t="e">
        <v>#N/A</v>
        <stp/>
        <stp>BDH|12339343806945985779</stp>
        <tr r="O14" s="10"/>
      </tp>
      <tp t="e">
        <v>#N/A</v>
        <stp/>
        <stp>BDH|13991213662112436617</stp>
        <tr r="J24" s="6"/>
      </tp>
      <tp t="e">
        <v>#N/A</v>
        <stp/>
        <stp>BDH|11837728419902499685</stp>
        <tr r="Y81" s="18"/>
      </tp>
      <tp t="e">
        <v>#N/A</v>
        <stp/>
        <stp>BDH|15464788265392178574</stp>
        <tr r="L103" s="18"/>
      </tp>
      <tp t="e">
        <v>#N/A</v>
        <stp/>
        <stp>BDH|17619157053680854078</stp>
        <tr r="AA6" s="28"/>
      </tp>
      <tp t="e">
        <v>#N/A</v>
        <stp/>
        <stp>BDH|10155798437745542253</stp>
        <tr r="X9" s="11"/>
      </tp>
      <tp t="e">
        <v>#N/A</v>
        <stp/>
        <stp>BDH|17515648470522675786</stp>
        <tr r="U8" s="21"/>
      </tp>
      <tp t="e">
        <v>#N/A</v>
        <stp/>
        <stp>BDH|14497184432071957485</stp>
        <tr r="Z19" s="26"/>
      </tp>
      <tp t="e">
        <v>#N/A</v>
        <stp/>
        <stp>BDH|12680434447107939642</stp>
        <tr r="H37" s="26"/>
      </tp>
      <tp t="e">
        <v>#N/A</v>
        <stp/>
        <stp>BDH|13896643303880496647</stp>
        <tr r="Q134" s="18"/>
      </tp>
      <tp t="e">
        <v>#N/A</v>
        <stp/>
        <stp>BDH|16857343342301211338</stp>
        <tr r="J59" s="12"/>
      </tp>
      <tp t="e">
        <v>#N/A</v>
        <stp/>
        <stp>BDH|17347148231663172581</stp>
        <tr r="Y78" s="12"/>
      </tp>
      <tp t="e">
        <v>#N/A</v>
        <stp/>
        <stp>BDH|10929404823195598002</stp>
        <tr r="I75" s="24"/>
      </tp>
      <tp t="e">
        <v>#N/A</v>
        <stp/>
        <stp>BDH|14883184499768302758</stp>
        <tr r="J133" s="18"/>
      </tp>
      <tp t="e">
        <v>#N/A</v>
        <stp/>
        <stp>BDH|13479728960755021498</stp>
        <tr r="P71" s="17"/>
      </tp>
      <tp t="e">
        <v>#N/A</v>
        <stp/>
        <stp>BDH|11217368425817875464</stp>
        <tr r="I9" s="6"/>
      </tp>
      <tp t="e">
        <v>#N/A</v>
        <stp/>
        <stp>BDH|16997837024128747769</stp>
        <tr r="H64" s="18"/>
      </tp>
      <tp t="e">
        <v>#N/A</v>
        <stp/>
        <stp>BDH|11971232351346415306</stp>
        <tr r="U15" s="12"/>
      </tp>
      <tp t="e">
        <v>#N/A</v>
        <stp/>
        <stp>BDH|11074944728188344106</stp>
        <tr r="R69" s="24"/>
      </tp>
      <tp t="e">
        <v>#N/A</v>
        <stp/>
        <stp>BDH|16965636385238948391</stp>
        <tr r="S45" s="18"/>
      </tp>
      <tp t="e">
        <v>#N/A</v>
        <stp/>
        <stp>BDH|18232917129526065651</stp>
        <tr r="Z27" s="22"/>
      </tp>
      <tp t="e">
        <v>#N/A</v>
        <stp/>
        <stp>BDH|11386588232553522731</stp>
        <tr r="Q14" s="23"/>
      </tp>
      <tp t="e">
        <v>#N/A</v>
        <stp/>
        <stp>BDH|12617089731320991294</stp>
        <tr r="O22" s="24"/>
      </tp>
      <tp t="e">
        <v>#N/A</v>
        <stp/>
        <stp>BDH|17341071513167948215</stp>
        <tr r="E7" s="2"/>
        <tr r="D7" s="5"/>
        <tr r="D7" s="9"/>
        <tr r="G14" s="3"/>
      </tp>
      <tp t="e">
        <v>#N/A</v>
        <stp/>
        <stp>BDH|16723393304676762024</stp>
        <tr r="D44" s="21"/>
      </tp>
      <tp t="e">
        <v>#N/A</v>
        <stp/>
        <stp>BDH|17545293154455105666</stp>
        <tr r="W10" s="11"/>
      </tp>
      <tp t="e">
        <v>#N/A</v>
        <stp/>
        <stp>BDH|14146252109095439060</stp>
        <tr r="E59" s="18"/>
      </tp>
      <tp t="e">
        <v>#N/A</v>
        <stp/>
        <stp>BDH|13708289764897716335</stp>
        <tr r="U18" s="18"/>
      </tp>
      <tp t="e">
        <v>#N/A</v>
        <stp/>
        <stp>BDH|17890958329299979621</stp>
        <tr r="AA23" s="23"/>
      </tp>
      <tp t="e">
        <v>#N/A</v>
        <stp/>
        <stp>BDH|16996172545721015149</stp>
        <tr r="E15" s="30"/>
      </tp>
      <tp t="e">
        <v>#N/A</v>
        <stp/>
        <stp>BDH|17869129063067716405</stp>
        <tr r="N38" s="18"/>
      </tp>
      <tp t="e">
        <v>#N/A</v>
        <stp/>
        <stp>BDH|11095375854131875550</stp>
        <tr r="G76" s="24"/>
      </tp>
      <tp t="e">
        <v>#N/A</v>
        <stp/>
        <stp>BDH|11273238859484404121</stp>
        <tr r="S67" s="10"/>
      </tp>
      <tp t="e">
        <v>#N/A</v>
        <stp/>
        <stp>BDH|14098916238539616413</stp>
        <tr r="C45" s="21"/>
      </tp>
      <tp t="e">
        <v>#N/A</v>
        <stp/>
        <stp>BDH|11031645646435531599</stp>
        <tr r="F17" s="12"/>
      </tp>
      <tp t="e">
        <v>#N/A</v>
        <stp/>
        <stp>BDH|14322580157270302718</stp>
        <tr r="W15" s="10"/>
      </tp>
      <tp t="e">
        <v>#N/A</v>
        <stp/>
        <stp>BDH|12203417959809755935</stp>
        <tr r="Z38" s="24"/>
      </tp>
      <tp t="e">
        <v>#N/A</v>
        <stp/>
        <stp>BDH|18306509494333071492</stp>
        <tr r="Y27" s="18"/>
      </tp>
      <tp t="e">
        <v>#N/A</v>
        <stp/>
        <stp>BDH|13211005722072816068</stp>
        <tr r="R26" s="17"/>
      </tp>
      <tp t="e">
        <v>#N/A</v>
        <stp/>
        <stp>BDH|15590004692046155985</stp>
        <tr r="AA14" s="12"/>
      </tp>
      <tp t="e">
        <v>#N/A</v>
        <stp/>
        <stp>BDH|16610122689495054931</stp>
        <tr r="X28" s="22"/>
      </tp>
      <tp t="e">
        <v>#N/A</v>
        <stp/>
        <stp>BDH|16948713227270940083</stp>
        <tr r="Q48" s="21"/>
      </tp>
      <tp t="e">
        <v>#N/A</v>
        <stp/>
        <stp>BDH|15166560869025046000</stp>
        <tr r="H37" s="24"/>
      </tp>
      <tp t="e">
        <v>#N/A</v>
        <stp/>
        <stp>BDH|12426515331402810520</stp>
        <tr r="R35" s="18"/>
      </tp>
      <tp t="e">
        <v>#N/A</v>
        <stp/>
        <stp>BDH|13571113654126900277</stp>
        <tr r="J22" s="6"/>
      </tp>
      <tp t="e">
        <v>#N/A</v>
        <stp/>
        <stp>BDH|13308115556305303197</stp>
        <tr r="L59" s="12"/>
      </tp>
      <tp t="e">
        <v>#N/A</v>
        <stp/>
        <stp>BDH|16125492767647047012</stp>
        <tr r="U60" s="12"/>
      </tp>
      <tp t="e">
        <v>#N/A</v>
        <stp/>
        <stp>BDH|12779511926341964773</stp>
        <tr r="AA15" s="26"/>
      </tp>
      <tp t="e">
        <v>#N/A</v>
        <stp/>
        <stp>BDH|14701306324364478294</stp>
        <tr r="T16" s="12"/>
      </tp>
      <tp t="e">
        <v>#N/A</v>
        <stp/>
        <stp>BDH|10186736637813995429</stp>
        <tr r="J9" s="30"/>
      </tp>
      <tp t="e">
        <v>#N/A</v>
        <stp/>
        <stp>BDH|17085875275042830948</stp>
        <tr r="P13" s="9"/>
      </tp>
      <tp t="e">
        <v>#N/A</v>
        <stp/>
        <stp>BDH|10942579710981660667</stp>
        <tr r="R30" s="12"/>
      </tp>
      <tp t="e">
        <v>#N/A</v>
        <stp/>
        <stp>BDH|13819390658533163567</stp>
        <tr r="Q34" s="12"/>
      </tp>
      <tp t="e">
        <v>#N/A</v>
        <stp/>
        <stp>BDH|12941954886697711732</stp>
        <tr r="Q35" s="12"/>
      </tp>
      <tp t="e">
        <v>#N/A</v>
        <stp/>
        <stp>BDH|15469192961094338512</stp>
        <tr r="AA23" s="13"/>
      </tp>
      <tp t="e">
        <v>#N/A</v>
        <stp/>
        <stp>BDH|16925206817044456245</stp>
        <tr r="R15" s="9"/>
      </tp>
      <tp t="e">
        <v>#N/A</v>
        <stp/>
        <stp>BDH|14604658250863819755</stp>
        <tr r="L61" s="12"/>
      </tp>
      <tp t="e">
        <v>#N/A</v>
        <stp/>
        <stp>BDH|14597836419278486651</stp>
        <tr r="K12" s="21"/>
      </tp>
      <tp t="e">
        <v>#N/A</v>
        <stp/>
        <stp>BDH|10195895019521163814</stp>
        <tr r="Q139" s="18"/>
      </tp>
      <tp t="e">
        <v>#N/A</v>
        <stp/>
        <stp>BDH|13666812842916228964</stp>
        <tr r="P34" s="21"/>
      </tp>
      <tp t="e">
        <v>#N/A</v>
        <stp/>
        <stp>BDH|10067583731921922715</stp>
        <tr r="V73" s="18"/>
      </tp>
      <tp t="e">
        <v>#N/A</v>
        <stp/>
        <stp>BDH|12892444339684563117</stp>
        <tr r="T102" s="18"/>
      </tp>
      <tp t="e">
        <v>#N/A</v>
        <stp/>
        <stp>BDH|16144735113963347335</stp>
        <tr r="Z15" s="24"/>
      </tp>
      <tp t="e">
        <v>#N/A</v>
        <stp/>
        <stp>BDH|10797619006656990086</stp>
        <tr r="Z29" s="12"/>
      </tp>
      <tp t="e">
        <v>#N/A</v>
        <stp/>
        <stp>BDH|12519712233595660309</stp>
        <tr r="E33" s="6"/>
      </tp>
      <tp t="e">
        <v>#N/A</v>
        <stp/>
        <stp>BDH|10690744704841548629</stp>
        <tr r="H9" s="6"/>
      </tp>
      <tp t="e">
        <v>#N/A</v>
        <stp/>
        <stp>BDH|10390327424162103350</stp>
        <tr r="L13" s="11"/>
      </tp>
      <tp t="e">
        <v>#N/A</v>
        <stp/>
        <stp>BDH|14561369856206778435</stp>
        <tr r="K60" s="18"/>
      </tp>
      <tp t="e">
        <v>#N/A</v>
        <stp/>
        <stp>BDH|16014638396399111055</stp>
        <tr r="T12" s="20"/>
      </tp>
      <tp t="e">
        <v>#N/A</v>
        <stp/>
        <stp>BDH|14654477056932117774</stp>
        <tr r="W107" s="18"/>
      </tp>
      <tp t="e">
        <v>#N/A</v>
        <stp/>
        <stp>BDH|13072767776380777369</stp>
        <tr r="M111" s="18"/>
      </tp>
      <tp t="e">
        <v>#N/A</v>
        <stp/>
        <stp>BDH|17739707515461440079</stp>
        <tr r="D33" s="12"/>
      </tp>
      <tp t="e">
        <v>#N/A</v>
        <stp/>
        <stp>BDH|12043239372156390138</stp>
        <tr r="C13" s="9"/>
      </tp>
      <tp t="e">
        <v>#N/A</v>
        <stp/>
        <stp>BDH|10034630443337283535</stp>
        <tr r="G37" s="18"/>
      </tp>
      <tp t="e">
        <v>#N/A</v>
        <stp/>
        <stp>BDH|13519309249516848254</stp>
        <tr r="R28" s="4"/>
      </tp>
      <tp t="e">
        <v>#N/A</v>
        <stp/>
        <stp>BDH|16590384389589170443</stp>
        <tr r="M87" s="12"/>
      </tp>
      <tp t="e">
        <v>#N/A</v>
        <stp/>
        <stp>BDH|10576753846636399547</stp>
        <tr r="K9" s="11"/>
      </tp>
      <tp t="e">
        <v>#N/A</v>
        <stp/>
        <stp>BDH|13483786529393379576</stp>
        <tr r="L39" s="26"/>
      </tp>
      <tp t="e">
        <v>#N/A</v>
        <stp/>
        <stp>BDH|16600120809561541692</stp>
        <tr r="C17" s="22"/>
      </tp>
      <tp t="e">
        <v>#N/A</v>
        <stp/>
        <stp>BDH|18044465423286267866</stp>
        <tr r="P38" s="18"/>
      </tp>
      <tp t="e">
        <v>#N/A</v>
        <stp/>
        <stp>BDH|12604083537188843905</stp>
        <tr r="W19" s="9"/>
      </tp>
      <tp t="e">
        <v>#N/A</v>
        <stp/>
        <stp>BDH|15845185426304470236</stp>
        <tr r="O24" s="4"/>
        <tr r="O57" s="11"/>
      </tp>
      <tp t="e">
        <v>#N/A</v>
        <stp/>
        <stp>BDH|16290209915522027765</stp>
        <tr r="U28" s="25"/>
        <tr r="U14" s="27"/>
      </tp>
      <tp t="e">
        <v>#N/A</v>
        <stp/>
        <stp>BDH|15852444590330827852</stp>
        <tr r="M31" s="26"/>
        <tr r="J14" s="9"/>
      </tp>
      <tp t="e">
        <v>#N/A</v>
        <stp/>
        <stp>BDH|18230818714878128970</stp>
        <tr r="T34" s="9"/>
      </tp>
      <tp t="e">
        <v>#N/A</v>
        <stp/>
        <stp>BDH|14335726850127747170</stp>
        <tr r="AA73" s="24"/>
      </tp>
      <tp t="e">
        <v>#N/A</v>
        <stp/>
        <stp>BDH|18379110292854283430</stp>
        <tr r="J17" s="18"/>
      </tp>
      <tp t="e">
        <v>#N/A</v>
        <stp/>
        <stp>BDH|16904041906094901236</stp>
        <tr r="D31" s="34"/>
      </tp>
      <tp t="e">
        <v>#N/A</v>
        <stp/>
        <stp>BDH|15404211645304723767</stp>
        <tr r="N50" s="4"/>
      </tp>
      <tp t="e">
        <v>#N/A</v>
        <stp/>
        <stp>BDH|13504028352277353178</stp>
        <tr r="K67" s="10"/>
      </tp>
      <tp t="e">
        <v>#N/A</v>
        <stp/>
        <stp>BDH|12336912397666008441</stp>
        <tr r="X43" s="21"/>
      </tp>
      <tp t="e">
        <v>#N/A</v>
        <stp/>
        <stp>BDH|17570471271640723454</stp>
        <tr r="AA100" s="18"/>
        <tr r="AA9" s="20"/>
      </tp>
      <tp t="e">
        <v>#N/A</v>
        <stp/>
        <stp>BDH|15221944355470628945</stp>
        <tr r="N19" s="10"/>
      </tp>
      <tp t="e">
        <v>#N/A</v>
        <stp/>
        <stp>BDH|11922425229033344406</stp>
        <tr r="N44" s="13"/>
      </tp>
      <tp t="e">
        <v>#N/A</v>
        <stp/>
        <stp>BDH|12976240270620920756</stp>
        <tr r="Z46" s="24"/>
      </tp>
      <tp t="e">
        <v>#N/A</v>
        <stp/>
        <stp>BDH|10502218461890476403</stp>
        <tr r="R24" s="13"/>
      </tp>
      <tp t="e">
        <v>#N/A</v>
        <stp/>
        <stp>BDH|14437896485982990601</stp>
        <tr r="S38" s="34"/>
      </tp>
      <tp t="e">
        <v>#N/A</v>
        <stp/>
        <stp>BDH|15859273596406079881</stp>
        <tr r="N17" s="30"/>
      </tp>
      <tp t="e">
        <v>#N/A</v>
        <stp/>
        <stp>BDH|13455264941087326208</stp>
        <tr r="V20" s="10"/>
      </tp>
      <tp t="e">
        <v>#N/A</v>
        <stp/>
        <stp>BDH|17684784939834583726</stp>
        <tr r="H16" s="22"/>
      </tp>
      <tp t="e">
        <v>#N/A</v>
        <stp/>
        <stp>BDH|12614190559090694602</stp>
        <tr r="T20" s="9"/>
      </tp>
      <tp t="e">
        <v>#N/A</v>
        <stp/>
        <stp>BDH|14044109273446167425</stp>
        <tr r="Z16" s="18"/>
      </tp>
      <tp t="e">
        <v>#N/A</v>
        <stp/>
        <stp>BDH|14547587001030817148</stp>
        <tr r="R62" s="24"/>
      </tp>
      <tp t="e">
        <v>#N/A</v>
        <stp/>
        <stp>BDH|17004941580335411309</stp>
        <tr r="J87" s="24"/>
      </tp>
      <tp t="e">
        <v>#N/A</v>
        <stp/>
        <stp>BDH|14831136852331077198</stp>
        <tr r="E35" s="22"/>
      </tp>
      <tp t="e">
        <v>#N/A</v>
        <stp/>
        <stp>BDH|12227429257407343442</stp>
        <tr r="W75" s="18"/>
        <tr r="W64" s="12"/>
      </tp>
      <tp t="e">
        <v>#N/A</v>
        <stp/>
        <stp>BDH|10438168112405709576</stp>
        <tr r="S41" s="24"/>
      </tp>
      <tp t="e">
        <v>#N/A</v>
        <stp/>
        <stp>BDH|15618262963449297817</stp>
        <tr r="I57" s="17"/>
      </tp>
      <tp t="e">
        <v>#N/A</v>
        <stp/>
        <stp>BDH|11562068925094428724</stp>
        <tr r="I38" s="17"/>
      </tp>
      <tp t="e">
        <v>#N/A</v>
        <stp/>
        <stp>BDH|12229461872904225540</stp>
        <tr r="W20" s="26"/>
      </tp>
      <tp t="e">
        <v>#N/A</v>
        <stp/>
        <stp>BDH|13794531970394022541</stp>
        <tr r="U14" s="6"/>
      </tp>
      <tp t="e">
        <v>#N/A</v>
        <stp/>
        <stp>BDH|17480327957215539446</stp>
        <tr r="O38" s="18"/>
      </tp>
      <tp t="e">
        <v>#N/A</v>
        <stp/>
        <stp>BDH|11194296199012753865</stp>
        <tr r="M20" s="14"/>
      </tp>
      <tp t="e">
        <v>#N/A</v>
        <stp/>
        <stp>BDH|15007290379168798876</stp>
        <tr r="N46" s="24"/>
      </tp>
      <tp t="e">
        <v>#N/A</v>
        <stp/>
        <stp>BDH|11838530868401486371</stp>
        <tr r="Z8" s="8"/>
      </tp>
      <tp t="e">
        <v>#N/A</v>
        <stp/>
        <stp>BDH|14196794122927224688</stp>
        <tr r="AA58" s="13"/>
      </tp>
      <tp t="e">
        <v>#N/A</v>
        <stp/>
        <stp>BDH|14962383650467860599</stp>
        <tr r="Z9" s="14"/>
      </tp>
      <tp t="e">
        <v>#N/A</v>
        <stp/>
        <stp>BDH|13335306827702160059</stp>
        <tr r="Y88" s="12"/>
      </tp>
      <tp t="e">
        <v>#N/A</v>
        <stp/>
        <stp>BDH|13278688138507266101</stp>
        <tr r="P16" s="21"/>
      </tp>
      <tp t="e">
        <v>#N/A</v>
        <stp/>
        <stp>BDH|16296565181619232274</stp>
        <tr r="D53" s="12"/>
      </tp>
      <tp t="e">
        <v>#N/A</v>
        <stp/>
        <stp>BDH|16726673063167389104</stp>
        <tr r="Z8" s="14"/>
      </tp>
      <tp t="e">
        <v>#N/A</v>
        <stp/>
        <stp>BDH|13261004576663698721</stp>
        <tr r="AA131" s="18"/>
      </tp>
      <tp t="e">
        <v>#N/A</v>
        <stp/>
        <stp>BDH|16314166750537726523</stp>
        <tr r="M20" s="17"/>
      </tp>
      <tp t="e">
        <v>#N/A</v>
        <stp/>
        <stp>BDH|12535546774454146446</stp>
        <tr r="D67" s="10"/>
      </tp>
      <tp t="e">
        <v>#N/A</v>
        <stp/>
        <stp>BDH|17838277989414621901</stp>
        <tr r="M40" s="34"/>
      </tp>
      <tp t="e">
        <v>#N/A</v>
        <stp/>
        <stp>BDH|16094958797890735658</stp>
        <tr r="O54" s="18"/>
      </tp>
      <tp t="e">
        <v>#N/A</v>
        <stp/>
        <stp>BDH|17648652756332444613</stp>
        <tr r="U32" s="22"/>
      </tp>
      <tp t="e">
        <v>#N/A</v>
        <stp/>
        <stp>BDH|12452386724060153394</stp>
        <tr r="O37" s="6"/>
      </tp>
      <tp t="e">
        <v>#N/A</v>
        <stp/>
        <stp>BDH|15577066931291694748</stp>
        <tr r="W52" s="10"/>
        <tr r="W44" s="11"/>
        <tr r="W15" s="7"/>
      </tp>
      <tp t="e">
        <v>#N/A</v>
        <stp/>
        <stp>BDH|13333964545608401641</stp>
        <tr r="X51" s="18"/>
      </tp>
      <tp t="e">
        <v>#N/A</v>
        <stp/>
        <stp>BDH|16797961704297429818</stp>
        <tr r="D84" s="18"/>
      </tp>
      <tp t="e">
        <v>#N/A</v>
        <stp/>
        <stp>BDH|10558064704392747201</stp>
        <tr r="I18" s="13"/>
      </tp>
      <tp t="e">
        <v>#N/A</v>
        <stp/>
        <stp>BDH|14638046938136200183</stp>
        <tr r="V71" s="10"/>
        <tr r="V63" s="11"/>
      </tp>
      <tp t="e">
        <v>#N/A</v>
        <stp/>
        <stp>BDH|15512577307052346265</stp>
        <tr r="J137" s="18"/>
      </tp>
      <tp t="e">
        <v>#N/A</v>
        <stp/>
        <stp>BDH|15011022097559239573</stp>
        <tr r="H80" s="12"/>
      </tp>
      <tp t="e">
        <v>#N/A</v>
        <stp/>
        <stp>BDH|14103637078347812223</stp>
        <tr r="K27" s="25"/>
        <tr r="K13" s="27"/>
      </tp>
      <tp t="e">
        <v>#N/A</v>
        <stp/>
        <stp>BDH|17267432558046872015</stp>
        <tr r="S65" s="12"/>
      </tp>
      <tp t="e">
        <v>#N/A</v>
        <stp/>
        <stp>BDH|10291822204858378071</stp>
        <tr r="P46" s="13"/>
      </tp>
      <tp t="e">
        <v>#N/A</v>
        <stp/>
        <stp>BDH|13022652132983391544</stp>
        <tr r="W30" s="5"/>
        <tr r="W30" s="9"/>
      </tp>
      <tp t="e">
        <v>#N/A</v>
        <stp/>
        <stp>BDH|14535674007551166340</stp>
        <tr r="D24" s="29"/>
      </tp>
      <tp t="e">
        <v>#N/A</v>
        <stp/>
        <stp>BDH|11427469512795142123</stp>
        <tr r="X47" s="13"/>
      </tp>
      <tp t="e">
        <v>#N/A</v>
        <stp/>
        <stp>BDH|16199090868190520061</stp>
        <tr r="E18" s="17"/>
      </tp>
      <tp t="e">
        <v>#N/A</v>
        <stp/>
        <stp>BDH|14637783736637845739</stp>
        <tr r="U69" s="18"/>
      </tp>
      <tp t="e">
        <v>#N/A</v>
        <stp/>
        <stp>BDH|16536037900980416617</stp>
        <tr r="S28" s="14"/>
      </tp>
      <tp t="e">
        <v>#N/A</v>
        <stp/>
        <stp>BDH|15447313380097155978</stp>
        <tr r="H45" s="13"/>
      </tp>
      <tp t="e">
        <v>#N/A</v>
        <stp/>
        <stp>BDH|13576296409753646208</stp>
        <tr r="O12" s="10"/>
      </tp>
      <tp t="e">
        <v>#N/A</v>
        <stp/>
        <stp>BDH|13099235038573002180</stp>
        <tr r="C39" s="34"/>
      </tp>
      <tp t="e">
        <v>#N/A</v>
        <stp/>
        <stp>BDH|17477245871123399113</stp>
        <tr r="D39" s="22"/>
      </tp>
      <tp t="e">
        <v>#N/A</v>
        <stp/>
        <stp>BDH|18299384888021671273</stp>
        <tr r="T15" s="30"/>
      </tp>
      <tp t="e">
        <v>#N/A</v>
        <stp/>
        <stp>BDH|15227399164528478881</stp>
        <tr r="H37" s="21"/>
        <tr r="H24" s="3"/>
      </tp>
      <tp t="e">
        <v>#N/A</v>
        <stp/>
        <stp>BDH|13099026807132762110</stp>
        <tr r="L19" s="9"/>
      </tp>
      <tp t="e">
        <v>#N/A</v>
        <stp/>
        <stp>BDH|18256241270749290472</stp>
        <tr r="X73" s="24"/>
      </tp>
      <tp t="e">
        <v>#N/A</v>
        <stp/>
        <stp>BDH|14458318241522457133</stp>
        <tr r="W8" s="10"/>
      </tp>
      <tp t="e">
        <v>#N/A</v>
        <stp/>
        <stp>BDH|11201901330923119807</stp>
        <tr r="U84" s="12"/>
      </tp>
      <tp t="e">
        <v>#N/A</v>
        <stp/>
        <stp>BDH|13329156910917115441</stp>
        <tr r="T6" s="27"/>
      </tp>
      <tp t="e">
        <v>#N/A</v>
        <stp/>
        <stp>BDH|18393414692936386301</stp>
        <tr r="U18" s="2"/>
        <tr r="U53" s="4"/>
        <tr r="U46" s="10"/>
        <tr r="U38" s="11"/>
        <tr r="W51" s="13"/>
      </tp>
      <tp t="e">
        <v>#N/A</v>
        <stp/>
        <stp>BDH|16736059018917873018</stp>
        <tr r="I43" s="17"/>
      </tp>
      <tp t="e">
        <v>#N/A</v>
        <stp/>
        <stp>BDH|14449446933956337534</stp>
        <tr r="Y32" s="22"/>
      </tp>
      <tp t="e">
        <v>#N/A</v>
        <stp/>
        <stp>BDH|13360747907125627151</stp>
        <tr r="W13" s="13"/>
      </tp>
      <tp t="e">
        <v>#N/A</v>
        <stp/>
        <stp>BDH|16015855736168528554</stp>
        <tr r="J79" s="12"/>
      </tp>
      <tp t="e">
        <v>#N/A</v>
        <stp/>
        <stp>BDH|11553670670551677174</stp>
        <tr r="F58" s="17"/>
      </tp>
      <tp t="e">
        <v>#N/A</v>
        <stp/>
        <stp>BDH|12302537166529696838</stp>
        <tr r="G68" s="18"/>
      </tp>
      <tp t="e">
        <v>#N/A</v>
        <stp/>
        <stp>BDH|17518262573880617259</stp>
        <tr r="AA51" s="17"/>
        <tr r="AA17" s="3"/>
      </tp>
      <tp t="e">
        <v>#N/A</v>
        <stp/>
        <stp>BDH|14235782813836323499</stp>
        <tr r="M26" s="22"/>
      </tp>
      <tp t="e">
        <v>#N/A</v>
        <stp/>
        <stp>BDH|14194953487235436049</stp>
        <tr r="L48" s="13"/>
      </tp>
      <tp t="e">
        <v>#N/A</v>
        <stp/>
        <stp>BDH|12788194592523788983</stp>
        <tr r="O9" s="29"/>
      </tp>
      <tp t="e">
        <v>#N/A</v>
        <stp/>
        <stp>BDH|15221560857190416540</stp>
        <tr r="O18" s="2"/>
        <tr r="O53" s="4"/>
        <tr r="O46" s="10"/>
        <tr r="O38" s="11"/>
        <tr r="Q51" s="13"/>
      </tp>
      <tp t="e">
        <v>#N/A</v>
        <stp/>
        <stp>BDH|18415946616678674837</stp>
        <tr r="M97" s="18"/>
        <tr r="M6" s="20"/>
      </tp>
      <tp t="e">
        <v>#N/A</v>
        <stp/>
        <stp>BDH|11651374186503744930</stp>
        <tr r="Y40" s="10"/>
        <tr r="Y32" s="11"/>
      </tp>
      <tp t="e">
        <v>#N/A</v>
        <stp/>
        <stp>BDH|17985921739889929483</stp>
        <tr r="Y42" s="22"/>
      </tp>
      <tp t="e">
        <v>#N/A</v>
        <stp/>
        <stp>BDH|12960985823401794869</stp>
        <tr r="G38" s="22"/>
      </tp>
      <tp t="e">
        <v>#N/A</v>
        <stp/>
        <stp>BDH|16745228201192625618</stp>
        <tr r="E134" s="18"/>
      </tp>
      <tp t="e">
        <v>#N/A</v>
        <stp/>
        <stp>BDH|18137805311131397009</stp>
        <tr r="O80" s="24"/>
      </tp>
      <tp t="e">
        <v>#N/A</v>
        <stp/>
        <stp>BDH|16141748839037827578</stp>
        <tr r="G30" s="12"/>
      </tp>
      <tp t="e">
        <v>#N/A</v>
        <stp/>
        <stp>BDH|14160462956742411764</stp>
        <tr r="O32" s="10"/>
        <tr r="O24" s="11"/>
      </tp>
      <tp t="e">
        <v>#N/A</v>
        <stp/>
        <stp>BDH|18285328220108444173</stp>
        <tr r="O38" s="4"/>
        <tr r="O58" s="11"/>
        <tr r="Q13" s="23"/>
      </tp>
      <tp t="e">
        <v>#N/A</v>
        <stp/>
        <stp>BDH|13997313243181160598</stp>
        <tr r="P140" s="18"/>
      </tp>
      <tp t="e">
        <v>#N/A</v>
        <stp/>
        <stp>BDH|10549545033515863397</stp>
        <tr r="P60" s="18"/>
      </tp>
      <tp t="e">
        <v>#N/A</v>
        <stp/>
        <stp>BDH|12386827625410294857</stp>
        <tr r="W39" s="26"/>
      </tp>
      <tp t="e">
        <v>#N/A</v>
        <stp/>
        <stp>BDH|13020245870294537223</stp>
        <tr r="H21" s="30"/>
      </tp>
      <tp t="e">
        <v>#N/A</v>
        <stp/>
        <stp>BDH|16520461279557824211</stp>
        <tr r="J128" s="18"/>
      </tp>
      <tp t="e">
        <v>#N/A</v>
        <stp/>
        <stp>BDH|16229511169351014495</stp>
        <tr r="Z37" s="24"/>
      </tp>
      <tp t="e">
        <v>#N/A</v>
        <stp/>
        <stp>BDH|16889957894801905733</stp>
        <tr r="M15" s="20"/>
      </tp>
      <tp t="e">
        <v>#N/A</v>
        <stp/>
        <stp>BDH|13173715478372957120</stp>
        <tr r="Y79" s="18"/>
      </tp>
      <tp t="e">
        <v>#N/A</v>
        <stp/>
        <stp>BDH|15573018406975198014</stp>
        <tr r="P116" s="18"/>
      </tp>
      <tp t="e">
        <v>#N/A</v>
        <stp/>
        <stp>BDH|13254339232074023715</stp>
        <tr r="E33" s="14"/>
      </tp>
      <tp t="e">
        <v>#N/A</v>
        <stp/>
        <stp>BDH|13451303384968546070</stp>
        <tr r="N50" s="12"/>
      </tp>
      <tp t="e">
        <v>#N/A</v>
        <stp/>
        <stp>BDH|15284752118143413091</stp>
        <tr r="L40" s="17"/>
      </tp>
      <tp t="e">
        <v>#N/A</v>
        <stp/>
        <stp>BDH|16116250276142022108</stp>
        <tr r="T34" s="24"/>
      </tp>
      <tp t="e">
        <v>#N/A</v>
        <stp/>
        <stp>BDH|18156679134259918496</stp>
        <tr r="I21" s="18"/>
      </tp>
      <tp t="e">
        <v>#N/A</v>
        <stp/>
        <stp>BDH|15172154003506087257</stp>
        <tr r="C17" s="4"/>
        <tr r="E10" s="3"/>
        <tr r="C56" s="10"/>
        <tr r="C48" s="11"/>
        <tr r="C17" s="7"/>
        <tr r="E54" s="13"/>
      </tp>
      <tp t="e">
        <v>#N/A</v>
        <stp/>
        <stp>BDH|11012369711520137347</stp>
        <tr r="O8" s="11"/>
      </tp>
      <tp t="e">
        <v>#N/A</v>
        <stp/>
        <stp>BDH|11683470797295002942</stp>
        <tr r="X43" s="13"/>
      </tp>
      <tp t="e">
        <v>#N/A</v>
        <stp/>
        <stp>BDH|16688714109415956455</stp>
        <tr r="I51" s="17"/>
        <tr r="I17" s="3"/>
      </tp>
      <tp t="e">
        <v>#N/A</v>
        <stp/>
        <stp>BDH|10585243964226585229</stp>
        <tr r="Y51" s="12"/>
      </tp>
      <tp t="e">
        <v>#N/A</v>
        <stp/>
        <stp>BDH|10188092501417287799</stp>
        <tr r="R32" s="26"/>
      </tp>
      <tp t="e">
        <v>#N/A</v>
        <stp/>
        <stp>BDH|17368989549152568857</stp>
        <tr r="T58" s="18"/>
      </tp>
      <tp t="e">
        <v>#N/A</v>
        <stp/>
        <stp>BDH|16725196609375624238</stp>
        <tr r="Z17" s="23"/>
      </tp>
      <tp t="e">
        <v>#N/A</v>
        <stp/>
        <stp>BDH|11108515853616568749</stp>
        <tr r="R55" s="12"/>
      </tp>
      <tp t="e">
        <v>#N/A</v>
        <stp/>
        <stp>BDH|10996352738650454024</stp>
        <tr r="D81" s="12"/>
      </tp>
      <tp t="e">
        <v>#N/A</v>
        <stp/>
        <stp>BDH|11494000128312804166</stp>
        <tr r="O10" s="24"/>
      </tp>
      <tp t="e">
        <v>#N/A</v>
        <stp/>
        <stp>BDH|17665626737163246139</stp>
        <tr r="U88" s="18"/>
      </tp>
      <tp t="e">
        <v>#N/A</v>
        <stp/>
        <stp>BDH|18397273142269122756</stp>
        <tr r="N8" s="8"/>
      </tp>
      <tp t="e">
        <v>#N/A</v>
        <stp/>
        <stp>BDH|11219462455681432175</stp>
        <tr r="R62" s="13"/>
      </tp>
      <tp t="e">
        <v>#N/A</v>
        <stp/>
        <stp>BDH|12365061571722123771</stp>
        <tr r="G24" s="22"/>
      </tp>
      <tp t="e">
        <v>#N/A</v>
        <stp/>
        <stp>BDH|14845505524673846061</stp>
        <tr r="W65" s="21"/>
      </tp>
      <tp t="e">
        <v>#N/A</v>
        <stp/>
        <stp>BDH|13290661630434467228</stp>
        <tr r="D51" s="24"/>
      </tp>
      <tp t="e">
        <v>#N/A</v>
        <stp/>
        <stp>BDH|15836045756522069284</stp>
        <tr r="R27" s="14"/>
      </tp>
      <tp t="e">
        <v>#N/A</v>
        <stp/>
        <stp>BDH|11740229526935633476</stp>
        <tr r="Z141" s="18"/>
      </tp>
      <tp t="e">
        <v>#N/A</v>
        <stp/>
        <stp>BDH|16474393172124552681</stp>
        <tr r="L47" s="24"/>
      </tp>
      <tp t="e">
        <v>#N/A</v>
        <stp/>
        <stp>BDH|12246083572743867627</stp>
        <tr r="E55" s="18"/>
      </tp>
      <tp t="e">
        <v>#N/A</v>
        <stp/>
        <stp>BDH|15265914353229326013</stp>
        <tr r="Q38" s="10"/>
        <tr r="Q30" s="11"/>
        <tr r="S42" s="13"/>
      </tp>
      <tp t="e">
        <v>#N/A</v>
        <stp/>
        <stp>BDH|11824395133150123114</stp>
        <tr r="E99" s="18"/>
        <tr r="E8" s="20"/>
      </tp>
      <tp t="e">
        <v>#N/A</v>
        <stp/>
        <stp>BDH|17302997188753538554</stp>
        <tr r="P35" s="4"/>
      </tp>
      <tp t="e">
        <v>#N/A</v>
        <stp/>
        <stp>BDH|15324859432257580936</stp>
        <tr r="L136" s="18"/>
      </tp>
      <tp t="e">
        <v>#N/A</v>
        <stp/>
        <stp>BDH|16588486719950293348</stp>
        <tr r="W20" s="25"/>
      </tp>
      <tp t="e">
        <v>#N/A</v>
        <stp/>
        <stp>BDH|11830595205007675307</stp>
        <tr r="W23" s="17"/>
      </tp>
      <tp t="e">
        <v>#N/A</v>
        <stp/>
        <stp>BDH|18011813676057248073</stp>
        <tr r="W26" s="24"/>
      </tp>
      <tp t="e">
        <v>#N/A</v>
        <stp/>
        <stp>BDH|10444678639477056289</stp>
        <tr r="W29" s="24"/>
      </tp>
      <tp t="e">
        <v>#N/A</v>
        <stp/>
        <stp>BDH|17916107355911787293</stp>
        <tr r="N83" s="17"/>
      </tp>
      <tp t="e">
        <v>#N/A</v>
        <stp/>
        <stp>BDH|12321431575751743004</stp>
        <tr r="P17" s="23"/>
      </tp>
      <tp t="e">
        <v>#N/A</v>
        <stp/>
        <stp>BDH|10171709835842892694</stp>
        <tr r="M43" s="13"/>
      </tp>
      <tp t="e">
        <v>#N/A</v>
        <stp/>
        <stp>BDH|10524421512603173619</stp>
        <tr r="K42" s="10"/>
        <tr r="K34" s="11"/>
      </tp>
      <tp t="e">
        <v>#N/A</v>
        <stp/>
        <stp>BDH|16793107605132064572</stp>
        <tr r="H14" s="22"/>
      </tp>
      <tp t="e">
        <v>#N/A</v>
        <stp/>
        <stp>BDH|17086240221500512756</stp>
        <tr r="L64" s="18"/>
      </tp>
      <tp t="e">
        <v>#N/A</v>
        <stp/>
        <stp>BDH|13956658867402662186</stp>
        <tr r="T31" s="9"/>
      </tp>
      <tp t="e">
        <v>#N/A</v>
        <stp/>
        <stp>BDH|14246041052180681175</stp>
        <tr r="X57" s="24"/>
      </tp>
      <tp t="e">
        <v>#N/A</v>
        <stp/>
        <stp>BDH|15489504125200427205</stp>
        <tr r="G69" s="18"/>
      </tp>
      <tp t="e">
        <v>#N/A</v>
        <stp/>
        <stp>BDH|10291646825855677109</stp>
        <tr r="Z19" s="24"/>
      </tp>
      <tp t="e">
        <v>#N/A</v>
        <stp/>
        <stp>BDH|10592744110006567012</stp>
        <tr r="W68" s="18"/>
      </tp>
      <tp t="e">
        <v>#N/A</v>
        <stp/>
        <stp>BDH|17281454645362638513</stp>
        <tr r="W6" s="28"/>
      </tp>
      <tp t="e">
        <v>#N/A</v>
        <stp/>
        <stp>BDH|11764659244940682351</stp>
        <tr r="G19" s="26"/>
      </tp>
      <tp t="e">
        <v>#N/A</v>
        <stp/>
        <stp>BDH|17838368815153766693</stp>
        <tr r="P67" s="10"/>
      </tp>
      <tp t="e">
        <v>#N/A</v>
        <stp/>
        <stp>BDH|15238077409677854219</stp>
        <tr r="I15" s="12"/>
      </tp>
      <tp t="e">
        <v>#N/A</v>
        <stp/>
        <stp>BDH|13059532952522147158</stp>
        <tr r="S86" s="24"/>
      </tp>
      <tp t="e">
        <v>#N/A</v>
        <stp/>
        <stp>BDH|10380839952884543923</stp>
        <tr r="G14" s="10"/>
      </tp>
      <tp t="e">
        <v>#N/A</v>
        <stp/>
        <stp>BDH|18173804229243483194</stp>
        <tr r="P7" s="11"/>
      </tp>
      <tp t="e">
        <v>#N/A</v>
        <stp/>
        <stp>BDH|10265203782792599807</stp>
        <tr r="Y49" s="21"/>
      </tp>
      <tp t="e">
        <v>#N/A</v>
        <stp/>
        <stp>BDH|11256746557296635521</stp>
        <tr r="J52" s="24"/>
      </tp>
      <tp t="e">
        <v>#N/A</v>
        <stp/>
        <stp>BDH|10205304419306774493</stp>
        <tr r="W39" s="6"/>
      </tp>
      <tp t="e">
        <v>#N/A</v>
        <stp/>
        <stp>BDH|13023339014540744159</stp>
        <tr r="V16" s="18"/>
      </tp>
      <tp t="e">
        <v>#N/A</v>
        <stp/>
        <stp>BDH|18062201355787222820</stp>
        <tr r="Q11" s="17"/>
      </tp>
      <tp t="e">
        <v>#N/A</v>
        <stp/>
        <stp>BDH|18226436485610589448</stp>
        <tr r="W110" s="18"/>
      </tp>
      <tp t="e">
        <v>#N/A</v>
        <stp/>
        <stp>BDH|12065971681281019236</stp>
        <tr r="E23" s="26"/>
      </tp>
      <tp t="e">
        <v>#N/A</v>
        <stp/>
        <stp>BDH|15808199625547846199</stp>
        <tr r="X92" s="18"/>
      </tp>
      <tp t="e">
        <v>#N/A</v>
        <stp/>
        <stp>BDH|14319771225036747735</stp>
        <tr r="T43" s="10"/>
        <tr r="T35" s="11"/>
      </tp>
      <tp t="e">
        <v>#N/A</v>
        <stp/>
        <stp>BDH|12118768543379021819</stp>
        <tr r="M45" s="17"/>
      </tp>
      <tp t="e">
        <v>#N/A</v>
        <stp/>
        <stp>BDH|13420994265025424995</stp>
        <tr r="R14" s="12"/>
      </tp>
      <tp t="e">
        <v>#N/A</v>
        <stp/>
        <stp>BDH|11400169410732183366</stp>
        <tr r="K38" s="34"/>
      </tp>
      <tp t="e">
        <v>#N/A</v>
        <stp/>
        <stp>BDH|14013684729211502111</stp>
        <tr r="L12" s="24"/>
      </tp>
      <tp t="e">
        <v>#N/A</v>
        <stp/>
        <stp>BDH|12110333226607374425</stp>
        <tr r="R20" s="26"/>
      </tp>
      <tp t="e">
        <v>#N/A</v>
        <stp/>
        <stp>BDH|15330312640036113466</stp>
        <tr r="Z49" s="17"/>
      </tp>
      <tp t="e">
        <v>#N/A</v>
        <stp/>
        <stp>BDH|11377743953444926787</stp>
        <tr r="R17" s="18"/>
      </tp>
      <tp t="e">
        <v>#N/A</v>
        <stp/>
        <stp>BDH|10148772016511110747</stp>
        <tr r="U6" s="6"/>
      </tp>
      <tp t="e">
        <v>#N/A</v>
        <stp/>
        <stp>BDH|11954590122841508728</stp>
        <tr r="F70" s="17"/>
      </tp>
      <tp t="e">
        <v>#N/A</v>
        <stp/>
        <stp>BDH|13776044017547649577</stp>
        <tr r="C59" s="13"/>
      </tp>
      <tp t="e">
        <v>#N/A</v>
        <stp/>
        <stp>BDH|10535884239972986983</stp>
        <tr r="J42" s="22"/>
      </tp>
      <tp t="e">
        <v>#N/A</v>
        <stp/>
        <stp>BDH|14033386422432742780</stp>
        <tr r="M31" s="21"/>
      </tp>
      <tp t="e">
        <v>#N/A</v>
        <stp/>
        <stp>BDH|11509530250352253312</stp>
        <tr r="N64" s="17"/>
      </tp>
      <tp t="e">
        <v>#N/A</v>
        <stp/>
        <stp>BDH|17573834747783074847</stp>
        <tr r="E47" s="6"/>
      </tp>
      <tp t="e">
        <v>#N/A</v>
        <stp/>
        <stp>BDH|17478206602104479173</stp>
        <tr r="T16" s="18"/>
      </tp>
      <tp t="e">
        <v>#N/A</v>
        <stp/>
        <stp>BDH|16190643751727784261</stp>
        <tr r="AA16" s="25"/>
      </tp>
      <tp t="e">
        <v>#N/A</v>
        <stp/>
        <stp>BDH|12942834284582864028</stp>
        <tr r="D32" s="6"/>
      </tp>
      <tp t="e">
        <v>#N/A</v>
        <stp/>
        <stp>BDH|10708561361542465109</stp>
        <tr r="M64" s="17"/>
      </tp>
      <tp t="e">
        <v>#N/A</v>
        <stp/>
        <stp>BDH|11383725941193500117</stp>
        <tr r="T26" s="18"/>
      </tp>
      <tp t="e">
        <v>#N/A</v>
        <stp/>
        <stp>BDH|15684131355008608923</stp>
        <tr r="F139" s="18"/>
      </tp>
      <tp t="e">
        <v>#N/A</v>
        <stp/>
        <stp>BDH|15656248867136168700</stp>
        <tr r="J16" s="12"/>
      </tp>
      <tp t="e">
        <v>#N/A</v>
        <stp/>
        <stp>BDH|16198405940530427611</stp>
        <tr r="I91" s="17"/>
        <tr r="I7" s="27"/>
      </tp>
      <tp t="e">
        <v>#N/A</v>
        <stp/>
        <stp>BDH|11906748344192553085</stp>
        <tr r="Q44" s="13"/>
      </tp>
      <tp t="e">
        <v>#N/A</v>
        <stp/>
        <stp>BDH|15117268955664048662</stp>
        <tr r="J52" s="12"/>
      </tp>
      <tp t="e">
        <v>#N/A</v>
        <stp/>
        <stp>BDH|11067249408003131095</stp>
        <tr r="U47" s="21"/>
      </tp>
      <tp t="e">
        <v>#N/A</v>
        <stp/>
        <stp>BDH|12638376212665329549</stp>
        <tr r="L31" s="34"/>
      </tp>
      <tp t="e">
        <v>#N/A</v>
        <stp/>
        <stp>BDH|16948489514973290032</stp>
        <tr r="F18" s="17"/>
      </tp>
      <tp t="e">
        <v>#N/A</v>
        <stp/>
        <stp>BDH|12491020057164433314</stp>
        <tr r="T55" s="24"/>
      </tp>
      <tp t="e">
        <v>#N/A</v>
        <stp/>
        <stp>BDH|11958927909930674803</stp>
        <tr r="Z65" s="24"/>
      </tp>
      <tp t="e">
        <v>#N/A</v>
        <stp/>
        <stp>BDH|14728004906894639032</stp>
        <tr r="W67" s="10"/>
      </tp>
      <tp t="e">
        <v>#N/A</v>
        <stp/>
        <stp>BDH|16814631606818831815</stp>
        <tr r="L38" s="18"/>
      </tp>
      <tp t="e">
        <v>#N/A</v>
        <stp/>
        <stp>BDH|10565766330451584521</stp>
        <tr r="W54" s="12"/>
      </tp>
      <tp t="e">
        <v>#N/A</v>
        <stp/>
        <stp>BDH|16973295802176582237</stp>
        <tr r="J13" s="25"/>
      </tp>
      <tp t="e">
        <v>#N/A</v>
        <stp/>
        <stp>BDH|11201154310585156427</stp>
        <tr r="F35" s="4"/>
      </tp>
      <tp t="e">
        <v>#N/A</v>
        <stp/>
        <stp>BDH|12548648523147486126</stp>
        <tr r="T46" s="34"/>
      </tp>
      <tp t="e">
        <v>#N/A</v>
        <stp/>
        <stp>BDH|14287728507267585469</stp>
        <tr r="X80" s="12"/>
      </tp>
      <tp t="e">
        <v>#N/A</v>
        <stp/>
        <stp>BDH|12263967392016513473</stp>
        <tr r="C29" s="17"/>
      </tp>
      <tp t="e">
        <v>#N/A</v>
        <stp/>
        <stp>BDH|15718178200650057448</stp>
        <tr r="Z34" s="17"/>
      </tp>
      <tp t="e">
        <v>#N/A</v>
        <stp/>
        <stp>BDH|15809980636446561970</stp>
        <tr r="J24" s="9"/>
      </tp>
      <tp t="e">
        <v>#N/A</v>
        <stp/>
        <stp>BDH|10423051609755410587</stp>
        <tr r="G43" s="17"/>
      </tp>
      <tp t="e">
        <v>#N/A</v>
        <stp/>
        <stp>BDH|11370793577256009797</stp>
        <tr r="L16" s="10"/>
      </tp>
      <tp t="e">
        <v>#N/A</v>
        <stp/>
        <stp>BDH|14414739069983207680</stp>
        <tr r="I43" s="22"/>
      </tp>
      <tp t="e">
        <v>#N/A</v>
        <stp/>
        <stp>BDH|12290038353003286448</stp>
        <tr r="P60" s="13"/>
      </tp>
      <tp t="e">
        <v>#N/A</v>
        <stp/>
        <stp>BDH|10526044513260132176</stp>
        <tr r="D21" s="17"/>
        <tr r="D15" s="3"/>
      </tp>
      <tp t="e">
        <v>#N/A</v>
        <stp/>
        <stp>BDH|16594633670587572078</stp>
        <tr r="V13" s="26"/>
      </tp>
      <tp t="e">
        <v>#N/A</v>
        <stp/>
        <stp>BDH|13390394349641480533</stp>
        <tr r="L67" s="18"/>
      </tp>
      <tp t="e">
        <v>#N/A</v>
        <stp/>
        <stp>BDH|13935692934236146010</stp>
        <tr r="O101" s="18"/>
      </tp>
      <tp t="e">
        <v>#N/A</v>
        <stp/>
        <stp>BDH|15518001914337744320</stp>
        <tr r="L44" s="22"/>
      </tp>
      <tp t="e">
        <v>#N/A</v>
        <stp/>
        <stp>BDH|16726524183633675843</stp>
        <tr r="Q50" s="24"/>
      </tp>
      <tp t="e">
        <v>#N/A</v>
        <stp/>
        <stp>BDH|16023519956605718348</stp>
        <tr r="F43" s="17"/>
      </tp>
      <tp t="e">
        <v>#N/A</v>
        <stp/>
        <stp>BDH|10092172934220556217</stp>
        <tr r="O13" s="18"/>
      </tp>
      <tp t="e">
        <v>#N/A</v>
        <stp/>
        <stp>BDH|11007730411804564305</stp>
        <tr r="F18" s="20"/>
      </tp>
      <tp t="e">
        <v>#N/A</v>
        <stp/>
        <stp>BDH|11334205053332690416</stp>
        <tr r="E32" s="9"/>
      </tp>
      <tp t="e">
        <v>#N/A</v>
        <stp/>
        <stp>BDH|16480556429677602692</stp>
        <tr r="K66" s="24"/>
      </tp>
      <tp t="e">
        <v>#N/A</v>
        <stp/>
        <stp>BDH|12397165615220223256</stp>
        <tr r="Q39" s="12"/>
      </tp>
      <tp t="e">
        <v>#N/A</v>
        <stp/>
        <stp>BDH|11071266174560249479</stp>
        <tr r="T21" s="24"/>
      </tp>
      <tp t="e">
        <v>#N/A</v>
        <stp/>
        <stp>BDH|15447157321880316643</stp>
        <tr r="T9" s="22"/>
      </tp>
      <tp t="e">
        <v>#N/A</v>
        <stp/>
        <stp>BDH|14811668011402148191</stp>
        <tr r="P29" s="6"/>
      </tp>
      <tp t="e">
        <v>#N/A</v>
        <stp/>
        <stp>BDH|10097165476665227350</stp>
        <tr r="Y15" s="26"/>
      </tp>
      <tp t="e">
        <v>#N/A</v>
        <stp/>
        <stp>BDH|12569734205146655329</stp>
        <tr r="Q26" s="26"/>
      </tp>
      <tp t="e">
        <v>#N/A</v>
        <stp/>
        <stp>BDH|10107648551856495576</stp>
        <tr r="P18" s="17"/>
      </tp>
      <tp t="e">
        <v>#N/A</v>
        <stp/>
        <stp>BDH|13126076622998606953</stp>
        <tr r="V38" s="24"/>
      </tp>
      <tp t="e">
        <v>#N/A</v>
        <stp/>
        <stp>BDH|15935247943437855416</stp>
        <tr r="U76" s="18"/>
      </tp>
      <tp t="e">
        <v>#N/A</v>
        <stp/>
        <stp>BDH|11518272520485273473</stp>
        <tr r="F62" s="24"/>
      </tp>
      <tp t="e">
        <v>#N/A</v>
        <stp/>
        <stp>BDH|13455230855493014753</stp>
        <tr r="L46" s="21"/>
      </tp>
      <tp t="e">
        <v>#N/A</v>
        <stp/>
        <stp>BDH|10004650082117977995</stp>
        <tr r="V25" s="10"/>
        <tr r="X31" s="13"/>
      </tp>
      <tp t="e">
        <v>#N/A</v>
        <stp/>
        <stp>BDH|16527268023282426438</stp>
        <tr r="D106" s="18"/>
      </tp>
      <tp t="e">
        <v>#N/A</v>
        <stp/>
        <stp>BDH|13685710851500977188</stp>
        <tr r="M29" s="4"/>
      </tp>
      <tp t="e">
        <v>#N/A</v>
        <stp/>
        <stp>BDH|12456147720223263254</stp>
        <tr r="P72" s="10"/>
        <tr r="P64" s="11"/>
      </tp>
      <tp t="e">
        <v>#N/A</v>
        <stp/>
        <stp>BDH|16352979178861348981</stp>
        <tr r="T69" s="12"/>
      </tp>
      <tp t="e">
        <v>#N/A</v>
        <stp/>
        <stp>BDH|12506264311360015157</stp>
        <tr r="F35" s="14"/>
      </tp>
      <tp t="e">
        <v>#N/A</v>
        <stp/>
        <stp>BDH|13059441137571139553</stp>
        <tr r="U8" s="17"/>
      </tp>
      <tp t="e">
        <v>#N/A</v>
        <stp/>
        <stp>BDH|12571448174147089626</stp>
        <tr r="R18" s="18"/>
      </tp>
      <tp t="e">
        <v>#N/A</v>
        <stp/>
        <stp>BDH|14033220543336538433</stp>
        <tr r="N28" s="10"/>
        <tr r="P34" s="13"/>
      </tp>
      <tp t="e">
        <v>#N/A</v>
        <stp/>
        <stp>BDH|10917062405478434893</stp>
        <tr r="U10" s="22"/>
      </tp>
      <tp t="e">
        <v>#N/A</v>
        <stp/>
        <stp>BDH|14083719206655998698</stp>
        <tr r="S15" s="11"/>
      </tp>
      <tp t="e">
        <v>#N/A</v>
        <stp/>
        <stp>BDH|17961016748517424431</stp>
        <tr r="Y8" s="11"/>
      </tp>
      <tp t="e">
        <v>#N/A</v>
        <stp/>
        <stp>BDH|13955787290325518835</stp>
        <tr r="I16" s="12"/>
      </tp>
      <tp t="e">
        <v>#N/A</v>
        <stp/>
        <stp>BDH|18041368790897939582</stp>
        <tr r="L41" s="12"/>
      </tp>
      <tp t="e">
        <v>#N/A</v>
        <stp/>
        <stp>BDH|17319701656793134631</stp>
        <tr r="G14" s="28"/>
      </tp>
      <tp t="e">
        <v>#N/A</v>
        <stp/>
        <stp>BDH|16148992298027004172</stp>
        <tr r="S21" s="22"/>
      </tp>
      <tp t="e">
        <v>#N/A</v>
        <stp/>
        <stp>BDH|18335130874739075728</stp>
        <tr r="Q42" s="34"/>
      </tp>
      <tp t="e">
        <v>#N/A</v>
        <stp/>
        <stp>BDH|16992088043276197451</stp>
        <tr r="E34" s="22"/>
      </tp>
      <tp t="e">
        <v>#N/A</v>
        <stp/>
        <stp>BDH|18299065556435744836</stp>
        <tr r="V37" s="26"/>
      </tp>
      <tp t="e">
        <v>#N/A</v>
        <stp/>
        <stp>BDH|15522005825684285343</stp>
        <tr r="S78" s="12"/>
      </tp>
      <tp t="e">
        <v>#N/A</v>
        <stp/>
        <stp>BDH|11705469229225878265</stp>
        <tr r="R42" s="17"/>
      </tp>
      <tp t="e">
        <v>#N/A</v>
        <stp/>
        <stp>BDH|13699655570702075055</stp>
        <tr r="C28" s="26"/>
      </tp>
      <tp t="e">
        <v>#N/A</v>
        <stp/>
        <stp>BDH|17217313212255590020</stp>
        <tr r="D81" s="17"/>
        <tr r="D20" s="3"/>
      </tp>
      <tp t="e">
        <v>#N/A</v>
        <stp/>
        <stp>BDH|12483353000078649917</stp>
        <tr r="X118" s="18"/>
      </tp>
      <tp t="e">
        <v>#N/A</v>
        <stp/>
        <stp>BDH|18366688636308369583</stp>
        <tr r="I20" s="29"/>
      </tp>
      <tp t="e">
        <v>#N/A</v>
        <stp/>
        <stp>BDH|16108707334072778048</stp>
        <tr r="G56" s="6"/>
      </tp>
      <tp t="e">
        <v>#N/A</v>
        <stp/>
        <stp>BDH|13541552475357197624</stp>
        <tr r="L27" s="21"/>
      </tp>
      <tp t="e">
        <v>#N/A</v>
        <stp/>
        <stp>BDH|14019317076995576540</stp>
        <tr r="W17" s="12"/>
      </tp>
      <tp t="e">
        <v>#N/A</v>
        <stp/>
        <stp>BDH|13207324923375680730</stp>
        <tr r="Y12" s="26"/>
      </tp>
      <tp t="e">
        <v>#N/A</v>
        <stp/>
        <stp>BDH|16357348894409379561</stp>
        <tr r="H7" s="30"/>
      </tp>
      <tp t="e">
        <v>#N/A</v>
        <stp/>
        <stp>BDH|16381152002122073523</stp>
        <tr r="F39" s="26"/>
      </tp>
      <tp t="e">
        <v>#N/A</v>
        <stp/>
        <stp>BDH|12289443551884587744</stp>
        <tr r="U48" s="24"/>
      </tp>
      <tp t="e">
        <v>#N/A</v>
        <stp/>
        <stp>BDH|12612871363284553819</stp>
        <tr r="D21" s="14"/>
      </tp>
      <tp t="e">
        <v>#N/A</v>
        <stp/>
        <stp>BDH|13015453280859168622</stp>
        <tr r="E11" s="3"/>
        <tr r="C50" s="10"/>
        <tr r="C42" s="11"/>
        <tr r="C8" s="7"/>
      </tp>
      <tp t="e">
        <v>#N/A</v>
        <stp/>
        <stp>BDH|17858186424816579272</stp>
        <tr r="Y60" s="12"/>
      </tp>
      <tp t="e">
        <v>#N/A</v>
        <stp/>
        <stp>BDH|14338162304866536327</stp>
        <tr r="Q23" s="30"/>
        <tr r="Q25" s="23"/>
      </tp>
      <tp t="e">
        <v>#N/A</v>
        <stp/>
        <stp>BDH|13078229959312453695</stp>
        <tr r="N52" s="21"/>
      </tp>
      <tp t="e">
        <v>#N/A</v>
        <stp/>
        <stp>BDH|15992218879926640610</stp>
        <tr r="J61" s="17"/>
      </tp>
      <tp t="e">
        <v>#N/A</v>
        <stp/>
        <stp>BDH|16169141753533275129</stp>
        <tr r="Y80" s="18"/>
      </tp>
      <tp t="e">
        <v>#N/A</v>
        <stp/>
        <stp>BDH|13516977984770143216</stp>
        <tr r="R88" s="12"/>
      </tp>
      <tp t="e">
        <v>#N/A</v>
        <stp/>
        <stp>BDH|17219880394403848502</stp>
        <tr r="J22" s="12"/>
      </tp>
      <tp t="e">
        <v>#N/A</v>
        <stp/>
        <stp>BDH|11385300574980105500</stp>
        <tr r="I34" s="5"/>
        <tr r="J32" s="29"/>
      </tp>
      <tp t="e">
        <v>#N/A</v>
        <stp/>
        <stp>BDH|16087904978051994974</stp>
        <tr r="S12" s="26"/>
      </tp>
      <tp t="e">
        <v>#N/A</v>
        <stp/>
        <stp>BDH|10060283434477949634</stp>
        <tr r="U35" s="22"/>
      </tp>
      <tp t="e">
        <v>#N/A</v>
        <stp/>
        <stp>BDH|17481951625979732552</stp>
        <tr r="E40" s="24"/>
      </tp>
      <tp t="e">
        <v>#N/A</v>
        <stp/>
        <stp>BDH|12031605214794297108</stp>
        <tr r="K123" s="18"/>
      </tp>
      <tp t="e">
        <v>#N/A</v>
        <stp/>
        <stp>BDH|10789023763523663568</stp>
        <tr r="Z18" s="23"/>
      </tp>
      <tp t="e">
        <v>#N/A</v>
        <stp/>
        <stp>BDH|16218197811064448282</stp>
        <tr r="X32" s="24"/>
      </tp>
      <tp t="e">
        <v>#N/A</v>
        <stp/>
        <stp>BDH|12671453839312830744</stp>
        <tr r="F8" s="23"/>
      </tp>
      <tp t="e">
        <v>#N/A</v>
        <stp/>
        <stp>BDH|13641710150114439556</stp>
        <tr r="H65" s="24"/>
      </tp>
      <tp t="e">
        <v>#N/A</v>
        <stp/>
        <stp>BDH|16091679531595857680</stp>
        <tr r="F109" s="18"/>
      </tp>
      <tp t="e">
        <v>#N/A</v>
        <stp/>
        <stp>BDH|14081424098478893141</stp>
        <tr r="U36" s="21"/>
      </tp>
      <tp t="e">
        <v>#N/A</v>
        <stp/>
        <stp>BDH|16103043410493052435</stp>
        <tr r="X86" s="12"/>
      </tp>
      <tp t="e">
        <v>#N/A</v>
        <stp/>
        <stp>BDH|15854143239005259214</stp>
        <tr r="L13" s="21"/>
      </tp>
      <tp t="e">
        <v>#N/A</v>
        <stp/>
        <stp>BDH|10959411435270982729</stp>
        <tr r="U30" s="26"/>
      </tp>
      <tp t="e">
        <v>#N/A</v>
        <stp/>
        <stp>BDH|10270642573434203516</stp>
        <tr r="Q61" s="13"/>
      </tp>
      <tp t="e">
        <v>#N/A</v>
        <stp/>
        <stp>BDH|15476797853992073589</stp>
        <tr r="D17" s="21"/>
      </tp>
      <tp t="e">
        <v>#N/A</v>
        <stp/>
        <stp>BDH|17004676596059360147</stp>
        <tr r="U60" s="11"/>
        <tr r="W19" s="23"/>
      </tp>
      <tp t="e">
        <v>#N/A</v>
        <stp/>
        <stp>BDH|16277174207162464502</stp>
        <tr r="H60" s="17"/>
      </tp>
      <tp t="e">
        <v>#N/A</v>
        <stp/>
        <stp>BDH|16139041150075460671</stp>
        <tr r="M7" s="30"/>
      </tp>
      <tp t="e">
        <v>#N/A</v>
        <stp/>
        <stp>BDH|16566396649840150128</stp>
        <tr r="Q79" s="12"/>
      </tp>
      <tp t="e">
        <v>#N/A</v>
        <stp/>
        <stp>BDH|14729730844315077263</stp>
        <tr r="M80" s="24"/>
      </tp>
      <tp t="e">
        <v>#N/A</v>
        <stp/>
        <stp>BDH|16159007209520858667</stp>
        <tr r="W72" s="10"/>
        <tr r="W64" s="11"/>
      </tp>
      <tp t="e">
        <v>#N/A</v>
        <stp/>
        <stp>BDH|12634416944591656330</stp>
        <tr r="X21" s="21"/>
      </tp>
      <tp t="e">
        <v>#N/A</v>
        <stp/>
        <stp>BDH|15518405096120267877</stp>
        <tr r="U88" s="12"/>
      </tp>
      <tp t="e">
        <v>#N/A</v>
        <stp/>
        <stp>BDH|16374314555021437154</stp>
        <tr r="J33" s="21"/>
      </tp>
      <tp t="e">
        <v>#N/A</v>
        <stp/>
        <stp>BDH|15939418043885577080</stp>
        <tr r="AA64" s="17"/>
      </tp>
      <tp t="e">
        <v>#N/A</v>
        <stp/>
        <stp>BDH|17717109467016053669</stp>
        <tr r="T67" s="24"/>
      </tp>
      <tp t="e">
        <v>#N/A</v>
        <stp/>
        <stp>BDH|16041057736741210471</stp>
        <tr r="R21" s="18"/>
      </tp>
      <tp t="e">
        <v>#N/A</v>
        <stp/>
        <stp>BDH|10017536279062358009</stp>
        <tr r="L8" s="4"/>
      </tp>
      <tp t="e">
        <v>#N/A</v>
        <stp/>
        <stp>BDH|18117494030986805997</stp>
        <tr r="N13" s="13"/>
      </tp>
      <tp t="e">
        <v>#N/A</v>
        <stp/>
        <stp>BDH|10325228817426874573</stp>
        <tr r="E21" s="14"/>
      </tp>
      <tp t="e">
        <v>#N/A</v>
        <stp/>
        <stp>BDH|12692926167095865820</stp>
        <tr r="V46" s="18"/>
      </tp>
      <tp t="e">
        <v>#N/A</v>
        <stp/>
        <stp>BDH|10365104484129638089</stp>
        <tr r="Z131" s="18"/>
      </tp>
      <tp t="e">
        <v>#N/A</v>
        <stp/>
        <stp>BDH|12118623362994058687</stp>
        <tr r="F96" s="18"/>
      </tp>
      <tp t="e">
        <v>#N/A</v>
        <stp/>
        <stp>BDH|14911924475758630218</stp>
        <tr r="F12" s="14"/>
      </tp>
      <tp t="e">
        <v>#N/A</v>
        <stp/>
        <stp>BDH|15798829508879483408</stp>
        <tr r="T7" s="24"/>
      </tp>
      <tp t="e">
        <v>#N/A</v>
        <stp/>
        <stp>BDH|14817112925881017652</stp>
        <tr r="AA11" s="28"/>
      </tp>
      <tp t="e">
        <v>#N/A</v>
        <stp/>
        <stp>BDH|10021589242719567865</stp>
        <tr r="AA22" s="30"/>
        <tr r="AA24" s="23"/>
      </tp>
      <tp t="e">
        <v>#N/A</v>
        <stp/>
        <stp>BDH|16228568587618973335</stp>
        <tr r="U24" s="22"/>
      </tp>
      <tp t="e">
        <v>#N/A</v>
        <stp/>
        <stp>BDH|17789530675687035283</stp>
        <tr r="H14" s="4"/>
      </tp>
      <tp t="e">
        <v>#N/A</v>
        <stp/>
        <stp>BDH|12895586967350872166</stp>
        <tr r="P52" s="10"/>
        <tr r="P44" s="11"/>
        <tr r="P15" s="7"/>
      </tp>
      <tp t="e">
        <v>#N/A</v>
        <stp/>
        <stp>BDH|11034077971502898475</stp>
        <tr r="M18" s="25"/>
      </tp>
      <tp t="e">
        <v>#N/A</v>
        <stp/>
        <stp>BDH|12968288442372940635</stp>
        <tr r="E84" s="17"/>
      </tp>
      <tp t="e">
        <v>#N/A</v>
        <stp/>
        <stp>BDH|16874495772062961738</stp>
        <tr r="Z60" s="12"/>
      </tp>
      <tp t="e">
        <v>#N/A</v>
        <stp/>
        <stp>BDH|14121787519980995206</stp>
        <tr r="J27" s="18"/>
      </tp>
      <tp t="e">
        <v>#N/A</v>
        <stp/>
        <stp>BDH|17504314008486571205</stp>
        <tr r="C15" s="12"/>
      </tp>
      <tp t="e">
        <v>#N/A</v>
        <stp/>
        <stp>BDH|17258707452225851017</stp>
        <tr r="U34" s="24"/>
      </tp>
      <tp t="e">
        <v>#N/A</v>
        <stp/>
        <stp>BDH|13573285201240204172</stp>
        <tr r="U17" s="12"/>
      </tp>
      <tp t="e">
        <v>#N/A</v>
        <stp/>
        <stp>BDH|15814149530665497215</stp>
        <tr r="V121" s="18"/>
      </tp>
      <tp t="e">
        <v>#N/A</v>
        <stp/>
        <stp>BDH|11934823123339325223</stp>
        <tr r="D66" s="12"/>
      </tp>
      <tp t="e">
        <v>#N/A</v>
        <stp/>
        <stp>BDH|15857103550307968682</stp>
        <tr r="P32" s="24"/>
      </tp>
      <tp t="e">
        <v>#N/A</v>
        <stp/>
        <stp>BDH|15979482054873444788</stp>
        <tr r="N9" s="23"/>
      </tp>
      <tp t="e">
        <v>#N/A</v>
        <stp/>
        <stp>BDH|11874577727336601072</stp>
        <tr r="F48" s="13"/>
      </tp>
      <tp t="e">
        <v>#N/A</v>
        <stp/>
        <stp>BDH|11093522557613445288</stp>
        <tr r="X130" s="18"/>
      </tp>
      <tp t="e">
        <v>#N/A</v>
        <stp/>
        <stp>BDH|13908776069573933170</stp>
        <tr r="I87" s="24"/>
      </tp>
      <tp t="e">
        <v>#N/A</v>
        <stp/>
        <stp>BDH|17980817476890517826</stp>
        <tr r="N22" s="24"/>
      </tp>
      <tp t="e">
        <v>#N/A</v>
        <stp/>
        <stp>BDH|17158736969140313613</stp>
        <tr r="G76" s="17"/>
        <tr r="G19" s="3"/>
      </tp>
      <tp t="e">
        <v>#N/A</v>
        <stp/>
        <stp>BDH|15833076141472029374</stp>
        <tr r="E7" s="34"/>
      </tp>
      <tp t="e">
        <v>#N/A</v>
        <stp/>
        <stp>BDH|18086654520295404989</stp>
        <tr r="G20" s="10"/>
      </tp>
      <tp t="e">
        <v>#N/A</v>
        <stp/>
        <stp>BDH|12201302060544396389</stp>
        <tr r="O55" s="13"/>
      </tp>
      <tp t="e">
        <v>#N/A</v>
        <stp/>
        <stp>BDH|11346009919951378104</stp>
        <tr r="D59" s="12"/>
      </tp>
      <tp t="e">
        <v>#N/A</v>
        <stp/>
        <stp>BDH|16993059175571708073</stp>
        <tr r="M20" s="24"/>
      </tp>
      <tp t="e">
        <v>#N/A</v>
        <stp/>
        <stp>BDH|11963280153746811036</stp>
        <tr r="T16" s="22"/>
      </tp>
      <tp t="e">
        <v>#N/A</v>
        <stp/>
        <stp>BDH|16409402032470802173</stp>
        <tr r="Q12" s="17"/>
      </tp>
      <tp t="e">
        <v>#N/A</v>
        <stp/>
        <stp>BDH|12016583901047450042</stp>
        <tr r="Q19" s="12"/>
      </tp>
      <tp t="e">
        <v>#N/A</v>
        <stp/>
        <stp>BDH|15105250062798616993</stp>
        <tr r="H21" s="3"/>
      </tp>
      <tp t="e">
        <v>#N/A</v>
        <stp/>
        <stp>BDH|13495692115657004318</stp>
        <tr r="Y86" s="18"/>
      </tp>
      <tp t="e">
        <v>#N/A</v>
        <stp/>
        <stp>BDH|14927438506916532605</stp>
        <tr r="O76" s="24"/>
      </tp>
      <tp t="e">
        <v>#N/A</v>
        <stp/>
        <stp>BDH|13064944889290723236</stp>
        <tr r="F31" s="29"/>
      </tp>
      <tp t="e">
        <v>#N/A</v>
        <stp/>
        <stp>BDH|17546424869714089164</stp>
        <tr r="E64" s="13"/>
      </tp>
      <tp t="e">
        <v>#N/A</v>
        <stp/>
        <stp>BDH|17249996770688393107</stp>
        <tr r="Q25" s="17"/>
      </tp>
      <tp t="e">
        <v>#N/A</v>
        <stp/>
        <stp>BDH|16502389701221023443</stp>
        <tr r="U41" s="17"/>
        <tr r="U9" s="25"/>
      </tp>
      <tp t="e">
        <v>#N/A</v>
        <stp/>
        <stp>BDH|16993229637662087544</stp>
        <tr r="I78" s="24"/>
      </tp>
      <tp t="e">
        <v>#N/A</v>
        <stp/>
        <stp>BDH|15292680521294369507</stp>
        <tr r="D10" s="23"/>
      </tp>
      <tp t="e">
        <v>#N/A</v>
        <stp/>
        <stp>BDH|15727821938397585902</stp>
        <tr r="F61" s="18"/>
      </tp>
      <tp t="e">
        <v>#N/A</v>
        <stp/>
        <stp>BDH|17230420664521956459</stp>
        <tr r="M18" s="6"/>
      </tp>
      <tp t="e">
        <v>#N/A</v>
        <stp/>
        <stp>BDH|13705605969013252049</stp>
        <tr r="F37" s="26"/>
      </tp>
      <tp t="e">
        <v>#N/A</v>
        <stp/>
        <stp>BDH|15819730742076487050</stp>
        <tr r="V16" s="2"/>
        <tr r="V32" s="4"/>
        <tr r="V62" s="10"/>
        <tr r="X19" s="13"/>
      </tp>
      <tp t="e">
        <v>#N/A</v>
        <stp/>
        <stp>BDH|12274687813647663279</stp>
        <tr r="O31" s="29"/>
      </tp>
      <tp t="e">
        <v>#N/A</v>
        <stp/>
        <stp>BDH|10073082173966622157</stp>
        <tr r="T6" s="15"/>
        <tr r="T12" s="2"/>
        <tr r="T11" s="4"/>
        <tr r="T6" s="10"/>
      </tp>
      <tp t="e">
        <v>#N/A</v>
        <stp/>
        <stp>BDH|16290048648414359658</stp>
        <tr r="E70" s="10"/>
        <tr r="E62" s="11"/>
        <tr r="E20" s="7"/>
      </tp>
      <tp t="e">
        <v>#N/A</v>
        <stp/>
        <stp>BDH|12223091440341385700</stp>
        <tr r="T96" s="18"/>
      </tp>
      <tp t="e">
        <v>#N/A</v>
        <stp/>
        <stp>BDH|11033040760500495787</stp>
        <tr r="AA18" s="20"/>
      </tp>
      <tp t="e">
        <v>#N/A</v>
        <stp/>
        <stp>BDH|13991925149439828725</stp>
        <tr r="H10" s="23"/>
      </tp>
      <tp t="e">
        <v>#N/A</v>
        <stp/>
        <stp>BDH|11984600872198160820</stp>
        <tr r="AA45" s="13"/>
      </tp>
      <tp t="e">
        <v>#N/A</v>
        <stp/>
        <stp>BDH|14312740271811601586</stp>
        <tr r="F26" s="24"/>
      </tp>
      <tp t="e">
        <v>#N/A</v>
        <stp/>
        <stp>BDH|10360334324388494986</stp>
        <tr r="O64" s="13"/>
      </tp>
      <tp t="e">
        <v>#N/A</v>
        <stp/>
        <stp>BDH|17346812831214810838</stp>
        <tr r="P69" s="18"/>
      </tp>
      <tp t="e">
        <v>#N/A</v>
        <stp/>
        <stp>BDH|17153341341893867347</stp>
        <tr r="S35" s="14"/>
      </tp>
      <tp t="e">
        <v>#N/A</v>
        <stp/>
        <stp>BDH|15930258623756189369</stp>
        <tr r="C32" s="6"/>
      </tp>
      <tp t="e">
        <v>#N/A</v>
        <stp/>
        <stp>BDH|17118966796796842119</stp>
        <tr r="P16" s="25"/>
      </tp>
      <tp t="e">
        <v>#N/A</v>
        <stp/>
        <stp>BDH|16503761738974313604</stp>
        <tr r="V33" s="10"/>
        <tr r="V25" s="11"/>
      </tp>
      <tp t="e">
        <v>#N/A</v>
        <stp/>
        <stp>BDH|13414789634874196314</stp>
        <tr r="I22" s="30"/>
        <tr r="I24" s="23"/>
      </tp>
      <tp t="e">
        <v>#N/A</v>
        <stp/>
        <stp>BDH|11850349733356230750</stp>
        <tr r="M17" s="20"/>
      </tp>
      <tp t="e">
        <v>#N/A</v>
        <stp/>
        <stp>BDH|16371691400214578470</stp>
        <tr r="C90" s="12"/>
      </tp>
      <tp t="e">
        <v>#N/A</v>
        <stp/>
        <stp>BDH|17114306040161046190</stp>
        <tr r="O16" s="11"/>
      </tp>
      <tp t="e">
        <v>#N/A</v>
        <stp/>
        <stp>BDH|12597640215314893141</stp>
        <tr r="Q9" s="11"/>
      </tp>
      <tp t="e">
        <v>#N/A</v>
        <stp/>
        <stp>BDH|14675328725530902508</stp>
        <tr r="I93" s="18"/>
      </tp>
      <tp t="e">
        <v>#N/A</v>
        <stp/>
        <stp>BDH|10863313839653937311</stp>
        <tr r="Q25" s="13"/>
      </tp>
      <tp t="e">
        <v>#N/A</v>
        <stp/>
        <stp>BDH|14668850454569763084</stp>
        <tr r="C18" s="24"/>
      </tp>
      <tp t="e">
        <v>#N/A</v>
        <stp/>
        <stp>BDH|15606631125398018982</stp>
        <tr r="S24" s="18"/>
      </tp>
      <tp t="e">
        <v>#N/A</v>
        <stp/>
        <stp>BDH|12760498804775792350</stp>
        <tr r="F33" s="5"/>
      </tp>
      <tp t="e">
        <v>#N/A</v>
        <stp/>
        <stp>BDH|11494951605898927052</stp>
        <tr r="W58" s="17"/>
      </tp>
      <tp t="e">
        <v>#N/A</v>
        <stp/>
        <stp>BDH|10658789352936757430</stp>
        <tr r="H55" s="18"/>
      </tp>
      <tp t="e">
        <v>#N/A</v>
        <stp/>
        <stp>BDH|10136181604017438611</stp>
        <tr r="K56" s="18"/>
      </tp>
      <tp t="e">
        <v>#N/A</v>
        <stp/>
        <stp>BDH|17279320190158155593</stp>
        <tr r="M10" s="4"/>
        <tr r="L6" s="16"/>
        <tr r="O6" s="3"/>
        <tr r="M6" s="11"/>
      </tp>
      <tp t="e">
        <v>#N/A</v>
        <stp/>
        <stp>BDH|15749195801757764300</stp>
        <tr r="M57" s="12"/>
      </tp>
      <tp t="e">
        <v>#N/A</v>
        <stp/>
        <stp>BDH|17153224149069186839</stp>
        <tr r="I19" s="24"/>
      </tp>
      <tp t="e">
        <v>#N/A</v>
        <stp/>
        <stp>BDH|10809237723088269826</stp>
        <tr r="N7" s="28"/>
      </tp>
      <tp t="e">
        <v>#N/A</v>
        <stp/>
        <stp>BDH|18129783089254105394</stp>
        <tr r="K9" s="14"/>
      </tp>
      <tp t="e">
        <v>#N/A</v>
        <stp/>
        <stp>BDH|14272282341582157023</stp>
        <tr r="F36" s="12"/>
      </tp>
      <tp t="e">
        <v>#N/A</v>
        <stp/>
        <stp>BDH|17848654769080409786</stp>
        <tr r="I39" s="22"/>
      </tp>
      <tp t="e">
        <v>#N/A</v>
        <stp/>
        <stp>BDH|16818619808409892910</stp>
        <tr r="T107" s="18"/>
      </tp>
      <tp t="e">
        <v>#N/A</v>
        <stp/>
        <stp>BDH|10454853252355998828</stp>
        <tr r="T58" s="21"/>
        <tr r="T37" s="25"/>
        <tr r="R31" s="4"/>
        <tr r="R54" s="11"/>
      </tp>
      <tp t="e">
        <v>#N/A</v>
        <stp/>
        <stp>BDH|14701194215682150623</stp>
        <tr r="AA62" s="24"/>
      </tp>
      <tp t="e">
        <v>#N/A</v>
        <stp/>
        <stp>BDH|10344192533950692272</stp>
        <tr r="K54" s="18"/>
      </tp>
      <tp t="e">
        <v>#N/A</v>
        <stp/>
        <stp>BDH|15372229727841912473</stp>
        <tr r="X7" s="8"/>
      </tp>
      <tp t="e">
        <v>#N/A</v>
        <stp/>
        <stp>BDH|15996103163782817097</stp>
        <tr r="P23" s="17"/>
      </tp>
      <tp t="e">
        <v>#N/A</v>
        <stp/>
        <stp>BDH|16484825898042770520</stp>
        <tr r="Z120" s="18"/>
      </tp>
      <tp t="e">
        <v>#N/A</v>
        <stp/>
        <stp>BDH|15088367999347140852</stp>
        <tr r="V40" s="17"/>
      </tp>
      <tp t="e">
        <v>#N/A</v>
        <stp/>
        <stp>BDH|16708144880368940719</stp>
        <tr r="T12" s="26"/>
      </tp>
      <tp t="e">
        <v>#N/A</v>
        <stp/>
        <stp>BDH|10397091403881680141</stp>
        <tr r="G15" s="26"/>
      </tp>
      <tp t="e">
        <v>#N/A</v>
        <stp/>
        <stp>BDH|14927419808805334589</stp>
        <tr r="U22" s="17"/>
      </tp>
      <tp t="e">
        <v>#N/A</v>
        <stp/>
        <stp>BDH|12230198653407331105</stp>
        <tr r="Y56" s="24"/>
      </tp>
      <tp t="e">
        <v>#N/A</v>
        <stp/>
        <stp>BDH|14871115002935945096</stp>
        <tr r="S9" s="3"/>
        <tr r="Q51" s="10"/>
        <tr r="Q43" s="11"/>
        <tr r="Q14" s="7"/>
      </tp>
      <tp t="e">
        <v>#N/A</v>
        <stp/>
        <stp>BDH|11847166943104731018</stp>
        <tr r="D20" s="17"/>
      </tp>
      <tp t="e">
        <v>#N/A</v>
        <stp/>
        <stp>BDH|13476195048512973478</stp>
        <tr r="I52" s="6"/>
        <tr r="K9" s="8"/>
      </tp>
      <tp t="e">
        <v>#N/A</v>
        <stp/>
        <stp>BDH|14041395194127197976</stp>
        <tr r="E35" s="26"/>
      </tp>
      <tp t="e">
        <v>#N/A</v>
        <stp/>
        <stp>BDH|12730771561757834429</stp>
        <tr r="N40" s="34"/>
      </tp>
      <tp t="e">
        <v>#N/A</v>
        <stp/>
        <stp>BDH|15987854757771643960</stp>
        <tr r="H8" s="23"/>
      </tp>
      <tp t="e">
        <v>#N/A</v>
        <stp/>
        <stp>BDH|13533699026643064415</stp>
        <tr r="X63" s="13"/>
      </tp>
      <tp t="e">
        <v>#N/A</v>
        <stp/>
        <stp>BDH|15552026634106057089</stp>
        <tr r="I86" s="17"/>
      </tp>
      <tp t="e">
        <v>#N/A</v>
        <stp/>
        <stp>BDH|12735680977040596367</stp>
        <tr r="C50" s="13"/>
      </tp>
      <tp t="e">
        <v>#N/A</v>
        <stp/>
        <stp>BDH|11216553488485233968</stp>
        <tr r="U7" s="6"/>
      </tp>
      <tp t="e">
        <v>#N/A</v>
        <stp/>
        <stp>BDH|10584361870526846205</stp>
        <tr r="L9" s="22"/>
      </tp>
      <tp t="e">
        <v>#N/A</v>
        <stp/>
        <stp>BDH|14110799780592735942</stp>
        <tr r="U61" s="17"/>
      </tp>
      <tp t="e">
        <v>#N/A</v>
        <stp/>
        <stp>BDH|10938474656261319008</stp>
        <tr r="M14" s="12"/>
      </tp>
      <tp t="e">
        <v>#N/A</v>
        <stp/>
        <stp>BDH|17097122482726366889</stp>
        <tr r="S69" s="24"/>
      </tp>
      <tp t="e">
        <v>#N/A</v>
        <stp/>
        <stp>BDH|11176386529858230899</stp>
        <tr r="Q6" s="19"/>
        <tr r="Q35" s="17"/>
        <tr r="Q16" s="3"/>
      </tp>
      <tp t="e">
        <v>#N/A</v>
        <stp/>
        <stp>BDH|15141963562179745391</stp>
        <tr r="N39" s="10"/>
        <tr r="N31" s="11"/>
      </tp>
      <tp t="e">
        <v>#N/A</v>
        <stp/>
        <stp>BDH|15341771474221314485</stp>
        <tr r="L87" s="17"/>
      </tp>
      <tp t="e">
        <v>#N/A</v>
        <stp/>
        <stp>BDH|14671501308373419216</stp>
        <tr r="P113" s="18"/>
      </tp>
      <tp t="e">
        <v>#N/A</v>
        <stp/>
        <stp>BDH|17991258201953389652</stp>
        <tr r="L17" s="17"/>
        <tr r="L20" s="28"/>
      </tp>
      <tp t="e">
        <v>#N/A</v>
        <stp/>
        <stp>BDH|13984099346393974447</stp>
        <tr r="P49" s="24"/>
      </tp>
      <tp t="e">
        <v>#N/A</v>
        <stp/>
        <stp>BDH|11564221050625416382</stp>
        <tr r="K121" s="18"/>
      </tp>
      <tp t="e">
        <v>#N/A</v>
        <stp/>
        <stp>BDH|16152342679641303343</stp>
        <tr r="O11" s="17"/>
      </tp>
      <tp t="e">
        <v>#N/A</v>
        <stp/>
        <stp>BDH|10459539147503385280</stp>
        <tr r="Z59" s="12"/>
      </tp>
      <tp t="e">
        <v>#N/A</v>
        <stp/>
        <stp>BDH|17469347274460866372</stp>
        <tr r="X35" s="22"/>
      </tp>
      <tp t="e">
        <v>#N/A</v>
        <stp/>
        <stp>BDH|15932457753110310475</stp>
        <tr r="Y37" s="12"/>
      </tp>
      <tp t="e">
        <v>#N/A</v>
        <stp/>
        <stp>BDH|16176584115495378741</stp>
        <tr r="X13" s="18"/>
      </tp>
      <tp t="e">
        <v>#N/A</v>
        <stp/>
        <stp>BDH|12542176636782763283</stp>
        <tr r="P112" s="18"/>
      </tp>
      <tp t="e">
        <v>#N/A</v>
        <stp/>
        <stp>BDH|10556106274046869025</stp>
        <tr r="C12" s="11"/>
      </tp>
      <tp t="e">
        <v>#N/A</v>
        <stp/>
        <stp>BDH|18335130881219245885</stp>
        <tr r="V13" s="24"/>
      </tp>
      <tp t="e">
        <v>#N/A</v>
        <stp/>
        <stp>BDH|10741593716484529061</stp>
        <tr r="Y53" s="24"/>
      </tp>
      <tp t="e">
        <v>#N/A</v>
        <stp/>
        <stp>BDH|17198653811586895661</stp>
        <tr r="J68" s="17"/>
      </tp>
      <tp t="e">
        <v>#N/A</v>
        <stp/>
        <stp>BDH|17600442988112865992</stp>
        <tr r="P24" s="12"/>
      </tp>
      <tp t="e">
        <v>#N/A</v>
        <stp/>
        <stp>BDH|13328618832594900228</stp>
        <tr r="E25" s="34"/>
      </tp>
      <tp t="e">
        <v>#N/A</v>
        <stp/>
        <stp>BDH|15732557379394090309</stp>
        <tr r="Q15" s="17"/>
        <tr r="Q18" s="28"/>
      </tp>
      <tp t="e">
        <v>#N/A</v>
        <stp/>
        <stp>BDH|11042864894575061595</stp>
        <tr r="X27" s="18"/>
      </tp>
      <tp t="e">
        <v>#N/A</v>
        <stp/>
        <stp>BDH|16568080406372236423</stp>
        <tr r="V70" s="24"/>
      </tp>
      <tp t="e">
        <v>#N/A</v>
        <stp/>
        <stp>BDH|10015462319167059242</stp>
        <tr r="Y59" s="17"/>
      </tp>
      <tp t="e">
        <v>#N/A</v>
        <stp/>
        <stp>BDH|12632122778495466136</stp>
        <tr r="T35" s="18"/>
      </tp>
      <tp t="e">
        <v>#N/A</v>
        <stp/>
        <stp>BDH|14615930390113975772</stp>
        <tr r="V19" s="22"/>
      </tp>
      <tp t="e">
        <v>#N/A</v>
        <stp/>
        <stp>BDH|14379620723530917007</stp>
        <tr r="H14" s="6"/>
      </tp>
      <tp t="e">
        <v>#N/A</v>
        <stp/>
        <stp>BDH|17033407338246071635</stp>
        <tr r="AA88" s="24"/>
      </tp>
      <tp t="e">
        <v>#N/A</v>
        <stp/>
        <stp>BDH|11110231699463877998</stp>
        <tr r="O12" s="22"/>
      </tp>
      <tp t="e">
        <v>#N/A</v>
        <stp/>
        <stp>BDH|12493494736084504147</stp>
        <tr r="W53" s="18"/>
      </tp>
      <tp t="e">
        <v>#N/A</v>
        <stp/>
        <stp>BDH|15257647876855905133</stp>
        <tr r="Q34" s="22"/>
      </tp>
      <tp t="e">
        <v>#N/A</v>
        <stp/>
        <stp>BDH|11847528929014857210</stp>
        <tr r="O56" s="6"/>
      </tp>
      <tp t="e">
        <v>#N/A</v>
        <stp/>
        <stp>BDH|15273743579172352769</stp>
        <tr r="K11" s="28"/>
      </tp>
      <tp t="e">
        <v>#N/A</v>
        <stp/>
        <stp>BDH|12270267012016413788</stp>
        <tr r="X34" s="12"/>
      </tp>
      <tp t="e">
        <v>#N/A</v>
        <stp/>
        <stp>BDH|12911638821215513342</stp>
        <tr r="F13" s="18"/>
      </tp>
      <tp t="e">
        <v>#N/A</v>
        <stp/>
        <stp>BDH|10876156146846556344</stp>
        <tr r="J30" s="26"/>
      </tp>
      <tp t="e">
        <v>#N/A</v>
        <stp/>
        <stp>BDH|15759721959325672208</stp>
        <tr r="K30" s="12"/>
      </tp>
      <tp t="e">
        <v>#N/A</v>
        <stp/>
        <stp>BDH|10123449458294351542</stp>
        <tr r="T29" s="34"/>
      </tp>
      <tp t="e">
        <v>#N/A</v>
        <stp/>
        <stp>BDH|10047884986445320578</stp>
        <tr r="X112" s="18"/>
      </tp>
      <tp t="e">
        <v>#N/A</v>
        <stp/>
        <stp>BDH|14117597300375139438</stp>
        <tr r="E24" s="12"/>
      </tp>
      <tp t="e">
        <v>#N/A</v>
        <stp/>
        <stp>BDH|11186248427705936418</stp>
        <tr r="Z59" s="17"/>
      </tp>
      <tp t="e">
        <v>#N/A</v>
        <stp/>
        <stp>BDH|10452404479446190560</stp>
        <tr r="R10" s="17"/>
      </tp>
      <tp t="e">
        <v>#N/A</v>
        <stp/>
        <stp>BDH|10508935696428320890</stp>
        <tr r="C85" s="18"/>
      </tp>
      <tp t="e">
        <v>#N/A</v>
        <stp/>
        <stp>BDH|12760747344360459194</stp>
        <tr r="I81" s="17"/>
        <tr r="I20" s="3"/>
        <tr r="G6" s="7"/>
      </tp>
      <tp t="e">
        <v>#N/A</v>
        <stp/>
        <stp>BDH|12642033022432949244</stp>
        <tr r="D128" s="18"/>
      </tp>
      <tp t="e">
        <v>#N/A</v>
        <stp/>
        <stp>BDH|17234782845792426617</stp>
        <tr r="F102" s="18"/>
      </tp>
      <tp t="e">
        <v>#N/A</v>
        <stp/>
        <stp>BDH|18266430827446442884</stp>
        <tr r="E10" s="2"/>
        <tr r="D11" s="5"/>
        <tr r="D55" s="6"/>
        <tr r="E33" s="29"/>
        <tr r="E42" s="29"/>
      </tp>
      <tp t="e">
        <v>#N/A</v>
        <stp/>
        <stp>BDH|11880348692403026844</stp>
        <tr r="W32" s="10"/>
        <tr r="W24" s="11"/>
      </tp>
      <tp t="e">
        <v>#N/A</v>
        <stp/>
        <stp>BDH|13404561753063836030</stp>
        <tr r="J34" s="5"/>
        <tr r="K32" s="29"/>
      </tp>
      <tp t="e">
        <v>#N/A</v>
        <stp/>
        <stp>BDH|10834061846734362012</stp>
        <tr r="T16" s="23"/>
      </tp>
      <tp t="e">
        <v>#N/A</v>
        <stp/>
        <stp>BDH|13561561276532909363</stp>
        <tr r="C134" s="18"/>
      </tp>
      <tp t="e">
        <v>#N/A</v>
        <stp/>
        <stp>BDH|14996121747904039563</stp>
        <tr r="M41" s="24"/>
      </tp>
      <tp t="e">
        <v>#N/A</v>
        <stp/>
        <stp>BDH|17404781963146487018</stp>
        <tr r="U53" s="18"/>
      </tp>
      <tp t="e">
        <v>#N/A</v>
        <stp/>
        <stp>BDH|15258076598025454936</stp>
        <tr r="O9" s="21"/>
      </tp>
      <tp t="e">
        <v>#N/A</v>
        <stp/>
        <stp>BDH|16930043211210168774</stp>
        <tr r="S45" s="34"/>
      </tp>
      <tp t="e">
        <v>#N/A</v>
        <stp/>
        <stp>BDH|13427714538507557026</stp>
        <tr r="S65" s="24"/>
      </tp>
      <tp t="e">
        <v>#N/A</v>
        <stp/>
        <stp>BDH|13683583011885308263</stp>
        <tr r="F52" s="12"/>
      </tp>
      <tp t="e">
        <v>#N/A</v>
        <stp/>
        <stp>BDH|11400623632214827064</stp>
        <tr r="Y24" s="2"/>
      </tp>
      <tp t="e">
        <v>#N/A</v>
        <stp/>
        <stp>BDH|16333906720428976501</stp>
        <tr r="J59" s="13"/>
      </tp>
      <tp t="e">
        <v>#N/A</v>
        <stp/>
        <stp>BDH|15529435988141763836</stp>
        <tr r="N32" s="10"/>
        <tr r="N24" s="11"/>
      </tp>
      <tp t="e">
        <v>#N/A</v>
        <stp/>
        <stp>BDH|12545086464913464779</stp>
        <tr r="L130" s="18"/>
      </tp>
      <tp t="e">
        <v>#N/A</v>
        <stp/>
        <stp>BDH|18248591986994005107</stp>
        <tr r="H13" s="26"/>
      </tp>
      <tp t="e">
        <v>#N/A</v>
        <stp/>
        <stp>BDH|18015476680666999233</stp>
        <tr r="M8" s="34"/>
      </tp>
      <tp t="e">
        <v>#N/A</v>
        <stp/>
        <stp>BDH|12571555235781990517</stp>
        <tr r="C13" s="7"/>
      </tp>
      <tp t="e">
        <v>#N/A</v>
        <stp/>
        <stp>BDH|15049386987727682946</stp>
        <tr r="M26" s="10"/>
        <tr r="O32" s="13"/>
      </tp>
      <tp t="e">
        <v>#N/A</v>
        <stp/>
        <stp>BDH|13513715928475994383</stp>
        <tr r="K21" s="4"/>
      </tp>
      <tp t="e">
        <v>#N/A</v>
        <stp/>
        <stp>BDH|16180511647134927330</stp>
        <tr r="C37" s="21"/>
        <tr r="C24" s="3"/>
      </tp>
      <tp t="e">
        <v>#N/A</v>
        <stp/>
        <stp>BDH|10193087246222124636</stp>
        <tr r="Y14" s="21"/>
      </tp>
      <tp t="e">
        <v>#N/A</v>
        <stp/>
        <stp>BDH|12697197869250873534</stp>
        <tr r="L20" s="17"/>
      </tp>
      <tp t="e">
        <v>#N/A</v>
        <stp/>
        <stp>BDH|13490338688381345918</stp>
        <tr r="K53" s="12"/>
      </tp>
      <tp t="e">
        <v>#N/A</v>
        <stp/>
        <stp>BDH|16142768158040588479</stp>
        <tr r="O11" s="6"/>
      </tp>
      <tp t="e">
        <v>#N/A</v>
        <stp/>
        <stp>BDH|12306794022997506000</stp>
        <tr r="V25" s="7"/>
      </tp>
      <tp t="e">
        <v>#N/A</v>
        <stp/>
        <stp>BDH|12831039086842860889</stp>
        <tr r="K16" s="2"/>
        <tr r="K32" s="4"/>
        <tr r="K62" s="10"/>
        <tr r="M19" s="13"/>
      </tp>
      <tp t="e">
        <v>#N/A</v>
        <stp/>
        <stp>BDH|16093387353283367356</stp>
        <tr r="K73" s="17"/>
      </tp>
      <tp t="e">
        <v>#N/A</v>
        <stp/>
        <stp>BDH|14722733609930319335</stp>
        <tr r="N137" s="18"/>
      </tp>
      <tp t="e">
        <v>#N/A</v>
        <stp/>
        <stp>BDH|18131271988872048032</stp>
        <tr r="O26" s="26"/>
      </tp>
      <tp t="e">
        <v>#N/A</v>
        <stp/>
        <stp>BDH|14572772097792155895</stp>
        <tr r="G23" s="23"/>
      </tp>
      <tp t="e">
        <v>#N/A</v>
        <stp/>
        <stp>BDH|10335161521634914707</stp>
        <tr r="AA38" s="18"/>
      </tp>
      <tp t="e">
        <v>#N/A</v>
        <stp/>
        <stp>BDH|16798354890674815878</stp>
        <tr r="T51" s="17"/>
        <tr r="T17" s="3"/>
      </tp>
      <tp t="e">
        <v>#N/A</v>
        <stp/>
        <stp>BDH|11745602263027939604</stp>
        <tr r="G18" s="6"/>
      </tp>
      <tp t="e">
        <v>#N/A</v>
        <stp/>
        <stp>BDH|16350788816148695864</stp>
        <tr r="N61" s="12"/>
      </tp>
      <tp t="e">
        <v>#N/A</v>
        <stp/>
        <stp>BDH|12912036017951972298</stp>
        <tr r="V45" s="4"/>
        <tr r="V31" s="10"/>
        <tr r="V23" s="11"/>
        <tr r="X30" s="13"/>
      </tp>
      <tp t="e">
        <v>#N/A</v>
        <stp/>
        <stp>BDH|14357251969264276401</stp>
        <tr r="C43" s="22"/>
      </tp>
      <tp t="e">
        <v>#N/A</v>
        <stp/>
        <stp>BDH|14857532316037533753</stp>
        <tr r="R90" s="17"/>
      </tp>
      <tp t="e">
        <v>#N/A</v>
        <stp/>
        <stp>BDH|11847166448326957221</stp>
        <tr r="U12" s="25"/>
      </tp>
      <tp t="e">
        <v>#N/A</v>
        <stp/>
        <stp>BDH|12677975899223067152</stp>
        <tr r="Q75" s="17"/>
        <tr r="N9" s="5"/>
        <tr r="N9" s="9"/>
      </tp>
      <tp t="e">
        <v>#N/A</v>
        <stp/>
        <stp>BDH|14433246095207846807</stp>
        <tr r="E17" s="9"/>
      </tp>
      <tp t="e">
        <v>#N/A</v>
        <stp/>
        <stp>BDH|11722879383905817478</stp>
        <tr r="Y65" s="21"/>
      </tp>
      <tp t="e">
        <v>#N/A</v>
        <stp/>
        <stp>BDH|17249470538891601176</stp>
        <tr r="O46" s="22"/>
      </tp>
      <tp t="e">
        <v>#N/A</v>
        <stp/>
        <stp>BDH|15252216443337998450</stp>
        <tr r="H77" s="18"/>
      </tp>
      <tp t="e">
        <v>#N/A</v>
        <stp/>
        <stp>BDH|10713668489156048845</stp>
        <tr r="W46" s="4"/>
        <tr r="W23" s="10"/>
        <tr r="Y37" s="13"/>
      </tp>
      <tp t="e">
        <v>#N/A</v>
        <stp/>
        <stp>BDH|17658507544195794393</stp>
        <tr r="N51" s="24"/>
      </tp>
      <tp t="e">
        <v>#N/A</v>
        <stp/>
        <stp>BDH|14005438232233856056</stp>
        <tr r="U10" s="17"/>
      </tp>
      <tp t="e">
        <v>#N/A</v>
        <stp/>
        <stp>BDH|13995147501280505253</stp>
        <tr r="D96" s="18"/>
      </tp>
      <tp t="e">
        <v>#N/A</v>
        <stp/>
        <stp>BDH|13511183967967600305</stp>
        <tr r="W23" s="22"/>
      </tp>
      <tp t="e">
        <v>#N/A</v>
        <stp/>
        <stp>BDH|12836199517587820523</stp>
        <tr r="V24" s="13"/>
      </tp>
      <tp t="e">
        <v>#N/A</v>
        <stp/>
        <stp>BDH|17259216342969959841</stp>
        <tr r="X46" s="17"/>
      </tp>
      <tp t="e">
        <v>#N/A</v>
        <stp/>
        <stp>BDH|10677974019448414008</stp>
        <tr r="F27" s="25"/>
        <tr r="F13" s="27"/>
      </tp>
      <tp t="e">
        <v>#N/A</v>
        <stp/>
        <stp>BDH|17701058058410462224</stp>
        <tr r="L39" s="10"/>
        <tr r="L31" s="11"/>
      </tp>
      <tp t="e">
        <v>#N/A</v>
        <stp/>
        <stp>BDH|12386381826593189009</stp>
        <tr r="U67" s="17"/>
        <tr r="R8" s="5"/>
        <tr r="R8" s="9"/>
      </tp>
      <tp t="e">
        <v>#N/A</v>
        <stp/>
        <stp>BDH|16132682147705090122</stp>
        <tr r="X14" s="6"/>
      </tp>
      <tp t="e">
        <v>#N/A</v>
        <stp/>
        <stp>BDH|11040425829667328046</stp>
        <tr r="Z66" s="17"/>
        <tr r="Z18" s="3"/>
      </tp>
      <tp t="e">
        <v>#N/A</v>
        <stp/>
        <stp>BDH|10269142768117703057</stp>
        <tr r="E59" s="17"/>
      </tp>
      <tp t="e">
        <v>#N/A</v>
        <stp/>
        <stp>BDH|11321639336894827023</stp>
        <tr r="E34" s="18"/>
      </tp>
      <tp t="e">
        <v>#N/A</v>
        <stp/>
        <stp>BDH|10557617071175930402</stp>
        <tr r="G21" s="4"/>
      </tp>
      <tp t="e">
        <v>#N/A</v>
        <stp/>
        <stp>BDH|13486782510907869284</stp>
        <tr r="X12" s="14"/>
      </tp>
      <tp t="e">
        <v>#N/A</v>
        <stp/>
        <stp>BDH|17155548622146944629</stp>
        <tr r="Y23" s="22"/>
      </tp>
      <tp t="e">
        <v>#N/A</v>
        <stp/>
        <stp>BDH|15279480720754549734</stp>
        <tr r="R107" s="18"/>
      </tp>
      <tp t="e">
        <v>#N/A</v>
        <stp/>
        <stp>BDH|10752153520206721591</stp>
        <tr r="E28" s="6"/>
      </tp>
      <tp t="e">
        <v>#N/A</v>
        <stp/>
        <stp>BDH|13989693561062443199</stp>
        <tr r="M28" s="10"/>
        <tr r="O34" s="13"/>
      </tp>
      <tp t="e">
        <v>#N/A</v>
        <stp/>
        <stp>BDH|16113083060024008454</stp>
        <tr r="O55" s="12"/>
      </tp>
      <tp t="e">
        <v>#N/A</v>
        <stp/>
        <stp>BDH|15336944832589162682</stp>
        <tr r="Q75" s="24"/>
      </tp>
      <tp t="e">
        <v>#N/A</v>
        <stp/>
        <stp>BDH|14621142096078116497</stp>
        <tr r="AA36" s="12"/>
      </tp>
      <tp t="e">
        <v>#N/A</v>
        <stp/>
        <stp>BDH|14646414514235610495</stp>
        <tr r="Q17" s="23"/>
      </tp>
      <tp t="e">
        <v>#N/A</v>
        <stp/>
        <stp>BDH|15025250769124950590</stp>
        <tr r="H62" s="17"/>
      </tp>
      <tp t="e">
        <v>#N/A</v>
        <stp/>
        <stp>BDH|12349093078632816765</stp>
        <tr r="Q71" s="18"/>
      </tp>
      <tp t="e">
        <v>#N/A</v>
        <stp/>
        <stp>BDH|11427565118647124276</stp>
        <tr r="H51" s="12"/>
      </tp>
      <tp t="e">
        <v>#N/A</v>
        <stp/>
        <stp>BDH|11995452808334198194</stp>
        <tr r="L107" s="18"/>
      </tp>
      <tp t="e">
        <v>#N/A</v>
        <stp/>
        <stp>BDH|12064182349431945641</stp>
        <tr r="O81" s="24"/>
      </tp>
      <tp t="e">
        <v>#N/A</v>
        <stp/>
        <stp>BDH|17671419510813806133</stp>
        <tr r="H57" s="17"/>
      </tp>
      <tp t="e">
        <v>#N/A</v>
        <stp/>
        <stp>BDH|12099634448300739036</stp>
        <tr r="AA46" s="22"/>
      </tp>
      <tp t="e">
        <v>#N/A</v>
        <stp/>
        <stp>BDH|17964771096441384840</stp>
        <tr r="P53" s="6"/>
        <tr r="R10" s="8"/>
      </tp>
      <tp t="e">
        <v>#N/A</v>
        <stp/>
        <stp>BDH|15514025957253859378</stp>
        <tr r="H6" s="6"/>
      </tp>
      <tp t="e">
        <v>#N/A</v>
        <stp/>
        <stp>BDH|13889075868305809004</stp>
        <tr r="P25" s="7"/>
      </tp>
      <tp t="e">
        <v>#N/A</v>
        <stp/>
        <stp>BDH|15965262170429520958</stp>
        <tr r="G43" s="6"/>
      </tp>
      <tp t="e">
        <v>#N/A</v>
        <stp/>
        <stp>BDH|18236315799524490610</stp>
        <tr r="F54" s="12"/>
      </tp>
      <tp t="e">
        <v>#N/A</v>
        <stp/>
        <stp>BDH|12474309202774800510</stp>
        <tr r="Z72" s="18"/>
      </tp>
      <tp t="e">
        <v>#N/A</v>
        <stp/>
        <stp>BDH|16195748585141819879</stp>
        <tr r="U53" s="6"/>
        <tr r="W10" s="8"/>
      </tp>
      <tp t="e">
        <v>#N/A</v>
        <stp/>
        <stp>BDH|14229712050012904458</stp>
        <tr r="O136" s="18"/>
      </tp>
      <tp t="e">
        <v>#N/A</v>
        <stp/>
        <stp>BDH|17921378871170956396</stp>
        <tr r="I83" s="12"/>
      </tp>
      <tp t="e">
        <v>#N/A</v>
        <stp/>
        <stp>BDH|11805909777046717977</stp>
        <tr r="P10" s="11"/>
      </tp>
      <tp t="e">
        <v>#N/A</v>
        <stp/>
        <stp>BDH|15089908083516899243</stp>
        <tr r="R52" s="6"/>
        <tr r="T9" s="8"/>
      </tp>
      <tp t="e">
        <v>#N/A</v>
        <stp/>
        <stp>BDH|12594309416967915756</stp>
        <tr r="C25" s="4"/>
        <tr r="C65" s="10"/>
      </tp>
      <tp t="e">
        <v>#N/A</v>
        <stp/>
        <stp>BDH|12855140663401870488</stp>
        <tr r="S23" s="2"/>
        <tr r="U18" s="21"/>
        <tr r="U23" s="3"/>
      </tp>
      <tp t="e">
        <v>#N/A</v>
        <stp/>
        <stp>BDH|12440755009906006375</stp>
        <tr r="Q60" s="11"/>
        <tr r="S19" s="23"/>
      </tp>
      <tp t="e">
        <v>#N/A</v>
        <stp/>
        <stp>BDH|15326451029477921498</stp>
        <tr r="Z20" s="20"/>
      </tp>
      <tp t="e">
        <v>#N/A</v>
        <stp/>
        <stp>BDH|10031116414087912738</stp>
        <tr r="Q16" s="14"/>
      </tp>
      <tp t="e">
        <v>#N/A</v>
        <stp/>
        <stp>BDH|11806004869457984074</stp>
        <tr r="Y21" s="14"/>
      </tp>
      <tp t="e">
        <v>#N/A</v>
        <stp/>
        <stp>BDH|14385545295061598988</stp>
        <tr r="O89" s="24"/>
      </tp>
      <tp t="e">
        <v>#N/A</v>
        <stp/>
        <stp>BDH|11490326904362577087</stp>
        <tr r="I7" s="11"/>
      </tp>
      <tp t="e">
        <v>#N/A</v>
        <stp/>
        <stp>BDH|13274758615385961046</stp>
        <tr r="G26" s="25"/>
        <tr r="G12" s="27"/>
      </tp>
      <tp t="e">
        <v>#N/A</v>
        <stp/>
        <stp>BDH|10537796813967574158</stp>
        <tr r="K14" s="21"/>
      </tp>
      <tp t="e">
        <v>#N/A</v>
        <stp/>
        <stp>BDH|14899542524884251755</stp>
        <tr r="Y13" s="21"/>
      </tp>
      <tp t="e">
        <v>#N/A</v>
        <stp/>
        <stp>BDH|12585889189632203094</stp>
        <tr r="Y14" s="23"/>
      </tp>
      <tp t="e">
        <v>#N/A</v>
        <stp/>
        <stp>BDH|15973779623462389210</stp>
        <tr r="S40" s="22"/>
      </tp>
      <tp t="e">
        <v>#N/A</v>
        <stp/>
        <stp>BDH|15750789364904003047</stp>
        <tr r="I23" s="24"/>
      </tp>
      <tp t="e">
        <v>#N/A</v>
        <stp/>
        <stp>BDH|16275921849779738210</stp>
        <tr r="X10" s="26"/>
      </tp>
      <tp t="e">
        <v>#N/A</v>
        <stp/>
        <stp>BDH|12937243526223404103</stp>
        <tr r="M16" s="17"/>
        <tr r="M19" s="28"/>
      </tp>
      <tp t="e">
        <v>#N/A</v>
        <stp/>
        <stp>BDH|13400595264089243941</stp>
        <tr r="V112" s="18"/>
      </tp>
      <tp t="e">
        <v>#N/A</v>
        <stp/>
        <stp>BDH|11215793621065731127</stp>
        <tr r="R9" s="22"/>
      </tp>
      <tp t="e">
        <v>#N/A</v>
        <stp/>
        <stp>BDH|14365141455757530785</stp>
        <tr r="P37" s="10"/>
        <tr r="P29" s="11"/>
        <tr r="R41" s="13"/>
      </tp>
      <tp t="e">
        <v>#N/A</v>
        <stp/>
        <stp>BDH|18095312342269984657</stp>
        <tr r="K24" s="10"/>
      </tp>
      <tp t="e">
        <v>#N/A</v>
        <stp/>
        <stp>BDH|15191277217763674588</stp>
        <tr r="N19" s="6"/>
      </tp>
      <tp t="e">
        <v>#N/A</v>
        <stp/>
        <stp>BDH|10199559049743340217</stp>
        <tr r="J22" s="10"/>
      </tp>
      <tp t="e">
        <v>#N/A</v>
        <stp/>
        <stp>BDH|13828210746557074204</stp>
        <tr r="D44" s="34"/>
      </tp>
      <tp t="e">
        <v>#N/A</v>
        <stp/>
        <stp>BDH|12665765065946364598</stp>
        <tr r="Z32" s="22"/>
      </tp>
      <tp t="e">
        <v>#N/A</v>
        <stp/>
        <stp>BDH|17370118648292467000</stp>
        <tr r="T66" s="17"/>
        <tr r="T18" s="3"/>
      </tp>
      <tp t="e">
        <v>#N/A</v>
        <stp/>
        <stp>BDH|15213715990802513987</stp>
        <tr r="AA14" s="21"/>
      </tp>
      <tp t="e">
        <v>#N/A</v>
        <stp/>
        <stp>BDH|10999563342185230412</stp>
        <tr r="V79" s="24"/>
      </tp>
      <tp t="e">
        <v>#N/A</v>
        <stp/>
        <stp>BDH|15008198856947498651</stp>
        <tr r="U26" s="21"/>
      </tp>
      <tp t="e">
        <v>#N/A</v>
        <stp/>
        <stp>BDH|13193155865442664697</stp>
        <tr r="F134" s="18"/>
      </tp>
      <tp t="e">
        <v>#N/A</v>
        <stp/>
        <stp>BDH|17023179789336613860</stp>
        <tr r="L45" s="21"/>
      </tp>
      <tp t="e">
        <v>#N/A</v>
        <stp/>
        <stp>BDH|10193925577268270680</stp>
        <tr r="K12" s="14"/>
      </tp>
      <tp t="e">
        <v>#N/A</v>
        <stp/>
        <stp>BDH|11196540968011425373</stp>
        <tr r="D8" s="25"/>
      </tp>
      <tp t="e">
        <v>#N/A</v>
        <stp/>
        <stp>BDH|15246045736143910579</stp>
        <tr r="P45" s="12"/>
      </tp>
      <tp t="e">
        <v>#N/A</v>
        <stp/>
        <stp>BDH|11656189770801843688</stp>
        <tr r="W23" s="12"/>
      </tp>
      <tp t="e">
        <v>#N/A</v>
        <stp/>
        <stp>BDH|15269796327646595670</stp>
        <tr r="T13" s="20"/>
      </tp>
      <tp t="e">
        <v>#N/A</v>
        <stp/>
        <stp>BDH|16114040120295880136</stp>
        <tr r="U65" s="17"/>
      </tp>
      <tp t="e">
        <v>#N/A</v>
        <stp/>
        <stp>BDH|13860526935936425356</stp>
        <tr r="R119" s="18"/>
      </tp>
      <tp t="e">
        <v>#N/A</v>
        <stp/>
        <stp>BDH|12777153918875561717</stp>
        <tr r="J29" s="6"/>
      </tp>
      <tp t="e">
        <v>#N/A</v>
        <stp/>
        <stp>BDH|11169558734787821066</stp>
        <tr r="T113" s="18"/>
      </tp>
      <tp t="e">
        <v>#N/A</v>
        <stp/>
        <stp>BDH|13997094767885198081</stp>
        <tr r="AA48" s="13"/>
      </tp>
      <tp t="e">
        <v>#N/A</v>
        <stp/>
        <stp>BDH|17842743010329309818</stp>
        <tr r="H16" s="12"/>
      </tp>
      <tp t="e">
        <v>#N/A</v>
        <stp/>
        <stp>BDH|13980520106930107622</stp>
        <tr r="J23" s="23"/>
      </tp>
      <tp t="e">
        <v>#N/A</v>
        <stp/>
        <stp>BDH|10917740361661070023</stp>
        <tr r="O17" s="5"/>
        <tr r="O36" s="6"/>
      </tp>
      <tp t="e">
        <v>#N/A</v>
        <stp/>
        <stp>BDH|15677765177694011197</stp>
        <tr r="Z84" s="24"/>
      </tp>
      <tp t="e">
        <v>#N/A</v>
        <stp/>
        <stp>BDH|10767635838744406165</stp>
        <tr r="P25" s="26"/>
      </tp>
      <tp t="e">
        <v>#N/A</v>
        <stp/>
        <stp>BDH|13353457115400949643</stp>
        <tr r="Q88" s="17"/>
      </tp>
      <tp t="e">
        <v>#N/A</v>
        <stp/>
        <stp>BDH|15586870832796680886</stp>
        <tr r="K52" s="10"/>
        <tr r="K44" s="11"/>
        <tr r="K15" s="7"/>
      </tp>
      <tp t="e">
        <v>#N/A</v>
        <stp/>
        <stp>BDH|13831820511458555202</stp>
        <tr r="V15" s="24"/>
      </tp>
      <tp t="e">
        <v>#N/A</v>
        <stp/>
        <stp>BDH|14184404397560882901</stp>
        <tr r="M49" s="18"/>
      </tp>
      <tp t="e">
        <v>#N/A</v>
        <stp/>
        <stp>BDH|13109798744217082725</stp>
        <tr r="N30" s="10"/>
        <tr r="P36" s="13"/>
      </tp>
      <tp t="e">
        <v>#N/A</v>
        <stp/>
        <stp>BDH|14972687409115369750</stp>
        <tr r="D7" s="24"/>
      </tp>
      <tp t="e">
        <v>#N/A</v>
        <stp/>
        <stp>BDH|11923906087125808582</stp>
        <tr r="W7" s="2"/>
        <tr r="V7" s="5"/>
        <tr r="V7" s="9"/>
        <tr r="Y14" s="3"/>
      </tp>
      <tp t="e">
        <v>#N/A</v>
        <stp/>
        <stp>BDH|15289191902510585423</stp>
        <tr r="G87" s="18"/>
      </tp>
      <tp t="e">
        <v>#N/A</v>
        <stp/>
        <stp>BDH|15549684283679698268</stp>
        <tr r="AA29" s="17"/>
      </tp>
      <tp t="e">
        <v>#N/A</v>
        <stp/>
        <stp>BDH|15838021915355012117</stp>
        <tr r="D48" s="21"/>
      </tp>
      <tp t="e">
        <v>#N/A</v>
        <stp/>
        <stp>BDH|14934475410052924393</stp>
        <tr r="W21" s="9"/>
      </tp>
      <tp t="e">
        <v>#N/A</v>
        <stp/>
        <stp>BDH|15179769057964892368</stp>
        <tr r="T62" s="17"/>
      </tp>
      <tp t="e">
        <v>#N/A</v>
        <stp/>
        <stp>BDH|14211575305748838966</stp>
        <tr r="I49" s="17"/>
      </tp>
      <tp t="e">
        <v>#N/A</v>
        <stp/>
        <stp>BDH|13107222385291805806</stp>
        <tr r="H26" s="17"/>
      </tp>
      <tp t="e">
        <v>#N/A</v>
        <stp/>
        <stp>BDH|10162131628321688229</stp>
        <tr r="M118" s="18"/>
      </tp>
      <tp t="e">
        <v>#N/A</v>
        <stp/>
        <stp>BDH|17212875402147986808</stp>
        <tr r="L18" s="18"/>
      </tp>
      <tp t="e">
        <v>#N/A</v>
        <stp/>
        <stp>BDH|15351387400102572401</stp>
        <tr r="W30" s="21"/>
      </tp>
      <tp t="e">
        <v>#N/A</v>
        <stp/>
        <stp>BDH|14322326597249140796</stp>
        <tr r="Y35" s="25"/>
      </tp>
      <tp t="e">
        <v>#N/A</v>
        <stp/>
        <stp>BDH|16256140140442423038</stp>
        <tr r="F88" s="17"/>
      </tp>
      <tp t="e">
        <v>#N/A</v>
        <stp/>
        <stp>BDH|15555059516315768003</stp>
        <tr r="V9" s="28"/>
      </tp>
      <tp t="e">
        <v>#N/A</v>
        <stp/>
        <stp>BDH|14254176663973292159</stp>
        <tr r="Q11" s="24"/>
      </tp>
      <tp t="e">
        <v>#N/A</v>
        <stp/>
        <stp>BDH|18330985920264978639</stp>
        <tr r="X56" s="12"/>
      </tp>
      <tp t="e">
        <v>#N/A</v>
        <stp/>
        <stp>BDH|17774341176135380777</stp>
        <tr r="X23" s="12"/>
      </tp>
      <tp t="e">
        <v>#N/A</v>
        <stp/>
        <stp>BDH|10078060621706787517</stp>
        <tr r="E15" s="24"/>
      </tp>
      <tp t="e">
        <v>#N/A</v>
        <stp/>
        <stp>BDH|16895949717589823629</stp>
        <tr r="Q105" s="18"/>
      </tp>
      <tp t="e">
        <v>#N/A</v>
        <stp/>
        <stp>BDH|13442459377869195862</stp>
        <tr r="K17" s="30"/>
      </tp>
      <tp t="e">
        <v>#N/A</v>
        <stp/>
        <stp>BDH|11899813906781845964</stp>
        <tr r="C19" s="13"/>
      </tp>
      <tp t="e">
        <v>#N/A</v>
        <stp/>
        <stp>BDH|10399299535405610588</stp>
        <tr r="T53" s="18"/>
      </tp>
      <tp t="e">
        <v>#N/A</v>
        <stp/>
        <stp>BDH|17119195418273886593</stp>
        <tr r="E89" s="12"/>
      </tp>
      <tp t="e">
        <v>#N/A</v>
        <stp/>
        <stp>BDH|13334366205157008619</stp>
        <tr r="J118" s="18"/>
      </tp>
      <tp t="e">
        <v>#N/A</v>
        <stp/>
        <stp>BDH|13703230225854061603</stp>
        <tr r="R22" s="21"/>
      </tp>
      <tp t="e">
        <v>#N/A</v>
        <stp/>
        <stp>BDH|17713183420821638485</stp>
        <tr r="Y25" s="14"/>
      </tp>
      <tp t="e">
        <v>#N/A</v>
        <stp/>
        <stp>BDH|10391319751684285302</stp>
        <tr r="E39" s="22"/>
      </tp>
      <tp t="e">
        <v>#N/A</v>
        <stp/>
        <stp>BDH|14900282406265155279</stp>
        <tr r="R98" s="18"/>
        <tr r="R7" s="20"/>
      </tp>
      <tp t="e">
        <v>#N/A</v>
        <stp/>
        <stp>BDH|12152315882890629859</stp>
        <tr r="M141" s="18"/>
      </tp>
      <tp t="e">
        <v>#N/A</v>
        <stp/>
        <stp>BDH|17033185351672010082</stp>
        <tr r="X13" s="11"/>
      </tp>
      <tp t="e">
        <v>#N/A</v>
        <stp/>
        <stp>BDH|12579326344605529176</stp>
        <tr r="S43" s="13"/>
      </tp>
      <tp t="e">
        <v>#N/A</v>
        <stp/>
        <stp>BDH|15408517337005057733</stp>
        <tr r="D40" s="21"/>
      </tp>
      <tp t="e">
        <v>#N/A</v>
        <stp/>
        <stp>BDH|10331061272997085162</stp>
        <tr r="I54" s="18"/>
      </tp>
      <tp t="e">
        <v>#N/A</v>
        <stp/>
        <stp>BDH|17314703992378442044</stp>
        <tr r="Q52" s="24"/>
      </tp>
      <tp t="e">
        <v>#N/A</v>
        <stp/>
        <stp>BDH|10690004112151080154</stp>
        <tr r="K76" s="24"/>
      </tp>
      <tp t="e">
        <v>#N/A</v>
        <stp/>
        <stp>BDH|16180669207383668274</stp>
        <tr r="T15" s="11"/>
      </tp>
      <tp t="e">
        <v>#N/A</v>
        <stp/>
        <stp>BDH|12678704797118661563</stp>
        <tr r="H41" s="12"/>
      </tp>
      <tp t="e">
        <v>#N/A</v>
        <stp/>
        <stp>BDH|16756874710979097716</stp>
        <tr r="H46" s="13"/>
      </tp>
      <tp t="e">
        <v>#N/A</v>
        <stp/>
        <stp>BDH|11137124501341454076</stp>
        <tr r="P21" s="27"/>
      </tp>
      <tp t="e">
        <v>#N/A</v>
        <stp/>
        <stp>BDH|15815346668076574706</stp>
        <tr r="C30" s="24"/>
      </tp>
      <tp t="e">
        <v>#N/A</v>
        <stp/>
        <stp>BDH|14489833658499982172</stp>
        <tr r="C32" s="18"/>
      </tp>
      <tp t="e">
        <v>#N/A</v>
        <stp/>
        <stp>BDH|11291063005330082004</stp>
        <tr r="H96" s="18"/>
      </tp>
      <tp t="e">
        <v>#N/A</v>
        <stp/>
        <stp>BDH|16360137266911353148</stp>
        <tr r="N6" s="27"/>
      </tp>
      <tp t="e">
        <v>#N/A</v>
        <stp/>
        <stp>BDH|12353613312213602771</stp>
        <tr r="Q18" s="2"/>
        <tr r="Q53" s="4"/>
        <tr r="Q46" s="10"/>
        <tr r="Q38" s="11"/>
        <tr r="S51" s="13"/>
      </tp>
      <tp t="e">
        <v>#N/A</v>
        <stp/>
        <stp>BDH|17091415412191314207</stp>
        <tr r="V85" s="17"/>
      </tp>
      <tp t="e">
        <v>#N/A</v>
        <stp/>
        <stp>BDH|10636497719954042062</stp>
        <tr r="U31" s="17"/>
      </tp>
      <tp t="e">
        <v>#N/A</v>
        <stp/>
        <stp>BDH|14806102813912345785</stp>
        <tr r="H9" s="13"/>
      </tp>
      <tp t="e">
        <v>#N/A</v>
        <stp/>
        <stp>BDH|11239475126647311108</stp>
        <tr r="X18" s="22"/>
      </tp>
      <tp t="e">
        <v>#N/A</v>
        <stp/>
        <stp>BDH|15669573636714735608</stp>
        <tr r="Z15" s="17"/>
        <tr r="Z18" s="28"/>
      </tp>
      <tp t="e">
        <v>#N/A</v>
        <stp/>
        <stp>BDH|14104284648542880190</stp>
        <tr r="K46" s="34"/>
      </tp>
      <tp t="e">
        <v>#N/A</v>
        <stp/>
        <stp>BDH|18181514142311422964</stp>
        <tr r="K58" s="21"/>
        <tr r="K37" s="25"/>
        <tr r="I31" s="4"/>
        <tr r="I54" s="11"/>
      </tp>
      <tp t="e">
        <v>#N/A</v>
        <stp/>
        <stp>BDH|11283073961180409602</stp>
        <tr r="F67" s="24"/>
      </tp>
      <tp t="e">
        <v>#N/A</v>
        <stp/>
        <stp>BDH|13378587433813944713</stp>
        <tr r="S22" s="27"/>
      </tp>
      <tp t="e">
        <v>#N/A</v>
        <stp/>
        <stp>BDH|16749652243435690076</stp>
        <tr r="X54" s="21"/>
      </tp>
      <tp t="e">
        <v>#N/A</v>
        <stp/>
        <stp>BDH|17380148213631780733</stp>
        <tr r="M30" s="21"/>
      </tp>
      <tp t="e">
        <v>#N/A</v>
        <stp/>
        <stp>BDH|14314451835337396506</stp>
        <tr r="G51" s="24"/>
      </tp>
      <tp t="e">
        <v>#N/A</v>
        <stp/>
        <stp>BDH|17139402388239860319</stp>
        <tr r="R8" s="28"/>
      </tp>
      <tp t="e">
        <v>#N/A</v>
        <stp/>
        <stp>BDH|15067932242920907981</stp>
        <tr r="I26" s="25"/>
        <tr r="I12" s="27"/>
      </tp>
      <tp t="e">
        <v>#N/A</v>
        <stp/>
        <stp>BDH|10836793885146555817</stp>
        <tr r="K45" s="34"/>
      </tp>
      <tp t="e">
        <v>#N/A</v>
        <stp/>
        <stp>BDH|12111467461131768012</stp>
        <tr r="F7" s="34"/>
      </tp>
      <tp t="e">
        <v>#N/A</v>
        <stp/>
        <stp>BDH|10332024730790255236</stp>
        <tr r="S31" s="17"/>
      </tp>
      <tp t="e">
        <v>#N/A</v>
        <stp/>
        <stp>BDH|14275487605532917367</stp>
        <tr r="U56" s="24"/>
      </tp>
      <tp t="e">
        <v>#N/A</v>
        <stp/>
        <stp>BDH|13148451541120037255</stp>
        <tr r="AA32" s="18"/>
      </tp>
      <tp t="e">
        <v>#N/A</v>
        <stp/>
        <stp>BDH|16301355954557019623</stp>
        <tr r="C10" s="3"/>
        <tr r="C54" s="13"/>
      </tp>
      <tp t="e">
        <v>#N/A</v>
        <stp/>
        <stp>BDH|12525770467724614636</stp>
        <tr r="F60" s="24"/>
      </tp>
      <tp t="e">
        <v>#N/A</v>
        <stp/>
        <stp>BDH|17506074770776206701</stp>
        <tr r="N30" s="25"/>
        <tr r="N16" s="27"/>
      </tp>
      <tp t="e">
        <v>#N/A</v>
        <stp/>
        <stp>BDH|10946354058576640120</stp>
        <tr r="R31" s="25"/>
        <tr r="O14" s="5"/>
        <tr r="R17" s="27"/>
      </tp>
      <tp t="e">
        <v>#N/A</v>
        <stp/>
        <stp>BDH|12345902075458661505</stp>
        <tr r="P31" s="29"/>
      </tp>
      <tp t="e">
        <v>#N/A</v>
        <stp/>
        <stp>BDH|11722867656218311546</stp>
        <tr r="V16" s="10"/>
      </tp>
      <tp t="e">
        <v>#N/A</v>
        <stp/>
        <stp>BDH|10403031566647404057</stp>
        <tr r="V17" s="30"/>
      </tp>
      <tp t="e">
        <v>#N/A</v>
        <stp/>
        <stp>BDH|10472834676667033916</stp>
        <tr r="Y61" s="11"/>
      </tp>
      <tp t="e">
        <v>#N/A</v>
        <stp/>
        <stp>BDH|12318420774805773529</stp>
        <tr r="N26" s="18"/>
      </tp>
      <tp t="e">
        <v>#N/A</v>
        <stp/>
        <stp>BDH|18254562960253428900</stp>
        <tr r="Y15" s="21"/>
      </tp>
      <tp t="e">
        <v>#N/A</v>
        <stp/>
        <stp>BDH|12374936603793057935</stp>
        <tr r="M40" s="22"/>
      </tp>
      <tp t="e">
        <v>#N/A</v>
        <stp/>
        <stp>BDH|14846051893155977975</stp>
        <tr r="I46" s="18"/>
      </tp>
      <tp t="e">
        <v>#N/A</v>
        <stp/>
        <stp>BDH|16181048899026955853</stp>
        <tr r="F12" s="24"/>
      </tp>
      <tp t="e">
        <v>#N/A</v>
        <stp/>
        <stp>BDH|10240676356181300305</stp>
        <tr r="W25" s="13"/>
      </tp>
      <tp t="e">
        <v>#N/A</v>
        <stp/>
        <stp>BDH|17224233702020069432</stp>
        <tr r="Q10" s="14"/>
      </tp>
      <tp t="e">
        <v>#N/A</v>
        <stp/>
        <stp>BDH|17725649032524483753</stp>
        <tr r="R33" s="10"/>
        <tr r="R25" s="11"/>
      </tp>
      <tp t="e">
        <v>#N/A</v>
        <stp/>
        <stp>BDH|13493053136768600919</stp>
        <tr r="S15" s="4"/>
      </tp>
      <tp t="e">
        <v>#N/A</v>
        <stp/>
        <stp>BDH|16184103345243247169</stp>
        <tr r="P16" s="2"/>
        <tr r="P32" s="4"/>
        <tr r="P62" s="10"/>
        <tr r="R19" s="13"/>
      </tp>
      <tp t="e">
        <v>#N/A</v>
        <stp/>
        <stp>BDH|11685826690648151959</stp>
        <tr r="T105" s="18"/>
      </tp>
      <tp t="e">
        <v>#N/A</v>
        <stp/>
        <stp>BDH|11410316195182758877</stp>
        <tr r="P23" s="12"/>
      </tp>
      <tp t="e">
        <v>#N/A</v>
        <stp/>
        <stp>BDH|17316566309271512290</stp>
        <tr r="S23" s="24"/>
      </tp>
      <tp t="e">
        <v>#N/A</v>
        <stp/>
        <stp>BDH|14990229165354877560</stp>
        <tr r="C51" s="17"/>
        <tr r="C17" s="3"/>
      </tp>
      <tp t="e">
        <v>#N/A</v>
        <stp/>
        <stp>BDH|14217646801613432009</stp>
        <tr r="AA25" s="26"/>
      </tp>
      <tp t="e">
        <v>#N/A</v>
        <stp/>
        <stp>BDH|17179674533877565437</stp>
        <tr r="G26" s="24"/>
      </tp>
      <tp t="e">
        <v>#N/A</v>
        <stp/>
        <stp>BDH|12788418765702557358</stp>
        <tr r="J29" s="34"/>
      </tp>
      <tp t="e">
        <v>#N/A</v>
        <stp/>
        <stp>BDH|13444836990074098741</stp>
        <tr r="Z43" s="34"/>
      </tp>
      <tp t="e">
        <v>#N/A</v>
        <stp/>
        <stp>BDH|16497680758425026176</stp>
        <tr r="C55" s="24"/>
      </tp>
      <tp t="e">
        <v>#N/A</v>
        <stp/>
        <stp>BDH|14771968883055231133</stp>
        <tr r="D47" s="10"/>
        <tr r="D39" s="11"/>
      </tp>
      <tp t="e">
        <v>#N/A</v>
        <stp/>
        <stp>BDH|11392613866115004574</stp>
        <tr r="O31" s="21"/>
      </tp>
      <tp t="e">
        <v>#N/A</v>
        <stp/>
        <stp>BDH|17303631052251758469</stp>
        <tr r="K45" s="22"/>
      </tp>
      <tp t="e">
        <v>#N/A</v>
        <stp/>
        <stp>BDH|17130487967065884152</stp>
        <tr r="G59" s="13"/>
      </tp>
      <tp t="e">
        <v>#N/A</v>
        <stp/>
        <stp>BDH|16895635509233567246</stp>
        <tr r="F10" s="22"/>
      </tp>
      <tp t="e">
        <v>#N/A</v>
        <stp/>
        <stp>BDH|12713158333226144731</stp>
        <tr r="J71" s="12"/>
      </tp>
      <tp t="e">
        <v>#N/A</v>
        <stp/>
        <stp>BDH|13599551497457319973</stp>
        <tr r="D33" s="21"/>
      </tp>
      <tp t="e">
        <v>#N/A</v>
        <stp/>
        <stp>BDH|11437518075742516060</stp>
        <tr r="L36" s="10"/>
        <tr r="L48" s="10"/>
        <tr r="L28" s="11"/>
        <tr r="L40" s="11"/>
      </tp>
      <tp t="e">
        <v>#N/A</v>
        <stp/>
        <stp>BDH|15409008168605739780</stp>
        <tr r="N34" s="17"/>
      </tp>
      <tp t="e">
        <v>#N/A</v>
        <stp/>
        <stp>BDH|12568742769343898133</stp>
        <tr r="G13" s="9"/>
      </tp>
      <tp t="e">
        <v>#N/A</v>
        <stp/>
        <stp>BDH|17771260223603551549</stp>
        <tr r="E48" s="13"/>
      </tp>
      <tp t="e">
        <v>#N/A</v>
        <stp/>
        <stp>BDH|15293212884959477706</stp>
        <tr r="P57" s="6"/>
      </tp>
      <tp t="e">
        <v>#N/A</v>
        <stp/>
        <stp>BDH|11218848195565887487</stp>
        <tr r="Z26" s="24"/>
      </tp>
      <tp t="e">
        <v>#N/A</v>
        <stp/>
        <stp>BDH|13533073915584534715</stp>
        <tr r="O7" s="34"/>
      </tp>
      <tp t="e">
        <v>#N/A</v>
        <stp/>
        <stp>BDH|14320859202548080575</stp>
        <tr r="I43" s="29"/>
      </tp>
      <tp t="e">
        <v>#N/A</v>
        <stp/>
        <stp>BDH|14245350250370142350</stp>
        <tr r="G133" s="18"/>
      </tp>
      <tp t="e">
        <v>#N/A</v>
        <stp/>
        <stp>BDH|10741408150834048442</stp>
        <tr r="R26" s="22"/>
      </tp>
      <tp t="e">
        <v>#N/A</v>
        <stp/>
        <stp>BDH|16483473620288726979</stp>
        <tr r="L81" s="17"/>
        <tr r="L20" s="3"/>
        <tr r="J6" s="7"/>
      </tp>
      <tp t="e">
        <v>#N/A</v>
        <stp/>
        <stp>BDH|10789397272446733389</stp>
        <tr r="X10" s="11"/>
      </tp>
      <tp t="e">
        <v>#N/A</v>
        <stp/>
        <stp>BDH|14149614300563653051</stp>
        <tr r="N26" s="7"/>
      </tp>
      <tp t="e">
        <v>#N/A</v>
        <stp/>
        <stp>BDH|10188302513454388727</stp>
        <tr r="O13" s="7"/>
      </tp>
      <tp t="e">
        <v>#N/A</v>
        <stp/>
        <stp>BDH|13036964394017838594</stp>
        <tr r="Z43" s="13"/>
      </tp>
      <tp t="e">
        <v>#N/A</v>
        <stp/>
        <stp>BDH|11919122087608972162</stp>
        <tr r="K72" s="17"/>
      </tp>
      <tp t="e">
        <v>#N/A</v>
        <stp/>
        <stp>BDH|12713001780698017347</stp>
        <tr r="D138" s="18"/>
      </tp>
      <tp t="e">
        <v>#N/A</v>
        <stp/>
        <stp>BDH|16360948784563858588</stp>
        <tr r="W24" s="29"/>
      </tp>
      <tp t="e">
        <v>#N/A</v>
        <stp/>
        <stp>BDH|14464025835341163710</stp>
        <tr r="I10" s="18"/>
      </tp>
      <tp t="e">
        <v>#N/A</v>
        <stp/>
        <stp>BDH|14525751238014235596</stp>
        <tr r="S8" s="28"/>
      </tp>
      <tp t="e">
        <v>#N/A</v>
        <stp/>
        <stp>BDH|15517730236743122322</stp>
        <tr r="S104" s="18"/>
      </tp>
      <tp t="e">
        <v>#N/A</v>
        <stp/>
        <stp>BDH|12600523034174626155</stp>
        <tr r="N62" s="13"/>
      </tp>
      <tp t="e">
        <v>#N/A</v>
        <stp/>
        <stp>BDH|13501201924313307116</stp>
        <tr r="F23" s="13"/>
      </tp>
      <tp t="e">
        <v>#N/A</v>
        <stp/>
        <stp>BDH|14699361123166740279</stp>
        <tr r="D57" s="18"/>
      </tp>
      <tp t="e">
        <v>#N/A</v>
        <stp/>
        <stp>BDH|16078682852726860210</stp>
        <tr r="O9" s="26"/>
      </tp>
      <tp t="e">
        <v>#N/A</v>
        <stp/>
        <stp>BDH|10149317291022780942</stp>
        <tr r="S45" s="4"/>
        <tr r="S31" s="10"/>
        <tr r="S23" s="11"/>
        <tr r="U30" s="13"/>
      </tp>
      <tp t="e">
        <v>#N/A</v>
        <stp/>
        <stp>BDH|15575260251895535655</stp>
        <tr r="L48" s="21"/>
      </tp>
      <tp t="e">
        <v>#N/A</v>
        <stp/>
        <stp>BDH|10072689068022457364</stp>
        <tr r="W44" s="21"/>
      </tp>
      <tp t="e">
        <v>#N/A</v>
        <stp/>
        <stp>BDH|13151649727912935499</stp>
        <tr r="X70" s="24"/>
      </tp>
      <tp t="e">
        <v>#N/A</v>
        <stp/>
        <stp>BDH|13894540366392953311</stp>
        <tr r="P17" s="22"/>
      </tp>
      <tp t="e">
        <v>#N/A</v>
        <stp/>
        <stp>BDH|17936999877410304860</stp>
        <tr r="N60" s="18"/>
      </tp>
      <tp t="e">
        <v>#N/A</v>
        <stp/>
        <stp>BDH|10938334454843442485</stp>
        <tr r="T33" s="6"/>
      </tp>
      <tp t="e">
        <v>#N/A</v>
        <stp/>
        <stp>BDH|12402172832351199026</stp>
        <tr r="T92" s="18"/>
      </tp>
      <tp t="e">
        <v>#N/A</v>
        <stp/>
        <stp>BDH|15792209244953763163</stp>
        <tr r="U56" s="13"/>
      </tp>
      <tp t="e">
        <v>#N/A</v>
        <stp/>
        <stp>BDH|16668154943950224205</stp>
        <tr r="F49" s="6"/>
      </tp>
      <tp t="e">
        <v>#N/A</v>
        <stp/>
        <stp>BDH|18368804422862495170</stp>
        <tr r="P49" s="4"/>
      </tp>
      <tp t="e">
        <v>#N/A</v>
        <stp/>
        <stp>BDH|14845235818513132505</stp>
        <tr r="E18" s="24"/>
      </tp>
      <tp t="e">
        <v>#N/A</v>
        <stp/>
        <stp>BDH|10534063733793650140</stp>
        <tr r="T56" s="17"/>
      </tp>
      <tp t="e">
        <v>#N/A</v>
        <stp/>
        <stp>BDH|15847490100105752542</stp>
        <tr r="J123" s="18"/>
      </tp>
      <tp t="e">
        <v>#N/A</v>
        <stp/>
        <stp>BDH|13522534908245468280</stp>
        <tr r="D52" s="10"/>
        <tr r="D44" s="11"/>
        <tr r="D15" s="7"/>
      </tp>
      <tp t="e">
        <v>#N/A</v>
        <stp/>
        <stp>BDH|15651781268510598519</stp>
        <tr r="S11" s="17"/>
      </tp>
      <tp t="e">
        <v>#N/A</v>
        <stp/>
        <stp>BDH|16846706577557570081</stp>
        <tr r="Z36" s="18"/>
      </tp>
      <tp t="e">
        <v>#N/A</v>
        <stp/>
        <stp>BDH|10327040732714350641</stp>
        <tr r="F8" s="24"/>
      </tp>
      <tp t="e">
        <v>#N/A</v>
        <stp/>
        <stp>BDH|12367492768917382634</stp>
        <tr r="W38" s="26"/>
      </tp>
      <tp t="e">
        <v>#N/A</v>
        <stp/>
        <stp>BDH|10311610001194066316</stp>
        <tr r="G18" s="9"/>
      </tp>
      <tp t="e">
        <v>#N/A</v>
        <stp/>
        <stp>BDH|11622601890467742833</stp>
        <tr r="F40" s="18"/>
      </tp>
      <tp t="e">
        <v>#N/A</v>
        <stp/>
        <stp>BDH|12355444004155852295</stp>
        <tr r="E28" s="18"/>
      </tp>
      <tp t="e">
        <v>#N/A</v>
        <stp/>
        <stp>BDH|11484093616327197686</stp>
        <tr r="Q42" s="6"/>
      </tp>
      <tp t="e">
        <v>#N/A</v>
        <stp/>
        <stp>BDH|14270934045238750012</stp>
        <tr r="P9" s="14"/>
      </tp>
      <tp t="e">
        <v>#N/A</v>
        <stp/>
        <stp>BDH|10990386875400563538</stp>
        <tr r="AA56" s="24"/>
      </tp>
      <tp t="e">
        <v>#N/A</v>
        <stp/>
        <stp>BDH|17360795123277835436</stp>
        <tr r="AA12" s="14"/>
      </tp>
      <tp t="e">
        <v>#N/A</v>
        <stp/>
        <stp>BDH|17719219953301979097</stp>
        <tr r="C32" s="14"/>
      </tp>
      <tp t="e">
        <v>#N/A</v>
        <stp/>
        <stp>BDH|10186071561240626742</stp>
        <tr r="G26" s="22"/>
      </tp>
      <tp t="e">
        <v>#N/A</v>
        <stp/>
        <stp>BDH|12987653851857009788</stp>
        <tr r="AA23" s="17"/>
      </tp>
      <tp t="e">
        <v>#N/A</v>
        <stp/>
        <stp>BDH|10949186318800878146</stp>
        <tr r="L20" s="2"/>
        <tr r="L18" s="4"/>
        <tr r="L58" s="10"/>
        <tr r="L50" s="11"/>
        <tr r="L19" s="7"/>
        <tr r="N65" s="13"/>
      </tp>
      <tp t="e">
        <v>#N/A</v>
        <stp/>
        <stp>BDH|10681111847250680439</stp>
        <tr r="W26" s="13"/>
      </tp>
      <tp t="e">
        <v>#N/A</v>
        <stp/>
        <stp>BDH|14761651944561002638</stp>
        <tr r="G42" s="24"/>
      </tp>
      <tp t="e">
        <v>#N/A</v>
        <stp/>
        <stp>BDH|16059219435100569641</stp>
        <tr r="S49" s="22"/>
      </tp>
      <tp t="e">
        <v>#N/A</v>
        <stp/>
        <stp>BDH|11430759476326173637</stp>
        <tr r="W13" s="17"/>
        <tr r="W16" s="28"/>
      </tp>
      <tp t="e">
        <v>#N/A</v>
        <stp/>
        <stp>BDH|12814417106943316497</stp>
        <tr r="O36" s="22"/>
      </tp>
      <tp t="e">
        <v>#N/A</v>
        <stp/>
        <stp>BDH|11612099217783926245</stp>
        <tr r="O20" s="26"/>
      </tp>
      <tp t="e">
        <v>#N/A</v>
        <stp/>
        <stp>BDH|16179230803561697423</stp>
        <tr r="H21" s="5"/>
      </tp>
      <tp t="e">
        <v>#N/A</v>
        <stp/>
        <stp>BDH|17614163145083280025</stp>
        <tr r="H36" s="21"/>
      </tp>
      <tp t="e">
        <v>#N/A</v>
        <stp/>
        <stp>BDH|11328037320836676435</stp>
        <tr r="C18" s="26"/>
      </tp>
      <tp t="e">
        <v>#N/A</v>
        <stp/>
        <stp>BDH|14785906710419768453</stp>
        <tr r="W24" s="24"/>
      </tp>
      <tp t="e">
        <v>#N/A</v>
        <stp/>
        <stp>BDH|14642784582833912904</stp>
        <tr r="R125" s="18"/>
      </tp>
      <tp t="e">
        <v>#N/A</v>
        <stp/>
        <stp>BDH|11980114653115895169</stp>
        <tr r="D22" s="7"/>
      </tp>
      <tp t="e">
        <v>#N/A</v>
        <stp/>
        <stp>BDH|17874605126951376380</stp>
        <tr r="Y39" s="4"/>
        <tr r="Y66" s="10"/>
      </tp>
      <tp t="e">
        <v>#N/A</v>
        <stp/>
        <stp>BDH|17058281604621823513</stp>
        <tr r="Q15" s="9"/>
      </tp>
      <tp t="e">
        <v>#N/A</v>
        <stp/>
        <stp>BDH|13399739336885028339</stp>
        <tr r="C47" s="6"/>
      </tp>
      <tp t="e">
        <v>#N/A</v>
        <stp/>
        <stp>BDH|15520700197862712808</stp>
        <tr r="P105" s="18"/>
      </tp>
      <tp t="e">
        <v>#N/A</v>
        <stp/>
        <stp>BDH|14227473311220981088</stp>
        <tr r="L44" s="21"/>
      </tp>
      <tp t="e">
        <v>#N/A</v>
        <stp/>
        <stp>BDH|11989702269490253178</stp>
        <tr r="C115" s="18"/>
      </tp>
      <tp t="e">
        <v>#N/A</v>
        <stp/>
        <stp>BDH|14920938131629691686</stp>
        <tr r="V19" s="9"/>
      </tp>
      <tp t="e">
        <v>#N/A</v>
        <stp/>
        <stp>BDH|13190928484917191433</stp>
        <tr r="D82" s="18"/>
      </tp>
      <tp t="e">
        <v>#N/A</v>
        <stp/>
        <stp>BDH|13008122426295867494</stp>
        <tr r="Y17" s="23"/>
      </tp>
      <tp t="e">
        <v>#N/A</v>
        <stp/>
        <stp>BDH|15243784751210739690</stp>
        <tr r="Z17" s="30"/>
      </tp>
      <tp t="e">
        <v>#N/A</v>
        <stp/>
        <stp>BDH|14463619071446282232</stp>
        <tr r="Z24" s="21"/>
      </tp>
      <tp t="e">
        <v>#N/A</v>
        <stp/>
        <stp>BDH|15871220639271517435</stp>
        <tr r="D34" s="29"/>
      </tp>
      <tp t="e">
        <v>#N/A</v>
        <stp/>
        <stp>BDH|16344325352109438824</stp>
        <tr r="R7" s="11"/>
      </tp>
      <tp t="e">
        <v>#N/A</v>
        <stp/>
        <stp>BDH|13238994425328247196</stp>
        <tr r="G34" s="34"/>
      </tp>
      <tp t="e">
        <v>#N/A</v>
        <stp/>
        <stp>BDH|10104706323907238359</stp>
        <tr r="H42" s="6"/>
      </tp>
      <tp t="e">
        <v>#N/A</v>
        <stp/>
        <stp>BDH|17847061453653913017</stp>
        <tr r="G28" s="12"/>
      </tp>
      <tp t="e">
        <v>#N/A</v>
        <stp/>
        <stp>BDH|11004036517273167207</stp>
        <tr r="E29" s="4"/>
      </tp>
      <tp t="e">
        <v>#N/A</v>
        <stp/>
        <stp>BDH|15988138137134003285</stp>
        <tr r="W35" s="14"/>
      </tp>
      <tp t="e">
        <v>#N/A</v>
        <stp/>
        <stp>BDH|12402207316136513623</stp>
        <tr r="C49" s="18"/>
      </tp>
      <tp t="e">
        <v>#N/A</v>
        <stp/>
        <stp>BDH|15704511145301477421</stp>
        <tr r="Z7" s="23"/>
      </tp>
      <tp t="e">
        <v>#N/A</v>
        <stp/>
        <stp>BDH|12309730082419682507</stp>
        <tr r="V51" s="24"/>
      </tp>
      <tp t="e">
        <v>#N/A</v>
        <stp/>
        <stp>BDH|15401273338937645295</stp>
        <tr r="K12" s="13"/>
      </tp>
      <tp t="e">
        <v>#N/A</v>
        <stp/>
        <stp>BDH|11646067239743966049</stp>
        <tr r="E15" s="20"/>
      </tp>
      <tp t="e">
        <v>#N/A</v>
        <stp/>
        <stp>BDH|11652347843557797024</stp>
        <tr r="E85" s="17"/>
      </tp>
      <tp t="e">
        <v>#N/A</v>
        <stp/>
        <stp>BDH|13201175771293559758</stp>
        <tr r="S82" s="18"/>
      </tp>
      <tp t="e">
        <v>#N/A</v>
        <stp/>
        <stp>BDH|14579598712994987534</stp>
        <tr r="G20" s="9"/>
      </tp>
      <tp t="e">
        <v>#N/A</v>
        <stp/>
        <stp>BDH|14705531115919008850</stp>
        <tr r="T74" s="24"/>
      </tp>
      <tp t="e">
        <v>#N/A</v>
        <stp/>
        <stp>BDH|16798409716806346464</stp>
        <tr r="M19" s="26"/>
      </tp>
      <tp t="e">
        <v>#N/A</v>
        <stp/>
        <stp>BDH|11624466353470285150</stp>
        <tr r="Y35" s="4"/>
      </tp>
      <tp t="e">
        <v>#N/A</v>
        <stp/>
        <stp>BDH|16258762465110690630</stp>
        <tr r="Y73" s="24"/>
      </tp>
      <tp t="e">
        <v>#N/A</v>
        <stp/>
        <stp>BDH|13504678443778272876</stp>
        <tr r="C15" s="18"/>
      </tp>
      <tp t="e">
        <v>#N/A</v>
        <stp/>
        <stp>BDH|13180285473710942773</stp>
        <tr r="L98" s="18"/>
        <tr r="L7" s="20"/>
      </tp>
      <tp t="e">
        <v>#N/A</v>
        <stp/>
        <stp>BDH|14053572547887356379</stp>
        <tr r="H110" s="18"/>
      </tp>
      <tp t="e">
        <v>#N/A</v>
        <stp/>
        <stp>BDH|13756095769102064634</stp>
        <tr r="E18" s="25"/>
      </tp>
      <tp t="e">
        <v>#N/A</v>
        <stp/>
        <stp>BDH|17211633002479577922</stp>
        <tr r="Y36" s="12"/>
      </tp>
      <tp t="e">
        <v>#N/A</v>
        <stp/>
        <stp>BDH|10634773956077078434</stp>
        <tr r="O23" s="25"/>
        <tr r="M20" s="11"/>
      </tp>
      <tp t="e">
        <v>#N/A</v>
        <stp/>
        <stp>BDH|15799157746040258128</stp>
        <tr r="L10" s="21"/>
      </tp>
      <tp t="e">
        <v>#N/A</v>
        <stp/>
        <stp>BDH|13705454142473325170</stp>
        <tr r="H17" s="4"/>
        <tr r="J10" s="3"/>
        <tr r="H56" s="10"/>
        <tr r="H48" s="11"/>
        <tr r="H17" s="7"/>
        <tr r="J54" s="13"/>
      </tp>
      <tp t="e">
        <v>#N/A</v>
        <stp/>
        <stp>BDH|13683548744057371415</stp>
        <tr r="T39" s="24"/>
      </tp>
      <tp t="e">
        <v>#N/A</v>
        <stp/>
        <stp>BDH|11431418849632068289</stp>
        <tr r="AA26" s="13"/>
      </tp>
      <tp t="e">
        <v>#N/A</v>
        <stp/>
        <stp>BDH|12728744632061670630</stp>
        <tr r="W16" s="14"/>
      </tp>
      <tp t="e">
        <v>#N/A</v>
        <stp/>
        <stp>BDH|16828093094737271930</stp>
        <tr r="O24" s="24"/>
      </tp>
      <tp t="e">
        <v>#N/A</v>
        <stp/>
        <stp>BDH|13631369954782495645</stp>
        <tr r="Y15" s="20"/>
      </tp>
      <tp t="e">
        <v>#N/A</v>
        <stp/>
        <stp>BDH|13143845984511037357</stp>
        <tr r="T7" s="30"/>
      </tp>
      <tp t="e">
        <v>#N/A</v>
        <stp/>
        <stp>BDH|16564797901421150180</stp>
        <tr r="H9" s="26"/>
      </tp>
      <tp t="e">
        <v>#N/A</v>
        <stp/>
        <stp>BDH|10208575838993950409</stp>
        <tr r="F44" s="6"/>
      </tp>
      <tp t="e">
        <v>#N/A</v>
        <stp/>
        <stp>BDH|13579054535361110001</stp>
        <tr r="W12" s="3"/>
        <tr r="U55" s="10"/>
        <tr r="U47" s="11"/>
        <tr r="U7" s="7"/>
      </tp>
      <tp t="e">
        <v>#N/A</v>
        <stp/>
        <stp>BDH|14283093801124993173</stp>
        <tr r="X111" s="18"/>
      </tp>
      <tp t="e">
        <v>#N/A</v>
        <stp/>
        <stp>BDH|17656323351429172905</stp>
        <tr r="T130" s="18"/>
      </tp>
      <tp t="e">
        <v>#N/A</v>
        <stp/>
        <stp>BDH|17940553763623820633</stp>
        <tr r="M11" s="17"/>
      </tp>
      <tp t="e">
        <v>#N/A</v>
        <stp/>
        <stp>BDH|14397272673529297917</stp>
        <tr r="U53" s="10"/>
        <tr r="U45" s="11"/>
        <tr r="U16" s="7"/>
      </tp>
      <tp t="e">
        <v>#N/A</v>
        <stp/>
        <stp>BDH|15774190369353046030</stp>
        <tr r="F28" s="22"/>
      </tp>
      <tp t="e">
        <v>#N/A</v>
        <stp/>
        <stp>BDH|15770253479411677097</stp>
        <tr r="R30" s="21"/>
      </tp>
      <tp t="e">
        <v>#N/A</v>
        <stp/>
        <stp>BDH|15194653909684189683</stp>
        <tr r="L22" s="21"/>
      </tp>
      <tp t="e">
        <v>#N/A</v>
        <stp/>
        <stp>BDH|17621046866039245927</stp>
        <tr r="M24" s="5"/>
      </tp>
      <tp t="e">
        <v>#N/A</v>
        <stp/>
        <stp>BDH|12692024562974578174</stp>
        <tr r="E43" s="13"/>
      </tp>
      <tp t="e">
        <v>#N/A</v>
        <stp/>
        <stp>BDH|10970210201305864655</stp>
        <tr r="N35" s="12"/>
      </tp>
      <tp t="e">
        <v>#N/A</v>
        <stp/>
        <stp>BDH|12407699924161976649</stp>
        <tr r="E24" s="13"/>
      </tp>
      <tp t="e">
        <v>#N/A</v>
        <stp/>
        <stp>BDH|16909284496455570962</stp>
        <tr r="P33" s="10"/>
        <tr r="P25" s="11"/>
      </tp>
      <tp t="e">
        <v>#N/A</v>
        <stp/>
        <stp>BDH|13008230825465095728</stp>
        <tr r="O44" s="21"/>
      </tp>
      <tp t="e">
        <v>#N/A</v>
        <stp/>
        <stp>BDH|15035779765046674308</stp>
        <tr r="V59" s="18"/>
      </tp>
      <tp t="e">
        <v>#N/A</v>
        <stp/>
        <stp>BDH|11971157535380828255</stp>
        <tr r="L27" s="12"/>
      </tp>
      <tp t="e">
        <v>#N/A</v>
        <stp/>
        <stp>BDH|11729464867473616147</stp>
        <tr r="R14" s="4"/>
      </tp>
      <tp t="e">
        <v>#N/A</v>
        <stp/>
        <stp>BDH|16120947337329042466</stp>
        <tr r="S20" s="10"/>
      </tp>
      <tp t="e">
        <v>#N/A</v>
        <stp/>
        <stp>BDH|11204777035197453338</stp>
        <tr r="N111" s="18"/>
      </tp>
      <tp t="e">
        <v>#N/A</v>
        <stp/>
        <stp>BDH|13683215917059701806</stp>
        <tr r="O14" s="11"/>
      </tp>
      <tp t="e">
        <v>#N/A</v>
        <stp/>
        <stp>BDH|15705750756836745047</stp>
        <tr r="R35" s="34"/>
      </tp>
      <tp t="e">
        <v>#N/A</v>
        <stp/>
        <stp>BDH|12374467764757645608</stp>
        <tr r="Z31" s="17"/>
      </tp>
      <tp t="e">
        <v>#N/A</v>
        <stp/>
        <stp>BDH|11297222262003761727</stp>
        <tr r="Z22" s="18"/>
      </tp>
      <tp t="e">
        <v>#N/A</v>
        <stp/>
        <stp>BDH|10591783008271769757</stp>
        <tr r="K16" s="24"/>
      </tp>
      <tp t="e">
        <v>#N/A</v>
        <stp/>
        <stp>BDH|10775673912941126746</stp>
        <tr r="G33" s="9"/>
      </tp>
      <tp t="e">
        <v>#N/A</v>
        <stp/>
        <stp>BDH|15305573958354313088</stp>
        <tr r="W35" s="12"/>
      </tp>
      <tp t="e">
        <v>#N/A</v>
        <stp/>
        <stp>BDH|14532673953567559139</stp>
        <tr r="C11" s="21"/>
      </tp>
      <tp t="e">
        <v>#N/A</v>
        <stp/>
        <stp>BDH|10524338686729227356</stp>
        <tr r="K67" s="18"/>
      </tp>
      <tp t="e">
        <v>#N/A</v>
        <stp/>
        <stp>BDH|15306521610849628904</stp>
        <tr r="H31" s="25"/>
        <tr r="E14" s="5"/>
        <tr r="H17" s="27"/>
      </tp>
      <tp t="e">
        <v>#N/A</v>
        <stp/>
        <stp>BDH|12078971059879973607</stp>
        <tr r="Y9" s="28"/>
      </tp>
      <tp t="e">
        <v>#N/A</v>
        <stp/>
        <stp>BDH|10099103574596750144</stp>
        <tr r="T69" s="24"/>
      </tp>
      <tp t="e">
        <v>#N/A</v>
        <stp/>
        <stp>BDH|16733870382813230476</stp>
        <tr r="P7" s="8"/>
      </tp>
      <tp t="e">
        <v>#N/A</v>
        <stp/>
        <stp>BDH|16312460070833540770</stp>
        <tr r="X11" s="9"/>
      </tp>
      <tp t="e">
        <v>#N/A</v>
        <stp/>
        <stp>BDH|18162053370496759849</stp>
        <tr r="D16" s="21"/>
      </tp>
      <tp t="e">
        <v>#N/A</v>
        <stp/>
        <stp>BDH|16730641670902134455</stp>
        <tr r="V28" s="22"/>
      </tp>
      <tp t="e">
        <v>#N/A</v>
        <stp/>
        <stp>BDH|11180062770766614160</stp>
        <tr r="X23" s="24"/>
      </tp>
      <tp t="e">
        <v>#N/A</v>
        <stp/>
        <stp>BDH|10326518318267971243</stp>
        <tr r="M6" s="27"/>
      </tp>
      <tp t="e">
        <v>#N/A</v>
        <stp/>
        <stp>BDH|11289357238988031889</stp>
        <tr r="N13" s="22"/>
      </tp>
      <tp t="e">
        <v>#N/A</v>
        <stp/>
        <stp>BDH|16742920956098049343</stp>
        <tr r="M12" s="21"/>
      </tp>
      <tp t="e">
        <v>#N/A</v>
        <stp/>
        <stp>BDH|15978789121949025877</stp>
        <tr r="O35" s="34"/>
      </tp>
      <tp t="e">
        <v>#N/A</v>
        <stp/>
        <stp>BDH|10439943592400327164</stp>
        <tr r="D37" s="24"/>
      </tp>
      <tp t="e">
        <v>#N/A</v>
        <stp/>
        <stp>BDH|12426062000354757724</stp>
        <tr r="T42" s="18"/>
      </tp>
      <tp t="e">
        <v>#N/A</v>
        <stp/>
        <stp>BDH|14485049048722820376</stp>
        <tr r="N13" s="7"/>
      </tp>
      <tp t="e">
        <v>#N/A</v>
        <stp/>
        <stp>BDH|14200056712771330510</stp>
        <tr r="C63" s="13"/>
      </tp>
      <tp t="e">
        <v>#N/A</v>
        <stp/>
        <stp>BDH|14200166126413712521</stp>
        <tr r="J69" s="17"/>
      </tp>
      <tp t="e">
        <v>#N/A</v>
        <stp/>
        <stp>BDH|13572507673734030415</stp>
        <tr r="C12" s="10"/>
      </tp>
      <tp t="e">
        <v>#N/A</v>
        <stp/>
        <stp>BDH|17201701156624023034</stp>
        <tr r="U26" s="13"/>
      </tp>
      <tp t="e">
        <v>#N/A</v>
        <stp/>
        <stp>BDH|10648707232371068436</stp>
        <tr r="S97" s="18"/>
        <tr r="S6" s="20"/>
      </tp>
      <tp t="e">
        <v>#N/A</v>
        <stp/>
        <stp>BDH|12883369795758940152</stp>
        <tr r="X33" s="14"/>
      </tp>
      <tp t="e">
        <v>#N/A</v>
        <stp/>
        <stp>BDH|17291984196611333788</stp>
        <tr r="E6" s="2"/>
        <tr r="D6" s="5"/>
        <tr r="D6" s="9"/>
        <tr r="F12" s="8"/>
        <tr r="E10" s="29"/>
        <tr r="E19" s="29"/>
        <tr r="E25" s="29"/>
      </tp>
      <tp t="e">
        <v>#N/A</v>
        <stp/>
        <stp>BDH|17915270708270029416</stp>
        <tr r="O84" s="18"/>
      </tp>
      <tp t="e">
        <v>#N/A</v>
        <stp/>
        <stp>BDH|10374387671180964540</stp>
        <tr r="U16" s="21"/>
      </tp>
      <tp t="e">
        <v>#N/A</v>
        <stp/>
        <stp>BDH|16535998118947256810</stp>
        <tr r="R57" s="12"/>
      </tp>
      <tp t="e">
        <v>#N/A</v>
        <stp/>
        <stp>BDH|13107218523576508418</stp>
        <tr r="P67" s="18"/>
      </tp>
      <tp t="e">
        <v>#N/A</v>
        <stp/>
        <stp>BDH|16077334180864772839</stp>
        <tr r="G21" s="22"/>
      </tp>
      <tp t="e">
        <v>#N/A</v>
        <stp/>
        <stp>BDH|13303708857870441070</stp>
        <tr r="G107" s="18"/>
      </tp>
      <tp t="e">
        <v>#N/A</v>
        <stp/>
        <stp>BDH|16337500632444671504</stp>
        <tr r="M61" s="18"/>
      </tp>
      <tp t="e">
        <v>#N/A</v>
        <stp/>
        <stp>BDH|10193731036604621158</stp>
        <tr r="U9" s="29"/>
      </tp>
      <tp t="e">
        <v>#N/A</v>
        <stp/>
        <stp>BDH|16456395172257892410</stp>
        <tr r="K9" s="34"/>
      </tp>
      <tp t="e">
        <v>#N/A</v>
        <stp/>
        <stp>BDH|11728319260261521451</stp>
        <tr r="U56" s="11"/>
      </tp>
      <tp t="e">
        <v>#N/A</v>
        <stp/>
        <stp>BDH|15944189688188616597</stp>
        <tr r="M69" s="18"/>
      </tp>
      <tp t="e">
        <v>#N/A</v>
        <stp/>
        <stp>BDH|10281785632697971276</stp>
        <tr r="E76" s="17"/>
        <tr r="E19" s="3"/>
      </tp>
      <tp t="e">
        <v>#N/A</v>
        <stp/>
        <stp>BDH|13584932983844310709</stp>
        <tr r="Z35" s="26"/>
      </tp>
      <tp t="e">
        <v>#N/A</v>
        <stp/>
        <stp>BDH|11577095906231427188</stp>
        <tr r="E39" s="12"/>
      </tp>
      <tp t="e">
        <v>#N/A</v>
        <stp/>
        <stp>BDH|17234290319850330572</stp>
        <tr r="O34" s="29"/>
      </tp>
      <tp t="e">
        <v>#N/A</v>
        <stp/>
        <stp>BDH|17519566134004165408</stp>
        <tr r="C9" s="17"/>
      </tp>
      <tp t="e">
        <v>#N/A</v>
        <stp/>
        <stp>BDH|11862555919742450668</stp>
        <tr r="D55" s="13"/>
      </tp>
      <tp t="e">
        <v>#N/A</v>
        <stp/>
        <stp>BDH|13985706581588773595</stp>
        <tr r="S65" s="18"/>
      </tp>
      <tp t="e">
        <v>#N/A</v>
        <stp/>
        <stp>BDH|16304941816387523829</stp>
        <tr r="Q10" s="17"/>
      </tp>
      <tp t="e">
        <v>#N/A</v>
        <stp/>
        <stp>BDH|11287195011860590095</stp>
        <tr r="O26" s="25"/>
        <tr r="O12" s="27"/>
      </tp>
      <tp t="e">
        <v>#N/A</v>
        <stp/>
        <stp>BDH|14754789625302862240</stp>
        <tr r="K105" s="18"/>
      </tp>
      <tp t="e">
        <v>#N/A</v>
        <stp/>
        <stp>BDH|17783363556136918683</stp>
        <tr r="C34" s="13"/>
      </tp>
      <tp t="e">
        <v>#N/A</v>
        <stp/>
        <stp>BDH|11703790731306881213</stp>
        <tr r="I51" s="12"/>
      </tp>
      <tp t="e">
        <v>#N/A</v>
        <stp/>
        <stp>BDH|15144487047874036080</stp>
        <tr r="G139" s="18"/>
      </tp>
      <tp t="e">
        <v>#N/A</v>
        <stp/>
        <stp>BDH|11292032241611607505</stp>
        <tr r="R19" s="22"/>
      </tp>
      <tp t="e">
        <v>#N/A</v>
        <stp/>
        <stp>BDH|17400948886633763477</stp>
        <tr r="F120" s="18"/>
      </tp>
      <tp t="e">
        <v>#N/A</v>
        <stp/>
        <stp>BDH|10070031923654277748</stp>
        <tr r="P14" s="2"/>
        <tr r="P11" s="10"/>
      </tp>
      <tp t="e">
        <v>#N/A</v>
        <stp/>
        <stp>BDH|17160752419866304683</stp>
        <tr r="L79" s="18"/>
      </tp>
      <tp t="e">
        <v>#N/A</v>
        <stp/>
        <stp>BDH|17408018057704308770</stp>
        <tr r="AA61" s="17"/>
      </tp>
      <tp t="e">
        <v>#N/A</v>
        <stp/>
        <stp>BDH|17936190456412394030</stp>
        <tr r="H56" s="24"/>
      </tp>
      <tp t="e">
        <v>#N/A</v>
        <stp/>
        <stp>BDH|16298609917350657058</stp>
        <tr r="N34" s="10"/>
        <tr r="N26" s="11"/>
      </tp>
      <tp t="e">
        <v>#N/A</v>
        <stp/>
        <stp>BDH|12290020045911649659</stp>
        <tr r="Q22" s="22"/>
      </tp>
      <tp t="e">
        <v>#N/A</v>
        <stp/>
        <stp>BDH|12192040631496148635</stp>
        <tr r="K23" s="21"/>
      </tp>
      <tp t="e">
        <v>#N/A</v>
        <stp/>
        <stp>BDH|13613536616933224570</stp>
        <tr r="L37" s="6"/>
      </tp>
      <tp t="e">
        <v>#N/A</v>
        <stp/>
        <stp>BDH|15252855426867280952</stp>
        <tr r="N71" s="12"/>
      </tp>
      <tp t="e">
        <v>#N/A</v>
        <stp/>
        <stp>BDH|10421415601947674248</stp>
        <tr r="Z54" s="12"/>
      </tp>
      <tp t="e">
        <v>#N/A</v>
        <stp/>
        <stp>BDH|17364335125104563365</stp>
        <tr r="V28" s="26"/>
      </tp>
      <tp t="e">
        <v>#N/A</v>
        <stp/>
        <stp>BDH|12674302757514333142</stp>
        <tr r="Q57" s="24"/>
      </tp>
      <tp t="e">
        <v>#N/A</v>
        <stp/>
        <stp>BDH|10586206847882606527</stp>
        <tr r="C49" s="17"/>
      </tp>
      <tp t="e">
        <v>#N/A</v>
        <stp/>
        <stp>BDH|17730160163251216061</stp>
        <tr r="U37" s="34"/>
      </tp>
      <tp t="e">
        <v>#N/A</v>
        <stp/>
        <stp>BDH|16628123421874414078</stp>
        <tr r="E117" s="18"/>
      </tp>
      <tp t="e">
        <v>#N/A</v>
        <stp/>
        <stp>BDH|11036964998686889609</stp>
        <tr r="I63" s="21"/>
        <tr r="G23" s="7"/>
      </tp>
      <tp t="e">
        <v>#N/A</v>
        <stp/>
        <stp>BDH|15745503854772214671</stp>
        <tr r="O44" s="13"/>
      </tp>
      <tp t="e">
        <v>#N/A</v>
        <stp/>
        <stp>BDH|10573751956211241220</stp>
        <tr r="G44" s="13"/>
      </tp>
      <tp t="e">
        <v>#N/A</v>
        <stp/>
        <stp>BDH|14277035945720236106</stp>
        <tr r="O70" s="12"/>
      </tp>
      <tp t="e">
        <v>#N/A</v>
        <stp/>
        <stp>BDH|16670752274214812396</stp>
        <tr r="N41" s="21"/>
      </tp>
      <tp t="e">
        <v>#N/A</v>
        <stp/>
        <stp>BDH|17191827607956633844</stp>
        <tr r="E65" s="12"/>
      </tp>
      <tp t="e">
        <v>#N/A</v>
        <stp/>
        <stp>BDH|18333432265062087939</stp>
        <tr r="F21" s="9"/>
      </tp>
      <tp t="e">
        <v>#N/A</v>
        <stp/>
        <stp>BDH|15627446241252022654</stp>
        <tr r="U41" s="22"/>
      </tp>
      <tp t="e">
        <v>#N/A</v>
        <stp/>
        <stp>BDH|16355960681201621745</stp>
        <tr r="C11" s="29"/>
      </tp>
      <tp t="e">
        <v>#N/A</v>
        <stp/>
        <stp>BDH|15955184805347563273</stp>
        <tr r="R11" s="13"/>
      </tp>
      <tp t="e">
        <v>#N/A</v>
        <stp/>
        <stp>BDH|13178631735190191709</stp>
        <tr r="E18" s="20"/>
      </tp>
      <tp t="e">
        <v>#N/A</v>
        <stp/>
        <stp>BDH|14594470157560424478</stp>
        <tr r="AA62" s="18"/>
      </tp>
      <tp t="e">
        <v>#N/A</v>
        <stp/>
        <stp>BDH|17263327493635239971</stp>
        <tr r="H89" s="12"/>
      </tp>
      <tp t="e">
        <v>#N/A</v>
        <stp/>
        <stp>BDH|12538527120701027514</stp>
        <tr r="C65" s="17"/>
      </tp>
      <tp t="e">
        <v>#N/A</v>
        <stp/>
        <stp>BDH|13169384009575625400</stp>
        <tr r="R46" s="21"/>
      </tp>
      <tp t="e">
        <v>#N/A</v>
        <stp/>
        <stp>BDH|10851093706522715367</stp>
        <tr r="E17" s="17"/>
        <tr r="E20" s="28"/>
      </tp>
      <tp t="e">
        <v>#N/A</v>
        <stp/>
        <stp>BDH|11843102029340114361</stp>
        <tr r="T30" s="26"/>
      </tp>
      <tp t="e">
        <v>#N/A</v>
        <stp/>
        <stp>BDH|16992298642262709337</stp>
        <tr r="I23" s="17"/>
      </tp>
      <tp t="e">
        <v>#N/A</v>
        <stp/>
        <stp>BDH|13712605595255528810</stp>
        <tr r="R76" s="18"/>
      </tp>
      <tp t="e">
        <v>#N/A</v>
        <stp/>
        <stp>BDH|17813012933825055035</stp>
        <tr r="U58" s="6"/>
      </tp>
      <tp t="e">
        <v>#N/A</v>
        <stp/>
        <stp>BDH|10730530697914372996</stp>
        <tr r="D39" s="10"/>
        <tr r="D31" s="11"/>
      </tp>
      <tp t="e">
        <v>#N/A</v>
        <stp/>
        <stp>BDH|17855365648022725389</stp>
        <tr r="G27" s="7"/>
      </tp>
      <tp t="e">
        <v>#N/A</v>
        <stp/>
        <stp>BDH|17393778466906238191</stp>
        <tr r="P9" s="6"/>
      </tp>
      <tp t="e">
        <v>#N/A</v>
        <stp/>
        <stp>BDH|10835493298918976494</stp>
        <tr r="M87" s="24"/>
      </tp>
      <tp t="e">
        <v>#N/A</v>
        <stp/>
        <stp>BDH|12533079346706433194</stp>
        <tr r="S50" s="24"/>
      </tp>
      <tp t="e">
        <v>#N/A</v>
        <stp/>
        <stp>BDH|13448235239993042075</stp>
        <tr r="O16" s="26"/>
      </tp>
      <tp t="e">
        <v>#N/A</v>
        <stp/>
        <stp>BDH|15752786598993844966</stp>
        <tr r="E66" s="12"/>
      </tp>
      <tp t="e">
        <v>#N/A</v>
        <stp/>
        <stp>BDH|17894393866380620383</stp>
        <tr r="N21" s="22"/>
      </tp>
      <tp t="e">
        <v>#N/A</v>
        <stp/>
        <stp>BDH|14326926426307717999</stp>
        <tr r="U86" s="24"/>
      </tp>
      <tp t="e">
        <v>#N/A</v>
        <stp/>
        <stp>BDH|11803055916345588471</stp>
        <tr r="AA19" s="30"/>
      </tp>
      <tp t="e">
        <v>#N/A</v>
        <stp/>
        <stp>BDH|17387191833291946591</stp>
        <tr r="W9" s="2"/>
        <tr r="Y8" s="25"/>
        <tr r="V10" s="5"/>
      </tp>
      <tp t="e">
        <v>#N/A</v>
        <stp/>
        <stp>BDH|10952039483450341932</stp>
        <tr r="V27" s="12"/>
      </tp>
      <tp t="e">
        <v>#N/A</v>
        <stp/>
        <stp>BDH|11390817369968188632</stp>
        <tr r="Y63" s="21"/>
        <tr r="W23" s="7"/>
      </tp>
      <tp t="e">
        <v>#N/A</v>
        <stp/>
        <stp>BDH|10637392143816668032</stp>
        <tr r="M100" s="18"/>
        <tr r="M9" s="20"/>
      </tp>
      <tp t="e">
        <v>#N/A</v>
        <stp/>
        <stp>BDH|12546371328331597362</stp>
        <tr r="I27" s="17"/>
      </tp>
      <tp t="e">
        <v>#N/A</v>
        <stp/>
        <stp>BDH|11921159040526104342</stp>
        <tr r="F25" s="21"/>
      </tp>
      <tp t="e">
        <v>#N/A</v>
        <stp/>
        <stp>BDH|11993407077133240057</stp>
        <tr r="D17" s="4"/>
        <tr r="F10" s="3"/>
        <tr r="D56" s="10"/>
        <tr r="D48" s="11"/>
        <tr r="D17" s="7"/>
        <tr r="F54" s="13"/>
      </tp>
      <tp t="e">
        <v>#N/A</v>
        <stp/>
        <stp>BDH|17105292939943815409</stp>
        <tr r="G72" s="12"/>
      </tp>
      <tp t="e">
        <v>#N/A</v>
        <stp/>
        <stp>BDH|12075555029955519109</stp>
        <tr r="J45" s="24"/>
      </tp>
      <tp t="e">
        <v>#N/A</v>
        <stp/>
        <stp>BDH|12683099727562158302</stp>
        <tr r="I15" s="20"/>
      </tp>
      <tp t="e">
        <v>#N/A</v>
        <stp/>
        <stp>BDH|11809011841261890598</stp>
        <tr r="Z32" s="12"/>
      </tp>
      <tp t="e">
        <v>#N/A</v>
        <stp/>
        <stp>BDH|14677384565903113339</stp>
        <tr r="H22" s="12"/>
      </tp>
      <tp t="e">
        <v>#N/A</v>
        <stp/>
        <stp>BDH|12216650305207255294</stp>
        <tr r="O80" s="18"/>
      </tp>
      <tp t="e">
        <v>#N/A</v>
        <stp/>
        <stp>BDH|16981641627511296217</stp>
        <tr r="W72" s="12"/>
      </tp>
      <tp t="e">
        <v>#N/A</v>
        <stp/>
        <stp>BDH|10546796365622119214</stp>
        <tr r="W90" s="12"/>
      </tp>
      <tp t="e">
        <v>#N/A</v>
        <stp/>
        <stp>BDH|11836412071436901584</stp>
        <tr r="W77" s="12"/>
      </tp>
      <tp t="e">
        <v>#N/A</v>
        <stp/>
        <stp>BDH|15865624171133754656</stp>
        <tr r="Y41" s="21"/>
      </tp>
      <tp t="e">
        <v>#N/A</v>
        <stp/>
        <stp>BDH|14812398949657810599</stp>
        <tr r="P70" s="17"/>
      </tp>
      <tp t="e">
        <v>#N/A</v>
        <stp/>
        <stp>BDH|16853148386888756647</stp>
        <tr r="C82" s="12"/>
      </tp>
      <tp t="e">
        <v>#N/A</v>
        <stp/>
        <stp>BDH|14223112139682313501</stp>
        <tr r="V48" s="21"/>
      </tp>
      <tp t="e">
        <v>#N/A</v>
        <stp/>
        <stp>BDH|17807111805057743023</stp>
        <tr r="U26" s="25"/>
        <tr r="U12" s="27"/>
      </tp>
      <tp t="e">
        <v>#N/A</v>
        <stp/>
        <stp>BDH|13488625942912447296</stp>
        <tr r="L62" s="18"/>
      </tp>
      <tp t="e">
        <v>#N/A</v>
        <stp/>
        <stp>BDH|15776136506252847731</stp>
        <tr r="Q68" s="17"/>
      </tp>
      <tp t="e">
        <v>#N/A</v>
        <stp/>
        <stp>BDH|17072896701939081715</stp>
        <tr r="AA111" s="18"/>
      </tp>
      <tp t="e">
        <v>#N/A</v>
        <stp/>
        <stp>BDH|16013692024602080148</stp>
        <tr r="J13" s="7"/>
      </tp>
      <tp t="e">
        <v>#N/A</v>
        <stp/>
        <stp>BDH|16239420915082525095</stp>
        <tr r="S17" s="30"/>
      </tp>
      <tp t="e">
        <v>#N/A</v>
        <stp/>
        <stp>BDH|12849253291210726823</stp>
        <tr r="S77" s="24"/>
      </tp>
      <tp t="e">
        <v>#N/A</v>
        <stp/>
        <stp>BDH|15851611362022191639</stp>
        <tr r="J14" s="12"/>
      </tp>
      <tp t="e">
        <v>#N/A</v>
        <stp/>
        <stp>BDH|16869457410900520201</stp>
        <tr r="H77" s="24"/>
      </tp>
      <tp t="e">
        <v>#N/A</v>
        <stp/>
        <stp>BDH|13004017828278277839</stp>
        <tr r="N46" s="12"/>
      </tp>
      <tp t="e">
        <v>#N/A</v>
        <stp/>
        <stp>BDH|16508212016160992431</stp>
        <tr r="F60" s="13"/>
      </tp>
      <tp t="e">
        <v>#N/A</v>
        <stp/>
        <stp>BDH|17658030225701884501</stp>
        <tr r="E22" s="4"/>
      </tp>
      <tp t="e">
        <v>#N/A</v>
        <stp/>
        <stp>BDH|12744866927980854965</stp>
        <tr r="Q28" s="4"/>
      </tp>
      <tp t="e">
        <v>#N/A</v>
        <stp/>
        <stp>BDH|11849099808153334324</stp>
        <tr r="G71" s="12"/>
      </tp>
      <tp t="e">
        <v>#N/A</v>
        <stp/>
        <stp>BDH|12562388505393509357</stp>
        <tr r="M31" s="9"/>
      </tp>
      <tp t="e">
        <v>#N/A</v>
        <stp/>
        <stp>BDH|12622873867288611588</stp>
        <tr r="E7" s="4"/>
      </tp>
      <tp t="e">
        <v>#N/A</v>
        <stp/>
        <stp>BDH|13280770733855991373</stp>
        <tr r="N134" s="18"/>
      </tp>
      <tp t="e">
        <v>#N/A</v>
        <stp/>
        <stp>BDH|12538894657229581764</stp>
        <tr r="F85" s="17"/>
      </tp>
      <tp t="e">
        <v>#N/A</v>
        <stp/>
        <stp>BDH|13680410849230075264</stp>
        <tr r="T127" s="18"/>
      </tp>
      <tp t="e">
        <v>#N/A</v>
        <stp/>
        <stp>BDH|17849201675081243278</stp>
        <tr r="X85" s="17"/>
      </tp>
      <tp t="e">
        <v>#N/A</v>
        <stp/>
        <stp>BDH|16717738186391814923</stp>
        <tr r="F51" s="6"/>
        <tr r="H6" s="8"/>
      </tp>
      <tp t="e">
        <v>#N/A</v>
        <stp/>
        <stp>BDH|17667383291295198966</stp>
        <tr r="S56" s="12"/>
      </tp>
      <tp t="e">
        <v>#N/A</v>
        <stp/>
        <stp>BDH|17763964007509787691</stp>
        <tr r="S12" s="20"/>
      </tp>
      <tp t="e">
        <v>#N/A</v>
        <stp/>
        <stp>BDH|16214110174848946963</stp>
        <tr r="R58" s="6"/>
      </tp>
      <tp t="e">
        <v>#N/A</v>
        <stp/>
        <stp>BDH|15443678952345128283</stp>
        <tr r="T21" s="18"/>
      </tp>
      <tp t="e">
        <v>#N/A</v>
        <stp/>
        <stp>BDH|14545027765640317399</stp>
        <tr r="W29" s="17"/>
      </tp>
      <tp t="e">
        <v>#N/A</v>
        <stp/>
        <stp>BDH|16352488266236740326</stp>
        <tr r="H27" s="26"/>
      </tp>
      <tp t="e">
        <v>#N/A</v>
        <stp/>
        <stp>BDH|12037658358516067655</stp>
        <tr r="K8" s="4"/>
      </tp>
      <tp t="e">
        <v>#N/A</v>
        <stp/>
        <stp>BDH|18114426719285234905</stp>
        <tr r="P128" s="18"/>
      </tp>
      <tp t="e">
        <v>#N/A</v>
        <stp/>
        <stp>BDH|16247353823265477381</stp>
        <tr r="K56" s="11"/>
      </tp>
      <tp t="e">
        <v>#N/A</v>
        <stp/>
        <stp>BDH|11334688926036400219</stp>
        <tr r="P13" s="18"/>
      </tp>
      <tp t="e">
        <v>#N/A</v>
        <stp/>
        <stp>BDH|10462716861727431785</stp>
        <tr r="S17" s="17"/>
        <tr r="S20" s="28"/>
      </tp>
      <tp t="e">
        <v>#N/A</v>
        <stp/>
        <stp>BDH|14067035720236258195</stp>
        <tr r="Q45" s="13"/>
      </tp>
      <tp t="e">
        <v>#N/A</v>
        <stp/>
        <stp>BDH|11914134480959492064</stp>
        <tr r="U61" s="24"/>
      </tp>
      <tp t="e">
        <v>#N/A</v>
        <stp/>
        <stp>BDH|18130057620539551294</stp>
        <tr r="E28" s="34"/>
      </tp>
      <tp t="e">
        <v>#N/A</v>
        <stp/>
        <stp>BDH|17960515379583063797</stp>
        <tr r="V34" s="6"/>
      </tp>
      <tp t="e">
        <v>#N/A</v>
        <stp/>
        <stp>BDH|17602098615175089226</stp>
        <tr r="E32" s="18"/>
      </tp>
      <tp t="e">
        <v>#N/A</v>
        <stp/>
        <stp>BDH|12474437859653049165</stp>
        <tr r="S41" s="17"/>
        <tr r="S9" s="25"/>
      </tp>
      <tp t="e">
        <v>#N/A</v>
        <stp/>
        <stp>BDH|17556704358351413514</stp>
        <tr r="H122" s="18"/>
      </tp>
      <tp t="e">
        <v>#N/A</v>
        <stp/>
        <stp>BDH|15423157110434868011</stp>
        <tr r="U49" s="17"/>
      </tp>
      <tp t="e">
        <v>#N/A</v>
        <stp/>
        <stp>BDH|15462070744149895978</stp>
        <tr r="Q65" s="24"/>
      </tp>
      <tp t="e">
        <v>#N/A</v>
        <stp/>
        <stp>BDH|17565680924316901480</stp>
        <tr r="K21" s="10"/>
      </tp>
      <tp t="e">
        <v>#N/A</v>
        <stp/>
        <stp>BDH|11402184963516373143</stp>
        <tr r="D61" s="11"/>
      </tp>
      <tp t="e">
        <v>#N/A</v>
        <stp/>
        <stp>BDH|15296452602486592683</stp>
        <tr r="I8" s="28"/>
      </tp>
      <tp t="e">
        <v>#N/A</v>
        <stp/>
        <stp>BDH|17395028591719024681</stp>
        <tr r="Q18" s="12"/>
      </tp>
      <tp t="e">
        <v>#N/A</v>
        <stp/>
        <stp>BDH|12812106064621576512</stp>
        <tr r="D13" s="6"/>
      </tp>
      <tp t="e">
        <v>#N/A</v>
        <stp/>
        <stp>BDH|13843655605452190618</stp>
        <tr r="D34" s="17"/>
      </tp>
      <tp t="e">
        <v>#N/A</v>
        <stp/>
        <stp>BDH|13287474010335896252</stp>
        <tr r="M14" s="20"/>
      </tp>
      <tp t="e">
        <v>#N/A</v>
        <stp/>
        <stp>BDH|17164550167570360581</stp>
        <tr r="W32" s="25"/>
        <tr r="W18" s="27"/>
      </tp>
      <tp t="e">
        <v>#N/A</v>
        <stp/>
        <stp>BDH|11640806417039399090</stp>
        <tr r="N16" s="6"/>
      </tp>
      <tp t="e">
        <v>#N/A</v>
        <stp/>
        <stp>BDH|15302221544693656189</stp>
        <tr r="S83" s="24"/>
      </tp>
      <tp t="e">
        <v>#N/A</v>
        <stp/>
        <stp>BDH|11031105879855668343</stp>
        <tr r="D13" s="9"/>
      </tp>
      <tp t="e">
        <v>#N/A</v>
        <stp/>
        <stp>BDH|17874550237935926587</stp>
        <tr r="H18" s="5"/>
        <tr r="H41" s="6"/>
      </tp>
      <tp t="e">
        <v>#N/A</v>
        <stp/>
        <stp>BDH|13938521178676196697</stp>
        <tr r="V56" s="13"/>
      </tp>
      <tp t="e">
        <v>#N/A</v>
        <stp/>
        <stp>BDH|11180892520352312802</stp>
        <tr r="S45" s="22"/>
      </tp>
      <tp t="e">
        <v>#N/A</v>
        <stp/>
        <stp>BDH|12880496036011961551</stp>
        <tr r="L25" s="34"/>
      </tp>
      <tp t="e">
        <v>#N/A</v>
        <stp/>
        <stp>BDH|12990494098817494974</stp>
        <tr r="G15" s="18"/>
      </tp>
      <tp t="e">
        <v>#N/A</v>
        <stp/>
        <stp>BDH|17936068567207540765</stp>
        <tr r="D47" s="13"/>
      </tp>
      <tp t="e">
        <v>#N/A</v>
        <stp/>
        <stp>BDH|15750781344643635469</stp>
        <tr r="I62" s="12"/>
      </tp>
      <tp t="e">
        <v>#N/A</v>
        <stp/>
        <stp>BDH|15106115526374802359</stp>
        <tr r="N25" s="13"/>
      </tp>
      <tp t="e">
        <v>#N/A</v>
        <stp/>
        <stp>BDH|15200353458321270368</stp>
        <tr r="F9" s="3"/>
        <tr r="D51" s="10"/>
        <tr r="D43" s="11"/>
        <tr r="D14" s="7"/>
      </tp>
      <tp t="e">
        <v>#N/A</v>
        <stp/>
        <stp>BDH|16751716363446680080</stp>
        <tr r="E24" s="21"/>
      </tp>
      <tp t="e">
        <v>#N/A</v>
        <stp/>
        <stp>BDH|12978864982286580537</stp>
        <tr r="L21" s="21"/>
      </tp>
      <tp t="e">
        <v>#N/A</v>
        <stp/>
        <stp>BDH|16131882610487735958</stp>
        <tr r="C135" s="18"/>
      </tp>
      <tp t="e">
        <v>#N/A</v>
        <stp/>
        <stp>BDH|11641003818695775428</stp>
        <tr r="X22" s="12"/>
      </tp>
      <tp t="e">
        <v>#N/A</v>
        <stp/>
        <stp>BDH|16455747411302273388</stp>
        <tr r="K18" s="9"/>
      </tp>
      <tp t="e">
        <v>#N/A</v>
        <stp/>
        <stp>BDH|14155494744852218755</stp>
        <tr r="M33" s="9"/>
      </tp>
      <tp t="e">
        <v>#N/A</v>
        <stp/>
        <stp>BDH|13562612312657565289</stp>
        <tr r="O33" s="12"/>
      </tp>
      <tp t="e">
        <v>#N/A</v>
        <stp/>
        <stp>BDH|14185732028745062516</stp>
        <tr r="C56" s="11"/>
      </tp>
      <tp t="e">
        <v>#N/A</v>
        <stp/>
        <stp>BDH|12899347786128378024</stp>
        <tr r="V46" s="12"/>
      </tp>
      <tp t="e">
        <v>#N/A</v>
        <stp/>
        <stp>BDH|10991201606933392074</stp>
        <tr r="Q29" s="4"/>
      </tp>
      <tp t="e">
        <v>#N/A</v>
        <stp/>
        <stp>BDH|16011916403759153789</stp>
        <tr r="V80" s="18"/>
      </tp>
      <tp t="e">
        <v>#N/A</v>
        <stp/>
        <stp>BDH|10993057672287663138</stp>
        <tr r="D11" s="12"/>
      </tp>
      <tp t="e">
        <v>#N/A</v>
        <stp/>
        <stp>BDH|11836060962562630417</stp>
        <tr r="W27" s="6"/>
      </tp>
      <tp t="e">
        <v>#N/A</v>
        <stp/>
        <stp>BDH|13436683141161032160</stp>
        <tr r="X41" s="12"/>
      </tp>
      <tp t="e">
        <v>#N/A</v>
        <stp/>
        <stp>BDH|10915851397075119510</stp>
        <tr r="X24" s="2"/>
      </tp>
      <tp t="e">
        <v>#N/A</v>
        <stp/>
        <stp>BDH|12366387173092459575</stp>
        <tr r="X52" s="24"/>
      </tp>
      <tp t="e">
        <v>#N/A</v>
        <stp/>
        <stp>BDH|16362137946345903742</stp>
        <tr r="X71" s="12"/>
      </tp>
      <tp t="e">
        <v>#N/A</v>
        <stp/>
        <stp>BDH|16279142259707203462</stp>
        <tr r="W26" s="22"/>
      </tp>
      <tp t="e">
        <v>#N/A</v>
        <stp/>
        <stp>BDH|13637645789015147912</stp>
        <tr r="I16" s="25"/>
      </tp>
      <tp t="e">
        <v>#N/A</v>
        <stp/>
        <stp>BDH|16252604269062624563</stp>
        <tr r="T9" s="18"/>
      </tp>
      <tp t="e">
        <v>#N/A</v>
        <stp/>
        <stp>BDH|13370944037088867032</stp>
        <tr r="O12" s="14"/>
      </tp>
      <tp t="e">
        <v>#N/A</v>
        <stp/>
        <stp>BDH|15560651073607008286</stp>
        <tr r="N15" s="5"/>
      </tp>
      <tp t="e">
        <v>#N/A</v>
        <stp/>
        <stp>BDH|14380369767776095699</stp>
        <tr r="D61" s="18"/>
      </tp>
      <tp t="e">
        <v>#N/A</v>
        <stp/>
        <stp>BDH|13923353552310470413</stp>
        <tr r="Z27" s="14"/>
      </tp>
      <tp t="e">
        <v>#N/A</v>
        <stp/>
        <stp>BDH|12873428078904900400</stp>
        <tr r="T32" s="21"/>
      </tp>
      <tp t="e">
        <v>#N/A</v>
        <stp/>
        <stp>BDH|15869328026855334040</stp>
        <tr r="O53" s="12"/>
      </tp>
      <tp t="e">
        <v>#N/A</v>
        <stp/>
        <stp>BDH|13882020490728931389</stp>
        <tr r="H6" s="27"/>
      </tp>
      <tp t="e">
        <v>#N/A</v>
        <stp/>
        <stp>BDH|14467285545025035625</stp>
        <tr r="Q7" s="21"/>
      </tp>
      <tp t="e">
        <v>#N/A</v>
        <stp/>
        <stp>BDH|14964901166439111357</stp>
        <tr r="Z13" s="24"/>
      </tp>
      <tp t="e">
        <v>#N/A</v>
        <stp/>
        <stp>BDH|18231499258670905819</stp>
        <tr r="L74" s="12"/>
      </tp>
      <tp t="e">
        <v>#N/A</v>
        <stp/>
        <stp>BDH|16142055116655856317</stp>
        <tr r="R16" s="22"/>
      </tp>
      <tp t="e">
        <v>#N/A</v>
        <stp/>
        <stp>BDH|14761111625042000482</stp>
        <tr r="Z75" s="17"/>
        <tr r="W9" s="5"/>
        <tr r="W9" s="9"/>
      </tp>
      <tp t="e">
        <v>#N/A</v>
        <stp/>
        <stp>BDH|15980775922862627313</stp>
        <tr r="I25" s="21"/>
      </tp>
      <tp t="e">
        <v>#N/A</v>
        <stp/>
        <stp>BDH|14160725735153806249</stp>
        <tr r="P75" s="18"/>
        <tr r="P64" s="12"/>
      </tp>
      <tp t="e">
        <v>#N/A</v>
        <stp/>
        <stp>BDH|14169438219590120002</stp>
        <tr r="E15" s="26"/>
      </tp>
      <tp t="e">
        <v>#N/A</v>
        <stp/>
        <stp>BDH|17142349949196737715</stp>
        <tr r="F6" s="27"/>
      </tp>
      <tp t="e">
        <v>#N/A</v>
        <stp/>
        <stp>BDH|14225692377977763315</stp>
        <tr r="I8" s="6"/>
      </tp>
      <tp t="e">
        <v>#N/A</v>
        <stp/>
        <stp>BDH|15121928841098108193</stp>
        <tr r="X134" s="18"/>
      </tp>
      <tp t="e">
        <v>#N/A</v>
        <stp/>
        <stp>BDH|12930619274596521434</stp>
        <tr r="L27" s="18"/>
      </tp>
      <tp t="e">
        <v>#N/A</v>
        <stp/>
        <stp>BDH|14211298674721400116</stp>
        <tr r="I117" s="18"/>
      </tp>
      <tp t="e">
        <v>#N/A</v>
        <stp/>
        <stp>BDH|15602030206495958109</stp>
        <tr r="W69" s="12"/>
      </tp>
      <tp t="e">
        <v>#N/A</v>
        <stp/>
        <stp>BDH|11348098941820534448</stp>
        <tr r="Q8" s="21"/>
      </tp>
      <tp t="e">
        <v>#N/A</v>
        <stp/>
        <stp>BDH|12513110431046675799</stp>
        <tr r="C22" s="11"/>
      </tp>
      <tp t="e">
        <v>#N/A</v>
        <stp/>
        <stp>BDH|13343228261151977735</stp>
        <tr r="F29" s="29"/>
        <tr r="F7" s="29"/>
      </tp>
      <tp t="e">
        <v>#N/A</v>
        <stp/>
        <stp>BDH|15487088126734886281</stp>
        <tr r="L13" s="18"/>
      </tp>
      <tp t="e">
        <v>#N/A</v>
        <stp/>
        <stp>BDH|11300313999232446858</stp>
        <tr r="V25" s="26"/>
      </tp>
      <tp t="e">
        <v>#N/A</v>
        <stp/>
        <stp>BDH|17886861825398730464</stp>
        <tr r="U11" s="17"/>
      </tp>
      <tp t="e">
        <v>#N/A</v>
        <stp/>
        <stp>BDH|10634870300939265091</stp>
        <tr r="U18" s="5"/>
        <tr r="U41" s="6"/>
      </tp>
      <tp t="e">
        <v>#N/A</v>
        <stp/>
        <stp>BDH|17892126404100130751</stp>
        <tr r="H57" s="24"/>
      </tp>
      <tp t="e">
        <v>#N/A</v>
        <stp/>
        <stp>BDH|11500585128294965362</stp>
        <tr r="T55" s="13"/>
      </tp>
      <tp t="e">
        <v>#N/A</v>
        <stp/>
        <stp>BDH|17139282203030254427</stp>
        <tr r="I20" s="27"/>
      </tp>
      <tp t="e">
        <v>#N/A</v>
        <stp/>
        <stp>BDH|17918841641739462322</stp>
        <tr r="C19" s="26"/>
      </tp>
      <tp t="e">
        <v>#N/A</v>
        <stp/>
        <stp>BDH|15586810427916124880</stp>
        <tr r="Z15" s="25"/>
      </tp>
      <tp t="e">
        <v>#N/A</v>
        <stp/>
        <stp>BDH|11927515406303133654</stp>
        <tr r="AA42" s="21"/>
      </tp>
      <tp t="e">
        <v>#N/A</v>
        <stp/>
        <stp>BDH|15403459329702368019</stp>
        <tr r="L22" s="7"/>
      </tp>
      <tp t="e">
        <v>#N/A</v>
        <stp/>
        <stp>BDH|17041626614730473183</stp>
        <tr r="H22" s="21"/>
      </tp>
      <tp t="e">
        <v>#N/A</v>
        <stp/>
        <stp>BDH|14516708576786914308</stp>
        <tr r="R47" s="6"/>
      </tp>
      <tp t="e">
        <v>#N/A</v>
        <stp/>
        <stp>BDH|15626345958810311239</stp>
        <tr r="Y135" s="18"/>
      </tp>
      <tp t="e">
        <v>#N/A</v>
        <stp/>
        <stp>BDH|17289360154299898924</stp>
        <tr r="X58" s="13"/>
      </tp>
      <tp t="e">
        <v>#N/A</v>
        <stp/>
        <stp>BDH|16779224164737269495</stp>
        <tr r="U52" s="17"/>
        <tr r="U10" s="25"/>
      </tp>
      <tp t="e">
        <v>#N/A</v>
        <stp/>
        <stp>BDH|15408007294048910530</stp>
        <tr r="S87" s="12"/>
      </tp>
      <tp t="e">
        <v>#N/A</v>
        <stp/>
        <stp>BDH|10168794971463582268</stp>
        <tr r="H12" s="20"/>
      </tp>
      <tp t="e">
        <v>#N/A</v>
        <stp/>
        <stp>BDH|16774227546668911901</stp>
        <tr r="W60" s="18"/>
      </tp>
      <tp t="e">
        <v>#N/A</v>
        <stp/>
        <stp>BDH|11615043016757980678</stp>
        <tr r="T64" s="17"/>
      </tp>
      <tp t="e">
        <v>#N/A</v>
        <stp/>
        <stp>BDH|11962065375547815082</stp>
        <tr r="I64" s="13"/>
      </tp>
      <tp t="e">
        <v>#N/A</v>
        <stp/>
        <stp>BDH|16808424729581008095</stp>
        <tr r="T18" s="26"/>
      </tp>
      <tp t="e">
        <v>#N/A</v>
        <stp/>
        <stp>BDH|10456220685028994308</stp>
        <tr r="C40" s="21"/>
      </tp>
      <tp t="e">
        <v>#N/A</v>
        <stp/>
        <stp>BDH|13210428767296911631</stp>
        <tr r="K42" s="18"/>
      </tp>
      <tp t="e">
        <v>#N/A</v>
        <stp/>
        <stp>BDH|10179479304053611694</stp>
        <tr r="G23" s="21"/>
      </tp>
      <tp t="e">
        <v>#N/A</v>
        <stp/>
        <stp>BDH|10220029413738859862</stp>
        <tr r="AA41" s="17"/>
        <tr r="AA9" s="25"/>
      </tp>
      <tp t="e">
        <v>#N/A</v>
        <stp/>
        <stp>BDH|16610694027881206276</stp>
        <tr r="O33" s="5"/>
      </tp>
      <tp t="e">
        <v>#N/A</v>
        <stp/>
        <stp>BDH|17685526049787616063</stp>
        <tr r="N13" s="11"/>
      </tp>
      <tp t="e">
        <v>#N/A</v>
        <stp/>
        <stp>BDH|10696796630200507576</stp>
        <tr r="G12" s="14"/>
      </tp>
      <tp t="e">
        <v>#N/A</v>
        <stp/>
        <stp>BDH|14333530729876093449</stp>
        <tr r="Z28" s="17"/>
      </tp>
      <tp t="e">
        <v>#N/A</v>
        <stp/>
        <stp>BDH|12330691221571799614</stp>
        <tr r="O39" s="34"/>
      </tp>
      <tp t="e">
        <v>#N/A</v>
        <stp/>
        <stp>BDH|12898066040814542369</stp>
        <tr r="E59" s="12"/>
      </tp>
      <tp t="e">
        <v>#N/A</v>
        <stp/>
        <stp>BDH|13859508275182558253</stp>
        <tr r="H23" s="23"/>
      </tp>
      <tp t="e">
        <v>#N/A</v>
        <stp/>
        <stp>BDH|10937731419012630588</stp>
        <tr r="U25" s="12"/>
      </tp>
      <tp t="e">
        <v>#N/A</v>
        <stp/>
        <stp>BDH|12804291283568745188</stp>
        <tr r="AA58" s="17"/>
      </tp>
      <tp t="e">
        <v>#N/A</v>
        <stp/>
        <stp>BDH|12682587092749659672</stp>
        <tr r="N59" s="24"/>
      </tp>
      <tp t="e">
        <v>#N/A</v>
        <stp/>
        <stp>BDH|14526187555234299571</stp>
        <tr r="F9" s="28"/>
      </tp>
      <tp t="e">
        <v>#N/A</v>
        <stp/>
        <stp>BDH|17442269064683832137</stp>
        <tr r="X34" s="10"/>
        <tr r="X26" s="11"/>
      </tp>
      <tp t="e">
        <v>#N/A</v>
        <stp/>
        <stp>BDH|13688136038284063405</stp>
        <tr r="W10" s="12"/>
      </tp>
      <tp t="e">
        <v>#N/A</v>
        <stp/>
        <stp>BDH|15161261257330527388</stp>
        <tr r="R54" s="17"/>
      </tp>
      <tp t="e">
        <v>#N/A</v>
        <stp/>
        <stp>BDH|18109813148572031758</stp>
        <tr r="Z23" s="24"/>
      </tp>
      <tp t="e">
        <v>#N/A</v>
        <stp/>
        <stp>BDH|16370406527817934607</stp>
        <tr r="K15" s="24"/>
      </tp>
      <tp t="e">
        <v>#N/A</v>
        <stp/>
        <stp>BDH|15681902935658720692</stp>
        <tr r="O8" s="13"/>
      </tp>
      <tp t="e">
        <v>#N/A</v>
        <stp/>
        <stp>BDH|17770586506861256260</stp>
        <tr r="J19" s="12"/>
      </tp>
      <tp t="e">
        <v>#N/A</v>
        <stp/>
        <stp>BDH|13021394123841742206</stp>
        <tr r="W19" s="5"/>
        <tr r="W46" s="6"/>
      </tp>
      <tp t="e">
        <v>#N/A</v>
        <stp/>
        <stp>BDH|10099286875143936791</stp>
        <tr r="D28" s="4"/>
      </tp>
      <tp t="e">
        <v>#N/A</v>
        <stp/>
        <stp>BDH|18060003993716963677</stp>
        <tr r="U16" s="10"/>
      </tp>
      <tp t="e">
        <v>#N/A</v>
        <stp/>
        <stp>BDH|17507540921603572283</stp>
        <tr r="Z20" s="24"/>
      </tp>
      <tp t="e">
        <v>#N/A</v>
        <stp/>
        <stp>BDH|10187539319361789418</stp>
        <tr r="N13" s="5"/>
      </tp>
      <tp t="e">
        <v>#N/A</v>
        <stp/>
        <stp>BDH|10372385135965005439</stp>
        <tr r="G12" s="11"/>
      </tp>
      <tp t="e">
        <v>#N/A</v>
        <stp/>
        <stp>BDH|12353385511350413130</stp>
        <tr r="O15" s="20"/>
      </tp>
      <tp t="e">
        <v>#N/A</v>
        <stp/>
        <stp>BDH|15159645253422827537</stp>
        <tr r="K15" s="13"/>
      </tp>
      <tp t="e">
        <v>#N/A</v>
        <stp/>
        <stp>BDH|17055465822662135284</stp>
        <tr r="L104" s="18"/>
      </tp>
      <tp t="e">
        <v>#N/A</v>
        <stp/>
        <stp>BDH|10634698177641088154</stp>
        <tr r="M9" s="23"/>
      </tp>
      <tp t="e">
        <v>#N/A</v>
        <stp/>
        <stp>BDH|15383148643016885718</stp>
        <tr r="S16" s="11"/>
      </tp>
      <tp t="e">
        <v>#N/A</v>
        <stp/>
        <stp>BDH|10967767711760214717</stp>
        <tr r="V16" s="12"/>
      </tp>
      <tp t="e">
        <v>#N/A</v>
        <stp/>
        <stp>BDH|11391891176599434659</stp>
        <tr r="C61" s="13"/>
      </tp>
      <tp t="e">
        <v>#N/A</v>
        <stp/>
        <stp>BDH|13297396832701394376</stp>
        <tr r="Z59" s="21"/>
        <tr r="X55" s="11"/>
      </tp>
      <tp t="e">
        <v>#N/A</v>
        <stp/>
        <stp>BDH|11973690126634805036</stp>
        <tr r="Y13" s="17"/>
        <tr r="Y16" s="28"/>
      </tp>
      <tp t="e">
        <v>#N/A</v>
        <stp/>
        <stp>BDH|13597307350935883109</stp>
        <tr r="G15" s="22"/>
      </tp>
      <tp t="e">
        <v>#N/A</v>
        <stp/>
        <stp>BDH|12922534149610624284</stp>
        <tr r="Q31" s="5"/>
      </tp>
      <tp t="e">
        <v>#N/A</v>
        <stp/>
        <stp>BDH|10134385969741472593</stp>
        <tr r="M17" s="5"/>
        <tr r="M36" s="6"/>
      </tp>
      <tp t="e">
        <v>#N/A</v>
        <stp/>
        <stp>BDH|13571505879822291236</stp>
        <tr r="Q16" s="29"/>
        <tr r="Q39" s="29"/>
      </tp>
      <tp t="e">
        <v>#N/A</v>
        <stp/>
        <stp>BDH|10916548567427406538</stp>
        <tr r="O16" s="17"/>
        <tr r="O19" s="28"/>
      </tp>
      <tp t="e">
        <v>#N/A</v>
        <stp/>
        <stp>BDH|15819837610068178574</stp>
        <tr r="G16" s="22"/>
      </tp>
      <tp t="e">
        <v>#N/A</v>
        <stp/>
        <stp>BDH|12953197873503846667</stp>
        <tr r="O24" s="10"/>
      </tp>
      <tp t="e">
        <v>#N/A</v>
        <stp/>
        <stp>BDH|11940521034294743257</stp>
        <tr r="V11" s="6"/>
      </tp>
      <tp t="e">
        <v>#N/A</v>
        <stp/>
        <stp>BDH|12313585654264776755</stp>
        <tr r="W70" s="12"/>
      </tp>
      <tp t="e">
        <v>#N/A</v>
        <stp/>
        <stp>BDH|16322265202530834525</stp>
        <tr r="X63" s="21"/>
        <tr r="V23" s="7"/>
      </tp>
      <tp t="e">
        <v>#N/A</v>
        <stp/>
        <stp>BDH|13713162951017998151</stp>
        <tr r="L21" s="6"/>
      </tp>
      <tp t="e">
        <v>#N/A</v>
        <stp/>
        <stp>BDH|11931225881858031267</stp>
        <tr r="E13" s="30"/>
      </tp>
      <tp t="e">
        <v>#N/A</v>
        <stp/>
        <stp>BDH|15945368429321877422</stp>
        <tr r="L15" s="11"/>
      </tp>
      <tp t="e">
        <v>#N/A</v>
        <stp/>
        <stp>BDH|17365079411105032297</stp>
        <tr r="Z11" s="21"/>
      </tp>
      <tp t="e">
        <v>#N/A</v>
        <stp/>
        <stp>BDH|15274854393456896307</stp>
        <tr r="H16" s="10"/>
      </tp>
      <tp t="e">
        <v>#N/A</v>
        <stp/>
        <stp>BDH|17277953292871856710</stp>
        <tr r="J18" s="14"/>
      </tp>
      <tp t="e">
        <v>#N/A</v>
        <stp/>
        <stp>BDH|15925939602094742937</stp>
        <tr r="C53" s="10"/>
        <tr r="C45" s="11"/>
        <tr r="C16" s="7"/>
      </tp>
      <tp t="e">
        <v>#N/A</v>
        <stp/>
        <stp>BDH|14039877538929645751</stp>
        <tr r="Q13" s="13"/>
      </tp>
      <tp t="e">
        <v>#N/A</v>
        <stp/>
        <stp>BDH|14370427564926000191</stp>
        <tr r="C57" s="6"/>
      </tp>
      <tp t="e">
        <v>#N/A</v>
        <stp/>
        <stp>BDH|13290417101056965070</stp>
        <tr r="E16" s="12"/>
      </tp>
      <tp t="e">
        <v>#N/A</v>
        <stp/>
        <stp>BDH|11257611673482475389</stp>
        <tr r="J12" s="22"/>
      </tp>
      <tp t="e">
        <v>#N/A</v>
        <stp/>
        <stp>BDH|10795309663835859103</stp>
        <tr r="M133" s="18"/>
      </tp>
      <tp t="e">
        <v>#N/A</v>
        <stp/>
        <stp>BDH|11821435933530589714</stp>
        <tr r="D24" s="9"/>
      </tp>
      <tp t="e">
        <v>#N/A</v>
        <stp/>
        <stp>BDH|13092093936069635854</stp>
        <tr r="C54" s="17"/>
      </tp>
      <tp t="e">
        <v>#N/A</v>
        <stp/>
        <stp>BDH|10456740178052197351</stp>
        <tr r="H36" s="10"/>
        <tr r="H48" s="10"/>
        <tr r="H28" s="11"/>
        <tr r="H40" s="11"/>
      </tp>
      <tp t="e">
        <v>#N/A</v>
        <stp/>
        <stp>BDH|15937581221202496184</stp>
        <tr r="C17" s="13"/>
      </tp>
      <tp t="e">
        <v>#N/A</v>
        <stp/>
        <stp>BDH|10861578042248120802</stp>
        <tr r="Q71" s="17"/>
      </tp>
      <tp t="e">
        <v>#N/A</v>
        <stp/>
        <stp>BDH|14464846717218977429</stp>
        <tr r="M70" s="10"/>
        <tr r="M62" s="11"/>
        <tr r="M20" s="7"/>
      </tp>
      <tp t="e">
        <v>#N/A</v>
        <stp/>
        <stp>BDH|18406367272724892945</stp>
        <tr r="Q62" s="21"/>
      </tp>
      <tp t="e">
        <v>#N/A</v>
        <stp/>
        <stp>BDH|10499712104963433592</stp>
        <tr r="L28" s="18"/>
      </tp>
      <tp t="e">
        <v>#N/A</v>
        <stp/>
        <stp>BDH|10730291955405424337</stp>
        <tr r="R25" s="25"/>
        <tr r="R10" s="27"/>
      </tp>
      <tp t="e">
        <v>#N/A</v>
        <stp/>
        <stp>BDH|16231563844253899548</stp>
        <tr r="Q26" s="21"/>
      </tp>
      <tp t="e">
        <v>#N/A</v>
        <stp/>
        <stp>BDH|13252647216357832241</stp>
        <tr r="N92" s="17"/>
        <tr r="N13" s="28"/>
      </tp>
      <tp t="e">
        <v>#N/A</v>
        <stp/>
        <stp>BDH|18347086243178113551</stp>
        <tr r="R90" s="18"/>
      </tp>
      <tp t="e">
        <v>#N/A</v>
        <stp/>
        <stp>BDH|12488346195699022099</stp>
        <tr r="U34" s="17"/>
      </tp>
      <tp t="e">
        <v>#N/A</v>
        <stp/>
        <stp>BDH|15889586052832675683</stp>
        <tr r="Q18" s="25"/>
      </tp>
      <tp t="e">
        <v>#N/A</v>
        <stp/>
        <stp>BDH|14807941800374616861</stp>
        <tr r="D19" s="23"/>
      </tp>
      <tp t="e">
        <v>#N/A</v>
        <stp/>
        <stp>BDH|16129199022856367254</stp>
        <tr r="G15" s="12"/>
      </tp>
      <tp t="e">
        <v>#N/A</v>
        <stp/>
        <stp>BDH|14696430248550149508</stp>
        <tr r="C24" s="24"/>
      </tp>
      <tp t="e">
        <v>#N/A</v>
        <stp/>
        <stp>BDH|18328762650932809919</stp>
        <tr r="K27" s="17"/>
      </tp>
      <tp t="e">
        <v>#N/A</v>
        <stp/>
        <stp>BDH|11952471775740540327</stp>
        <tr r="T57" s="17"/>
      </tp>
      <tp t="e">
        <v>#N/A</v>
        <stp/>
        <stp>BDH|15365609840506949069</stp>
        <tr r="P38" s="17"/>
      </tp>
      <tp t="e">
        <v>#N/A</v>
        <stp/>
        <stp>BDH|17271705444644858127</stp>
        <tr r="M11" s="30"/>
      </tp>
      <tp t="e">
        <v>#N/A</v>
        <stp/>
        <stp>BDH|10482995086091788103</stp>
        <tr r="J45" s="17"/>
      </tp>
      <tp t="e">
        <v>#N/A</v>
        <stp/>
        <stp>BDH|10010365963597812316</stp>
        <tr r="J82" s="18"/>
      </tp>
      <tp t="e">
        <v>#N/A</v>
        <stp/>
        <stp>BDH|16445525703395874710</stp>
        <tr r="F15" s="22"/>
      </tp>
      <tp t="e">
        <v>#N/A</v>
        <stp/>
        <stp>BDH|15450552375671854701</stp>
        <tr r="S31" s="34"/>
      </tp>
      <tp t="e">
        <v>#N/A</v>
        <stp/>
        <stp>BDH|12332642049579610841</stp>
        <tr r="N88" s="24"/>
      </tp>
      <tp t="e">
        <v>#N/A</v>
        <stp/>
        <stp>BDH|15162341811584380281</stp>
        <tr r="G76" s="18"/>
      </tp>
      <tp t="e">
        <v>#N/A</v>
        <stp/>
        <stp>BDH|10518899289544819525</stp>
        <tr r="Y18" s="18"/>
      </tp>
      <tp t="e">
        <v>#N/A</v>
        <stp/>
        <stp>BDH|16601418720458149990</stp>
        <tr r="C26" s="14"/>
      </tp>
      <tp t="e">
        <v>#N/A</v>
        <stp/>
        <stp>BDH|11452242687423036988</stp>
        <tr r="Q44" s="22"/>
      </tp>
      <tp t="e">
        <v>#N/A</v>
        <stp/>
        <stp>BDH|14244509759265518010</stp>
        <tr r="T29" s="24"/>
      </tp>
      <tp t="e">
        <v>#N/A</v>
        <stp/>
        <stp>BDH|16817541203780488241</stp>
        <tr r="O63" s="17"/>
      </tp>
      <tp t="e">
        <v>#N/A</v>
        <stp/>
        <stp>BDH|11367604145527815518</stp>
        <tr r="J37" s="26"/>
      </tp>
      <tp t="e">
        <v>#N/A</v>
        <stp/>
        <stp>BDH|15844734054991100714</stp>
        <tr r="C54" s="21"/>
      </tp>
      <tp t="e">
        <v>#N/A</v>
        <stp/>
        <stp>BDH|11849354744922642500</stp>
        <tr r="K25" s="26"/>
      </tp>
      <tp t="e">
        <v>#N/A</v>
        <stp/>
        <stp>BDH|15027185305984564175</stp>
        <tr r="AA142" s="18"/>
      </tp>
      <tp t="e">
        <v>#N/A</v>
        <stp/>
        <stp>BDH|17525926322995898829</stp>
        <tr r="L12" s="17"/>
      </tp>
      <tp t="e">
        <v>#N/A</v>
        <stp/>
        <stp>BDH|12136166622805856525</stp>
        <tr r="V20" s="18"/>
      </tp>
      <tp t="e">
        <v>#N/A</v>
        <stp/>
        <stp>BDH|13054019617165808611</stp>
        <tr r="C24" s="12"/>
      </tp>
      <tp t="e">
        <v>#N/A</v>
        <stp/>
        <stp>BDH|18275289396784222617</stp>
        <tr r="F11" s="28"/>
      </tp>
      <tp t="e">
        <v>#N/A</v>
        <stp/>
        <stp>BDH|13306489605825434351</stp>
        <tr r="O33" s="14"/>
      </tp>
      <tp t="e">
        <v>#N/A</v>
        <stp/>
        <stp>BDH|11927873035809528219</stp>
        <tr r="K75" s="17"/>
        <tr r="H9" s="5"/>
        <tr r="H9" s="9"/>
      </tp>
      <tp t="e">
        <v>#N/A</v>
        <stp/>
        <stp>BDH|13804986548736227951</stp>
        <tr r="U69" s="24"/>
      </tp>
      <tp t="e">
        <v>#N/A</v>
        <stp/>
        <stp>BDH|18240051149604914980</stp>
        <tr r="C119" s="18"/>
      </tp>
      <tp t="e">
        <v>#N/A</v>
        <stp/>
        <stp>BDH|12327153125239534992</stp>
        <tr r="E138" s="18"/>
      </tp>
      <tp t="e">
        <v>#N/A</v>
        <stp/>
        <stp>BDH|16877977527665055972</stp>
        <tr r="Z53" s="18"/>
      </tp>
      <tp t="e">
        <v>#N/A</v>
        <stp/>
        <stp>BDH|17942535704185463656</stp>
        <tr r="O75" s="12"/>
      </tp>
      <tp t="e">
        <v>#N/A</v>
        <stp/>
        <stp>BDH|10681642716370395680</stp>
        <tr r="J48" s="13"/>
      </tp>
      <tp t="e">
        <v>#N/A</v>
        <stp/>
        <stp>BDH|10662434288489190438</stp>
        <tr r="W50" s="17"/>
      </tp>
      <tp t="e">
        <v>#N/A</v>
        <stp/>
        <stp>BDH|12304316439182143154</stp>
        <tr r="Q69" s="12"/>
      </tp>
      <tp t="e">
        <v>#N/A</v>
        <stp/>
        <stp>BDH|14002580124633654154</stp>
        <tr r="C58" s="18"/>
      </tp>
      <tp t="e">
        <v>#N/A</v>
        <stp/>
        <stp>BDH|14028933880736573296</stp>
        <tr r="L40" s="18"/>
      </tp>
      <tp t="e">
        <v>#N/A</v>
        <stp/>
        <stp>BDH|12405227218353449356</stp>
        <tr r="D88" s="18"/>
      </tp>
      <tp t="e">
        <v>#N/A</v>
        <stp/>
        <stp>BDH|12201686654518320827</stp>
        <tr r="K13" s="20"/>
      </tp>
      <tp t="e">
        <v>#N/A</v>
        <stp/>
        <stp>BDH|17605779291729987163</stp>
        <tr r="L52" s="10"/>
        <tr r="L44" s="11"/>
        <tr r="L15" s="7"/>
      </tp>
      <tp t="e">
        <v>#N/A</v>
        <stp/>
        <stp>BDH|16581919714649847677</stp>
        <tr r="L26" s="10"/>
        <tr r="N32" s="13"/>
      </tp>
      <tp t="e">
        <v>#N/A</v>
        <stp/>
        <stp>BDH|13325326609300554126</stp>
        <tr r="I75" s="18"/>
        <tr r="I64" s="12"/>
      </tp>
      <tp t="e">
        <v>#N/A</v>
        <stp/>
        <stp>BDH|12591702507216918253</stp>
        <tr r="N47" s="17"/>
      </tp>
      <tp t="e">
        <v>#N/A</v>
        <stp/>
        <stp>BDH|15584130029495031214</stp>
        <tr r="G10" s="22"/>
      </tp>
      <tp t="e">
        <v>#N/A</v>
        <stp/>
        <stp>BDH|12164397651782044779</stp>
        <tr r="W86" s="24"/>
      </tp>
      <tp t="e">
        <v>#N/A</v>
        <stp/>
        <stp>BDH|16687247078077614525</stp>
        <tr r="X13" s="21"/>
      </tp>
      <tp t="e">
        <v>#N/A</v>
        <stp/>
        <stp>BDH|10860425309886811350</stp>
        <tr r="V19" s="12"/>
      </tp>
      <tp t="e">
        <v>#N/A</v>
        <stp/>
        <stp>BDH|17654590164981561403</stp>
        <tr r="E39" s="26"/>
      </tp>
      <tp t="e">
        <v>#N/A</v>
        <stp/>
        <stp>BDH|14629121053263810219</stp>
        <tr r="U124" s="18"/>
      </tp>
      <tp t="e">
        <v>#N/A</v>
        <stp/>
        <stp>BDH|16364420263877929255</stp>
        <tr r="L20" s="23"/>
      </tp>
      <tp t="e">
        <v>#N/A</v>
        <stp/>
        <stp>BDH|17235074568779614958</stp>
        <tr r="D14" s="2"/>
        <tr r="D11" s="10"/>
      </tp>
      <tp t="e">
        <v>#N/A</v>
        <stp/>
        <stp>BDH|15073495764810429670</stp>
        <tr r="L58" s="13"/>
      </tp>
      <tp t="e">
        <v>#N/A</v>
        <stp/>
        <stp>BDH|11958868244585146944</stp>
        <tr r="M14" s="11"/>
      </tp>
      <tp t="e">
        <v>#N/A</v>
        <stp/>
        <stp>BDH|15360640479980238524</stp>
        <tr r="E12" s="13"/>
      </tp>
      <tp t="e">
        <v>#N/A</v>
        <stp/>
        <stp>BDH|12990138996373193834</stp>
        <tr r="P25" s="12"/>
      </tp>
      <tp t="e">
        <v>#N/A</v>
        <stp/>
        <stp>BDH|16985630519782865256</stp>
        <tr r="G8" s="21"/>
      </tp>
      <tp t="e">
        <v>#N/A</v>
        <stp/>
        <stp>BDH|10590066450080806450</stp>
        <tr r="R26" s="21"/>
      </tp>
      <tp t="e">
        <v>#N/A</v>
        <stp/>
        <stp>BDH|14068163920475964318</stp>
        <tr r="X11" s="11"/>
      </tp>
      <tp t="e">
        <v>#N/A</v>
        <stp/>
        <stp>BDH|15391543589448371137</stp>
        <tr r="AA42" s="18"/>
      </tp>
      <tp t="e">
        <v>#N/A</v>
        <stp/>
        <stp>BDH|17993599959631124769</stp>
        <tr r="Q44" s="6"/>
      </tp>
      <tp t="e">
        <v>#N/A</v>
        <stp/>
        <stp>BDH|13031664958292398331</stp>
        <tr r="R19" s="18"/>
      </tp>
      <tp t="e">
        <v>#N/A</v>
        <stp/>
        <stp>BDH|17616088848656012483</stp>
        <tr r="N121" s="18"/>
      </tp>
      <tp t="e">
        <v>#N/A</v>
        <stp/>
        <stp>BDH|15724774979930778405</stp>
        <tr r="C26" s="24"/>
      </tp>
      <tp t="e">
        <v>#N/A</v>
        <stp/>
        <stp>BDH|17880205333582742520</stp>
        <tr r="J10" s="22"/>
      </tp>
      <tp t="e">
        <v>#N/A</v>
        <stp/>
        <stp>BDH|11007399315474249605</stp>
        <tr r="D14" s="22"/>
      </tp>
      <tp t="e">
        <v>#N/A</v>
        <stp/>
        <stp>BDH|15956824275473189811</stp>
        <tr r="Q77" s="12"/>
      </tp>
      <tp t="e">
        <v>#N/A</v>
        <stp/>
        <stp>BDH|13786692317733413630</stp>
        <tr r="V41" s="12"/>
      </tp>
      <tp t="e">
        <v>#N/A</v>
        <stp/>
        <stp>BDH|10093412187605155894</stp>
        <tr r="Q24" s="10"/>
      </tp>
      <tp t="e">
        <v>#N/A</v>
        <stp/>
        <stp>BDH|13317260670960371783</stp>
        <tr r="J18" s="18"/>
      </tp>
      <tp t="e">
        <v>#N/A</v>
        <stp/>
        <stp>BDH|10802113362381298775</stp>
        <tr r="S76" s="18"/>
      </tp>
      <tp t="e">
        <v>#N/A</v>
        <stp/>
        <stp>BDH|12931325074006190103</stp>
        <tr r="K38" s="10"/>
        <tr r="K30" s="11"/>
        <tr r="M42" s="13"/>
      </tp>
      <tp t="e">
        <v>#N/A</v>
        <stp/>
        <stp>BDH|15702187600350359522</stp>
        <tr r="M16" s="12"/>
      </tp>
      <tp t="e">
        <v>#N/A</v>
        <stp/>
        <stp>BDH|17907762374574146241</stp>
        <tr r="N49" s="12"/>
      </tp>
      <tp t="e">
        <v>#N/A</v>
        <stp/>
        <stp>BDH|17368898517878247713</stp>
        <tr r="S34" s="22"/>
      </tp>
      <tp t="e">
        <v>#N/A</v>
        <stp/>
        <stp>BDH|12475095573762221626</stp>
        <tr r="V113" s="18"/>
      </tp>
      <tp t="e">
        <v>#N/A</v>
        <stp/>
        <stp>BDH|15766047216010816530</stp>
        <tr r="AA42" s="24"/>
      </tp>
      <tp t="e">
        <v>#N/A</v>
        <stp/>
        <stp>BDH|14542665323228901973</stp>
        <tr r="T11" s="6"/>
      </tp>
      <tp t="e">
        <v>#N/A</v>
        <stp/>
        <stp>BDH|16532797934583011060</stp>
        <tr r="W91" s="24"/>
      </tp>
      <tp t="e">
        <v>#N/A</v>
        <stp/>
        <stp>BDH|12035921925131061992</stp>
        <tr r="Z26" s="18"/>
      </tp>
      <tp t="e">
        <v>#N/A</v>
        <stp/>
        <stp>BDH|14447321557561860271</stp>
        <tr r="Y66" s="18"/>
      </tp>
      <tp t="e">
        <v>#N/A</v>
        <stp/>
        <stp>BDH|15419253914933852439</stp>
        <tr r="L49" s="18"/>
      </tp>
      <tp t="e">
        <v>#N/A</v>
        <stp/>
        <stp>BDH|12935642776421016352</stp>
        <tr r="F66" s="12"/>
      </tp>
      <tp t="e">
        <v>#N/A</v>
        <stp/>
        <stp>BDH|13975551012983783572</stp>
        <tr r="W26" s="12"/>
      </tp>
      <tp t="e">
        <v>#N/A</v>
        <stp/>
        <stp>BDH|16312274422791151692</stp>
        <tr r="W45" s="12"/>
      </tp>
      <tp t="e">
        <v>#N/A</v>
        <stp/>
        <stp>BDH|12651896863645529872</stp>
        <tr r="H30" s="24"/>
      </tp>
      <tp t="e">
        <v>#N/A</v>
        <stp/>
        <stp>BDH|12008183626563839380</stp>
        <tr r="I14" s="4"/>
      </tp>
      <tp t="e">
        <v>#N/A</v>
        <stp/>
        <stp>BDH|11436050007161904116</stp>
        <tr r="R65" s="17"/>
      </tp>
      <tp t="e">
        <v>#N/A</v>
        <stp/>
        <stp>BDH|10865645409301311685</stp>
        <tr r="E45" s="24"/>
      </tp>
      <tp t="e">
        <v>#N/A</v>
        <stp/>
        <stp>BDH|11014507804497967230</stp>
        <tr r="P41" s="17"/>
        <tr r="P9" s="25"/>
      </tp>
      <tp t="e">
        <v>#N/A</v>
        <stp/>
        <stp>BDH|13797493444802571011</stp>
        <tr r="P9" s="30"/>
      </tp>
      <tp t="e">
        <v>#N/A</v>
        <stp/>
        <stp>BDH|17648325156631828141</stp>
        <tr r="T15" s="25"/>
      </tp>
      <tp t="e">
        <v>#N/A</v>
        <stp/>
        <stp>BDH|17644865526728358348</stp>
        <tr r="R41" s="10"/>
        <tr r="R33" s="11"/>
      </tp>
      <tp t="e">
        <v>#N/A</v>
        <stp/>
        <stp>BDH|14549361321982003137</stp>
        <tr r="Q50" s="21"/>
      </tp>
      <tp t="e">
        <v>#N/A</v>
        <stp/>
        <stp>BDH|13305117110451403478</stp>
        <tr r="U58" s="17"/>
      </tp>
      <tp t="e">
        <v>#N/A</v>
        <stp/>
        <stp>BDH|15615610674064697643</stp>
        <tr r="I25" s="3"/>
      </tp>
      <tp t="e">
        <v>#N/A</v>
        <stp/>
        <stp>BDH|11679334463866765407</stp>
        <tr r="C34" s="10"/>
        <tr r="C26" s="11"/>
      </tp>
      <tp t="e">
        <v>#N/A</v>
        <stp/>
        <stp>BDH|15687106226493426352</stp>
        <tr r="V30" s="10"/>
        <tr r="X36" s="13"/>
      </tp>
      <tp t="e">
        <v>#N/A</v>
        <stp/>
        <stp>BDH|17185203240323002402</stp>
        <tr r="W49" s="18"/>
      </tp>
      <tp t="e">
        <v>#N/A</v>
        <stp/>
        <stp>BDH|11445298429467674035</stp>
        <tr r="W77" s="17"/>
      </tp>
      <tp t="e">
        <v>#N/A</v>
        <stp/>
        <stp>BDH|14238976782906072562</stp>
        <tr r="S43" s="21"/>
      </tp>
      <tp t="e">
        <v>#N/A</v>
        <stp/>
        <stp>BDH|17345449216396630264</stp>
        <tr r="L9" s="6"/>
      </tp>
      <tp t="e">
        <v>#N/A</v>
        <stp/>
        <stp>BDH|17900299232232138220</stp>
        <tr r="I18" s="12"/>
      </tp>
      <tp t="e">
        <v>#N/A</v>
        <stp/>
        <stp>BDH|11350096973528971819</stp>
        <tr r="R7" s="4"/>
      </tp>
      <tp t="e">
        <v>#N/A</v>
        <stp/>
        <stp>BDH|16064047017377627648</stp>
        <tr r="S46" s="17"/>
      </tp>
      <tp t="e">
        <v>#N/A</v>
        <stp/>
        <stp>BDH|13864377214476343199</stp>
        <tr r="X8" s="18"/>
      </tp>
      <tp t="e">
        <v>#N/A</v>
        <stp/>
        <stp>BDH|10373446730641681000</stp>
        <tr r="U36" s="12"/>
      </tp>
      <tp t="e">
        <v>#N/A</v>
        <stp/>
        <stp>BDH|17127751479090886145</stp>
        <tr r="T35" s="10"/>
        <tr r="T27" s="11"/>
      </tp>
      <tp t="e">
        <v>#N/A</v>
        <stp/>
        <stp>BDH|16524774254032199062</stp>
        <tr r="V101" s="18"/>
      </tp>
      <tp t="e">
        <v>#N/A</v>
        <stp/>
        <stp>BDH|11789290213020437486</stp>
        <tr r="U68" s="24"/>
      </tp>
      <tp t="e">
        <v>#N/A</v>
        <stp/>
        <stp>BDH|14023519333006357203</stp>
        <tr r="K14" s="13"/>
      </tp>
      <tp t="e">
        <v>#N/A</v>
        <stp/>
        <stp>BDH|16667714777241752168</stp>
        <tr r="K32" s="5"/>
      </tp>
      <tp t="e">
        <v>#N/A</v>
        <stp/>
        <stp>BDH|11697745790401603855</stp>
        <tr r="O28" s="34"/>
      </tp>
      <tp t="e">
        <v>#N/A</v>
        <stp/>
        <stp>BDH|11371887190581905736</stp>
        <tr r="W79" s="18"/>
      </tp>
      <tp t="e">
        <v>#N/A</v>
        <stp/>
        <stp>BDH|10787879464529252172</stp>
        <tr r="H69" s="10"/>
      </tp>
      <tp t="e">
        <v>#N/A</v>
        <stp/>
        <stp>BDH|10678974414859086741</stp>
        <tr r="V73" s="10"/>
        <tr r="V65" s="11"/>
      </tp>
      <tp t="e">
        <v>#N/A</v>
        <stp/>
        <stp>BDH|16801516886415746894</stp>
        <tr r="E34" s="26"/>
      </tp>
      <tp t="e">
        <v>#N/A</v>
        <stp/>
        <stp>BDH|13188693370265035198</stp>
        <tr r="X56" s="11"/>
      </tp>
      <tp t="e">
        <v>#N/A</v>
        <stp/>
        <stp>BDH|10013832594327041066</stp>
        <tr r="T34" s="14"/>
      </tp>
      <tp t="e">
        <v>#N/A</v>
        <stp/>
        <stp>BDH|14230741494779615556</stp>
        <tr r="Y11" s="30"/>
      </tp>
      <tp t="e">
        <v>#N/A</v>
        <stp/>
        <stp>BDH|17543213033209735914</stp>
        <tr r="S16" s="22"/>
      </tp>
      <tp t="e">
        <v>#N/A</v>
        <stp/>
        <stp>BDH|17698893994474294485</stp>
        <tr r="P49" s="18"/>
      </tp>
      <tp t="e">
        <v>#N/A</v>
        <stp/>
        <stp>BDH|16299768461137643625</stp>
        <tr r="P73" s="24"/>
      </tp>
      <tp t="e">
        <v>#N/A</v>
        <stp/>
        <stp>BDH|17628685574632260296</stp>
        <tr r="D62" s="13"/>
      </tp>
      <tp t="e">
        <v>#N/A</v>
        <stp/>
        <stp>BDH|15211616942222936396</stp>
        <tr r="X55" s="18"/>
      </tp>
      <tp t="e">
        <v>#N/A</v>
        <stp/>
        <stp>BDH|10870964430954721888</stp>
        <tr r="O26" s="6"/>
      </tp>
      <tp t="e">
        <v>#N/A</v>
        <stp/>
        <stp>BDH|15361914510508084338</stp>
        <tr r="X21" s="5"/>
      </tp>
      <tp t="e">
        <v>#N/A</v>
        <stp/>
        <stp>BDH|12202716646360631721</stp>
        <tr r="H8" s="21"/>
      </tp>
      <tp t="e">
        <v>#N/A</v>
        <stp/>
        <stp>BDH|14919122135134803474</stp>
        <tr r="C9" s="8"/>
      </tp>
      <tp t="e">
        <v>#N/A</v>
        <stp/>
        <stp>BDH|13313041555972286217</stp>
        <tr r="V25" s="12"/>
      </tp>
      <tp t="e">
        <v>#N/A</v>
        <stp/>
        <stp>BDH|14543755596624253857</stp>
        <tr r="D51" s="13"/>
      </tp>
      <tp t="e">
        <v>#N/A</v>
        <stp/>
        <stp>BDH|13549902986272291608</stp>
        <tr r="X46" s="34"/>
      </tp>
      <tp t="e">
        <v>#N/A</v>
        <stp/>
        <stp>BDH|11582354012542657759</stp>
        <tr r="X40" s="10"/>
        <tr r="X32" s="11"/>
      </tp>
      <tp t="e">
        <v>#N/A</v>
        <stp/>
        <stp>BDH|18178827372452501350</stp>
        <tr r="D10" s="14"/>
      </tp>
      <tp t="e">
        <v>#N/A</v>
        <stp/>
        <stp>BDH|17354039923922671146</stp>
        <tr r="L138" s="18"/>
      </tp>
      <tp t="e">
        <v>#N/A</v>
        <stp/>
        <stp>BDH|10656241622733127505</stp>
        <tr r="U8" s="23"/>
      </tp>
      <tp t="e">
        <v>#N/A</v>
        <stp/>
        <stp>BDH|11760349384775585934</stp>
        <tr r="W56" s="11"/>
      </tp>
      <tp t="e">
        <v>#N/A</v>
        <stp/>
        <stp>BDH|16846465025394392281</stp>
        <tr r="N61" s="17"/>
      </tp>
      <tp t="e">
        <v>#N/A</v>
        <stp/>
        <stp>BDH|10843925138985023920</stp>
        <tr r="Y45" s="21"/>
      </tp>
      <tp t="e">
        <v>#N/A</v>
        <stp/>
        <stp>BDH|15271298038284323605</stp>
        <tr r="V89" s="12"/>
      </tp>
      <tp t="e">
        <v>#N/A</v>
        <stp/>
        <stp>BDH|12380251127660830496</stp>
        <tr r="D68" s="18"/>
      </tp>
      <tp t="e">
        <v>#N/A</v>
        <stp/>
        <stp>BDH|14013312936763650118</stp>
        <tr r="Q17" s="18"/>
      </tp>
      <tp t="e">
        <v>#N/A</v>
        <stp/>
        <stp>BDH|10742352930306792055</stp>
        <tr r="R85" s="12"/>
      </tp>
      <tp t="e">
        <v>#N/A</v>
        <stp/>
        <stp>BDH|10019341029656974149</stp>
        <tr r="X26" s="18"/>
      </tp>
      <tp t="e">
        <v>#N/A</v>
        <stp/>
        <stp>BDH|16016484039462685571</stp>
        <tr r="Q45" s="22"/>
      </tp>
      <tp t="e">
        <v>#N/A</v>
        <stp/>
        <stp>BDH|10862110632507922329</stp>
        <tr r="AA71" s="18"/>
      </tp>
      <tp t="e">
        <v>#N/A</v>
        <stp/>
        <stp>BDH|16186687204756833053</stp>
        <tr r="V35" s="34"/>
      </tp>
      <tp t="e">
        <v>#N/A</v>
        <stp/>
        <stp>BDH|12831365077426184684</stp>
        <tr r="T8" s="2"/>
      </tp>
      <tp t="e">
        <v>#N/A</v>
        <stp/>
        <stp>BDH|11064035176821477112</stp>
        <tr r="N19" s="25"/>
      </tp>
      <tp t="e">
        <v>#N/A</v>
        <stp/>
        <stp>BDH|10237557137995290529</stp>
        <tr r="O33" s="6"/>
      </tp>
      <tp t="e">
        <v>#N/A</v>
        <stp/>
        <stp>BDH|16042624793926228936</stp>
        <tr r="V84" s="24"/>
      </tp>
      <tp t="e">
        <v>#N/A</v>
        <stp/>
        <stp>BDH|11742971420308125419</stp>
        <tr r="D90" s="17"/>
      </tp>
      <tp t="e">
        <v>#N/A</v>
        <stp/>
        <stp>BDH|13073097129731901694</stp>
        <tr r="I33" s="9"/>
      </tp>
      <tp t="e">
        <v>#N/A</v>
        <stp/>
        <stp>BDH|13911711991669800214</stp>
        <tr r="N33" s="10"/>
        <tr r="N25" s="11"/>
      </tp>
      <tp t="e">
        <v>#N/A</v>
        <stp/>
        <stp>BDH|11940324826200812651</stp>
        <tr r="M31" s="17"/>
      </tp>
      <tp t="e">
        <v>#N/A</v>
        <stp/>
        <stp>BDH|17783500602065727128</stp>
        <tr r="E55" s="12"/>
      </tp>
      <tp t="e">
        <v>#N/A</v>
        <stp/>
        <stp>BDH|10893896230859522447</stp>
        <tr r="E24" s="9"/>
      </tp>
      <tp t="e">
        <v>#N/A</v>
        <stp/>
        <stp>BDH|16501555335702440414</stp>
        <tr r="R52" s="24"/>
      </tp>
      <tp t="e">
        <v>#N/A</v>
        <stp/>
        <stp>BDH|13585341448081880310</stp>
        <tr r="D9" s="3"/>
      </tp>
      <tp t="e">
        <v>#N/A</v>
        <stp/>
        <stp>BDH|17598293768254695121</stp>
        <tr r="L30" s="34"/>
      </tp>
      <tp t="e">
        <v>#N/A</v>
        <stp/>
        <stp>BDH|10973222777613450086</stp>
        <tr r="W21" s="24"/>
      </tp>
      <tp t="e">
        <v>#N/A</v>
        <stp/>
        <stp>BDH|13576056304702379776</stp>
        <tr r="M55" s="12"/>
      </tp>
      <tp t="e">
        <v>#N/A</v>
        <stp/>
        <stp>BDH|12212150950429131961</stp>
        <tr r="M18" s="2"/>
        <tr r="M53" s="4"/>
        <tr r="M46" s="10"/>
        <tr r="M38" s="11"/>
        <tr r="O51" s="13"/>
      </tp>
      <tp t="e">
        <v>#N/A</v>
        <stp/>
        <stp>BDH|13263568208844950454</stp>
        <tr r="R38" s="17"/>
      </tp>
      <tp t="e">
        <v>#N/A</v>
        <stp/>
        <stp>BDH|17533973487263645331</stp>
        <tr r="X57" s="6"/>
      </tp>
      <tp t="e">
        <v>#N/A</v>
        <stp/>
        <stp>BDH|11308012512957256128</stp>
        <tr r="L60" s="18"/>
      </tp>
      <tp t="e">
        <v>#N/A</v>
        <stp/>
        <stp>BDH|12737965676278318243</stp>
        <tr r="O8" s="10"/>
      </tp>
      <tp t="e">
        <v>#N/A</v>
        <stp/>
        <stp>BDH|12342470477920590762</stp>
        <tr r="AA87" s="24"/>
      </tp>
      <tp t="e">
        <v>#N/A</v>
        <stp/>
        <stp>BDH|14058249546486675249</stp>
        <tr r="C10" s="26"/>
      </tp>
      <tp t="e">
        <v>#N/A</v>
        <stp/>
        <stp>BDH|17189006839927170596</stp>
        <tr r="T53" s="10"/>
        <tr r="T45" s="11"/>
        <tr r="T16" s="7"/>
      </tp>
      <tp t="e">
        <v>#N/A</v>
        <stp/>
        <stp>BDH|10782509857763814582</stp>
        <tr r="L41" s="21"/>
      </tp>
      <tp t="e">
        <v>#N/A</v>
        <stp/>
        <stp>BDH|11894661647331997407</stp>
        <tr r="S43" s="12"/>
      </tp>
      <tp t="e">
        <v>#N/A</v>
        <stp/>
        <stp>BDH|12463927948379961070</stp>
        <tr r="N61" s="18"/>
      </tp>
      <tp t="e">
        <v>#N/A</v>
        <stp/>
        <stp>BDH|14998468873627525691</stp>
        <tr r="G82" s="18"/>
      </tp>
      <tp t="e">
        <v>#N/A</v>
        <stp/>
        <stp>BDH|13574893661308913342</stp>
        <tr r="P32" s="12"/>
      </tp>
      <tp t="e">
        <v>#N/A</v>
        <stp/>
        <stp>BDH|12992907503979940437</stp>
        <tr r="X84" s="24"/>
      </tp>
      <tp t="e">
        <v>#N/A</v>
        <stp/>
        <stp>BDH|12261158145668374924</stp>
        <tr r="Q27" s="10"/>
        <tr r="S33" s="13"/>
      </tp>
      <tp t="e">
        <v>#N/A</v>
        <stp/>
        <stp>BDH|14889181786503637835</stp>
        <tr r="J55" s="13"/>
      </tp>
      <tp t="e">
        <v>#N/A</v>
        <stp/>
        <stp>BDH|14980004829541224111</stp>
        <tr r="U28" s="14"/>
      </tp>
      <tp t="e">
        <v>#N/A</v>
        <stp/>
        <stp>BDH|10943717600305281491</stp>
        <tr r="F27" s="26"/>
      </tp>
      <tp t="e">
        <v>#N/A</v>
        <stp/>
        <stp>BDH|13576049354142455222</stp>
        <tr r="E32" s="24"/>
      </tp>
      <tp t="e">
        <v>#N/A</v>
        <stp/>
        <stp>BDH|17394165501332125265</stp>
        <tr r="D54" s="12"/>
      </tp>
      <tp t="e">
        <v>#N/A</v>
        <stp/>
        <stp>BDH|13276702757325161278</stp>
        <tr r="K35" s="34"/>
      </tp>
      <tp t="e">
        <v>#N/A</v>
        <stp/>
        <stp>BDH|16889885396091046056</stp>
        <tr r="C10" s="10"/>
      </tp>
      <tp t="e">
        <v>#N/A</v>
        <stp/>
        <stp>BDH|10352242167511195324</stp>
        <tr r="O29" s="10"/>
        <tr r="Q35" s="13"/>
      </tp>
      <tp t="e">
        <v>#N/A</v>
        <stp/>
        <stp>BDH|17356421247022130348</stp>
        <tr r="D22" s="22"/>
      </tp>
      <tp t="e">
        <v>#N/A</v>
        <stp/>
        <stp>BDH|14871534168033953299</stp>
        <tr r="T77" s="18"/>
      </tp>
      <tp t="e">
        <v>#N/A</v>
        <stp/>
        <stp>BDH|18194563395254136605</stp>
        <tr r="C23" s="13"/>
      </tp>
      <tp t="e">
        <v>#N/A</v>
        <stp/>
        <stp>BDH|15637251355847647330</stp>
        <tr r="E39" s="17"/>
      </tp>
      <tp t="e">
        <v>#N/A</v>
        <stp/>
        <stp>BDH|12404693648870747611</stp>
        <tr r="U20" s="12"/>
      </tp>
      <tp t="e">
        <v>#N/A</v>
        <stp/>
        <stp>BDH|16393672607153338534</stp>
        <tr r="Y29" s="12"/>
      </tp>
      <tp t="e">
        <v>#N/A</v>
        <stp/>
        <stp>BDH|13589421780711775834</stp>
        <tr r="P80" s="12"/>
      </tp>
      <tp t="e">
        <v>#N/A</v>
        <stp/>
        <stp>BDH|12497376107745253250</stp>
        <tr r="Z12" s="13"/>
      </tp>
      <tp t="e">
        <v>#N/A</v>
        <stp/>
        <stp>BDH|11617953559853917806</stp>
        <tr r="P32" s="17"/>
      </tp>
      <tp t="e">
        <v>#N/A</v>
        <stp/>
        <stp>BDH|13182859814259262519</stp>
        <tr r="E18" s="14"/>
      </tp>
      <tp t="e">
        <v>#N/A</v>
        <stp/>
        <stp>BDH|15098032884028502317</stp>
        <tr r="G71" s="10"/>
        <tr r="G63" s="11"/>
      </tp>
      <tp t="e">
        <v>#N/A</v>
        <stp/>
        <stp>BDH|13050590671925889237</stp>
        <tr r="F24" s="29"/>
      </tp>
      <tp t="e">
        <v>#N/A</v>
        <stp/>
        <stp>BDH|13458172851702255336</stp>
        <tr r="D27" s="14"/>
      </tp>
      <tp t="e">
        <v>#N/A</v>
        <stp/>
        <stp>BDH|14442029136500187123</stp>
        <tr r="U137" s="18"/>
      </tp>
      <tp t="e">
        <v>#N/A</v>
        <stp/>
        <stp>BDH|11767562207593177144</stp>
        <tr r="E66" s="17"/>
        <tr r="E18" s="3"/>
      </tp>
      <tp t="e">
        <v>#N/A</v>
        <stp/>
        <stp>BDH|11357979472020173949</stp>
        <tr r="G61" s="18"/>
      </tp>
      <tp t="e">
        <v>#N/A</v>
        <stp/>
        <stp>BDH|17067662911523268566</stp>
        <tr r="H60" s="18"/>
      </tp>
      <tp t="e">
        <v>#N/A</v>
        <stp/>
        <stp>BDH|11609673806653272263</stp>
        <tr r="F17" s="11"/>
      </tp>
      <tp t="e">
        <v>#N/A</v>
        <stp/>
        <stp>BDH|10961551461802689787</stp>
        <tr r="AA8" s="14"/>
      </tp>
      <tp t="e">
        <v>#N/A</v>
        <stp/>
        <stp>BDH|10842552928076526734</stp>
        <tr r="K72" s="12"/>
      </tp>
      <tp t="e">
        <v>#N/A</v>
        <stp/>
        <stp>BDH|14800208118246320708</stp>
        <tr r="N47" s="22"/>
      </tp>
      <tp t="e">
        <v>#N/A</v>
        <stp/>
        <stp>BDH|17246555344500500054</stp>
        <tr r="G22" s="7"/>
      </tp>
      <tp t="e">
        <v>#N/A</v>
        <stp/>
        <stp>BDH|13851982940780616851</stp>
        <tr r="F28" s="18"/>
      </tp>
      <tp t="e">
        <v>#N/A</v>
        <stp/>
        <stp>BDH|14452896405922250899</stp>
        <tr r="R10" s="28"/>
      </tp>
      <tp t="e">
        <v>#N/A</v>
        <stp/>
        <stp>BDH|11458063943294518773</stp>
        <tr r="V35" s="10"/>
        <tr r="V27" s="11"/>
      </tp>
      <tp t="e">
        <v>#N/A</v>
        <stp/>
        <stp>BDH|13481451913827255731</stp>
        <tr r="T10" s="2"/>
        <tr r="S11" s="5"/>
        <tr r="S55" s="6"/>
        <tr r="T33" s="29"/>
        <tr r="T42" s="29"/>
      </tp>
      <tp t="e">
        <v>#N/A</v>
        <stp/>
        <stp>BDH|13960816308628703543</stp>
        <tr r="Y40" s="12"/>
      </tp>
      <tp t="e">
        <v>#N/A</v>
        <stp/>
        <stp>BDH|11298365326067498151</stp>
        <tr r="H26" s="22"/>
      </tp>
      <tp t="e">
        <v>#N/A</v>
        <stp/>
        <stp>BDH|13365366678379651882</stp>
        <tr r="R15" s="22"/>
      </tp>
      <tp t="e">
        <v>#N/A</v>
        <stp/>
        <stp>BDH|14001745819114998079</stp>
        <tr r="U95" s="18"/>
      </tp>
      <tp t="e">
        <v>#N/A</v>
        <stp/>
        <stp>BDH|16060270435835828487</stp>
        <tr r="G8" s="8"/>
      </tp>
      <tp t="e">
        <v>#N/A</v>
        <stp/>
        <stp>BDH|14701351772455699346</stp>
        <tr r="L109" s="18"/>
      </tp>
      <tp t="e">
        <v>#N/A</v>
        <stp/>
        <stp>BDH|18257378171069555332</stp>
        <tr r="E8" s="28"/>
      </tp>
      <tp t="e">
        <v>#N/A</v>
        <stp/>
        <stp>BDH|11583317709644772084</stp>
        <tr r="D29" s="24"/>
      </tp>
      <tp t="e">
        <v>#N/A</v>
        <stp/>
        <stp>BDH|14685614950663516202</stp>
        <tr r="P26" s="18"/>
      </tp>
      <tp t="e">
        <v>#N/A</v>
        <stp/>
        <stp>BDH|12813798973472417645</stp>
        <tr r="N63" s="18"/>
      </tp>
      <tp t="e">
        <v>#N/A</v>
        <stp/>
        <stp>BDH|12064001101392188625</stp>
        <tr r="E12" s="18"/>
      </tp>
      <tp t="e">
        <v>#N/A</v>
        <stp/>
        <stp>BDH|14329976856519993791</stp>
        <tr r="M17" s="13"/>
      </tp>
      <tp t="e">
        <v>#N/A</v>
        <stp/>
        <stp>BDH|12629603826259526978</stp>
        <tr r="D65" s="21"/>
      </tp>
      <tp t="e">
        <v>#N/A</v>
        <stp/>
        <stp>BDH|13144565311079192851</stp>
        <tr r="J28" s="34"/>
      </tp>
      <tp t="e">
        <v>#N/A</v>
        <stp/>
        <stp>BDH|15809282072913104513</stp>
        <tr r="N25" s="22"/>
      </tp>
      <tp t="e">
        <v>#N/A</v>
        <stp/>
        <stp>BDH|14099133340137371024</stp>
        <tr r="Q47" s="34"/>
      </tp>
      <tp t="e">
        <v>#N/A</v>
        <stp/>
        <stp>BDH|12459526872607427128</stp>
        <tr r="V89" s="17"/>
        <tr r="V34" s="25"/>
      </tp>
      <tp t="e">
        <v>#N/A</v>
        <stp/>
        <stp>BDH|14693034697573841883</stp>
        <tr r="J34" s="26"/>
      </tp>
      <tp t="e">
        <v>#N/A</v>
        <stp/>
        <stp>BDH|10190474952594639305</stp>
        <tr r="T13" s="21"/>
      </tp>
      <tp t="e">
        <v>#N/A</v>
        <stp/>
        <stp>BDH|17210333643252487446</stp>
        <tr r="P33" s="12"/>
      </tp>
      <tp t="e">
        <v>#N/A</v>
        <stp/>
        <stp>BDH|12786935833566274872</stp>
        <tr r="T20" s="2"/>
        <tr r="T18" s="4"/>
        <tr r="T58" s="10"/>
        <tr r="T50" s="11"/>
        <tr r="T19" s="7"/>
        <tr r="V65" s="13"/>
      </tp>
      <tp t="e">
        <v>#N/A</v>
        <stp/>
        <stp>BDH|16243387978190778478</stp>
        <tr r="D33" s="5"/>
      </tp>
      <tp t="e">
        <v>#N/A</v>
        <stp/>
        <stp>BDH|15985317928081133331</stp>
        <tr r="S27" s="26"/>
      </tp>
      <tp t="e">
        <v>#N/A</v>
        <stp/>
        <stp>BDH|14328941643227053868</stp>
        <tr r="V25" s="9"/>
      </tp>
      <tp t="e">
        <v>#N/A</v>
        <stp/>
        <stp>BDH|17491349294268698308</stp>
        <tr r="D82" s="17"/>
      </tp>
      <tp t="e">
        <v>#N/A</v>
        <stp/>
        <stp>BDH|15364629222944567343</stp>
        <tr r="M10" s="23"/>
      </tp>
      <tp t="e">
        <v>#N/A</v>
        <stp/>
        <stp>BDH|10722447797693487829</stp>
        <tr r="P51" s="6"/>
        <tr r="R6" s="8"/>
      </tp>
      <tp t="e">
        <v>#N/A</v>
        <stp/>
        <stp>BDH|17022452266165458655</stp>
        <tr r="U33" s="18"/>
      </tp>
      <tp t="e">
        <v>#N/A</v>
        <stp/>
        <stp>BDH|16063434660216141405</stp>
        <tr r="K62" s="21"/>
      </tp>
      <tp t="e">
        <v>#N/A</v>
        <stp/>
        <stp>BDH|14828392150090014430</stp>
        <tr r="R6" s="28"/>
      </tp>
      <tp t="e">
        <v>#N/A</v>
        <stp/>
        <stp>BDH|16270114038530862211</stp>
        <tr r="D46" s="4"/>
        <tr r="D23" s="10"/>
        <tr r="F37" s="13"/>
      </tp>
      <tp t="e">
        <v>#N/A</v>
        <stp/>
        <stp>BDH|13136334461397165702</stp>
        <tr r="W7" s="14"/>
      </tp>
      <tp t="e">
        <v>#N/A</v>
        <stp/>
        <stp>BDH|14179109850405198323</stp>
        <tr r="M9" s="21"/>
      </tp>
      <tp t="e">
        <v>#N/A</v>
        <stp/>
        <stp>BDH|14360865047088358636</stp>
        <tr r="V51" s="12"/>
      </tp>
      <tp t="e">
        <v>#N/A</v>
        <stp/>
        <stp>BDH|17074145706327032702</stp>
        <tr r="Z30" s="24"/>
      </tp>
      <tp t="e">
        <v>#N/A</v>
        <stp/>
        <stp>BDH|18102631787697472737</stp>
        <tr r="U23" s="23"/>
      </tp>
      <tp t="e">
        <v>#N/A</v>
        <stp/>
        <stp>BDH|17055544687455523940</stp>
        <tr r="M31" s="5"/>
      </tp>
      <tp t="e">
        <v>#N/A</v>
        <stp/>
        <stp>BDH|16350928692833932380</stp>
        <tr r="E43" s="12"/>
      </tp>
      <tp t="e">
        <v>#N/A</v>
        <stp/>
        <stp>BDH|15727042327263043260</stp>
        <tr r="U24" s="6"/>
      </tp>
      <tp t="e">
        <v>#N/A</v>
        <stp/>
        <stp>BDH|17236473687294717976</stp>
        <tr r="J24" s="12"/>
      </tp>
      <tp t="e">
        <v>#N/A</v>
        <stp/>
        <stp>BDH|16760020123093748137</stp>
        <tr r="O17" s="11"/>
      </tp>
      <tp t="e">
        <v>#N/A</v>
        <stp/>
        <stp>BDH|11735156950643120015</stp>
        <tr r="M8" s="21"/>
      </tp>
      <tp t="e">
        <v>#N/A</v>
        <stp/>
        <stp>BDH|15349225353170535457</stp>
        <tr r="J21" s="9"/>
      </tp>
      <tp t="e">
        <v>#N/A</v>
        <stp/>
        <stp>BDH|10053377574594649677</stp>
        <tr r="Y56" s="18"/>
      </tp>
      <tp t="e">
        <v>#N/A</v>
        <stp/>
        <stp>BDH|17282187479850615772</stp>
        <tr r="Z22" s="12"/>
      </tp>
      <tp t="e">
        <v>#N/A</v>
        <stp/>
        <stp>BDH|18077960232296068218</stp>
        <tr r="AA8" s="34"/>
      </tp>
      <tp t="e">
        <v>#N/A</v>
        <stp/>
        <stp>BDH|17550454797674787854</stp>
        <tr r="R27" s="10"/>
        <tr r="T33" s="13"/>
      </tp>
      <tp t="e">
        <v>#N/A</v>
        <stp/>
        <stp>BDH|12142469410162632344</stp>
        <tr r="Q6" s="27"/>
      </tp>
      <tp t="e">
        <v>#N/A</v>
        <stp/>
        <stp>BDH|17033468253299176914</stp>
        <tr r="P38" s="12"/>
      </tp>
      <tp t="e">
        <v>#N/A</v>
        <stp/>
        <stp>BDH|12681579015970147006</stp>
        <tr r="X60" s="18"/>
      </tp>
      <tp t="e">
        <v>#N/A</v>
        <stp/>
        <stp>BDH|16153959594302238275</stp>
        <tr r="M26" s="21"/>
      </tp>
      <tp t="e">
        <v>#N/A</v>
        <stp/>
        <stp>BDH|17736473408436543389</stp>
        <tr r="R49" s="4"/>
      </tp>
      <tp t="e">
        <v>#N/A</v>
        <stp/>
        <stp>BDH|15350494313770588696</stp>
        <tr r="W43" s="21"/>
      </tp>
      <tp t="e">
        <v>#N/A</v>
        <stp/>
        <stp>BDH|17125427305697194222</stp>
        <tr r="J35" s="14"/>
      </tp>
      <tp t="e">
        <v>#N/A</v>
        <stp/>
        <stp>BDH|13386731743072377456</stp>
        <tr r="J22" s="7"/>
      </tp>
      <tp t="e">
        <v>#N/A</v>
        <stp/>
        <stp>BDH|11194347520166175010</stp>
        <tr r="AA13" s="17"/>
        <tr r="AA16" s="28"/>
      </tp>
      <tp t="e">
        <v>#N/A</v>
        <stp/>
        <stp>BDH|16245439881558725425</stp>
        <tr r="O13" s="9"/>
      </tp>
      <tp t="e">
        <v>#N/A</v>
        <stp/>
        <stp>BDH|10084049041324156618</stp>
        <tr r="N83" s="18"/>
      </tp>
      <tp t="e">
        <v>#N/A</v>
        <stp/>
        <stp>BDH|10704684308812666245</stp>
        <tr r="AA67" s="24"/>
      </tp>
      <tp t="e">
        <v>#N/A</v>
        <stp/>
        <stp>BDH|17283150848716976236</stp>
        <tr r="E84" s="24"/>
      </tp>
      <tp t="e">
        <v>#N/A</v>
        <stp/>
        <stp>BDH|12008146458629887916</stp>
        <tr r="S34" s="10"/>
        <tr r="S26" s="11"/>
      </tp>
      <tp t="e">
        <v>#N/A</v>
        <stp/>
        <stp>BDH|12095691828464413403</stp>
        <tr r="M109" s="18"/>
      </tp>
      <tp t="e">
        <v>#N/A</v>
        <stp/>
        <stp>BDH|13928076371517871528</stp>
        <tr r="T23" s="2"/>
        <tr r="V18" s="21"/>
        <tr r="V23" s="3"/>
      </tp>
      <tp t="e">
        <v>#N/A</v>
        <stp/>
        <stp>BDH|14317729581665292879</stp>
        <tr r="L83" s="24"/>
      </tp>
      <tp t="e">
        <v>#N/A</v>
        <stp/>
        <stp>BDH|12354588598328457027</stp>
        <tr r="D47" s="18"/>
      </tp>
      <tp t="e">
        <v>#N/A</v>
        <stp/>
        <stp>BDH|18379677621458603267</stp>
        <tr r="F15" s="17"/>
        <tr r="F18" s="28"/>
      </tp>
      <tp t="e">
        <v>#N/A</v>
        <stp/>
        <stp>BDH|10704016540651502363</stp>
        <tr r="I33" s="18"/>
      </tp>
      <tp t="e">
        <v>#N/A</v>
        <stp/>
        <stp>BDH|13255302313393154453</stp>
        <tr r="N124" s="18"/>
      </tp>
      <tp t="e">
        <v>#N/A</v>
        <stp/>
        <stp>BDH|13803397051583470017</stp>
        <tr r="H21" s="24"/>
      </tp>
      <tp t="e">
        <v>#N/A</v>
        <stp/>
        <stp>BDH|14124995559079260763</stp>
        <tr r="Y13" s="24"/>
      </tp>
      <tp t="e">
        <v>#N/A</v>
        <stp/>
        <stp>BDH|12702953707609704477</stp>
        <tr r="V63" s="17"/>
      </tp>
      <tp t="e">
        <v>#N/A</v>
        <stp/>
        <stp>BDH|18015411591262734123</stp>
        <tr r="M77" s="12"/>
      </tp>
      <tp t="e">
        <v>#N/A</v>
        <stp/>
        <stp>BDH|13375037380608131545</stp>
        <tr r="X37" s="26"/>
      </tp>
      <tp t="e">
        <v>#N/A</v>
        <stp/>
        <stp>BDH|10075036207020573646</stp>
        <tr r="G26" s="6"/>
      </tp>
      <tp t="e">
        <v>#N/A</v>
        <stp/>
        <stp>BDH|11448451997542329805</stp>
        <tr r="W109" s="18"/>
      </tp>
      <tp t="e">
        <v>#N/A</v>
        <stp/>
        <stp>BDH|16990881686902053223</stp>
        <tr r="T92" s="17"/>
        <tr r="T13" s="28"/>
      </tp>
      <tp t="e">
        <v>#N/A</v>
        <stp/>
        <stp>BDH|10240791606851987012</stp>
        <tr r="W55" s="17"/>
      </tp>
      <tp t="e">
        <v>#N/A</v>
        <stp/>
        <stp>BDH|14102306174167484149</stp>
        <tr r="T15" s="17"/>
        <tr r="T18" s="28"/>
      </tp>
      <tp t="e">
        <v>#N/A</v>
        <stp/>
        <stp>BDH|12627555146107569255</stp>
        <tr r="T22" s="18"/>
      </tp>
      <tp t="e">
        <v>#N/A</v>
        <stp/>
        <stp>BDH|10466032729587351381</stp>
        <tr r="H85" s="17"/>
      </tp>
      <tp t="e">
        <v>#N/A</v>
        <stp/>
        <stp>BDH|14540526660475719452</stp>
        <tr r="I17" s="11"/>
      </tp>
      <tp t="e">
        <v>#N/A</v>
        <stp/>
        <stp>BDH|13737145677154508743</stp>
        <tr r="G12" s="24"/>
      </tp>
      <tp t="e">
        <v>#N/A</v>
        <stp/>
        <stp>BDH|17960062744470755591</stp>
        <tr r="H17" s="24"/>
      </tp>
      <tp t="e">
        <v>#N/A</v>
        <stp/>
        <stp>BDH|12955359858082291031</stp>
        <tr r="V16" s="26"/>
      </tp>
      <tp t="e">
        <v>#N/A</v>
        <stp/>
        <stp>BDH|14774166622769556837</stp>
        <tr r="Z102" s="18"/>
      </tp>
      <tp t="e">
        <v>#N/A</v>
        <stp/>
        <stp>BDH|12297243927574509004</stp>
        <tr r="F10" s="26"/>
      </tp>
      <tp t="e">
        <v>#N/A</v>
        <stp/>
        <stp>BDH|12103309155383078106</stp>
        <tr r="Y27" s="34"/>
      </tp>
      <tp t="e">
        <v>#N/A</v>
        <stp/>
        <stp>BDH|15907636169742737108</stp>
        <tr r="E26" s="29"/>
      </tp>
      <tp t="e">
        <v>#N/A</v>
        <stp/>
        <stp>BDH|12754988921488853726</stp>
        <tr r="Z85" s="18"/>
      </tp>
      <tp t="e">
        <v>#N/A</v>
        <stp/>
        <stp>BDH|11141115145250584242</stp>
        <tr r="R33" s="14"/>
      </tp>
      <tp t="e">
        <v>#N/A</v>
        <stp/>
        <stp>BDH|14254813016742580940</stp>
        <tr r="D29" s="29"/>
        <tr r="D7" s="29"/>
      </tp>
      <tp t="e">
        <v>#N/A</v>
        <stp/>
        <stp>BDH|14764063105643221128</stp>
        <tr r="W28" s="21"/>
      </tp>
      <tp t="e">
        <v>#N/A</v>
        <stp/>
        <stp>BDH|13747646656110828699</stp>
        <tr r="Q7" s="14"/>
      </tp>
      <tp t="e">
        <v>#N/A</v>
        <stp/>
        <stp>BDH|11853240750335877509</stp>
        <tr r="N11" s="11"/>
      </tp>
      <tp t="e">
        <v>#N/A</v>
        <stp/>
        <stp>BDH|17622978486934135428</stp>
        <tr r="X12" s="17"/>
      </tp>
      <tp t="e">
        <v>#N/A</v>
        <stp/>
        <stp>BDH|14381364356521523523</stp>
        <tr r="O77" s="17"/>
      </tp>
      <tp t="e">
        <v>#N/A</v>
        <stp/>
        <stp>BDH|13461613839802155297</stp>
        <tr r="D48" s="22"/>
      </tp>
      <tp t="e">
        <v>#N/A</v>
        <stp/>
        <stp>BDH|13928809079752568815</stp>
        <tr r="T85" s="18"/>
      </tp>
      <tp t="e">
        <v>#N/A</v>
        <stp/>
        <stp>BDH|17085147092918500179</stp>
        <tr r="AA71" s="17"/>
      </tp>
      <tp t="e">
        <v>#N/A</v>
        <stp/>
        <stp>BDH|15899651800745923002</stp>
        <tr r="M34" s="9"/>
      </tp>
      <tp t="e">
        <v>#N/A</v>
        <stp/>
        <stp>BDH|11942573602813034183</stp>
        <tr r="I47" s="34"/>
      </tp>
      <tp t="e">
        <v>#N/A</v>
        <stp/>
        <stp>BDH|15150480229944129150</stp>
        <tr r="R19" s="11"/>
      </tp>
      <tp t="e">
        <v>#N/A</v>
        <stp/>
        <stp>BDH|10722029702570711641</stp>
        <tr r="M69" s="10"/>
      </tp>
      <tp t="e">
        <v>#N/A</v>
        <stp/>
        <stp>BDH|13890989380003380776</stp>
        <tr r="G39" s="24"/>
      </tp>
      <tp t="e">
        <v>#N/A</v>
        <stp/>
        <stp>BDH|15541600802847621253</stp>
        <tr r="Z10" s="13"/>
      </tp>
      <tp t="e">
        <v>#N/A</v>
        <stp/>
        <stp>BDH|13306231210994132256</stp>
        <tr r="J52" s="17"/>
        <tr r="J10" s="25"/>
      </tp>
      <tp t="e">
        <v>#N/A</v>
        <stp/>
        <stp>BDH|17871180524916004403</stp>
        <tr r="P7" s="6"/>
      </tp>
      <tp t="e">
        <v>#N/A</v>
        <stp/>
        <stp>BDH|14501296543181981523</stp>
        <tr r="I47" s="18"/>
      </tp>
      <tp t="e">
        <v>#N/A</v>
        <stp/>
        <stp>BDH|17385917350568248542</stp>
        <tr r="N52" s="6"/>
        <tr r="P9" s="8"/>
      </tp>
      <tp t="e">
        <v>#N/A</v>
        <stp/>
        <stp>BDH|13286527650584303176</stp>
        <tr r="S58" s="6"/>
      </tp>
      <tp t="e">
        <v>#N/A</v>
        <stp/>
        <stp>BDH|10368722123866099566</stp>
        <tr r="R15" s="24"/>
      </tp>
      <tp t="e">
        <v>#N/A</v>
        <stp/>
        <stp>BDH|15923652151459871910</stp>
        <tr r="E8" s="10"/>
      </tp>
      <tp t="e">
        <v>#N/A</v>
        <stp/>
        <stp>BDH|18168896312582900576</stp>
        <tr r="X13" s="6"/>
      </tp>
      <tp t="e">
        <v>#N/A</v>
        <stp/>
        <stp>BDH|11243514654164201312</stp>
        <tr r="D8" s="13"/>
      </tp>
      <tp t="e">
        <v>#N/A</v>
        <stp/>
        <stp>BDH|10888489371621546401</stp>
        <tr r="O48" s="22"/>
      </tp>
      <tp t="e">
        <v>#N/A</v>
        <stp/>
        <stp>BDH|17156711451422356167</stp>
        <tr r="H35" s="21"/>
      </tp>
      <tp t="e">
        <v>#N/A</v>
        <stp/>
        <stp>BDH|17513769511972637500</stp>
        <tr r="O70" s="18"/>
      </tp>
      <tp t="e">
        <v>#N/A</v>
        <stp/>
        <stp>BDH|13475473333003174151</stp>
        <tr r="H34" s="26"/>
      </tp>
      <tp t="e">
        <v>#N/A</v>
        <stp/>
        <stp>BDH|12680650151166717118</stp>
        <tr r="Y43" s="29"/>
      </tp>
      <tp t="e">
        <v>#N/A</v>
        <stp/>
        <stp>BDH|10268680865795850333</stp>
        <tr r="C137" s="18"/>
      </tp>
      <tp t="e">
        <v>#N/A</v>
        <stp/>
        <stp>BDH|10775090301974880231</stp>
        <tr r="I84" s="17"/>
      </tp>
      <tp t="e">
        <v>#N/A</v>
        <stp/>
        <stp>BDH|14749580674780721087</stp>
        <tr r="G14" s="22"/>
      </tp>
      <tp t="e">
        <v>#N/A</v>
        <stp/>
        <stp>BDH|11964533426791805107</stp>
        <tr r="C130" s="18"/>
      </tp>
      <tp t="e">
        <v>#N/A</v>
        <stp/>
        <stp>BDH|13907020833814542299</stp>
        <tr r="N22" s="30"/>
        <tr r="N24" s="23"/>
      </tp>
      <tp t="e">
        <v>#N/A</v>
        <stp/>
        <stp>BDH|10598034342877492549</stp>
        <tr r="Q18" s="18"/>
      </tp>
      <tp t="e">
        <v>#N/A</v>
        <stp/>
        <stp>BDH|10665544556604594258</stp>
        <tr r="AA49" s="22"/>
      </tp>
      <tp t="e">
        <v>#N/A</v>
        <stp/>
        <stp>BDH|14563928684607291454</stp>
        <tr r="K10" s="18"/>
      </tp>
      <tp t="e">
        <v>#N/A</v>
        <stp/>
        <stp>BDH|11940163976588801957</stp>
        <tr r="D121" s="18"/>
      </tp>
      <tp t="e">
        <v>#N/A</v>
        <stp/>
        <stp>BDH|15979775649483159327</stp>
        <tr r="Q45" s="12"/>
      </tp>
      <tp t="e">
        <v>#N/A</v>
        <stp/>
        <stp>BDH|10611272951436251766</stp>
        <tr r="P12" s="6"/>
      </tp>
      <tp t="e">
        <v>#N/A</v>
        <stp/>
        <stp>BDH|16324312835412159225</stp>
        <tr r="J20" s="14"/>
      </tp>
      <tp t="e">
        <v>#N/A</v>
        <stp/>
        <stp>BDH|15096791207602985632</stp>
        <tr r="K18" s="10"/>
        <tr r="M16" s="13"/>
        <tr r="M27" s="13"/>
      </tp>
      <tp t="e">
        <v>#N/A</v>
        <stp/>
        <stp>BDH|10358205172930334351</stp>
        <tr r="L6" s="2"/>
        <tr r="K6" s="5"/>
        <tr r="K6" s="9"/>
        <tr r="M12" s="8"/>
        <tr r="L10" s="29"/>
        <tr r="L19" s="29"/>
        <tr r="L25" s="29"/>
      </tp>
      <tp t="e">
        <v>#N/A</v>
        <stp/>
        <stp>BDH|13343064415024181063</stp>
        <tr r="W8" s="22"/>
      </tp>
      <tp t="e">
        <v>#N/A</v>
        <stp/>
        <stp>BDH|11925484443156543108</stp>
        <tr r="G11" s="14"/>
      </tp>
      <tp t="e">
        <v>#N/A</v>
        <stp/>
        <stp>BDH|16237248330724650572</stp>
        <tr r="Q10" s="21"/>
      </tp>
      <tp t="e">
        <v>#N/A</v>
        <stp/>
        <stp>BDH|12850101565597921439</stp>
        <tr r="R37" s="6"/>
      </tp>
      <tp t="e">
        <v>#N/A</v>
        <stp/>
        <stp>BDH|15379255420200431359</stp>
        <tr r="I68" s="18"/>
      </tp>
      <tp t="e">
        <v>#N/A</v>
        <stp/>
        <stp>BDH|13169499906437137682</stp>
        <tr r="U19" s="11"/>
      </tp>
      <tp t="e">
        <v>#N/A</v>
        <stp/>
        <stp>BDH|17082222712155156764</stp>
        <tr r="W25" s="5"/>
      </tp>
      <tp t="e">
        <v>#N/A</v>
        <stp/>
        <stp>BDH|16788642864040395039</stp>
        <tr r="I83" s="24"/>
      </tp>
      <tp t="e">
        <v>#N/A</v>
        <stp/>
        <stp>BDH|15036339012016357755</stp>
        <tr r="J66" s="12"/>
      </tp>
      <tp t="e">
        <v>#N/A</v>
        <stp/>
        <stp>BDH|11623277233742497411</stp>
        <tr r="U79" s="18"/>
      </tp>
      <tp t="e">
        <v>#N/A</v>
        <stp/>
        <stp>BDH|10404174566291691046</stp>
        <tr r="K20" s="18"/>
      </tp>
      <tp t="e">
        <v>#N/A</v>
        <stp/>
        <stp>BDH|10497586839671010121</stp>
        <tr r="J68" s="24"/>
      </tp>
      <tp t="e">
        <v>#N/A</v>
        <stp/>
        <stp>BDH|11103234048826472792</stp>
        <tr r="Y63" s="10"/>
      </tp>
      <tp t="e">
        <v>#N/A</v>
        <stp/>
        <stp>BDH|17511468839702445492</stp>
        <tr r="Z26" s="21"/>
      </tp>
      <tp t="e">
        <v>#N/A</v>
        <stp/>
        <stp>BDH|16853112925264885735</stp>
        <tr r="P81" s="17"/>
        <tr r="P20" s="3"/>
        <tr r="N6" s="7"/>
      </tp>
      <tp t="e">
        <v>#N/A</v>
        <stp/>
        <stp>BDH|12852353471166271698</stp>
        <tr r="W63" s="17"/>
      </tp>
      <tp t="e">
        <v>#N/A</v>
        <stp/>
        <stp>BDH|17357612306876632154</stp>
        <tr r="D102" s="18"/>
      </tp>
      <tp t="e">
        <v>#N/A</v>
        <stp/>
        <stp>BDH|10112240915356543329</stp>
        <tr r="N27" s="6"/>
      </tp>
      <tp t="e">
        <v>#N/A</v>
        <stp/>
        <stp>BDH|17404654162587276669</stp>
        <tr r="O23" s="22"/>
      </tp>
      <tp t="e">
        <v>#N/A</v>
        <stp/>
        <stp>BDH|13275722225045594573</stp>
        <tr r="Q37" s="12"/>
      </tp>
      <tp t="e">
        <v>#N/A</v>
        <stp/>
        <stp>BDH|13253265314794499231</stp>
        <tr r="U6" s="28"/>
      </tp>
      <tp t="e">
        <v>#N/A</v>
        <stp/>
        <stp>BDH|11237148506492696418</stp>
        <tr r="L22" s="18"/>
      </tp>
      <tp t="e">
        <v>#N/A</v>
        <stp/>
        <stp>BDH|17201832606441984890</stp>
        <tr r="J34" s="12"/>
      </tp>
      <tp t="e">
        <v>#N/A</v>
        <stp/>
        <stp>BDH|13909508912159976850</stp>
        <tr r="R40" s="17"/>
      </tp>
      <tp t="e">
        <v>#N/A</v>
        <stp/>
        <stp>BDH|14790472150557166466</stp>
        <tr r="Z40" s="18"/>
      </tp>
      <tp t="e">
        <v>#N/A</v>
        <stp/>
        <stp>BDH|13138870297305799114</stp>
        <tr r="S38" s="10"/>
        <tr r="S30" s="11"/>
        <tr r="U42" s="13"/>
      </tp>
      <tp t="e">
        <v>#N/A</v>
        <stp/>
        <stp>BDH|10708397450222809219</stp>
        <tr r="Y21" s="2"/>
      </tp>
      <tp t="e">
        <v>#N/A</v>
        <stp/>
        <stp>BDH|17588470905184339136</stp>
        <tr r="S56" s="6"/>
      </tp>
      <tp t="e">
        <v>#N/A</v>
        <stp/>
        <stp>BDH|11966115274424378583</stp>
        <tr r="Y82" s="18"/>
      </tp>
      <tp t="e">
        <v>#N/A</v>
        <stp/>
        <stp>BDH|12539806623497367924</stp>
        <tr r="G9" s="21"/>
      </tp>
      <tp t="e">
        <v>#N/A</v>
        <stp/>
        <stp>BDH|10172079201815403345</stp>
        <tr r="F14" s="23"/>
      </tp>
      <tp t="e">
        <v>#N/A</v>
        <stp/>
        <stp>BDH|15655018843247581065</stp>
        <tr r="V26" s="17"/>
      </tp>
      <tp t="e">
        <v>#N/A</v>
        <stp/>
        <stp>BDH|12533551960345705203</stp>
        <tr r="Z79" s="12"/>
      </tp>
      <tp t="e">
        <v>#N/A</v>
        <stp/>
        <stp>BDH|15433526146730524222</stp>
        <tr r="S76" s="24"/>
      </tp>
      <tp t="e">
        <v>#N/A</v>
        <stp/>
        <stp>BDH|12301692779116551317</stp>
        <tr r="I83" s="18"/>
      </tp>
      <tp t="e">
        <v>#N/A</v>
        <stp/>
        <stp>BDH|16107705827253375620</stp>
        <tr r="M37" s="6"/>
      </tp>
      <tp t="e">
        <v>#N/A</v>
        <stp/>
        <stp>BDH|16571969462288597735</stp>
        <tr r="H94" s="18"/>
      </tp>
      <tp t="e">
        <v>#N/A</v>
        <stp/>
        <stp>BDH|16315218974714817198</stp>
        <tr r="I32" s="24"/>
      </tp>
      <tp t="e">
        <v>#N/A</v>
        <stp/>
        <stp>BDH|14620580178936257639</stp>
        <tr r="F103" s="18"/>
      </tp>
      <tp t="e">
        <v>#N/A</v>
        <stp/>
        <stp>BDH|16985097172947524003</stp>
        <tr r="F32" s="9"/>
      </tp>
      <tp t="e">
        <v>#N/A</v>
        <stp/>
        <stp>BDH|12911545265120736781</stp>
        <tr r="Y31" s="18"/>
      </tp>
      <tp t="e">
        <v>#N/A</v>
        <stp/>
        <stp>BDH|17066168402562388205</stp>
        <tr r="K68" s="24"/>
      </tp>
      <tp t="e">
        <v>#N/A</v>
        <stp/>
        <stp>BDH|12101362772366148633</stp>
        <tr r="T15" s="12"/>
      </tp>
      <tp t="e">
        <v>#N/A</v>
        <stp/>
        <stp>BDH|11648934526894386876</stp>
        <tr r="W11" s="13"/>
      </tp>
      <tp t="e">
        <v>#N/A</v>
        <stp/>
        <stp>BDH|14584686803144030099</stp>
        <tr r="H64" s="13"/>
      </tp>
      <tp t="e">
        <v>#N/A</v>
        <stp/>
        <stp>BDH|15003058542061644669</stp>
        <tr r="T9" s="34"/>
      </tp>
      <tp t="e">
        <v>#N/A</v>
        <stp/>
        <stp>BDH|15548212716709779922</stp>
        <tr r="Y46" s="12"/>
      </tp>
      <tp t="e">
        <v>#N/A</v>
        <stp/>
        <stp>BDH|18256634039828992364</stp>
        <tr r="Z7" s="24"/>
      </tp>
      <tp t="e">
        <v>#N/A</v>
        <stp/>
        <stp>BDH|14046040513562229138</stp>
        <tr r="W20" s="23"/>
      </tp>
      <tp t="e">
        <v>#N/A</v>
        <stp/>
        <stp>BDH|16418246535698681952</stp>
        <tr r="M37" s="12"/>
      </tp>
      <tp t="e">
        <v>#N/A</v>
        <stp/>
        <stp>BDH|13600539008354980428</stp>
        <tr r="M12" s="20"/>
      </tp>
      <tp t="e">
        <v>#N/A</v>
        <stp/>
        <stp>BDH|17034534731313780436</stp>
        <tr r="Z45" s="18"/>
      </tp>
      <tp t="e">
        <v>#N/A</v>
        <stp/>
        <stp>BDH|16800420670953834042</stp>
        <tr r="U43" s="6"/>
      </tp>
      <tp t="e">
        <v>#N/A</v>
        <stp/>
        <stp>BDH|10521103470735570569</stp>
        <tr r="Q12" s="14"/>
      </tp>
      <tp t="e">
        <v>#N/A</v>
        <stp/>
        <stp>BDH|11451546756092881584</stp>
        <tr r="O14" s="12"/>
      </tp>
      <tp t="e">
        <v>#N/A</v>
        <stp/>
        <stp>BDH|12879718223759529894</stp>
        <tr r="V135" s="18"/>
      </tp>
      <tp t="e">
        <v>#N/A</v>
        <stp/>
        <stp>BDH|15941770749631356129</stp>
        <tr r="M77" s="24"/>
      </tp>
      <tp t="e">
        <v>#N/A</v>
        <stp/>
        <stp>BDH|12458776469427596293</stp>
        <tr r="T34" s="12"/>
      </tp>
      <tp t="e">
        <v>#N/A</v>
        <stp/>
        <stp>BDH|15691856635668551051</stp>
        <tr r="L71" s="12"/>
      </tp>
      <tp t="e">
        <v>#N/A</v>
        <stp/>
        <stp>BDH|13171503675135487260</stp>
        <tr r="W37" s="12"/>
      </tp>
      <tp t="e">
        <v>#N/A</v>
        <stp/>
        <stp>BDH|14232460101395142328</stp>
        <tr r="J23" s="17"/>
      </tp>
      <tp t="e">
        <v>#N/A</v>
        <stp/>
        <stp>BDH|10877563425951506081</stp>
        <tr r="H74" s="17"/>
      </tp>
      <tp t="e">
        <v>#N/A</v>
        <stp/>
        <stp>BDH|11395243031326557050</stp>
        <tr r="H20" s="9"/>
      </tp>
      <tp t="e">
        <v>#N/A</v>
        <stp/>
        <stp>BDH|15413843788766617587</stp>
        <tr r="Y76" s="18"/>
      </tp>
      <tp t="e">
        <v>#N/A</v>
        <stp/>
        <stp>BDH|15096015327732802388</stp>
        <tr r="S53" s="24"/>
      </tp>
      <tp t="e">
        <v>#N/A</v>
        <stp/>
        <stp>BDH|18013770312630044830</stp>
        <tr r="X10" s="10"/>
      </tp>
      <tp t="e">
        <v>#N/A</v>
        <stp/>
        <stp>BDH|18214875213243052400</stp>
        <tr r="P19" s="11"/>
      </tp>
      <tp t="e">
        <v>#N/A</v>
        <stp/>
        <stp>BDH|15353098450622518498</stp>
        <tr r="R23" s="6"/>
      </tp>
      <tp t="e">
        <v>#N/A</v>
        <stp/>
        <stp>BDH|16273658436980172563</stp>
        <tr r="X10" s="13"/>
      </tp>
      <tp t="e">
        <v>#N/A</v>
        <stp/>
        <stp>BDH|12828548152952152694</stp>
        <tr r="J17" s="21"/>
      </tp>
      <tp t="e">
        <v>#N/A</v>
        <stp/>
        <stp>BDH|13092789860244707090</stp>
        <tr r="F50" s="24"/>
      </tp>
      <tp t="e">
        <v>#N/A</v>
        <stp/>
        <stp>BDH|16643958918980402897</stp>
        <tr r="Z63" s="13"/>
      </tp>
      <tp t="e">
        <v>#N/A</v>
        <stp/>
        <stp>BDH|17480997533008056388</stp>
        <tr r="S18" s="20"/>
      </tp>
      <tp t="e">
        <v>#N/A</v>
        <stp/>
        <stp>BDH|10300972449953324888</stp>
        <tr r="P66" s="12"/>
      </tp>
      <tp t="e">
        <v>#N/A</v>
        <stp/>
        <stp>BDH|14630154136756710640</stp>
        <tr r="S70" s="18"/>
      </tp>
      <tp t="e">
        <v>#N/A</v>
        <stp/>
        <stp>BDH|10319602704402419256</stp>
        <tr r="T63" s="10"/>
      </tp>
      <tp t="e">
        <v>#N/A</v>
        <stp/>
        <stp>BDH|15088610743278038949</stp>
        <tr r="Q118" s="18"/>
      </tp>
      <tp t="e">
        <v>#N/A</v>
        <stp/>
        <stp>BDH|17835908147614139889</stp>
        <tr r="P134" s="18"/>
      </tp>
      <tp t="e">
        <v>#N/A</v>
        <stp/>
        <stp>BDH|13763339628327888323</stp>
        <tr r="N57" s="6"/>
      </tp>
      <tp t="e">
        <v>#N/A</v>
        <stp/>
        <stp>BDH|15580742771483699000</stp>
        <tr r="N20" s="2"/>
        <tr r="N18" s="4"/>
        <tr r="N58" s="10"/>
        <tr r="N50" s="11"/>
        <tr r="N19" s="7"/>
        <tr r="P65" s="13"/>
      </tp>
      <tp t="e">
        <v>#N/A</v>
        <stp/>
        <stp>BDH|12946091320015344357</stp>
        <tr r="R21" s="17"/>
        <tr r="R15" s="3"/>
      </tp>
      <tp t="e">
        <v>#N/A</v>
        <stp/>
        <stp>BDH|17082722677909260810</stp>
        <tr r="N23" s="12"/>
      </tp>
      <tp t="e">
        <v>#N/A</v>
        <stp/>
        <stp>BDH|12332262732727958287</stp>
        <tr r="W8" s="11"/>
      </tp>
      <tp t="e">
        <v>#N/A</v>
        <stp/>
        <stp>BDH|11305041066698614912</stp>
        <tr r="R28" s="25"/>
        <tr r="R14" s="27"/>
      </tp>
      <tp t="e">
        <v>#N/A</v>
        <stp/>
        <stp>BDH|14257189047874865336</stp>
        <tr r="T23" s="13"/>
      </tp>
      <tp t="e">
        <v>#N/A</v>
        <stp/>
        <stp>BDH|16389938955308227415</stp>
        <tr r="H86" s="18"/>
      </tp>
      <tp t="e">
        <v>#N/A</v>
        <stp/>
        <stp>BDH|12654826493111661470</stp>
        <tr r="R27" s="18"/>
      </tp>
      <tp t="e">
        <v>#N/A</v>
        <stp/>
        <stp>BDH|15176631786845736859</stp>
        <tr r="P79" s="24"/>
      </tp>
      <tp t="e">
        <v>#N/A</v>
        <stp/>
        <stp>BDH|15321761733047360031</stp>
        <tr r="W94" s="18"/>
      </tp>
      <tp t="e">
        <v>#N/A</v>
        <stp/>
        <stp>BDH|10094197066104045560</stp>
        <tr r="E10" s="34"/>
      </tp>
      <tp t="e">
        <v>#N/A</v>
        <stp/>
        <stp>BDH|13088579279511268659</stp>
        <tr r="Y138" s="18"/>
      </tp>
      <tp t="e">
        <v>#N/A</v>
        <stp/>
        <stp>BDH|10952226152362438349</stp>
        <tr r="G86" s="17"/>
      </tp>
      <tp t="e">
        <v>#N/A</v>
        <stp/>
        <stp>BDH|15741249947053557682</stp>
        <tr r="D70" s="10"/>
        <tr r="D62" s="11"/>
        <tr r="D20" s="7"/>
      </tp>
      <tp t="e">
        <v>#N/A</v>
        <stp/>
        <stp>BDH|17217016939200299216</stp>
        <tr r="F19" s="20"/>
      </tp>
      <tp t="e">
        <v>#N/A</v>
        <stp/>
        <stp>BDH|13550237409063314459</stp>
        <tr r="C60" s="24"/>
      </tp>
      <tp t="e">
        <v>#N/A</v>
        <stp/>
        <stp>BDH|14681801148378329641</stp>
        <tr r="N92" s="18"/>
      </tp>
      <tp t="e">
        <v>#N/A</v>
        <stp/>
        <stp>BDH|15544567325464873078</stp>
        <tr r="W57" s="24"/>
      </tp>
      <tp t="e">
        <v>#N/A</v>
        <stp/>
        <stp>BDH|14765591542385030658</stp>
        <tr r="G22" s="22"/>
      </tp>
      <tp t="e">
        <v>#N/A</v>
        <stp/>
        <stp>BDH|13828403836902505027</stp>
        <tr r="W34" s="6"/>
      </tp>
      <tp t="e">
        <v>#N/A</v>
        <stp/>
        <stp>BDH|14741575128996478350</stp>
        <tr r="AA11" s="18"/>
      </tp>
      <tp t="e">
        <v>#N/A</v>
        <stp/>
        <stp>BDH|15820731312310882587</stp>
        <tr r="C15" s="21"/>
      </tp>
      <tp t="e">
        <v>#N/A</v>
        <stp/>
        <stp>BDH|10293744378700363643</stp>
        <tr r="D68" s="24"/>
      </tp>
      <tp t="e">
        <v>#N/A</v>
        <stp/>
        <stp>BDH|18409921969552726319</stp>
        <tr r="J57" s="12"/>
      </tp>
      <tp t="e">
        <v>#N/A</v>
        <stp/>
        <stp>BDH|13834162087624814889</stp>
        <tr r="U75" s="24"/>
      </tp>
      <tp t="e">
        <v>#N/A</v>
        <stp/>
        <stp>BDH|18229983047613411008</stp>
        <tr r="N93" s="18"/>
      </tp>
      <tp t="e">
        <v>#N/A</v>
        <stp/>
        <stp>BDH|12222542638983078170</stp>
        <tr r="O32" s="12"/>
      </tp>
      <tp t="e">
        <v>#N/A</v>
        <stp/>
        <stp>BDH|12570033325467881126</stp>
        <tr r="I21" s="30"/>
      </tp>
      <tp t="e">
        <v>#N/A</v>
        <stp/>
        <stp>BDH|15079226514535707588</stp>
        <tr r="S20" s="5"/>
      </tp>
      <tp t="e">
        <v>#N/A</v>
        <stp/>
        <stp>BDH|18048199795452180442</stp>
        <tr r="G40" s="21"/>
      </tp>
      <tp t="e">
        <v>#N/A</v>
        <stp/>
        <stp>BDH|10713270429650851681</stp>
        <tr r="C42" s="6"/>
      </tp>
      <tp t="e">
        <v>#N/A</v>
        <stp/>
        <stp>BDH|18188984711865757363</stp>
        <tr r="H18" s="17"/>
      </tp>
      <tp t="e">
        <v>#N/A</v>
        <stp/>
        <stp>BDH|11685655750373345798</stp>
        <tr r="K12" s="12"/>
      </tp>
      <tp t="e">
        <v>#N/A</v>
        <stp/>
        <stp>BDH|17357484030403125535</stp>
        <tr r="D15" s="11"/>
      </tp>
      <tp t="e">
        <v>#N/A</v>
        <stp/>
        <stp>BDH|16279652356655877605</stp>
        <tr r="X26" s="24"/>
      </tp>
      <tp t="e">
        <v>#N/A</v>
        <stp/>
        <stp>BDH|13030265755537823520</stp>
        <tr r="X106" s="18"/>
      </tp>
      <tp t="e">
        <v>#N/A</v>
        <stp/>
        <stp>BDH|17227418319033481773</stp>
        <tr r="O15" s="30"/>
      </tp>
      <tp t="e">
        <v>#N/A</v>
        <stp/>
        <stp>BDH|10901312020316398128</stp>
        <tr r="N72" s="12"/>
      </tp>
      <tp t="e">
        <v>#N/A</v>
        <stp/>
        <stp>BDH|11912311534242070552</stp>
        <tr r="C7" s="8"/>
      </tp>
      <tp t="e">
        <v>#N/A</v>
        <stp/>
        <stp>BDH|18242126279879885185</stp>
        <tr r="L14" s="8"/>
      </tp>
      <tp t="e">
        <v>#N/A</v>
        <stp/>
        <stp>BDH|12451197493798264455</stp>
        <tr r="W20" s="14"/>
      </tp>
      <tp t="e">
        <v>#N/A</v>
        <stp/>
        <stp>BDH|14673243118715310404</stp>
        <tr r="C15" s="5"/>
      </tp>
      <tp t="e">
        <v>#N/A</v>
        <stp/>
        <stp>BDH|10965672442071359564</stp>
        <tr r="F25" s="17"/>
      </tp>
      <tp t="e">
        <v>#N/A</v>
        <stp/>
        <stp>BDH|13251407759837380317</stp>
        <tr r="F62" s="21"/>
      </tp>
      <tp t="e">
        <v>#N/A</v>
        <stp/>
        <stp>BDH|10139396451180442044</stp>
        <tr r="K33" s="10"/>
        <tr r="K25" s="11"/>
      </tp>
      <tp t="e">
        <v>#N/A</v>
        <stp/>
        <stp>BDH|12834380668764144504</stp>
        <tr r="E92" s="17"/>
        <tr r="E13" s="28"/>
      </tp>
      <tp t="e">
        <v>#N/A</v>
        <stp/>
        <stp>BDH|16754778297498608692</stp>
        <tr r="N51" s="6"/>
        <tr r="P6" s="8"/>
      </tp>
      <tp t="e">
        <v>#N/A</v>
        <stp/>
        <stp>BDH|16933231912223336039</stp>
        <tr r="J20" s="23"/>
      </tp>
      <tp t="e">
        <v>#N/A</v>
        <stp/>
        <stp>BDH|18414483025669767168</stp>
        <tr r="Q23" s="17"/>
      </tp>
      <tp t="e">
        <v>#N/A</v>
        <stp/>
        <stp>BDH|10147367939583572538</stp>
        <tr r="P65" s="17"/>
      </tp>
      <tp t="e">
        <v>#N/A</v>
        <stp/>
        <stp>BDH|10414312139072434409</stp>
        <tr r="G32" s="18"/>
      </tp>
      <tp t="e">
        <v>#N/A</v>
        <stp/>
        <stp>BDH|14639028716030240387</stp>
        <tr r="L37" s="21"/>
        <tr r="L24" s="3"/>
      </tp>
      <tp t="e">
        <v>#N/A</v>
        <stp/>
        <stp>BDH|10711235857038849938</stp>
        <tr r="L20" s="22"/>
      </tp>
      <tp t="e">
        <v>#N/A</v>
        <stp/>
        <stp>BDH|10210979448748372360</stp>
        <tr r="J81" s="24"/>
      </tp>
      <tp t="e">
        <v>#N/A</v>
        <stp/>
        <stp>BDH|16836135139414389695</stp>
        <tr r="AA78" s="24"/>
      </tp>
      <tp t="e">
        <v>#N/A</v>
        <stp/>
        <stp>BDH|18062587538018188096</stp>
        <tr r="H68" s="12"/>
      </tp>
      <tp t="e">
        <v>#N/A</v>
        <stp/>
        <stp>BDH|12109038617746412391</stp>
        <tr r="D63" s="17"/>
      </tp>
      <tp t="e">
        <v>#N/A</v>
        <stp/>
        <stp>BDH|11175308040923814319</stp>
        <tr r="Y13" s="8"/>
      </tp>
      <tp t="e">
        <v>#N/A</v>
        <stp/>
        <stp>BDH|13489644430361044187</stp>
        <tr r="Y45" s="24"/>
      </tp>
      <tp t="e">
        <v>#N/A</v>
        <stp/>
        <stp>BDH|14075638496405544883</stp>
        <tr r="W34" s="29"/>
      </tp>
      <tp t="e">
        <v>#N/A</v>
        <stp/>
        <stp>BDH|11964539175772455731</stp>
        <tr r="I23" s="30"/>
        <tr r="I25" s="23"/>
      </tp>
      <tp t="e">
        <v>#N/A</v>
        <stp/>
        <stp>BDH|14866358845871328437</stp>
        <tr r="T129" s="18"/>
      </tp>
      <tp t="e">
        <v>#N/A</v>
        <stp/>
        <stp>BDH|12511373958672051023</stp>
        <tr r="Y108" s="18"/>
      </tp>
      <tp t="e">
        <v>#N/A</v>
        <stp/>
        <stp>BDH|10659789758900825465</stp>
        <tr r="T40" s="12"/>
      </tp>
      <tp t="e">
        <v>#N/A</v>
        <stp/>
        <stp>BDH|15588200567222830528</stp>
        <tr r="C57" s="12"/>
      </tp>
      <tp t="e">
        <v>#N/A</v>
        <stp/>
        <stp>BDH|17122394158902898507</stp>
        <tr r="T19" s="9"/>
      </tp>
      <tp t="e">
        <v>#N/A</v>
        <stp/>
        <stp>BDH|14260480138012221785</stp>
        <tr r="V97" s="18"/>
        <tr r="V6" s="20"/>
      </tp>
      <tp t="e">
        <v>#N/A</v>
        <stp/>
        <stp>BDH|13329862686311932420</stp>
        <tr r="V22" s="27"/>
      </tp>
      <tp t="e">
        <v>#N/A</v>
        <stp/>
        <stp>BDH|12091457540546999242</stp>
        <tr r="I44" s="13"/>
      </tp>
      <tp t="e">
        <v>#N/A</v>
        <stp/>
        <stp>BDH|17782207918674414638</stp>
        <tr r="D83" s="18"/>
      </tp>
      <tp t="e">
        <v>#N/A</v>
        <stp/>
        <stp>BDH|14116303115794804445</stp>
        <tr r="L49" s="12"/>
      </tp>
      <tp t="e">
        <v>#N/A</v>
        <stp/>
        <stp>BDH|17617848281451891033</stp>
        <tr r="S8" s="22"/>
      </tp>
      <tp t="e">
        <v>#N/A</v>
        <stp/>
        <stp>BDH|13387893994603484723</stp>
        <tr r="X100" s="18"/>
        <tr r="X9" s="20"/>
      </tp>
      <tp t="e">
        <v>#N/A</v>
        <stp/>
        <stp>BDH|11813324542573018305</stp>
        <tr r="C31" s="22"/>
      </tp>
      <tp t="e">
        <v>#N/A</v>
        <stp/>
        <stp>BDH|13974178501560594427</stp>
        <tr r="X12" s="20"/>
      </tp>
      <tp t="e">
        <v>#N/A</v>
        <stp/>
        <stp>BDH|13180683245353262455</stp>
        <tr r="N28" s="12"/>
      </tp>
      <tp t="e">
        <v>#N/A</v>
        <stp/>
        <stp>BDH|15552584626847477345</stp>
        <tr r="H58" s="18"/>
      </tp>
      <tp t="e">
        <v>#N/A</v>
        <stp/>
        <stp>BDH|10544301365831906226</stp>
        <tr r="V57" s="6"/>
      </tp>
      <tp t="e">
        <v>#N/A</v>
        <stp/>
        <stp>BDH|14898464021454136050</stp>
        <tr r="X65" s="18"/>
      </tp>
      <tp t="e">
        <v>#N/A</v>
        <stp/>
        <stp>BDH|16069584113086795271</stp>
        <tr r="W49" s="6"/>
      </tp>
      <tp t="e">
        <v>#N/A</v>
        <stp/>
        <stp>BDH|16690081065485333336</stp>
        <tr r="F17" s="24"/>
      </tp>
      <tp t="e">
        <v>#N/A</v>
        <stp/>
        <stp>BDH|17197298712526698474</stp>
        <tr r="D9" s="27"/>
      </tp>
      <tp t="e">
        <v>#N/A</v>
        <stp/>
        <stp>BDH|13422446638934151620</stp>
        <tr r="U13" s="6"/>
      </tp>
      <tp t="e">
        <v>#N/A</v>
        <stp/>
        <stp>BDH|17642488603420250545</stp>
        <tr r="P81" s="18"/>
      </tp>
      <tp t="e">
        <v>#N/A</v>
        <stp/>
        <stp>BDH|15296405010633074595</stp>
        <tr r="Z9" s="30"/>
      </tp>
      <tp t="e">
        <v>#N/A</v>
        <stp/>
        <stp>BDH|17419478147083792288</stp>
        <tr r="K20" s="26"/>
      </tp>
      <tp t="e">
        <v>#N/A</v>
        <stp/>
        <stp>BDH|16674686122881125564</stp>
        <tr r="D68" s="17"/>
      </tp>
      <tp t="e">
        <v>#N/A</v>
        <stp/>
        <stp>BDH|13773669916410843240</stp>
        <tr r="H46" s="17"/>
      </tp>
      <tp t="e">
        <v>#N/A</v>
        <stp/>
        <stp>BDH|15945762024913630562</stp>
        <tr r="L20" s="14"/>
      </tp>
      <tp t="e">
        <v>#N/A</v>
        <stp/>
        <stp>BDH|10132508459400662654</stp>
        <tr r="F8" s="12"/>
      </tp>
      <tp t="e">
        <v>#N/A</v>
        <stp/>
        <stp>BDH|14060065873890821564</stp>
        <tr r="Q90" s="12"/>
      </tp>
      <tp t="e">
        <v>#N/A</v>
        <stp/>
        <stp>BDH|11665109220746450290</stp>
        <tr r="Z15" s="13"/>
      </tp>
      <tp t="e">
        <v>#N/A</v>
        <stp/>
        <stp>BDH|16118200141226267099</stp>
        <tr r="E14" s="21"/>
      </tp>
      <tp t="e">
        <v>#N/A</v>
        <stp/>
        <stp>BDH|17170212209277791452</stp>
        <tr r="G11" s="24"/>
      </tp>
      <tp t="e">
        <v>#N/A</v>
        <stp/>
        <stp>BDH|16440421368595776724</stp>
        <tr r="AA41" s="21"/>
      </tp>
      <tp t="e">
        <v>#N/A</v>
        <stp/>
        <stp>BDH|12901574425743812081</stp>
        <tr r="E19" s="26"/>
      </tp>
      <tp t="e">
        <v>#N/A</v>
        <stp/>
        <stp>BDH|13499363866157717789</stp>
        <tr r="Q40" s="17"/>
      </tp>
      <tp t="e">
        <v>#N/A</v>
        <stp/>
        <stp>BDH|14830161350585665333</stp>
        <tr r="K18" s="12"/>
      </tp>
      <tp t="e">
        <v>#N/A</v>
        <stp/>
        <stp>BDH|11024887192123773561</stp>
        <tr r="N11" s="6"/>
      </tp>
      <tp t="e">
        <v>#N/A</v>
        <stp/>
        <stp>BDH|10525464449446154005</stp>
        <tr r="I15" s="11"/>
      </tp>
      <tp t="e">
        <v>#N/A</v>
        <stp/>
        <stp>BDH|13639842230307176984</stp>
        <tr r="L18" s="24"/>
      </tp>
      <tp t="e">
        <v>#N/A</v>
        <stp/>
        <stp>BDH|14439347530623252196</stp>
        <tr r="L40" s="24"/>
      </tp>
      <tp t="e">
        <v>#N/A</v>
        <stp/>
        <stp>BDH|11544298812557617339</stp>
        <tr r="U101" s="18"/>
      </tp>
      <tp t="e">
        <v>#N/A</v>
        <stp/>
        <stp>BDH|18100106530418961435</stp>
        <tr r="W43" s="17"/>
      </tp>
      <tp t="e">
        <v>#N/A</v>
        <stp/>
        <stp>BDH|13850746627756430646</stp>
        <tr r="K59" s="17"/>
      </tp>
      <tp t="e">
        <v>#N/A</v>
        <stp/>
        <stp>BDH|15867103250440134722</stp>
        <tr r="U44" s="12"/>
      </tp>
      <tp t="e">
        <v>#N/A</v>
        <stp/>
        <stp>BDH|17562158254373947669</stp>
        <tr r="H40" s="24"/>
      </tp>
      <tp t="e">
        <v>#N/A</v>
        <stp/>
        <stp>BDH|15263576765436945627</stp>
        <tr r="D69" s="17"/>
      </tp>
      <tp t="e">
        <v>#N/A</v>
        <stp/>
        <stp>BDH|16842983540214252996</stp>
        <tr r="N69" s="12"/>
      </tp>
      <tp t="e">
        <v>#N/A</v>
        <stp/>
        <stp>BDH|14954185004170962372</stp>
        <tr r="L57" s="12"/>
      </tp>
      <tp t="e">
        <v>#N/A</v>
        <stp/>
        <stp>BDH|12010980910634440877</stp>
        <tr r="G36" s="22"/>
      </tp>
      <tp t="e">
        <v>#N/A</v>
        <stp/>
        <stp>BDH|12597298125374773051</stp>
        <tr r="I19" s="12"/>
      </tp>
      <tp t="e">
        <v>#N/A</v>
        <stp/>
        <stp>BDH|18376936204183992472</stp>
        <tr r="D61" s="17"/>
      </tp>
      <tp t="e">
        <v>#N/A</v>
        <stp/>
        <stp>BDH|15537780604296190223</stp>
        <tr r="U14" s="8"/>
      </tp>
      <tp t="e">
        <v>#N/A</v>
        <stp/>
        <stp>BDH|15763408662679653896</stp>
        <tr r="L49" s="13"/>
      </tp>
      <tp t="e">
        <v>#N/A</v>
        <stp/>
        <stp>BDH|17995311266933632728</stp>
        <tr r="K59" s="12"/>
      </tp>
      <tp t="e">
        <v>#N/A</v>
        <stp/>
        <stp>BDH|14834260421637496515</stp>
        <tr r="N78" s="18"/>
      </tp>
      <tp t="e">
        <v>#N/A</v>
        <stp/>
        <stp>BDH|17008438528296464155</stp>
        <tr r="M65" s="24"/>
      </tp>
      <tp t="e">
        <v>#N/A</v>
        <stp/>
        <stp>BDH|17578268109396543551</stp>
        <tr r="E64" s="21"/>
      </tp>
      <tp t="e">
        <v>#N/A</v>
        <stp/>
        <stp>BDH|13402879067763843862</stp>
        <tr r="V19" s="30"/>
      </tp>
      <tp t="e">
        <v>#N/A</v>
        <stp/>
        <stp>BDH|13832030137831163775</stp>
        <tr r="G30" s="34"/>
      </tp>
      <tp t="e">
        <v>#N/A</v>
        <stp/>
        <stp>BDH|10358138681699859631</stp>
        <tr r="Q63" s="10"/>
      </tp>
      <tp t="e">
        <v>#N/A</v>
        <stp/>
        <stp>BDH|16694962356135457981</stp>
        <tr r="L29" s="10"/>
        <tr r="N35" s="13"/>
      </tp>
      <tp t="e">
        <v>#N/A</v>
        <stp/>
        <stp>BDH|11166571864714122091</stp>
        <tr r="H50" s="18"/>
      </tp>
      <tp t="e">
        <v>#N/A</v>
        <stp/>
        <stp>BDH|10277690714015429416</stp>
        <tr r="H38" s="25"/>
      </tp>
      <tp t="e">
        <v>#N/A</v>
        <stp/>
        <stp>BDH|11778567361465826125</stp>
        <tr r="E23" s="30"/>
        <tr r="E25" s="23"/>
      </tp>
      <tp t="e">
        <v>#N/A</v>
        <stp/>
        <stp>BDH|13775517658024101152</stp>
        <tr r="Q38" s="17"/>
      </tp>
      <tp t="e">
        <v>#N/A</v>
        <stp/>
        <stp>BDH|15670328165587334188</stp>
        <tr r="D13" s="25"/>
      </tp>
      <tp t="e">
        <v>#N/A</v>
        <stp/>
        <stp>BDH|10327898837465376848</stp>
        <tr r="U66" s="17"/>
        <tr r="U18" s="3"/>
      </tp>
      <tp t="e">
        <v>#N/A</v>
        <stp/>
        <stp>BDH|17196355412486814548</stp>
        <tr r="X42" s="24"/>
      </tp>
      <tp t="e">
        <v>#N/A</v>
        <stp/>
        <stp>BDH|10827231002354366007</stp>
        <tr r="V127" s="18"/>
      </tp>
      <tp t="e">
        <v>#N/A</v>
        <stp/>
        <stp>BDH|11199271235781094797</stp>
        <tr r="AA76" s="17"/>
        <tr r="AA19" s="3"/>
      </tp>
      <tp t="e">
        <v>#N/A</v>
        <stp/>
        <stp>BDH|14260590922820798546</stp>
        <tr r="H12" s="24"/>
      </tp>
      <tp t="e">
        <v>#N/A</v>
        <stp/>
        <stp>BDH|16697909074169903711</stp>
        <tr r="U23" s="25"/>
        <tr r="S20" s="11"/>
      </tp>
      <tp t="e">
        <v>#N/A</v>
        <stp/>
        <stp>BDH|18091971951111570399</stp>
        <tr r="C29" s="24"/>
      </tp>
      <tp t="e">
        <v>#N/A</v>
        <stp/>
        <stp>BDH|10117391015514226051</stp>
        <tr r="F28" s="34"/>
      </tp>
      <tp t="e">
        <v>#N/A</v>
        <stp/>
        <stp>BDH|17777110004039186999</stp>
        <tr r="J24" s="17"/>
      </tp>
      <tp t="e">
        <v>#N/A</v>
        <stp/>
        <stp>BDH|13663792802016281458</stp>
        <tr r="I20" s="10"/>
      </tp>
      <tp t="e">
        <v>#N/A</v>
        <stp/>
        <stp>BDH|10598111943782583183</stp>
        <tr r="Y62" s="21"/>
      </tp>
      <tp t="e">
        <v>#N/A</v>
        <stp/>
        <stp>BDH|10972737857565356144</stp>
        <tr r="F39" s="17"/>
      </tp>
      <tp t="e">
        <v>#N/A</v>
        <stp/>
        <stp>BDH|16846942496674812485</stp>
        <tr r="Y11" s="28"/>
      </tp>
      <tp t="e">
        <v>#N/A</v>
        <stp/>
        <stp>BDH|11848003940803090022</stp>
        <tr r="P59" s="12"/>
      </tp>
      <tp t="e">
        <v>#N/A</v>
        <stp/>
        <stp>BDH|17075453128637318038</stp>
        <tr r="L57" s="24"/>
      </tp>
      <tp t="e">
        <v>#N/A</v>
        <stp/>
        <stp>BDH|16554314585142537998</stp>
        <tr r="K137" s="18"/>
      </tp>
      <tp t="e">
        <v>#N/A</v>
        <stp/>
        <stp>BDH|16285195137066732464</stp>
        <tr r="M102" s="18"/>
      </tp>
      <tp t="e">
        <v>#N/A</v>
        <stp/>
        <stp>BDH|10953949891132714465</stp>
        <tr r="V25" s="22"/>
      </tp>
      <tp t="e">
        <v>#N/A</v>
        <stp/>
        <stp>BDH|13410449329146435505</stp>
        <tr r="AA101" s="18"/>
      </tp>
      <tp t="e">
        <v>#N/A</v>
        <stp/>
        <stp>BDH|12114290160602593200</stp>
        <tr r="Y42" s="17"/>
      </tp>
      <tp t="e">
        <v>#N/A</v>
        <stp/>
        <stp>BDH|15361783402923230763</stp>
        <tr r="S12" s="7"/>
      </tp>
      <tp t="e">
        <v>#N/A</v>
        <stp/>
        <stp>BDH|13445111532127902038</stp>
        <tr r="K32" s="21"/>
      </tp>
      <tp t="e">
        <v>#N/A</v>
        <stp/>
        <stp>BDH|12322223327004924020</stp>
        <tr r="W14" s="28"/>
      </tp>
      <tp t="e">
        <v>#N/A</v>
        <stp/>
        <stp>BDH|11550825989061628651</stp>
        <tr r="L93" s="18"/>
      </tp>
      <tp t="e">
        <v>#N/A</v>
        <stp/>
        <stp>BDH|10741645519761520027</stp>
        <tr r="AA23" s="24"/>
      </tp>
      <tp t="e">
        <v>#N/A</v>
        <stp/>
        <stp>BDH|10473402828661625173</stp>
        <tr r="T41" s="10"/>
        <tr r="T33" s="11"/>
      </tp>
      <tp t="e">
        <v>#N/A</v>
        <stp/>
        <stp>BDH|13194732509877100571</stp>
        <tr r="M40" s="24"/>
      </tp>
      <tp t="e">
        <v>#N/A</v>
        <stp/>
        <stp>BDH|15666489542610224339</stp>
        <tr r="D24" s="24"/>
      </tp>
      <tp t="e">
        <v>#N/A</v>
        <stp/>
        <stp>BDH|18113276599290254501</stp>
        <tr r="I25" s="18"/>
      </tp>
      <tp t="e">
        <v>#N/A</v>
        <stp/>
        <stp>BDH|13017756529708571846</stp>
        <tr r="I13" s="2"/>
      </tp>
      <tp t="e">
        <v>#N/A</v>
        <stp/>
        <stp>BDH|13818236620144526134</stp>
        <tr r="W34" s="21"/>
      </tp>
      <tp t="e">
        <v>#N/A</v>
        <stp/>
        <stp>BDH|10481120941577889422</stp>
        <tr r="T49" s="17"/>
      </tp>
      <tp t="e">
        <v>#N/A</v>
        <stp/>
        <stp>BDH|16051160064376646195</stp>
        <tr r="F24" s="5"/>
      </tp>
      <tp t="e">
        <v>#N/A</v>
        <stp/>
        <stp>BDH|13482427759700369418</stp>
        <tr r="C9" s="30"/>
      </tp>
      <tp t="e">
        <v>#N/A</v>
        <stp/>
        <stp>BDH|13062707865150816407</stp>
        <tr r="X64" s="17"/>
      </tp>
      <tp t="e">
        <v>#N/A</v>
        <stp/>
        <stp>BDH|14902308112430587032</stp>
        <tr r="I30" s="34"/>
      </tp>
      <tp t="e">
        <v>#N/A</v>
        <stp/>
        <stp>BDH|15784725744124826448</stp>
        <tr r="H22" s="18"/>
      </tp>
      <tp t="e">
        <v>#N/A</v>
        <stp/>
        <stp>BDH|16478974576338002685</stp>
        <tr r="T25" s="3"/>
      </tp>
      <tp t="e">
        <v>#N/A</v>
        <stp/>
        <stp>BDH|16805417160565657722</stp>
        <tr r="Z91" s="17"/>
        <tr r="Z7" s="27"/>
      </tp>
      <tp t="e">
        <v>#N/A</v>
        <stp/>
        <stp>BDH|15364566033561235493</stp>
        <tr r="J90" s="12"/>
      </tp>
      <tp t="e">
        <v>#N/A</v>
        <stp/>
        <stp>BDH|14797053469800403427</stp>
        <tr r="E19" s="24"/>
      </tp>
      <tp t="e">
        <v>#N/A</v>
        <stp/>
        <stp>BDH|12481615120484942419</stp>
        <tr r="P19" s="30"/>
      </tp>
      <tp t="e">
        <v>#N/A</v>
        <stp/>
        <stp>BDH|14830557673675041532</stp>
        <tr r="S135" s="18"/>
      </tp>
      <tp t="e">
        <v>#N/A</v>
        <stp/>
        <stp>BDH|17872676164574647504</stp>
        <tr r="M19" s="25"/>
      </tp>
      <tp t="e">
        <v>#N/A</v>
        <stp/>
        <stp>BDH|13995319814363315439</stp>
        <tr r="C33" s="10"/>
        <tr r="C25" s="11"/>
      </tp>
      <tp t="e">
        <v>#N/A</v>
        <stp/>
        <stp>BDH|10494270508634653011</stp>
        <tr r="Y57" s="10"/>
        <tr r="Y49" s="11"/>
        <tr r="Y18" s="7"/>
        <tr r="AA57" s="13"/>
      </tp>
      <tp t="e">
        <v>#N/A</v>
        <stp/>
        <stp>BDH|15575210731076994405</stp>
        <tr r="T6" s="2"/>
        <tr r="S6" s="5"/>
        <tr r="S6" s="9"/>
        <tr r="U12" s="8"/>
        <tr r="T10" s="29"/>
        <tr r="T19" s="29"/>
        <tr r="T25" s="29"/>
      </tp>
      <tp t="e">
        <v>#N/A</v>
        <stp/>
        <stp>BDH|14548254676562999536</stp>
        <tr r="F48" s="17"/>
      </tp>
      <tp t="e">
        <v>#N/A</v>
        <stp/>
        <stp>BDH|11824343857493276258</stp>
        <tr r="AA13" s="21"/>
      </tp>
      <tp t="e">
        <v>#N/A</v>
        <stp/>
        <stp>BDH|14141155499142819898</stp>
        <tr r="N19" s="18"/>
      </tp>
      <tp t="e">
        <v>#N/A</v>
        <stp/>
        <stp>BDH|16971771911415222319</stp>
        <tr r="O19" s="17"/>
      </tp>
      <tp t="e">
        <v>#N/A</v>
        <stp/>
        <stp>BDH|18009592837940465864</stp>
        <tr r="Q32" s="6"/>
      </tp>
      <tp t="e">
        <v>#N/A</v>
        <stp/>
        <stp>BDH|16609090570361292612</stp>
        <tr r="P8" s="23"/>
      </tp>
      <tp t="e">
        <v>#N/A</v>
        <stp/>
        <stp>BDH|11966328751724511530</stp>
        <tr r="O39" s="24"/>
      </tp>
      <tp t="e">
        <v>#N/A</v>
        <stp/>
        <stp>BDH|16330339948806086144</stp>
        <tr r="O18" s="13"/>
      </tp>
      <tp t="e">
        <v>#N/A</v>
        <stp/>
        <stp>BDH|10056466267421508589</stp>
        <tr r="L66" s="12"/>
      </tp>
      <tp t="e">
        <v>#N/A</v>
        <stp/>
        <stp>BDH|15189450478160060001</stp>
        <tr r="W8" s="28"/>
      </tp>
      <tp t="e">
        <v>#N/A</v>
        <stp/>
        <stp>BDH|13481717765635555192</stp>
        <tr r="W45" s="21"/>
      </tp>
      <tp t="e">
        <v>#N/A</v>
        <stp/>
        <stp>BDH|14362382702639068859</stp>
        <tr r="U60" s="18"/>
      </tp>
      <tp t="e">
        <v>#N/A</v>
        <stp/>
        <stp>BDH|16607000687551911949</stp>
        <tr r="J37" s="6"/>
      </tp>
      <tp t="e">
        <v>#N/A</v>
        <stp/>
        <stp>BDH|14496415960597847710</stp>
        <tr r="D107" s="18"/>
      </tp>
      <tp t="e">
        <v>#N/A</v>
        <stp/>
        <stp>BDH|16962631336601540458</stp>
        <tr r="J6" s="27"/>
      </tp>
      <tp t="e">
        <v>#N/A</v>
        <stp/>
        <stp>BDH|10017265932596833101</stp>
        <tr r="C17" s="6"/>
      </tp>
      <tp t="e">
        <v>#N/A</v>
        <stp/>
        <stp>BDH|18025557798807985586</stp>
        <tr r="P59" s="17"/>
      </tp>
      <tp t="e">
        <v>#N/A</v>
        <stp/>
        <stp>BDH|10185117718905623327</stp>
        <tr r="D13" s="24"/>
      </tp>
      <tp t="e">
        <v>#N/A</v>
        <stp/>
        <stp>BDH|13449812819379945592</stp>
        <tr r="O11" s="13"/>
      </tp>
      <tp t="e">
        <v>#N/A</v>
        <stp/>
        <stp>BDH|14882921697626789465</stp>
        <tr r="O54" s="12"/>
      </tp>
      <tp t="e">
        <v>#N/A</v>
        <stp/>
        <stp>BDH|15470441281018414795</stp>
        <tr r="J24" s="10"/>
      </tp>
      <tp t="e">
        <v>#N/A</v>
        <stp/>
        <stp>BDH|15624075238740323060</stp>
        <tr r="V24" s="6"/>
      </tp>
      <tp t="e">
        <v>#N/A</v>
        <stp/>
        <stp>BDH|15224545457163805054</stp>
        <tr r="F47" s="24"/>
      </tp>
      <tp t="e">
        <v>#N/A</v>
        <stp/>
        <stp>BDH|14077282154305129015</stp>
        <tr r="E9" s="12"/>
      </tp>
      <tp t="e">
        <v>#N/A</v>
        <stp/>
        <stp>BDH|13129837338436077867</stp>
        <tr r="O25" s="13"/>
      </tp>
      <tp t="e">
        <v>#N/A</v>
        <stp/>
        <stp>BDH|11598180481829625762</stp>
        <tr r="K49" s="4"/>
      </tp>
      <tp t="e">
        <v>#N/A</v>
        <stp/>
        <stp>BDH|11329651338984534678</stp>
        <tr r="M31" s="22"/>
      </tp>
      <tp t="e">
        <v>#N/A</v>
        <stp/>
        <stp>BDH|16398551118934223003</stp>
        <tr r="N62" s="17"/>
      </tp>
      <tp t="e">
        <v>#N/A</v>
        <stp/>
        <stp>BDH|10515827209669084728</stp>
        <tr r="Y103" s="18"/>
      </tp>
      <tp t="e">
        <v>#N/A</v>
        <stp/>
        <stp>BDH|16537569508970372544</stp>
        <tr r="P8" s="27"/>
      </tp>
      <tp t="e">
        <v>#N/A</v>
        <stp/>
        <stp>BDH|16208485012325606021</stp>
        <tr r="C20" s="12"/>
      </tp>
      <tp t="e">
        <v>#N/A</v>
        <stp/>
        <stp>BDH|15949921061675378953</stp>
        <tr r="S106" s="18"/>
      </tp>
      <tp t="e">
        <v>#N/A</v>
        <stp/>
        <stp>BDH|10334302536844175288</stp>
        <tr r="I64" s="10"/>
      </tp>
      <tp t="e">
        <v>#N/A</v>
        <stp/>
        <stp>BDH|10911819894440383730</stp>
        <tr r="H71" s="10"/>
        <tr r="H63" s="11"/>
      </tp>
      <tp t="e">
        <v>#N/A</v>
        <stp/>
        <stp>BDH|11949913075428232134</stp>
        <tr r="X70" s="17"/>
      </tp>
      <tp t="e">
        <v>#N/A</v>
        <stp/>
        <stp>BDH|15977468795197733919</stp>
        <tr r="X107" s="18"/>
      </tp>
      <tp t="e">
        <v>#N/A</v>
        <stp/>
        <stp>BDH|17430086663756353103</stp>
        <tr r="C18" s="14"/>
      </tp>
      <tp t="e">
        <v>#N/A</v>
        <stp/>
        <stp>BDH|10691115448723352035</stp>
        <tr r="Q15" s="24"/>
      </tp>
      <tp t="e">
        <v>#N/A</v>
        <stp/>
        <stp>BDH|16416599332181208722</stp>
        <tr r="H7" s="28"/>
      </tp>
      <tp t="e">
        <v>#N/A</v>
        <stp/>
        <stp>BDH|17872658352157325537</stp>
        <tr r="O47" s="10"/>
        <tr r="O39" s="11"/>
      </tp>
      <tp t="e">
        <v>#N/A</v>
        <stp/>
        <stp>BDH|13713936845738835069</stp>
        <tr r="K8" s="26"/>
        <tr r="H10" s="9"/>
      </tp>
      <tp t="e">
        <v>#N/A</v>
        <stp/>
        <stp>BDH|14648219396941661888</stp>
        <tr r="Z86" s="12"/>
      </tp>
      <tp t="e">
        <v>#N/A</v>
        <stp/>
        <stp>BDH|10978128601627345064</stp>
        <tr r="S36" s="22"/>
      </tp>
      <tp t="e">
        <v>#N/A</v>
        <stp/>
        <stp>BDH|13002359294927906879</stp>
        <tr r="M122" s="18"/>
      </tp>
      <tp t="e">
        <v>#N/A</v>
        <stp/>
        <stp>BDH|10686930360628967131</stp>
        <tr r="R32" s="14"/>
      </tp>
      <tp t="e">
        <v>#N/A</v>
        <stp/>
        <stp>BDH|13354254808892152504</stp>
        <tr r="P72" s="12"/>
      </tp>
      <tp t="e">
        <v>#N/A</v>
        <stp/>
        <stp>BDH|15581975104038033296</stp>
        <tr r="T35" s="12"/>
      </tp>
      <tp t="e">
        <v>#N/A</v>
        <stp/>
        <stp>BDH|12337596463984213342</stp>
        <tr r="Z27" s="12"/>
      </tp>
      <tp t="e">
        <v>#N/A</v>
        <stp/>
        <stp>BDH|10687196920103410640</stp>
        <tr r="J48" s="6"/>
      </tp>
      <tp t="e">
        <v>#N/A</v>
        <stp/>
        <stp>BDH|15189385373577039055</stp>
        <tr r="U21" s="14"/>
      </tp>
      <tp t="e">
        <v>#N/A</v>
        <stp/>
        <stp>BDH|16205766759805010721</stp>
        <tr r="J55" s="24"/>
      </tp>
      <tp t="e">
        <v>#N/A</v>
        <stp/>
        <stp>BDH|12998377418703023596</stp>
        <tr r="X137" s="18"/>
      </tp>
      <tp t="e">
        <v>#N/A</v>
        <stp/>
        <stp>BDH|13138831161638587390</stp>
        <tr r="Z16" s="23"/>
      </tp>
      <tp t="e">
        <v>#N/A</v>
        <stp/>
        <stp>BDH|17697404550570171083</stp>
        <tr r="Y22" s="30"/>
        <tr r="Y24" s="23"/>
      </tp>
      <tp t="e">
        <v>#N/A</v>
        <stp/>
        <stp>BDH|17261974098037664648</stp>
        <tr r="C71" s="17"/>
      </tp>
      <tp t="e">
        <v>#N/A</v>
        <stp/>
        <stp>BDH|17152162100220131094</stp>
        <tr r="N19" s="5"/>
        <tr r="N46" s="6"/>
      </tp>
      <tp t="e">
        <v>#N/A</v>
        <stp/>
        <stp>BDH|11924834287795703250</stp>
        <tr r="Z45" s="22"/>
      </tp>
      <tp t="e">
        <v>#N/A</v>
        <stp/>
        <stp>BDH|10591920736808953475</stp>
        <tr r="M88" s="17"/>
      </tp>
      <tp t="e">
        <v>#N/A</v>
        <stp/>
        <stp>BDH|17370445215721414595</stp>
        <tr r="C40" s="24"/>
      </tp>
      <tp t="e">
        <v>#N/A</v>
        <stp/>
        <stp>BDH|12801331529075555085</stp>
        <tr r="K37" s="12"/>
      </tp>
      <tp t="e">
        <v>#N/A</v>
        <stp/>
        <stp>BDH|13035355475309733887</stp>
        <tr r="I25" s="10"/>
        <tr r="K31" s="13"/>
      </tp>
      <tp t="e">
        <v>#N/A</v>
        <stp/>
        <stp>BDH|13942852094673758705</stp>
        <tr r="S42" s="21"/>
      </tp>
      <tp t="e">
        <v>#N/A</v>
        <stp/>
        <stp>BDH|12920743276727668320</stp>
        <tr r="L19" s="22"/>
      </tp>
      <tp t="e">
        <v>#N/A</v>
        <stp/>
        <stp>BDH|10472754019238007871</stp>
        <tr r="E32" s="22"/>
      </tp>
      <tp t="e">
        <v>#N/A</v>
        <stp/>
        <stp>BDH|12149036205995033188</stp>
        <tr r="L8" s="11"/>
      </tp>
      <tp t="e">
        <v>#N/A</v>
        <stp/>
        <stp>BDH|13523395572600736165</stp>
        <tr r="X92" s="17"/>
        <tr r="X13" s="28"/>
      </tp>
      <tp t="e">
        <v>#N/A</v>
        <stp/>
        <stp>BDH|15055572673795329484</stp>
        <tr r="Q41" s="21"/>
      </tp>
      <tp t="e">
        <v>#N/A</v>
        <stp/>
        <stp>BDH|12526836710968185583</stp>
        <tr r="U44" s="13"/>
      </tp>
      <tp t="e">
        <v>#N/A</v>
        <stp/>
        <stp>BDH|11553096920780166527</stp>
        <tr r="X18" s="2"/>
        <tr r="X53" s="4"/>
        <tr r="X46" s="10"/>
        <tr r="X38" s="11"/>
        <tr r="Z51" s="13"/>
      </tp>
      <tp t="e">
        <v>#N/A</v>
        <stp/>
        <stp>BDH|16300096759797428286</stp>
        <tr r="U8" s="12"/>
      </tp>
      <tp t="e">
        <v>#N/A</v>
        <stp/>
        <stp>BDH|13051625204686920500</stp>
        <tr r="C39" s="24"/>
      </tp>
      <tp t="e">
        <v>#N/A</v>
        <stp/>
        <stp>BDH|13300352034622944744</stp>
        <tr r="M18" s="29"/>
        <tr r="M41" s="29"/>
      </tp>
      <tp t="e">
        <v>#N/A</v>
        <stp/>
        <stp>BDH|14440517772356951611</stp>
        <tr r="M60" s="24"/>
      </tp>
      <tp t="e">
        <v>#N/A</v>
        <stp/>
        <stp>BDH|16844466476104533724</stp>
        <tr r="R68" s="12"/>
      </tp>
      <tp t="e">
        <v>#N/A</v>
        <stp/>
        <stp>BDH|13630817435686406889</stp>
        <tr r="D90" s="18"/>
      </tp>
      <tp t="e">
        <v>#N/A</v>
        <stp/>
        <stp>BDH|15268427919254188261</stp>
        <tr r="Q70" s="18"/>
      </tp>
      <tp t="e">
        <v>#N/A</v>
        <stp/>
        <stp>BDH|13979838555738874095</stp>
        <tr r="E17" s="5"/>
        <tr r="E36" s="6"/>
      </tp>
      <tp t="e">
        <v>#N/A</v>
        <stp/>
        <stp>BDH|13623439998470316807</stp>
        <tr r="T23" s="30"/>
        <tr r="T25" s="23"/>
      </tp>
      <tp t="e">
        <v>#N/A</v>
        <stp/>
        <stp>BDH|16886716212657144145</stp>
        <tr r="F15" s="5"/>
      </tp>
      <tp t="e">
        <v>#N/A</v>
        <stp/>
        <stp>BDH|17590364447394218286</stp>
        <tr r="Z63" s="17"/>
      </tp>
      <tp t="e">
        <v>#N/A</v>
        <stp/>
        <stp>BDH|17397298960301221468</stp>
        <tr r="O78" s="12"/>
      </tp>
      <tp t="e">
        <v>#N/A</v>
        <stp/>
        <stp>BDH|13431068104011965415</stp>
        <tr r="K58" s="12"/>
      </tp>
      <tp t="e">
        <v>#N/A</v>
        <stp/>
        <stp>BDH|17305526458927338643</stp>
        <tr r="AA35" s="34"/>
      </tp>
      <tp t="e">
        <v>#N/A</v>
        <stp/>
        <stp>BDH|16290603169331167140</stp>
        <tr r="F36" s="18"/>
      </tp>
      <tp t="e">
        <v>#N/A</v>
        <stp/>
        <stp>BDH|16945821570467069859</stp>
        <tr r="Y70" s="17"/>
      </tp>
      <tp t="e">
        <v>#N/A</v>
        <stp/>
        <stp>BDH|12992527653627203346</stp>
        <tr r="J24" s="24"/>
      </tp>
      <tp t="e">
        <v>#N/A</v>
        <stp/>
        <stp>BDH|12923069945786576615</stp>
        <tr r="K107" s="18"/>
      </tp>
      <tp t="e">
        <v>#N/A</v>
        <stp/>
        <stp>BDH|15844490855534380694</stp>
        <tr r="J81" s="17"/>
        <tr r="J20" s="3"/>
        <tr r="H6" s="7"/>
      </tp>
      <tp t="e">
        <v>#N/A</v>
        <stp/>
        <stp>BDH|14626082861935972182</stp>
        <tr r="S14" s="20"/>
      </tp>
      <tp t="e">
        <v>#N/A</v>
        <stp/>
        <stp>BDH|13908007907672788775</stp>
        <tr r="F15" s="18"/>
      </tp>
      <tp t="e">
        <v>#N/A</v>
        <stp/>
        <stp>BDH|13484147630611748691</stp>
        <tr r="D9" s="18"/>
      </tp>
      <tp t="e">
        <v>#N/A</v>
        <stp/>
        <stp>BDH|10386420329418161876</stp>
        <tr r="J11" s="6"/>
      </tp>
      <tp t="e">
        <v>#N/A</v>
        <stp/>
        <stp>BDH|10521660385199122192</stp>
        <tr r="P18" s="10"/>
        <tr r="R16" s="13"/>
        <tr r="R27" s="13"/>
      </tp>
      <tp t="e">
        <v>#N/A</v>
        <stp/>
        <stp>BDH|16343745906577805077</stp>
        <tr r="L23" s="12"/>
      </tp>
      <tp t="e">
        <v>#N/A</v>
        <stp/>
        <stp>BDH|11779144264216171685</stp>
        <tr r="J15" s="9"/>
      </tp>
      <tp t="e">
        <v>#N/A</v>
        <stp/>
        <stp>BDH|16867626108960994653</stp>
        <tr r="F61" s="11"/>
      </tp>
      <tp t="e">
        <v>#N/A</v>
        <stp/>
        <stp>BDH|13171021239896594015</stp>
        <tr r="Y22" s="22"/>
      </tp>
      <tp t="e">
        <v>#N/A</v>
        <stp/>
        <stp>BDH|16856005792201767836</stp>
        <tr r="K35" s="25"/>
      </tp>
      <tp t="e">
        <v>#N/A</v>
        <stp/>
        <stp>BDH|16883588670900799291</stp>
        <tr r="D21" s="2"/>
      </tp>
      <tp t="e">
        <v>#N/A</v>
        <stp/>
        <stp>BDH|10256002875381823016</stp>
        <tr r="R29" s="17"/>
      </tp>
      <tp t="e">
        <v>#N/A</v>
        <stp/>
        <stp>BDH|10004940286152951554</stp>
        <tr r="C13" s="26"/>
      </tp>
      <tp t="e">
        <v>#N/A</v>
        <stp/>
        <stp>BDH|16734081440024270035</stp>
        <tr r="L72" s="18"/>
      </tp>
      <tp t="e">
        <v>#N/A</v>
        <stp/>
        <stp>BDH|18276981770362542216</stp>
        <tr r="T39" s="6"/>
      </tp>
      <tp t="e">
        <v>#N/A</v>
        <stp/>
        <stp>BDH|16802054920274139623</stp>
        <tr r="K25" s="24"/>
      </tp>
      <tp t="e">
        <v>#N/A</v>
        <stp/>
        <stp>BDH|13972766719940053388</stp>
        <tr r="J63" s="17"/>
      </tp>
      <tp t="e">
        <v>#N/A</v>
        <stp/>
        <stp>BDH|13834910397406648367</stp>
        <tr r="K10" s="11"/>
      </tp>
      <tp t="e">
        <v>#N/A</v>
        <stp/>
        <stp>BDH|11340820796657826114</stp>
        <tr r="W27" s="7"/>
      </tp>
      <tp t="e">
        <v>#N/A</v>
        <stp/>
        <stp>BDH|16292491621563211568</stp>
        <tr r="E52" s="17"/>
        <tr r="E10" s="25"/>
      </tp>
      <tp t="e">
        <v>#N/A</v>
        <stp/>
        <stp>BDH|11132196461755741502</stp>
        <tr r="H49" s="21"/>
      </tp>
      <tp t="e">
        <v>#N/A</v>
        <stp/>
        <stp>BDH|15844227955801632483</stp>
        <tr r="C42" s="22"/>
      </tp>
      <tp t="e">
        <v>#N/A</v>
        <stp/>
        <stp>BDH|15845399565480743726</stp>
        <tr r="F46" s="4"/>
        <tr r="F23" s="10"/>
        <tr r="H37" s="13"/>
      </tp>
      <tp t="e">
        <v>#N/A</v>
        <stp/>
        <stp>BDH|15563658940086466653</stp>
        <tr r="E83" s="18"/>
      </tp>
      <tp t="e">
        <v>#N/A</v>
        <stp/>
        <stp>BDH|12854624338314017438</stp>
        <tr r="O27" s="22"/>
      </tp>
      <tp t="e">
        <v>#N/A</v>
        <stp/>
        <stp>BDH|13455538372431378774</stp>
        <tr r="Q38" s="25"/>
      </tp>
      <tp t="e">
        <v>#N/A</v>
        <stp/>
        <stp>BDH|11753849286164643220</stp>
        <tr r="H7" s="34"/>
      </tp>
      <tp t="e">
        <v>#N/A</v>
        <stp/>
        <stp>BDH|15111749428845995250</stp>
        <tr r="T53" s="24"/>
      </tp>
      <tp t="e">
        <v>#N/A</v>
        <stp/>
        <stp>BDH|10230748343541501517</stp>
        <tr r="W79" s="24"/>
      </tp>
      <tp t="e">
        <v>#N/A</v>
        <stp/>
        <stp>BDH|14373480059273652159</stp>
        <tr r="U133" s="18"/>
      </tp>
      <tp t="e">
        <v>#N/A</v>
        <stp/>
        <stp>BDH|16193206835704628433</stp>
        <tr r="O58" s="17"/>
      </tp>
      <tp t="e">
        <v>#N/A</v>
        <stp/>
        <stp>BDH|14763991428980603816</stp>
        <tr r="N11" s="17"/>
      </tp>
      <tp t="e">
        <v>#N/A</v>
        <stp/>
        <stp>BDH|12002118837362112562</stp>
        <tr r="K67" s="24"/>
      </tp>
      <tp t="e">
        <v>#N/A</v>
        <stp/>
        <stp>BDH|18042017739494974808</stp>
        <tr r="N49" s="6"/>
      </tp>
      <tp t="e">
        <v>#N/A</v>
        <stp/>
        <stp>BDH|11081106170230038017</stp>
        <tr r="V15" s="30"/>
      </tp>
      <tp t="e">
        <v>#N/A</v>
        <stp/>
        <stp>BDH|14728109813806495512</stp>
        <tr r="L69" s="18"/>
      </tp>
      <tp t="e">
        <v>#N/A</v>
        <stp/>
        <stp>BDH|13492532255233765747</stp>
        <tr r="U47" s="22"/>
      </tp>
      <tp t="e">
        <v>#N/A</v>
        <stp/>
        <stp>BDH|17002555532801006765</stp>
        <tr r="S9" s="23"/>
      </tp>
      <tp t="e">
        <v>#N/A</v>
        <stp/>
        <stp>BDH|13664813582997312372</stp>
        <tr r="F42" s="17"/>
      </tp>
      <tp t="e">
        <v>#N/A</v>
        <stp/>
        <stp>BDH|12545259755337491508</stp>
        <tr r="Q68" s="24"/>
      </tp>
      <tp t="e">
        <v>#N/A</v>
        <stp/>
        <stp>BDH|16801899796258723816</stp>
        <tr r="G73" s="10"/>
        <tr r="G65" s="11"/>
      </tp>
      <tp t="e">
        <v>#N/A</v>
        <stp/>
        <stp>BDH|18044440545598188716</stp>
        <tr r="V71" s="17"/>
      </tp>
      <tp t="e">
        <v>#N/A</v>
        <stp/>
        <stp>BDH|15505558723586647347</stp>
        <tr r="C11" s="7"/>
      </tp>
      <tp t="e">
        <v>#N/A</v>
        <stp/>
        <stp>BDH|17483222810502697118</stp>
        <tr r="AA115" s="18"/>
      </tp>
      <tp t="e">
        <v>#N/A</v>
        <stp/>
        <stp>BDH|15927208352702244787</stp>
        <tr r="X27" s="12"/>
      </tp>
      <tp t="e">
        <v>#N/A</v>
        <stp/>
        <stp>BDH|11415480843867636187</stp>
        <tr r="P36" s="4"/>
      </tp>
      <tp t="e">
        <v>#N/A</v>
        <stp/>
        <stp>BDH|15107162223635319468</stp>
        <tr r="K19" s="12"/>
      </tp>
      <tp t="e">
        <v>#N/A</v>
        <stp/>
        <stp>BDH|17976228485478738284</stp>
        <tr r="R48" s="18"/>
      </tp>
      <tp t="e">
        <v>#N/A</v>
        <stp/>
        <stp>BDH|10625343854734363543</stp>
        <tr r="J94" s="18"/>
      </tp>
      <tp t="e">
        <v>#N/A</v>
        <stp/>
        <stp>BDH|10724720462555468322</stp>
        <tr r="E26" s="10"/>
        <tr r="G32" s="13"/>
      </tp>
      <tp t="e">
        <v>#N/A</v>
        <stp/>
        <stp>BDH|17328313055160137670</stp>
        <tr r="D136" s="18"/>
      </tp>
      <tp t="e">
        <v>#N/A</v>
        <stp/>
        <stp>BDH|11886112019824381229</stp>
        <tr r="X50" s="13"/>
      </tp>
      <tp t="e">
        <v>#N/A</v>
        <stp/>
        <stp>BDH|15588223370393385453</stp>
        <tr r="C11" s="6"/>
      </tp>
      <tp t="e">
        <v>#N/A</v>
        <stp/>
        <stp>BDH|14953814923000964935</stp>
        <tr r="S31" s="22"/>
      </tp>
      <tp t="e">
        <v>#N/A</v>
        <stp/>
        <stp>BDH|17864853973928897777</stp>
        <tr r="E15" s="10"/>
      </tp>
      <tp t="e">
        <v>#N/A</v>
        <stp/>
        <stp>BDH|18188919533623004625</stp>
        <tr r="M32" s="17"/>
      </tp>
      <tp t="e">
        <v>#N/A</v>
        <stp/>
        <stp>BDH|13985471972494861359</stp>
        <tr r="E40" s="12"/>
      </tp>
      <tp t="e">
        <v>#N/A</v>
        <stp/>
        <stp>BDH|10472503355871864688</stp>
        <tr r="Y7" s="23"/>
      </tp>
      <tp t="e">
        <v>#N/A</v>
        <stp/>
        <stp>BDH|12961465793749960140</stp>
        <tr r="O125" s="18"/>
      </tp>
      <tp t="e">
        <v>#N/A</v>
        <stp/>
        <stp>BDH|14659275827062286159</stp>
        <tr r="R87" s="17"/>
      </tp>
      <tp t="e">
        <v>#N/A</v>
        <stp/>
        <stp>BDH|11312684312143060282</stp>
        <tr r="J46" s="34"/>
      </tp>
      <tp t="e">
        <v>#N/A</v>
        <stp/>
        <stp>BDH|14565492423630675582</stp>
        <tr r="K8" s="8"/>
      </tp>
      <tp t="e">
        <v>#N/A</v>
        <stp/>
        <stp>BDH|10753610762123528400</stp>
        <tr r="J67" s="18"/>
      </tp>
      <tp t="e">
        <v>#N/A</v>
        <stp/>
        <stp>BDH|16076829811191789951</stp>
        <tr r="S141" s="18"/>
      </tp>
      <tp t="e">
        <v>#N/A</v>
        <stp/>
        <stp>BDH|15168799693835984939</stp>
        <tr r="Z9" s="22"/>
      </tp>
      <tp t="e">
        <v>#N/A</v>
        <stp/>
        <stp>BDH|16066775545163342100</stp>
        <tr r="S45" s="24"/>
      </tp>
      <tp t="e">
        <v>#N/A</v>
        <stp/>
        <stp>BDH|12323390174635622490</stp>
        <tr r="Z73" s="12"/>
      </tp>
      <tp t="e">
        <v>#N/A</v>
        <stp/>
        <stp>BDH|16483000511592717239</stp>
        <tr r="F57" s="10"/>
        <tr r="F49" s="11"/>
        <tr r="F18" s="7"/>
        <tr r="H57" s="13"/>
      </tp>
      <tp t="e">
        <v>#N/A</v>
        <stp/>
        <stp>BDH|14206062995009175310</stp>
        <tr r="N23" s="17"/>
      </tp>
      <tp t="e">
        <v>#N/A</v>
        <stp/>
        <stp>BDH|16309642484398160732</stp>
        <tr r="Q13" s="2"/>
      </tp>
      <tp t="e">
        <v>#N/A</v>
        <stp/>
        <stp>BDH|10916170438353461631</stp>
        <tr r="M41" s="22"/>
      </tp>
      <tp t="e">
        <v>#N/A</v>
        <stp/>
        <stp>BDH|15733182595569990328</stp>
        <tr r="O22" s="18"/>
      </tp>
      <tp t="e">
        <v>#N/A</v>
        <stp/>
        <stp>BDH|16137066638105612780</stp>
        <tr r="H59" s="12"/>
      </tp>
      <tp t="e">
        <v>#N/A</v>
        <stp/>
        <stp>BDH|17371782477480970042</stp>
        <tr r="C38" s="25"/>
      </tp>
      <tp t="e">
        <v>#N/A</v>
        <stp/>
        <stp>BDH|10327486405733751082</stp>
        <tr r="V42" s="18"/>
      </tp>
      <tp t="e">
        <v>#N/A</v>
        <stp/>
        <stp>BDH|13120592890719186194</stp>
        <tr r="AA80" s="24"/>
      </tp>
      <tp t="e">
        <v>#N/A</v>
        <stp/>
        <stp>BDH|12314432301879849894</stp>
        <tr r="X65" s="24"/>
      </tp>
      <tp t="e">
        <v>#N/A</v>
        <stp/>
        <stp>BDH|16946466592968409491</stp>
        <tr r="X66" s="18"/>
      </tp>
      <tp t="e">
        <v>#N/A</v>
        <stp/>
        <stp>BDH|15035856910969225274</stp>
        <tr r="M52" s="4"/>
        <tr r="O8" s="3"/>
        <tr r="M44" s="10"/>
        <tr r="M36" s="11"/>
        <tr r="O40" s="13"/>
      </tp>
      <tp t="e">
        <v>#N/A</v>
        <stp/>
        <stp>BDH|16262606486218217769</stp>
        <tr r="U33" s="5"/>
      </tp>
      <tp t="e">
        <v>#N/A</v>
        <stp/>
        <stp>BDH|17585731747551124207</stp>
        <tr r="Y26" s="24"/>
      </tp>
      <tp t="e">
        <v>#N/A</v>
        <stp/>
        <stp>BDH|13148138213524700061</stp>
        <tr r="M63" s="17"/>
      </tp>
      <tp t="e">
        <v>#N/A</v>
        <stp/>
        <stp>BDH|15683123943296530122</stp>
        <tr r="Y17" s="30"/>
      </tp>
      <tp t="e">
        <v>#N/A</v>
        <stp/>
        <stp>BDH|17799927117029349112</stp>
        <tr r="D48" s="24"/>
      </tp>
      <tp t="e">
        <v>#N/A</v>
        <stp/>
        <stp>BDH|10194000667143323255</stp>
        <tr r="F43" s="22"/>
      </tp>
      <tp t="e">
        <v>#N/A</v>
        <stp/>
        <stp>BDH|10725602852991376561</stp>
        <tr r="O36" s="4"/>
      </tp>
      <tp t="e">
        <v>#N/A</v>
        <stp/>
        <stp>BDH|12623228134281138514</stp>
        <tr r="F15" s="20"/>
      </tp>
      <tp t="e">
        <v>#N/A</v>
        <stp/>
        <stp>BDH|18044511292773689054</stp>
        <tr r="L122" s="18"/>
      </tp>
      <tp t="e">
        <v>#N/A</v>
        <stp/>
        <stp>BDH|17759660201515390337</stp>
        <tr r="T22" s="12"/>
      </tp>
      <tp t="e">
        <v>#N/A</v>
        <stp/>
        <stp>BDH|16654900694127485662</stp>
        <tr r="V33" s="18"/>
      </tp>
      <tp t="e">
        <v>#N/A</v>
        <stp/>
        <stp>BDH|11490261860317300517</stp>
        <tr r="S68" s="17"/>
      </tp>
      <tp t="e">
        <v>#N/A</v>
        <stp/>
        <stp>BDH|15199520035327040362</stp>
        <tr r="J32" s="10"/>
        <tr r="J24" s="11"/>
      </tp>
      <tp t="e">
        <v>#N/A</v>
        <stp/>
        <stp>BDH|14941234851963869733</stp>
        <tr r="AA89" s="17"/>
        <tr r="AA34" s="25"/>
      </tp>
      <tp t="e">
        <v>#N/A</v>
        <stp/>
        <stp>BDH|14437570985788796611</stp>
        <tr r="G39" s="4"/>
        <tr r="G66" s="10"/>
      </tp>
      <tp t="e">
        <v>#N/A</v>
        <stp/>
        <stp>BDH|12143627441143361418</stp>
        <tr r="Q70" s="17"/>
      </tp>
      <tp t="e">
        <v>#N/A</v>
        <stp/>
        <stp>BDH|16036989396893701291</stp>
        <tr r="AA59" s="21"/>
        <tr r="Y55" s="11"/>
      </tp>
      <tp t="e">
        <v>#N/A</v>
        <stp/>
        <stp>BDH|10252908143192483857</stp>
        <tr r="T65" s="12"/>
      </tp>
      <tp t="e">
        <v>#N/A</v>
        <stp/>
        <stp>BDH|14604610214383556765</stp>
        <tr r="J22" s="11"/>
      </tp>
      <tp t="e">
        <v>#N/A</v>
        <stp/>
        <stp>BDH|16638735775574200520</stp>
        <tr r="D11" s="28"/>
      </tp>
      <tp t="e">
        <v>#N/A</v>
        <stp/>
        <stp>BDH|16771900096573821293</stp>
        <tr r="I105" s="18"/>
      </tp>
      <tp t="e">
        <v>#N/A</v>
        <stp/>
        <stp>BDH|16077208564264499106</stp>
        <tr r="M94" s="18"/>
      </tp>
      <tp t="e">
        <v>#N/A</v>
        <stp/>
        <stp>BDH|14527330813479163842</stp>
        <tr r="R47" s="18"/>
      </tp>
      <tp t="e">
        <v>#N/A</v>
        <stp/>
        <stp>BDH|13171240740757455517</stp>
        <tr r="V13" s="30"/>
      </tp>
      <tp t="e">
        <v>#N/A</v>
        <stp/>
        <stp>BDH|13349051332481374674</stp>
        <tr r="M38" s="34"/>
      </tp>
      <tp t="e">
        <v>#N/A</v>
        <stp/>
        <stp>BDH|17119915967598419732</stp>
        <tr r="P34" s="34"/>
      </tp>
      <tp t="e">
        <v>#N/A</v>
        <stp/>
        <stp>BDH|14041221428495280688</stp>
        <tr r="W17" s="30"/>
      </tp>
      <tp t="e">
        <v>#N/A</v>
        <stp/>
        <stp>BDH|17003674764523479377</stp>
        <tr r="Y130" s="18"/>
      </tp>
      <tp t="e">
        <v>#N/A</v>
        <stp/>
        <stp>BDH|12538800287257458265</stp>
        <tr r="K26" s="13"/>
      </tp>
      <tp t="e">
        <v>#N/A</v>
        <stp/>
        <stp>BDH|11618501661166189368</stp>
        <tr r="S6" s="28"/>
      </tp>
      <tp t="e">
        <v>#N/A</v>
        <stp/>
        <stp>BDH|11649194621143878667</stp>
        <tr r="Z67" s="17"/>
        <tr r="W8" s="5"/>
        <tr r="W8" s="9"/>
      </tp>
      <tp t="e">
        <v>#N/A</v>
        <stp/>
        <stp>BDH|14314546652880565309</stp>
        <tr r="G29" s="10"/>
        <tr r="I35" s="13"/>
      </tp>
      <tp t="e">
        <v>#N/A</v>
        <stp/>
        <stp>BDH|10201109387596482814</stp>
        <tr r="K9" s="18"/>
      </tp>
      <tp t="e">
        <v>#N/A</v>
        <stp/>
        <stp>BDH|12276083647243451293</stp>
        <tr r="C20" s="5"/>
      </tp>
      <tp t="e">
        <v>#N/A</v>
        <stp/>
        <stp>BDH|15552235367713377520</stp>
        <tr r="C28" s="4"/>
      </tp>
      <tp t="e">
        <v>#N/A</v>
        <stp/>
        <stp>BDH|11001471976181482458</stp>
        <tr r="K34" s="24"/>
      </tp>
      <tp t="e">
        <v>#N/A</v>
        <stp/>
        <stp>BDH|15648731759670536097</stp>
        <tr r="X18" s="5"/>
        <tr r="X41" s="6"/>
      </tp>
      <tp t="e">
        <v>#N/A</v>
        <stp/>
        <stp>BDH|12996075414910849424</stp>
        <tr r="H12" s="13"/>
      </tp>
      <tp t="e">
        <v>#N/A</v>
        <stp/>
        <stp>BDH|16352629344674177748</stp>
        <tr r="Q17" s="21"/>
      </tp>
      <tp t="e">
        <v>#N/A</v>
        <stp/>
        <stp>BDH|18163626862799421650</stp>
        <tr r="N17" s="18"/>
      </tp>
      <tp t="e">
        <v>#N/A</v>
        <stp/>
        <stp>BDH|14273365302477115772</stp>
        <tr r="J29" s="21"/>
      </tp>
      <tp t="e">
        <v>#N/A</v>
        <stp/>
        <stp>BDH|11277316160851584265</stp>
        <tr r="L12" s="11"/>
      </tp>
      <tp t="e">
        <v>#N/A</v>
        <stp/>
        <stp>BDH|10006370321756202043</stp>
        <tr r="M46" s="17"/>
      </tp>
      <tp t="e">
        <v>#N/A</v>
        <stp/>
        <stp>BDH|10442777343560693454</stp>
        <tr r="M14" s="23"/>
      </tp>
      <tp t="e">
        <v>#N/A</v>
        <stp/>
        <stp>BDH|16573869073018375602</stp>
        <tr r="M86" s="12"/>
      </tp>
      <tp t="e">
        <v>#N/A</v>
        <stp/>
        <stp>BDH|11602058443040344207</stp>
        <tr r="V10" s="28"/>
      </tp>
      <tp t="e">
        <v>#N/A</v>
        <stp/>
        <stp>BDH|13864742424848347983</stp>
        <tr r="F31" s="34"/>
      </tp>
      <tp t="e">
        <v>#N/A</v>
        <stp/>
        <stp>BDH|10715774820931631355</stp>
        <tr r="P88" s="17"/>
      </tp>
      <tp t="e">
        <v>#N/A</v>
        <stp/>
        <stp>BDH|16108947493168340968</stp>
        <tr r="E34" s="9"/>
      </tp>
      <tp t="e">
        <v>#N/A</v>
        <stp/>
        <stp>BDH|13689972824067412822</stp>
        <tr r="S62" s="13"/>
      </tp>
      <tp t="e">
        <v>#N/A</v>
        <stp/>
        <stp>BDH|15504665053974724547</stp>
        <tr r="E72" s="10"/>
        <tr r="E64" s="11"/>
      </tp>
      <tp t="e">
        <v>#N/A</v>
        <stp/>
        <stp>BDH|16744331358266684190</stp>
        <tr r="W51" s="24"/>
      </tp>
      <tp t="e">
        <v>#N/A</v>
        <stp/>
        <stp>BDH|17758523013084402019</stp>
        <tr r="I14" s="28"/>
      </tp>
      <tp t="e">
        <v>#N/A</v>
        <stp/>
        <stp>BDH|15348425638385980034</stp>
        <tr r="M54" s="17"/>
      </tp>
      <tp t="e">
        <v>#N/A</v>
        <stp/>
        <stp>BDH|13449975793993365700</stp>
        <tr r="P20" s="10"/>
      </tp>
      <tp t="e">
        <v>#N/A</v>
        <stp/>
        <stp>BDH|14497445164508528926</stp>
        <tr r="T50" s="4"/>
      </tp>
      <tp t="e">
        <v>#N/A</v>
        <stp/>
        <stp>BDH|12405334653454282755</stp>
        <tr r="X98" s="18"/>
        <tr r="X7" s="20"/>
      </tp>
      <tp t="e">
        <v>#N/A</v>
        <stp/>
        <stp>BDH|10785185799237249877</stp>
        <tr r="J44" s="18"/>
      </tp>
      <tp t="e">
        <v>#N/A</v>
        <stp/>
        <stp>BDH|16390916202289650154</stp>
        <tr r="S47" s="18"/>
      </tp>
      <tp t="e">
        <v>#N/A</v>
        <stp/>
        <stp>BDH|15823919211683838932</stp>
        <tr r="L29" s="34"/>
      </tp>
      <tp t="e">
        <v>#N/A</v>
        <stp/>
        <stp>BDH|10290007464175700423</stp>
        <tr r="Z41" s="24"/>
      </tp>
      <tp t="e">
        <v>#N/A</v>
        <stp/>
        <stp>BDH|10759059359865911716</stp>
        <tr r="P26" s="21"/>
      </tp>
      <tp t="e">
        <v>#N/A</v>
        <stp/>
        <stp>BDH|11888920407378985770</stp>
        <tr r="T27" s="6"/>
      </tp>
      <tp t="e">
        <v>#N/A</v>
        <stp/>
        <stp>BDH|13913111557541524194</stp>
        <tr r="O30" s="22"/>
      </tp>
      <tp t="e">
        <v>#N/A</v>
        <stp/>
        <stp>BDH|17015284560043239794</stp>
        <tr r="E55" s="13"/>
      </tp>
      <tp t="e">
        <v>#N/A</v>
        <stp/>
        <stp>BDH|15668317694500435845</stp>
        <tr r="U18" s="10"/>
        <tr r="W16" s="13"/>
        <tr r="W27" s="13"/>
      </tp>
      <tp t="e">
        <v>#N/A</v>
        <stp/>
        <stp>BDH|10863534625518432896</stp>
        <tr r="G9" s="12"/>
      </tp>
      <tp t="e">
        <v>#N/A</v>
        <stp/>
        <stp>BDH|17801617445270771280</stp>
        <tr r="D16" s="13"/>
        <tr r="D27" s="13"/>
      </tp>
      <tp t="e">
        <v>#N/A</v>
        <stp/>
        <stp>BDH|12980197926463630539</stp>
        <tr r="T81" s="24"/>
      </tp>
      <tp t="e">
        <v>#N/A</v>
        <stp/>
        <stp>BDH|16890371074260992512</stp>
        <tr r="T31" s="24"/>
      </tp>
      <tp t="e">
        <v>#N/A</v>
        <stp/>
        <stp>BDH|14416398346525840109</stp>
        <tr r="Y25" s="22"/>
      </tp>
      <tp t="e">
        <v>#N/A</v>
        <stp/>
        <stp>BDH|16275375926692112214</stp>
        <tr r="P62" s="12"/>
      </tp>
      <tp t="e">
        <v>#N/A</v>
        <stp/>
        <stp>BDH|15021201676742243571</stp>
        <tr r="K32" s="18"/>
      </tp>
      <tp t="e">
        <v>#N/A</v>
        <stp/>
        <stp>BDH|11960290107353516715</stp>
        <tr r="F108" s="18"/>
      </tp>
      <tp t="e">
        <v>#N/A</v>
        <stp/>
        <stp>BDH|13573515510882291253</stp>
        <tr r="AA9" s="3"/>
        <tr r="Y51" s="10"/>
        <tr r="Y43" s="11"/>
        <tr r="Y14" s="7"/>
      </tp>
      <tp t="e">
        <v>#N/A</v>
        <stp/>
        <stp>BDH|18318561212238706332</stp>
        <tr r="Q91" s="17"/>
        <tr r="Q7" s="27"/>
      </tp>
      <tp t="e">
        <v>#N/A</v>
        <stp/>
        <stp>BDH|16151065544282302732</stp>
        <tr r="N45" s="24"/>
      </tp>
      <tp t="e">
        <v>#N/A</v>
        <stp/>
        <stp>BDH|16846642239730799418</stp>
        <tr r="D19" s="12"/>
      </tp>
      <tp t="e">
        <v>#N/A</v>
        <stp/>
        <stp>BDH|15085058549720779680</stp>
        <tr r="C23" s="24"/>
      </tp>
      <tp t="e">
        <v>#N/A</v>
        <stp/>
        <stp>BDH|12069065776692336006</stp>
        <tr r="Q28" s="21"/>
      </tp>
      <tp t="e">
        <v>#N/A</v>
        <stp/>
        <stp>BDH|13379503404255479401</stp>
        <tr r="C141" s="18"/>
      </tp>
      <tp t="e">
        <v>#N/A</v>
        <stp/>
        <stp>BDH|14685411620782612728</stp>
        <tr r="Y14" s="28"/>
      </tp>
      <tp t="e">
        <v>#N/A</v>
        <stp/>
        <stp>BDH|16117081815769970967</stp>
        <tr r="V61" s="21"/>
      </tp>
      <tp t="e">
        <v>#N/A</v>
        <stp/>
        <stp>BDH|13042385644971884277</stp>
        <tr r="D45" s="12"/>
      </tp>
      <tp t="e">
        <v>#N/A</v>
        <stp/>
        <stp>BDH|17805226319987409449</stp>
        <tr r="C60" s="11"/>
        <tr r="E19" s="23"/>
      </tp>
      <tp t="e">
        <v>#N/A</v>
        <stp/>
        <stp>BDH|15926882435020751903</stp>
        <tr r="F39" s="10"/>
        <tr r="F31" s="11"/>
      </tp>
      <tp t="e">
        <v>#N/A</v>
        <stp/>
        <stp>BDH|15957249010312783392</stp>
        <tr r="H15" s="30"/>
      </tp>
      <tp t="e">
        <v>#N/A</v>
        <stp/>
        <stp>BDH|16225291708292825198</stp>
        <tr r="E33" s="10"/>
        <tr r="E25" s="11"/>
      </tp>
      <tp t="e">
        <v>#N/A</v>
        <stp/>
        <stp>BDH|10979635607722776389</stp>
        <tr r="C50" s="24"/>
      </tp>
      <tp t="e">
        <v>#N/A</v>
        <stp/>
        <stp>BDH|10798822890212760404</stp>
        <tr r="J26" s="7"/>
      </tp>
      <tp t="e">
        <v>#N/A</v>
        <stp/>
        <stp>BDH|17946259040711728792</stp>
        <tr r="E33" s="21"/>
      </tp>
      <tp t="e">
        <v>#N/A</v>
        <stp/>
        <stp>BDH|13184166423543401421</stp>
        <tr r="I32" s="17"/>
      </tp>
      <tp t="e">
        <v>#N/A</v>
        <stp/>
        <stp>BDH|13897817754418946164</stp>
        <tr r="G26" s="7"/>
      </tp>
      <tp t="e">
        <v>#N/A</v>
        <stp/>
        <stp>BDH|15597468709751988717</stp>
        <tr r="W16" s="2"/>
        <tr r="W32" s="4"/>
        <tr r="W62" s="10"/>
        <tr r="Y19" s="13"/>
      </tp>
      <tp t="e">
        <v>#N/A</v>
        <stp/>
        <stp>BDH|15272459077088476960</stp>
        <tr r="U13" s="8"/>
      </tp>
      <tp t="e">
        <v>#N/A</v>
        <stp/>
        <stp>BDH|13393160311877700318</stp>
        <tr r="L85" s="12"/>
      </tp>
      <tp t="e">
        <v>#N/A</v>
        <stp/>
        <stp>BDH|15570301843815025044</stp>
        <tr r="X29" s="4"/>
      </tp>
      <tp t="e">
        <v>#N/A</v>
        <stp/>
        <stp>BDH|12225562682981354974</stp>
        <tr r="T72" s="18"/>
      </tp>
      <tp t="e">
        <v>#N/A</v>
        <stp/>
        <stp>BDH|16977129768093276531</stp>
        <tr r="O59" s="21"/>
        <tr r="M55" s="11"/>
      </tp>
      <tp t="e">
        <v>#N/A</v>
        <stp/>
        <stp>BDH|10689661007467469613</stp>
        <tr r="Y53" s="18"/>
      </tp>
      <tp t="e">
        <v>#N/A</v>
        <stp/>
        <stp>BDH|13863140369802471131</stp>
        <tr r="D116" s="18"/>
      </tp>
      <tp t="e">
        <v>#N/A</v>
        <stp/>
        <stp>BDH|12964783902615782764</stp>
        <tr r="E12" s="11"/>
      </tp>
      <tp t="e">
        <v>#N/A</v>
        <stp/>
        <stp>BDH|13406492164785225398</stp>
        <tr r="S42" s="6"/>
      </tp>
      <tp t="e">
        <v>#N/A</v>
        <stp/>
        <stp>BDH|16726802899565838549</stp>
        <tr r="C43" s="4"/>
      </tp>
      <tp t="e">
        <v>#N/A</v>
        <stp/>
        <stp>BDH|18430523174029595457</stp>
        <tr r="Q12" s="20"/>
      </tp>
      <tp t="e">
        <v>#N/A</v>
        <stp/>
        <stp>BDH|17904009530216200596</stp>
        <tr r="I32" s="25"/>
        <tr r="I18" s="27"/>
      </tp>
      <tp t="e">
        <v>#N/A</v>
        <stp/>
        <stp>BDH|17539256819741366289</stp>
        <tr r="N10" s="10"/>
      </tp>
      <tp t="e">
        <v>#N/A</v>
        <stp/>
        <stp>BDH|14372650767636144528</stp>
        <tr r="E94" s="18"/>
      </tp>
      <tp t="e">
        <v>#N/A</v>
        <stp/>
        <stp>BDH|17873697528440987420</stp>
        <tr r="H33" s="10"/>
        <tr r="H25" s="11"/>
      </tp>
      <tp t="e">
        <v>#N/A</v>
        <stp/>
        <stp>BDH|14948548126877945303</stp>
        <tr r="O28" s="12"/>
      </tp>
      <tp t="e">
        <v>#N/A</v>
        <stp/>
        <stp>BDH|15177551730714645006</stp>
        <tr r="G114" s="18"/>
      </tp>
      <tp t="e">
        <v>#N/A</v>
        <stp/>
        <stp>BDH|18338914534493522612</stp>
        <tr r="N41" s="22"/>
      </tp>
      <tp t="e">
        <v>#N/A</v>
        <stp/>
        <stp>BDH|13327221790678078730</stp>
        <tr r="H31" s="26"/>
        <tr r="E14" s="9"/>
      </tp>
      <tp t="e">
        <v>#N/A</v>
        <stp/>
        <stp>BDH|18102920708266900000</stp>
        <tr r="N36" s="10"/>
        <tr r="N48" s="10"/>
        <tr r="N28" s="11"/>
        <tr r="N40" s="11"/>
      </tp>
      <tp t="e">
        <v>#N/A</v>
        <stp/>
        <stp>BDH|16115554323384403217</stp>
        <tr r="L9" s="27"/>
      </tp>
      <tp t="e">
        <v>#N/A</v>
        <stp/>
        <stp>BDH|11156333828221824607</stp>
        <tr r="N41" s="18"/>
      </tp>
      <tp t="e">
        <v>#N/A</v>
        <stp/>
        <stp>BDH|16514026621447547416</stp>
        <tr r="Z33" s="14"/>
      </tp>
      <tp t="e">
        <v>#N/A</v>
        <stp/>
        <stp>BDH|13695703142666188174</stp>
        <tr r="C66" s="12"/>
      </tp>
      <tp t="e">
        <v>#N/A</v>
        <stp/>
        <stp>BDH|11626725711894499436</stp>
        <tr r="T47" s="6"/>
      </tp>
      <tp t="e">
        <v>#N/A</v>
        <stp/>
        <stp>BDH|16015807355588762402</stp>
        <tr r="Y9" s="29"/>
      </tp>
      <tp t="e">
        <v>#N/A</v>
        <stp/>
        <stp>BDH|17207754575062313232</stp>
        <tr r="W11" s="22"/>
      </tp>
      <tp t="e">
        <v>#N/A</v>
        <stp/>
        <stp>BDH|12353411342413273600</stp>
        <tr r="N17" s="11"/>
      </tp>
      <tp t="e">
        <v>#N/A</v>
        <stp/>
        <stp>BDH|17626070040441739543</stp>
        <tr r="C33" s="18"/>
      </tp>
      <tp t="e">
        <v>#N/A</v>
        <stp/>
        <stp>BDH|14726903944216209835</stp>
        <tr r="R86" s="12"/>
      </tp>
      <tp t="e">
        <v>#N/A</v>
        <stp/>
        <stp>BDH|15454048367711546508</stp>
        <tr r="O18" s="10"/>
        <tr r="Q16" s="13"/>
        <tr r="Q27" s="13"/>
      </tp>
      <tp t="e">
        <v>#N/A</v>
        <stp/>
        <stp>BDH|10410611073375025347</stp>
        <tr r="F10" s="23"/>
      </tp>
      <tp t="e">
        <v>#N/A</v>
        <stp/>
        <stp>BDH|14327302370986643178</stp>
        <tr r="S55" s="17"/>
      </tp>
      <tp t="e">
        <v>#N/A</v>
        <stp/>
        <stp>BDH|17007649986996448841</stp>
        <tr r="Q31" s="26"/>
        <tr r="N14" s="9"/>
      </tp>
      <tp t="e">
        <v>#N/A</v>
        <stp/>
        <stp>BDH|10381367926760680675</stp>
        <tr r="N38" s="4"/>
        <tr r="N58" s="11"/>
        <tr r="P13" s="23"/>
      </tp>
      <tp t="e">
        <v>#N/A</v>
        <stp/>
        <stp>BDH|10981155123411544588</stp>
        <tr r="M66" s="17"/>
        <tr r="M18" s="3"/>
      </tp>
      <tp t="e">
        <v>#N/A</v>
        <stp/>
        <stp>BDH|16803680745766162564</stp>
        <tr r="Q11" s="7"/>
      </tp>
      <tp t="e">
        <v>#N/A</v>
        <stp/>
        <stp>BDH|17705647484706579803</stp>
        <tr r="J58" s="6"/>
      </tp>
      <tp t="e">
        <v>#N/A</v>
        <stp/>
        <stp>BDH|18013422364844330903</stp>
        <tr r="V88" s="17"/>
      </tp>
      <tp t="e">
        <v>#N/A</v>
        <stp/>
        <stp>BDH|16338535257661694043</stp>
        <tr r="F8" s="27"/>
      </tp>
      <tp t="e">
        <v>#N/A</v>
        <stp/>
        <stp>BDH|10690481534499636996</stp>
        <tr r="C78" s="24"/>
      </tp>
      <tp t="e">
        <v>#N/A</v>
        <stp/>
        <stp>BDH|12993461811315909522</stp>
        <tr r="V30" s="5"/>
        <tr r="V30" s="9"/>
      </tp>
      <tp t="e">
        <v>#N/A</v>
        <stp/>
        <stp>BDH|14955194841893767536</stp>
        <tr r="H61" s="18"/>
      </tp>
      <tp t="e">
        <v>#N/A</v>
        <stp/>
        <stp>BDH|11789545334101153131</stp>
        <tr r="S90" s="17"/>
      </tp>
      <tp t="e">
        <v>#N/A</v>
        <stp/>
        <stp>BDH|12625148235627260002</stp>
        <tr r="U41" s="12"/>
      </tp>
      <tp t="e">
        <v>#N/A</v>
        <stp/>
        <stp>BDH|13184721572915500118</stp>
        <tr r="X48" s="6"/>
      </tp>
      <tp t="e">
        <v>#N/A</v>
        <stp/>
        <stp>BDH|16827412644122983311</stp>
        <tr r="O16" s="6"/>
      </tp>
      <tp t="e">
        <v>#N/A</v>
        <stp/>
        <stp>BDH|13949130479402572038</stp>
        <tr r="K8" s="23"/>
      </tp>
      <tp t="e">
        <v>#N/A</v>
        <stp/>
        <stp>BDH|12447428971532546472</stp>
        <tr r="Z42" s="24"/>
      </tp>
      <tp t="e">
        <v>#N/A</v>
        <stp/>
        <stp>BDH|10135059745373353073</stp>
        <tr r="H30" s="10"/>
        <tr r="J36" s="13"/>
      </tp>
      <tp t="e">
        <v>#N/A</v>
        <stp/>
        <stp>BDH|12890161022315070393</stp>
        <tr r="L39" s="6"/>
      </tp>
      <tp t="e">
        <v>#N/A</v>
        <stp/>
        <stp>BDH|11861512189909062254</stp>
        <tr r="U17" s="23"/>
      </tp>
      <tp t="e">
        <v>#N/A</v>
        <stp/>
        <stp>BDH|16951394602933676110</stp>
        <tr r="N31" s="26"/>
        <tr r="K14" s="9"/>
      </tp>
      <tp t="e">
        <v>#N/A</v>
        <stp/>
        <stp>BDH|12433713435889722824</stp>
        <tr r="M19" s="9"/>
      </tp>
      <tp t="e">
        <v>#N/A</v>
        <stp/>
        <stp>BDH|11759183712316196092</stp>
        <tr r="H7" s="4"/>
      </tp>
      <tp t="e">
        <v>#N/A</v>
        <stp/>
        <stp>BDH|16011567774886598529</stp>
        <tr r="C14" s="28"/>
      </tp>
      <tp t="e">
        <v>#N/A</v>
        <stp/>
        <stp>BDH|14966196505974839687</stp>
        <tr r="O48" s="18"/>
      </tp>
      <tp t="e">
        <v>#N/A</v>
        <stp/>
        <stp>BDH|15314839184582066016</stp>
        <tr r="AA50" s="24"/>
      </tp>
      <tp t="e">
        <v>#N/A</v>
        <stp/>
        <stp>BDH|12922028165844984727</stp>
        <tr r="H39" s="26"/>
      </tp>
      <tp t="e">
        <v>#N/A</v>
        <stp/>
        <stp>BDH|18068349086763158761</stp>
        <tr r="X13" s="26"/>
      </tp>
      <tp t="e">
        <v>#N/A</v>
        <stp/>
        <stp>BDH|14509468504241394610</stp>
        <tr r="C14" s="8"/>
      </tp>
      <tp t="e">
        <v>#N/A</v>
        <stp/>
        <stp>BDH|13779530502618412973</stp>
        <tr r="I89" s="24"/>
      </tp>
      <tp t="e">
        <v>#N/A</v>
        <stp/>
        <stp>BDH|13834557658284960093</stp>
        <tr r="H104" s="18"/>
      </tp>
      <tp t="e">
        <v>#N/A</v>
        <stp/>
        <stp>BDH|10900706264945843308</stp>
        <tr r="M9" s="13"/>
      </tp>
      <tp t="e">
        <v>#N/A</v>
        <stp/>
        <stp>BDH|12124703854146051107</stp>
        <tr r="F19" s="25"/>
      </tp>
      <tp t="e">
        <v>#N/A</v>
        <stp/>
        <stp>BDH|15390629540824120458</stp>
        <tr r="H11" s="3"/>
        <tr r="F50" s="10"/>
        <tr r="F42" s="11"/>
        <tr r="F8" s="7"/>
      </tp>
      <tp t="e">
        <v>#N/A</v>
        <stp/>
        <stp>BDH|18165225464939214209</stp>
        <tr r="P34" s="22"/>
      </tp>
      <tp t="e">
        <v>#N/A</v>
        <stp/>
        <stp>BDH|12075036102981106459</stp>
        <tr r="Q70" s="24"/>
      </tp>
      <tp t="e">
        <v>#N/A</v>
        <stp/>
        <stp>BDH|14914730028335012372</stp>
        <tr r="Y34" s="14"/>
      </tp>
      <tp t="e">
        <v>#N/A</v>
        <stp/>
        <stp>BDH|12423550763246164067</stp>
        <tr r="Q109" s="18"/>
      </tp>
      <tp t="e">
        <v>#N/A</v>
        <stp/>
        <stp>BDH|11078525420153302243</stp>
        <tr r="F64" s="18"/>
      </tp>
      <tp t="e">
        <v>#N/A</v>
        <stp/>
        <stp>BDH|15603214116540402101</stp>
        <tr r="J80" s="12"/>
      </tp>
      <tp t="e">
        <v>#N/A</v>
        <stp/>
        <stp>BDH|11979021067177838714</stp>
        <tr r="D79" s="12"/>
      </tp>
      <tp t="e">
        <v>#N/A</v>
        <stp/>
        <stp>BDH|11357235445277626760</stp>
        <tr r="Z41" s="18"/>
      </tp>
      <tp t="e">
        <v>#N/A</v>
        <stp/>
        <stp>BDH|17495649541480363275</stp>
        <tr r="Q75" s="18"/>
        <tr r="Q64" s="12"/>
      </tp>
      <tp t="e">
        <v>#N/A</v>
        <stp/>
        <stp>BDH|15847596046840142339</stp>
        <tr r="C77" s="18"/>
      </tp>
      <tp t="e">
        <v>#N/A</v>
        <stp/>
        <stp>BDH|16046594679224443710</stp>
        <tr r="R50" s="24"/>
      </tp>
      <tp t="e">
        <v>#N/A</v>
        <stp/>
        <stp>BDH|13771108071301789340</stp>
        <tr r="C61" s="21"/>
      </tp>
      <tp t="e">
        <v>#N/A</v>
        <stp/>
        <stp>BDH|18355587777349042491</stp>
        <tr r="U21" s="6"/>
      </tp>
      <tp t="e">
        <v>#N/A</v>
        <stp/>
        <stp>BDH|16258675023473376618</stp>
        <tr r="M64" s="10"/>
      </tp>
      <tp t="e">
        <v>#N/A</v>
        <stp/>
        <stp>BDH|18119827564787736649</stp>
        <tr r="D65" s="13"/>
      </tp>
      <tp t="e">
        <v>#N/A</v>
        <stp/>
        <stp>BDH|10193294858228618824</stp>
        <tr r="J43" s="24"/>
      </tp>
      <tp t="e">
        <v>#N/A</v>
        <stp/>
        <stp>BDH|12069791008913454112</stp>
        <tr r="L27" s="34"/>
      </tp>
      <tp t="e">
        <v>#N/A</v>
        <stp/>
        <stp>BDH|10074569834044576530</stp>
        <tr r="AA77" s="17"/>
      </tp>
      <tp t="e">
        <v>#N/A</v>
        <stp/>
        <stp>BDH|17750068232957582425</stp>
        <tr r="K34" s="14"/>
      </tp>
      <tp t="e">
        <v>#N/A</v>
        <stp/>
        <stp>BDH|15453313437090674209</stp>
        <tr r="S66" s="12"/>
      </tp>
      <tp t="e">
        <v>#N/A</v>
        <stp/>
        <stp>BDH|13590812437376686918</stp>
        <tr r="M27" s="10"/>
        <tr r="O33" s="13"/>
      </tp>
      <tp t="e">
        <v>#N/A</v>
        <stp/>
        <stp>BDH|15462955385946638566</stp>
        <tr r="K24" s="29"/>
      </tp>
      <tp t="e">
        <v>#N/A</v>
        <stp/>
        <stp>BDH|10645051365693593275</stp>
        <tr r="M42" s="21"/>
      </tp>
      <tp t="e">
        <v>#N/A</v>
        <stp/>
        <stp>BDH|15335041423971636167</stp>
        <tr r="U74" s="24"/>
      </tp>
      <tp t="e">
        <v>#N/A</v>
        <stp/>
        <stp>BDH|12982879189751603458</stp>
        <tr r="F48" s="21"/>
      </tp>
      <tp t="e">
        <v>#N/A</v>
        <stp/>
        <stp>BDH|13780640166347765360</stp>
        <tr r="Q16" s="11"/>
      </tp>
      <tp t="e">
        <v>#N/A</v>
        <stp/>
        <stp>BDH|10287320684169354531</stp>
        <tr r="S98" s="18"/>
        <tr r="S7" s="20"/>
      </tp>
      <tp t="e">
        <v>#N/A</v>
        <stp/>
        <stp>BDH|15633269145295819194</stp>
        <tr r="H34" s="10"/>
        <tr r="H26" s="11"/>
      </tp>
      <tp t="e">
        <v>#N/A</v>
        <stp/>
        <stp>BDH|14894990499206400587</stp>
        <tr r="W12" s="21"/>
      </tp>
      <tp t="e">
        <v>#N/A</v>
        <stp/>
        <stp>BDH|16637981799251240017</stp>
        <tr r="Q12" s="7"/>
      </tp>
      <tp t="e">
        <v>#N/A</v>
        <stp/>
        <stp>BDH|13842566505347654697</stp>
        <tr r="U38" s="10"/>
        <tr r="U30" s="11"/>
        <tr r="W42" s="13"/>
      </tp>
      <tp t="e">
        <v>#N/A</v>
        <stp/>
        <stp>BDH|11011662002188788879</stp>
        <tr r="H17" s="6"/>
      </tp>
      <tp t="e">
        <v>#N/A</v>
        <stp/>
        <stp>BDH|14118015902135162671</stp>
        <tr r="D62" s="21"/>
      </tp>
      <tp t="e">
        <v>#N/A</v>
        <stp/>
        <stp>BDH|12438749724976528650</stp>
        <tr r="N46" s="22"/>
      </tp>
      <tp t="e">
        <v>#N/A</v>
        <stp/>
        <stp>BDH|13248210891849589634</stp>
        <tr r="E87" s="24"/>
      </tp>
      <tp t="e">
        <v>#N/A</v>
        <stp/>
        <stp>BDH|13580416856923772610</stp>
        <tr r="Y34" s="34"/>
      </tp>
      <tp t="e">
        <v>#N/A</v>
        <stp/>
        <stp>BDH|16550416859688918804</stp>
        <tr r="X72" s="10"/>
        <tr r="X64" s="11"/>
      </tp>
      <tp t="e">
        <v>#N/A</v>
        <stp/>
        <stp>BDH|17754352402090522315</stp>
        <tr r="C35" s="26"/>
      </tp>
      <tp t="e">
        <v>#N/A</v>
        <stp/>
        <stp>BDH|15845389756593473768</stp>
        <tr r="M49" s="22"/>
      </tp>
      <tp t="e">
        <v>#N/A</v>
        <stp/>
        <stp>BDH|15756321477060527631</stp>
        <tr r="AA64" s="21"/>
        <tr r="X31" s="6"/>
      </tp>
      <tp t="e">
        <v>#N/A</v>
        <stp/>
        <stp>BDH|12563737184289307355</stp>
        <tr r="L21" s="3"/>
      </tp>
      <tp t="e">
        <v>#N/A</v>
        <stp/>
        <stp>BDH|10278721763577057170</stp>
        <tr r="O32" s="25"/>
        <tr r="O18" s="27"/>
      </tp>
      <tp t="e">
        <v>#N/A</v>
        <stp/>
        <stp>BDH|12942036631622971465</stp>
        <tr r="D34" s="34"/>
      </tp>
      <tp t="e">
        <v>#N/A</v>
        <stp/>
        <stp>BDH|13733518654984701017</stp>
        <tr r="C36" s="34"/>
      </tp>
      <tp t="e">
        <v>#N/A</v>
        <stp/>
        <stp>BDH|11849270806713559783</stp>
        <tr r="S35" s="18"/>
      </tp>
      <tp t="e">
        <v>#N/A</v>
        <stp/>
        <stp>BDH|18103731743018521406</stp>
        <tr r="K24" s="6"/>
      </tp>
      <tp t="e">
        <v>#N/A</v>
        <stp/>
        <stp>BDH|18354787896196075791</stp>
        <tr r="L11" s="17"/>
      </tp>
      <tp t="e">
        <v>#N/A</v>
        <stp/>
        <stp>BDH|10127838596837779171</stp>
        <tr r="Z76" s="12"/>
      </tp>
      <tp t="e">
        <v>#N/A</v>
        <stp/>
        <stp>BDH|13232377077185590538</stp>
        <tr r="E19" s="10"/>
      </tp>
      <tp t="e">
        <v>#N/A</v>
        <stp/>
        <stp>BDH|10044044848043119095</stp>
        <tr r="G28" s="26"/>
      </tp>
      <tp t="e">
        <v>#N/A</v>
        <stp/>
        <stp>BDH|10827154557526933574</stp>
        <tr r="F69" s="24"/>
      </tp>
      <tp t="e">
        <v>#N/A</v>
        <stp/>
        <stp>BDH|17729220138822257385</stp>
        <tr r="T42" s="17"/>
      </tp>
      <tp t="e">
        <v>#N/A</v>
        <stp/>
        <stp>BDH|10082609996470478858</stp>
        <tr r="K53" s="18"/>
      </tp>
      <tp t="e">
        <v>#N/A</v>
        <stp/>
        <stp>BDH|15497291708549648940</stp>
        <tr r="R12" s="13"/>
      </tp>
      <tp t="e">
        <v>#N/A</v>
        <stp/>
        <stp>BDH|14544274631995444704</stp>
        <tr r="O50" s="17"/>
      </tp>
      <tp t="e">
        <v>#N/A</v>
        <stp/>
        <stp>BDH|18095607799767714791</stp>
        <tr r="AA11" s="3"/>
        <tr r="Y50" s="10"/>
        <tr r="Y42" s="11"/>
        <tr r="Y8" s="7"/>
      </tp>
      <tp t="e">
        <v>#N/A</v>
        <stp/>
        <stp>BDH|12833185582238048458</stp>
        <tr r="G88" s="17"/>
      </tp>
      <tp t="e">
        <v>#N/A</v>
        <stp/>
        <stp>BDH|11856034011490948749</stp>
        <tr r="Q23" s="21"/>
      </tp>
      <tp t="e">
        <v>#N/A</v>
        <stp/>
        <stp>BDH|12253178019485954023</stp>
        <tr r="C10" s="23"/>
      </tp>
      <tp t="e">
        <v>#N/A</v>
        <stp/>
        <stp>BDH|17371743207986122160</stp>
        <tr r="K36" s="18"/>
      </tp>
      <tp t="e">
        <v>#N/A</v>
        <stp/>
        <stp>BDH|11270660162222087412</stp>
        <tr r="G87" s="24"/>
      </tp>
      <tp t="e">
        <v>#N/A</v>
        <stp/>
        <stp>BDH|15070497925984310086</stp>
        <tr r="Q34" s="5"/>
        <tr r="R32" s="29"/>
      </tp>
      <tp t="e">
        <v>#N/A</v>
        <stp/>
        <stp>BDH|13029788579594458027</stp>
        <tr r="E91" s="17"/>
        <tr r="E7" s="27"/>
      </tp>
      <tp t="e">
        <v>#N/A</v>
        <stp/>
        <stp>BDH|18103265495883196749</stp>
        <tr r="K51" s="12"/>
      </tp>
      <tp t="e">
        <v>#N/A</v>
        <stp/>
        <stp>BDH|12152868540159866087</stp>
        <tr r="C89" s="12"/>
      </tp>
      <tp t="e">
        <v>#N/A</v>
        <stp/>
        <stp>BDH|15483044367453126717</stp>
        <tr r="I39" s="17"/>
      </tp>
      <tp t="e">
        <v>#N/A</v>
        <stp/>
        <stp>BDH|13564127261841075212</stp>
        <tr r="P14" s="8"/>
      </tp>
      <tp t="e">
        <v>#N/A</v>
        <stp/>
        <stp>BDH|15697975358449910775</stp>
        <tr r="S6" s="2"/>
        <tr r="R6" s="5"/>
        <tr r="R6" s="9"/>
        <tr r="T12" s="8"/>
        <tr r="S10" s="29"/>
        <tr r="S19" s="29"/>
        <tr r="S25" s="29"/>
      </tp>
      <tp t="e">
        <v>#N/A</v>
        <stp/>
        <stp>BDH|12890528421747459580</stp>
        <tr r="E23" s="13"/>
      </tp>
      <tp t="e">
        <v>#N/A</v>
        <stp/>
        <stp>BDH|14366224453082420613</stp>
        <tr r="J31" s="25"/>
        <tr r="G14" s="5"/>
        <tr r="J17" s="27"/>
      </tp>
      <tp t="e">
        <v>#N/A</v>
        <stp/>
        <stp>BDH|16124404861476298558</stp>
        <tr r="Y89" s="18"/>
      </tp>
      <tp t="e">
        <v>#N/A</v>
        <stp/>
        <stp>BDH|10067307840440423035</stp>
        <tr r="L23" s="21"/>
      </tp>
      <tp t="e">
        <v>#N/A</v>
        <stp/>
        <stp>BDH|15561048748294777299</stp>
        <tr r="D35" s="25"/>
      </tp>
      <tp t="e">
        <v>#N/A</v>
        <stp/>
        <stp>BDH|14226749359830090188</stp>
        <tr r="D16" s="29"/>
        <tr r="D39" s="29"/>
      </tp>
      <tp t="e">
        <v>#N/A</v>
        <stp/>
        <stp>BDH|10253221366461956287</stp>
        <tr r="G16" s="10"/>
      </tp>
      <tp t="e">
        <v>#N/A</v>
        <stp/>
        <stp>BDH|11138033733133382658</stp>
        <tr r="S108" s="18"/>
      </tp>
      <tp t="e">
        <v>#N/A</v>
        <stp/>
        <stp>BDH|15311655214141559401</stp>
        <tr r="T56" s="11"/>
      </tp>
      <tp t="e">
        <v>#N/A</v>
        <stp/>
        <stp>BDH|13938510711774960473</stp>
        <tr r="U34" s="21"/>
      </tp>
      <tp t="e">
        <v>#N/A</v>
        <stp/>
        <stp>BDH|16434633536383003762</stp>
        <tr r="L27" s="26"/>
      </tp>
      <tp t="e">
        <v>#N/A</v>
        <stp/>
        <stp>BDH|13069505764112002532</stp>
        <tr r="O57" s="10"/>
        <tr r="O49" s="11"/>
        <tr r="O18" s="7"/>
        <tr r="Q57" s="13"/>
      </tp>
      <tp t="e">
        <v>#N/A</v>
        <stp/>
        <stp>BDH|14375835156398164607</stp>
        <tr r="V22" s="11"/>
      </tp>
      <tp t="e">
        <v>#N/A</v>
        <stp/>
        <stp>BDH|11469020457316251547</stp>
        <tr r="D92" s="18"/>
      </tp>
      <tp t="e">
        <v>#N/A</v>
        <stp/>
        <stp>BDH|12355572453376343337</stp>
        <tr r="Q25" s="7"/>
      </tp>
      <tp t="e">
        <v>#N/A</v>
        <stp/>
        <stp>BDH|13474657365774115021</stp>
        <tr r="S12" s="12"/>
      </tp>
      <tp t="e">
        <v>#N/A</v>
        <stp/>
        <stp>BDH|14272131535020471176</stp>
        <tr r="P115" s="18"/>
      </tp>
      <tp t="e">
        <v>#N/A</v>
        <stp/>
        <stp>BDH|12206424700555232455</stp>
        <tr r="N23" s="22"/>
      </tp>
      <tp t="e">
        <v>#N/A</v>
        <stp/>
        <stp>BDH|17858711852825422789</stp>
        <tr r="G45" s="24"/>
      </tp>
      <tp t="e">
        <v>#N/A</v>
        <stp/>
        <stp>BDH|18445034000046412946</stp>
        <tr r="V69" s="12"/>
      </tp>
      <tp t="e">
        <v>#N/A</v>
        <stp/>
        <stp>BDH|14858616006045112094</stp>
        <tr r="Y74" s="24"/>
      </tp>
      <tp t="e">
        <v>#N/A</v>
        <stp/>
        <stp>BDH|11177756167190066740</stp>
        <tr r="U62" s="17"/>
      </tp>
      <tp t="e">
        <v>#N/A</v>
        <stp/>
        <stp>BDH|16443027312317468770</stp>
        <tr r="F92" s="18"/>
      </tp>
      <tp t="e">
        <v>#N/A</v>
        <stp/>
        <stp>BDH|17507177809415507495</stp>
        <tr r="T72" s="10"/>
        <tr r="T64" s="11"/>
      </tp>
      <tp t="e">
        <v>#N/A</v>
        <stp/>
        <stp>BDH|11031436706594344612</stp>
        <tr r="X63" s="17"/>
      </tp>
      <tp t="e">
        <v>#N/A</v>
        <stp/>
        <stp>BDH|16421063062517564024</stp>
        <tr r="D26" s="13"/>
      </tp>
      <tp t="e">
        <v>#N/A</v>
        <stp/>
        <stp>BDH|16330734208313800572</stp>
        <tr r="V46" s="4"/>
        <tr r="V23" s="10"/>
        <tr r="X37" s="13"/>
      </tp>
      <tp t="e">
        <v>#N/A</v>
        <stp/>
        <stp>BDH|16524972602351675912</stp>
        <tr r="O74" s="12"/>
      </tp>
      <tp t="e">
        <v>#N/A</v>
        <stp/>
        <stp>BDH|12190246504287598031</stp>
        <tr r="O37" s="34"/>
      </tp>
      <tp t="e">
        <v>#N/A</v>
        <stp/>
        <stp>BDH|14646774537882843598</stp>
        <tr r="X25" s="5"/>
      </tp>
      <tp t="e">
        <v>#N/A</v>
        <stp/>
        <stp>BDH|11734030031372332717</stp>
        <tr r="Z22" s="27"/>
      </tp>
      <tp t="e">
        <v>#N/A</v>
        <stp/>
        <stp>BDH|12489392110744336385</stp>
        <tr r="G11" s="21"/>
      </tp>
      <tp t="e">
        <v>#N/A</v>
        <stp/>
        <stp>BDH|15739430414192781511</stp>
        <tr r="U85" s="12"/>
      </tp>
      <tp t="e">
        <v>#N/A</v>
        <stp/>
        <stp>BDH|15181560152786525464</stp>
        <tr r="U96" s="18"/>
      </tp>
      <tp t="e">
        <v>#N/A</v>
        <stp/>
        <stp>BDH|11542115284378396752</stp>
        <tr r="D6" s="27"/>
      </tp>
      <tp t="e">
        <v>#N/A</v>
        <stp/>
        <stp>BDH|17159476856207500638</stp>
        <tr r="G56" s="17"/>
      </tp>
      <tp t="e">
        <v>#N/A</v>
        <stp/>
        <stp>BDH|14545474798488841648</stp>
        <tr r="X15" s="24"/>
      </tp>
      <tp t="e">
        <v>#N/A</v>
        <stp/>
        <stp>BDH|12382166866283074153</stp>
        <tr r="D24" s="5"/>
      </tp>
      <tp t="e">
        <v>#N/A</v>
        <stp/>
        <stp>BDH|14819391473883633423</stp>
        <tr r="AA44" s="22"/>
      </tp>
      <tp t="e">
        <v>#N/A</v>
        <stp/>
        <stp>BDH|17390788804304995304</stp>
        <tr r="J28" s="22"/>
      </tp>
      <tp t="e">
        <v>#N/A</v>
        <stp/>
        <stp>BDH|15798191706872681187</stp>
        <tr r="F84" s="12"/>
      </tp>
      <tp t="e">
        <v>#N/A</v>
        <stp/>
        <stp>BDH|12337568196159402015</stp>
        <tr r="J24" s="4"/>
        <tr r="J57" s="11"/>
      </tp>
      <tp t="e">
        <v>#N/A</v>
        <stp/>
        <stp>BDH|15137133675656695270</stp>
        <tr r="I110" s="18"/>
      </tp>
      <tp t="e">
        <v>#N/A</v>
        <stp/>
        <stp>BDH|12402803162103189814</stp>
        <tr r="L46" s="24"/>
      </tp>
      <tp t="e">
        <v>#N/A</v>
        <stp/>
        <stp>BDH|13792097721292841415</stp>
        <tr r="T8" s="27"/>
      </tp>
      <tp t="e">
        <v>#N/A</v>
        <stp/>
        <stp>BDH|17115545624901197669</stp>
        <tr r="N17" s="12"/>
      </tp>
      <tp t="e">
        <v>#N/A</v>
        <stp/>
        <stp>BDH|14483360856294205107</stp>
        <tr r="K79" s="12"/>
      </tp>
      <tp t="e">
        <v>#N/A</v>
        <stp/>
        <stp>BDH|15539548972667078756</stp>
        <tr r="K23" s="25"/>
        <tr r="I20" s="11"/>
      </tp>
      <tp t="e">
        <v>#N/A</v>
        <stp/>
        <stp>BDH|10907002106994183381</stp>
        <tr r="G50" s="13"/>
      </tp>
      <tp t="e">
        <v>#N/A</v>
        <stp/>
        <stp>BDH|14728361467033160517</stp>
        <tr r="F66" s="17"/>
        <tr r="F18" s="3"/>
      </tp>
      <tp t="e">
        <v>#N/A</v>
        <stp/>
        <stp>BDH|10606671666516147102</stp>
        <tr r="X32" s="14"/>
      </tp>
      <tp t="e">
        <v>#N/A</v>
        <stp/>
        <stp>BDH|14870804421738941162</stp>
        <tr r="R16" s="24"/>
      </tp>
      <tp t="e">
        <v>#N/A</v>
        <stp/>
        <stp>BDH|17426706821390536566</stp>
        <tr r="L62" s="24"/>
      </tp>
      <tp t="e">
        <v>#N/A</v>
        <stp/>
        <stp>BDH|18182460297294588630</stp>
        <tr r="P18" s="20"/>
      </tp>
      <tp t="e">
        <v>#N/A</v>
        <stp/>
        <stp>BDH|17349178748661981432</stp>
        <tr r="R69" s="12"/>
      </tp>
      <tp t="e">
        <v>#N/A</v>
        <stp/>
        <stp>BDH|12654589336714783793</stp>
        <tr r="H70" s="24"/>
      </tp>
      <tp t="e">
        <v>#N/A</v>
        <stp/>
        <stp>BDH|16505506680615002930</stp>
        <tr r="F14" s="17"/>
        <tr r="F17" s="28"/>
      </tp>
      <tp t="e">
        <v>#N/A</v>
        <stp/>
        <stp>BDH|12642064921037015076</stp>
        <tr r="P6" s="27"/>
      </tp>
      <tp t="e">
        <v>#N/A</v>
        <stp/>
        <stp>BDH|14169217060531349656</stp>
        <tr r="G17" s="22"/>
      </tp>
      <tp t="e">
        <v>#N/A</v>
        <stp/>
        <stp>BDH|13294535862044614338</stp>
        <tr r="E59" s="21"/>
        <tr r="C55" s="11"/>
      </tp>
      <tp t="e">
        <v>#N/A</v>
        <stp/>
        <stp>BDH|11896311175181291385</stp>
        <tr r="C59" s="12"/>
      </tp>
      <tp t="e">
        <v>#N/A</v>
        <stp/>
        <stp>BDH|11160164039904179098</stp>
        <tr r="I24" s="22"/>
      </tp>
      <tp t="e">
        <v>#N/A</v>
        <stp/>
        <stp>BDH|15105277577747570023</stp>
        <tr r="T46" s="21"/>
      </tp>
      <tp t="e">
        <v>#N/A</v>
        <stp/>
        <stp>BDH|18354846145774242764</stp>
        <tr r="D87" s="18"/>
      </tp>
      <tp t="e">
        <v>#N/A</v>
        <stp/>
        <stp>BDH|11560333644109263899</stp>
        <tr r="S20" s="18"/>
      </tp>
      <tp t="e">
        <v>#N/A</v>
        <stp/>
        <stp>BDH|10166419208276474550</stp>
        <tr r="V25" s="24"/>
      </tp>
      <tp t="e">
        <v>#N/A</v>
        <stp/>
        <stp>BDH|15339128138740633066</stp>
        <tr r="C125" s="18"/>
      </tp>
      <tp t="e">
        <v>#N/A</v>
        <stp/>
        <stp>BDH|17870443427933279503</stp>
        <tr r="Y47" s="10"/>
        <tr r="Y39" s="11"/>
      </tp>
      <tp t="e">
        <v>#N/A</v>
        <stp/>
        <stp>BDH|10855281826171953669</stp>
        <tr r="E9" s="30"/>
      </tp>
      <tp t="e">
        <v>#N/A</v>
        <stp/>
        <stp>BDH|10825178371712535327</stp>
        <tr r="N59" s="18"/>
      </tp>
      <tp t="e">
        <v>#N/A</v>
        <stp/>
        <stp>BDH|11049429269957053329</stp>
        <tr r="Z96" s="18"/>
      </tp>
      <tp t="e">
        <v>#N/A</v>
        <stp/>
        <stp>BDH|15696808598582640118</stp>
        <tr r="U102" s="18"/>
      </tp>
      <tp t="e">
        <v>#N/A</v>
        <stp/>
        <stp>BDH|14405696805332636779</stp>
        <tr r="Y7" s="14"/>
      </tp>
      <tp t="e">
        <v>#N/A</v>
        <stp/>
        <stp>BDH|17063201731883857205</stp>
        <tr r="Z87" s="17"/>
      </tp>
      <tp t="e">
        <v>#N/A</v>
        <stp/>
        <stp>BDH|11376321359547195705</stp>
        <tr r="M48" s="21"/>
      </tp>
      <tp t="e">
        <v>#N/A</v>
        <stp/>
        <stp>BDH|16736449133377072190</stp>
        <tr r="X23" s="23"/>
      </tp>
      <tp t="e">
        <v>#N/A</v>
        <stp/>
        <stp>BDH|13877025260290093235</stp>
        <tr r="O107" s="18"/>
      </tp>
      <tp t="e">
        <v>#N/A</v>
        <stp/>
        <stp>BDH|15253026558780318729</stp>
        <tr r="C90" s="17"/>
      </tp>
      <tp t="e">
        <v>#N/A</v>
        <stp/>
        <stp>BDH|10891129109110893624</stp>
        <tr r="V17" s="9"/>
      </tp>
      <tp t="e">
        <v>#N/A</v>
        <stp/>
        <stp>BDH|11342896762210896895</stp>
        <tr r="O19" s="24"/>
      </tp>
      <tp t="e">
        <v>#N/A</v>
        <stp/>
        <stp>BDH|10076683768655959204</stp>
        <tr r="L24" s="21"/>
      </tp>
      <tp t="e">
        <v>#N/A</v>
        <stp/>
        <stp>BDH|12839035903801756468</stp>
        <tr r="W20" s="5"/>
      </tp>
      <tp t="e">
        <v>#N/A</v>
        <stp/>
        <stp>BDH|17241707839732510677</stp>
        <tr r="M35" s="4"/>
      </tp>
      <tp t="e">
        <v>#N/A</v>
        <stp/>
        <stp>BDH|14716691023412448501</stp>
        <tr r="W69" s="17"/>
      </tp>
      <tp t="e">
        <v>#N/A</v>
        <stp/>
        <stp>BDH|15822107556814559229</stp>
        <tr r="T25" s="21"/>
      </tp>
      <tp t="e">
        <v>#N/A</v>
        <stp/>
        <stp>BDH|11849027177726544710</stp>
        <tr r="X26" s="22"/>
      </tp>
      <tp t="e">
        <v>#N/A</v>
        <stp/>
        <stp>BDH|10498394752933341257</stp>
        <tr r="G43" s="10"/>
        <tr r="G35" s="11"/>
      </tp>
      <tp t="e">
        <v>#N/A</v>
        <stp/>
        <stp>BDH|14607780133720229762</stp>
        <tr r="G18" s="20"/>
      </tp>
      <tp t="e">
        <v>#N/A</v>
        <stp/>
        <stp>BDH|14514349489801210936</stp>
        <tr r="V27" s="7"/>
      </tp>
      <tp t="e">
        <v>#N/A</v>
        <stp/>
        <stp>BDH|11012383720734461355</stp>
        <tr r="S38" s="18"/>
      </tp>
      <tp t="e">
        <v>#N/A</v>
        <stp/>
        <stp>BDH|15486433046974121696</stp>
        <tr r="L92" s="18"/>
      </tp>
      <tp t="e">
        <v>#N/A</v>
        <stp/>
        <stp>BDH|10336363469664349667</stp>
        <tr r="U106" s="18"/>
      </tp>
      <tp t="e">
        <v>#N/A</v>
        <stp/>
        <stp>BDH|13056925997654969055</stp>
        <tr r="T63" s="13"/>
      </tp>
      <tp t="e">
        <v>#N/A</v>
        <stp/>
        <stp>BDH|14036617958478911895</stp>
        <tr r="H53" s="24"/>
      </tp>
      <tp t="e">
        <v>#N/A</v>
        <stp/>
        <stp>BDH|14438297444613046602</stp>
        <tr r="N36" s="22"/>
      </tp>
      <tp t="e">
        <v>#N/A</v>
        <stp/>
        <stp>BDH|16844091221240824311</stp>
        <tr r="C60" s="13"/>
      </tp>
      <tp t="e">
        <v>#N/A</v>
        <stp/>
        <stp>BDH|11894866271290474933</stp>
        <tr r="U20" s="25"/>
      </tp>
      <tp t="e">
        <v>#N/A</v>
        <stp/>
        <stp>BDH|16767391222426491603</stp>
        <tr r="M56" s="6"/>
      </tp>
      <tp t="e">
        <v>#N/A</v>
        <stp/>
        <stp>BDH|10143839449102674952</stp>
        <tr r="D39" s="25"/>
        <tr r="D7" s="3"/>
        <tr r="D22" s="13"/>
        <tr r="D7" s="13"/>
      </tp>
      <tp t="e">
        <v>#N/A</v>
        <stp/>
        <stp>BDH|11819142233863404733</stp>
        <tr r="I22" s="22"/>
      </tp>
      <tp t="e">
        <v>#N/A</v>
        <stp/>
        <stp>BDH|12259106459946247711</stp>
        <tr r="V62" s="17"/>
      </tp>
      <tp t="e">
        <v>#N/A</v>
        <stp/>
        <stp>BDH|11384497065705554122</stp>
        <tr r="T16" s="6"/>
      </tp>
      <tp t="e">
        <v>#N/A</v>
        <stp/>
        <stp>BDH|13341888490226663355</stp>
        <tr r="V24" s="10"/>
      </tp>
      <tp t="e">
        <v>#N/A</v>
        <stp/>
        <stp>BDH|17656154533777837508</stp>
        <tr r="K55" s="24"/>
      </tp>
      <tp t="e">
        <v>#N/A</v>
        <stp/>
        <stp>BDH|17281365069315148049</stp>
        <tr r="Q11" s="30"/>
      </tp>
      <tp t="e">
        <v>#N/A</v>
        <stp/>
        <stp>BDH|15582857119312963989</stp>
        <tr r="V43" s="22"/>
      </tp>
      <tp t="e">
        <v>#N/A</v>
        <stp/>
        <stp>BDH|11051877897641910617</stp>
        <tr r="O50" s="4"/>
      </tp>
      <tp t="e">
        <v>#N/A</v>
        <stp/>
        <stp>BDH|13712436803671823171</stp>
        <tr r="M43" s="22"/>
      </tp>
      <tp t="e">
        <v>#N/A</v>
        <stp/>
        <stp>BDH|15453642104314452083</stp>
        <tr r="F63" s="18"/>
      </tp>
      <tp t="e">
        <v>#N/A</v>
        <stp/>
        <stp>BDH|16685102782228533099</stp>
        <tr r="N110" s="18"/>
      </tp>
      <tp t="e">
        <v>#N/A</v>
        <stp/>
        <stp>BDH|11893537106747089450</stp>
        <tr r="T50" s="13"/>
      </tp>
      <tp t="e">
        <v>#N/A</v>
        <stp/>
        <stp>BDH|12968872380876797314</stp>
        <tr r="C30" s="22"/>
      </tp>
      <tp t="e">
        <v>#N/A</v>
        <stp/>
        <stp>BDH|16159250837174938427</stp>
        <tr r="E82" s="12"/>
      </tp>
      <tp t="e">
        <v>#N/A</v>
        <stp/>
        <stp>BDH|16268904967696820856</stp>
        <tr r="J49" s="6"/>
      </tp>
      <tp t="e">
        <v>#N/A</v>
        <stp/>
        <stp>BDH|10879706904617697729</stp>
        <tr r="Z11" s="30"/>
      </tp>
      <tp t="e">
        <v>#N/A</v>
        <stp/>
        <stp>BDH|16483218341041454682</stp>
        <tr r="Q62" s="17"/>
      </tp>
      <tp t="e">
        <v>#N/A</v>
        <stp/>
        <stp>BDH|14077284153696517262</stp>
        <tr r="I38" s="4"/>
        <tr r="I58" s="11"/>
        <tr r="K13" s="23"/>
      </tp>
      <tp t="e">
        <v>#N/A</v>
        <stp/>
        <stp>BDH|12130431164916650188</stp>
        <tr r="AA89" s="18"/>
      </tp>
      <tp t="e">
        <v>#N/A</v>
        <stp/>
        <stp>BDH|11110417234402561392</stp>
        <tr r="Z27" s="18"/>
      </tp>
      <tp t="e">
        <v>#N/A</v>
        <stp/>
        <stp>BDH|12252667920783479287</stp>
        <tr r="D85" s="12"/>
      </tp>
      <tp t="e">
        <v>#N/A</v>
        <stp/>
        <stp>BDH|13980504788258897112</stp>
        <tr r="K49" s="21"/>
      </tp>
      <tp t="e">
        <v>#N/A</v>
        <stp/>
        <stp>BDH|18303196312079643667</stp>
        <tr r="G17" s="12"/>
      </tp>
      <tp t="e">
        <v>#N/A</v>
        <stp/>
        <stp>BDH|17233230205537431580</stp>
        <tr r="R22" s="22"/>
      </tp>
      <tp t="e">
        <v>#N/A</v>
        <stp/>
        <stp>BDH|17621545168547709456</stp>
        <tr r="V26" s="13"/>
      </tp>
      <tp t="e">
        <v>#N/A</v>
        <stp/>
        <stp>BDH|10311051862039541890</stp>
        <tr r="H59" s="24"/>
      </tp>
      <tp t="e">
        <v>#N/A</v>
        <stp/>
        <stp>BDH|17020689345954355663</stp>
        <tr r="S71" s="10"/>
        <tr r="S63" s="11"/>
      </tp>
      <tp t="e">
        <v>#N/A</v>
        <stp/>
        <stp>BDH|15832427506964559223</stp>
        <tr r="Q43" s="24"/>
      </tp>
      <tp t="e">
        <v>#N/A</v>
        <stp/>
        <stp>BDH|13259449908552018252</stp>
        <tr r="C8" s="8"/>
      </tp>
      <tp t="e">
        <v>#N/A</v>
        <stp/>
        <stp>BDH|11475398882184130957</stp>
        <tr r="F48" s="6"/>
      </tp>
      <tp t="e">
        <v>#N/A</v>
        <stp/>
        <stp>BDH|13834884709448696440</stp>
        <tr r="T11" s="12"/>
      </tp>
      <tp t="e">
        <v>#N/A</v>
        <stp/>
        <stp>BDH|13423793094048724259</stp>
        <tr r="G13" s="7"/>
      </tp>
      <tp t="e">
        <v>#N/A</v>
        <stp/>
        <stp>BDH|12388611032839907928</stp>
        <tr r="R36" s="34"/>
      </tp>
      <tp t="e">
        <v>#N/A</v>
        <stp/>
        <stp>BDH|14543424093967801970</stp>
        <tr r="J26" s="13"/>
      </tp>
      <tp t="e">
        <v>#N/A</v>
        <stp/>
        <stp>BDH|14375228463481948606</stp>
        <tr r="S15" s="5"/>
      </tp>
      <tp t="e">
        <v>#N/A</v>
        <stp/>
        <stp>BDH|12538891187025824088</stp>
        <tr r="U87" s="17"/>
      </tp>
      <tp t="e">
        <v>#N/A</v>
        <stp/>
        <stp>BDH|16082507608406623251</stp>
        <tr r="F15" s="9"/>
      </tp>
      <tp t="e">
        <v>#N/A</v>
        <stp/>
        <stp>BDH|10875316382248196415</stp>
        <tr r="I43" s="6"/>
      </tp>
      <tp t="e">
        <v>#N/A</v>
        <stp/>
        <stp>BDH|16580971674056577981</stp>
        <tr r="K62" s="24"/>
      </tp>
      <tp t="e">
        <v>#N/A</v>
        <stp/>
        <stp>BDH|12941609177815193142</stp>
        <tr r="C36" s="13"/>
      </tp>
      <tp t="e">
        <v>#N/A</v>
        <stp/>
        <stp>BDH|15700899396757353406</stp>
        <tr r="Q12" s="18"/>
      </tp>
      <tp t="e">
        <v>#N/A</v>
        <stp/>
        <stp>BDH|16802149103316247663</stp>
        <tr r="P98" s="18"/>
        <tr r="P7" s="20"/>
      </tp>
      <tp t="e">
        <v>#N/A</v>
        <stp/>
        <stp>BDH|12121097915826599239</stp>
        <tr r="G19" s="5"/>
        <tr r="G46" s="6"/>
      </tp>
      <tp t="e">
        <v>#N/A</v>
        <stp/>
        <stp>BDH|11248174640596982571</stp>
        <tr r="X64" s="21"/>
        <tr r="U31" s="6"/>
      </tp>
      <tp t="e">
        <v>#N/A</v>
        <stp/>
        <stp>BDH|16509029717963225391</stp>
        <tr r="E68" s="12"/>
      </tp>
      <tp t="e">
        <v>#N/A</v>
        <stp/>
        <stp>BDH|13576724655584860213</stp>
        <tr r="W28" s="6"/>
      </tp>
      <tp t="e">
        <v>#N/A</v>
        <stp/>
        <stp>BDH|13776207718364387378</stp>
        <tr r="I22" s="12"/>
      </tp>
      <tp t="e">
        <v>#N/A</v>
        <stp/>
        <stp>BDH|17668619689106460819</stp>
        <tr r="I22" s="6"/>
      </tp>
      <tp t="e">
        <v>#N/A</v>
        <stp/>
        <stp>BDH|17138390980239089238</stp>
        <tr r="H18" s="23"/>
      </tp>
      <tp t="e">
        <v>#N/A</v>
        <stp/>
        <stp>BDH|10274254735607136187</stp>
        <tr r="T7" s="17"/>
      </tp>
      <tp t="e">
        <v>#N/A</v>
        <stp/>
        <stp>BDH|12569475342004204193</stp>
        <tr r="F8" s="14"/>
      </tp>
      <tp t="e">
        <v>#N/A</v>
        <stp/>
        <stp>BDH|17105543772344496689</stp>
        <tr r="G56" s="11"/>
      </tp>
      <tp t="e">
        <v>#N/A</v>
        <stp/>
        <stp>BDH|15060554779602763205</stp>
        <tr r="M78" s="12"/>
      </tp>
      <tp t="e">
        <v>#N/A</v>
        <stp/>
        <stp>BDH|11813065460119407913</stp>
        <tr r="Y22" s="14"/>
      </tp>
      <tp t="e">
        <v>#N/A</v>
        <stp/>
        <stp>BDH|14792493867827669642</stp>
        <tr r="T141" s="18"/>
      </tp>
      <tp t="e">
        <v>#N/A</v>
        <stp/>
        <stp>BDH|15597488126205666163</stp>
        <tr r="K28" s="34"/>
      </tp>
      <tp t="e">
        <v>#N/A</v>
        <stp/>
        <stp>BDH|14579786750633350257</stp>
        <tr r="E69" s="24"/>
      </tp>
      <tp t="e">
        <v>#N/A</v>
        <stp/>
        <stp>BDH|15899740333756489003</stp>
        <tr r="P64" s="10"/>
      </tp>
      <tp t="e">
        <v>#N/A</v>
        <stp/>
        <stp>BDH|13982840384014042029</stp>
        <tr r="N77" s="17"/>
      </tp>
      <tp t="e">
        <v>#N/A</v>
        <stp/>
        <stp>BDH|12711551362506992028</stp>
        <tr r="AA36" s="21"/>
      </tp>
      <tp t="e">
        <v>#N/A</v>
        <stp/>
        <stp>BDH|16847052805799716844</stp>
        <tr r="S28" s="21"/>
      </tp>
      <tp t="e">
        <v>#N/A</v>
        <stp/>
        <stp>BDH|16710947054995420897</stp>
        <tr r="M22" s="18"/>
      </tp>
      <tp t="e">
        <v>#N/A</v>
        <stp/>
        <stp>BDH|17731547618472505648</stp>
        <tr r="S31" s="18"/>
      </tp>
      <tp t="e">
        <v>#N/A</v>
        <stp/>
        <stp>BDH|12861721482352642848</stp>
        <tr r="K70" s="24"/>
      </tp>
      <tp t="e">
        <v>#N/A</v>
        <stp/>
        <stp>BDH|14864888098261135330</stp>
        <tr r="P69" s="24"/>
      </tp>
      <tp t="e">
        <v>#N/A</v>
        <stp/>
        <stp>BDH|16902959260327061963</stp>
        <tr r="O28" s="18"/>
      </tp>
      <tp t="e">
        <v>#N/A</v>
        <stp/>
        <stp>BDH|16030323192849377290</stp>
        <tr r="V7" s="24"/>
      </tp>
      <tp t="e">
        <v>#N/A</v>
        <stp/>
        <stp>BDH|18426918868163021377</stp>
        <tr r="O19" s="5"/>
        <tr r="O46" s="6"/>
      </tp>
      <tp t="e">
        <v>#N/A</v>
        <stp/>
        <stp>BDH|15026346531185833778</stp>
        <tr r="H45" s="22"/>
      </tp>
      <tp t="e">
        <v>#N/A</v>
        <stp/>
        <stp>BDH|17703821349918424424</stp>
        <tr r="R48" s="17"/>
      </tp>
      <tp t="e">
        <v>#N/A</v>
        <stp/>
        <stp>BDH|12463495404588308908</stp>
        <tr r="S49" s="4"/>
      </tp>
      <tp t="e">
        <v>#N/A</v>
        <stp/>
        <stp>BDH|17872752016896369026</stp>
        <tr r="O56" s="12"/>
      </tp>
      <tp t="e">
        <v>#N/A</v>
        <stp/>
        <stp>BDH|11178413865810899479</stp>
        <tr r="K108" s="18"/>
      </tp>
      <tp t="e">
        <v>#N/A</v>
        <stp/>
        <stp>BDH|16487694368484746580</stp>
        <tr r="J11" s="12"/>
      </tp>
      <tp t="e">
        <v>#N/A</v>
        <stp/>
        <stp>BDH|15858243109348899870</stp>
        <tr r="H75" s="17"/>
        <tr r="E9" s="5"/>
        <tr r="E9" s="9"/>
      </tp>
      <tp t="e">
        <v>#N/A</v>
        <stp/>
        <stp>BDH|11346545209720781332</stp>
        <tr r="E83" s="17"/>
      </tp>
      <tp t="e">
        <v>#N/A</v>
        <stp/>
        <stp>BDH|12947398301996332085</stp>
        <tr r="Q76" s="12"/>
      </tp>
      <tp t="e">
        <v>#N/A</v>
        <stp/>
        <stp>BDH|18429271557838687081</stp>
        <tr r="AA69" s="18"/>
      </tp>
      <tp t="e">
        <v>#N/A</v>
        <stp/>
        <stp>BDH|15559295882359200161</stp>
        <tr r="F13" s="21"/>
      </tp>
      <tp t="e">
        <v>#N/A</v>
        <stp/>
        <stp>BDH|16924110900223630342</stp>
        <tr r="S47" s="21"/>
      </tp>
      <tp t="e">
        <v>#N/A</v>
        <stp/>
        <stp>BDH|18430548334501765899</stp>
        <tr r="V31" s="34"/>
      </tp>
      <tp t="e">
        <v>#N/A</v>
        <stp/>
        <stp>BDH|14424399423760552219</stp>
        <tr r="O12" s="3"/>
        <tr r="M55" s="10"/>
        <tr r="M47" s="11"/>
        <tr r="M7" s="7"/>
      </tp>
      <tp t="e">
        <v>#N/A</v>
        <stp/>
        <stp>BDH|13712111580089819446</stp>
        <tr r="U20" s="5"/>
      </tp>
      <tp t="e">
        <v>#N/A</v>
        <stp/>
        <stp>BDH|15539163015713476186</stp>
        <tr r="G18" s="18"/>
      </tp>
      <tp t="e">
        <v>#N/A</v>
        <stp/>
        <stp>BDH|15653504173855669599</stp>
        <tr r="K62" s="18"/>
      </tp>
      <tp t="e">
        <v>#N/A</v>
        <stp/>
        <stp>BDH|14083010597429421388</stp>
        <tr r="T46" s="24"/>
      </tp>
      <tp t="e">
        <v>#N/A</v>
        <stp/>
        <stp>BDH|10476930135575163892</stp>
        <tr r="AA62" s="12"/>
      </tp>
      <tp t="e">
        <v>#N/A</v>
        <stp/>
        <stp>BDH|15598390763315166249</stp>
        <tr r="I134" s="18"/>
      </tp>
      <tp t="e">
        <v>#N/A</v>
        <stp/>
        <stp>BDH|11886724070074498241</stp>
        <tr r="Z53" s="12"/>
      </tp>
      <tp t="e">
        <v>#N/A</v>
        <stp/>
        <stp>BDH|14247577966486177684</stp>
        <tr r="G48" s="24"/>
      </tp>
      <tp t="e">
        <v>#N/A</v>
        <stp/>
        <stp>BDH|15786485986589447778</stp>
        <tr r="V70" s="18"/>
      </tp>
      <tp t="e">
        <v>#N/A</v>
        <stp/>
        <stp>BDH|13822310133060481431</stp>
        <tr r="N32" s="25"/>
        <tr r="N18" s="27"/>
      </tp>
      <tp t="e">
        <v>#N/A</v>
        <stp/>
        <stp>BDH|15192240548812782672</stp>
        <tr r="U43" s="34"/>
      </tp>
      <tp t="e">
        <v>#N/A</v>
        <stp/>
        <stp>BDH|15859242620845617774</stp>
        <tr r="D15" s="23"/>
      </tp>
      <tp t="e">
        <v>#N/A</v>
        <stp/>
        <stp>BDH|15045323391601833968</stp>
        <tr r="G40" s="34"/>
      </tp>
      <tp t="e">
        <v>#N/A</v>
        <stp/>
        <stp>BDH|16434890742174696942</stp>
        <tr r="J64" s="17"/>
      </tp>
      <tp t="e">
        <v>#N/A</v>
        <stp/>
        <stp>BDH|17972265427898013855</stp>
        <tr r="J85" s="18"/>
      </tp>
      <tp t="e">
        <v>#N/A</v>
        <stp/>
        <stp>BDH|14779017979911515575</stp>
        <tr r="O16" s="2"/>
        <tr r="O32" s="4"/>
        <tr r="O62" s="10"/>
        <tr r="Q19" s="13"/>
      </tp>
      <tp t="e">
        <v>#N/A</v>
        <stp/>
        <stp>BDH|10943989955333818812</stp>
        <tr r="H54" s="24"/>
      </tp>
      <tp t="e">
        <v>#N/A</v>
        <stp/>
        <stp>BDH|11101852823175961936</stp>
        <tr r="H121" s="18"/>
      </tp>
      <tp t="e">
        <v>#N/A</v>
        <stp/>
        <stp>BDH|11247140509505338211</stp>
        <tr r="R12" s="20"/>
      </tp>
      <tp t="e">
        <v>#N/A</v>
        <stp/>
        <stp>BDH|11018524979612104670</stp>
        <tr r="P28" s="14"/>
      </tp>
      <tp t="e">
        <v>#N/A</v>
        <stp/>
        <stp>BDH|12827618770100785431</stp>
        <tr r="U70" s="12"/>
      </tp>
      <tp t="e">
        <v>#N/A</v>
        <stp/>
        <stp>BDH|11064768508371175028</stp>
        <tr r="AA17" s="24"/>
      </tp>
      <tp t="e">
        <v>#N/A</v>
        <stp/>
        <stp>BDH|11653470560235809146</stp>
        <tr r="M44" s="18"/>
      </tp>
      <tp t="e">
        <v>#N/A</v>
        <stp/>
        <stp>BDH|11457786701485819487</stp>
        <tr r="V14" s="8"/>
      </tp>
      <tp t="e">
        <v>#N/A</v>
        <stp/>
        <stp>BDH|13479146078233763125</stp>
        <tr r="Z46" s="13"/>
      </tp>
      <tp t="e">
        <v>#N/A</v>
        <stp/>
        <stp>BDH|17357319499849427326</stp>
        <tr r="Q115" s="18"/>
      </tp>
      <tp t="e">
        <v>#N/A</v>
        <stp/>
        <stp>BDH|17303061924703515190</stp>
        <tr r="R11" s="28"/>
      </tp>
      <tp t="e">
        <v>#N/A</v>
        <stp/>
        <stp>BDH|11266816427774998808</stp>
        <tr r="W65" s="18"/>
      </tp>
      <tp t="e">
        <v>#N/A</v>
        <stp/>
        <stp>BDH|15249820017328931332</stp>
        <tr r="AA15" s="30"/>
      </tp>
      <tp t="e">
        <v>#N/A</v>
        <stp/>
        <stp>BDH|16274616314572920433</stp>
        <tr r="T13" s="7"/>
      </tp>
      <tp t="e">
        <v>#N/A</v>
        <stp/>
        <stp>BDH|17222502972201958342</stp>
        <tr r="E64" s="10"/>
      </tp>
      <tp t="e">
        <v>#N/A</v>
        <stp/>
        <stp>BDH|13568534474144955262</stp>
        <tr r="P7" s="17"/>
      </tp>
      <tp t="e">
        <v>#N/A</v>
        <stp/>
        <stp>BDH|12612330878348660960</stp>
        <tr r="N25" s="9"/>
      </tp>
      <tp t="e">
        <v>#N/A</v>
        <stp/>
        <stp>BDH|11516315329294524350</stp>
        <tr r="N26" s="29"/>
      </tp>
      <tp t="e">
        <v>#N/A</v>
        <stp/>
        <stp>BDH|17930973362058921786</stp>
        <tr r="I16" s="18"/>
      </tp>
      <tp t="e">
        <v>#N/A</v>
        <stp/>
        <stp>BDH|17004525031851949763</stp>
        <tr r="R9" s="30"/>
      </tp>
      <tp t="e">
        <v>#N/A</v>
        <stp/>
        <stp>BDH|10403879335125902932</stp>
        <tr r="M22" s="27"/>
      </tp>
      <tp t="e">
        <v>#N/A</v>
        <stp/>
        <stp>BDH|10532055553905967763</stp>
        <tr r="K15" s="22"/>
      </tp>
      <tp t="e">
        <v>#N/A</v>
        <stp/>
        <stp>BDH|17679345656094194291</stp>
        <tr r="I16" s="2"/>
        <tr r="I32" s="4"/>
        <tr r="I62" s="10"/>
        <tr r="K19" s="13"/>
      </tp>
      <tp t="e">
        <v>#N/A</v>
        <stp/>
        <stp>BDH|15750008828451138123</stp>
        <tr r="O24" s="13"/>
      </tp>
      <tp t="e">
        <v>#N/A</v>
        <stp/>
        <stp>BDH|12546089064363259073</stp>
        <tr r="F30" s="22"/>
      </tp>
      <tp t="e">
        <v>#N/A</v>
        <stp/>
        <stp>BDH|12170007127646399190</stp>
        <tr r="F40" s="34"/>
      </tp>
      <tp t="e">
        <v>#N/A</v>
        <stp/>
        <stp>BDH|13310012898664020968</stp>
        <tr r="T25" s="34"/>
      </tp>
      <tp t="e">
        <v>#N/A</v>
        <stp/>
        <stp>BDH|10657819581206279186</stp>
        <tr r="H93" s="17"/>
      </tp>
      <tp t="e">
        <v>#N/A</v>
        <stp/>
        <stp>BDH|10378880787850409740</stp>
        <tr r="O91" s="24"/>
      </tp>
      <tp t="e">
        <v>#N/A</v>
        <stp/>
        <stp>BDH|14882551278494860515</stp>
        <tr r="S10" s="26"/>
      </tp>
      <tp t="e">
        <v>#N/A</v>
        <stp/>
        <stp>BDH|17411347861223505689</stp>
        <tr r="H33" s="12"/>
      </tp>
      <tp t="e">
        <v>#N/A</v>
        <stp/>
        <stp>BDH|12319730560836417285</stp>
        <tr r="K35" s="26"/>
      </tp>
      <tp t="e">
        <v>#N/A</v>
        <stp/>
        <stp>BDH|11196042318605571247</stp>
        <tr r="O8" s="26"/>
        <tr r="L10" s="9"/>
      </tp>
      <tp t="e">
        <v>#N/A</v>
        <stp/>
        <stp>BDH|15129583563485500438</stp>
        <tr r="Y44" s="34"/>
      </tp>
      <tp t="e">
        <v>#N/A</v>
        <stp/>
        <stp>BDH|10304771209612890293</stp>
        <tr r="G9" s="22"/>
      </tp>
      <tp t="e">
        <v>#N/A</v>
        <stp/>
        <stp>BDH|13011555076547784185</stp>
        <tr r="L72" s="10"/>
        <tr r="L64" s="11"/>
      </tp>
      <tp t="e">
        <v>#N/A</v>
        <stp/>
        <stp>BDH|15905837951176036976</stp>
        <tr r="N88" s="12"/>
      </tp>
      <tp t="e">
        <v>#N/A</v>
        <stp/>
        <stp>BDH|10497489468090162594</stp>
        <tr r="J36" s="22"/>
      </tp>
      <tp t="e">
        <v>#N/A</v>
        <stp/>
        <stp>BDH|16756083572122337425</stp>
        <tr r="F38" s="6"/>
      </tp>
      <tp t="e">
        <v>#N/A</v>
        <stp/>
        <stp>BDH|16219689747040085317</stp>
        <tr r="T24" s="10"/>
      </tp>
      <tp t="e">
        <v>#N/A</v>
        <stp/>
        <stp>BDH|10723481312045568743</stp>
        <tr r="T137" s="18"/>
      </tp>
      <tp t="e">
        <v>#N/A</v>
        <stp/>
        <stp>BDH|12863090184605108884</stp>
        <tr r="V119" s="18"/>
      </tp>
      <tp t="e">
        <v>#N/A</v>
        <stp/>
        <stp>BDH|12966082769721244263</stp>
        <tr r="C62" s="12"/>
      </tp>
      <tp t="e">
        <v>#N/A</v>
        <stp/>
        <stp>BDH|17331364966072983754</stp>
        <tr r="P28" s="10"/>
        <tr r="R34" s="13"/>
      </tp>
      <tp t="e">
        <v>#N/A</v>
        <stp/>
        <stp>BDH|15389343613417340781</stp>
        <tr r="I29" s="29"/>
        <tr r="I7" s="29"/>
      </tp>
      <tp t="e">
        <v>#N/A</v>
        <stp/>
        <stp>BDH|12878081603743905659</stp>
        <tr r="Y58" s="13"/>
      </tp>
      <tp t="e">
        <v>#N/A</v>
        <stp/>
        <stp>BDH|11353117304997002094</stp>
        <tr r="U65" s="18"/>
      </tp>
      <tp t="e">
        <v>#N/A</v>
        <stp/>
        <stp>BDH|10907035269419561898</stp>
        <tr r="Q22" s="6"/>
      </tp>
      <tp t="e">
        <v>#N/A</v>
        <stp/>
        <stp>BDH|15465462352875825671</stp>
        <tr r="N84" s="18"/>
      </tp>
      <tp t="e">
        <v>#N/A</v>
        <stp/>
        <stp>BDH|16580580825381456731</stp>
        <tr r="Y42" s="34"/>
      </tp>
      <tp t="e">
        <v>#N/A</v>
        <stp/>
        <stp>BDH|11451745054866979221</stp>
        <tr r="J86" s="18"/>
      </tp>
      <tp t="e">
        <v>#N/A</v>
        <stp/>
        <stp>BDH|11828148794647465934</stp>
        <tr r="K39" s="22"/>
      </tp>
      <tp t="e">
        <v>#N/A</v>
        <stp/>
        <stp>BDH|12178018453165533593</stp>
        <tr r="L42" s="18"/>
      </tp>
      <tp t="e">
        <v>#N/A</v>
        <stp/>
        <stp>BDH|17888412906156504256</stp>
        <tr r="M89" s="17"/>
        <tr r="M34" s="25"/>
      </tp>
      <tp t="e">
        <v>#N/A</v>
        <stp/>
        <stp>BDH|12987642425457134660</stp>
        <tr r="M15" s="30"/>
      </tp>
      <tp t="e">
        <v>#N/A</v>
        <stp/>
        <stp>BDH|11012291410482201748</stp>
        <tr r="R7" s="34"/>
      </tp>
      <tp t="e">
        <v>#N/A</v>
        <stp/>
        <stp>BDH|15809098721685756587</stp>
        <tr r="V13" s="13"/>
      </tp>
      <tp t="e">
        <v>#N/A</v>
        <stp/>
        <stp>BDH|12465366400790825656</stp>
        <tr r="G50" s="4"/>
      </tp>
      <tp t="e">
        <v>#N/A</v>
        <stp/>
        <stp>BDH|10771273775721324393</stp>
        <tr r="AA20" s="26"/>
      </tp>
      <tp t="e">
        <v>#N/A</v>
        <stp/>
        <stp>BDH|12106352766190588089</stp>
        <tr r="T65" s="24"/>
      </tp>
      <tp t="e">
        <v>#N/A</v>
        <stp/>
        <stp>BDH|13235336658317552531</stp>
        <tr r="X19" s="20"/>
      </tp>
      <tp t="e">
        <v>#N/A</v>
        <stp/>
        <stp>BDH|15370466388939180732</stp>
        <tr r="F46" s="22"/>
      </tp>
      <tp t="e">
        <v>#N/A</v>
        <stp/>
        <stp>BDH|13457722367303676681</stp>
        <tr r="V8" s="24"/>
      </tp>
      <tp t="e">
        <v>#N/A</v>
        <stp/>
        <stp>BDH|14806371320400156211</stp>
        <tr r="O32" s="9"/>
      </tp>
      <tp t="e">
        <v>#N/A</v>
        <stp/>
        <stp>BDH|11837093327886898211</stp>
        <tr r="L77" s="17"/>
      </tp>
      <tp t="e">
        <v>#N/A</v>
        <stp/>
        <stp>BDH|12111730449523200564</stp>
        <tr r="X90" s="18"/>
      </tp>
      <tp t="e">
        <v>#N/A</v>
        <stp/>
        <stp>BDH|12562341046945191797</stp>
        <tr r="N91" s="24"/>
      </tp>
      <tp t="e">
        <v>#N/A</v>
        <stp/>
        <stp>BDH|13875873668729868302</stp>
        <tr r="I18" s="17"/>
      </tp>
      <tp t="e">
        <v>#N/A</v>
        <stp/>
        <stp>BDH|15028880434408074136</stp>
        <tr r="M7" s="28"/>
      </tp>
      <tp t="e">
        <v>#N/A</v>
        <stp/>
        <stp>BDH|16463460524637857012</stp>
        <tr r="Y55" s="18"/>
      </tp>
      <tp t="e">
        <v>#N/A</v>
        <stp/>
        <stp>BDH|12827320940113226177</stp>
        <tr r="E21" s="27"/>
      </tp>
      <tp t="e">
        <v>#N/A</v>
        <stp/>
        <stp>BDH|13338469301415992521</stp>
        <tr r="F7" s="30"/>
      </tp>
      <tp t="e">
        <v>#N/A</v>
        <stp/>
        <stp>BDH|11141523979506713225</stp>
        <tr r="Y44" s="18"/>
      </tp>
      <tp t="e">
        <v>#N/A</v>
        <stp/>
        <stp>BDH|10562718108012500268</stp>
        <tr r="I16" s="14"/>
      </tp>
      <tp t="e">
        <v>#N/A</v>
        <stp/>
        <stp>BDH|11649790574721633725</stp>
        <tr r="D61" s="21"/>
      </tp>
      <tp t="e">
        <v>#N/A</v>
        <stp/>
        <stp>BDH|15863945252868769668</stp>
        <tr r="S44" s="17"/>
      </tp>
      <tp t="e">
        <v>#N/A</v>
        <stp/>
        <stp>BDH|18245402033079824161</stp>
        <tr r="S20" s="27"/>
      </tp>
      <tp t="e">
        <v>#N/A</v>
        <stp/>
        <stp>BDH|15437816779938664541</stp>
        <tr r="G79" s="18"/>
      </tp>
      <tp t="e">
        <v>#N/A</v>
        <stp/>
        <stp>BDH|16837745167906228677</stp>
        <tr r="Y40" s="17"/>
      </tp>
      <tp t="e">
        <v>#N/A</v>
        <stp/>
        <stp>BDH|15727306419801844182</stp>
        <tr r="S12" s="25"/>
      </tp>
      <tp t="e">
        <v>#N/A</v>
        <stp/>
        <stp>BDH|13907638517974302708</stp>
        <tr r="H34" s="22"/>
      </tp>
      <tp t="e">
        <v>#N/A</v>
        <stp/>
        <stp>BDH|16561701468916272610</stp>
        <tr r="I33" s="5"/>
      </tp>
      <tp t="e">
        <v>#N/A</v>
        <stp/>
        <stp>BDH|11026197065253673249</stp>
        <tr r="X7" s="28"/>
      </tp>
      <tp t="e">
        <v>#N/A</v>
        <stp/>
        <stp>BDH|15780181530821214139</stp>
        <tr r="N68" s="18"/>
      </tp>
      <tp t="e">
        <v>#N/A</v>
        <stp/>
        <stp>BDH|17324756422725833028</stp>
        <tr r="O17" s="18"/>
      </tp>
      <tp t="e">
        <v>#N/A</v>
        <stp/>
        <stp>BDH|17853220291092690932</stp>
        <tr r="AA55" s="17"/>
      </tp>
      <tp t="e">
        <v>#N/A</v>
        <stp/>
        <stp>BDH|13232886378922912953</stp>
        <tr r="D72" s="17"/>
      </tp>
      <tp t="e">
        <v>#N/A</v>
        <stp/>
        <stp>BDH|10094766758174146114</stp>
        <tr r="F83" s="24"/>
      </tp>
      <tp t="e">
        <v>#N/A</v>
        <stp/>
        <stp>BDH|10157004548197046479</stp>
        <tr r="S24" s="5"/>
      </tp>
      <tp t="e">
        <v>#N/A</v>
        <stp/>
        <stp>BDH|16001349931025840430</stp>
        <tr r="W31" s="26"/>
        <tr r="T14" s="9"/>
      </tp>
      <tp t="e">
        <v>#N/A</v>
        <stp/>
        <stp>BDH|17126412614387892227</stp>
        <tr r="M139" s="18"/>
      </tp>
      <tp t="e">
        <v>#N/A</v>
        <stp/>
        <stp>BDH|14015179457441612680</stp>
        <tr r="U37" s="21"/>
        <tr r="U24" s="3"/>
      </tp>
      <tp t="e">
        <v>#N/A</v>
        <stp/>
        <stp>BDH|12003393222692119648</stp>
        <tr r="P27" s="22"/>
      </tp>
      <tp t="e">
        <v>#N/A</v>
        <stp/>
        <stp>BDH|14475412101661861629</stp>
        <tr r="J15" s="14"/>
      </tp>
      <tp t="e">
        <v>#N/A</v>
        <stp/>
        <stp>BDH|17023199627964888789</stp>
        <tr r="I138" s="18"/>
      </tp>
      <tp t="e">
        <v>#N/A</v>
        <stp/>
        <stp>BDH|15645367439091652315</stp>
        <tr r="P74" s="17"/>
      </tp>
      <tp t="e">
        <v>#N/A</v>
        <stp/>
        <stp>BDH|10836415018041815374</stp>
        <tr r="Y36" s="22"/>
      </tp>
      <tp t="e">
        <v>#N/A</v>
        <stp/>
        <stp>BDH|14692321657036827359</stp>
        <tr r="R17" s="22"/>
      </tp>
      <tp t="e">
        <v>#N/A</v>
        <stp/>
        <stp>BDH|16880150166662541408</stp>
        <tr r="I77" s="24"/>
      </tp>
      <tp t="e">
        <v>#N/A</v>
        <stp/>
        <stp>BDH|14318744047625760594</stp>
        <tr r="AA49" s="17"/>
      </tp>
      <tp t="e">
        <v>#N/A</v>
        <stp/>
        <stp>BDH|12403504845091864573</stp>
        <tr r="Y57" s="17"/>
      </tp>
      <tp t="e">
        <v>#N/A</v>
        <stp/>
        <stp>BDH|15175731755516809613</stp>
        <tr r="F26" s="7"/>
      </tp>
      <tp t="e">
        <v>#N/A</v>
        <stp/>
        <stp>BDH|16532132076621904670</stp>
        <tr r="T32" s="17"/>
      </tp>
      <tp t="e">
        <v>#N/A</v>
        <stp/>
        <stp>BDH|14709475223832888752</stp>
        <tr r="P8" s="34"/>
      </tp>
      <tp t="e">
        <v>#N/A</v>
        <stp/>
        <stp>BDH|11936431922175024567</stp>
        <tr r="X94" s="18"/>
      </tp>
      <tp t="e">
        <v>#N/A</v>
        <stp/>
        <stp>BDH|15715144636570238095</stp>
        <tr r="G20" s="27"/>
      </tp>
      <tp t="e">
        <v>#N/A</v>
        <stp/>
        <stp>BDH|11977153876765137556</stp>
        <tr r="X23" s="13"/>
      </tp>
      <tp t="e">
        <v>#N/A</v>
        <stp/>
        <stp>BDH|10611465595278296299</stp>
        <tr r="K29" s="4"/>
      </tp>
      <tp t="e">
        <v>#N/A</v>
        <stp/>
        <stp>BDH|12907214317914523249</stp>
        <tr r="G40" s="10"/>
        <tr r="G32" s="11"/>
      </tp>
      <tp t="e">
        <v>#N/A</v>
        <stp/>
        <stp>BDH|16119770079456103700</stp>
        <tr r="C28" s="6"/>
      </tp>
      <tp t="e">
        <v>#N/A</v>
        <stp/>
        <stp>BDH|15761316937494607691</stp>
        <tr r="C44" s="12"/>
      </tp>
      <tp t="e">
        <v>#N/A</v>
        <stp/>
        <stp>BDH|17903067200561157102</stp>
        <tr r="V68" s="10"/>
      </tp>
      <tp t="e">
        <v>#N/A</v>
        <stp/>
        <stp>BDH|17678790464359527802</stp>
        <tr r="H48" s="21"/>
      </tp>
      <tp t="e">
        <v>#N/A</v>
        <stp/>
        <stp>BDH|11688369976672915012</stp>
        <tr r="Q80" s="24"/>
      </tp>
      <tp t="e">
        <v>#N/A</v>
        <stp/>
        <stp>BDH|15269386450464258065</stp>
        <tr r="Y24" s="22"/>
      </tp>
      <tp t="e">
        <v>#N/A</v>
        <stp/>
        <stp>BDH|16364918576585144944</stp>
        <tr r="O62" s="21"/>
      </tp>
      <tp t="e">
        <v>#N/A</v>
        <stp/>
        <stp>BDH|14340333458940935606</stp>
        <tr r="E75" s="17"/>
      </tp>
      <tp t="e">
        <v>#N/A</v>
        <stp/>
        <stp>BDH|10267539370397459143</stp>
        <tr r="H88" s="24"/>
      </tp>
      <tp t="e">
        <v>#N/A</v>
        <stp/>
        <stp>BDH|12477785204919064897</stp>
        <tr r="W13" s="10"/>
      </tp>
      <tp t="e">
        <v>#N/A</v>
        <stp/>
        <stp>BDH|17546714695704268928</stp>
        <tr r="G40" s="24"/>
      </tp>
      <tp t="e">
        <v>#N/A</v>
        <stp/>
        <stp>BDH|15038465147299150818</stp>
        <tr r="W70" s="10"/>
        <tr r="W62" s="11"/>
        <tr r="W20" s="7"/>
      </tp>
      <tp t="e">
        <v>#N/A</v>
        <stp/>
        <stp>BDH|16436338114310670047</stp>
        <tr r="V12" s="25"/>
      </tp>
      <tp t="e">
        <v>#N/A</v>
        <stp/>
        <stp>BDH|18304590196997939744</stp>
        <tr r="V23" s="5"/>
        <tr r="V23" s="9"/>
      </tp>
      <tp t="e">
        <v>#N/A</v>
        <stp/>
        <stp>BDH|14848628815081907671</stp>
        <tr r="P67" s="24"/>
      </tp>
      <tp t="e">
        <v>#N/A</v>
        <stp/>
        <stp>BDH|15396057071251189779</stp>
        <tr r="W67" s="12"/>
      </tp>
      <tp t="e">
        <v>#N/A</v>
        <stp/>
        <stp>BDH|13064291585965410892</stp>
        <tr r="X47" s="17"/>
      </tp>
      <tp t="e">
        <v>#N/A</v>
        <stp/>
        <stp>BDH|12428141372327286714</stp>
        <tr r="Q26" s="17"/>
      </tp>
      <tp t="e">
        <v>#N/A</v>
        <stp/>
        <stp>BDH|15246625857553783110</stp>
        <tr r="X52" s="21"/>
      </tp>
      <tp t="e">
        <v>#N/A</v>
        <stp/>
        <stp>BDH|13176857743799793212</stp>
        <tr r="W102" s="18"/>
      </tp>
      <tp t="e">
        <v>#N/A</v>
        <stp/>
        <stp>BDH|13448725506474599440</stp>
        <tr r="D89" s="18"/>
      </tp>
      <tp t="e">
        <v>#N/A</v>
        <stp/>
        <stp>BDH|17389449764818222908</stp>
        <tr r="E12" s="20"/>
      </tp>
      <tp t="e">
        <v>#N/A</v>
        <stp/>
        <stp>BDH|17249237701074932583</stp>
        <tr r="W20" s="29"/>
      </tp>
      <tp t="e">
        <v>#N/A</v>
        <stp/>
        <stp>BDH|13365314438255924221</stp>
        <tr r="Q93" s="17"/>
      </tp>
      <tp t="e">
        <v>#N/A</v>
        <stp/>
        <stp>BDH|10055904475488371270</stp>
        <tr r="Q8" s="8"/>
      </tp>
      <tp t="e">
        <v>#N/A</v>
        <stp/>
        <stp>BDH|12226353105707721246</stp>
        <tr r="P7" s="10"/>
      </tp>
      <tp t="e">
        <v>#N/A</v>
        <stp/>
        <stp>BDH|12009120752255714762</stp>
        <tr r="E13" s="9"/>
      </tp>
      <tp t="e">
        <v>#N/A</v>
        <stp/>
        <stp>BDH|11684039394784106817</stp>
        <tr r="U50" s="21"/>
      </tp>
      <tp t="e">
        <v>#N/A</v>
        <stp/>
        <stp>BDH|15378808141865539865</stp>
        <tr r="Y24" s="17"/>
      </tp>
      <tp t="e">
        <v>#N/A</v>
        <stp/>
        <stp>BDH|12762087789548070672</stp>
        <tr r="D56" s="6"/>
      </tp>
      <tp t="e">
        <v>#N/A</v>
        <stp/>
        <stp>BDH|12094287479082798176</stp>
        <tr r="J83" s="12"/>
      </tp>
      <tp t="e">
        <v>#N/A</v>
        <stp/>
        <stp>BDH|16835140905777814405</stp>
        <tr r="H60" s="24"/>
      </tp>
      <tp t="e">
        <v>#N/A</v>
        <stp/>
        <stp>BDH|13861079333026465299</stp>
        <tr r="G75" s="17"/>
        <tr r="D9" s="5"/>
        <tr r="D9" s="9"/>
      </tp>
      <tp t="e">
        <v>#N/A</v>
        <stp/>
        <stp>BDH|13323405325543200252</stp>
        <tr r="R22" s="18"/>
      </tp>
      <tp t="e">
        <v>#N/A</v>
        <stp/>
        <stp>BDH|16491249103542230206</stp>
        <tr r="G10" s="12"/>
      </tp>
      <tp t="e">
        <v>#N/A</v>
        <stp/>
        <stp>BDH|14012991298607801786</stp>
        <tr r="E38" s="6"/>
      </tp>
      <tp t="e">
        <v>#N/A</v>
        <stp/>
        <stp>BDH|11518148122083479569</stp>
        <tr r="P57" s="24"/>
      </tp>
      <tp t="e">
        <v>#N/A</v>
        <stp/>
        <stp>BDH|12520784899680046853</stp>
        <tr r="H41" s="17"/>
        <tr r="H9" s="25"/>
      </tp>
      <tp t="e">
        <v>#N/A</v>
        <stp/>
        <stp>BDH|14338934736392115862</stp>
        <tr r="AA66" s="17"/>
        <tr r="AA18" s="3"/>
      </tp>
      <tp t="e">
        <v>#N/A</v>
        <stp/>
        <stp>BDH|14579769602071704678</stp>
        <tr r="W26" s="29"/>
      </tp>
      <tp t="e">
        <v>#N/A</v>
        <stp/>
        <stp>BDH|13054136567072134246</stp>
        <tr r="C20" s="9"/>
      </tp>
      <tp t="e">
        <v>#N/A</v>
        <stp/>
        <stp>BDH|16878111925355453495</stp>
        <tr r="C9" s="18"/>
      </tp>
      <tp t="e">
        <v>#N/A</v>
        <stp/>
        <stp>BDH|17116029962811369433</stp>
        <tr r="I68" s="17"/>
      </tp>
      <tp t="e">
        <v>#N/A</v>
        <stp/>
        <stp>BDH|15853794461406186608</stp>
        <tr r="L43" s="10"/>
        <tr r="L35" s="11"/>
      </tp>
      <tp t="e">
        <v>#N/A</v>
        <stp/>
        <stp>BDH|16208205230173267016</stp>
        <tr r="Q42" s="18"/>
      </tp>
      <tp t="e">
        <v>#N/A</v>
        <stp/>
        <stp>BDH|11568514689011502989</stp>
        <tr r="S29" s="29"/>
        <tr r="S7" s="29"/>
      </tp>
      <tp t="e">
        <v>#N/A</v>
        <stp/>
        <stp>BDH|11575874546690487906</stp>
        <tr r="Z17" s="24"/>
      </tp>
      <tp t="e">
        <v>#N/A</v>
        <stp/>
        <stp>BDH|11002530873044325339</stp>
        <tr r="Z11" s="12"/>
      </tp>
      <tp t="e">
        <v>#N/A</v>
        <stp/>
        <stp>BDH|13694215847050308137</stp>
        <tr r="Y25" s="10"/>
        <tr r="AA31" s="13"/>
      </tp>
      <tp t="e">
        <v>#N/A</v>
        <stp/>
        <stp>BDH|13071705646185101179</stp>
        <tr r="L28" s="6"/>
      </tp>
      <tp t="e">
        <v>#N/A</v>
        <stp/>
        <stp>BDH|13675947495431097677</stp>
        <tr r="D24" s="21"/>
      </tp>
      <tp t="e">
        <v>#N/A</v>
        <stp/>
        <stp>BDH|16561016608200502298</stp>
        <tr r="E30" s="34"/>
      </tp>
      <tp t="e">
        <v>#N/A</v>
        <stp/>
        <stp>BDH|12306569361193442605</stp>
        <tr r="N43" s="6"/>
      </tp>
      <tp t="e">
        <v>#N/A</v>
        <stp/>
        <stp>BDH|12841913989401326639</stp>
        <tr r="U84" s="24"/>
      </tp>
      <tp t="e">
        <v>#N/A</v>
        <stp/>
        <stp>BDH|10468248716290417725</stp>
        <tr r="R9" s="26"/>
      </tp>
      <tp t="e">
        <v>#N/A</v>
        <stp/>
        <stp>BDH|10225000991984524961</stp>
        <tr r="K70" s="10"/>
        <tr r="K62" s="11"/>
        <tr r="K20" s="7"/>
      </tp>
      <tp t="e">
        <v>#N/A</v>
        <stp/>
        <stp>BDH|13543902431679476408</stp>
        <tr r="Q43" s="12"/>
      </tp>
      <tp t="e">
        <v>#N/A</v>
        <stp/>
        <stp>BDH|10648171066896472535</stp>
        <tr r="U141" s="18"/>
      </tp>
      <tp t="e">
        <v>#N/A</v>
        <stp/>
        <stp>BDH|15367130209411986105</stp>
        <tr r="R68" s="24"/>
      </tp>
      <tp t="e">
        <v>#N/A</v>
        <stp/>
        <stp>BDH|16409435463078296862</stp>
        <tr r="Q30" s="25"/>
        <tr r="Q16" s="27"/>
      </tp>
      <tp t="e">
        <v>#N/A</v>
        <stp/>
        <stp>BDH|14020168411253078371</stp>
        <tr r="X23" s="6"/>
      </tp>
      <tp t="e">
        <v>#N/A</v>
        <stp/>
        <stp>BDH|11508622626509814898</stp>
        <tr r="I56" s="12"/>
      </tp>
      <tp t="e">
        <v>#N/A</v>
        <stp/>
        <stp>BDH|10341278117000425770</stp>
        <tr r="N27" s="24"/>
      </tp>
      <tp t="e">
        <v>#N/A</v>
        <stp/>
        <stp>BDH|12550040174856073754</stp>
        <tr r="W7" s="21"/>
      </tp>
      <tp t="e">
        <v>#N/A</v>
        <stp/>
        <stp>BDH|15131366233427770638</stp>
        <tr r="D65" s="18"/>
      </tp>
      <tp t="e">
        <v>#N/A</v>
        <stp/>
        <stp>BDH|15740876996721485120</stp>
        <tr r="L22" s="10"/>
      </tp>
      <tp t="e">
        <v>#N/A</v>
        <stp/>
        <stp>BDH|13352628909627924615</stp>
        <tr r="L50" s="4"/>
      </tp>
      <tp t="e">
        <v>#N/A</v>
        <stp/>
        <stp>BDH|10392120544358159943</stp>
        <tr r="E26" s="25"/>
        <tr r="E12" s="27"/>
      </tp>
      <tp t="e">
        <v>#N/A</v>
        <stp/>
        <stp>BDH|11695465525703747023</stp>
        <tr r="Y46" s="21"/>
      </tp>
      <tp t="e">
        <v>#N/A</v>
        <stp/>
        <stp>BDH|12112632637477426416</stp>
        <tr r="L61" s="11"/>
      </tp>
      <tp t="e">
        <v>#N/A</v>
        <stp/>
        <stp>BDH|13830301279352613173</stp>
        <tr r="F52" s="10"/>
        <tr r="F44" s="11"/>
        <tr r="F15" s="7"/>
      </tp>
      <tp t="e">
        <v>#N/A</v>
        <stp/>
        <stp>BDH|16550308143972550732</stp>
        <tr r="S24" s="12"/>
      </tp>
      <tp t="e">
        <v>#N/A</v>
        <stp/>
        <stp>BDH|13338489564497994264</stp>
        <tr r="L28" s="26"/>
      </tp>
      <tp t="e">
        <v>#N/A</v>
        <stp/>
        <stp>BDH|14387590345989611892</stp>
        <tr r="J47" s="21"/>
      </tp>
      <tp t="e">
        <v>#N/A</v>
        <stp/>
        <stp>BDH|11864894755328639020</stp>
        <tr r="X84" s="12"/>
      </tp>
      <tp t="e">
        <v>#N/A</v>
        <stp/>
        <stp>BDH|16007833246207038953</stp>
        <tr r="I12" s="24"/>
      </tp>
      <tp t="e">
        <v>#N/A</v>
        <stp/>
        <stp>BDH|16138299008040421049</stp>
        <tr r="H22" s="27"/>
      </tp>
      <tp t="e">
        <v>#N/A</v>
        <stp/>
        <stp>BDH|12216556251670576637</stp>
        <tr r="K23" s="24"/>
      </tp>
      <tp t="e">
        <v>#N/A</v>
        <stp/>
        <stp>BDH|14385469863746229445</stp>
        <tr r="G47" s="34"/>
      </tp>
      <tp t="e">
        <v>#N/A</v>
        <stp/>
        <stp>BDH|13625561028686076682</stp>
        <tr r="X56" s="13"/>
      </tp>
      <tp t="e">
        <v>#N/A</v>
        <stp/>
        <stp>BDH|17498758370383014013</stp>
        <tr r="Y27" s="10"/>
        <tr r="AA33" s="13"/>
      </tp>
      <tp t="e">
        <v>#N/A</v>
        <stp/>
        <stp>BDH|15720208860872359747</stp>
        <tr r="D43" s="22"/>
      </tp>
      <tp t="e">
        <v>#N/A</v>
        <stp/>
        <stp>BDH|11095691014174590680</stp>
        <tr r="H138" s="18"/>
      </tp>
      <tp t="e">
        <v>#N/A</v>
        <stp/>
        <stp>BDH|15927818842598312599</stp>
        <tr r="W43" s="4"/>
      </tp>
      <tp t="e">
        <v>#N/A</v>
        <stp/>
        <stp>BDH|12437155744373371065</stp>
        <tr r="R55" s="18"/>
      </tp>
      <tp t="e">
        <v>#N/A</v>
        <stp/>
        <stp>BDH|11565655510203150113</stp>
        <tr r="T10" s="21"/>
      </tp>
      <tp t="e">
        <v>#N/A</v>
        <stp/>
        <stp>BDH|17320965818893982840</stp>
        <tr r="V52" s="24"/>
      </tp>
      <tp t="e">
        <v>#N/A</v>
        <stp/>
        <stp>BDH|15626953791551606043</stp>
        <tr r="O63" s="21"/>
        <tr r="M23" s="7"/>
      </tp>
      <tp t="e">
        <v>#N/A</v>
        <stp/>
        <stp>BDH|10306057471112159165</stp>
        <tr r="W32" s="26"/>
      </tp>
      <tp t="e">
        <v>#N/A</v>
        <stp/>
        <stp>BDH|16003370342480072555</stp>
        <tr r="N11" s="22"/>
      </tp>
      <tp t="e">
        <v>#N/A</v>
        <stp/>
        <stp>BDH|16874826295582944166</stp>
        <tr r="P24" s="21"/>
      </tp>
      <tp t="e">
        <v>#N/A</v>
        <stp/>
        <stp>BDH|11946330267909431998</stp>
        <tr r="V59" s="12"/>
      </tp>
      <tp t="e">
        <v>#N/A</v>
        <stp/>
        <stp>BDH|11169328091798071728</stp>
        <tr r="U51" s="17"/>
        <tr r="U17" s="3"/>
      </tp>
      <tp t="e">
        <v>#N/A</v>
        <stp/>
        <stp>BDH|10322186577834599690</stp>
        <tr r="Y24" s="12"/>
      </tp>
      <tp t="e">
        <v>#N/A</v>
        <stp/>
        <stp>BDH|13795723262136090077</stp>
        <tr r="U18" s="9"/>
      </tp>
      <tp t="e">
        <v>#N/A</v>
        <stp/>
        <stp>BDH|14875000568851585752</stp>
        <tr r="L24" s="18"/>
      </tp>
      <tp t="e">
        <v>#N/A</v>
        <stp/>
        <stp>BDH|13456628305905469448</stp>
        <tr r="P10" s="13"/>
      </tp>
      <tp t="e">
        <v>#N/A</v>
        <stp/>
        <stp>BDH|13267723767310658629</stp>
        <tr r="H35" s="26"/>
      </tp>
      <tp t="e">
        <v>#N/A</v>
        <stp/>
        <stp>BDH|17908525518452329539</stp>
        <tr r="I90" s="17"/>
      </tp>
      <tp t="e">
        <v>#N/A</v>
        <stp/>
        <stp>BDH|15555658305393441422</stp>
        <tr r="J41" s="24"/>
      </tp>
      <tp t="e">
        <v>#N/A</v>
        <stp/>
        <stp>BDH|14652347235420115058</stp>
        <tr r="K23" s="6"/>
      </tp>
      <tp t="e">
        <v>#N/A</v>
        <stp/>
        <stp>BDH|14859271971925900042</stp>
        <tr r="R21" s="21"/>
      </tp>
      <tp t="e">
        <v>#N/A</v>
        <stp/>
        <stp>BDH|16798380435904091697</stp>
        <tr r="T17" s="6"/>
      </tp>
      <tp t="e">
        <v>#N/A</v>
        <stp/>
        <stp>BDH|15579054523223171018</stp>
        <tr r="L26" s="26"/>
      </tp>
      <tp t="e">
        <v>#N/A</v>
        <stp/>
        <stp>BDH|17752550571136186712</stp>
        <tr r="G39" s="22"/>
      </tp>
      <tp t="e">
        <v>#N/A</v>
        <stp/>
        <stp>BDH|10260608619241157294</stp>
        <tr r="T17" s="30"/>
      </tp>
      <tp t="e">
        <v>#N/A</v>
        <stp/>
        <stp>BDH|11397131927595372377</stp>
        <tr r="D42" s="10"/>
        <tr r="D34" s="11"/>
      </tp>
      <tp t="e">
        <v>#N/A</v>
        <stp/>
        <stp>BDH|11272441477834735250</stp>
        <tr r="S39" s="24"/>
      </tp>
      <tp t="e">
        <v>#N/A</v>
        <stp/>
        <stp>BDH|12970462992138817369</stp>
        <tr r="X15" s="17"/>
        <tr r="X18" s="28"/>
      </tp>
      <tp t="e">
        <v>#N/A</v>
        <stp/>
        <stp>BDH|17976129066477700396</stp>
        <tr r="Z38" s="17"/>
      </tp>
      <tp t="e">
        <v>#N/A</v>
        <stp/>
        <stp>BDH|10222075126525892387</stp>
        <tr r="T28" s="22"/>
      </tp>
      <tp t="e">
        <v>#N/A</v>
        <stp/>
        <stp>BDH|13794644570941008706</stp>
        <tr r="I12" s="7"/>
      </tp>
      <tp t="e">
        <v>#N/A</v>
        <stp/>
        <stp>BDH|10311083892684838925</stp>
        <tr r="AA37" s="24"/>
      </tp>
      <tp t="e">
        <v>#N/A</v>
        <stp/>
        <stp>BDH|18402775674954593817</stp>
        <tr r="T8" s="10"/>
      </tp>
      <tp t="e">
        <v>#N/A</v>
        <stp/>
        <stp>BDH|10325173272136198448</stp>
        <tr r="G21" s="30"/>
      </tp>
      <tp t="e">
        <v>#N/A</v>
        <stp/>
        <stp>BDH|11347998119864425947</stp>
        <tr r="G35" s="14"/>
      </tp>
      <tp t="e">
        <v>#N/A</v>
        <stp/>
        <stp>BDH|10479263267265261540</stp>
        <tr r="J95" s="18"/>
      </tp>
      <tp t="e">
        <v>#N/A</v>
        <stp/>
        <stp>BDH|18118878971021214268</stp>
        <tr r="G120" s="18"/>
      </tp>
      <tp t="e">
        <v>#N/A</v>
        <stp/>
        <stp>BDH|11542361155644744727</stp>
        <tr r="C104" s="18"/>
      </tp>
      <tp t="e">
        <v>#N/A</v>
        <stp/>
        <stp>BDH|13235596870110074584</stp>
        <tr r="G49" s="12"/>
      </tp>
      <tp t="e">
        <v>#N/A</v>
        <stp/>
        <stp>BDH|13679697700646882749</stp>
        <tr r="X44" s="12"/>
      </tp>
      <tp t="e">
        <v>#N/A</v>
        <stp/>
        <stp>BDH|11825695143474959381</stp>
        <tr r="S7" s="28"/>
      </tp>
      <tp t="e">
        <v>#N/A</v>
        <stp/>
        <stp>BDH|17993688674311362353</stp>
        <tr r="I21" s="3"/>
      </tp>
      <tp t="e">
        <v>#N/A</v>
        <stp/>
        <stp>BDH|12416472126666341656</stp>
        <tr r="F63" s="21"/>
        <tr r="D23" s="7"/>
      </tp>
      <tp t="e">
        <v>#N/A</v>
        <stp/>
        <stp>BDH|11472751354361038660</stp>
        <tr r="L127" s="18"/>
      </tp>
      <tp t="e">
        <v>#N/A</v>
        <stp/>
        <stp>BDH|17202941196123618057</stp>
        <tr r="V32" s="6"/>
      </tp>
      <tp t="e">
        <v>#N/A</v>
        <stp/>
        <stp>BDH|15221068642585104049</stp>
        <tr r="Y106" s="18"/>
      </tp>
      <tp t="e">
        <v>#N/A</v>
        <stp/>
        <stp>BDH|17188355724921793348</stp>
        <tr r="S50" s="12"/>
      </tp>
      <tp t="e">
        <v>#N/A</v>
        <stp/>
        <stp>BDH|14041368835244934498</stp>
        <tr r="V38" s="25"/>
      </tp>
      <tp t="e">
        <v>#N/A</v>
        <stp/>
        <stp>BDH|14315245681069103341</stp>
        <tr r="D24" s="17"/>
      </tp>
      <tp t="e">
        <v>#N/A</v>
        <stp/>
        <stp>BDH|16454087566721046595</stp>
        <tr r="L52" s="12"/>
      </tp>
      <tp t="e">
        <v>#N/A</v>
        <stp/>
        <stp>BDH|14940331364655871050</stp>
        <tr r="K7" s="24"/>
      </tp>
      <tp t="e">
        <v>#N/A</v>
        <stp/>
        <stp>BDH|15405942652349710464</stp>
        <tr r="X121" s="18"/>
      </tp>
      <tp t="e">
        <v>#N/A</v>
        <stp/>
        <stp>BDH|11500770367367789300</stp>
        <tr r="Y81" s="12"/>
      </tp>
      <tp t="e">
        <v>#N/A</v>
        <stp/>
        <stp>BDH|17744446961936502750</stp>
        <tr r="P94" s="18"/>
      </tp>
      <tp t="e">
        <v>#N/A</v>
        <stp/>
        <stp>BDH|11362123072481833299</stp>
        <tr r="Q103" s="18"/>
      </tp>
      <tp t="e">
        <v>#N/A</v>
        <stp/>
        <stp>BDH|13701024171931308156</stp>
        <tr r="J97" s="18"/>
        <tr r="J6" s="20"/>
      </tp>
      <tp t="e">
        <v>#N/A</v>
        <stp/>
        <stp>BDH|10871112068411423278</stp>
        <tr r="G11" s="30"/>
      </tp>
      <tp t="e">
        <v>#N/A</v>
        <stp/>
        <stp>BDH|11001582301073318389</stp>
        <tr r="W34" s="10"/>
        <tr r="W26" s="11"/>
      </tp>
      <tp t="e">
        <v>#N/A</v>
        <stp/>
        <stp>BDH|15319705290186588944</stp>
        <tr r="S23" s="6"/>
      </tp>
      <tp t="e">
        <v>#N/A</v>
        <stp/>
        <stp>BDH|10066482253357973209</stp>
        <tr r="M25" s="13"/>
      </tp>
      <tp t="e">
        <v>#N/A</v>
        <stp/>
        <stp>BDH|14896770682027777886</stp>
        <tr r="U50" s="17"/>
      </tp>
      <tp t="e">
        <v>#N/A</v>
        <stp/>
        <stp>BDH|18282537882484702563</stp>
        <tr r="J11" s="29"/>
      </tp>
      <tp t="e">
        <v>#N/A</v>
        <stp/>
        <stp>BDH|13259722926124190657</stp>
        <tr r="V18" s="29"/>
        <tr r="V41" s="29"/>
      </tp>
      <tp t="e">
        <v>#N/A</v>
        <stp/>
        <stp>BDH|13493052023487678267</stp>
        <tr r="T54" s="12"/>
      </tp>
      <tp t="e">
        <v>#N/A</v>
        <stp/>
        <stp>BDH|14785161855287479322</stp>
        <tr r="M27" s="22"/>
      </tp>
      <tp t="e">
        <v>#N/A</v>
        <stp/>
        <stp>BDH|17695464405314408330</stp>
        <tr r="W19" s="6"/>
      </tp>
      <tp t="e">
        <v>#N/A</v>
        <stp/>
        <stp>BDH|11114220021471984490</stp>
        <tr r="R93" s="17"/>
      </tp>
      <tp t="e">
        <v>#N/A</v>
        <stp/>
        <stp>BDH|15078806017470614838</stp>
        <tr r="P60" s="17"/>
      </tp>
      <tp t="e">
        <v>#N/A</v>
        <stp/>
        <stp>BDH|14926632978709154811</stp>
        <tr r="F30" s="25"/>
        <tr r="F16" s="27"/>
      </tp>
      <tp t="e">
        <v>#N/A</v>
        <stp/>
        <stp>BDH|15264866296063424340</stp>
        <tr r="I20" s="14"/>
      </tp>
      <tp t="e">
        <v>#N/A</v>
        <stp/>
        <stp>BDH|16698135880432787902</stp>
        <tr r="R42" s="6"/>
      </tp>
      <tp t="e">
        <v>#N/A</v>
        <stp/>
        <stp>BDH|16546690130025602286</stp>
        <tr r="X33" s="10"/>
        <tr r="X25" s="11"/>
      </tp>
      <tp t="e">
        <v>#N/A</v>
        <stp/>
        <stp>BDH|12386371052888158856</stp>
        <tr r="S35" s="25"/>
      </tp>
      <tp t="e">
        <v>#N/A</v>
        <stp/>
        <stp>BDH|14193004456812045753</stp>
        <tr r="M31" s="25"/>
        <tr r="J14" s="5"/>
        <tr r="M17" s="27"/>
      </tp>
      <tp t="e">
        <v>#N/A</v>
        <stp/>
        <stp>BDH|15311442700320349565</stp>
        <tr r="T15" s="22"/>
      </tp>
      <tp t="e">
        <v>#N/A</v>
        <stp/>
        <stp>BDH|12115535946171274643</stp>
        <tr r="O9" s="30"/>
      </tp>
      <tp t="e">
        <v>#N/A</v>
        <stp/>
        <stp>BDH|12590184649067043468</stp>
        <tr r="E36" s="4"/>
      </tp>
      <tp t="e">
        <v>#N/A</v>
        <stp/>
        <stp>BDH|10234328777655257578</stp>
        <tr r="V20" s="23"/>
      </tp>
      <tp t="e">
        <v>#N/A</v>
        <stp/>
        <stp>BDH|14890351809610200349</stp>
        <tr r="S16" s="14"/>
      </tp>
      <tp t="e">
        <v>#N/A</v>
        <stp/>
        <stp>BDH|13369498337710991067</stp>
        <tr r="C25" s="5"/>
      </tp>
      <tp t="e">
        <v>#N/A</v>
        <stp/>
        <stp>BDH|17496320427402030039</stp>
        <tr r="H41" s="34"/>
      </tp>
      <tp t="e">
        <v>#N/A</v>
        <stp/>
        <stp>BDH|14211181638697665566</stp>
        <tr r="C8" s="11"/>
      </tp>
      <tp t="e">
        <v>#N/A</v>
        <stp/>
        <stp>BDH|15335150902659530933</stp>
        <tr r="T21" s="30"/>
      </tp>
      <tp t="e">
        <v>#N/A</v>
        <stp/>
        <stp>BDH|12560444314332348140</stp>
        <tr r="K16" s="12"/>
      </tp>
      <tp t="e">
        <v>#N/A</v>
        <stp/>
        <stp>BDH|11068976589074901055</stp>
        <tr r="H24" s="29"/>
      </tp>
      <tp t="e">
        <v>#N/A</v>
        <stp/>
        <stp>BDH|10395045302183288750</stp>
        <tr r="D25" s="5"/>
      </tp>
      <tp t="e">
        <v>#N/A</v>
        <stp/>
        <stp>BDH|12353356466092348112</stp>
        <tr r="V31" s="22"/>
      </tp>
      <tp t="e">
        <v>#N/A</v>
        <stp/>
        <stp>BDH|13407558729180388094</stp>
        <tr r="R59" s="21"/>
        <tr r="P55" s="11"/>
      </tp>
      <tp t="e">
        <v>#N/A</v>
        <stp/>
        <stp>BDH|12166401965102509632</stp>
        <tr r="T20" s="18"/>
      </tp>
      <tp t="e">
        <v>#N/A</v>
        <stp/>
        <stp>BDH|18004641972498264567</stp>
        <tr r="Z25" s="25"/>
        <tr r="Z10" s="27"/>
      </tp>
      <tp t="e">
        <v>#N/A</v>
        <stp/>
        <stp>BDH|11984286664599304830</stp>
        <tr r="U7" s="24"/>
      </tp>
      <tp t="e">
        <v>#N/A</v>
        <stp/>
        <stp>BDH|15170031667374360338</stp>
        <tr r="V43" s="18"/>
      </tp>
      <tp t="e">
        <v>#N/A</v>
        <stp/>
        <stp>BDH|11524614513346797457</stp>
        <tr r="D34" s="26"/>
      </tp>
      <tp t="e">
        <v>#N/A</v>
        <stp/>
        <stp>BDH|10387875483615385119</stp>
        <tr r="W33" s="12"/>
      </tp>
      <tp t="e">
        <v>#N/A</v>
        <stp/>
        <stp>BDH|13897183106436704044</stp>
        <tr r="Z14" s="20"/>
      </tp>
      <tp t="e">
        <v>#N/A</v>
        <stp/>
        <stp>BDH|18410607283690187231</stp>
        <tr r="N36" s="34"/>
      </tp>
      <tp t="e">
        <v>#N/A</v>
        <stp/>
        <stp>BDH|10231042105971023563</stp>
        <tr r="Z26" s="34"/>
      </tp>
      <tp t="e">
        <v>#N/A</v>
        <stp/>
        <stp>BDH|17927557772947244691</stp>
        <tr r="E20" s="29"/>
      </tp>
      <tp t="e">
        <v>#N/A</v>
        <stp/>
        <stp>BDH|15953364255064902369</stp>
        <tr r="S30" s="10"/>
        <tr r="U36" s="13"/>
      </tp>
      <tp t="e">
        <v>#N/A</v>
        <stp/>
        <stp>BDH|15317177861993218520</stp>
        <tr r="AA31" s="21"/>
      </tp>
      <tp t="e">
        <v>#N/A</v>
        <stp/>
        <stp>BDH|11239827442480295957</stp>
        <tr r="P56" s="12"/>
      </tp>
      <tp t="e">
        <v>#N/A</v>
        <stp/>
        <stp>BDH|15596146356962692742</stp>
        <tr r="O23" s="5"/>
        <tr r="O23" s="9"/>
      </tp>
      <tp t="e">
        <v>#N/A</v>
        <stp/>
        <stp>BDH|16623047321948717810</stp>
        <tr r="M31" s="18"/>
      </tp>
      <tp t="e">
        <v>#N/A</v>
        <stp/>
        <stp>BDH|16907778649753347216</stp>
        <tr r="M105" s="18"/>
      </tp>
      <tp t="e">
        <v>#N/A</v>
        <stp/>
        <stp>BDH|15628023251576908298</stp>
        <tr r="Z81" s="18"/>
      </tp>
      <tp t="e">
        <v>#N/A</v>
        <stp/>
        <stp>BDH|10035265617790349779</stp>
        <tr r="C25" s="13"/>
      </tp>
      <tp t="e">
        <v>#N/A</v>
        <stp/>
        <stp>BDH|16460800740298373620</stp>
        <tr r="M44" s="17"/>
      </tp>
      <tp t="e">
        <v>#N/A</v>
        <stp/>
        <stp>BDH|13340922597441396608</stp>
        <tr r="L42" s="34"/>
      </tp>
      <tp t="e">
        <v>#N/A</v>
        <stp/>
        <stp>BDH|16265672062905185736</stp>
        <tr r="AA16" s="12"/>
      </tp>
      <tp t="e">
        <v>#N/A</v>
        <stp/>
        <stp>BDH|17015421207130476745</stp>
        <tr r="Y32" s="10"/>
        <tr r="Y24" s="11"/>
      </tp>
      <tp t="e">
        <v>#N/A</v>
        <stp/>
        <stp>BDH|17628461092498313645</stp>
        <tr r="Q7" s="24"/>
      </tp>
      <tp t="e">
        <v>#N/A</v>
        <stp/>
        <stp>BDH|11624116745696152665</stp>
        <tr r="G30" s="5"/>
        <tr r="G30" s="9"/>
      </tp>
      <tp t="e">
        <v>#N/A</v>
        <stp/>
        <stp>BDH|17494492451796184485</stp>
        <tr r="P54" s="17"/>
      </tp>
      <tp t="e">
        <v>#N/A</v>
        <stp/>
        <stp>BDH|16202514598588769696</stp>
        <tr r="R41" s="34"/>
      </tp>
      <tp t="e">
        <v>#N/A</v>
        <stp/>
        <stp>BDH|11135294163414805562</stp>
        <tr r="N17" s="29"/>
        <tr r="N40" s="29"/>
      </tp>
      <tp t="e">
        <v>#N/A</v>
        <stp/>
        <stp>BDH|11149061822781704672</stp>
        <tr r="T13" s="29"/>
        <tr r="T22" s="29"/>
        <tr r="T36" s="29"/>
      </tp>
      <tp t="e">
        <v>#N/A</v>
        <stp/>
        <stp>BDH|15943331855021344691</stp>
        <tr r="U9" s="3"/>
        <tr r="S51" s="10"/>
        <tr r="S43" s="11"/>
        <tr r="S14" s="7"/>
      </tp>
      <tp t="e">
        <v>#N/A</v>
        <stp/>
        <stp>BDH|16301847958607884829</stp>
        <tr r="S19" s="12"/>
      </tp>
      <tp t="e">
        <v>#N/A</v>
        <stp/>
        <stp>BDH|17351789552834852541</stp>
        <tr r="L18" s="6"/>
      </tp>
      <tp t="e">
        <v>#N/A</v>
        <stp/>
        <stp>BDH|14481060320341036378</stp>
        <tr r="P139" s="18"/>
      </tp>
      <tp t="e">
        <v>#N/A</v>
        <stp/>
        <stp>BDH|16758961641796617932</stp>
        <tr r="X15" s="22"/>
      </tp>
      <tp t="e">
        <v>#N/A</v>
        <stp/>
        <stp>BDH|17590774539455965278</stp>
        <tr r="N20" s="29"/>
      </tp>
      <tp t="e">
        <v>#N/A</v>
        <stp/>
        <stp>BDH|17803315029176149446</stp>
        <tr r="Q29" s="10"/>
        <tr r="S35" s="13"/>
      </tp>
      <tp t="e">
        <v>#N/A</v>
        <stp/>
        <stp>BDH|15457537305396272250</stp>
        <tr r="H7" s="10"/>
      </tp>
      <tp t="e">
        <v>#N/A</v>
        <stp/>
        <stp>BDH|14526138813719021909</stp>
        <tr r="W12" s="12"/>
      </tp>
      <tp t="e">
        <v>#N/A</v>
        <stp/>
        <stp>BDH|14950861845375801971</stp>
        <tr r="U87" s="18"/>
      </tp>
      <tp t="e">
        <v>#N/A</v>
        <stp/>
        <stp>BDH|10884735925359925829</stp>
        <tr r="E20" s="17"/>
      </tp>
      <tp t="e">
        <v>#N/A</v>
        <stp/>
        <stp>BDH|14995703256156874429</stp>
        <tr r="Y53" s="17"/>
      </tp>
      <tp t="e">
        <v>#N/A</v>
        <stp/>
        <stp>BDH|14833584522145452237</stp>
        <tr r="E86" s="12"/>
      </tp>
      <tp t="e">
        <v>#N/A</v>
        <stp/>
        <stp>BDH|14811215157901892630</stp>
        <tr r="O93" s="17"/>
      </tp>
      <tp t="e">
        <v>#N/A</v>
        <stp/>
        <stp>BDH|17778818384526392558</stp>
        <tr r="U22" s="6"/>
      </tp>
      <tp t="e">
        <v>#N/A</v>
        <stp/>
        <stp>BDH|13221078781238020701</stp>
        <tr r="E104" s="18"/>
      </tp>
      <tp t="e">
        <v>#N/A</v>
        <stp/>
        <stp>BDH|12713808380713476572</stp>
        <tr r="O17" s="9"/>
      </tp>
      <tp t="e">
        <v>#N/A</v>
        <stp/>
        <stp>BDH|11913791630310586110</stp>
        <tr r="L13" s="10"/>
      </tp>
      <tp t="e">
        <v>#N/A</v>
        <stp/>
        <stp>BDH|13835540217784793787</stp>
        <tr r="N95" s="18"/>
      </tp>
      <tp t="e">
        <v>#N/A</v>
        <stp/>
        <stp>BDH|12113796123943808074</stp>
        <tr r="P121" s="18"/>
      </tp>
      <tp t="e">
        <v>#N/A</v>
        <stp/>
        <stp>BDH|10588954512425474925</stp>
        <tr r="D38" s="18"/>
      </tp>
      <tp t="e">
        <v>#N/A</v>
        <stp/>
        <stp>BDH|13192012549732430195</stp>
        <tr r="W11" s="7"/>
      </tp>
      <tp t="e">
        <v>#N/A</v>
        <stp/>
        <stp>BDH|10396091551959990862</stp>
        <tr r="K6" s="19"/>
        <tr r="K35" s="17"/>
        <tr r="K16" s="3"/>
      </tp>
      <tp t="e">
        <v>#N/A</v>
        <stp/>
        <stp>BDH|18014638696793268032</stp>
        <tr r="C8" s="4"/>
      </tp>
      <tp t="e">
        <v>#N/A</v>
        <stp/>
        <stp>BDH|12129607574374799365</stp>
        <tr r="S17" s="24"/>
      </tp>
      <tp t="e">
        <v>#N/A</v>
        <stp/>
        <stp>BDH|12500127945132367159</stp>
        <tr r="I28" s="34"/>
      </tp>
      <tp t="e">
        <v>#N/A</v>
        <stp/>
        <stp>BDH|16869289052286375353</stp>
        <tr r="M25" s="34"/>
      </tp>
      <tp t="e">
        <v>#N/A</v>
        <stp/>
        <stp>BDH|11952054564850909351</stp>
        <tr r="P44" s="17"/>
      </tp>
      <tp t="e">
        <v>#N/A</v>
        <stp/>
        <stp>BDH|16486125724954193575</stp>
        <tr r="S26" s="6"/>
      </tp>
      <tp t="e">
        <v>#N/A</v>
        <stp/>
        <stp>BDH|12227563462760383516</stp>
        <tr r="L18" s="14"/>
      </tp>
      <tp t="e">
        <v>#N/A</v>
        <stp/>
        <stp>BDH|16282720497434054831</stp>
        <tr r="S7" s="10"/>
      </tp>
      <tp t="e">
        <v>#N/A</v>
        <stp/>
        <stp>BDH|15779002459082287685</stp>
        <tr r="F11" s="6"/>
      </tp>
      <tp t="e">
        <v>#N/A</v>
        <stp/>
        <stp>BDH|17893408628914601126</stp>
        <tr r="Y38" s="12"/>
      </tp>
      <tp t="e">
        <v>#N/A</v>
        <stp/>
        <stp>BDH|12838647268015507359</stp>
        <tr r="Q20" s="5"/>
      </tp>
      <tp t="e">
        <v>#N/A</v>
        <stp/>
        <stp>BDH|13909693717045393507</stp>
        <tr r="F18" s="6"/>
      </tp>
      <tp t="e">
        <v>#N/A</v>
        <stp/>
        <stp>BDH|15513518266936453428</stp>
        <tr r="Y100" s="18"/>
        <tr r="Y9" s="20"/>
      </tp>
      <tp t="e">
        <v>#N/A</v>
        <stp/>
        <stp>BDH|16940100040960987748</stp>
        <tr r="Q110" s="18"/>
      </tp>
      <tp t="e">
        <v>#N/A</v>
        <stp/>
        <stp>BDH|16034210953507521238</stp>
        <tr r="Z37" s="18"/>
      </tp>
      <tp t="e">
        <v>#N/A</v>
        <stp/>
        <stp>BDH|11542365410044258358</stp>
        <tr r="T69" s="17"/>
      </tp>
      <tp t="e">
        <v>#N/A</v>
        <stp/>
        <stp>BDH|15359345876756490312</stp>
        <tr r="D33" s="24"/>
      </tp>
      <tp t="e">
        <v>#N/A</v>
        <stp/>
        <stp>BDH|15164306255140352738</stp>
        <tr r="C24" s="22"/>
      </tp>
      <tp t="e">
        <v>#N/A</v>
        <stp/>
        <stp>BDH|13059818483072089569</stp>
        <tr r="O18" s="9"/>
      </tp>
      <tp t="e">
        <v>#N/A</v>
        <stp/>
        <stp>BDH|15195272518160219288</stp>
        <tr r="F20" s="23"/>
      </tp>
      <tp t="e">
        <v>#N/A</v>
        <stp/>
        <stp>BDH|18167743716593121961</stp>
        <tr r="M68" s="17"/>
      </tp>
      <tp t="e">
        <v>#N/A</v>
        <stp/>
        <stp>BDH|13338414580302000966</stp>
        <tr r="L32" s="18"/>
      </tp>
      <tp t="e">
        <v>#N/A</v>
        <stp/>
        <stp>BDH|14238670366277629711</stp>
        <tr r="P46" s="34"/>
      </tp>
      <tp t="e">
        <v>#N/A</v>
        <stp/>
        <stp>BDH|16711128649417198095</stp>
        <tr r="F43" s="4"/>
      </tp>
      <tp t="e">
        <v>#N/A</v>
        <stp/>
        <stp>BDH|14351640031197470263</stp>
        <tr r="W47" s="22"/>
      </tp>
      <tp t="e">
        <v>#N/A</v>
        <stp/>
        <stp>BDH|10951182217847273308</stp>
        <tr r="X52" s="4"/>
        <tr r="Z8" s="3"/>
        <tr r="X44" s="10"/>
        <tr r="X36" s="11"/>
        <tr r="Z40" s="13"/>
      </tp>
      <tp t="e">
        <v>#N/A</v>
        <stp/>
        <stp>BDH|12861532023271570091</stp>
        <tr r="F88" s="24"/>
      </tp>
      <tp t="e">
        <v>#N/A</v>
        <stp/>
        <stp>BDH|17707376344346271222</stp>
        <tr r="N42" s="21"/>
      </tp>
      <tp t="e">
        <v>#N/A</v>
        <stp/>
        <stp>BDH|12834026769362477231</stp>
        <tr r="G38" s="12"/>
      </tp>
      <tp t="e">
        <v>#N/A</v>
        <stp/>
        <stp>BDH|17108760030117145022</stp>
        <tr r="L37" s="26"/>
      </tp>
      <tp t="e">
        <v>#N/A</v>
        <stp/>
        <stp>BDH|12226058834112081774</stp>
        <tr r="X23" s="22"/>
      </tp>
      <tp t="e">
        <v>#N/A</v>
        <stp/>
        <stp>BDH|16669408162166307638</stp>
        <tr r="X54" s="12"/>
      </tp>
      <tp t="e">
        <v>#N/A</v>
        <stp/>
        <stp>BDH|11080656015976283468</stp>
        <tr r="V21" s="11"/>
      </tp>
      <tp t="e">
        <v>#N/A</v>
        <stp/>
        <stp>BDH|11802092784068031516</stp>
        <tr r="H15" s="5"/>
      </tp>
      <tp t="e">
        <v>#N/A</v>
        <stp/>
        <stp>BDH|10551709328883846216</stp>
        <tr r="L9" s="17"/>
      </tp>
      <tp t="e">
        <v>#N/A</v>
        <stp/>
        <stp>BDH|17554383871283158494</stp>
        <tr r="Q73" s="17"/>
      </tp>
      <tp t="e">
        <v>#N/A</v>
        <stp/>
        <stp>BDH|12632131785098309777</stp>
        <tr r="F110" s="18"/>
      </tp>
      <tp t="e">
        <v>#N/A</v>
        <stp/>
        <stp>BDH|10033339005134163338</stp>
        <tr r="G142" s="18"/>
      </tp>
      <tp t="e">
        <v>#N/A</v>
        <stp/>
        <stp>BDH|14639989659439945591</stp>
        <tr r="R21" s="27"/>
      </tp>
      <tp t="e">
        <v>#N/A</v>
        <stp/>
        <stp>BDH|16863032210495980653</stp>
        <tr r="M62" s="17"/>
      </tp>
      <tp t="e">
        <v>#N/A</v>
        <stp/>
        <stp>BDH|10313471134747556429</stp>
        <tr r="F7" s="10"/>
      </tp>
      <tp t="e">
        <v>#N/A</v>
        <stp/>
        <stp>BDH|13629357852919458823</stp>
        <tr r="S14" s="23"/>
      </tp>
      <tp t="e">
        <v>#N/A</v>
        <stp/>
        <stp>BDH|13288587734425888419</stp>
        <tr r="R27" s="6"/>
      </tp>
      <tp t="e">
        <v>#N/A</v>
        <stp/>
        <stp>BDH|14145513603860311574</stp>
        <tr r="F29" s="18"/>
      </tp>
      <tp t="e">
        <v>#N/A</v>
        <stp/>
        <stp>BDH|15399795733510639580</stp>
        <tr r="Y141" s="18"/>
      </tp>
      <tp t="e">
        <v>#N/A</v>
        <stp/>
        <stp>BDH|15749959852784329941</stp>
        <tr r="S48" s="13"/>
      </tp>
      <tp t="e">
        <v>#N/A</v>
        <stp/>
        <stp>BDH|13777208836340103674</stp>
        <tr r="T11" s="17"/>
      </tp>
      <tp t="e">
        <v>#N/A</v>
        <stp/>
        <stp>BDH|12890591027169910880</stp>
        <tr r="U47" s="24"/>
      </tp>
      <tp t="e">
        <v>#N/A</v>
        <stp/>
        <stp>BDH|13455386338877710045</stp>
        <tr r="AA19" s="20"/>
      </tp>
      <tp t="e">
        <v>#N/A</v>
        <stp/>
        <stp>BDH|13863131636945894029</stp>
        <tr r="Q12" s="25"/>
      </tp>
      <tp t="e">
        <v>#N/A</v>
        <stp/>
        <stp>BDH|15389493201343979651</stp>
        <tr r="P110" s="18"/>
      </tp>
      <tp t="e">
        <v>#N/A</v>
        <stp/>
        <stp>BDH|14079666345414795631</stp>
        <tr r="AA13" s="26"/>
      </tp>
      <tp t="e">
        <v>#N/A</v>
        <stp/>
        <stp>BDH|17410929345857795934</stp>
        <tr r="E30" s="10"/>
        <tr r="G36" s="13"/>
      </tp>
      <tp t="e">
        <v>#N/A</v>
        <stp/>
        <stp>BDH|17790751654086014715</stp>
        <tr r="E32" s="14"/>
      </tp>
      <tp t="e">
        <v>#N/A</v>
        <stp/>
        <stp>BDH|11629999998220016504</stp>
        <tr r="Y12" s="18"/>
      </tp>
      <tp t="e">
        <v>#N/A</v>
        <stp/>
        <stp>BDH|10352573950553680758</stp>
        <tr r="I66" s="18"/>
      </tp>
      <tp t="e">
        <v>#N/A</v>
        <stp/>
        <stp>BDH|11459875941541060850</stp>
        <tr r="V64" s="21"/>
        <tr r="S31" s="6"/>
      </tp>
      <tp t="e">
        <v>#N/A</v>
        <stp/>
        <stp>BDH|16935784276775123711</stp>
        <tr r="L17" s="12"/>
      </tp>
      <tp t="e">
        <v>#N/A</v>
        <stp/>
        <stp>BDH|17205067417222429005</stp>
        <tr r="U17" s="24"/>
      </tp>
      <tp t="e">
        <v>#N/A</v>
        <stp/>
        <stp>BDH|11646694138359371936</stp>
        <tr r="H30" s="26"/>
      </tp>
      <tp t="e">
        <v>#N/A</v>
        <stp/>
        <stp>BDH|15799036926935151641</stp>
        <tr r="W68" s="17"/>
      </tp>
      <tp t="e">
        <v>#N/A</v>
        <stp/>
        <stp>BDH|17140615391588405425</stp>
        <tr r="G8" s="24"/>
      </tp>
      <tp t="e">
        <v>#N/A</v>
        <stp/>
        <stp>BDH|10293522222527774428</stp>
        <tr r="H24" s="17"/>
      </tp>
      <tp t="e">
        <v>#N/A</v>
        <stp/>
        <stp>BDH|12916645312454181599</stp>
        <tr r="R23" s="2"/>
        <tr r="T18" s="21"/>
        <tr r="T23" s="3"/>
      </tp>
      <tp t="e">
        <v>#N/A</v>
        <stp/>
        <stp>BDH|15544411071873440168</stp>
        <tr r="Z39" s="12"/>
      </tp>
      <tp t="e">
        <v>#N/A</v>
        <stp/>
        <stp>BDH|14218040311707073601</stp>
        <tr r="N71" s="10"/>
        <tr r="N63" s="11"/>
      </tp>
      <tp t="e">
        <v>#N/A</v>
        <stp/>
        <stp>BDH|18032436593043713204</stp>
        <tr r="X83" s="18"/>
      </tp>
      <tp t="e">
        <v>#N/A</v>
        <stp/>
        <stp>BDH|13520940390100419725</stp>
        <tr r="H64" s="21"/>
        <tr r="E31" s="6"/>
      </tp>
      <tp t="e">
        <v>#N/A</v>
        <stp/>
        <stp>BDH|12496765725862021101</stp>
        <tr r="D23" s="6"/>
      </tp>
      <tp t="e">
        <v>#N/A</v>
        <stp/>
        <stp>BDH|13454562664135607171</stp>
        <tr r="Y77" s="18"/>
      </tp>
      <tp t="e">
        <v>#N/A</v>
        <stp/>
        <stp>BDH|16380669558274953531</stp>
        <tr r="X56" s="6"/>
      </tp>
      <tp t="e">
        <v>#N/A</v>
        <stp/>
        <stp>BDH|12715364286064352937</stp>
        <tr r="W34" s="17"/>
      </tp>
      <tp t="e">
        <v>#N/A</v>
        <stp/>
        <stp>BDH|16381113205504511758</stp>
        <tr r="I116" s="18"/>
      </tp>
      <tp t="e">
        <v>#N/A</v>
        <stp/>
        <stp>BDH|17059028920786447718</stp>
        <tr r="I20" s="5"/>
      </tp>
      <tp t="e">
        <v>#N/A</v>
        <stp/>
        <stp>BDH|12611606713989305818</stp>
        <tr r="I66" s="12"/>
      </tp>
      <tp t="e">
        <v>#N/A</v>
        <stp/>
        <stp>BDH|17309524801546020075</stp>
        <tr r="L27" s="14"/>
      </tp>
      <tp t="e">
        <v>#N/A</v>
        <stp/>
        <stp>BDH|10710821570393528877</stp>
        <tr r="D15" s="20"/>
      </tp>
      <tp t="e">
        <v>#N/A</v>
        <stp/>
        <stp>BDH|15639646734030139400</stp>
        <tr r="AA49" s="24"/>
      </tp>
      <tp t="e">
        <v>#N/A</v>
        <stp/>
        <stp>BDH|17073832209102503982</stp>
        <tr r="T9" s="26"/>
      </tp>
      <tp t="e">
        <v>#N/A</v>
        <stp/>
        <stp>BDH|10209283623773941775</stp>
        <tr r="J26" s="24"/>
      </tp>
      <tp t="e">
        <v>#N/A</v>
        <stp/>
        <stp>BDH|14623731062991783077</stp>
        <tr r="D18" s="9"/>
      </tp>
      <tp t="e">
        <v>#N/A</v>
        <stp/>
        <stp>BDH|15564383815652953163</stp>
        <tr r="D130" s="18"/>
      </tp>
      <tp t="e">
        <v>#N/A</v>
        <stp/>
        <stp>BDH|16509867431348424112</stp>
        <tr r="P8" s="18"/>
      </tp>
      <tp t="e">
        <v>#N/A</v>
        <stp/>
        <stp>BDH|14751741845240875395</stp>
        <tr r="X58" s="6"/>
      </tp>
      <tp t="e">
        <v>#N/A</v>
        <stp/>
        <stp>BDH|12441825937465479826</stp>
        <tr r="J8" s="22"/>
      </tp>
      <tp t="e">
        <v>#N/A</v>
        <stp/>
        <stp>BDH|11741749475302124708</stp>
        <tr r="E69" s="18"/>
      </tp>
      <tp t="e">
        <v>#N/A</v>
        <stp/>
        <stp>BDH|12595027264053431309</stp>
        <tr r="J13" s="5"/>
      </tp>
      <tp t="e">
        <v>#N/A</v>
        <stp/>
        <stp>BDH|12734664056424698171</stp>
        <tr r="P137" s="18"/>
      </tp>
      <tp t="e">
        <v>#N/A</v>
        <stp/>
        <stp>BDH|17594649607555969098</stp>
        <tr r="V8" s="21"/>
      </tp>
      <tp t="e">
        <v>#N/A</v>
        <stp/>
        <stp>BDH|14148728286508220710</stp>
        <tr r="S87" s="18"/>
      </tp>
      <tp t="e">
        <v>#N/A</v>
        <stp/>
        <stp>BDH|15123268135083080349</stp>
        <tr r="V86" s="24"/>
      </tp>
      <tp t="e">
        <v>#N/A</v>
        <stp/>
        <stp>BDH|16478537231333009708</stp>
        <tr r="X34" s="17"/>
      </tp>
      <tp t="e">
        <v>#N/A</v>
        <stp/>
        <stp>BDH|13505813980245390212</stp>
        <tr r="K25" s="10"/>
        <tr r="M31" s="13"/>
      </tp>
      <tp t="e">
        <v>#N/A</v>
        <stp/>
        <stp>BDH|13588257331743609512</stp>
        <tr r="K34" s="29"/>
      </tp>
      <tp t="e">
        <v>#N/A</v>
        <stp/>
        <stp>BDH|14168393298418700218</stp>
        <tr r="J45" s="18"/>
      </tp>
      <tp t="e">
        <v>#N/A</v>
        <stp/>
        <stp>BDH|10307502929291991250</stp>
        <tr r="D91" s="17"/>
        <tr r="D7" s="27"/>
      </tp>
      <tp t="e">
        <v>#N/A</v>
        <stp/>
        <stp>BDH|12371063934145241059</stp>
        <tr r="K9" s="27"/>
      </tp>
      <tp t="e">
        <v>#N/A</v>
        <stp/>
        <stp>BDH|14694189159381536548</stp>
        <tr r="V63" s="13"/>
      </tp>
      <tp t="e">
        <v>#N/A</v>
        <stp/>
        <stp>BDH|17547628431272934495</stp>
        <tr r="G60" s="17"/>
      </tp>
      <tp t="e">
        <v>#N/A</v>
        <stp/>
        <stp>BDH|14579426744883054354</stp>
        <tr r="Q57" s="12"/>
      </tp>
      <tp t="e">
        <v>#N/A</v>
        <stp/>
        <stp>BDH|11126156920487368119</stp>
        <tr r="I70" s="17"/>
      </tp>
      <tp t="e">
        <v>#N/A</v>
        <stp/>
        <stp>BDH|11208542859105150089</stp>
        <tr r="AA46" s="17"/>
      </tp>
      <tp t="e">
        <v>#N/A</v>
        <stp/>
        <stp>BDH|10930930542040792995</stp>
        <tr r="Q68" s="10"/>
      </tp>
      <tp t="e">
        <v>#N/A</v>
        <stp/>
        <stp>BDH|16944398229451700287</stp>
        <tr r="W55" s="13"/>
      </tp>
      <tp t="e">
        <v>#N/A</v>
        <stp/>
        <stp>BDH|12490832584821085754</stp>
        <tr r="F25" s="9"/>
      </tp>
      <tp t="e">
        <v>#N/A</v>
        <stp/>
        <stp>BDH|10987137898524412805</stp>
        <tr r="W38" s="25"/>
      </tp>
      <tp t="e">
        <v>#N/A</v>
        <stp/>
        <stp>BDH|15678030145887478226</stp>
        <tr r="O8" s="17"/>
      </tp>
      <tp t="e">
        <v>#N/A</v>
        <stp/>
        <stp>BDH|11904346667142401289</stp>
        <tr r="I17" s="4"/>
        <tr r="K10" s="3"/>
        <tr r="I56" s="10"/>
        <tr r="I48" s="11"/>
        <tr r="I17" s="7"/>
        <tr r="K54" s="13"/>
      </tp>
      <tp t="e">
        <v>#N/A</v>
        <stp/>
        <stp>BDH|10018678830661218032</stp>
        <tr r="V61" s="12"/>
      </tp>
      <tp t="e">
        <v>#N/A</v>
        <stp/>
        <stp>BDH|17686248207935609455</stp>
        <tr r="K22" s="30"/>
        <tr r="K24" s="23"/>
      </tp>
      <tp t="e">
        <v>#N/A</v>
        <stp/>
        <stp>BDH|14178274100642456043</stp>
        <tr r="R12" s="22"/>
      </tp>
      <tp t="e">
        <v>#N/A</v>
        <stp/>
        <stp>BDH|13755027733634814086</stp>
        <tr r="V110" s="18"/>
      </tp>
      <tp t="e">
        <v>#N/A</v>
        <stp/>
        <stp>BDH|16809767968261271221</stp>
        <tr r="M84" s="24"/>
      </tp>
      <tp t="e">
        <v>#N/A</v>
        <stp/>
        <stp>BDH|13357018363236494735</stp>
        <tr r="W16" s="22"/>
      </tp>
      <tp t="e">
        <v>#N/A</v>
        <stp/>
        <stp>BDH|16099279240423146702</stp>
        <tr r="V58" s="6"/>
      </tp>
      <tp t="e">
        <v>#N/A</v>
        <stp/>
        <stp>BDH|16437357816787431752</stp>
        <tr r="N37" s="12"/>
      </tp>
      <tp t="e">
        <v>#N/A</v>
        <stp/>
        <stp>BDH|11752480638461972384</stp>
        <tr r="F27" s="6"/>
      </tp>
      <tp t="e">
        <v>#N/A</v>
        <stp/>
        <stp>BDH|14179655838150816520</stp>
        <tr r="Q35" s="22"/>
      </tp>
      <tp t="e">
        <v>#N/A</v>
        <stp/>
        <stp>BDH|13751788217279899866</stp>
        <tr r="R115" s="18"/>
      </tp>
      <tp t="e">
        <v>#N/A</v>
        <stp/>
        <stp>BDH|15675148630612163158</stp>
        <tr r="F10" s="12"/>
      </tp>
      <tp t="e">
        <v>#N/A</v>
        <stp/>
        <stp>BDH|16305417221321356566</stp>
        <tr r="H20" s="12"/>
      </tp>
      <tp t="e">
        <v>#N/A</v>
        <stp/>
        <stp>BDH|14939603941357601585</stp>
        <tr r="S112" s="18"/>
      </tp>
      <tp t="e">
        <v>#N/A</v>
        <stp/>
        <stp>BDH|12007380340107975670</stp>
        <tr r="N48" s="22"/>
      </tp>
      <tp t="e">
        <v>#N/A</v>
        <stp/>
        <stp>BDH|15971312521922985262</stp>
        <tr r="L26" s="24"/>
      </tp>
      <tp t="e">
        <v>#N/A</v>
        <stp/>
        <stp>BDH|11826646042354008382</stp>
        <tr r="AA43" s="17"/>
      </tp>
      <tp t="e">
        <v>#N/A</v>
        <stp/>
        <stp>BDH|15356965760879140729</stp>
        <tr r="C93" s="18"/>
      </tp>
      <tp t="e">
        <v>#N/A</v>
        <stp/>
        <stp>BDH|12675668301040082072</stp>
        <tr r="E11" s="18"/>
      </tp>
      <tp t="e">
        <v>#N/A</v>
        <stp/>
        <stp>BDH|11834650321718224983</stp>
        <tr r="X22" s="27"/>
      </tp>
      <tp t="e">
        <v>#N/A</v>
        <stp/>
        <stp>BDH|12246186344790012380</stp>
        <tr r="P76" s="24"/>
      </tp>
      <tp t="e">
        <v>#N/A</v>
        <stp/>
        <stp>BDH|13208436565007204202</stp>
        <tr r="O38" s="22"/>
      </tp>
      <tp t="e">
        <v>#N/A</v>
        <stp/>
        <stp>BDH|15701020817611631121</stp>
        <tr r="D19" s="17"/>
      </tp>
      <tp t="e">
        <v>#N/A</v>
        <stp/>
        <stp>BDH|12281801465939042110</stp>
        <tr r="P72" s="17"/>
      </tp>
      <tp t="e">
        <v>#N/A</v>
        <stp/>
        <stp>BDH|13183588662814580084</stp>
        <tr r="D26" s="7"/>
      </tp>
      <tp t="e">
        <v>#N/A</v>
        <stp/>
        <stp>BDH|14308564475177278546</stp>
        <tr r="X25" s="25"/>
        <tr r="X10" s="27"/>
      </tp>
      <tp t="e">
        <v>#N/A</v>
        <stp/>
        <stp>BDH|13200422558224635287</stp>
        <tr r="M21" s="22"/>
      </tp>
      <tp t="e">
        <v>#N/A</v>
        <stp/>
        <stp>BDH|11018284239732087681</stp>
        <tr r="T28" s="18"/>
      </tp>
      <tp t="e">
        <v>#N/A</v>
        <stp/>
        <stp>BDH|13356199153676169516</stp>
        <tr r="Q63" s="21"/>
        <tr r="O23" s="7"/>
      </tp>
      <tp t="e">
        <v>#N/A</v>
        <stp/>
        <stp>BDH|14420332076273880700</stp>
        <tr r="N96" s="18"/>
      </tp>
      <tp t="e">
        <v>#N/A</v>
        <stp/>
        <stp>BDH|18385242846109871305</stp>
        <tr r="T43" s="12"/>
      </tp>
      <tp t="e">
        <v>#N/A</v>
        <stp/>
        <stp>BDH|10067808098317208234</stp>
        <tr r="U57" s="17"/>
      </tp>
      <tp t="e">
        <v>#N/A</v>
        <stp/>
        <stp>BDH|15989324900844251608</stp>
        <tr r="W45" s="18"/>
      </tp>
      <tp t="e">
        <v>#N/A</v>
        <stp/>
        <stp>BDH|17873534947975479714</stp>
        <tr r="F23" s="21"/>
      </tp>
      <tp t="e">
        <v>#N/A</v>
        <stp/>
        <stp>BDH|10233663059993243465</stp>
        <tr r="J87" s="18"/>
      </tp>
      <tp t="e">
        <v>#N/A</v>
        <stp/>
        <stp>BDH|15393518935392796593</stp>
        <tr r="L12" s="6"/>
      </tp>
      <tp t="e">
        <v>#N/A</v>
        <stp/>
        <stp>BDH|17403946398441495254</stp>
        <tr r="G43" s="22"/>
      </tp>
      <tp t="e">
        <v>#N/A</v>
        <stp/>
        <stp>BDH|13229090120960661543</stp>
        <tr r="J27" s="14"/>
      </tp>
      <tp t="e">
        <v>#N/A</v>
        <stp/>
        <stp>BDH|14628392400573431028</stp>
        <tr r="T71" s="12"/>
      </tp>
      <tp t="e">
        <v>#N/A</v>
        <stp/>
        <stp>BDH|11002859662543843866</stp>
        <tr r="Q43" s="4"/>
      </tp>
      <tp t="e">
        <v>#N/A</v>
        <stp/>
        <stp>BDH|16150714461413802008</stp>
        <tr r="P10" s="23"/>
      </tp>
      <tp t="e">
        <v>#N/A</v>
        <stp/>
        <stp>BDH|16607949937991944959</stp>
        <tr r="D8" s="4"/>
      </tp>
      <tp t="e">
        <v>#N/A</v>
        <stp/>
        <stp>BDH|14938040001828639834</stp>
        <tr r="L8" s="18"/>
      </tp>
      <tp t="e">
        <v>#N/A</v>
        <stp/>
        <stp>BDH|17482257868113056408</stp>
        <tr r="L7" s="23"/>
      </tp>
      <tp t="e">
        <v>#N/A</v>
        <stp/>
        <stp>BDH|18443489567977544973</stp>
        <tr r="E14" s="8"/>
      </tp>
      <tp t="e">
        <v>#N/A</v>
        <stp/>
        <stp>BDH|12293663768722191446</stp>
        <tr r="X25" s="3"/>
      </tp>
      <tp t="e">
        <v>#N/A</v>
        <stp/>
        <stp>BDH|11327315107824485285</stp>
        <tr r="P51" s="12"/>
      </tp>
      <tp t="e">
        <v>#N/A</v>
        <stp/>
        <stp>BDH|14933368913946077454</stp>
        <tr r="C80" s="18"/>
      </tp>
      <tp t="e">
        <v>#N/A</v>
        <stp/>
        <stp>BDH|17189868063049825452</stp>
        <tr r="K22" s="14"/>
      </tp>
      <tp t="e">
        <v>#N/A</v>
        <stp/>
        <stp>BDH|13562521437092911301</stp>
        <tr r="M17" s="30"/>
      </tp>
      <tp t="e">
        <v>#N/A</v>
        <stp/>
        <stp>BDH|12867371281508416534</stp>
        <tr r="M13" s="18"/>
      </tp>
      <tp t="e">
        <v>#N/A</v>
        <stp/>
        <stp>BDH|14053672706425148391</stp>
        <tr r="F45" s="18"/>
      </tp>
      <tp t="e">
        <v>#N/A</v>
        <stp/>
        <stp>BDH|11059594872130351713</stp>
        <tr r="Q9" s="29"/>
      </tp>
      <tp t="e">
        <v>#N/A</v>
        <stp/>
        <stp>BDH|15955151942237623311</stp>
        <tr r="K15" s="14"/>
      </tp>
      <tp t="e">
        <v>#N/A</v>
        <stp/>
        <stp>BDH|15874447138325848352</stp>
        <tr r="D42" s="22"/>
      </tp>
      <tp t="e">
        <v>#N/A</v>
        <stp/>
        <stp>BDH|12713580167226958383</stp>
        <tr r="X45" s="34"/>
      </tp>
      <tp t="e">
        <v>#N/A</v>
        <stp/>
        <stp>BDH|14864460350404476530</stp>
        <tr r="I55" s="12"/>
      </tp>
      <tp t="e">
        <v>#N/A</v>
        <stp/>
        <stp>BDH|10978413292209269015</stp>
        <tr r="V59" s="11"/>
        <tr r="X15" s="23"/>
      </tp>
      <tp t="e">
        <v>#N/A</v>
        <stp/>
        <stp>BDH|10291897334167687803</stp>
        <tr r="S53" s="6"/>
        <tr r="U10" s="8"/>
      </tp>
      <tp t="e">
        <v>#N/A</v>
        <stp/>
        <stp>BDH|11850781730802808307</stp>
        <tr r="K39" s="4"/>
        <tr r="K66" s="10"/>
      </tp>
      <tp t="e">
        <v>#N/A</v>
        <stp/>
        <stp>BDH|11365520958306589346</stp>
        <tr r="D62" s="12"/>
      </tp>
      <tp t="e">
        <v>#N/A</v>
        <stp/>
        <stp>BDH|16112768679104652606</stp>
        <tr r="AA21" s="17"/>
        <tr r="AA15" s="3"/>
      </tp>
      <tp t="e">
        <v>#N/A</v>
        <stp/>
        <stp>BDH|16144968295631818321</stp>
        <tr r="V20" s="2"/>
        <tr r="V18" s="4"/>
        <tr r="V58" s="10"/>
        <tr r="V50" s="11"/>
        <tr r="V19" s="7"/>
        <tr r="X65" s="13"/>
      </tp>
      <tp t="e">
        <v>#N/A</v>
        <stp/>
        <stp>BDH|13523088756587712544</stp>
        <tr r="F9" s="2"/>
        <tr r="H8" s="25"/>
        <tr r="E10" s="5"/>
      </tp>
      <tp t="e">
        <v>#N/A</v>
        <stp/>
        <stp>BDH|11822179418341667497</stp>
        <tr r="O42" s="24"/>
      </tp>
      <tp t="e">
        <v>#N/A</v>
        <stp/>
        <stp>BDH|12955090214127555098</stp>
        <tr r="J35" s="21"/>
      </tp>
      <tp t="e">
        <v>#N/A</v>
        <stp/>
        <stp>BDH|10850203500570281622</stp>
        <tr r="D14" s="17"/>
        <tr r="D17" s="28"/>
      </tp>
      <tp t="e">
        <v>#N/A</v>
        <stp/>
        <stp>BDH|15309472177807329580</stp>
        <tr r="H60" s="12"/>
      </tp>
      <tp t="e">
        <v>#N/A</v>
        <stp/>
        <stp>BDH|14899513642997641658</stp>
        <tr r="T74" s="17"/>
      </tp>
      <tp t="e">
        <v>#N/A</v>
        <stp/>
        <stp>BDH|13025488905057066452</stp>
        <tr r="I82" s="17"/>
      </tp>
      <tp t="e">
        <v>#N/A</v>
        <stp/>
        <stp>BDH|10585336844352206183</stp>
        <tr r="Q88" s="24"/>
      </tp>
      <tp t="e">
        <v>#N/A</v>
        <stp/>
        <stp>BDH|14382924676829983762</stp>
        <tr r="Z34" s="12"/>
      </tp>
      <tp t="e">
        <v>#N/A</v>
        <stp/>
        <stp>BDH|10045819478068126301</stp>
        <tr r="I33" s="17"/>
      </tp>
      <tp t="e">
        <v>#N/A</v>
        <stp/>
        <stp>BDH|16417210870654425398</stp>
        <tr r="N115" s="18"/>
      </tp>
      <tp t="e">
        <v>#N/A</v>
        <stp/>
        <stp>BDH|12235850654959323285</stp>
        <tr r="R39" s="22"/>
      </tp>
      <tp t="e">
        <v>#N/A</v>
        <stp/>
        <stp>BDH|16731650309062775649</stp>
        <tr r="J43" s="17"/>
      </tp>
      <tp t="e">
        <v>#N/A</v>
        <stp/>
        <stp>BDH|13923213386655784813</stp>
        <tr r="AA49" s="21"/>
      </tp>
      <tp t="e">
        <v>#N/A</v>
        <stp/>
        <stp>BDH|12917448872140524529</stp>
        <tr r="W45" s="34"/>
      </tp>
      <tp t="e">
        <v>#N/A</v>
        <stp/>
        <stp>BDH|15090178933260947354</stp>
        <tr r="V31" s="5"/>
      </tp>
      <tp t="e">
        <v>#N/A</v>
        <stp/>
        <stp>BDH|10026233704166723081</stp>
        <tr r="F37" s="18"/>
      </tp>
      <tp t="e">
        <v>#N/A</v>
        <stp/>
        <stp>BDH|12928761623666607527</stp>
        <tr r="W17" s="13"/>
      </tp>
      <tp t="e">
        <v>#N/A</v>
        <stp/>
        <stp>BDH|13586658706825734499</stp>
        <tr r="S34" s="14"/>
      </tp>
      <tp t="e">
        <v>#N/A</v>
        <stp/>
        <stp>BDH|17464437276751110185</stp>
        <tr r="X16" s="10"/>
      </tp>
      <tp t="e">
        <v>#N/A</v>
        <stp/>
        <stp>BDH|10060037605533657783</stp>
        <tr r="R53" s="18"/>
      </tp>
      <tp t="e">
        <v>#N/A</v>
        <stp/>
        <stp>BDH|15619340470025820022</stp>
        <tr r="O65" s="21"/>
      </tp>
      <tp t="e">
        <v>#N/A</v>
        <stp/>
        <stp>BDH|17665266718092515250</stp>
        <tr r="C36" s="12"/>
      </tp>
      <tp t="e">
        <v>#N/A</v>
        <stp/>
        <stp>BDH|10935660693579563211</stp>
        <tr r="N25" s="21"/>
      </tp>
      <tp t="e">
        <v>#N/A</v>
        <stp/>
        <stp>BDH|14794093861787399144</stp>
        <tr r="T48" s="6"/>
      </tp>
      <tp t="e">
        <v>#N/A</v>
        <stp/>
        <stp>BDH|12848808190131446649</stp>
        <tr r="E90" s="24"/>
      </tp>
      <tp t="e">
        <v>#N/A</v>
        <stp/>
        <stp>BDH|16466621770523638081</stp>
        <tr r="N45" s="12"/>
      </tp>
      <tp t="e">
        <v>#N/A</v>
        <stp/>
        <stp>BDH|18200466989057325763</stp>
        <tr r="R64" s="10"/>
      </tp>
      <tp t="e">
        <v>#N/A</v>
        <stp/>
        <stp>BDH|14834944427548338307</stp>
        <tr r="C10" s="14"/>
      </tp>
      <tp t="e">
        <v>#N/A</v>
        <stp/>
        <stp>BDH|16986274871801575625</stp>
        <tr r="K39" s="26"/>
      </tp>
      <tp t="e">
        <v>#N/A</v>
        <stp/>
        <stp>BDH|16044748311743478799</stp>
        <tr r="I25" s="5"/>
      </tp>
      <tp t="e">
        <v>#N/A</v>
        <stp/>
        <stp>BDH|15956336658585862225</stp>
        <tr r="E13" s="25"/>
      </tp>
      <tp t="e">
        <v>#N/A</v>
        <stp/>
        <stp>BDH|16001361612067847740</stp>
        <tr r="I24" s="4"/>
        <tr r="I57" s="11"/>
      </tp>
      <tp t="e">
        <v>#N/A</v>
        <stp/>
        <stp>BDH|12821023743914396624</stp>
        <tr r="M32" s="5"/>
      </tp>
      <tp t="e">
        <v>#N/A</v>
        <stp/>
        <stp>BDH|15629684035262043634</stp>
        <tr r="W21" s="21"/>
      </tp>
      <tp t="e">
        <v>#N/A</v>
        <stp/>
        <stp>BDH|15412237778776219254</stp>
        <tr r="H54" s="17"/>
      </tp>
      <tp t="e">
        <v>#N/A</v>
        <stp/>
        <stp>BDH|14450077789771171936</stp>
        <tr r="AA15" s="24"/>
      </tp>
      <tp t="e">
        <v>#N/A</v>
        <stp/>
        <stp>BDH|16177820880395207790</stp>
        <tr r="K30" s="5"/>
        <tr r="K30" s="9"/>
      </tp>
      <tp t="e">
        <v>#N/A</v>
        <stp/>
        <stp>BDH|15596564156955422492</stp>
        <tr r="C51" s="12"/>
      </tp>
      <tp t="e">
        <v>#N/A</v>
        <stp/>
        <stp>BDH|12536018138022160766</stp>
        <tr r="T40" s="21"/>
      </tp>
      <tp t="e">
        <v>#N/A</v>
        <stp/>
        <stp>BDH|13698854512218338697</stp>
        <tr r="M93" s="17"/>
      </tp>
      <tp t="e">
        <v>#N/A</v>
        <stp/>
        <stp>BDH|13177255304947830233</stp>
        <tr r="Q20" s="12"/>
      </tp>
      <tp t="e">
        <v>#N/A</v>
        <stp/>
        <stp>BDH|14671983482489582822</stp>
        <tr r="S58" s="12"/>
      </tp>
      <tp t="e">
        <v>#N/A</v>
        <stp/>
        <stp>BDH|18016697531170247919</stp>
        <tr r="S22" s="12"/>
      </tp>
      <tp t="e">
        <v>#N/A</v>
        <stp/>
        <stp>BDH|15594851843619970410</stp>
        <tr r="Y30" s="10"/>
        <tr r="AA36" s="13"/>
      </tp>
      <tp t="e">
        <v>#N/A</v>
        <stp/>
        <stp>BDH|10825033831900013710</stp>
        <tr r="AA8" s="26"/>
        <tr r="X10" s="9"/>
      </tp>
      <tp t="e">
        <v>#N/A</v>
        <stp/>
        <stp>BDH|11137025408346496345</stp>
        <tr r="X30" s="5"/>
        <tr r="X30" s="9"/>
      </tp>
      <tp t="e">
        <v>#N/A</v>
        <stp/>
        <stp>BDH|12637332238120207649</stp>
        <tr r="R13" s="13"/>
      </tp>
      <tp t="e">
        <v>#N/A</v>
        <stp/>
        <stp>BDH|10339595744553484614</stp>
        <tr r="Q33" s="21"/>
      </tp>
      <tp t="e">
        <v>#N/A</v>
        <stp/>
        <stp>BDH|14473717908961455622</stp>
        <tr r="J70" s="10"/>
        <tr r="J62" s="11"/>
        <tr r="J20" s="7"/>
      </tp>
      <tp t="e">
        <v>#N/A</v>
        <stp/>
        <stp>BDH|15093335494389577296</stp>
        <tr r="AA18" s="14"/>
      </tp>
      <tp t="e">
        <v>#N/A</v>
        <stp/>
        <stp>BDH|11782597605139150915</stp>
        <tr r="P26" s="7"/>
      </tp>
      <tp t="e">
        <v>#N/A</v>
        <stp/>
        <stp>BDH|14853922081675392436</stp>
        <tr r="D45" s="34"/>
      </tp>
      <tp t="e">
        <v>#N/A</v>
        <stp/>
        <stp>BDH|11510085953546584605</stp>
        <tr r="E36" s="21"/>
      </tp>
      <tp t="e">
        <v>#N/A</v>
        <stp/>
        <stp>BDH|11562558262437944102</stp>
        <tr r="H22" s="7"/>
      </tp>
      <tp t="e">
        <v>#N/A</v>
        <stp/>
        <stp>BDH|16369747557534943423</stp>
        <tr r="S9" s="11"/>
      </tp>
      <tp t="e">
        <v>#N/A</v>
        <stp/>
        <stp>BDH|17338401046535944670</stp>
        <tr r="T54" s="21"/>
      </tp>
      <tp t="e">
        <v>#N/A</v>
        <stp/>
        <stp>BDH|13664680815873990394</stp>
        <tr r="U50" s="24"/>
      </tp>
      <tp t="e">
        <v>#N/A</v>
        <stp/>
        <stp>BDH|16592789967337911480</stp>
        <tr r="P11" s="11"/>
      </tp>
      <tp t="e">
        <v>#N/A</v>
        <stp/>
        <stp>BDH|12728309624806976116</stp>
        <tr r="W12" s="6"/>
      </tp>
      <tp t="e">
        <v>#N/A</v>
        <stp/>
        <stp>BDH|15425676756735724793</stp>
        <tr r="J31" s="21"/>
      </tp>
      <tp t="e">
        <v>#N/A</v>
        <stp/>
        <stp>BDH|12737928954613387994</stp>
        <tr r="W57" s="10"/>
        <tr r="W49" s="11"/>
        <tr r="W18" s="7"/>
        <tr r="Y57" s="13"/>
      </tp>
      <tp t="e">
        <v>#N/A</v>
        <stp/>
        <stp>BDH|14255020256106473392</stp>
        <tr r="M15" s="22"/>
      </tp>
      <tp t="e">
        <v>#N/A</v>
        <stp/>
        <stp>BDH|15250286625461218066</stp>
        <tr r="S7" s="23"/>
      </tp>
      <tp t="e">
        <v>#N/A</v>
        <stp/>
        <stp>BDH|11673504318355396469</stp>
        <tr r="D46" s="12"/>
      </tp>
      <tp t="e">
        <v>#N/A</v>
        <stp/>
        <stp>BDH|14349071149495413120</stp>
        <tr r="H21" s="9"/>
      </tp>
      <tp t="e">
        <v>#N/A</v>
        <stp/>
        <stp>BDH|18309512880746940706</stp>
        <tr r="Y16" s="10"/>
      </tp>
      <tp t="e">
        <v>#N/A</v>
        <stp/>
        <stp>BDH|13066917459638493379</stp>
        <tr r="Y46" s="4"/>
        <tr r="Y23" s="10"/>
        <tr r="AA37" s="13"/>
      </tp>
      <tp t="e">
        <v>#N/A</v>
        <stp/>
        <stp>BDH|17750352921210838200</stp>
        <tr r="L43" s="22"/>
      </tp>
      <tp t="e">
        <v>#N/A</v>
        <stp/>
        <stp>BDH|16315413271202973312</stp>
        <tr r="F40" s="12"/>
      </tp>
      <tp t="e">
        <v>#N/A</v>
        <stp/>
        <stp>BDH|15398897098957162785</stp>
        <tr r="S44" s="21"/>
      </tp>
      <tp t="e">
        <v>#N/A</v>
        <stp/>
        <stp>BDH|12956478535230299122</stp>
        <tr r="L75" s="17"/>
        <tr r="I9" s="5"/>
        <tr r="I9" s="9"/>
      </tp>
      <tp t="e">
        <v>#N/A</v>
        <stp/>
        <stp>BDH|15433865196331769187</stp>
        <tr r="R10" s="12"/>
      </tp>
      <tp t="e">
        <v>#N/A</v>
        <stp/>
        <stp>BDH|13828838981892295520</stp>
        <tr r="W42" s="34"/>
      </tp>
      <tp t="e">
        <v>#N/A</v>
        <stp/>
        <stp>BDH|17520380920866720403</stp>
        <tr r="Q11" s="14"/>
      </tp>
      <tp t="e">
        <v>#N/A</v>
        <stp/>
        <stp>BDH|18355929721072940533</stp>
        <tr r="E49" s="12"/>
      </tp>
      <tp t="e">
        <v>#N/A</v>
        <stp/>
        <stp>BDH|16858025075647390265</stp>
        <tr r="T8" s="14"/>
      </tp>
      <tp t="e">
        <v>#N/A</v>
        <stp/>
        <stp>BDH|18094371949619132257</stp>
        <tr r="N28" s="25"/>
        <tr r="N14" s="27"/>
      </tp>
      <tp t="e">
        <v>#N/A</v>
        <stp/>
        <stp>BDH|16938057336061667068</stp>
        <tr r="M19" s="18"/>
      </tp>
      <tp t="e">
        <v>#N/A</v>
        <stp/>
        <stp>BDH|10503278204232518492</stp>
        <tr r="N69" s="17"/>
      </tp>
      <tp t="e">
        <v>#N/A</v>
        <stp/>
        <stp>BDH|17854059497032926897</stp>
        <tr r="L67" s="17"/>
        <tr r="I8" s="5"/>
        <tr r="I8" s="9"/>
      </tp>
      <tp t="e">
        <v>#N/A</v>
        <stp/>
        <stp>BDH|12821499167144445087</stp>
        <tr r="W22" s="27"/>
      </tp>
      <tp t="e">
        <v>#N/A</v>
        <stp/>
        <stp>BDH|14506317470440686482</stp>
        <tr r="E51" s="6"/>
        <tr r="G6" s="8"/>
      </tp>
      <tp t="e">
        <v>#N/A</v>
        <stp/>
        <stp>BDH|11757218506267926034</stp>
        <tr r="E61" s="11"/>
      </tp>
      <tp t="e">
        <v>#N/A</v>
        <stp/>
        <stp>BDH|17739614060712895141</stp>
        <tr r="C22" s="24"/>
      </tp>
      <tp t="e">
        <v>#N/A</v>
        <stp/>
        <stp>BDH|10394050949231674134</stp>
        <tr r="N45" s="34"/>
      </tp>
      <tp t="e">
        <v>#N/A</v>
        <stp/>
        <stp>BDH|10650088031041533606</stp>
        <tr r="P80" s="24"/>
      </tp>
      <tp t="e">
        <v>#N/A</v>
        <stp/>
        <stp>BDH|14563024552932878773</stp>
        <tr r="I23" s="26"/>
      </tp>
      <tp t="e">
        <v>#N/A</v>
        <stp/>
        <stp>BDH|17818278700975076458</stp>
        <tr r="C7" s="34"/>
      </tp>
      <tp t="e">
        <v>#N/A</v>
        <stp/>
        <stp>BDH|12898739171800610666</stp>
        <tr r="O22" s="17"/>
      </tp>
      <tp t="e">
        <v>#N/A</v>
        <stp/>
        <stp>BDH|15043519363524133695</stp>
        <tr r="K86" s="24"/>
      </tp>
      <tp t="e">
        <v>#N/A</v>
        <stp/>
        <stp>BDH|15983902286719053956</stp>
        <tr r="G16" s="23"/>
      </tp>
      <tp t="e">
        <v>#N/A</v>
        <stp/>
        <stp>BDH|10900302074086496636</stp>
        <tr r="R20" s="14"/>
      </tp>
      <tp t="e">
        <v>#N/A</v>
        <stp/>
        <stp>BDH|15274779955201249285</stp>
        <tr r="E8" s="34"/>
      </tp>
      <tp t="e">
        <v>#N/A</v>
        <stp/>
        <stp>BDH|15671795941380555218</stp>
        <tr r="S47" s="6"/>
      </tp>
      <tp t="e">
        <v>#N/A</v>
        <stp/>
        <stp>BDH|11354617108946501557</stp>
        <tr r="K46" s="22"/>
      </tp>
      <tp t="e">
        <v>#N/A</v>
        <stp/>
        <stp>BDH|12815028751654114702</stp>
        <tr r="H12" s="12"/>
      </tp>
      <tp t="e">
        <v>#N/A</v>
        <stp/>
        <stp>BDH|17913960884405907786</stp>
        <tr r="T70" s="24"/>
      </tp>
      <tp t="e">
        <v>#N/A</v>
        <stp/>
        <stp>BDH|11936770921718521805</stp>
        <tr r="T36" s="12"/>
      </tp>
      <tp t="e">
        <v>#N/A</v>
        <stp/>
        <stp>BDH|16562281213398741933</stp>
        <tr r="D50" s="17"/>
      </tp>
      <tp t="e">
        <v>#N/A</v>
        <stp/>
        <stp>BDH|16849747071941586320</stp>
        <tr r="Q31" s="21"/>
      </tp>
      <tp t="e">
        <v>#N/A</v>
        <stp/>
        <stp>BDH|16933722043630546171</stp>
        <tr r="S18" s="5"/>
        <tr r="S41" s="6"/>
      </tp>
      <tp t="e">
        <v>#N/A</v>
        <stp/>
        <stp>BDH|16002492770178412970</stp>
        <tr r="P10" s="4"/>
        <tr r="O6" s="16"/>
        <tr r="R6" s="3"/>
        <tr r="P6" s="11"/>
      </tp>
      <tp t="e">
        <v>#N/A</v>
        <stp/>
        <stp>BDH|10187881356229295070</stp>
        <tr r="Q52" s="12"/>
      </tp>
      <tp t="e">
        <v>#N/A</v>
        <stp/>
        <stp>BDH|10909059880558158478</stp>
        <tr r="X86" s="24"/>
      </tp>
      <tp t="e">
        <v>#N/A</v>
        <stp/>
        <stp>BDH|14385376517561092393</stp>
        <tr r="AA31" s="24"/>
      </tp>
      <tp t="e">
        <v>#N/A</v>
        <stp/>
        <stp>BDH|14844565737714104227</stp>
        <tr r="S8" s="17"/>
      </tp>
      <tp t="e">
        <v>#N/A</v>
        <stp/>
        <stp>BDH|12763235903011830550</stp>
        <tr r="O21" s="18"/>
      </tp>
      <tp t="e">
        <v>#N/A</v>
        <stp/>
        <stp>BDH|15400790735236377315</stp>
        <tr r="K33" s="12"/>
      </tp>
      <tp t="e">
        <v>#N/A</v>
        <stp/>
        <stp>BDH|16771393472757653106</stp>
        <tr r="L27" s="6"/>
      </tp>
      <tp t="e">
        <v>#N/A</v>
        <stp/>
        <stp>BDH|15560247868046103326</stp>
        <tr r="J73" s="18"/>
      </tp>
      <tp t="e">
        <v>#N/A</v>
        <stp/>
        <stp>BDH|15029819314948876072</stp>
        <tr r="V26" s="10"/>
        <tr r="X32" s="13"/>
      </tp>
      <tp t="e">
        <v>#N/A</v>
        <stp/>
        <stp>BDH|10582982086707597243</stp>
        <tr r="I43" s="24"/>
      </tp>
      <tp t="e">
        <v>#N/A</v>
        <stp/>
        <stp>BDH|12890665995161622879</stp>
        <tr r="Y15" s="30"/>
      </tp>
      <tp t="e">
        <v>#N/A</v>
        <stp/>
        <stp>BDH|15329069318340463038</stp>
        <tr r="C20" s="14"/>
      </tp>
      <tp t="e">
        <v>#N/A</v>
        <stp/>
        <stp>BDH|17628848682265361698</stp>
        <tr r="W35" s="25"/>
      </tp>
      <tp t="e">
        <v>#N/A</v>
        <stp/>
        <stp>BDH|16230472417076858102</stp>
        <tr r="U7" s="11"/>
      </tp>
      <tp t="e">
        <v>#N/A</v>
        <stp/>
        <stp>BDH|17120208267442483583</stp>
        <tr r="V70" s="17"/>
      </tp>
      <tp t="e">
        <v>#N/A</v>
        <stp/>
        <stp>BDH|12831653241651134571</stp>
        <tr r="O17" s="22"/>
      </tp>
      <tp t="e">
        <v>#N/A</v>
        <stp/>
        <stp>BDH|11517019072070235290</stp>
        <tr r="F14" s="13"/>
      </tp>
      <tp t="e">
        <v>#N/A</v>
        <stp/>
        <stp>BDH|16675328127600825360</stp>
        <tr r="G31" s="18"/>
      </tp>
      <tp t="e">
        <v>#N/A</v>
        <stp/>
        <stp>BDH|17929635341084248549</stp>
        <tr r="F72" s="12"/>
      </tp>
      <tp t="e">
        <v>#N/A</v>
        <stp/>
        <stp>BDH|11817678559925384382</stp>
        <tr r="O39" s="10"/>
        <tr r="O31" s="11"/>
      </tp>
      <tp t="e">
        <v>#N/A</v>
        <stp/>
        <stp>BDH|15092146814778893958</stp>
        <tr r="E11" s="29"/>
      </tp>
      <tp t="e">
        <v>#N/A</v>
        <stp/>
        <stp>BDH|10393781941320664715</stp>
        <tr r="D49" s="4"/>
      </tp>
      <tp t="e">
        <v>#N/A</v>
        <stp/>
        <stp>BDH|14764673142083936169</stp>
        <tr r="F52" s="4"/>
        <tr r="H8" s="3"/>
        <tr r="F44" s="10"/>
        <tr r="F36" s="11"/>
        <tr r="H40" s="13"/>
      </tp>
      <tp t="e">
        <v>#N/A</v>
        <stp/>
        <stp>BDH|17998447123782673751</stp>
        <tr r="L9" s="34"/>
      </tp>
      <tp t="e">
        <v>#N/A</v>
        <stp/>
        <stp>BDH|10055653754902452584</stp>
        <tr r="H31" s="21"/>
      </tp>
      <tp t="e">
        <v>#N/A</v>
        <stp/>
        <stp>BDH|14088767528746139326</stp>
        <tr r="I28" s="22"/>
      </tp>
      <tp t="e">
        <v>#N/A</v>
        <stp/>
        <stp>BDH|16903040691828504345</stp>
        <tr r="O60" s="18"/>
      </tp>
      <tp t="e">
        <v>#N/A</v>
        <stp/>
        <stp>BDH|13388493674080670450</stp>
        <tr r="I15" s="26"/>
      </tp>
      <tp t="e">
        <v>#N/A</v>
        <stp/>
        <stp>BDH|16256387216242240238</stp>
        <tr r="O6" s="27"/>
      </tp>
      <tp t="e">
        <v>#N/A</v>
        <stp/>
        <stp>BDH|17746056081363649886</stp>
        <tr r="L73" s="24"/>
      </tp>
      <tp t="e">
        <v>#N/A</v>
        <stp/>
        <stp>BDH|14484259922475960570</stp>
        <tr r="H42" s="18"/>
      </tp>
      <tp t="e">
        <v>#N/A</v>
        <stp/>
        <stp>BDH|13893144428762995600</stp>
        <tr r="V90" s="12"/>
      </tp>
      <tp t="e">
        <v>#N/A</v>
        <stp/>
        <stp>BDH|14722691435174660107</stp>
        <tr r="AA58" s="12"/>
      </tp>
      <tp t="e">
        <v>#N/A</v>
        <stp/>
        <stp>BDH|12889656101069795965</stp>
        <tr r="E31" s="17"/>
      </tp>
      <tp t="e">
        <v>#N/A</v>
        <stp/>
        <stp>BDH|11719593024513125164</stp>
        <tr r="S28" s="25"/>
        <tr r="S14" s="27"/>
      </tp>
      <tp t="e">
        <v>#N/A</v>
        <stp/>
        <stp>BDH|18279838558607312679</stp>
        <tr r="N57" s="12"/>
      </tp>
      <tp t="e">
        <v>#N/A</v>
        <stp/>
        <stp>BDH|15652665268987302669</stp>
        <tr r="AA26" s="34"/>
      </tp>
      <tp t="e">
        <v>#N/A</v>
        <stp/>
        <stp>BDH|17987521840970462226</stp>
        <tr r="K141" s="18"/>
      </tp>
      <tp t="e">
        <v>#N/A</v>
        <stp/>
        <stp>BDH|16381115756362985406</stp>
        <tr r="Q45" s="4"/>
        <tr r="Q31" s="10"/>
        <tr r="Q23" s="11"/>
        <tr r="S30" s="13"/>
      </tp>
      <tp t="e">
        <v>#N/A</v>
        <stp/>
        <stp>BDH|14807126228102765181</stp>
        <tr r="T8" s="11"/>
      </tp>
      <tp t="e">
        <v>#N/A</v>
        <stp/>
        <stp>BDH|17359141896612873945</stp>
        <tr r="C35" s="4"/>
      </tp>
      <tp t="e">
        <v>#N/A</v>
        <stp/>
        <stp>BDH|15277605787279885608</stp>
        <tr r="V19" s="6"/>
      </tp>
      <tp t="e">
        <v>#N/A</v>
        <stp/>
        <stp>BDH|11247718978026431329</stp>
        <tr r="P38" s="34"/>
      </tp>
      <tp t="e">
        <v>#N/A</v>
        <stp/>
        <stp>BDH|12931212081704308870</stp>
        <tr r="W21" s="6"/>
      </tp>
      <tp t="e">
        <v>#N/A</v>
        <stp/>
        <stp>BDH|13490442633712623288</stp>
        <tr r="L21" s="27"/>
      </tp>
      <tp t="e">
        <v>#N/A</v>
        <stp/>
        <stp>BDH|13133774783899096183</stp>
        <tr r="S62" s="12"/>
      </tp>
      <tp t="e">
        <v>#N/A</v>
        <stp/>
        <stp>BDH|10932164040503228205</stp>
        <tr r="V56" s="17"/>
      </tp>
      <tp t="e">
        <v>#N/A</v>
        <stp/>
        <stp>BDH|10225225341224845644</stp>
        <tr r="Y9" s="12"/>
      </tp>
      <tp t="e">
        <v>#N/A</v>
        <stp/>
        <stp>BDH|15143801162079626682</stp>
        <tr r="D30" s="22"/>
      </tp>
      <tp t="e">
        <v>#N/A</v>
        <stp/>
        <stp>BDH|17900800080045263662</stp>
        <tr r="H24" s="10"/>
      </tp>
      <tp t="e">
        <v>#N/A</v>
        <stp/>
        <stp>BDH|10050663212626131587</stp>
        <tr r="U28" s="22"/>
      </tp>
      <tp t="e">
        <v>#N/A</v>
        <stp/>
        <stp>BDH|16604368454092907613</stp>
        <tr r="N47" s="34"/>
      </tp>
      <tp t="e">
        <v>#N/A</v>
        <stp/>
        <stp>BDH|10715737316912973073</stp>
        <tr r="S83" s="17"/>
      </tp>
      <tp t="e">
        <v>#N/A</v>
        <stp/>
        <stp>BDH|10626950878849467336</stp>
        <tr r="H40" s="34"/>
      </tp>
      <tp t="e">
        <v>#N/A</v>
        <stp/>
        <stp>BDH|11853678294293113964</stp>
        <tr r="W29" s="4"/>
      </tp>
      <tp t="e">
        <v>#N/A</v>
        <stp/>
        <stp>BDH|11637181576484283767</stp>
        <tr r="H55" s="17"/>
      </tp>
      <tp t="e">
        <v>#N/A</v>
        <stp/>
        <stp>BDH|12510471753440996744</stp>
        <tr r="N32" s="6"/>
      </tp>
      <tp t="e">
        <v>#N/A</v>
        <stp/>
        <stp>BDH|14805698396847881831</stp>
        <tr r="R96" s="18"/>
      </tp>
      <tp t="e">
        <v>#N/A</v>
        <stp/>
        <stp>BDH|12322818239528503520</stp>
        <tr r="H12" s="18"/>
      </tp>
      <tp t="e">
        <v>#N/A</v>
        <stp/>
        <stp>BDH|15239356239060332118</stp>
        <tr r="U28" s="12"/>
      </tp>
      <tp t="e">
        <v>#N/A</v>
        <stp/>
        <stp>BDH|12305539806076829525</stp>
        <tr r="I11" s="11"/>
      </tp>
      <tp t="e">
        <v>#N/A</v>
        <stp/>
        <stp>BDH|13121778016275444482</stp>
        <tr r="U33" s="24"/>
      </tp>
      <tp t="e">
        <v>#N/A</v>
        <stp/>
        <stp>BDH|14206989530003065962</stp>
        <tr r="N70" s="18"/>
      </tp>
      <tp t="e">
        <v>#N/A</v>
        <stp/>
        <stp>BDH|11463737039248427962</stp>
        <tr r="N43" s="12"/>
      </tp>
      <tp t="e">
        <v>#N/A</v>
        <stp/>
        <stp>BDH|16900372053762148603</stp>
        <tr r="P49" s="12"/>
      </tp>
      <tp t="e">
        <v>#N/A</v>
        <stp/>
        <stp>BDH|14677254811661948273</stp>
        <tr r="N130" s="18"/>
      </tp>
      <tp t="e">
        <v>#N/A</v>
        <stp/>
        <stp>BDH|12008238358162604318</stp>
        <tr r="S63" s="18"/>
      </tp>
      <tp t="e">
        <v>#N/A</v>
        <stp/>
        <stp>BDH|17609387634064365756</stp>
        <tr r="D9" s="21"/>
      </tp>
      <tp t="e">
        <v>#N/A</v>
        <stp/>
        <stp>BDH|15033497759225823543</stp>
        <tr r="W27" s="26"/>
      </tp>
      <tp t="e">
        <v>#N/A</v>
        <stp/>
        <stp>BDH|17431184742576025027</stp>
        <tr r="T10" s="26"/>
      </tp>
      <tp t="e">
        <v>#N/A</v>
        <stp/>
        <stp>BDH|14380237190899859245</stp>
        <tr r="O83" s="24"/>
      </tp>
      <tp t="e">
        <v>#N/A</v>
        <stp/>
        <stp>BDH|16054393582228601113</stp>
        <tr r="AA26" s="17"/>
      </tp>
      <tp t="e">
        <v>#N/A</v>
        <stp/>
        <stp>BDH|12015528291089966369</stp>
        <tr r="Q39" s="17"/>
      </tp>
      <tp t="e">
        <v>#N/A</v>
        <stp/>
        <stp>BDH|17762687846148311964</stp>
        <tr r="U47" s="10"/>
        <tr r="U39" s="11"/>
      </tp>
      <tp t="e">
        <v>#N/A</v>
        <stp/>
        <stp>BDH|16415687361772826096</stp>
        <tr r="J41" s="34"/>
      </tp>
      <tp t="e">
        <v>#N/A</v>
        <stp/>
        <stp>BDH|10783516502339818808</stp>
        <tr r="X18" s="14"/>
      </tp>
      <tp t="e">
        <v>#N/A</v>
        <stp/>
        <stp>BDH|11340062882129355486</stp>
        <tr r="S88" s="17"/>
      </tp>
      <tp t="e">
        <v>#N/A</v>
        <stp/>
        <stp>BDH|11687224421095115089</stp>
        <tr r="F90" s="12"/>
      </tp>
      <tp t="e">
        <v>#N/A</v>
        <stp/>
        <stp>BDH|15910883289255039478</stp>
        <tr r="O109" s="18"/>
      </tp>
      <tp t="e">
        <v>#N/A</v>
        <stp/>
        <stp>BDH|11140582712884676522</stp>
        <tr r="U18" s="14"/>
      </tp>
      <tp t="e">
        <v>#N/A</v>
        <stp/>
        <stp>BDH|14838436969920413296</stp>
        <tr r="K29" s="29"/>
        <tr r="K7" s="29"/>
      </tp>
      <tp t="e">
        <v>#N/A</v>
        <stp/>
        <stp>BDH|10609420328181434378</stp>
        <tr r="R78" s="24"/>
      </tp>
      <tp t="e">
        <v>#N/A</v>
        <stp/>
        <stp>BDH|12968376206214081172</stp>
        <tr r="W47" s="17"/>
      </tp>
      <tp t="e">
        <v>#N/A</v>
        <stp/>
        <stp>BDH|12425574330261843148</stp>
        <tr r="G12" s="21"/>
      </tp>
      <tp t="e">
        <v>#N/A</v>
        <stp/>
        <stp>BDH|13794914880200958605</stp>
        <tr r="AA33" s="21"/>
      </tp>
      <tp t="e">
        <v>#N/A</v>
        <stp/>
        <stp>BDH|12611104335251583591</stp>
        <tr r="N7" s="17"/>
      </tp>
      <tp t="e">
        <v>#N/A</v>
        <stp/>
        <stp>BDH|16101062099712391922</stp>
        <tr r="X81" s="18"/>
      </tp>
      <tp t="e">
        <v>#N/A</v>
        <stp/>
        <stp>BDH|15940815765986503975</stp>
        <tr r="O135" s="18"/>
      </tp>
      <tp t="e">
        <v>#N/A</v>
        <stp/>
        <stp>BDH|15332386914560947399</stp>
        <tr r="R21" s="4"/>
      </tp>
      <tp t="e">
        <v>#N/A</v>
        <stp/>
        <stp>BDH|13657207872285978724</stp>
        <tr r="Q12" s="11"/>
      </tp>
      <tp t="e">
        <v>#N/A</v>
        <stp/>
        <stp>BDH|11511295922624431152</stp>
        <tr r="AA25" s="21"/>
      </tp>
      <tp t="e">
        <v>#N/A</v>
        <stp/>
        <stp>BDH|14978922491838094857</stp>
        <tr r="E14" s="20"/>
      </tp>
      <tp t="e">
        <v>#N/A</v>
        <stp/>
        <stp>BDH|15567695360024505560</stp>
        <tr r="Y53" s="10"/>
        <tr r="Y45" s="11"/>
        <tr r="Y16" s="7"/>
      </tp>
      <tp t="e">
        <v>#N/A</v>
        <stp/>
        <stp>BDH|12222419329415389565</stp>
        <tr r="W38" s="4"/>
        <tr r="W58" s="11"/>
        <tr r="Y13" s="23"/>
      </tp>
      <tp t="e">
        <v>#N/A</v>
        <stp/>
        <stp>BDH|12691491479371117488</stp>
        <tr r="W20" s="2"/>
        <tr r="W18" s="4"/>
        <tr r="W58" s="10"/>
        <tr r="W50" s="11"/>
        <tr r="W19" s="7"/>
        <tr r="Y65" s="13"/>
      </tp>
      <tp t="e">
        <v>#N/A</v>
        <stp/>
        <stp>BDH|10880324538311886555</stp>
        <tr r="K97" s="18"/>
        <tr r="K6" s="20"/>
      </tp>
      <tp t="e">
        <v>#N/A</v>
        <stp/>
        <stp>BDH|12802935736488380418</stp>
        <tr r="U30" s="34"/>
      </tp>
      <tp t="e">
        <v>#N/A</v>
        <stp/>
        <stp>BDH|12928557237678063844</stp>
        <tr r="U7" s="4"/>
      </tp>
      <tp t="e">
        <v>#N/A</v>
        <stp/>
        <stp>BDH|10427905291026207286</stp>
        <tr r="W46" s="24"/>
      </tp>
      <tp t="e">
        <v>#N/A</v>
        <stp/>
        <stp>BDH|11901369265597254779</stp>
        <tr r="I59" s="12"/>
      </tp>
      <tp t="e">
        <v>#N/A</v>
        <stp/>
        <stp>BDH|11353011407483346694</stp>
        <tr r="N25" s="24"/>
      </tp>
      <tp t="e">
        <v>#N/A</v>
        <stp/>
        <stp>BDH|14746827298925524478</stp>
        <tr r="G62" s="18"/>
      </tp>
      <tp t="e">
        <v>#N/A</v>
        <stp/>
        <stp>BDH|11751176803687469384</stp>
        <tr r="C22" s="6"/>
      </tp>
      <tp t="e">
        <v>#N/A</v>
        <stp/>
        <stp>BDH|10112595540857699212</stp>
        <tr r="D6" s="2"/>
        <tr r="C6" s="5"/>
        <tr r="C6" s="9"/>
        <tr r="E12" s="8"/>
        <tr r="D10" s="29"/>
        <tr r="D19" s="29"/>
        <tr r="D25" s="29"/>
      </tp>
      <tp t="e">
        <v>#N/A</v>
        <stp/>
        <stp>BDH|16185031195928970310</stp>
        <tr r="N50" s="13"/>
      </tp>
      <tp t="e">
        <v>#N/A</v>
        <stp/>
        <stp>BDH|12723494826668200856</stp>
        <tr r="S9" s="21"/>
      </tp>
      <tp t="e">
        <v>#N/A</v>
        <stp/>
        <stp>BDH|11272092471396286478</stp>
        <tr r="F59" s="13"/>
      </tp>
      <tp t="e">
        <v>#N/A</v>
        <stp/>
        <stp>BDH|12418345374720921227</stp>
        <tr r="I22" s="11"/>
      </tp>
      <tp t="e">
        <v>#N/A</v>
        <stp/>
        <stp>BDH|13432047141550673380</stp>
        <tr r="K7" s="30"/>
      </tp>
      <tp t="e">
        <v>#N/A</v>
        <stp/>
        <stp>BDH|14251732629226322341</stp>
        <tr r="C114" s="18"/>
      </tp>
      <tp t="e">
        <v>#N/A</v>
        <stp/>
        <stp>BDH|11472525999801074808</stp>
        <tr r="P22" s="22"/>
      </tp>
      <tp t="e">
        <v>#N/A</v>
        <stp/>
        <stp>BDH|10451518564031884660</stp>
        <tr r="Z69" s="17"/>
      </tp>
      <tp t="e">
        <v>#N/A</v>
        <stp/>
        <stp>BDH|15003845198112251214</stp>
        <tr r="Y26" s="22"/>
      </tp>
      <tp t="e">
        <v>#N/A</v>
        <stp/>
        <stp>BDH|16374998037979769154</stp>
        <tr r="K34" s="17"/>
      </tp>
      <tp t="e">
        <v>#N/A</v>
        <stp/>
        <stp>BDH|13246026110007754183</stp>
        <tr r="U89" s="17"/>
        <tr r="U34" s="25"/>
      </tp>
      <tp t="e">
        <v>#N/A</v>
        <stp/>
        <stp>BDH|17787656128106794122</stp>
        <tr r="V9" s="12"/>
      </tp>
      <tp t="e">
        <v>#N/A</v>
        <stp/>
        <stp>BDH|10660309911456805010</stp>
        <tr r="K17" s="29"/>
        <tr r="K40" s="29"/>
      </tp>
      <tp t="e">
        <v>#N/A</v>
        <stp/>
        <stp>BDH|13829278493159284509</stp>
        <tr r="R49" s="22"/>
      </tp>
      <tp t="e">
        <v>#N/A</v>
        <stp/>
        <stp>BDH|15805009643783272673</stp>
        <tr r="S11" s="13"/>
      </tp>
      <tp t="e">
        <v>#N/A</v>
        <stp/>
        <stp>BDH|16784512048267765474</stp>
        <tr r="I79" s="12"/>
      </tp>
      <tp t="e">
        <v>#N/A</v>
        <stp/>
        <stp>BDH|15769489725587525012</stp>
        <tr r="S43" s="6"/>
      </tp>
      <tp t="e">
        <v>#N/A</v>
        <stp/>
        <stp>BDH|15981394608656419422</stp>
        <tr r="M83" s="12"/>
      </tp>
      <tp t="e">
        <v>#N/A</v>
        <stp/>
        <stp>BDH|17280997726190404877</stp>
        <tr r="E18" s="10"/>
        <tr r="G16" s="13"/>
        <tr r="G27" s="13"/>
      </tp>
      <tp t="e">
        <v>#N/A</v>
        <stp/>
        <stp>BDH|15569481645549399852</stp>
        <tr r="G24" s="10"/>
      </tp>
      <tp t="e">
        <v>#N/A</v>
        <stp/>
        <stp>BDH|16715094743454376208</stp>
        <tr r="W116" s="18"/>
      </tp>
      <tp t="e">
        <v>#N/A</v>
        <stp/>
        <stp>BDH|11730792201843955182</stp>
        <tr r="W45" s="22"/>
      </tp>
      <tp t="e">
        <v>#N/A</v>
        <stp/>
        <stp>BDH|12874019564680165023</stp>
        <tr r="J132" s="18"/>
      </tp>
      <tp t="e">
        <v>#N/A</v>
        <stp/>
        <stp>BDH|14187076498390035903</stp>
        <tr r="Y19" s="12"/>
      </tp>
      <tp t="e">
        <v>#N/A</v>
        <stp/>
        <stp>BDH|15734450913193686797</stp>
        <tr r="AA34" s="12"/>
      </tp>
      <tp t="e">
        <v>#N/A</v>
        <stp/>
        <stp>BDH|15381873008059759052</stp>
        <tr r="M107" s="18"/>
      </tp>
      <tp t="e">
        <v>#N/A</v>
        <stp/>
        <stp>BDH|15498135961764168291</stp>
        <tr r="W100" s="18"/>
        <tr r="W9" s="20"/>
      </tp>
      <tp t="e">
        <v>#N/A</v>
        <stp/>
        <stp>BDH|11864336189339881747</stp>
        <tr r="N16" s="14"/>
      </tp>
      <tp t="e">
        <v>#N/A</v>
        <stp/>
        <stp>BDH|15993977864926122857</stp>
        <tr r="N15" s="4"/>
      </tp>
      <tp t="e">
        <v>#N/A</v>
        <stp/>
        <stp>BDH|12239676260677996128</stp>
        <tr r="M13" s="13"/>
      </tp>
      <tp t="e">
        <v>#N/A</v>
        <stp/>
        <stp>BDH|10152494363735417315</stp>
        <tr r="M31" s="24"/>
      </tp>
      <tp t="e">
        <v>#N/A</v>
        <stp/>
        <stp>BDH|14757396132018454864</stp>
        <tr r="O32" s="5"/>
      </tp>
      <tp t="e">
        <v>#N/A</v>
        <stp/>
        <stp>BDH|18304844949101809184</stp>
        <tr r="V46" s="17"/>
      </tp>
      <tp t="e">
        <v>#N/A</v>
        <stp/>
        <stp>BDH|12069984687312432555</stp>
        <tr r="Q61" s="24"/>
      </tp>
      <tp t="e">
        <v>#N/A</v>
        <stp/>
        <stp>BDH|10314706907053368096</stp>
        <tr r="G35" s="10"/>
        <tr r="G27" s="11"/>
      </tp>
      <tp t="e">
        <v>#N/A</v>
        <stp/>
        <stp>BDH|11866181760603951173</stp>
        <tr r="R99" s="18"/>
        <tr r="R8" s="20"/>
      </tp>
      <tp t="e">
        <v>#N/A</v>
        <stp/>
        <stp>BDH|17479516365713718390</stp>
        <tr r="G38" s="4"/>
        <tr r="G58" s="11"/>
        <tr r="I13" s="23"/>
      </tp>
      <tp t="e">
        <v>#N/A</v>
        <stp/>
        <stp>BDH|12978520741861291660</stp>
        <tr r="Y16" s="21"/>
      </tp>
      <tp t="e">
        <v>#N/A</v>
        <stp/>
        <stp>BDH|14832495043555441581</stp>
        <tr r="F49" s="4"/>
      </tp>
      <tp t="e">
        <v>#N/A</v>
        <stp/>
        <stp>BDH|11982526412060182160</stp>
        <tr r="L32" s="24"/>
      </tp>
      <tp t="e">
        <v>#N/A</v>
        <stp/>
        <stp>BDH|15508675284138123793</stp>
        <tr r="G73" s="24"/>
      </tp>
      <tp t="e">
        <v>#N/A</v>
        <stp/>
        <stp>BDH|16210334705793833225</stp>
        <tr r="D74" s="24"/>
      </tp>
      <tp t="e">
        <v>#N/A</v>
        <stp/>
        <stp>BDH|10016246613412008597</stp>
        <tr r="M22" s="17"/>
      </tp>
      <tp t="e">
        <v>#N/A</v>
        <stp/>
        <stp>BDH|13056202877344010691</stp>
        <tr r="U16" s="18"/>
      </tp>
      <tp t="e">
        <v>#N/A</v>
        <stp/>
        <stp>BDH|10884906647908957186</stp>
        <tr r="I21" s="21"/>
      </tp>
      <tp t="e">
        <v>#N/A</v>
        <stp/>
        <stp>BDH|15418708709097410083</stp>
        <tr r="G52" s="6"/>
        <tr r="I9" s="8"/>
      </tp>
      <tp t="e">
        <v>#N/A</v>
        <stp/>
        <stp>BDH|12403914837449281412</stp>
        <tr r="P44" s="34"/>
      </tp>
      <tp t="e">
        <v>#N/A</v>
        <stp/>
        <stp>BDH|16883511141663021197</stp>
        <tr r="AA28" s="34"/>
      </tp>
      <tp t="e">
        <v>#N/A</v>
        <stp/>
        <stp>BDH|11986811788237776366</stp>
        <tr r="L22" s="4"/>
      </tp>
      <tp t="e">
        <v>#N/A</v>
        <stp/>
        <stp>BDH|12093607870994446259</stp>
        <tr r="O73" s="24"/>
      </tp>
      <tp t="e">
        <v>#N/A</v>
        <stp/>
        <stp>BDH|11299777969311537487</stp>
        <tr r="O46" s="13"/>
      </tp>
      <tp t="e">
        <v>#N/A</v>
        <stp/>
        <stp>BDH|15689994958344066860</stp>
        <tr r="T23" s="21"/>
      </tp>
      <tp t="e">
        <v>#N/A</v>
        <stp/>
        <stp>BDH|15899462869463758115</stp>
        <tr r="O18" s="12"/>
      </tp>
      <tp t="e">
        <v>#N/A</v>
        <stp/>
        <stp>BDH|13662899009669610717</stp>
        <tr r="V31" s="9"/>
      </tp>
      <tp t="e">
        <v>#N/A</v>
        <stp/>
        <stp>BDH|10100636533356038608</stp>
        <tr r="L24" s="9"/>
      </tp>
      <tp t="e">
        <v>#N/A</v>
        <stp/>
        <stp>BDH|16126363229920842272</stp>
        <tr r="M39" s="26"/>
      </tp>
      <tp t="e">
        <v>#N/A</v>
        <stp/>
        <stp>BDH|16783606776476137417</stp>
        <tr r="O61" s="11"/>
      </tp>
      <tp t="e">
        <v>#N/A</v>
        <stp/>
        <stp>BDH|16137812893220573279</stp>
        <tr r="Q30" s="29"/>
        <tr r="Q8" s="29"/>
      </tp>
      <tp t="e">
        <v>#N/A</v>
        <stp/>
        <stp>BDH|13993321011883259798</stp>
        <tr r="C48" s="17"/>
      </tp>
      <tp t="e">
        <v>#N/A</v>
        <stp/>
        <stp>BDH|12245434084219288266</stp>
        <tr r="I76" s="24"/>
      </tp>
      <tp t="e">
        <v>#N/A</v>
        <stp/>
        <stp>BDH|11760798814222231093</stp>
        <tr r="X29" s="12"/>
      </tp>
      <tp t="e">
        <v>#N/A</v>
        <stp/>
        <stp>BDH|14032756150786460507</stp>
        <tr r="C43" s="29"/>
      </tp>
      <tp t="e">
        <v>#N/A</v>
        <stp/>
        <stp>BDH|12463564243733850583</stp>
        <tr r="I57" s="6"/>
      </tp>
      <tp t="e">
        <v>#N/A</v>
        <stp/>
        <stp>BDH|12462416920928094942</stp>
        <tr r="E81" s="18"/>
      </tp>
      <tp t="e">
        <v>#N/A</v>
        <stp/>
        <stp>BDH|13265818983996349021</stp>
        <tr r="S17" s="14"/>
      </tp>
      <tp t="e">
        <v>#N/A</v>
        <stp/>
        <stp>BDH|13468037125273181729</stp>
        <tr r="E53" s="10"/>
        <tr r="E45" s="11"/>
        <tr r="E16" s="7"/>
      </tp>
      <tp t="e">
        <v>#N/A</v>
        <stp/>
        <stp>BDH|13905148932976700293</stp>
        <tr r="J16" s="6"/>
      </tp>
      <tp t="e">
        <v>#N/A</v>
        <stp/>
        <stp>BDH|14068330896258720337</stp>
        <tr r="P120" s="18"/>
      </tp>
      <tp t="e">
        <v>#N/A</v>
        <stp/>
        <stp>BDH|11569076064021799308</stp>
        <tr r="J67" s="17"/>
        <tr r="G8" s="5"/>
        <tr r="G8" s="9"/>
      </tp>
      <tp t="e">
        <v>#N/A</v>
        <stp/>
        <stp>BDH|17014250965556315025</stp>
        <tr r="V141" s="18"/>
      </tp>
      <tp t="e">
        <v>#N/A</v>
        <stp/>
        <stp>BDH|11154434375703716417</stp>
        <tr r="K103" s="18"/>
      </tp>
      <tp t="e">
        <v>#N/A</v>
        <stp/>
        <stp>BDH|17144744133104700206</stp>
        <tr r="R23" s="26"/>
      </tp>
      <tp t="e">
        <v>#N/A</v>
        <stp/>
        <stp>BDH|10078204466793163265</stp>
        <tr r="G55" s="24"/>
      </tp>
      <tp t="e">
        <v>#N/A</v>
        <stp/>
        <stp>BDH|11484559776096729014</stp>
        <tr r="C16" s="21"/>
      </tp>
      <tp t="e">
        <v>#N/A</v>
        <stp/>
        <stp>BDH|16187811813623095920</stp>
        <tr r="L60" s="17"/>
      </tp>
      <tp t="e">
        <v>#N/A</v>
        <stp/>
        <stp>BDH|15340565445669174806</stp>
        <tr r="W10" s="21"/>
      </tp>
      <tp t="e">
        <v>#N/A</v>
        <stp/>
        <stp>BDH|15635912133198152240</stp>
        <tr r="Z67" s="12"/>
      </tp>
      <tp t="e">
        <v>#N/A</v>
        <stp/>
        <stp>BDH|13808655058740115556</stp>
        <tr r="P18" s="2"/>
        <tr r="P53" s="4"/>
        <tr r="P46" s="10"/>
        <tr r="P38" s="11"/>
        <tr r="R51" s="13"/>
      </tp>
      <tp t="e">
        <v>#N/A</v>
        <stp/>
        <stp>BDH|14819672108612441524</stp>
        <tr r="P23" s="2"/>
        <tr r="R18" s="21"/>
        <tr r="R23" s="3"/>
      </tp>
      <tp t="e">
        <v>#N/A</v>
        <stp/>
        <stp>BDH|12768766936516675507</stp>
        <tr r="J8" s="23"/>
      </tp>
      <tp t="e">
        <v>#N/A</v>
        <stp/>
        <stp>BDH|10513546200209440944</stp>
        <tr r="D34" s="13"/>
      </tp>
      <tp t="e">
        <v>#N/A</v>
        <stp/>
        <stp>BDH|12932038821713817629</stp>
        <tr r="U74" s="17"/>
      </tp>
      <tp t="e">
        <v>#N/A</v>
        <stp/>
        <stp>BDH|10545682703736754580</stp>
        <tr r="O27" s="26"/>
      </tp>
      <tp t="e">
        <v>#N/A</v>
        <stp/>
        <stp>BDH|13990389952147718754</stp>
        <tr r="H29" s="10"/>
        <tr r="J35" s="13"/>
      </tp>
      <tp t="e">
        <v>#N/A</v>
        <stp/>
        <stp>BDH|15027345341474396361</stp>
        <tr r="W21" s="4"/>
      </tp>
      <tp t="e">
        <v>#N/A</v>
        <stp/>
        <stp>BDH|17101128560431661451</stp>
        <tr r="O17" s="4"/>
        <tr r="Q10" s="3"/>
        <tr r="O56" s="10"/>
        <tr r="O48" s="11"/>
        <tr r="O17" s="7"/>
        <tr r="Q54" s="13"/>
      </tp>
      <tp t="e">
        <v>#N/A</v>
        <stp/>
        <stp>BDH|13777269175324626724</stp>
        <tr r="N10" s="18"/>
      </tp>
      <tp t="e">
        <v>#N/A</v>
        <stp/>
        <stp>BDH|16055163774970157531</stp>
        <tr r="D55" s="12"/>
      </tp>
      <tp t="e">
        <v>#N/A</v>
        <stp/>
        <stp>BDH|10390059666090682362</stp>
        <tr r="T20" s="24"/>
      </tp>
      <tp t="e">
        <v>#N/A</v>
        <stp/>
        <stp>BDH|17500217917567602658</stp>
        <tr r="H81" s="12"/>
      </tp>
      <tp t="e">
        <v>#N/A</v>
        <stp/>
        <stp>BDH|11224308373689704966</stp>
        <tr r="E105" s="18"/>
      </tp>
      <tp t="e">
        <v>#N/A</v>
        <stp/>
        <stp>BDH|12918613240881159495</stp>
        <tr r="O19" s="10"/>
      </tp>
      <tp t="e">
        <v>#N/A</v>
        <stp/>
        <stp>BDH|13895233062934006699</stp>
        <tr r="T11" s="14"/>
      </tp>
      <tp t="e">
        <v>#N/A</v>
        <stp/>
        <stp>BDH|11997180976340646217</stp>
        <tr r="V24" s="22"/>
      </tp>
      <tp t="e">
        <v>#N/A</v>
        <stp/>
        <stp>BDH|15379606931382597772</stp>
        <tr r="K47" s="34"/>
      </tp>
      <tp t="e">
        <v>#N/A</v>
        <stp/>
        <stp>BDH|16797408421957154274</stp>
        <tr r="W63" s="13"/>
      </tp>
      <tp t="e">
        <v>#N/A</v>
        <stp/>
        <stp>BDH|13695005914740765755</stp>
        <tr r="X66" s="17"/>
        <tr r="X18" s="3"/>
      </tp>
      <tp t="e">
        <v>#N/A</v>
        <stp/>
        <stp>BDH|18335971800826262262</stp>
        <tr r="W47" s="21"/>
      </tp>
      <tp t="e">
        <v>#N/A</v>
        <stp/>
        <stp>BDH|12718916318116603988</stp>
        <tr r="S27" s="22"/>
      </tp>
      <tp t="e">
        <v>#N/A</v>
        <stp/>
        <stp>BDH|17135239643351912586</stp>
        <tr r="G39" s="26"/>
      </tp>
      <tp t="e">
        <v>#N/A</v>
        <stp/>
        <stp>BDH|14953318258241547655</stp>
        <tr r="I26" s="17"/>
      </tp>
      <tp t="e">
        <v>#N/A</v>
        <stp/>
        <stp>BDH|15784265267244470026</stp>
        <tr r="T98" s="18"/>
        <tr r="T7" s="20"/>
      </tp>
      <tp t="e">
        <v>#N/A</v>
        <stp/>
        <stp>BDH|10469407516702035228</stp>
        <tr r="Q120" s="18"/>
      </tp>
      <tp t="e">
        <v>#N/A</v>
        <stp/>
        <stp>BDH|17053362777923206533</stp>
        <tr r="O68" s="24"/>
      </tp>
      <tp t="e">
        <v>#N/A</v>
        <stp/>
        <stp>BDH|16546163706845429711</stp>
        <tr r="R62" s="21"/>
      </tp>
      <tp t="e">
        <v>#N/A</v>
        <stp/>
        <stp>BDH|14634413813211472509</stp>
        <tr r="Z106" s="18"/>
      </tp>
      <tp t="e">
        <v>#N/A</v>
        <stp/>
        <stp>BDH|14748859640569077423</stp>
        <tr r="G85" s="18"/>
      </tp>
      <tp t="e">
        <v>#N/A</v>
        <stp/>
        <stp>BDH|12201044963241194043</stp>
        <tr r="W129" s="18"/>
      </tp>
      <tp t="e">
        <v>#N/A</v>
        <stp/>
        <stp>BDH|15383976993094137461</stp>
        <tr r="V49" s="13"/>
      </tp>
      <tp t="e">
        <v>#N/A</v>
        <stp/>
        <stp>BDH|15316565640981684036</stp>
        <tr r="I48" s="18"/>
      </tp>
      <tp t="e">
        <v>#N/A</v>
        <stp/>
        <stp>BDH|13664167511183107503</stp>
        <tr r="U19" s="5"/>
        <tr r="U46" s="6"/>
      </tp>
      <tp t="e">
        <v>#N/A</v>
        <stp/>
        <stp>BDH|16491761153963478255</stp>
        <tr r="S22" s="24"/>
      </tp>
      <tp t="e">
        <v>#N/A</v>
        <stp/>
        <stp>BDH|11454164136383564517</stp>
        <tr r="L38" s="26"/>
      </tp>
      <tp t="e">
        <v>#N/A</v>
        <stp/>
        <stp>BDH|11911001413372297789</stp>
        <tr r="C14" s="4"/>
      </tp>
      <tp t="e">
        <v>#N/A</v>
        <stp/>
        <stp>BDH|18338557224072478860</stp>
        <tr r="C53" s="17"/>
      </tp>
      <tp t="e">
        <v>#N/A</v>
        <stp/>
        <stp>BDH|16070035842203249437</stp>
        <tr r="J25" s="5"/>
      </tp>
      <tp t="e">
        <v>#N/A</v>
        <stp/>
        <stp>BDH|13620769459830887419</stp>
        <tr r="F48" s="22"/>
      </tp>
      <tp t="e">
        <v>#N/A</v>
        <stp/>
        <stp>BDH|11619889024787960938</stp>
        <tr r="D26" s="12"/>
      </tp>
      <tp t="e">
        <v>#N/A</v>
        <stp/>
        <stp>BDH|13871504579797652371</stp>
        <tr r="L9" s="10"/>
      </tp>
      <tp t="e">
        <v>#N/A</v>
        <stp/>
        <stp>BDH|16153618777486103469</stp>
        <tr r="O124" s="18"/>
      </tp>
      <tp t="e">
        <v>#N/A</v>
        <stp/>
        <stp>BDH|14484259404304074755</stp>
        <tr r="E21" s="17"/>
        <tr r="E15" s="3"/>
      </tp>
      <tp t="e">
        <v>#N/A</v>
        <stp/>
        <stp>BDH|17523542320237862294</stp>
        <tr r="D9" s="11"/>
      </tp>
      <tp t="e">
        <v>#N/A</v>
        <stp/>
        <stp>BDH|13869293620050533641</stp>
        <tr r="N49" s="4"/>
      </tp>
      <tp t="e">
        <v>#N/A</v>
        <stp/>
        <stp>BDH|13997263873000988355</stp>
        <tr r="G26" s="29"/>
      </tp>
      <tp t="e">
        <v>#N/A</v>
        <stp/>
        <stp>BDH|11245013995235132870</stp>
        <tr r="P37" s="18"/>
      </tp>
      <tp t="e">
        <v>#N/A</v>
        <stp/>
        <stp>BDH|11055341883219697619</stp>
        <tr r="Y34" s="24"/>
      </tp>
      <tp t="e">
        <v>#N/A</v>
        <stp/>
        <stp>BDH|12661586557343076492</stp>
        <tr r="W44" s="34"/>
      </tp>
      <tp t="e">
        <v>#N/A</v>
        <stp/>
        <stp>BDH|12944457305384873712</stp>
        <tr r="Y27" s="24"/>
      </tp>
      <tp t="e">
        <v>#N/A</v>
        <stp/>
        <stp>BDH|14261692238110069436</stp>
        <tr r="Y20" s="14"/>
      </tp>
      <tp t="e">
        <v>#N/A</v>
        <stp/>
        <stp>BDH|12362973284257344136</stp>
        <tr r="Z62" s="17"/>
      </tp>
      <tp t="e">
        <v>#N/A</v>
        <stp/>
        <stp>BDH|14222572710050431516</stp>
        <tr r="I6" s="2"/>
        <tr r="H6" s="5"/>
        <tr r="H6" s="9"/>
        <tr r="J12" s="8"/>
        <tr r="I10" s="29"/>
        <tr r="I19" s="29"/>
        <tr r="I25" s="29"/>
      </tp>
      <tp t="e">
        <v>#N/A</v>
        <stp/>
        <stp>BDH|17694335770361779713</stp>
        <tr r="S62" s="21"/>
      </tp>
      <tp t="e">
        <v>#N/A</v>
        <stp/>
        <stp>BDH|10126678353336639001</stp>
        <tr r="N88" s="17"/>
      </tp>
      <tp t="e">
        <v>#N/A</v>
        <stp/>
        <stp>BDH|14631159682279708153</stp>
        <tr r="T62" s="24"/>
      </tp>
      <tp t="e">
        <v>#N/A</v>
        <stp/>
        <stp>BDH|15148585041630281194</stp>
        <tr r="AA86" s="18"/>
      </tp>
      <tp t="e">
        <v>#N/A</v>
        <stp/>
        <stp>BDH|12415242844762088377</stp>
        <tr r="G18" s="2"/>
        <tr r="G53" s="4"/>
        <tr r="G46" s="10"/>
        <tr r="G38" s="11"/>
        <tr r="I51" s="13"/>
      </tp>
      <tp t="e">
        <v>#N/A</v>
        <stp/>
        <stp>BDH|17253000927951558133</stp>
        <tr r="T27" s="17"/>
      </tp>
      <tp t="e">
        <v>#N/A</v>
        <stp/>
        <stp>BDH|12014293419731472578</stp>
        <tr r="L42" s="17"/>
      </tp>
      <tp t="e">
        <v>#N/A</v>
        <stp/>
        <stp>BDH|15541421991694328968</stp>
        <tr r="O32" s="21"/>
      </tp>
      <tp t="e">
        <v>#N/A</v>
        <stp/>
        <stp>BDH|15618676251446330508</stp>
        <tr r="U29" s="34"/>
      </tp>
      <tp t="e">
        <v>#N/A</v>
        <stp/>
        <stp>BDH|17334472145056588471</stp>
        <tr r="G27" s="18"/>
      </tp>
      <tp t="e">
        <v>#N/A</v>
        <stp/>
        <stp>BDH|11036999507304838955</stp>
        <tr r="J21" s="10"/>
      </tp>
      <tp t="e">
        <v>#N/A</v>
        <stp/>
        <stp>BDH|15206684829856641267</stp>
        <tr r="O34" s="24"/>
      </tp>
      <tp t="e">
        <v>#N/A</v>
        <stp/>
        <stp>BDH|11580491717750136192</stp>
        <tr r="D47" s="34"/>
      </tp>
      <tp t="e">
        <v>#N/A</v>
        <stp/>
        <stp>BDH|10081323531650249527</stp>
        <tr r="V60" s="24"/>
      </tp>
      <tp t="e">
        <v>#N/A</v>
        <stp/>
        <stp>BDH|11266988637909688781</stp>
        <tr r="K24" s="22"/>
      </tp>
      <tp t="e">
        <v>#N/A</v>
        <stp/>
        <stp>BDH|16201167804851668357</stp>
        <tr r="X9" s="23"/>
      </tp>
      <tp t="e">
        <v>#N/A</v>
        <stp/>
        <stp>BDH|16360400771409484954</stp>
        <tr r="T43" s="17"/>
      </tp>
      <tp t="e">
        <v>#N/A</v>
        <stp/>
        <stp>BDH|14124793748032648058</stp>
        <tr r="K8" s="10"/>
      </tp>
      <tp t="e">
        <v>#N/A</v>
        <stp/>
        <stp>BDH|12729238914704733042</stp>
        <tr r="J62" s="12"/>
      </tp>
      <tp t="e">
        <v>#N/A</v>
        <stp/>
        <stp>BDH|17424696419015302048</stp>
        <tr r="Q34" s="9"/>
      </tp>
      <tp t="e">
        <v>#N/A</v>
        <stp/>
        <stp>BDH|10867567748466044252</stp>
        <tr r="V35" s="22"/>
      </tp>
      <tp t="e">
        <v>#N/A</v>
        <stp/>
        <stp>BDH|15212974806258605165</stp>
        <tr r="P27" s="6"/>
      </tp>
      <tp t="e">
        <v>#N/A</v>
        <stp/>
        <stp>BDH|13271489742092249498</stp>
        <tr r="D139" s="18"/>
      </tp>
      <tp t="e">
        <v>#N/A</v>
        <stp/>
        <stp>BDH|14533052081299619040</stp>
        <tr r="T7" s="34"/>
      </tp>
      <tp t="e">
        <v>#N/A</v>
        <stp/>
        <stp>BDH|15841324520280846117</stp>
        <tr r="S27" s="12"/>
      </tp>
      <tp t="e">
        <v>#N/A</v>
        <stp/>
        <stp>BDH|17123210022717332527</stp>
        <tr r="K23" s="17"/>
      </tp>
      <tp t="e">
        <v>#N/A</v>
        <stp/>
        <stp>BDH|15407023083341346954</stp>
        <tr r="W22" s="4"/>
      </tp>
      <tp t="e">
        <v>#N/A</v>
        <stp/>
        <stp>BDH|13413795214626317693</stp>
        <tr r="C17" s="24"/>
      </tp>
      <tp t="e">
        <v>#N/A</v>
        <stp/>
        <stp>BDH|17238458955977540446</stp>
        <tr r="Q61" s="21"/>
      </tp>
      <tp t="e">
        <v>#N/A</v>
        <stp/>
        <stp>BDH|11308105635580127642</stp>
        <tr r="N27" s="10"/>
        <tr r="P33" s="13"/>
      </tp>
      <tp t="e">
        <v>#N/A</v>
        <stp/>
        <stp>BDH|17079675139743951447</stp>
        <tr r="U94" s="18"/>
      </tp>
      <tp t="e">
        <v>#N/A</v>
        <stp/>
        <stp>BDH|15355384488579139210</stp>
        <tr r="X7" s="23"/>
      </tp>
      <tp t="e">
        <v>#N/A</v>
        <stp/>
        <stp>BDH|10474236577169222915</stp>
        <tr r="H11" s="28"/>
      </tp>
      <tp t="e">
        <v>#N/A</v>
        <stp/>
        <stp>BDH|14352644203222223556</stp>
        <tr r="Z8" s="13"/>
      </tp>
      <tp t="e">
        <v>#N/A</v>
        <stp/>
        <stp>BDH|10506447725186755505</stp>
        <tr r="V19" s="20"/>
      </tp>
      <tp t="e">
        <v>#N/A</v>
        <stp/>
        <stp>BDH|10461568126322498032</stp>
        <tr r="F17" s="6"/>
      </tp>
      <tp t="e">
        <v>#N/A</v>
        <stp/>
        <stp>BDH|16625594300264827240</stp>
        <tr r="M72" s="17"/>
      </tp>
      <tp t="e">
        <v>#N/A</v>
        <stp/>
        <stp>BDH|11591505210972304253</stp>
        <tr r="P42" s="34"/>
      </tp>
      <tp t="e">
        <v>#N/A</v>
        <stp/>
        <stp>BDH|15720942871106125807</stp>
        <tr r="K23" s="5"/>
        <tr r="K23" s="9"/>
      </tp>
      <tp t="e">
        <v>#N/A</v>
        <stp/>
        <stp>BDH|11664825332599211673</stp>
        <tr r="D60" s="24"/>
      </tp>
      <tp t="e">
        <v>#N/A</v>
        <stp/>
        <stp>BDH|13542004529417829372</stp>
        <tr r="W8" s="2"/>
      </tp>
      <tp t="e">
        <v>#N/A</v>
        <stp/>
        <stp>BDH|15311486958959833889</stp>
        <tr r="T34" s="18"/>
      </tp>
      <tp t="e">
        <v>#N/A</v>
        <stp/>
        <stp>BDH|17516910598387711587</stp>
        <tr r="Q34" s="24"/>
      </tp>
      <tp t="e">
        <v>#N/A</v>
        <stp/>
        <stp>BDH|14605915899957577690</stp>
        <tr r="Y31" s="22"/>
      </tp>
      <tp t="e">
        <v>#N/A</v>
        <stp/>
        <stp>BDH|13918018087517470990</stp>
        <tr r="R22" s="17"/>
      </tp>
      <tp t="e">
        <v>#N/A</v>
        <stp/>
        <stp>BDH|11715979893526955283</stp>
        <tr r="N68" s="10"/>
      </tp>
      <tp t="e">
        <v>#N/A</v>
        <stp/>
        <stp>BDH|11796469074356606118</stp>
        <tr r="E77" s="17"/>
      </tp>
      <tp t="e">
        <v>#N/A</v>
        <stp/>
        <stp>BDH|11945330300442926519</stp>
        <tr r="C27" s="17"/>
      </tp>
      <tp t="e">
        <v>#N/A</v>
        <stp/>
        <stp>BDH|10372585227132984070</stp>
        <tr r="Q32" s="17"/>
      </tp>
      <tp t="e">
        <v>#N/A</v>
        <stp/>
        <stp>BDH|13327599924085861446</stp>
        <tr r="I71" s="18"/>
      </tp>
      <tp t="e">
        <v>#N/A</v>
        <stp/>
        <stp>BDH|13965737374045935359</stp>
        <tr r="M15" s="25"/>
      </tp>
      <tp t="e">
        <v>#N/A</v>
        <stp/>
        <stp>BDH|12306808291146716073</stp>
        <tr r="H77" s="17"/>
      </tp>
      <tp t="e">
        <v>#N/A</v>
        <stp/>
        <stp>BDH|17039266728892417087</stp>
        <tr r="L21" s="4"/>
      </tp>
      <tp t="e">
        <v>#N/A</v>
        <stp/>
        <stp>BDH|11111074454791201028</stp>
        <tr r="G23" s="2"/>
        <tr r="I18" s="21"/>
        <tr r="I23" s="3"/>
      </tp>
      <tp t="e">
        <v>#N/A</v>
        <stp/>
        <stp>BDH|10499055955347135776</stp>
        <tr r="H21" s="21"/>
      </tp>
      <tp t="e">
        <v>#N/A</v>
        <stp/>
        <stp>BDH|17502659795948793503</stp>
        <tr r="Q22" s="30"/>
        <tr r="Q24" s="23"/>
      </tp>
      <tp t="e">
        <v>#N/A</v>
        <stp/>
        <stp>BDH|12938752049314786003</stp>
        <tr r="K28" s="10"/>
        <tr r="M34" s="13"/>
      </tp>
      <tp t="e">
        <v>#N/A</v>
        <stp/>
        <stp>BDH|10379799521842861219</stp>
        <tr r="C31" s="5"/>
      </tp>
      <tp t="e">
        <v>#N/A</v>
        <stp/>
        <stp>BDH|13726915311819753723</stp>
        <tr r="K21" s="17"/>
        <tr r="K15" s="3"/>
      </tp>
      <tp t="e">
        <v>#N/A</v>
        <stp/>
        <stp>BDH|12342055265497859699</stp>
        <tr r="Q12" s="12"/>
      </tp>
      <tp t="e">
        <v>#N/A</v>
        <stp/>
        <stp>BDH|12158312813750984580</stp>
        <tr r="L117" s="18"/>
      </tp>
      <tp t="e">
        <v>#N/A</v>
        <stp/>
        <stp>BDH|13896487231526707743</stp>
        <tr r="K33" s="18"/>
      </tp>
      <tp t="e">
        <v>#N/A</v>
        <stp/>
        <stp>BDH|16866281201090211119</stp>
        <tr r="E45" s="21"/>
      </tp>
      <tp t="e">
        <v>#N/A</v>
        <stp/>
        <stp>BDH|12241326553159084814</stp>
        <tr r="N10" s="17"/>
      </tp>
      <tp t="e">
        <v>#N/A</v>
        <stp/>
        <stp>BDH|17196478275473725268</stp>
        <tr r="I29" s="10"/>
        <tr r="K35" s="13"/>
      </tp>
      <tp t="e">
        <v>#N/A</v>
        <stp/>
        <stp>BDH|11742207056030090335</stp>
        <tr r="J30" s="25"/>
        <tr r="J16" s="27"/>
      </tp>
      <tp t="e">
        <v>#N/A</v>
        <stp/>
        <stp>BDH|16435218733171012345</stp>
        <tr r="R81" s="24"/>
      </tp>
      <tp t="e">
        <v>#N/A</v>
        <stp/>
        <stp>BDH|18258471304640682957</stp>
        <tr r="Y14" s="4"/>
      </tp>
      <tp t="e">
        <v>#N/A</v>
        <stp/>
        <stp>BDH|13301318806612654706</stp>
        <tr r="F32" s="6"/>
      </tp>
      <tp t="e">
        <v>#N/A</v>
        <stp/>
        <stp>BDH|17772874207973557902</stp>
        <tr r="I63" s="18"/>
      </tp>
      <tp t="e">
        <v>#N/A</v>
        <stp/>
        <stp>BDH|13350926172911773960</stp>
        <tr r="R89" s="17"/>
        <tr r="R34" s="25"/>
      </tp>
      <tp t="e">
        <v>#N/A</v>
        <stp/>
        <stp>BDH|13635101707816765140</stp>
        <tr r="V26" s="29"/>
      </tp>
      <tp t="e">
        <v>#N/A</v>
        <stp/>
        <stp>BDH|13570770326245607609</stp>
        <tr r="O26" s="13"/>
      </tp>
      <tp t="e">
        <v>#N/A</v>
        <stp/>
        <stp>BDH|17624747274810574216</stp>
        <tr r="M13" s="21"/>
      </tp>
      <tp t="e">
        <v>#N/A</v>
        <stp/>
        <stp>BDH|16543999889375482735</stp>
        <tr r="G136" s="18"/>
      </tp>
      <tp t="e">
        <v>#N/A</v>
        <stp/>
        <stp>BDH|11725514022550349354</stp>
        <tr r="G46" s="34"/>
      </tp>
      <tp t="e">
        <v>#N/A</v>
        <stp/>
        <stp>BDH|15092149449767715285</stp>
        <tr r="Y9" s="26"/>
      </tp>
      <tp t="e">
        <v>#N/A</v>
        <stp/>
        <stp>BDH|11062952354131373901</stp>
        <tr r="P9" s="28"/>
      </tp>
      <tp t="e">
        <v>#N/A</v>
        <stp/>
        <stp>BDH|11557495045227918321</stp>
        <tr r="O139" s="18"/>
      </tp>
      <tp t="e">
        <v>#N/A</v>
        <stp/>
        <stp>BDH|16286022907060685330</stp>
        <tr r="N58" s="12"/>
      </tp>
      <tp t="e">
        <v>#N/A</v>
        <stp/>
        <stp>BDH|16663220928270704396</stp>
        <tr r="M56" s="12"/>
      </tp>
      <tp t="e">
        <v>#N/A</v>
        <stp/>
        <stp>BDH|10460528334331165219</stp>
        <tr r="Y19" s="24"/>
      </tp>
      <tp t="e">
        <v>#N/A</v>
        <stp/>
        <stp>BDH|15846884322182368835</stp>
        <tr r="U10" s="10"/>
      </tp>
      <tp t="e">
        <v>#N/A</v>
        <stp/>
        <stp>BDH|14046679663878527935</stp>
        <tr r="T27" s="21"/>
      </tp>
      <tp t="e">
        <v>#N/A</v>
        <stp/>
        <stp>BDH|10941496968321858626</stp>
        <tr r="T53" s="6"/>
        <tr r="V10" s="8"/>
      </tp>
      <tp t="e">
        <v>#N/A</v>
        <stp/>
        <stp>BDH|15799221029845881568</stp>
        <tr r="G13" s="24"/>
      </tp>
      <tp t="e">
        <v>#N/A</v>
        <stp/>
        <stp>BDH|16544650942456591759</stp>
        <tr r="V19" s="17"/>
      </tp>
      <tp t="e">
        <v>#N/A</v>
        <stp/>
        <stp>BDH|17841801093086950500</stp>
        <tr r="V45" s="18"/>
      </tp>
      <tp t="e">
        <v>#N/A</v>
        <stp/>
        <stp>BDH|17378065605446471461</stp>
        <tr r="J36" s="34"/>
      </tp>
      <tp t="e">
        <v>#N/A</v>
        <stp/>
        <stp>BDH|10225435323217500455</stp>
        <tr r="E31" s="21"/>
      </tp>
      <tp t="e">
        <v>#N/A</v>
        <stp/>
        <stp>BDH|16465011392273373962</stp>
        <tr r="E31" s="9"/>
      </tp>
      <tp t="e">
        <v>#N/A</v>
        <stp/>
        <stp>BDH|11415500504795414460</stp>
        <tr r="S36" s="10"/>
        <tr r="S48" s="10"/>
        <tr r="S28" s="11"/>
        <tr r="S40" s="11"/>
      </tp>
      <tp t="e">
        <v>#N/A</v>
        <stp/>
        <stp>BDH|10328851884547945295</stp>
        <tr r="V30" s="26"/>
      </tp>
      <tp t="e">
        <v>#N/A</v>
        <stp/>
        <stp>BDH|15127520967104311754</stp>
        <tr r="N40" s="22"/>
      </tp>
      <tp t="e">
        <v>#N/A</v>
        <stp/>
        <stp>BDH|17824185330212238200</stp>
        <tr r="M33" s="18"/>
      </tp>
      <tp t="e">
        <v>#N/A</v>
        <stp/>
        <stp>BDH|10616616235441965193</stp>
        <tr r="S21" s="24"/>
      </tp>
      <tp t="e">
        <v>#N/A</v>
        <stp/>
        <stp>BDH|16827698572773711169</stp>
        <tr r="Y28" s="21"/>
      </tp>
      <tp t="e">
        <v>#N/A</v>
        <stp/>
        <stp>BDH|12711075769089369886</stp>
        <tr r="F78" s="18"/>
      </tp>
      <tp t="e">
        <v>#N/A</v>
        <stp/>
        <stp>BDH|14652406555231663173</stp>
        <tr r="R26" s="7"/>
      </tp>
      <tp t="e">
        <v>#N/A</v>
        <stp/>
        <stp>BDH|15448260516447318455</stp>
        <tr r="J25" s="14"/>
      </tp>
      <tp t="e">
        <v>#N/A</v>
        <stp/>
        <stp>BDH|13704203580568546479</stp>
        <tr r="S43" s="4"/>
      </tp>
      <tp t="e">
        <v>#N/A</v>
        <stp/>
        <stp>BDH|16845085627118239909</stp>
        <tr r="N103" s="18"/>
      </tp>
      <tp t="e">
        <v>#N/A</v>
        <stp/>
        <stp>BDH|14244548343561134110</stp>
        <tr r="Y13" s="10"/>
      </tp>
      <tp t="e">
        <v>#N/A</v>
        <stp/>
        <stp>BDH|10952829490501874564</stp>
        <tr r="N73" s="24"/>
      </tp>
      <tp t="e">
        <v>#N/A</v>
        <stp/>
        <stp>BDH|14598395749556992099</stp>
        <tr r="Z86" s="17"/>
      </tp>
      <tp t="e">
        <v>#N/A</v>
        <stp/>
        <stp>BDH|16704749384794411867</stp>
        <tr r="P81" s="24"/>
      </tp>
      <tp t="e">
        <v>#N/A</v>
        <stp/>
        <stp>BDH|18028018069502821955</stp>
        <tr r="N70" s="12"/>
      </tp>
      <tp t="e">
        <v>#N/A</v>
        <stp/>
        <stp>BDH|15043774336115195150</stp>
        <tr r="U22" s="14"/>
      </tp>
      <tp t="e">
        <v>#N/A</v>
        <stp/>
        <stp>BDH|15886966961599959631</stp>
        <tr r="T10" s="4"/>
        <tr r="S6" s="16"/>
        <tr r="V6" s="3"/>
        <tr r="T6" s="11"/>
      </tp>
      <tp t="e">
        <v>#N/A</v>
        <stp/>
        <stp>BDH|17771652838637655099</stp>
        <tr r="AA139" s="18"/>
      </tp>
      <tp t="e">
        <v>#N/A</v>
        <stp/>
        <stp>BDH|11666359024946488361</stp>
        <tr r="Z15" s="14"/>
      </tp>
      <tp t="e">
        <v>#N/A</v>
        <stp/>
        <stp>BDH|13552758936454415676</stp>
        <tr r="W31" s="21"/>
      </tp>
      <tp t="e">
        <v>#N/A</v>
        <stp/>
        <stp>BDH|16126119801542381078</stp>
        <tr r="V32" s="12"/>
      </tp>
      <tp t="e">
        <v>#N/A</v>
        <stp/>
        <stp>BDH|13606291177714415799</stp>
        <tr r="S11" s="12"/>
      </tp>
      <tp t="e">
        <v>#N/A</v>
        <stp/>
        <stp>BDH|14833396842823697509</stp>
        <tr r="S118" s="18"/>
      </tp>
      <tp t="e">
        <v>#N/A</v>
        <stp/>
        <stp>BDH|11191519367090565775</stp>
        <tr r="N60" s="11"/>
        <tr r="P19" s="23"/>
      </tp>
      <tp t="e">
        <v>#N/A</v>
        <stp/>
        <stp>BDH|16950532801195619384</stp>
        <tr r="D20" s="25"/>
      </tp>
      <tp t="e">
        <v>#N/A</v>
        <stp/>
        <stp>BDH|12503545647750140625</stp>
        <tr r="S60" s="11"/>
        <tr r="U19" s="23"/>
      </tp>
      <tp t="e">
        <v>#N/A</v>
        <stp/>
        <stp>BDH|16486714383869230514</stp>
        <tr r="L43" s="24"/>
      </tp>
      <tp t="e">
        <v>#N/A</v>
        <stp/>
        <stp>BDH|16285687446035177489</stp>
        <tr r="M12" s="12"/>
      </tp>
      <tp t="e">
        <v>#N/A</v>
        <stp/>
        <stp>BDH|11250586304338907921</stp>
        <tr r="P45" s="24"/>
      </tp>
      <tp t="e">
        <v>#N/A</v>
        <stp/>
        <stp>BDH|10479822103509509451</stp>
        <tr r="M28" s="21"/>
      </tp>
      <tp t="e">
        <v>#N/A</v>
        <stp/>
        <stp>BDH|10941919095545998011</stp>
        <tr r="N9" s="26"/>
      </tp>
      <tp t="e">
        <v>#N/A</v>
        <stp/>
        <stp>BDH|17441513562229548871</stp>
        <tr r="G45" s="18"/>
      </tp>
      <tp t="e">
        <v>#N/A</v>
        <stp/>
        <stp>BDH|10157748346953469522</stp>
        <tr r="W43" s="29"/>
      </tp>
      <tp t="e">
        <v>#N/A</v>
        <stp/>
        <stp>BDH|10120207610442494408</stp>
        <tr r="F12" s="11"/>
      </tp>
      <tp t="e">
        <v>#N/A</v>
        <stp/>
        <stp>BDH|12790060827567191222</stp>
        <tr r="M38" s="24"/>
      </tp>
      <tp t="e">
        <v>#N/A</v>
        <stp/>
        <stp>BDH|10323080749265355442</stp>
        <tr r="Q28" s="26"/>
      </tp>
      <tp t="e">
        <v>#N/A</v>
        <stp/>
        <stp>BDH|15657833406321769915</stp>
        <tr r="M18" s="24"/>
      </tp>
      <tp t="e">
        <v>#N/A</v>
        <stp/>
        <stp>BDH|14100522236511367637</stp>
        <tr r="H27" s="25"/>
        <tr r="H13" s="27"/>
      </tp>
      <tp t="e">
        <v>#N/A</v>
        <stp/>
        <stp>BDH|12857897590195661320</stp>
        <tr r="Q33" s="6"/>
      </tp>
      <tp t="e">
        <v>#N/A</v>
        <stp/>
        <stp>BDH|12681812273370029800</stp>
        <tr r="K40" s="18"/>
      </tp>
      <tp t="e">
        <v>#N/A</v>
        <stp/>
        <stp>BDH|18186436491446019670</stp>
        <tr r="V111" s="18"/>
      </tp>
      <tp t="e">
        <v>#N/A</v>
        <stp/>
        <stp>BDH|17141827313862711931</stp>
        <tr r="Q16" s="21"/>
      </tp>
      <tp t="e">
        <v>#N/A</v>
        <stp/>
        <stp>BDH|15002624721640681411</stp>
        <tr r="U8" s="22"/>
      </tp>
      <tp t="e">
        <v>#N/A</v>
        <stp/>
        <stp>BDH|14900049679734636266</stp>
        <tr r="C89" s="18"/>
      </tp>
      <tp t="e">
        <v>#N/A</v>
        <stp/>
        <stp>BDH|15997255578671876486</stp>
        <tr r="Q20" s="9"/>
      </tp>
      <tp t="e">
        <v>#N/A</v>
        <stp/>
        <stp>BDH|13372651983969824197</stp>
        <tr r="P93" s="17"/>
      </tp>
      <tp t="e">
        <v>#N/A</v>
        <stp/>
        <stp>BDH|18192807783594454924</stp>
        <tr r="K14" s="22"/>
      </tp>
      <tp t="e">
        <v>#N/A</v>
        <stp/>
        <stp>BDH|11013449274630203764</stp>
        <tr r="P99" s="18"/>
        <tr r="P8" s="20"/>
      </tp>
      <tp t="e">
        <v>#N/A</v>
        <stp/>
        <stp>BDH|17792553834760634446</stp>
        <tr r="R41" s="22"/>
      </tp>
      <tp t="e">
        <v>#N/A</v>
        <stp/>
        <stp>BDH|16960171986883400987</stp>
        <tr r="N85" s="12"/>
      </tp>
      <tp t="e">
        <v>#N/A</v>
        <stp/>
        <stp>BDH|16392785656128104985</stp>
        <tr r="O31" s="24"/>
      </tp>
      <tp t="e">
        <v>#N/A</v>
        <stp/>
        <stp>BDH|15055519340786414715</stp>
        <tr r="F8" s="11"/>
      </tp>
      <tp t="e">
        <v>#N/A</v>
        <stp/>
        <stp>BDH|12679057163231449008</stp>
        <tr r="C15" s="25"/>
      </tp>
      <tp t="e">
        <v>#N/A</v>
        <stp/>
        <stp>BDH|15133363523982132317</stp>
        <tr r="R21" s="6"/>
      </tp>
      <tp t="e">
        <v>#N/A</v>
        <stp/>
        <stp>BDH|18113625863835324872</stp>
        <tr r="L9" s="14"/>
      </tp>
      <tp t="e">
        <v>#N/A</v>
        <stp/>
        <stp>BDH|18348255313027356928</stp>
        <tr r="E23" s="24"/>
      </tp>
      <tp t="e">
        <v>#N/A</v>
        <stp/>
        <stp>BDH|13395589233896436687</stp>
        <tr r="R8" s="6"/>
      </tp>
      <tp t="e">
        <v>#N/A</v>
        <stp/>
        <stp>BDH|10674819433636265822</stp>
        <tr r="T38" s="25"/>
      </tp>
      <tp t="e">
        <v>#N/A</v>
        <stp/>
        <stp>BDH|18240091882764871156</stp>
        <tr r="X22" s="21"/>
      </tp>
      <tp t="e">
        <v>#N/A</v>
        <stp/>
        <stp>BDH|13913208156685282495</stp>
        <tr r="D78" s="12"/>
      </tp>
      <tp t="e">
        <v>#N/A</v>
        <stp/>
        <stp>BDH|15246212479166733396</stp>
        <tr r="J49" s="13"/>
      </tp>
      <tp t="e">
        <v>#N/A</v>
        <stp/>
        <stp>BDH|16817081432226327652</stp>
        <tr r="X7" s="14"/>
      </tp>
      <tp t="e">
        <v>#N/A</v>
        <stp/>
        <stp>BDH|12695478106844423779</stp>
        <tr r="Z87" s="24"/>
      </tp>
      <tp t="e">
        <v>#N/A</v>
        <stp/>
        <stp>BDH|14807342542047855125</stp>
        <tr r="F33" s="9"/>
      </tp>
      <tp t="e">
        <v>#N/A</v>
        <stp/>
        <stp>BDH|15236927176799458767</stp>
        <tr r="J48" s="18"/>
      </tp>
      <tp t="e">
        <v>#N/A</v>
        <stp/>
        <stp>BDH|16551548535722027709</stp>
        <tr r="K31" s="26"/>
        <tr r="H14" s="9"/>
      </tp>
      <tp t="e">
        <v>#N/A</v>
        <stp/>
        <stp>BDH|11626821315515418810</stp>
        <tr r="AA13" s="24"/>
      </tp>
      <tp t="e">
        <v>#N/A</v>
        <stp/>
        <stp>BDH|17715879485815759762</stp>
        <tr r="L55" s="17"/>
      </tp>
      <tp t="e">
        <v>#N/A</v>
        <stp/>
        <stp>BDH|14915445628412667571</stp>
        <tr r="L9" s="3"/>
        <tr r="J51" s="10"/>
        <tr r="J43" s="11"/>
        <tr r="J14" s="7"/>
      </tp>
      <tp t="e">
        <v>#N/A</v>
        <stp/>
        <stp>BDH|14731674724341325431</stp>
        <tr r="T48" s="17"/>
      </tp>
      <tp t="e">
        <v>#N/A</v>
        <stp/>
        <stp>BDH|10972121731710807766</stp>
        <tr r="X93" s="17"/>
      </tp>
      <tp t="e">
        <v>#N/A</v>
        <stp/>
        <stp>BDH|18055531322418428214</stp>
        <tr r="F61" s="12"/>
      </tp>
      <tp t="e">
        <v>#N/A</v>
        <stp/>
        <stp>BDH|11821370725477745294</stp>
        <tr r="Q85" s="18"/>
      </tp>
      <tp t="e">
        <v>#N/A</v>
        <stp/>
        <stp>BDH|12000734566626411055</stp>
        <tr r="P16" s="22"/>
      </tp>
      <tp t="e">
        <v>#N/A</v>
        <stp/>
        <stp>BDH|17321123099972894847</stp>
        <tr r="E13" s="6"/>
      </tp>
      <tp t="e">
        <v>#N/A</v>
        <stp/>
        <stp>BDH|12131558075284086154</stp>
        <tr r="M89" s="12"/>
      </tp>
      <tp t="e">
        <v>#N/A</v>
        <stp/>
        <stp>BDH|11713190021052871533</stp>
        <tr r="H17" s="10"/>
      </tp>
      <tp t="e">
        <v>#N/A</v>
        <stp/>
        <stp>BDH|13596971944752622977</stp>
        <tr r="F98" s="18"/>
        <tr r="F7" s="20"/>
      </tp>
      <tp t="e">
        <v>#N/A</v>
        <stp/>
        <stp>BDH|12796955099016822144</stp>
        <tr r="J78" s="24"/>
      </tp>
      <tp t="e">
        <v>#N/A</v>
        <stp/>
        <stp>BDH|15001218513521213276</stp>
        <tr r="M84" s="12"/>
      </tp>
      <tp t="e">
        <v>#N/A</v>
        <stp/>
        <stp>BDH|11165636393228585330</stp>
        <tr r="S71" s="24"/>
      </tp>
      <tp t="e">
        <v>#N/A</v>
        <stp/>
        <stp>BDH|12518649579351824770</stp>
        <tr r="Z10" s="21"/>
      </tp>
      <tp t="e">
        <v>#N/A</v>
        <stp/>
        <stp>BDH|11632738070222354615</stp>
        <tr r="R72" s="17"/>
      </tp>
      <tp t="e">
        <v>#N/A</v>
        <stp/>
        <stp>BDH|13401921171410386834</stp>
        <tr r="H31" s="34"/>
      </tp>
      <tp t="e">
        <v>#N/A</v>
        <stp/>
        <stp>BDH|18239638584411671240</stp>
        <tr r="X69" s="12"/>
      </tp>
      <tp t="e">
        <v>#N/A</v>
        <stp/>
        <stp>BDH|15124968723593133824</stp>
        <tr r="P8" s="13"/>
      </tp>
      <tp t="e">
        <v>#N/A</v>
        <stp/>
        <stp>BDH|12154595988112106869</stp>
        <tr r="G15" s="5"/>
      </tp>
      <tp t="e">
        <v>#N/A</v>
        <stp/>
        <stp>BDH|18062834535232610479</stp>
        <tr r="C12" s="7"/>
      </tp>
      <tp t="e">
        <v>#N/A</v>
        <stp/>
        <stp>BDH|16245639996238965496</stp>
        <tr r="U63" s="17"/>
      </tp>
      <tp t="e">
        <v>#N/A</v>
        <stp/>
        <stp>BDH|12962328398228762535</stp>
        <tr r="V32" s="25"/>
        <tr r="V18" s="27"/>
      </tp>
      <tp t="e">
        <v>#N/A</v>
        <stp/>
        <stp>BDH|13459612813906959785</stp>
        <tr r="K79" s="24"/>
      </tp>
      <tp t="e">
        <v>#N/A</v>
        <stp/>
        <stp>BDH|18307188164569049384</stp>
        <tr r="F17" s="14"/>
      </tp>
      <tp t="e">
        <v>#N/A</v>
        <stp/>
        <stp>BDH|13433382145915607485</stp>
        <tr r="J49" s="24"/>
      </tp>
      <tp t="e">
        <v>#N/A</v>
        <stp/>
        <stp>BDH|13682456700230539213</stp>
        <tr r="H118" s="18"/>
      </tp>
      <tp t="e">
        <v>#N/A</v>
        <stp/>
        <stp>BDH|14117676842270513367</stp>
        <tr r="P15" s="11"/>
      </tp>
      <tp t="e">
        <v>#N/A</v>
        <stp/>
        <stp>BDH|15141889084154260489</stp>
        <tr r="H37" s="18"/>
      </tp>
      <tp t="e">
        <v>#N/A</v>
        <stp/>
        <stp>BDH|13731266167443744166</stp>
        <tr r="R61" s="11"/>
      </tp>
      <tp t="e">
        <v>#N/A</v>
        <stp/>
        <stp>BDH|11876831395797804213</stp>
        <tr r="F60" s="12"/>
      </tp>
      <tp t="e">
        <v>#N/A</v>
        <stp/>
        <stp>BDH|17642142943176552133</stp>
        <tr r="Q25" s="3"/>
      </tp>
      <tp t="e">
        <v>#N/A</v>
        <stp/>
        <stp>BDH|10401648233831384179</stp>
        <tr r="P50" s="17"/>
      </tp>
      <tp t="e">
        <v>#N/A</v>
        <stp/>
        <stp>BDH|15481128237447210544</stp>
        <tr r="X10" s="24"/>
      </tp>
      <tp t="e">
        <v>#N/A</v>
        <stp/>
        <stp>BDH|11542094170446229596</stp>
        <tr r="H22" s="22"/>
      </tp>
      <tp t="e">
        <v>#N/A</v>
        <stp/>
        <stp>BDH|17060472695287084859</stp>
        <tr r="G54" s="21"/>
      </tp>
      <tp t="e">
        <v>#N/A</v>
        <stp/>
        <stp>BDH|10996987673873556804</stp>
        <tr r="R49" s="6"/>
      </tp>
      <tp t="e">
        <v>#N/A</v>
        <stp/>
        <stp>BDH|11607709912957745542</stp>
        <tr r="AA40" s="18"/>
      </tp>
      <tp t="e">
        <v>#N/A</v>
        <stp/>
        <stp>BDH|16543351078544856373</stp>
        <tr r="I88" s="17"/>
      </tp>
      <tp t="e">
        <v>#N/A</v>
        <stp/>
        <stp>BDH|12356408526298389911</stp>
        <tr r="W49" s="24"/>
      </tp>
      <tp t="e">
        <v>#N/A</v>
        <stp/>
        <stp>BDH|17009440670056541761</stp>
        <tr r="I49" s="24"/>
      </tp>
      <tp t="e">
        <v>#N/A</v>
        <stp/>
        <stp>BDH|13697196438971357536</stp>
        <tr r="G10" s="21"/>
      </tp>
      <tp t="e">
        <v>#N/A</v>
        <stp/>
        <stp>BDH|16589039675564590019</stp>
        <tr r="O64" s="17"/>
      </tp>
      <tp t="e">
        <v>#N/A</v>
        <stp/>
        <stp>BDH|16364272563784802387</stp>
        <tr r="D42" s="24"/>
      </tp>
      <tp t="e">
        <v>#N/A</v>
        <stp/>
        <stp>BDH|14164029551714740028</stp>
        <tr r="F23" s="5"/>
        <tr r="F23" s="9"/>
      </tp>
      <tp t="e">
        <v>#N/A</v>
        <stp/>
        <stp>BDH|11818269029665821197</stp>
        <tr r="T21" s="10"/>
      </tp>
      <tp t="e">
        <v>#N/A</v>
        <stp/>
        <stp>BDH|16307631409991865474</stp>
        <tr r="V94" s="18"/>
      </tp>
      <tp t="e">
        <v>#N/A</v>
        <stp/>
        <stp>BDH|12142201445024682547</stp>
        <tr r="C41" s="24"/>
      </tp>
      <tp t="e">
        <v>#N/A</v>
        <stp/>
        <stp>BDH|14007213836919198909</stp>
        <tr r="L37" s="18"/>
      </tp>
      <tp t="e">
        <v>#N/A</v>
        <stp/>
        <stp>BDH|17394875307133574900</stp>
        <tr r="O65" s="18"/>
      </tp>
      <tp t="e">
        <v>#N/A</v>
        <stp/>
        <stp>BDH|10150568209702134290</stp>
        <tr r="H47" s="17"/>
      </tp>
      <tp t="e">
        <v>#N/A</v>
        <stp/>
        <stp>BDH|11534515496938432005</stp>
        <tr r="C11" s="12"/>
      </tp>
      <tp t="e">
        <v>#N/A</v>
        <stp/>
        <stp>BDH|12024715378930905767</stp>
        <tr r="Y15" s="10"/>
      </tp>
      <tp t="e">
        <v>#N/A</v>
        <stp/>
        <stp>BDH|11830966458441208929</stp>
        <tr r="T72" s="17"/>
      </tp>
      <tp t="e">
        <v>#N/A</v>
        <stp/>
        <stp>BDH|14751749646797359506</stp>
        <tr r="P57" s="12"/>
      </tp>
      <tp t="e">
        <v>#N/A</v>
        <stp/>
        <stp>BDH|11942364024037897251</stp>
        <tr r="G73" s="17"/>
      </tp>
      <tp t="e">
        <v>#N/A</v>
        <stp/>
        <stp>BDH|13136063113801675647</stp>
        <tr r="W20" s="22"/>
      </tp>
      <tp t="e">
        <v>#N/A</v>
        <stp/>
        <stp>BDH|12463159090546129967</stp>
        <tr r="T35" s="14"/>
      </tp>
      <tp t="e">
        <v>#N/A</v>
        <stp/>
        <stp>BDH|16380518445947318526</stp>
        <tr r="V11" s="3"/>
        <tr r="T50" s="10"/>
        <tr r="T42" s="11"/>
        <tr r="T8" s="7"/>
      </tp>
      <tp t="e">
        <v>#N/A</v>
        <stp/>
        <stp>BDH|15781592646012822366</stp>
        <tr r="X7" s="17"/>
      </tp>
      <tp t="e">
        <v>#N/A</v>
        <stp/>
        <stp>BDH|14366672901385098233</stp>
        <tr r="M13" s="9"/>
      </tp>
      <tp t="e">
        <v>#N/A</v>
        <stp/>
        <stp>BDH|11142541415900422022</stp>
        <tr r="G27" s="17"/>
      </tp>
      <tp t="e">
        <v>#N/A</v>
        <stp/>
        <stp>BDH|12327449087988381359</stp>
        <tr r="E26" s="12"/>
      </tp>
      <tp t="e">
        <v>#N/A</v>
        <stp/>
        <stp>BDH|14668169837403285032</stp>
        <tr r="V31" s="17"/>
      </tp>
      <tp t="e">
        <v>#N/A</v>
        <stp/>
        <stp>BDH|10350477095770043870</stp>
        <tr r="E68" s="10"/>
      </tp>
      <tp t="e">
        <v>#N/A</v>
        <stp/>
        <stp>BDH|10567565210103022251</stp>
        <tr r="Y82" s="24"/>
      </tp>
      <tp t="e">
        <v>#N/A</v>
        <stp/>
        <stp>BDH|12163147332342977784</stp>
        <tr r="S11" s="18"/>
      </tp>
      <tp t="e">
        <v>#N/A</v>
        <stp/>
        <stp>BDH|10338609236348405879</stp>
        <tr r="I39" s="10"/>
        <tr r="I31" s="11"/>
      </tp>
      <tp t="e">
        <v>#N/A</v>
        <stp/>
        <stp>BDH|10767823590467781349</stp>
        <tr r="V12" s="17"/>
      </tp>
      <tp t="e">
        <v>#N/A</v>
        <stp/>
        <stp>BDH|14361464375193622106</stp>
        <tr r="V9" s="23"/>
      </tp>
      <tp t="e">
        <v>#N/A</v>
        <stp/>
        <stp>BDH|15885706679047000779</stp>
        <tr r="I35" s="34"/>
      </tp>
      <tp t="e">
        <v>#N/A</v>
        <stp/>
        <stp>BDH|15204082488428740035</stp>
        <tr r="F51" s="24"/>
      </tp>
      <tp t="e">
        <v>#N/A</v>
        <stp/>
        <stp>BDH|16495519302530904683</stp>
        <tr r="N76" s="18"/>
      </tp>
      <tp t="e">
        <v>#N/A</v>
        <stp/>
        <stp>BDH|16624202458572857606</stp>
        <tr r="N28" s="34"/>
      </tp>
      <tp t="e">
        <v>#N/A</v>
        <stp/>
        <stp>BDH|17843137244623941407</stp>
        <tr r="L25" s="17"/>
      </tp>
      <tp t="e">
        <v>#N/A</v>
        <stp/>
        <stp>BDH|12963958220338804428</stp>
        <tr r="W38" s="34"/>
      </tp>
      <tp t="e">
        <v>#N/A</v>
        <stp/>
        <stp>BDH|12986537800957462584</stp>
        <tr r="Z36" s="12"/>
      </tp>
      <tp t="e">
        <v>#N/A</v>
        <stp/>
        <stp>BDH|14884247112580008271</stp>
        <tr r="V22" s="6"/>
      </tp>
      <tp t="e">
        <v>#N/A</v>
        <stp/>
        <stp>BDH|14274517875182995163</stp>
        <tr r="C32" s="5"/>
      </tp>
      <tp t="e">
        <v>#N/A</v>
        <stp/>
        <stp>BDH|13610743296191916948</stp>
        <tr r="E61" s="24"/>
      </tp>
      <tp t="e">
        <v>#N/A</v>
        <stp/>
        <stp>BDH|11900024100951222505</stp>
        <tr r="E8" s="21"/>
      </tp>
      <tp t="e">
        <v>#N/A</v>
        <stp/>
        <stp>BDH|14972664758932740094</stp>
        <tr r="AA43" s="34"/>
      </tp>
      <tp t="e">
        <v>#N/A</v>
        <stp/>
        <stp>BDH|15006385375835530114</stp>
        <tr r="U25" s="24"/>
      </tp>
      <tp t="e">
        <v>#N/A</v>
        <stp/>
        <stp>BDH|18282952149308722801</stp>
        <tr r="G26" s="26"/>
      </tp>
      <tp t="e">
        <v>#N/A</v>
        <stp/>
        <stp>BDH|11942195873934233682</stp>
        <tr r="X56" s="17"/>
      </tp>
      <tp t="e">
        <v>#N/A</v>
        <stp/>
        <stp>BDH|16972912285891327377</stp>
        <tr r="J82" s="17"/>
      </tp>
      <tp t="e">
        <v>#N/A</v>
        <stp/>
        <stp>BDH|17691296712852369379</stp>
        <tr r="Y40" s="21"/>
      </tp>
      <tp t="e">
        <v>#N/A</v>
        <stp/>
        <stp>BDH|15723789058373659182</stp>
        <tr r="F13" s="2"/>
      </tp>
      <tp t="e">
        <v>#N/A</v>
        <stp/>
        <stp>BDH|15028292805653284173</stp>
        <tr r="M31" s="34"/>
      </tp>
      <tp t="e">
        <v>#N/A</v>
        <stp/>
        <stp>BDH|14145019847403977672</stp>
        <tr r="D15" s="10"/>
      </tp>
      <tp t="e">
        <v>#N/A</v>
        <stp/>
        <stp>BDH|12667899175169305102</stp>
        <tr r="L134" s="18"/>
      </tp>
      <tp t="e">
        <v>#N/A</v>
        <stp/>
        <stp>BDH|15674762860240105184</stp>
        <tr r="M140" s="18"/>
      </tp>
      <tp t="e">
        <v>#N/A</v>
        <stp/>
        <stp>BDH|14603713474739978830</stp>
        <tr r="T14" s="2"/>
        <tr r="T11" s="10"/>
      </tp>
      <tp t="e">
        <v>#N/A</v>
        <stp/>
        <stp>BDH|17001246043450992478</stp>
        <tr r="S31" s="29"/>
      </tp>
      <tp t="e">
        <v>#N/A</v>
        <stp/>
        <stp>BDH|12395645034841340393</stp>
        <tr r="V15" s="29"/>
        <tr r="V38" s="29"/>
      </tp>
      <tp t="e">
        <v>#N/A</v>
        <stp/>
        <stp>BDH|16588665489655188820</stp>
        <tr r="I30" s="22"/>
      </tp>
      <tp t="e">
        <v>#N/A</v>
        <stp/>
        <stp>BDH|14113791051582336134</stp>
        <tr r="L81" s="18"/>
      </tp>
      <tp t="e">
        <v>#N/A</v>
        <stp/>
        <stp>BDH|10167405935494538686</stp>
        <tr r="R25" s="2"/>
        <tr r="T60" s="21"/>
      </tp>
      <tp t="e">
        <v>#N/A</v>
        <stp/>
        <stp>BDH|17307236082369266191</stp>
        <tr r="L14" s="29"/>
        <tr r="L23" s="29"/>
        <tr r="L37" s="29"/>
      </tp>
      <tp t="e">
        <v>#N/A</v>
        <stp/>
        <stp>BDH|15910564427551821690</stp>
        <tr r="U22" s="24"/>
      </tp>
      <tp t="e">
        <v>#N/A</v>
        <stp/>
        <stp>BDH|12256134228351862586</stp>
        <tr r="O25" s="9"/>
      </tp>
      <tp t="e">
        <v>#N/A</v>
        <stp/>
        <stp>BDH|11346905989611560460</stp>
        <tr r="G65" s="12"/>
      </tp>
      <tp t="e">
        <v>#N/A</v>
        <stp/>
        <stp>BDH|15656191224055034626</stp>
        <tr r="R10" s="22"/>
      </tp>
      <tp t="e">
        <v>#N/A</v>
        <stp/>
        <stp>BDH|10697903361052991872</stp>
        <tr r="R45" s="13"/>
      </tp>
      <tp t="e">
        <v>#N/A</v>
        <stp/>
        <stp>BDH|11175254469917185752</stp>
        <tr r="D10" s="3"/>
        <tr r="D54" s="13"/>
      </tp>
      <tp t="e">
        <v>#N/A</v>
        <stp/>
        <stp>BDH|10425337055682209193</stp>
        <tr r="N18" s="24"/>
      </tp>
      <tp t="e">
        <v>#N/A</v>
        <stp/>
        <stp>BDH|10395498797008473006</stp>
        <tr r="U12" s="20"/>
      </tp>
      <tp t="e">
        <v>#N/A</v>
        <stp/>
        <stp>BDH|14496830786974176597</stp>
        <tr r="M12" s="13"/>
      </tp>
      <tp t="e">
        <v>#N/A</v>
        <stp/>
        <stp>BDH|14096647247996382598</stp>
        <tr r="J15" s="10"/>
      </tp>
      <tp t="e">
        <v>#N/A</v>
        <stp/>
        <stp>BDH|11183785700305993690</stp>
        <tr r="U26" s="10"/>
        <tr r="W32" s="13"/>
      </tp>
      <tp t="e">
        <v>#N/A</v>
        <stp/>
        <stp>BDH|10934944690986382370</stp>
        <tr r="W31" s="22"/>
      </tp>
      <tp t="e">
        <v>#N/A</v>
        <stp/>
        <stp>BDH|16910842587586703543</stp>
        <tr r="F17" s="10"/>
      </tp>
      <tp t="e">
        <v>#N/A</v>
        <stp/>
        <stp>BDH|15987614813732595577</stp>
        <tr r="M18" s="9"/>
      </tp>
      <tp t="e">
        <v>#N/A</v>
        <stp/>
        <stp>BDH|13334450131618952974</stp>
        <tr r="X48" s="24"/>
      </tp>
      <tp t="e">
        <v>#N/A</v>
        <stp/>
        <stp>BDH|14309218229435037434</stp>
        <tr r="P50" s="18"/>
      </tp>
      <tp t="e">
        <v>#N/A</v>
        <stp/>
        <stp>BDH|16908568443686313474</stp>
        <tr r="T80" s="12"/>
      </tp>
      <tp t="e">
        <v>#N/A</v>
        <stp/>
        <stp>BDH|10980692135820502089</stp>
        <tr r="H88" s="18"/>
      </tp>
      <tp t="e">
        <v>#N/A</v>
        <stp/>
        <stp>BDH|16494898015909864385</stp>
        <tr r="AA15" s="18"/>
      </tp>
      <tp t="e">
        <v>#N/A</v>
        <stp/>
        <stp>BDH|14752528168606460416</stp>
        <tr r="F54" s="24"/>
      </tp>
      <tp t="e">
        <v>#N/A</v>
        <stp/>
        <stp>BDH|10198666875353971731</stp>
        <tr r="AA45" s="12"/>
      </tp>
      <tp t="e">
        <v>#N/A</v>
        <stp/>
        <stp>BDH|13471228469423652116</stp>
        <tr r="W24" s="21"/>
      </tp>
      <tp t="e">
        <v>#N/A</v>
        <stp/>
        <stp>BDH|10203396573718180911</stp>
        <tr r="R9" s="3"/>
        <tr r="P51" s="10"/>
        <tr r="P43" s="11"/>
        <tr r="P14" s="7"/>
      </tp>
      <tp t="e">
        <v>#N/A</v>
        <stp/>
        <stp>BDH|15983861582911716129</stp>
        <tr r="O7" s="24"/>
      </tp>
      <tp t="e">
        <v>#N/A</v>
        <stp/>
        <stp>BDH|15718923886826908724</stp>
        <tr r="X21" s="6"/>
      </tp>
      <tp t="e">
        <v>#N/A</v>
        <stp/>
        <stp>BDH|17074710629551347638</stp>
        <tr r="AA75" s="17"/>
        <tr r="X9" s="5"/>
        <tr r="X9" s="9"/>
      </tp>
      <tp t="e">
        <v>#N/A</v>
        <stp/>
        <stp>BDH|15135193564640781733</stp>
        <tr r="T26" s="29"/>
      </tp>
      <tp t="e">
        <v>#N/A</v>
        <stp/>
        <stp>BDH|12373513416983550094</stp>
        <tr r="G13" s="2"/>
      </tp>
      <tp t="e">
        <v>#N/A</v>
        <stp/>
        <stp>BDH|17462909340279525693</stp>
        <tr r="AA36" s="34"/>
      </tp>
      <tp t="e">
        <v>#N/A</v>
        <stp/>
        <stp>BDH|10718372801652935405</stp>
        <tr r="G13" s="21"/>
      </tp>
      <tp t="e">
        <v>#N/A</v>
        <stp/>
        <stp>BDH|10975101379072971112</stp>
        <tr r="Y85" s="12"/>
      </tp>
      <tp t="e">
        <v>#N/A</v>
        <stp/>
        <stp>BDH|17838512804030366765</stp>
        <tr r="I80" s="24"/>
      </tp>
      <tp t="e">
        <v>#N/A</v>
        <stp/>
        <stp>BDH|14451182573492749506</stp>
        <tr r="E52" s="10"/>
        <tr r="E44" s="11"/>
        <tr r="E15" s="7"/>
      </tp>
      <tp t="e">
        <v>#N/A</v>
        <stp/>
        <stp>BDH|10317174740669834941</stp>
        <tr r="J12" s="24"/>
      </tp>
      <tp t="e">
        <v>#N/A</v>
        <stp/>
        <stp>BDH|17841971688622727180</stp>
        <tr r="Y23" s="23"/>
      </tp>
      <tp t="e">
        <v>#N/A</v>
        <stp/>
        <stp>BDH|10229996513168873585</stp>
        <tr r="M60" s="18"/>
      </tp>
      <tp t="e">
        <v>#N/A</v>
        <stp/>
        <stp>BDH|14908891010000060880</stp>
        <tr r="M15" s="4"/>
      </tp>
      <tp t="e">
        <v>#N/A</v>
        <stp/>
        <stp>BDH|17809242352702431721</stp>
        <tr r="J60" s="11"/>
        <tr r="L19" s="23"/>
      </tp>
      <tp t="e">
        <v>#N/A</v>
        <stp/>
        <stp>BDH|18162811559908083811</stp>
        <tr r="N9" s="18"/>
      </tp>
      <tp t="e">
        <v>#N/A</v>
        <stp/>
        <stp>BDH|10897540435014085716</stp>
        <tr r="V48" s="13"/>
      </tp>
      <tp t="e">
        <v>#N/A</v>
        <stp/>
        <stp>BDH|12642280510124208040</stp>
        <tr r="O51" s="12"/>
      </tp>
      <tp t="e">
        <v>#N/A</v>
        <stp/>
        <stp>BDH|13858281591145186888</stp>
        <tr r="AA37" s="26"/>
      </tp>
      <tp t="e">
        <v>#N/A</v>
        <stp/>
        <stp>BDH|11760425589741288969</stp>
        <tr r="U13" s="26"/>
      </tp>
      <tp t="e">
        <v>#N/A</v>
        <stp/>
        <stp>BDH|13277212353663007286</stp>
        <tr r="J11" s="3"/>
        <tr r="H50" s="10"/>
        <tr r="H42" s="11"/>
        <tr r="H8" s="7"/>
      </tp>
      <tp t="e">
        <v>#N/A</v>
        <stp/>
        <stp>BDH|16187089736556377646</stp>
        <tr r="G6" s="2"/>
        <tr r="F6" s="5"/>
        <tr r="F6" s="9"/>
        <tr r="H12" s="8"/>
        <tr r="G10" s="29"/>
        <tr r="G19" s="29"/>
        <tr r="G25" s="29"/>
      </tp>
      <tp t="e">
        <v>#N/A</v>
        <stp/>
        <stp>BDH|10753981496364245137</stp>
        <tr r="M37" s="24"/>
      </tp>
      <tp t="e">
        <v>#N/A</v>
        <stp/>
        <stp>BDH|12471663307029873857</stp>
        <tr r="O15" s="13"/>
      </tp>
      <tp t="e">
        <v>#N/A</v>
        <stp/>
        <stp>BDH|17132636408345400162</stp>
        <tr r="H6" s="19"/>
        <tr r="H35" s="17"/>
        <tr r="H16" s="3"/>
      </tp>
      <tp t="e">
        <v>#N/A</v>
        <stp/>
        <stp>BDH|15681186278597987148</stp>
        <tr r="E50" s="17"/>
      </tp>
      <tp t="e">
        <v>#N/A</v>
        <stp/>
        <stp>BDH|14581304410285966673</stp>
        <tr r="E33" s="12"/>
      </tp>
      <tp t="e">
        <v>#N/A</v>
        <stp/>
        <stp>BDH|12639668307181872046</stp>
        <tr r="F15" s="29"/>
        <tr r="F38" s="29"/>
      </tp>
      <tp t="e">
        <v>#N/A</v>
        <stp/>
        <stp>BDH|14319426429461692650</stp>
        <tr r="R44" s="34"/>
      </tp>
      <tp t="e">
        <v>#N/A</v>
        <stp/>
        <stp>BDH|10218848445391941814</stp>
        <tr r="L49" s="24"/>
      </tp>
      <tp t="e">
        <v>#N/A</v>
        <stp/>
        <stp>BDH|15131070603598899865</stp>
        <tr r="Q55" s="12"/>
      </tp>
      <tp t="e">
        <v>#N/A</v>
        <stp/>
        <stp>BDH|11819977415779929589</stp>
        <tr r="Z22" s="14"/>
      </tp>
      <tp t="e">
        <v>#N/A</v>
        <stp/>
        <stp>BDH|17924542507666472158</stp>
        <tr r="G68" s="10"/>
      </tp>
      <tp t="e">
        <v>#N/A</v>
        <stp/>
        <stp>BDH|13772925071471961968</stp>
        <tr r="R44" s="22"/>
      </tp>
      <tp t="e">
        <v>#N/A</v>
        <stp/>
        <stp>BDH|10254580663122391415</stp>
        <tr r="Z30" s="12"/>
      </tp>
      <tp t="e">
        <v>#N/A</v>
        <stp/>
        <stp>BDH|16385292543202478760</stp>
        <tr r="Q39" s="4"/>
        <tr r="Q66" s="10"/>
      </tp>
      <tp t="e">
        <v>#N/A</v>
        <stp/>
        <stp>BDH|15382102715390947042</stp>
        <tr r="AA17" s="22"/>
      </tp>
      <tp t="e">
        <v>#N/A</v>
        <stp/>
        <stp>BDH|16934043067887944282</stp>
        <tr r="F93" s="17"/>
      </tp>
      <tp t="e">
        <v>#N/A</v>
        <stp/>
        <stp>BDH|10557283711610160668</stp>
        <tr r="K24" s="9"/>
      </tp>
      <tp t="e">
        <v>#N/A</v>
        <stp/>
        <stp>BDH|13306751439655783732</stp>
        <tr r="N12" s="17"/>
      </tp>
      <tp t="e">
        <v>#N/A</v>
        <stp/>
        <stp>BDH|16422778856332756390</stp>
        <tr r="N54" s="12"/>
      </tp>
      <tp t="e">
        <v>#N/A</v>
        <stp/>
        <stp>BDH|15631946899493089305</stp>
        <tr r="F9" s="26"/>
      </tp>
      <tp t="e">
        <v>#N/A</v>
        <stp/>
        <stp>BDH|18432046396323919744</stp>
        <tr r="X30" s="21"/>
      </tp>
      <tp t="e">
        <v>#N/A</v>
        <stp/>
        <stp>BDH|17915883789121683359</stp>
        <tr r="V67" s="18"/>
      </tp>
      <tp t="e">
        <v>#N/A</v>
        <stp/>
        <stp>BDH|12536433756412215494</stp>
        <tr r="M33" s="22"/>
      </tp>
      <tp t="e">
        <v>#N/A</v>
        <stp/>
        <stp>BDH|15064345598179053376</stp>
        <tr r="E45" s="34"/>
      </tp>
      <tp t="e">
        <v>#N/A</v>
        <stp/>
        <stp>BDH|10542334010416842151</stp>
        <tr r="AA70" s="12"/>
      </tp>
      <tp t="e">
        <v>#N/A</v>
        <stp/>
        <stp>BDH|11741390824113500645</stp>
        <tr r="D17" s="30"/>
      </tp>
      <tp t="e">
        <v>#N/A</v>
        <stp/>
        <stp>BDH|11784454293310860929</stp>
        <tr r="AA47" s="24"/>
      </tp>
      <tp t="e">
        <v>#N/A</v>
        <stp/>
        <stp>BDH|17284285734080385362</stp>
        <tr r="N16" s="2"/>
        <tr r="N32" s="4"/>
        <tr r="N62" s="10"/>
        <tr r="P19" s="13"/>
      </tp>
      <tp t="e">
        <v>#N/A</v>
        <stp/>
        <stp>BDH|11295520794929758182</stp>
        <tr r="E19" s="9"/>
      </tp>
      <tp t="e">
        <v>#N/A</v>
        <stp/>
        <stp>BDH|18062450711248839070</stp>
        <tr r="J14" s="28"/>
      </tp>
      <tp t="e">
        <v>#N/A</v>
        <stp/>
        <stp>BDH|17902462010606359176</stp>
        <tr r="X17" s="22"/>
      </tp>
      <tp t="e">
        <v>#N/A</v>
        <stp/>
        <stp>BDH|11938469600698788832</stp>
        <tr r="Z87" s="18"/>
      </tp>
      <tp t="e">
        <v>#N/A</v>
        <stp/>
        <stp>BDH|16728895787357653447</stp>
        <tr r="U39" s="26"/>
      </tp>
      <tp t="e">
        <v>#N/A</v>
        <stp/>
        <stp>BDH|16972220407005021473</stp>
        <tr r="O9" s="3"/>
        <tr r="M51" s="10"/>
        <tr r="M43" s="11"/>
        <tr r="M14" s="7"/>
      </tp>
      <tp t="e">
        <v>#N/A</v>
        <stp/>
        <stp>BDH|15676374138135727556</stp>
        <tr r="Z23" s="12"/>
      </tp>
      <tp t="e">
        <v>#N/A</v>
        <stp/>
        <stp>BDH|16917731529814860208</stp>
        <tr r="Y56" s="12"/>
      </tp>
      <tp t="e">
        <v>#N/A</v>
        <stp/>
        <stp>BDH|10159696494599658316</stp>
        <tr r="X51" s="17"/>
        <tr r="X17" s="3"/>
      </tp>
      <tp t="e">
        <v>#N/A</v>
        <stp/>
        <stp>BDH|16960198336389813859</stp>
        <tr r="W37" s="26"/>
      </tp>
      <tp t="e">
        <v>#N/A</v>
        <stp/>
        <stp>BDH|15126107898098643044</stp>
        <tr r="Z72" s="17"/>
      </tp>
      <tp t="e">
        <v>#N/A</v>
        <stp/>
        <stp>BDH|12212427877096555296</stp>
        <tr r="F77" s="24"/>
      </tp>
      <tp t="e">
        <v>#N/A</v>
        <stp/>
        <stp>BDH|13875512535759774900</stp>
        <tr r="K88" s="12"/>
      </tp>
      <tp t="e">
        <v>#N/A</v>
        <stp/>
        <stp>BDH|11387045358648370979</stp>
        <tr r="W66" s="12"/>
      </tp>
      <tp t="e">
        <v>#N/A</v>
        <stp/>
        <stp>BDH|13942027472580513173</stp>
        <tr r="F45" s="12"/>
      </tp>
      <tp t="e">
        <v>#N/A</v>
        <stp/>
        <stp>BDH|18307717889100024200</stp>
        <tr r="R32" s="21"/>
      </tp>
      <tp t="e">
        <v>#N/A</v>
        <stp/>
        <stp>BDH|17563185317065487740</stp>
        <tr r="J28" s="26"/>
      </tp>
      <tp t="e">
        <v>#N/A</v>
        <stp/>
        <stp>BDH|10272676425286233789</stp>
        <tr r="W23" s="26"/>
      </tp>
      <tp t="e">
        <v>#N/A</v>
        <stp/>
        <stp>BDH|18044798593127028406</stp>
        <tr r="H26" s="18"/>
      </tp>
      <tp t="e">
        <v>#N/A</v>
        <stp/>
        <stp>BDH|17487500370378773895</stp>
        <tr r="V83" s="24"/>
      </tp>
      <tp t="e">
        <v>#N/A</v>
        <stp/>
        <stp>BDH|17929619375647205455</stp>
        <tr r="Z13" s="26"/>
      </tp>
      <tp t="e">
        <v>#N/A</v>
        <stp/>
        <stp>BDH|16506367165956531095</stp>
        <tr r="I44" s="21"/>
      </tp>
      <tp t="e">
        <v>#N/A</v>
        <stp/>
        <stp>BDH|16638372308433424378</stp>
        <tr r="D50" s="13"/>
      </tp>
      <tp t="e">
        <v>#N/A</v>
        <stp/>
        <stp>BDH|11489124838231079746</stp>
        <tr r="F8" s="26"/>
        <tr r="C10" s="9"/>
      </tp>
      <tp t="e">
        <v>#N/A</v>
        <stp/>
        <stp>BDH|11120938199332312627</stp>
        <tr r="Y55" s="12"/>
      </tp>
      <tp t="e">
        <v>#N/A</v>
        <stp/>
        <stp>BDH|11414109317814875018</stp>
        <tr r="V107" s="18"/>
      </tp>
      <tp t="e">
        <v>#N/A</v>
        <stp/>
        <stp>BDH|15781409097254996934</stp>
        <tr r="Y13" s="13"/>
      </tp>
      <tp t="e">
        <v>#N/A</v>
        <stp/>
        <stp>BDH|16581083128784997569</stp>
        <tr r="T78" s="18"/>
      </tp>
      <tp t="e">
        <v>#N/A</v>
        <stp/>
        <stp>BDH|11009615458911402670</stp>
        <tr r="C7" s="30"/>
      </tp>
      <tp t="e">
        <v>#N/A</v>
        <stp/>
        <stp>BDH|12093188727487519308</stp>
        <tr r="V9" s="21"/>
      </tp>
      <tp t="e">
        <v>#N/A</v>
        <stp/>
        <stp>BDH|18367303428914370827</stp>
        <tr r="W64" s="18"/>
      </tp>
      <tp t="e">
        <v>#N/A</v>
        <stp/>
        <stp>BDH|16228835104278976360</stp>
        <tr r="I57" s="18"/>
      </tp>
      <tp t="e">
        <v>#N/A</v>
        <stp/>
        <stp>BDH|17068004748783762551</stp>
        <tr r="C32" s="17"/>
      </tp>
      <tp t="e">
        <v>#N/A</v>
        <stp/>
        <stp>BDH|15553363548811281634</stp>
        <tr r="C25" s="24"/>
      </tp>
      <tp t="e">
        <v>#N/A</v>
        <stp/>
        <stp>BDH|17472414830793943662</stp>
        <tr r="N8" s="11"/>
      </tp>
      <tp t="e">
        <v>#N/A</v>
        <stp/>
        <stp>BDH|12028462085333107882</stp>
        <tr r="J37" s="18"/>
      </tp>
      <tp t="e">
        <v>#N/A</v>
        <stp/>
        <stp>BDH|12877391649628489869</stp>
        <tr r="S17" s="23"/>
      </tp>
      <tp t="e">
        <v>#N/A</v>
        <stp/>
        <stp>BDH|13674188168545836448</stp>
        <tr r="D8" s="28"/>
      </tp>
      <tp t="e">
        <v>#N/A</v>
        <stp/>
        <stp>BDH|15164099533831663270</stp>
        <tr r="D58" s="12"/>
      </tp>
      <tp t="e">
        <v>#N/A</v>
        <stp/>
        <stp>BDH|13523193444082509171</stp>
        <tr r="Q10" s="12"/>
      </tp>
      <tp t="e">
        <v>#N/A</v>
        <stp/>
        <stp>BDH|17171625367671865362</stp>
        <tr r="W12" s="20"/>
      </tp>
      <tp t="e">
        <v>#N/A</v>
        <stp/>
        <stp>BDH|17890925326440494921</stp>
        <tr r="Z84" s="18"/>
      </tp>
      <tp t="e">
        <v>#N/A</v>
        <stp/>
        <stp>BDH|16127322949774655064</stp>
        <tr r="AA128" s="18"/>
      </tp>
      <tp t="e">
        <v>#N/A</v>
        <stp/>
        <stp>BDH|10599099552617086748</stp>
        <tr r="K6" s="15"/>
        <tr r="K12" s="2"/>
        <tr r="K11" s="4"/>
        <tr r="K6" s="10"/>
      </tp>
      <tp t="e">
        <v>#N/A</v>
        <stp/>
        <stp>BDH|14218410164243866053</stp>
        <tr r="X65" s="21"/>
      </tp>
      <tp t="e">
        <v>#N/A</v>
        <stp/>
        <stp>BDH|14782271417493599182</stp>
        <tr r="AA92" s="17"/>
        <tr r="AA13" s="28"/>
      </tp>
      <tp t="e">
        <v>#N/A</v>
        <stp/>
        <stp>BDH|14322073318006301657</stp>
        <tr r="I31" s="17"/>
      </tp>
      <tp t="e">
        <v>#N/A</v>
        <stp/>
        <stp>BDH|18353193292253639642</stp>
        <tr r="O8" s="4"/>
      </tp>
      <tp t="e">
        <v>#N/A</v>
        <stp/>
        <stp>BDH|13931107496737310967</stp>
        <tr r="O28" s="21"/>
      </tp>
      <tp t="e">
        <v>#N/A</v>
        <stp/>
        <stp>BDH|17776453929290245437</stp>
        <tr r="O13" s="22"/>
      </tp>
      <tp t="e">
        <v>#N/A</v>
        <stp/>
        <stp>BDH|14439664183428264791</stp>
        <tr r="C24" s="21"/>
      </tp>
      <tp t="e">
        <v>#N/A</v>
        <stp/>
        <stp>BDH|14994801696992100245</stp>
        <tr r="S9" s="10"/>
      </tp>
      <tp t="e">
        <v>#N/A</v>
        <stp/>
        <stp>BDH|13909272768566942457</stp>
        <tr r="J28" s="6"/>
      </tp>
      <tp t="e">
        <v>#N/A</v>
        <stp/>
        <stp>BDH|16178487964372223355</stp>
        <tr r="F6" s="2"/>
        <tr r="E6" s="5"/>
        <tr r="E6" s="9"/>
        <tr r="G12" s="8"/>
        <tr r="F10" s="29"/>
        <tr r="F19" s="29"/>
        <tr r="F25" s="29"/>
      </tp>
      <tp t="e">
        <v>#N/A</v>
        <stp/>
        <stp>BDH|15563615147395686783</stp>
        <tr r="L13" s="9"/>
      </tp>
      <tp t="e">
        <v>#N/A</v>
        <stp/>
        <stp>BDH|17260248821117957531</stp>
        <tr r="V14" s="20"/>
      </tp>
      <tp t="e">
        <v>#N/A</v>
        <stp/>
        <stp>BDH|11978484867406981024</stp>
        <tr r="C29" s="21"/>
      </tp>
      <tp t="e">
        <v>#N/A</v>
        <stp/>
        <stp>BDH|14079343916037772488</stp>
        <tr r="H12" s="21"/>
      </tp>
      <tp t="e">
        <v>#N/A</v>
        <stp/>
        <stp>BDH|17980023926092711271</stp>
        <tr r="P50" s="12"/>
      </tp>
      <tp t="e">
        <v>#N/A</v>
        <stp/>
        <stp>BDH|12559055104840133781</stp>
        <tr r="C9" s="10"/>
      </tp>
      <tp t="e">
        <v>#N/A</v>
        <stp/>
        <stp>BDH|15301500799548792406</stp>
        <tr r="T66" s="24"/>
      </tp>
      <tp t="e">
        <v>#N/A</v>
        <stp/>
        <stp>BDH|13170607639820069357</stp>
        <tr r="Y37" s="26"/>
      </tp>
      <tp t="e">
        <v>#N/A</v>
        <stp/>
        <stp>BDH|10209728644572807415</stp>
        <tr r="N53" s="18"/>
      </tp>
      <tp t="e">
        <v>#N/A</v>
        <stp/>
        <stp>BDH|13485556736781304191</stp>
        <tr r="P95" s="18"/>
      </tp>
      <tp t="e">
        <v>#N/A</v>
        <stp/>
        <stp>BDH|16825314518335595494</stp>
        <tr r="S44" s="22"/>
      </tp>
      <tp t="e">
        <v>#N/A</v>
        <stp/>
        <stp>BDH|12446761500973679394</stp>
        <tr r="V12" s="13"/>
      </tp>
      <tp t="e">
        <v>#N/A</v>
        <stp/>
        <stp>BDH|11133868192594973116</stp>
        <tr r="AA17" s="20"/>
      </tp>
      <tp t="e">
        <v>#N/A</v>
        <stp/>
        <stp>BDH|13438309671100976213</stp>
        <tr r="T30" s="5"/>
        <tr r="T30" s="9"/>
      </tp>
      <tp t="e">
        <v>#N/A</v>
        <stp/>
        <stp>BDH|16582323153826856319</stp>
        <tr r="L6" s="15"/>
        <tr r="L12" s="2"/>
        <tr r="L11" s="4"/>
        <tr r="L6" s="10"/>
      </tp>
      <tp t="e">
        <v>#N/A</v>
        <stp/>
        <stp>BDH|15049903282125709489</stp>
        <tr r="AA65" s="17"/>
      </tp>
      <tp t="e">
        <v>#N/A</v>
        <stp/>
        <stp>BDH|12260813588184793313</stp>
        <tr r="G46" s="22"/>
      </tp>
      <tp t="e">
        <v>#N/A</v>
        <stp/>
        <stp>BDH|17615453897849966601</stp>
        <tr r="C17" s="9"/>
      </tp>
      <tp t="e">
        <v>#N/A</v>
        <stp/>
        <stp>BDH|11103090965807963593</stp>
        <tr r="Q56" s="11"/>
      </tp>
      <tp t="e">
        <v>#N/A</v>
        <stp/>
        <stp>BDH|15707089754792023761</stp>
        <tr r="K66" s="18"/>
      </tp>
      <tp t="e">
        <v>#N/A</v>
        <stp/>
        <stp>BDH|12730315348072081232</stp>
        <tr r="N17" s="14"/>
      </tp>
      <tp t="e">
        <v>#N/A</v>
        <stp/>
        <stp>BDH|17957178700986045533</stp>
        <tr r="Q8" s="17"/>
      </tp>
      <tp t="e">
        <v>#N/A</v>
        <stp/>
        <stp>BDH|15786835992472837339</stp>
        <tr r="V10" s="11"/>
      </tp>
      <tp t="e">
        <v>#N/A</v>
        <stp/>
        <stp>BDH|15629535477364751682</stp>
        <tr r="G66" s="18"/>
      </tp>
      <tp t="e">
        <v>#N/A</v>
        <stp/>
        <stp>BDH|13416193680666911996</stp>
        <tr r="D56" s="12"/>
      </tp>
      <tp t="e">
        <v>#N/A</v>
        <stp/>
        <stp>BDH|12587679138542713006</stp>
        <tr r="W74" s="17"/>
      </tp>
      <tp t="e">
        <v>#N/A</v>
        <stp/>
        <stp>BDH|13713850786574158283</stp>
        <tr r="F67" s="17"/>
        <tr r="C8" s="5"/>
        <tr r="C8" s="9"/>
      </tp>
      <tp t="e">
        <v>#N/A</v>
        <stp/>
        <stp>BDH|16922839951987042964</stp>
        <tr r="T79" s="12"/>
      </tp>
      <tp t="e">
        <v>#N/A</v>
        <stp/>
        <stp>BDH|10276200058576743404</stp>
        <tr r="R6" s="15"/>
        <tr r="R12" s="2"/>
        <tr r="R11" s="4"/>
        <tr r="R6" s="10"/>
      </tp>
      <tp t="e">
        <v>#N/A</v>
        <stp/>
        <stp>BDH|12118372352803886212</stp>
        <tr r="R51" s="24"/>
      </tp>
      <tp t="e">
        <v>#N/A</v>
        <stp/>
        <stp>BDH|10178038787815917817</stp>
        <tr r="V68" s="17"/>
      </tp>
      <tp t="e">
        <v>#N/A</v>
        <stp/>
        <stp>BDH|15990678219417948030</stp>
        <tr r="V27" s="10"/>
        <tr r="X33" s="13"/>
      </tp>
      <tp t="e">
        <v>#N/A</v>
        <stp/>
        <stp>BDH|10492213027217690290</stp>
        <tr r="Q34" s="18"/>
      </tp>
      <tp t="e">
        <v>#N/A</v>
        <stp/>
        <stp>BDH|11141775848120573767</stp>
        <tr r="Z23" s="30"/>
        <tr r="Z25" s="23"/>
      </tp>
      <tp t="e">
        <v>#N/A</v>
        <stp/>
        <stp>BDH|16001497171226434616</stp>
        <tr r="S42" s="24"/>
      </tp>
      <tp t="e">
        <v>#N/A</v>
        <stp/>
        <stp>BDH|17065563719067166133</stp>
        <tr r="Q38" s="24"/>
      </tp>
      <tp t="e">
        <v>#N/A</v>
        <stp/>
        <stp>BDH|17126642338581851687</stp>
        <tr r="W16" s="25"/>
      </tp>
      <tp t="e">
        <v>#N/A</v>
        <stp/>
        <stp>BDH|12829750404598327872</stp>
        <tr r="V117" s="18"/>
      </tp>
      <tp t="e">
        <v>#N/A</v>
        <stp/>
        <stp>BDH|10702188174874720714</stp>
        <tr r="T17" s="23"/>
      </tp>
      <tp t="e">
        <v>#N/A</v>
        <stp/>
        <stp>BDH|10890882426218884737</stp>
        <tr r="N11" s="29"/>
      </tp>
      <tp t="e">
        <v>#N/A</v>
        <stp/>
        <stp>BDH|12414597317552743101</stp>
        <tr r="L47" s="22"/>
      </tp>
      <tp t="e">
        <v>#N/A</v>
        <stp/>
        <stp>BDH|13076045909341654761</stp>
        <tr r="E39" s="10"/>
        <tr r="E31" s="11"/>
      </tp>
      <tp t="e">
        <v>#N/A</v>
        <stp/>
        <stp>BDH|12118012356077257593</stp>
        <tr r="K27" s="24"/>
      </tp>
      <tp t="e">
        <v>#N/A</v>
        <stp/>
        <stp>BDH|14853376748366245081</stp>
        <tr r="C107" s="18"/>
      </tp>
      <tp t="e">
        <v>#N/A</v>
        <stp/>
        <stp>BDH|15675183742490108505</stp>
        <tr r="E27" s="26"/>
      </tp>
      <tp t="e">
        <v>#N/A</v>
        <stp/>
        <stp>BDH|15244012352124570194</stp>
        <tr r="Q31" s="34"/>
      </tp>
      <tp t="e">
        <v>#N/A</v>
        <stp/>
        <stp>BDH|11066810479798528318</stp>
        <tr r="AA19" s="25"/>
      </tp>
      <tp t="e">
        <v>#N/A</v>
        <stp/>
        <stp>BDH|12116947733285376899</stp>
        <tr r="M37" s="10"/>
        <tr r="M29" s="11"/>
        <tr r="O41" s="13"/>
      </tp>
      <tp t="e">
        <v>#N/A</v>
        <stp/>
        <stp>BDH|13490109435732589685</stp>
        <tr r="W141" s="18"/>
      </tp>
      <tp t="e">
        <v>#N/A</v>
        <stp/>
        <stp>BDH|14158679859022236017</stp>
        <tr r="Y18" s="26"/>
      </tp>
      <tp t="e">
        <v>#N/A</v>
        <stp/>
        <stp>BDH|14743798571131138021</stp>
        <tr r="Y137" s="18"/>
      </tp>
      <tp t="e">
        <v>#N/A</v>
        <stp/>
        <stp>BDH|11332536635224197681</stp>
        <tr r="K59" s="21"/>
        <tr r="I55" s="11"/>
      </tp>
      <tp t="e">
        <v>#N/A</v>
        <stp/>
        <stp>BDH|14091770205321742791</stp>
        <tr r="J72" s="17"/>
      </tp>
      <tp t="e">
        <v>#N/A</v>
        <stp/>
        <stp>BDH|17536435070868323993</stp>
        <tr r="F83" s="12"/>
      </tp>
      <tp t="e">
        <v>#N/A</v>
        <stp/>
        <stp>BDH|14006808575717809911</stp>
        <tr r="D33" s="18"/>
      </tp>
      <tp t="e">
        <v>#N/A</v>
        <stp/>
        <stp>BDH|18441283787023439439</stp>
        <tr r="Z48" s="13"/>
      </tp>
      <tp t="e">
        <v>#N/A</v>
        <stp/>
        <stp>BDH|14881166818531251083</stp>
        <tr r="R15" s="29"/>
        <tr r="R38" s="29"/>
      </tp>
      <tp t="e">
        <v>#N/A</v>
        <stp/>
        <stp>BDH|13122617209875714521</stp>
        <tr r="P16" s="10"/>
      </tp>
      <tp t="e">
        <v>#N/A</v>
        <stp/>
        <stp>BDH|15045733238992621610</stp>
        <tr r="C26" s="22"/>
      </tp>
      <tp t="e">
        <v>#N/A</v>
        <stp/>
        <stp>BDH|13951771083049238034</stp>
        <tr r="N65" s="12"/>
      </tp>
      <tp t="e">
        <v>#N/A</v>
        <stp/>
        <stp>BDH|11925725335947446769</stp>
        <tr r="U21" s="24"/>
      </tp>
      <tp t="e">
        <v>#N/A</v>
        <stp/>
        <stp>BDH|10859394139720758530</stp>
        <tr r="E74" s="24"/>
      </tp>
      <tp t="e">
        <v>#N/A</v>
        <stp/>
        <stp>BDH|11000803988152719631</stp>
        <tr r="U24" s="9"/>
      </tp>
      <tp t="e">
        <v>#N/A</v>
        <stp/>
        <stp>BDH|18288019139946028868</stp>
        <tr r="H72" s="18"/>
      </tp>
      <tp t="e">
        <v>#N/A</v>
        <stp/>
        <stp>BDH|15892580005524991107</stp>
        <tr r="E7" s="14"/>
      </tp>
      <tp t="e">
        <v>#N/A</v>
        <stp/>
        <stp>BDH|13056916386132846534</stp>
        <tr r="M114" s="18"/>
      </tp>
      <tp t="e">
        <v>#N/A</v>
        <stp/>
        <stp>BDH|14371617753030879256</stp>
        <tr r="H78" s="24"/>
      </tp>
      <tp t="e">
        <v>#N/A</v>
        <stp/>
        <stp>BDH|15760004855764667182</stp>
        <tr r="W58" s="21"/>
        <tr r="W37" s="25"/>
        <tr r="U31" s="4"/>
        <tr r="U54" s="11"/>
      </tp>
      <tp t="e">
        <v>#N/A</v>
        <stp/>
        <stp>BDH|15827427149440814071</stp>
        <tr r="Q86" s="12"/>
      </tp>
      <tp t="e">
        <v>#N/A</v>
        <stp/>
        <stp>BDH|17975973672764255827</stp>
        <tr r="C20" s="29"/>
      </tp>
      <tp t="e">
        <v>#N/A</v>
        <stp/>
        <stp>BDH|17928220714937725649</stp>
        <tr r="U24" s="29"/>
      </tp>
      <tp t="e">
        <v>#N/A</v>
        <stp/>
        <stp>BDH|16267214520661844270</stp>
        <tr r="L18" s="12"/>
      </tp>
      <tp t="e">
        <v>#N/A</v>
        <stp/>
        <stp>BDH|17238036855402190598</stp>
        <tr r="Y10" s="13"/>
      </tp>
      <tp t="e">
        <v>#N/A</v>
        <stp/>
        <stp>BDH|11416292935880635528</stp>
        <tr r="I17" s="6"/>
      </tp>
      <tp t="e">
        <v>#N/A</v>
        <stp/>
        <stp>BDH|14038043612479872924</stp>
        <tr r="D25" s="13"/>
      </tp>
      <tp t="e">
        <v>#N/A</v>
        <stp/>
        <stp>BDH|14941649611810964694</stp>
        <tr r="U59" s="11"/>
        <tr r="W15" s="23"/>
      </tp>
      <tp t="e">
        <v>#N/A</v>
        <stp/>
        <stp>BDH|13639630593410857924</stp>
        <tr r="T33" s="17"/>
      </tp>
      <tp t="e">
        <v>#N/A</v>
        <stp/>
        <stp>BDH|16657012309934692741</stp>
        <tr r="Z7" s="30"/>
      </tp>
      <tp t="e">
        <v>#N/A</v>
        <stp/>
        <stp>BDH|14814545996564349950</stp>
        <tr r="C9" s="28"/>
      </tp>
      <tp t="e">
        <v>#N/A</v>
        <stp/>
        <stp>BDH|11151291043284675615</stp>
        <tr r="R8" s="8"/>
      </tp>
      <tp t="e">
        <v>#N/A</v>
        <stp/>
        <stp>BDH|12242466238416848686</stp>
        <tr r="Z57" s="24"/>
      </tp>
      <tp t="e">
        <v>#N/A</v>
        <stp/>
        <stp>BDH|16546082032534231414</stp>
        <tr r="W23" s="25"/>
        <tr r="U20" s="11"/>
      </tp>
      <tp t="e">
        <v>#N/A</v>
        <stp/>
        <stp>BDH|14073714105132888430</stp>
        <tr r="N9" s="22"/>
      </tp>
      <tp t="e">
        <v>#N/A</v>
        <stp/>
        <stp>BDH|11148360778640911099</stp>
        <tr r="R43" s="22"/>
      </tp>
      <tp t="e">
        <v>#N/A</v>
        <stp/>
        <stp>BDH|11597687310435142636</stp>
        <tr r="U17" s="30"/>
      </tp>
      <tp t="e">
        <v>#N/A</v>
        <stp/>
        <stp>BDH|11169906703894441994</stp>
        <tr r="F49" s="18"/>
      </tp>
      <tp t="e">
        <v>#N/A</v>
        <stp/>
        <stp>BDH|13481657052672523794</stp>
        <tr r="G63" s="18"/>
      </tp>
      <tp t="e">
        <v>#N/A</v>
        <stp/>
        <stp>BDH|10694799515014784727</stp>
        <tr r="V14" s="28"/>
      </tp>
      <tp t="e">
        <v>#N/A</v>
        <stp/>
        <stp>BDH|12615471412011463389</stp>
        <tr r="I48" s="21"/>
      </tp>
      <tp t="e">
        <v>#N/A</v>
        <stp/>
        <stp>BDH|13857655521462394003</stp>
        <tr r="T28" s="12"/>
      </tp>
      <tp t="e">
        <v>#N/A</v>
        <stp/>
        <stp>BDH|17863807075785288800</stp>
        <tr r="Y45" s="18"/>
      </tp>
      <tp t="e">
        <v>#N/A</v>
        <stp/>
        <stp>BDH|10299152657150737184</stp>
        <tr r="J9" s="3"/>
        <tr r="H51" s="10"/>
        <tr r="H43" s="11"/>
        <tr r="H14" s="7"/>
      </tp>
      <tp t="e">
        <v>#N/A</v>
        <stp/>
        <stp>BDH|12094566030381901001</stp>
        <tr r="J33" s="9"/>
      </tp>
      <tp t="e">
        <v>#N/A</v>
        <stp/>
        <stp>BDH|14283383821113457302</stp>
        <tr r="F80" s="24"/>
      </tp>
      <tp t="e">
        <v>#N/A</v>
        <stp/>
        <stp>BDH|15204198823755157666</stp>
        <tr r="D38" s="24"/>
      </tp>
      <tp t="e">
        <v>#N/A</v>
        <stp/>
        <stp>BDH|17830430422851266541</stp>
        <tr r="AA84" s="12"/>
      </tp>
      <tp t="e">
        <v>#N/A</v>
        <stp/>
        <stp>BDH|15245276319317008432</stp>
        <tr r="Q53" s="24"/>
      </tp>
      <tp t="e">
        <v>#N/A</v>
        <stp/>
        <stp>BDH|15243399252120092666</stp>
        <tr r="Y18" s="22"/>
      </tp>
      <tp t="e">
        <v>#N/A</v>
        <stp/>
        <stp>BDH|14098958709019161126</stp>
        <tr r="C9" s="21"/>
      </tp>
      <tp t="e">
        <v>#N/A</v>
        <stp/>
        <stp>BDH|13278991748783556895</stp>
        <tr r="V86" s="18"/>
      </tp>
      <tp t="e">
        <v>#N/A</v>
        <stp/>
        <stp>BDH|13821071463479101926</stp>
        <tr r="AA16" s="21"/>
      </tp>
      <tp t="e">
        <v>#N/A</v>
        <stp/>
        <stp>BDH|14754062239776462437</stp>
        <tr r="S35" s="34"/>
      </tp>
      <tp t="e">
        <v>#N/A</v>
        <stp/>
        <stp>BDH|15464542878696717402</stp>
        <tr r="D52" s="12"/>
      </tp>
      <tp t="e">
        <v>#N/A</v>
        <stp/>
        <stp>BDH|15926502528267837060</stp>
        <tr r="M68" s="24"/>
      </tp>
      <tp t="e">
        <v>#N/A</v>
        <stp/>
        <stp>BDH|15922475657017766611</stp>
        <tr r="R92" s="17"/>
        <tr r="R13" s="28"/>
      </tp>
      <tp t="e">
        <v>#N/A</v>
        <stp/>
        <stp>BDH|13467952435999823538</stp>
        <tr r="L38" s="24"/>
      </tp>
      <tp t="e">
        <v>#N/A</v>
        <stp/>
        <stp>BDH|14377511455323850207</stp>
        <tr r="F72" s="17"/>
      </tp>
      <tp t="e">
        <v>#N/A</v>
        <stp/>
        <stp>BDH|13649118158977251526</stp>
        <tr r="G12" s="3"/>
        <tr r="E55" s="10"/>
        <tr r="E47" s="11"/>
        <tr r="E7" s="7"/>
      </tp>
      <tp t="e">
        <v>#N/A</v>
        <stp/>
        <stp>BDH|17763091203196506470</stp>
        <tr r="F30" s="24"/>
      </tp>
      <tp t="e">
        <v>#N/A</v>
        <stp/>
        <stp>BDH|13576491552100554744</stp>
        <tr r="P14" s="23"/>
      </tp>
      <tp t="e">
        <v>#N/A</v>
        <stp/>
        <stp>BDH|14352674105555837261</stp>
        <tr r="AA45" s="18"/>
      </tp>
      <tp t="e">
        <v>#N/A</v>
        <stp/>
        <stp>BDH|15851102045471144431</stp>
        <tr r="U8" s="34"/>
      </tp>
      <tp t="e">
        <v>#N/A</v>
        <stp/>
        <stp>BDH|15531707830147352395</stp>
        <tr r="I31" s="21"/>
      </tp>
      <tp t="e">
        <v>#N/A</v>
        <stp/>
        <stp>BDH|12159161908493357530</stp>
        <tr r="S48" s="17"/>
      </tp>
      <tp t="e">
        <v>#N/A</v>
        <stp/>
        <stp>BDH|12152143975433771280</stp>
        <tr r="D31" s="18"/>
      </tp>
      <tp t="e">
        <v>#N/A</v>
        <stp/>
        <stp>BDH|13377491162702371643</stp>
        <tr r="W45" s="4"/>
        <tr r="W31" s="10"/>
        <tr r="W23" s="11"/>
        <tr r="Y30" s="13"/>
      </tp>
      <tp t="e">
        <v>#N/A</v>
        <stp/>
        <stp>BDH|16136781607930768469</stp>
        <tr r="X12" s="7"/>
      </tp>
      <tp t="e">
        <v>#N/A</v>
        <stp/>
        <stp>BDH|15493639745316863451</stp>
        <tr r="G19" s="10"/>
      </tp>
      <tp t="e">
        <v>#N/A</v>
        <stp/>
        <stp>BDH|14891031631865630728</stp>
        <tr r="M47" s="13"/>
      </tp>
      <tp t="e">
        <v>#N/A</v>
        <stp/>
        <stp>BDH|17175233448513782732</stp>
        <tr r="X22" s="11"/>
      </tp>
      <tp t="e">
        <v>#N/A</v>
        <stp/>
        <stp>BDH|15916493673615879659</stp>
        <tr r="S19" s="26"/>
      </tp>
      <tp t="e">
        <v>#N/A</v>
        <stp/>
        <stp>BDH|11807532184091614879</stp>
        <tr r="P78" s="12"/>
      </tp>
      <tp t="e">
        <v>#N/A</v>
        <stp/>
        <stp>BDH|12422058279150402021</stp>
        <tr r="K63" s="13"/>
      </tp>
      <tp t="e">
        <v>#N/A</v>
        <stp/>
        <stp>BDH|14933076634951407306</stp>
        <tr r="C9" s="2"/>
        <tr r="E8" s="25"/>
      </tp>
      <tp t="e">
        <v>#N/A</v>
        <stp/>
        <stp>BDH|12429460249656768128</stp>
        <tr r="X11" s="18"/>
      </tp>
      <tp t="e">
        <v>#N/A</v>
        <stp/>
        <stp>BDH|13318789815305417542</stp>
        <tr r="Q17" s="5"/>
        <tr r="Q36" s="6"/>
      </tp>
      <tp t="e">
        <v>#N/A</v>
        <stp/>
        <stp>BDH|10796184241745838586</stp>
        <tr r="D65" s="17"/>
      </tp>
      <tp t="e">
        <v>#N/A</v>
        <stp/>
        <stp>BDH|11674302775556886657</stp>
        <tr r="E38" s="10"/>
        <tr r="E30" s="11"/>
        <tr r="G42" s="13"/>
      </tp>
      <tp t="e">
        <v>#N/A</v>
        <stp/>
        <stp>BDH|17920725637691470768</stp>
        <tr r="K58" s="18"/>
      </tp>
      <tp t="e">
        <v>#N/A</v>
        <stp/>
        <stp>BDH|13307955529568590547</stp>
        <tr r="O49" s="6"/>
      </tp>
      <tp t="e">
        <v>#N/A</v>
        <stp/>
        <stp>BDH|17556092296922404900</stp>
        <tr r="F48" s="18"/>
      </tp>
      <tp t="e">
        <v>#N/A</v>
        <stp/>
        <stp>BDH|13718735980998817121</stp>
        <tr r="O84" s="12"/>
      </tp>
      <tp t="e">
        <v>#N/A</v>
        <stp/>
        <stp>BDH|13087145299447519965</stp>
        <tr r="R121" s="18"/>
      </tp>
      <tp t="e">
        <v>#N/A</v>
        <stp/>
        <stp>BDH|11524787872841022512</stp>
        <tr r="P13" s="11"/>
      </tp>
      <tp t="e">
        <v>#N/A</v>
        <stp/>
        <stp>BDH|12068663213231822139</stp>
        <tr r="T10" s="11"/>
      </tp>
      <tp t="e">
        <v>#N/A</v>
        <stp/>
        <stp>BDH|14855050145540346558</stp>
        <tr r="T34" s="34"/>
      </tp>
      <tp t="e">
        <v>#N/A</v>
        <stp/>
        <stp>BDH|11599640055115824229</stp>
        <tr r="X7" s="6"/>
      </tp>
      <tp t="e">
        <v>#N/A</v>
        <stp/>
        <stp>BDH|13064086278279730892</stp>
        <tr r="C61" s="18"/>
      </tp>
      <tp t="e">
        <v>#N/A</v>
        <stp/>
        <stp>BDH|16826575964254357462</stp>
        <tr r="K44" s="21"/>
      </tp>
      <tp t="e">
        <v>#N/A</v>
        <stp/>
        <stp>BDH|15929817179478734780</stp>
        <tr r="U86" s="12"/>
      </tp>
      <tp t="e">
        <v>#N/A</v>
        <stp/>
        <stp>BDH|14528007851666316290</stp>
        <tr r="F67" s="18"/>
      </tp>
      <tp t="e">
        <v>#N/A</v>
        <stp/>
        <stp>BDH|18053938136264389386</stp>
        <tr r="E57" s="12"/>
      </tp>
      <tp t="e">
        <v>#N/A</v>
        <stp/>
        <stp>BDH|11333716329210330165</stp>
        <tr r="S22" s="10"/>
      </tp>
      <tp t="e">
        <v>#N/A</v>
        <stp/>
        <stp>BDH|13857414086133519941</stp>
        <tr r="L58" s="17"/>
      </tp>
      <tp t="e">
        <v>#N/A</v>
        <stp/>
        <stp>BDH|13287677650296280395</stp>
        <tr r="P52" s="17"/>
        <tr r="P10" s="25"/>
      </tp>
      <tp t="e">
        <v>#N/A</v>
        <stp/>
        <stp>BDH|10299595460623584502</stp>
        <tr r="N18" s="2"/>
        <tr r="N53" s="4"/>
        <tr r="N46" s="10"/>
        <tr r="N38" s="11"/>
        <tr r="P51" s="13"/>
      </tp>
      <tp t="e">
        <v>#N/A</v>
        <stp/>
        <stp>BDH|17511891512243921897</stp>
        <tr r="E29" s="29"/>
        <tr r="E7" s="29"/>
      </tp>
      <tp t="e">
        <v>#N/A</v>
        <stp/>
        <stp>BDH|14906783082509896758</stp>
        <tr r="P27" s="26"/>
      </tp>
      <tp t="e">
        <v>#N/A</v>
        <stp/>
        <stp>BDH|13579746964432323581</stp>
        <tr r="AA30" s="21"/>
      </tp>
      <tp t="e">
        <v>#N/A</v>
        <stp/>
        <stp>BDH|15883376077763489724</stp>
        <tr r="S42" s="22"/>
      </tp>
      <tp t="e">
        <v>#N/A</v>
        <stp/>
        <stp>BDH|10356918810024914959</stp>
        <tr r="U92" s="18"/>
      </tp>
      <tp t="e">
        <v>#N/A</v>
        <stp/>
        <stp>BDH|17280679570753932020</stp>
        <tr r="L53" s="18"/>
      </tp>
      <tp t="e">
        <v>#N/A</v>
        <stp/>
        <stp>BDH|12488756582021826958</stp>
        <tr r="G56" s="18"/>
      </tp>
      <tp t="e">
        <v>#N/A</v>
        <stp/>
        <stp>BDH|13414184803151412651</stp>
        <tr r="P18" s="29"/>
        <tr r="P41" s="29"/>
      </tp>
    </main>
    <main first="bofaddin.rtdserver">
      <tp t="e">
        <v>#N/A</v>
        <stp/>
        <stp>BDH|7454388657763299</stp>
        <tr r="C63" s="12"/>
      </tp>
      <tp t="e">
        <v>#N/A</v>
        <stp/>
        <stp>BDH|9053587851983050</stp>
        <tr r="P42" s="6"/>
      </tp>
      <tp t="e">
        <v>#N/A</v>
        <stp/>
        <stp>BDH|3547557387010987</stp>
        <tr r="L23" s="2"/>
        <tr r="N18" s="21"/>
        <tr r="N23" s="3"/>
      </tp>
      <tp t="e">
        <v>#N/A</v>
        <stp/>
        <stp>BDH|8643917248696062</stp>
        <tr r="K56" s="24"/>
      </tp>
      <tp t="e">
        <v>#N/A</v>
        <stp/>
        <stp>BDH|6451282335102424</stp>
        <tr r="V48" s="22"/>
      </tp>
      <tp t="e">
        <v>#N/A</v>
        <stp/>
        <stp>BDH|6495487647225830</stp>
        <tr r="T22" s="10"/>
      </tp>
      <tp t="e">
        <v>#N/A</v>
        <stp/>
        <stp>BDH|1330329706711746</stp>
        <tr r="T64" s="10"/>
      </tp>
      <tp t="e">
        <v>#N/A</v>
        <stp/>
        <stp>BDH|7332849460541728</stp>
        <tr r="G29" s="29"/>
        <tr r="G7" s="29"/>
      </tp>
      <tp t="e">
        <v>#N/A</v>
        <stp/>
        <stp>BDH|5900664997730906</stp>
        <tr r="S31" s="25"/>
        <tr r="P14" s="5"/>
        <tr r="S17" s="27"/>
      </tp>
      <tp t="e">
        <v>#N/A</v>
        <stp/>
        <stp>BDH|4912479379708625</stp>
        <tr r="M39" s="25"/>
        <tr r="M7" s="3"/>
        <tr r="K18" s="11"/>
        <tr r="M22" s="13"/>
        <tr r="M7" s="13"/>
      </tp>
      <tp t="e">
        <v>#N/A</v>
        <stp/>
        <stp>BDH|2137822400352461</stp>
        <tr r="F9" s="24"/>
      </tp>
      <tp t="e">
        <v>#N/A</v>
        <stp/>
        <stp>BDH|5113883609875453</stp>
        <tr r="N29" s="21"/>
      </tp>
      <tp t="e">
        <v>#N/A</v>
        <stp/>
        <stp>BDH|4306731312129123793</stp>
        <tr r="P78" s="24"/>
      </tp>
      <tp t="e">
        <v>#N/A</v>
        <stp/>
        <stp>BDH|2972909948842349183</stp>
        <tr r="F86" s="18"/>
      </tp>
      <tp t="e">
        <v>#N/A</v>
        <stp/>
        <stp>BDH|7448225255144832812</stp>
        <tr r="H66" s="24"/>
      </tp>
      <tp t="e">
        <v>#N/A</v>
        <stp/>
        <stp>BDH|4433009396780182194</stp>
        <tr r="Z64" s="18"/>
      </tp>
      <tp t="e">
        <v>#N/A</v>
        <stp/>
        <stp>BDH|2512506646347100884</stp>
        <tr r="S35" s="4"/>
      </tp>
      <tp t="e">
        <v>#N/A</v>
        <stp/>
        <stp>BDH|5828931173206325113</stp>
        <tr r="L34" s="12"/>
      </tp>
      <tp t="e">
        <v>#N/A</v>
        <stp/>
        <stp>BDH|5089868259470741420</stp>
        <tr r="E139" s="18"/>
      </tp>
      <tp t="e">
        <v>#N/A</v>
        <stp/>
        <stp>BDH|9622650125151483088</stp>
        <tr r="T47" s="10"/>
        <tr r="T39" s="11"/>
      </tp>
      <tp t="e">
        <v>#N/A</v>
        <stp/>
        <stp>BDH|7444629968178688326</stp>
        <tr r="N54" s="21"/>
      </tp>
      <tp t="e">
        <v>#N/A</v>
        <stp/>
        <stp>BDH|8218287770918993994</stp>
        <tr r="O66" s="17"/>
        <tr r="O18" s="3"/>
      </tp>
      <tp t="e">
        <v>#N/A</v>
        <stp/>
        <stp>BDH|6658112062308716587</stp>
        <tr r="Y91" s="24"/>
      </tp>
      <tp t="e">
        <v>#N/A</v>
        <stp/>
        <stp>BDH|2699822438300796513</stp>
        <tr r="J7" s="14"/>
      </tp>
      <tp t="e">
        <v>#N/A</v>
        <stp/>
        <stp>BDH|4470838779423164458</stp>
        <tr r="F14" s="8"/>
      </tp>
      <tp t="e">
        <v>#N/A</v>
        <stp/>
        <stp>BDH|5174841553104903052</stp>
        <tr r="N29" s="18"/>
      </tp>
      <tp t="e">
        <v>#N/A</v>
        <stp/>
        <stp>BDH|6956050996550502355</stp>
        <tr r="Y24" s="4"/>
        <tr r="Y57" s="11"/>
      </tp>
      <tp t="e">
        <v>#N/A</v>
        <stp/>
        <stp>BDH|7072042906699079281</stp>
        <tr r="C7" s="24"/>
      </tp>
      <tp t="e">
        <v>#N/A</v>
        <stp/>
        <stp>BDH|9389882916329440539</stp>
        <tr r="Z49" s="13"/>
      </tp>
      <tp t="e">
        <v>#N/A</v>
        <stp/>
        <stp>BDH|8507218909414724209</stp>
        <tr r="L27" s="25"/>
        <tr r="L13" s="27"/>
      </tp>
      <tp t="e">
        <v>#N/A</v>
        <stp/>
        <stp>BDH|9577528798099439015</stp>
        <tr r="X39" s="10"/>
        <tr r="X31" s="11"/>
      </tp>
      <tp t="e">
        <v>#N/A</v>
        <stp/>
        <stp>BDH|7812435316888775602</stp>
        <tr r="Y15" s="25"/>
      </tp>
      <tp t="e">
        <v>#N/A</v>
        <stp/>
        <stp>BDH|6158407988302788441</stp>
        <tr r="D43" s="4"/>
      </tp>
      <tp t="e">
        <v>#N/A</v>
        <stp/>
        <stp>BDH|2152606181258326898</stp>
        <tr r="D10" s="28"/>
      </tp>
      <tp t="e">
        <v>#N/A</v>
        <stp/>
        <stp>BDH|7453871747955731295</stp>
        <tr r="G73" s="12"/>
      </tp>
      <tp t="e">
        <v>#N/A</v>
        <stp/>
        <stp>BDH|1005868330644461283</stp>
        <tr r="G42" s="18"/>
      </tp>
      <tp t="e">
        <v>#N/A</v>
        <stp/>
        <stp>BDH|7599601392143862755</stp>
        <tr r="I24" s="21"/>
      </tp>
      <tp t="e">
        <v>#N/A</v>
        <stp/>
        <stp>BDH|2396207308765549947</stp>
        <tr r="S77" s="18"/>
      </tp>
      <tp t="e">
        <v>#N/A</v>
        <stp/>
        <stp>BDH|8221897676832660916</stp>
        <tr r="S35" s="26"/>
      </tp>
      <tp t="e">
        <v>#N/A</v>
        <stp/>
        <stp>BDH|3938011515138278659</stp>
        <tr r="E14" s="6"/>
      </tp>
      <tp t="e">
        <v>#N/A</v>
        <stp/>
        <stp>BDH|6290034514908983361</stp>
        <tr r="I73" s="12"/>
      </tp>
      <tp t="e">
        <v>#N/A</v>
        <stp/>
        <stp>BDH|7790034724298314192</stp>
        <tr r="O14" s="17"/>
        <tr r="O17" s="28"/>
      </tp>
      <tp t="e">
        <v>#N/A</v>
        <stp/>
        <stp>BDH|3683428748619412629</stp>
        <tr r="T60" s="13"/>
      </tp>
      <tp t="e">
        <v>#N/A</v>
        <stp/>
        <stp>BDH|9000277852702899068</stp>
        <tr r="J59" s="11"/>
        <tr r="L15" s="23"/>
      </tp>
      <tp t="e">
        <v>#N/A</v>
        <stp/>
        <stp>BDH|9336226040615316692</stp>
        <tr r="O71" s="17"/>
      </tp>
      <tp t="e">
        <v>#N/A</v>
        <stp/>
        <stp>BDH|9658433015391808135</stp>
        <tr r="Y35" s="14"/>
      </tp>
      <tp t="e">
        <v>#N/A</v>
        <stp/>
        <stp>BDH|2413648544865755987</stp>
        <tr r="M16" s="22"/>
      </tp>
      <tp t="e">
        <v>#N/A</v>
        <stp/>
        <stp>BDH|1249451846609216481</stp>
        <tr r="M50" s="12"/>
      </tp>
      <tp t="e">
        <v>#N/A</v>
        <stp/>
        <stp>BDH|4219390342919488663</stp>
        <tr r="T38" s="10"/>
        <tr r="T30" s="11"/>
        <tr r="V42" s="13"/>
      </tp>
      <tp t="e">
        <v>#N/A</v>
        <stp/>
        <stp>BDH|8510555505347742690</stp>
        <tr r="V11" s="21"/>
      </tp>
      <tp t="e">
        <v>#N/A</v>
        <stp/>
        <stp>BDH|4368928762445895200</stp>
        <tr r="V61" s="18"/>
      </tp>
      <tp t="e">
        <v>#N/A</v>
        <stp/>
        <stp>BDH|1478123313028611586</stp>
        <tr r="Z10" s="12"/>
      </tp>
      <tp t="e">
        <v>#N/A</v>
        <stp/>
        <stp>BDH|3436481096193098118</stp>
        <tr r="G39" s="10"/>
        <tr r="G31" s="11"/>
      </tp>
      <tp t="e">
        <v>#N/A</v>
        <stp/>
        <stp>BDH|2700182950159593318</stp>
        <tr r="I15" s="30"/>
      </tp>
      <tp t="e">
        <v>#N/A</v>
        <stp/>
        <stp>BDH|7452191899602710181</stp>
        <tr r="R26" s="29"/>
      </tp>
      <tp t="e">
        <v>#N/A</v>
        <stp/>
        <stp>BDH|6015103706528517381</stp>
        <tr r="Y26" s="7"/>
      </tp>
      <tp t="e">
        <v>#N/A</v>
        <stp/>
        <stp>BDH|9218983607675518932</stp>
        <tr r="R28" s="10"/>
        <tr r="T34" s="13"/>
      </tp>
      <tp t="e">
        <v>#N/A</v>
        <stp/>
        <stp>BDH|4763552257169635181</stp>
        <tr r="P22" s="21"/>
      </tp>
      <tp t="e">
        <v>#N/A</v>
        <stp/>
        <stp>BDH|7803365811989721039</stp>
        <tr r="X14" s="20"/>
      </tp>
      <tp t="e">
        <v>#N/A</v>
        <stp/>
        <stp>BDH|9281189136220219755</stp>
        <tr r="D36" s="13"/>
      </tp>
      <tp t="e">
        <v>#N/A</v>
        <stp/>
        <stp>BDH|3481905028325386140</stp>
        <tr r="W24" s="9"/>
      </tp>
      <tp t="e">
        <v>#N/A</v>
        <stp/>
        <stp>BDH|8743506202871816062</stp>
        <tr r="J32" s="25"/>
        <tr r="J18" s="27"/>
      </tp>
      <tp t="e">
        <v>#N/A</v>
        <stp/>
        <stp>BDH|1935520157679082474</stp>
        <tr r="K8" s="2"/>
      </tp>
      <tp t="e">
        <v>#N/A</v>
        <stp/>
        <stp>BDH|1086113666863594993</stp>
        <tr r="G116" s="18"/>
      </tp>
      <tp t="e">
        <v>#N/A</v>
        <stp/>
        <stp>BDH|2370051084652088491</stp>
        <tr r="E27" s="25"/>
        <tr r="E13" s="27"/>
      </tp>
      <tp t="e">
        <v>#N/A</v>
        <stp/>
        <stp>BDH|6652094774734355938</stp>
        <tr r="V9" s="10"/>
      </tp>
      <tp t="e">
        <v>#N/A</v>
        <stp/>
        <stp>BDH|9799317528261315566</stp>
        <tr r="L10" s="18"/>
      </tp>
      <tp t="e">
        <v>#N/A</v>
        <stp/>
        <stp>BDH|3583187463489494119</stp>
        <tr r="Y43" s="18"/>
      </tp>
      <tp t="e">
        <v>#N/A</v>
        <stp/>
        <stp>BDH|7712962908834038622</stp>
        <tr r="E69" s="10"/>
      </tp>
      <tp t="e">
        <v>#N/A</v>
        <stp/>
        <stp>BDH|7805873330130587010</stp>
        <tr r="W56" s="24"/>
      </tp>
      <tp t="e">
        <v>#N/A</v>
        <stp/>
        <stp>BDH|7810786872019894214</stp>
        <tr r="X20" s="29"/>
      </tp>
      <tp t="e">
        <v>#N/A</v>
        <stp/>
        <stp>BDH|6389504396535912372</stp>
        <tr r="C50" s="4"/>
      </tp>
      <tp t="e">
        <v>#N/A</v>
        <stp/>
        <stp>BDH|9400392575069508868</stp>
        <tr r="X23" s="5"/>
        <tr r="X23" s="9"/>
      </tp>
      <tp t="e">
        <v>#N/A</v>
        <stp/>
        <stp>BDH|8650987182266787305</stp>
        <tr r="K95" s="18"/>
      </tp>
      <tp t="e">
        <v>#N/A</v>
        <stp/>
        <stp>BDH|8543319721334916172</stp>
        <tr r="N81" s="18"/>
      </tp>
      <tp t="e">
        <v>#N/A</v>
        <stp/>
        <stp>BDH|5023878002909899867</stp>
        <tr r="N32" s="21"/>
      </tp>
      <tp t="e">
        <v>#N/A</v>
        <stp/>
        <stp>BDH|6425284050789387444</stp>
        <tr r="T99" s="18"/>
        <tr r="T8" s="20"/>
      </tp>
      <tp t="e">
        <v>#N/A</v>
        <stp/>
        <stp>BDH|6583690067369446343</stp>
        <tr r="L34" s="6"/>
      </tp>
      <tp t="e">
        <v>#N/A</v>
        <stp/>
        <stp>BDH|3989916674343627213</stp>
        <tr r="F21" s="21"/>
      </tp>
      <tp t="e">
        <v>#N/A</v>
        <stp/>
        <stp>BDH|8679519736654372693</stp>
        <tr r="F125" s="18"/>
      </tp>
      <tp t="e">
        <v>#N/A</v>
        <stp/>
        <stp>BDH|2542541209933779847</stp>
        <tr r="F12" s="22"/>
      </tp>
      <tp t="e">
        <v>#N/A</v>
        <stp/>
        <stp>BDH|3924859292277312967</stp>
        <tr r="F57" s="18"/>
      </tp>
      <tp t="e">
        <v>#N/A</v>
        <stp/>
        <stp>BDH|3689203191836897245</stp>
        <tr r="K87" s="24"/>
      </tp>
      <tp t="e">
        <v>#N/A</v>
        <stp/>
        <stp>BDH|9273465004622992323</stp>
        <tr r="G14" s="12"/>
      </tp>
      <tp t="e">
        <v>#N/A</v>
        <stp/>
        <stp>BDH|7997249881771494030</stp>
        <tr r="V104" s="18"/>
      </tp>
      <tp t="e">
        <v>#N/A</v>
        <stp/>
        <stp>BDH|6825239830492589959</stp>
        <tr r="X31" s="26"/>
        <tr r="U14" s="9"/>
      </tp>
      <tp t="e">
        <v>#N/A</v>
        <stp/>
        <stp>BDH|7978524390224273328</stp>
        <tr r="O42" s="4"/>
      </tp>
      <tp t="e">
        <v>#N/A</v>
        <stp/>
        <stp>BDH|8912801554701251873</stp>
        <tr r="W78" s="24"/>
      </tp>
      <tp t="e">
        <v>#N/A</v>
        <stp/>
        <stp>BDH|7537498612826070865</stp>
        <tr r="X49" s="21"/>
      </tp>
      <tp t="e">
        <v>#N/A</v>
        <stp/>
        <stp>BDH|9837423983048674176</stp>
        <tr r="Z108" s="18"/>
      </tp>
      <tp t="e">
        <v>#N/A</v>
        <stp/>
        <stp>BDH|6398394184115791414</stp>
        <tr r="AA19" s="26"/>
      </tp>
      <tp t="e">
        <v>#N/A</v>
        <stp/>
        <stp>BDH|6517339998882212241</stp>
        <tr r="R20" s="24"/>
      </tp>
      <tp t="e">
        <v>#N/A</v>
        <stp/>
        <stp>BDH|9921618633662281214</stp>
        <tr r="X18" s="13"/>
      </tp>
      <tp t="e">
        <v>#N/A</v>
        <stp/>
        <stp>BDH|2376727221529935216</stp>
        <tr r="C40" s="22"/>
      </tp>
      <tp t="e">
        <v>#N/A</v>
        <stp/>
        <stp>BDH|4985441557501048828</stp>
        <tr r="R56" s="18"/>
      </tp>
      <tp t="e">
        <v>#N/A</v>
        <stp/>
        <stp>BDH|1703284528155867870</stp>
        <tr r="S40" s="24"/>
      </tp>
      <tp t="e">
        <v>#N/A</v>
        <stp/>
        <stp>BDH|8018044991498558587</stp>
        <tr r="J18" s="2"/>
        <tr r="J53" s="4"/>
        <tr r="J46" s="10"/>
        <tr r="J38" s="11"/>
        <tr r="L51" s="13"/>
      </tp>
      <tp t="e">
        <v>#N/A</v>
        <stp/>
        <stp>BDH|8404110056274943425</stp>
        <tr r="W88" s="12"/>
      </tp>
      <tp t="e">
        <v>#N/A</v>
        <stp/>
        <stp>BDH|3503848149812441147</stp>
        <tr r="O32" s="6"/>
      </tp>
      <tp t="e">
        <v>#N/A</v>
        <stp/>
        <stp>BDH|8918072945778736845</stp>
        <tr r="G64" s="21"/>
        <tr r="D31" s="6"/>
      </tp>
      <tp t="e">
        <v>#N/A</v>
        <stp/>
        <stp>BDH|6461358078987927987</stp>
        <tr r="T21" s="6"/>
      </tp>
      <tp t="e">
        <v>#N/A</v>
        <stp/>
        <stp>BDH|4879878241694346058</stp>
        <tr r="H19" s="10"/>
      </tp>
      <tp t="e">
        <v>#N/A</v>
        <stp/>
        <stp>BDH|2779866919045577253</stp>
        <tr r="D9" s="24"/>
      </tp>
      <tp t="e">
        <v>#N/A</v>
        <stp/>
        <stp>BDH|7522112740389910757</stp>
        <tr r="F59" s="24"/>
      </tp>
      <tp t="e">
        <v>#N/A</v>
        <stp/>
        <stp>BDH|3979046122739031470</stp>
        <tr r="U88" s="24"/>
      </tp>
      <tp t="e">
        <v>#N/A</v>
        <stp/>
        <stp>BDH|5929947123053567134</stp>
        <tr r="K39" s="17"/>
      </tp>
      <tp t="e">
        <v>#N/A</v>
        <stp/>
        <stp>BDH|8964703050151014713</stp>
        <tr r="M56" s="24"/>
      </tp>
      <tp t="e">
        <v>#N/A</v>
        <stp/>
        <stp>BDH|7328068630991421997</stp>
        <tr r="W19" s="11"/>
      </tp>
      <tp t="e">
        <v>#N/A</v>
        <stp/>
        <stp>BDH|5685432967328387398</stp>
        <tr r="O27" s="21"/>
      </tp>
      <tp t="e">
        <v>#N/A</v>
        <stp/>
        <stp>BDH|9816578209071726193</stp>
        <tr r="N32" s="22"/>
      </tp>
      <tp t="e">
        <v>#N/A</v>
        <stp/>
        <stp>BDH|9847693541447095082</stp>
        <tr r="P84" s="18"/>
      </tp>
      <tp t="e">
        <v>#N/A</v>
        <stp/>
        <stp>BDH|9926280927703944679</stp>
        <tr r="P48" s="17"/>
      </tp>
      <tp t="e">
        <v>#N/A</v>
        <stp/>
        <stp>BDH|6987709399814108092</stp>
        <tr r="W38" s="6"/>
      </tp>
      <tp t="e">
        <v>#N/A</v>
        <stp/>
        <stp>BDH|7880873626399067815</stp>
        <tr r="U19" s="18"/>
      </tp>
      <tp t="e">
        <v>#N/A</v>
        <stp/>
        <stp>BDH|8587981599275507191</stp>
        <tr r="T90" s="17"/>
      </tp>
      <tp t="e">
        <v>#N/A</v>
        <stp/>
        <stp>BDH|3852873154893427176</stp>
        <tr r="M116" s="18"/>
      </tp>
      <tp t="e">
        <v>#N/A</v>
        <stp/>
        <stp>BDH|8863109750789972995</stp>
        <tr r="O13" s="13"/>
      </tp>
      <tp t="e">
        <v>#N/A</v>
        <stp/>
        <stp>BDH|3220189280041711757</stp>
        <tr r="W34" s="18"/>
      </tp>
      <tp t="e">
        <v>#N/A</v>
        <stp/>
        <stp>BDH|9213596730172792143</stp>
        <tr r="O22" s="6"/>
      </tp>
      <tp t="e">
        <v>#N/A</v>
        <stp/>
        <stp>BDH|7480720980415772197</stp>
        <tr r="L22" s="6"/>
      </tp>
      <tp t="e">
        <v>#N/A</v>
        <stp/>
        <stp>BDH|4555837034744985732</stp>
        <tr r="AA27" s="24"/>
      </tp>
      <tp t="e">
        <v>#N/A</v>
        <stp/>
        <stp>BDH|5207175419028534119</stp>
        <tr r="S25" s="26"/>
      </tp>
      <tp t="e">
        <v>#N/A</v>
        <stp/>
        <stp>BDH|2395591916879089347</stp>
        <tr r="F87" s="12"/>
      </tp>
      <tp t="e">
        <v>#N/A</v>
        <stp/>
        <stp>BDH|6810362004709188033</stp>
        <tr r="O12" s="7"/>
      </tp>
      <tp t="e">
        <v>#N/A</v>
        <stp/>
        <stp>BDH|3398865695729955710</stp>
        <tr r="G115" s="18"/>
      </tp>
      <tp t="e">
        <v>#N/A</v>
        <stp/>
        <stp>BDH|2964532123341234825</stp>
        <tr r="P61" s="21"/>
      </tp>
      <tp t="e">
        <v>#N/A</v>
        <stp/>
        <stp>BDH|1034799186327398551</stp>
        <tr r="T23" s="17"/>
      </tp>
      <tp t="e">
        <v>#N/A</v>
        <stp/>
        <stp>BDH|8990436612890527144</stp>
        <tr r="R9" s="21"/>
      </tp>
      <tp t="e">
        <v>#N/A</v>
        <stp/>
        <stp>BDH|6837060392433135044</stp>
        <tr r="M53" s="12"/>
      </tp>
      <tp t="e">
        <v>#N/A</v>
        <stp/>
        <stp>BDH|2640466928238539043</stp>
        <tr r="N13" s="21"/>
      </tp>
      <tp t="e">
        <v>#N/A</v>
        <stp/>
        <stp>BDH|3834994070584850507</stp>
        <tr r="Q31" s="18"/>
      </tp>
      <tp t="e">
        <v>#N/A</v>
        <stp/>
        <stp>BDH|5415368258086082931</stp>
        <tr r="W27" s="22"/>
      </tp>
      <tp t="e">
        <v>#N/A</v>
        <stp/>
        <stp>BDH|7610476189385163202</stp>
        <tr r="M44" s="6"/>
      </tp>
      <tp t="e">
        <v>#N/A</v>
        <stp/>
        <stp>BDH|2755974914143508582</stp>
        <tr r="V61" s="11"/>
      </tp>
      <tp t="e">
        <v>#N/A</v>
        <stp/>
        <stp>BDH|3849955942476288448</stp>
        <tr r="AA87" s="18"/>
      </tp>
      <tp t="e">
        <v>#N/A</v>
        <stp/>
        <stp>BDH|2727073868518238033</stp>
        <tr r="W66" s="24"/>
      </tp>
      <tp t="e">
        <v>#N/A</v>
        <stp/>
        <stp>BDH|1867621903448352331</stp>
        <tr r="U27" s="12"/>
      </tp>
      <tp t="e">
        <v>#N/A</v>
        <stp/>
        <stp>BDH|3856889548927954486</stp>
        <tr r="H73" s="12"/>
      </tp>
      <tp t="e">
        <v>#N/A</v>
        <stp/>
        <stp>BDH|9802348725740110418</stp>
        <tr r="Y60" s="13"/>
      </tp>
      <tp t="e">
        <v>#N/A</v>
        <stp/>
        <stp>BDH|5229837393470830834</stp>
        <tr r="AA22" s="21"/>
      </tp>
      <tp t="e">
        <v>#N/A</v>
        <stp/>
        <stp>BDH|4629083567708195619</stp>
        <tr r="O14" s="29"/>
        <tr r="O23" s="29"/>
        <tr r="O37" s="29"/>
      </tp>
      <tp t="e">
        <v>#N/A</v>
        <stp/>
        <stp>BDH|8207784611263681146</stp>
        <tr r="E63" s="21"/>
        <tr r="C23" s="7"/>
      </tp>
      <tp t="e">
        <v>#N/A</v>
        <stp/>
        <stp>BDH|4373584662808642367</stp>
        <tr r="W23" s="21"/>
      </tp>
      <tp t="e">
        <v>#N/A</v>
        <stp/>
        <stp>BDH|8157797252871655757</stp>
        <tr r="G105" s="18"/>
      </tp>
      <tp t="e">
        <v>#N/A</v>
        <stp/>
        <stp>BDH|2070866051523750099</stp>
        <tr r="L52" s="6"/>
        <tr r="N9" s="8"/>
      </tp>
      <tp t="e">
        <v>#N/A</v>
        <stp/>
        <stp>BDH|1715935591209952458</stp>
        <tr r="Q42" s="17"/>
      </tp>
      <tp t="e">
        <v>#N/A</v>
        <stp/>
        <stp>BDH|4133023591597961628</stp>
        <tr r="S71" s="17"/>
      </tp>
      <tp t="e">
        <v>#N/A</v>
        <stp/>
        <stp>BDH|3693782296265138401</stp>
        <tr r="N7" s="30"/>
      </tp>
      <tp t="e">
        <v>#N/A</v>
        <stp/>
        <stp>BDH|3987887044573464086</stp>
        <tr r="K61" s="17"/>
      </tp>
      <tp t="e">
        <v>#N/A</v>
        <stp/>
        <stp>BDH|1732360456268896362</stp>
        <tr r="Z73" s="17"/>
      </tp>
      <tp t="e">
        <v>#N/A</v>
        <stp/>
        <stp>BDH|1819915242647208708</stp>
        <tr r="N66" s="18"/>
      </tp>
      <tp t="e">
        <v>#N/A</v>
        <stp/>
        <stp>BDH|7955822143294680377</stp>
        <tr r="T20" s="5"/>
      </tp>
      <tp t="e">
        <v>#N/A</v>
        <stp/>
        <stp>BDH|3297954960902766298</stp>
        <tr r="X30" s="26"/>
      </tp>
      <tp t="e">
        <v>#N/A</v>
        <stp/>
        <stp>BDH|1151987453899155822</stp>
        <tr r="Q92" s="18"/>
      </tp>
      <tp t="e">
        <v>#N/A</v>
        <stp/>
        <stp>BDH|2501983780498685722</stp>
        <tr r="R43" s="12"/>
      </tp>
      <tp t="e">
        <v>#N/A</v>
        <stp/>
        <stp>BDH|9882864404079346404</stp>
        <tr r="M25" s="21"/>
      </tp>
      <tp t="e">
        <v>#N/A</v>
        <stp/>
        <stp>BDH|7799045018278280209</stp>
        <tr r="K23" s="23"/>
      </tp>
      <tp t="e">
        <v>#N/A</v>
        <stp/>
        <stp>BDH|5914125506121387973</stp>
        <tr r="Y18" s="29"/>
        <tr r="Y41" s="29"/>
      </tp>
      <tp t="e">
        <v>#N/A</v>
        <stp/>
        <stp>BDH|5993416304428543501</stp>
        <tr r="H25" s="21"/>
      </tp>
      <tp t="e">
        <v>#N/A</v>
        <stp/>
        <stp>BDH|6932863405007085536</stp>
        <tr r="O110" s="18"/>
      </tp>
      <tp t="e">
        <v>#N/A</v>
        <stp/>
        <stp>BDH|6301318966139422695</stp>
        <tr r="V41" s="21"/>
      </tp>
      <tp t="e">
        <v>#N/A</v>
        <stp/>
        <stp>BDH|2071291851878754165</stp>
        <tr r="T40" s="17"/>
      </tp>
      <tp t="e">
        <v>#N/A</v>
        <stp/>
        <stp>BDH|9362723252610952747</stp>
        <tr r="Q7" s="4"/>
      </tp>
      <tp t="e">
        <v>#N/A</v>
        <stp/>
        <stp>BDH|7170315238882137978</stp>
        <tr r="I19" s="22"/>
      </tp>
      <tp t="e">
        <v>#N/A</v>
        <stp/>
        <stp>BDH|4987960955746792237</stp>
        <tr r="E56" s="17"/>
      </tp>
      <tp t="e">
        <v>#N/A</v>
        <stp/>
        <stp>BDH|8893447915793096270</stp>
        <tr r="X60" s="17"/>
      </tp>
      <tp t="e">
        <v>#N/A</v>
        <stp/>
        <stp>BDH|9027677639640922091</stp>
        <tr r="Q8" s="2"/>
      </tp>
      <tp t="e">
        <v>#N/A</v>
        <stp/>
        <stp>BDH|8537844752021402897</stp>
        <tr r="W35" s="18"/>
      </tp>
      <tp t="e">
        <v>#N/A</v>
        <stp/>
        <stp>BDH|2583088263509348131</stp>
        <tr r="J125" s="18"/>
      </tp>
      <tp t="e">
        <v>#N/A</v>
        <stp/>
        <stp>BDH|2837273575463373870</stp>
        <tr r="Y28" s="18"/>
      </tp>
      <tp t="e">
        <v>#N/A</v>
        <stp/>
        <stp>BDH|1673779309063758918</stp>
        <tr r="F25" s="7"/>
      </tp>
      <tp t="e">
        <v>#N/A</v>
        <stp/>
        <stp>BDH|9928760861193672767</stp>
        <tr r="M27" s="34"/>
      </tp>
      <tp t="e">
        <v>#N/A</v>
        <stp/>
        <stp>BDH|8664035078194128722</stp>
        <tr r="V33" s="5"/>
      </tp>
      <tp t="e">
        <v>#N/A</v>
        <stp/>
        <stp>BDH|6105749895827969375</stp>
        <tr r="K43" s="4"/>
      </tp>
      <tp t="e">
        <v>#N/A</v>
        <stp/>
        <stp>BDH|9050502603549552982</stp>
        <tr r="Y97" s="18"/>
        <tr r="Y6" s="20"/>
      </tp>
      <tp t="e">
        <v>#N/A</v>
        <stp/>
        <stp>BDH|9719181244844151448</stp>
        <tr r="W89" s="17"/>
        <tr r="W34" s="25"/>
      </tp>
      <tp t="e">
        <v>#N/A</v>
        <stp/>
        <stp>BDH|1903112260479622300</stp>
        <tr r="AA28" s="22"/>
      </tp>
      <tp t="e">
        <v>#N/A</v>
        <stp/>
        <stp>BDH|8327214529503562701</stp>
        <tr r="M41" s="18"/>
      </tp>
      <tp t="e">
        <v>#N/A</v>
        <stp/>
        <stp>BDH|5255922257353125681</stp>
        <tr r="L38" s="17"/>
      </tp>
      <tp t="e">
        <v>#N/A</v>
        <stp/>
        <stp>BDH|8676190603374263104</stp>
        <tr r="I78" s="18"/>
      </tp>
      <tp t="e">
        <v>#N/A</v>
        <stp/>
        <stp>BDH|6253385147668145524</stp>
        <tr r="K50" s="24"/>
      </tp>
      <tp t="e">
        <v>#N/A</v>
        <stp/>
        <stp>BDH|6805097516188859315</stp>
        <tr r="X56" s="24"/>
      </tp>
      <tp t="e">
        <v>#N/A</v>
        <stp/>
        <stp>BDH|4054853350060999529</stp>
        <tr r="Z55" s="17"/>
      </tp>
      <tp t="e">
        <v>#N/A</v>
        <stp/>
        <stp>BDH|6887663081743554740</stp>
        <tr r="D67" s="24"/>
      </tp>
      <tp t="e">
        <v>#N/A</v>
        <stp/>
        <stp>BDH|5545499164413217840</stp>
        <tr r="G57" s="12"/>
      </tp>
      <tp t="e">
        <v>#N/A</v>
        <stp/>
        <stp>BDH|1642918957487950675</stp>
        <tr r="L14" s="6"/>
      </tp>
      <tp t="e">
        <v>#N/A</v>
        <stp/>
        <stp>BDH|2922914886829355633</stp>
        <tr r="M24" s="9"/>
      </tp>
      <tp t="e">
        <v>#N/A</v>
        <stp/>
        <stp>BDH|9985233764159929890</stp>
        <tr r="L17" s="11"/>
      </tp>
      <tp t="e">
        <v>#N/A</v>
        <stp/>
        <stp>BDH|8528080359659846828</stp>
        <tr r="T44" s="34"/>
      </tp>
      <tp t="e">
        <v>#N/A</v>
        <stp/>
        <stp>BDH|4013270782981995329</stp>
        <tr r="T18" s="10"/>
        <tr r="V16" s="13"/>
        <tr r="V27" s="13"/>
      </tp>
      <tp t="e">
        <v>#N/A</v>
        <stp/>
        <stp>BDH|4653788430468929490</stp>
        <tr r="Q52" s="17"/>
        <tr r="Q10" s="25"/>
      </tp>
      <tp t="e">
        <v>#N/A</v>
        <stp/>
        <stp>BDH|8483413468355515364</stp>
        <tr r="T31" s="29"/>
      </tp>
      <tp t="e">
        <v>#N/A</v>
        <stp/>
        <stp>BDH|3511924798176001919</stp>
        <tr r="M30" s="17"/>
      </tp>
      <tp t="e">
        <v>#N/A</v>
        <stp/>
        <stp>BDH|1432131979268883385</stp>
        <tr r="Y25" s="18"/>
      </tp>
      <tp t="e">
        <v>#N/A</v>
        <stp/>
        <stp>BDH|4101413593824818157</stp>
        <tr r="Z12" s="25"/>
      </tp>
      <tp t="e">
        <v>#N/A</v>
        <stp/>
        <stp>BDH|1720943448683085350</stp>
        <tr r="Y77" s="17"/>
      </tp>
      <tp t="e">
        <v>#N/A</v>
        <stp/>
        <stp>BDH|9043782887008000219</stp>
        <tr r="G77" s="24"/>
      </tp>
      <tp t="e">
        <v>#N/A</v>
        <stp/>
        <stp>BDH|7906626094974850094</stp>
        <tr r="N27" s="7"/>
      </tp>
      <tp t="e">
        <v>#N/A</v>
        <stp/>
        <stp>BDH|6723198034441618921</stp>
        <tr r="O63" s="10"/>
      </tp>
      <tp t="e">
        <v>#N/A</v>
        <stp/>
        <stp>BDH|9014239752682774087</stp>
        <tr r="X26" s="17"/>
      </tp>
      <tp t="e">
        <v>#N/A</v>
        <stp/>
        <stp>BDH|9734655330256877652</stp>
        <tr r="H30" s="12"/>
      </tp>
      <tp t="e">
        <v>#N/A</v>
        <stp/>
        <stp>BDH|9807528910885618430</stp>
        <tr r="Q19" s="5"/>
        <tr r="Q46" s="6"/>
      </tp>
      <tp t="e">
        <v>#N/A</v>
        <stp/>
        <stp>BDH|6225734297742069696</stp>
        <tr r="Q45" s="21"/>
      </tp>
      <tp t="e">
        <v>#N/A</v>
        <stp/>
        <stp>BDH|9500514169814340218</stp>
        <tr r="W111" s="18"/>
      </tp>
      <tp t="e">
        <v>#N/A</v>
        <stp/>
        <stp>BDH|8377487240067201360</stp>
        <tr r="Y8" s="27"/>
      </tp>
      <tp t="e">
        <v>#N/A</v>
        <stp/>
        <stp>BDH|6931927131533671334</stp>
        <tr r="U10" s="23"/>
      </tp>
      <tp t="e">
        <v>#N/A</v>
        <stp/>
        <stp>BDH|6094724285846095389</stp>
        <tr r="Z21" s="14"/>
      </tp>
      <tp t="e">
        <v>#N/A</v>
        <stp/>
        <stp>BDH|4384051895453918259</stp>
        <tr r="Q14" s="20"/>
      </tp>
      <tp t="e">
        <v>#N/A</v>
        <stp/>
        <stp>BDH|1976328835758050518</stp>
        <tr r="X33" s="12"/>
      </tp>
      <tp t="e">
        <v>#N/A</v>
        <stp/>
        <stp>BDH|2132610958759595428</stp>
        <tr r="X52" s="12"/>
      </tp>
      <tp t="e">
        <v>#N/A</v>
        <stp/>
        <stp>BDH|8112862079839993284</stp>
        <tr r="N9" s="24"/>
      </tp>
      <tp t="e">
        <v>#N/A</v>
        <stp/>
        <stp>BDH|7826966315640337378</stp>
        <tr r="H82" s="18"/>
      </tp>
      <tp t="e">
        <v>#N/A</v>
        <stp/>
        <stp>BDH|4003893863894565204</stp>
        <tr r="E28" s="26"/>
      </tp>
      <tp t="e">
        <v>#N/A</v>
        <stp/>
        <stp>BDH|6562707596133494780</stp>
        <tr r="C12" s="21"/>
      </tp>
      <tp t="e">
        <v>#N/A</v>
        <stp/>
        <stp>BDH|1884411785760560160</stp>
        <tr r="AA77" s="18"/>
      </tp>
      <tp t="e">
        <v>#N/A</v>
        <stp/>
        <stp>BDH|5220039089546549722</stp>
        <tr r="N129" s="18"/>
      </tp>
      <tp t="e">
        <v>#N/A</v>
        <stp/>
        <stp>BDH|3776755363437790994</stp>
        <tr r="D30" s="17"/>
      </tp>
      <tp t="e">
        <v>#N/A</v>
        <stp/>
        <stp>BDH|8209051839754284335</stp>
        <tr r="S35" s="22"/>
      </tp>
      <tp t="e">
        <v>#N/A</v>
        <stp/>
        <stp>BDH|6990198585786844528</stp>
        <tr r="G38" s="34"/>
      </tp>
      <tp t="e">
        <v>#N/A</v>
        <stp/>
        <stp>BDH|7855782381801902572</stp>
        <tr r="V19" s="11"/>
      </tp>
      <tp t="e">
        <v>#N/A</v>
        <stp/>
        <stp>BDH|5389683782503418422</stp>
        <tr r="U39" s="4"/>
        <tr r="U66" s="10"/>
      </tp>
      <tp t="e">
        <v>#N/A</v>
        <stp/>
        <stp>BDH|6773727822649123699</stp>
        <tr r="D56" s="17"/>
      </tp>
      <tp t="e">
        <v>#N/A</v>
        <stp/>
        <stp>BDH|1378502914911066885</stp>
        <tr r="L71" s="10"/>
        <tr r="L63" s="11"/>
      </tp>
      <tp t="e">
        <v>#N/A</v>
        <stp/>
        <stp>BDH|1384657383363829021</stp>
        <tr r="M39" s="24"/>
      </tp>
      <tp t="e">
        <v>#N/A</v>
        <stp/>
        <stp>BDH|6165287942934017846</stp>
        <tr r="D20" s="26"/>
      </tp>
      <tp t="e">
        <v>#N/A</v>
        <stp/>
        <stp>BDH|9880790749805620322</stp>
        <tr r="D7" s="4"/>
      </tp>
      <tp t="e">
        <v>#N/A</v>
        <stp/>
        <stp>BDH|1293480403978413111</stp>
        <tr r="K89" s="24"/>
      </tp>
      <tp t="e">
        <v>#N/A</v>
        <stp/>
        <stp>BDH|8397399333507608335</stp>
        <tr r="K77" s="18"/>
      </tp>
      <tp t="e">
        <v>#N/A</v>
        <stp/>
        <stp>BDH|6460852700993591184</stp>
        <tr r="I30" s="24"/>
      </tp>
      <tp t="e">
        <v>#N/A</v>
        <stp/>
        <stp>BDH|2909914393748537623</stp>
        <tr r="W67" s="18"/>
      </tp>
      <tp t="e">
        <v>#N/A</v>
        <stp/>
        <stp>BDH|4657609834274741999</stp>
        <tr r="I61" s="24"/>
      </tp>
      <tp t="e">
        <v>#N/A</v>
        <stp/>
        <stp>BDH|5606350459997299842</stp>
        <tr r="E88" s="24"/>
      </tp>
      <tp t="e">
        <v>#N/A</v>
        <stp/>
        <stp>BDH|8776682109442961035</stp>
        <tr r="N23" s="2"/>
        <tr r="P18" s="21"/>
        <tr r="P23" s="3"/>
      </tp>
      <tp t="e">
        <v>#N/A</v>
        <stp/>
        <stp>BDH|1385783082871226374</stp>
        <tr r="R108" s="18"/>
      </tp>
      <tp t="e">
        <v>#N/A</v>
        <stp/>
        <stp>BDH|1412260858388512236</stp>
        <tr r="R11" s="3"/>
        <tr r="P50" s="10"/>
        <tr r="P42" s="11"/>
        <tr r="P8" s="7"/>
      </tp>
      <tp t="e">
        <v>#N/A</v>
        <stp/>
        <stp>BDH|8858379036397420318</stp>
        <tr r="D19" s="20"/>
      </tp>
      <tp t="e">
        <v>#N/A</v>
        <stp/>
        <stp>BDH|4060645054488514393</stp>
        <tr r="T38" s="4"/>
        <tr r="T58" s="11"/>
        <tr r="V13" s="23"/>
      </tp>
      <tp t="e">
        <v>#N/A</v>
        <stp/>
        <stp>BDH|5870661583050495759</stp>
        <tr r="O17" s="23"/>
      </tp>
      <tp t="e">
        <v>#N/A</v>
        <stp/>
        <stp>BDH|4104386690636541402</stp>
        <tr r="F38" s="24"/>
      </tp>
      <tp t="e">
        <v>#N/A</v>
        <stp/>
        <stp>BDH|6786883435147703613</stp>
        <tr r="W25" s="17"/>
      </tp>
      <tp t="e">
        <v>#N/A</v>
        <stp/>
        <stp>BDH|8748144564982306180</stp>
        <tr r="O25" s="7"/>
      </tp>
      <tp t="e">
        <v>#N/A</v>
        <stp/>
        <stp>BDH|5985178880264480463</stp>
        <tr r="G52" s="24"/>
      </tp>
      <tp t="e">
        <v>#N/A</v>
        <stp/>
        <stp>BDH|3274684096165483542</stp>
        <tr r="O61" s="21"/>
      </tp>
      <tp t="e">
        <v>#N/A</v>
        <stp/>
        <stp>BDH|3884717291229406805</stp>
        <tr r="E50" s="24"/>
      </tp>
      <tp t="e">
        <v>#N/A</v>
        <stp/>
        <stp>BDH|8540288057605386659</stp>
        <tr r="T19" s="11"/>
      </tp>
      <tp t="e">
        <v>#N/A</v>
        <stp/>
        <stp>BDH|9232682446900263724</stp>
        <tr r="U14" s="17"/>
        <tr r="U17" s="28"/>
      </tp>
      <tp t="e">
        <v>#N/A</v>
        <stp/>
        <stp>BDH|5866647166498478128</stp>
        <tr r="E71" s="10"/>
        <tr r="E63" s="11"/>
      </tp>
      <tp t="e">
        <v>#N/A</v>
        <stp/>
        <stp>BDH|8887845827747204957</stp>
        <tr r="H39" s="4"/>
        <tr r="H66" s="10"/>
      </tp>
      <tp t="e">
        <v>#N/A</v>
        <stp/>
        <stp>BDH|6940898787548814237</stp>
        <tr r="I16" s="21"/>
      </tp>
      <tp t="e">
        <v>#N/A</v>
        <stp/>
        <stp>BDH|2012942179979064913</stp>
        <tr r="G41" s="10"/>
        <tr r="G33" s="11"/>
      </tp>
      <tp t="e">
        <v>#N/A</v>
        <stp/>
        <stp>BDH|7619841916465936719</stp>
        <tr r="J32" s="5"/>
      </tp>
      <tp t="e">
        <v>#N/A</v>
        <stp/>
        <stp>BDH|1444678486195142687</stp>
        <tr r="M96" s="18"/>
      </tp>
      <tp t="e">
        <v>#N/A</v>
        <stp/>
        <stp>BDH|7697768241389546197</stp>
        <tr r="G12" s="10"/>
      </tp>
      <tp t="e">
        <v>#N/A</v>
        <stp/>
        <stp>BDH|8498245471436809748</stp>
        <tr r="R87" s="24"/>
      </tp>
      <tp t="e">
        <v>#N/A</v>
        <stp/>
        <stp>BDH|4124958756676747288</stp>
        <tr r="T82" s="18"/>
      </tp>
      <tp t="e">
        <v>#N/A</v>
        <stp/>
        <stp>BDH|4233784115796071827</stp>
        <tr r="M78" s="24"/>
      </tp>
      <tp t="e">
        <v>#N/A</v>
        <stp/>
        <stp>BDH|1879918477701086230</stp>
        <tr r="S25" s="4"/>
        <tr r="S65" s="10"/>
      </tp>
      <tp t="e">
        <v>#N/A</v>
        <stp/>
        <stp>BDH|7900335523802081846</stp>
        <tr r="P77" s="24"/>
      </tp>
      <tp t="e">
        <v>#N/A</v>
        <stp/>
        <stp>BDH|4769191590722663255</stp>
        <tr r="L51" s="12"/>
      </tp>
      <tp t="e">
        <v>#N/A</v>
        <stp/>
        <stp>BDH|5365231789016715533</stp>
        <tr r="O87" s="24"/>
      </tp>
      <tp t="e">
        <v>#N/A</v>
        <stp/>
        <stp>BDH|9329669004697910459</stp>
        <tr r="I19" s="10"/>
      </tp>
      <tp t="e">
        <v>#N/A</v>
        <stp/>
        <stp>BDH|2255406316929178288</stp>
        <tr r="Z55" s="13"/>
      </tp>
      <tp t="e">
        <v>#N/A</v>
        <stp/>
        <stp>BDH|1344398216968199709</stp>
        <tr r="S57" s="18"/>
      </tp>
      <tp t="e">
        <v>#N/A</v>
        <stp/>
        <stp>BDH|5775485496405227160</stp>
        <tr r="X26" s="26"/>
      </tp>
      <tp t="e">
        <v>#N/A</v>
        <stp/>
        <stp>BDH|4046915377651908723</stp>
        <tr r="C7" s="23"/>
      </tp>
      <tp t="e">
        <v>#N/A</v>
        <stp/>
        <stp>BDH|9905788468804544013</stp>
        <tr r="W65" s="24"/>
      </tp>
      <tp t="e">
        <v>#N/A</v>
        <stp/>
        <stp>BDH|2697861364625019599</stp>
        <tr r="N118" s="18"/>
      </tp>
      <tp t="e">
        <v>#N/A</v>
        <stp/>
        <stp>BDH|1056380086361438773</stp>
        <tr r="G71" s="24"/>
      </tp>
      <tp t="e">
        <v>#N/A</v>
        <stp/>
        <stp>BDH|2488728698006701649</stp>
        <tr r="V90" s="24"/>
      </tp>
      <tp t="e">
        <v>#N/A</v>
        <stp/>
        <stp>BDH|2821567995846206444</stp>
        <tr r="Z21" s="18"/>
      </tp>
      <tp t="e">
        <v>#N/A</v>
        <stp/>
        <stp>BDH|3803946023370740459</stp>
        <tr r="I10" s="2"/>
        <tr r="H11" s="5"/>
        <tr r="H55" s="6"/>
        <tr r="I33" s="29"/>
        <tr r="I42" s="29"/>
      </tp>
      <tp t="e">
        <v>#N/A</v>
        <stp/>
        <stp>BDH|9635746118282078178</stp>
        <tr r="Q94" s="18"/>
      </tp>
      <tp t="e">
        <v>#N/A</v>
        <stp/>
        <stp>BDH|4047778276741414981</stp>
        <tr r="H61" s="13"/>
      </tp>
      <tp t="e">
        <v>#N/A</v>
        <stp/>
        <stp>BDH|5741917553543086685</stp>
        <tr r="G29" s="4"/>
      </tp>
      <tp t="e">
        <v>#N/A</v>
        <stp/>
        <stp>BDH|3977230025058642748</stp>
        <tr r="O77" s="18"/>
      </tp>
      <tp t="e">
        <v>#N/A</v>
        <stp/>
        <stp>BDH|8307912618925493939</stp>
        <tr r="T45" s="34"/>
      </tp>
      <tp t="e">
        <v>#N/A</v>
        <stp/>
        <stp>BDH|7154597255518945398</stp>
        <tr r="V8" s="10"/>
      </tp>
      <tp t="e">
        <v>#N/A</v>
        <stp/>
        <stp>BDH|2834918367605272410</stp>
        <tr r="G44" s="21"/>
      </tp>
      <tp t="e">
        <v>#N/A</v>
        <stp/>
        <stp>BDH|8496106046544988568</stp>
        <tr r="O86" s="24"/>
      </tp>
      <tp t="e">
        <v>#N/A</v>
        <stp/>
        <stp>BDH|9882949787394207048</stp>
        <tr r="P23" s="30"/>
        <tr r="P25" s="23"/>
      </tp>
      <tp t="e">
        <v>#N/A</v>
        <stp/>
        <stp>BDH|5103661189072180524</stp>
        <tr r="N60" s="24"/>
      </tp>
      <tp t="e">
        <v>#N/A</v>
        <stp/>
        <stp>BDH|2910888538394060141</stp>
        <tr r="K49" s="17"/>
      </tp>
      <tp t="e">
        <v>#N/A</v>
        <stp/>
        <stp>BDH|9077962990800230591</stp>
        <tr r="G12" s="6"/>
      </tp>
      <tp t="e">
        <v>#N/A</v>
        <stp/>
        <stp>BDH|1842760786890624231</stp>
        <tr r="X42" s="22"/>
      </tp>
      <tp t="e">
        <v>#N/A</v>
        <stp/>
        <stp>BDH|5297430001065592871</stp>
        <tr r="T25" s="13"/>
      </tp>
      <tp t="e">
        <v>#N/A</v>
        <stp/>
        <stp>BDH|1938004879969398316</stp>
        <tr r="M10" s="11"/>
      </tp>
      <tp t="e">
        <v>#N/A</v>
        <stp/>
        <stp>BDH|7210391331793911817</stp>
        <tr r="S23" s="26"/>
      </tp>
      <tp t="e">
        <v>#N/A</v>
        <stp/>
        <stp>BDH|1823591992034117502</stp>
        <tr r="V25" s="21"/>
      </tp>
      <tp t="e">
        <v>#N/A</v>
        <stp/>
        <stp>BDH|5028404433567105903</stp>
        <tr r="P88" s="12"/>
      </tp>
      <tp t="e">
        <v>#N/A</v>
        <stp/>
        <stp>BDH|7137474715468251635</stp>
        <tr r="W19" s="22"/>
      </tp>
      <tp t="e">
        <v>#N/A</v>
        <stp/>
        <stp>BDH|2198972545806192509</stp>
        <tr r="G90" s="17"/>
      </tp>
      <tp t="e">
        <v>#N/A</v>
        <stp/>
        <stp>BDH|6646407805036892899</stp>
        <tr r="Q15" s="30"/>
      </tp>
      <tp t="e">
        <v>#N/A</v>
        <stp/>
        <stp>BDH|5260032989251241087</stp>
        <tr r="V74" s="17"/>
      </tp>
      <tp t="e">
        <v>#N/A</v>
        <stp/>
        <stp>BDH|5766457196985063169</stp>
        <tr r="T20" s="10"/>
      </tp>
      <tp t="e">
        <v>#N/A</v>
        <stp/>
        <stp>BDH|8478095325571935733</stp>
        <tr r="F25" s="18"/>
      </tp>
      <tp t="e">
        <v>#N/A</v>
        <stp/>
        <stp>BDH|4095209780277547570</stp>
        <tr r="I82" s="12"/>
      </tp>
      <tp t="e">
        <v>#N/A</v>
        <stp/>
        <stp>BDH|6038852557105166210</stp>
        <tr r="K15" s="18"/>
      </tp>
      <tp t="e">
        <v>#N/A</v>
        <stp/>
        <stp>BDH|8173471621845274770</stp>
        <tr r="M27" s="18"/>
      </tp>
      <tp t="e">
        <v>#N/A</v>
        <stp/>
        <stp>BDH|6127291974976860965</stp>
        <tr r="R66" s="17"/>
        <tr r="R18" s="3"/>
      </tp>
      <tp t="e">
        <v>#N/A</v>
        <stp/>
        <stp>BDH|1448367496090480720</stp>
        <tr r="N40" s="12"/>
      </tp>
      <tp t="e">
        <v>#N/A</v>
        <stp/>
        <stp>BDH|6275366605909506063</stp>
        <tr r="T101" s="18"/>
      </tp>
      <tp t="e">
        <v>#N/A</v>
        <stp/>
        <stp>BDH|2208416335280790936</stp>
        <tr r="Z31" s="22"/>
      </tp>
      <tp t="e">
        <v>#N/A</v>
        <stp/>
        <stp>BDH|8924810848760594877</stp>
        <tr r="G67" s="12"/>
      </tp>
      <tp t="e">
        <v>#N/A</v>
        <stp/>
        <stp>BDH|7747030704823030825</stp>
        <tr r="X76" s="12"/>
      </tp>
      <tp t="e">
        <v>#N/A</v>
        <stp/>
        <stp>BDH|8501175417166261258</stp>
        <tr r="J110" s="18"/>
      </tp>
      <tp t="e">
        <v>#N/A</v>
        <stp/>
        <stp>BDH|3186187209416354813</stp>
        <tr r="X67" s="12"/>
      </tp>
      <tp t="e">
        <v>#N/A</v>
        <stp/>
        <stp>BDH|3788903894429350627</stp>
        <tr r="V7" s="11"/>
      </tp>
      <tp t="e">
        <v>#N/A</v>
        <stp/>
        <stp>BDH|8952256962957579791</stp>
        <tr r="M21" s="11"/>
      </tp>
      <tp t="e">
        <v>#N/A</v>
        <stp/>
        <stp>BDH|6843099538288998129</stp>
        <tr r="P51" s="17"/>
        <tr r="P17" s="3"/>
      </tp>
      <tp t="e">
        <v>#N/A</v>
        <stp/>
        <stp>BDH|9312522513500301139</stp>
        <tr r="S28" s="17"/>
      </tp>
      <tp t="e">
        <v>#N/A</v>
        <stp/>
        <stp>BDH|3629791991913866243</stp>
        <tr r="E35" s="10"/>
        <tr r="E27" s="11"/>
      </tp>
      <tp t="e">
        <v>#N/A</v>
        <stp/>
        <stp>BDH|1212233226308477518</stp>
        <tr r="N46" s="21"/>
      </tp>
      <tp t="e">
        <v>#N/A</v>
        <stp/>
        <stp>BDH|5377434096226141245</stp>
        <tr r="Z60" s="18"/>
      </tp>
      <tp t="e">
        <v>#N/A</v>
        <stp/>
        <stp>BDH|5193400817584691835</stp>
        <tr r="J70" s="17"/>
      </tp>
      <tp t="e">
        <v>#N/A</v>
        <stp/>
        <stp>BDH|2620125349359808264</stp>
        <tr r="Q40" s="24"/>
      </tp>
      <tp t="e">
        <v>#N/A</v>
        <stp/>
        <stp>BDH|1508141095691514425</stp>
        <tr r="Y32" s="12"/>
      </tp>
      <tp t="e">
        <v>#N/A</v>
        <stp/>
        <stp>BDH|8215202950974090710</stp>
        <tr r="L41" s="10"/>
        <tr r="L33" s="11"/>
      </tp>
      <tp t="e">
        <v>#N/A</v>
        <stp/>
        <stp>BDH|7665406437555330914</stp>
        <tr r="T40" s="10"/>
        <tr r="T32" s="11"/>
      </tp>
      <tp t="e">
        <v>#N/A</v>
        <stp/>
        <stp>BDH|2123402520131666945</stp>
        <tr r="R37" s="10"/>
        <tr r="R29" s="11"/>
        <tr r="T41" s="13"/>
      </tp>
      <tp t="e">
        <v>#N/A</v>
        <stp/>
        <stp>BDH|9027100947620738033</stp>
        <tr r="G36" s="12"/>
      </tp>
      <tp t="e">
        <v>#N/A</v>
        <stp/>
        <stp>BDH|8136491131086832525</stp>
        <tr r="F47" s="6"/>
      </tp>
      <tp t="e">
        <v>#N/A</v>
        <stp/>
        <stp>BDH|1197077491195134158</stp>
        <tr r="K128" s="18"/>
      </tp>
      <tp t="e">
        <v>#N/A</v>
        <stp/>
        <stp>BDH|4438198931689781381</stp>
        <tr r="X12" s="13"/>
      </tp>
      <tp t="e">
        <v>#N/A</v>
        <stp/>
        <stp>BDH|8127233835145002044</stp>
        <tr r="T11" s="3"/>
        <tr r="R50" s="10"/>
        <tr r="R42" s="11"/>
        <tr r="R8" s="7"/>
      </tp>
      <tp t="e">
        <v>#N/A</v>
        <stp/>
        <stp>BDH|9877540936375151686</stp>
        <tr r="K64" s="10"/>
      </tp>
      <tp t="e">
        <v>#N/A</v>
        <stp/>
        <stp>BDH|2741115569479427081</stp>
        <tr r="Y74" s="18"/>
      </tp>
      <tp t="e">
        <v>#N/A</v>
        <stp/>
        <stp>BDH|6070471787742217416</stp>
        <tr r="K22" s="7"/>
      </tp>
      <tp t="e">
        <v>#N/A</v>
        <stp/>
        <stp>BDH|3038631296532457224</stp>
        <tr r="S34" s="24"/>
      </tp>
      <tp t="e">
        <v>#N/A</v>
        <stp/>
        <stp>BDH|5534703217596691975</stp>
        <tr r="R19" s="9"/>
      </tp>
      <tp t="e">
        <v>#N/A</v>
        <stp/>
        <stp>BDH|6109181482573849008</stp>
        <tr r="L15" s="9"/>
      </tp>
      <tp t="e">
        <v>#N/A</v>
        <stp/>
        <stp>BDH|3039929117551364651</stp>
        <tr r="F41" s="17"/>
        <tr r="F9" s="25"/>
      </tp>
      <tp t="e">
        <v>#N/A</v>
        <stp/>
        <stp>BDH|5397105285041368162</stp>
        <tr r="X17" s="18"/>
      </tp>
      <tp t="e">
        <v>#N/A</v>
        <stp/>
        <stp>BDH|2564741110059383114</stp>
        <tr r="P16" s="14"/>
      </tp>
      <tp t="e">
        <v>#N/A</v>
        <stp/>
        <stp>BDH|5170318983433115111</stp>
        <tr r="L23" s="13"/>
      </tp>
      <tp t="e">
        <v>#N/A</v>
        <stp/>
        <stp>BDH|6637269083841789171</stp>
        <tr r="K35" s="21"/>
      </tp>
      <tp t="e">
        <v>#N/A</v>
        <stp/>
        <stp>BDH|6089678765879033311</stp>
        <tr r="D7" s="11"/>
      </tp>
      <tp t="e">
        <v>#N/A</v>
        <stp/>
        <stp>BDH|3804669233718773296</stp>
        <tr r="H49" s="17"/>
      </tp>
      <tp t="e">
        <v>#N/A</v>
        <stp/>
        <stp>BDH|6299062987537665567</stp>
        <tr r="K81" s="12"/>
      </tp>
      <tp t="e">
        <v>#N/A</v>
        <stp/>
        <stp>BDH|8740827685500016438</stp>
        <tr r="T12" s="18"/>
      </tp>
      <tp t="e">
        <v>#N/A</v>
        <stp/>
        <stp>BDH|8754219812346102160</stp>
        <tr r="X117" s="18"/>
      </tp>
      <tp t="e">
        <v>#N/A</v>
        <stp/>
        <stp>BDH|4244898722310964237</stp>
        <tr r="C131" s="18"/>
      </tp>
      <tp t="e">
        <v>#N/A</v>
        <stp/>
        <stp>BDH|7044164386586733448</stp>
        <tr r="P29" s="4"/>
      </tp>
      <tp t="e">
        <v>#N/A</v>
        <stp/>
        <stp>BDH|8191158274660276221</stp>
        <tr r="E27" s="17"/>
      </tp>
      <tp t="e">
        <v>#N/A</v>
        <stp/>
        <stp>BDH|6691134345659288622</stp>
        <tr r="C14" s="21"/>
      </tp>
      <tp t="e">
        <v>#N/A</v>
        <stp/>
        <stp>BDH|7181308644858419418</stp>
        <tr r="J54" s="24"/>
      </tp>
      <tp t="e">
        <v>#N/A</v>
        <stp/>
        <stp>BDH|3832938413326116199</stp>
        <tr r="J60" s="12"/>
      </tp>
      <tp t="e">
        <v>#N/A</v>
        <stp/>
        <stp>BDH|5073575072608100344</stp>
        <tr r="U24" s="17"/>
      </tp>
      <tp t="e">
        <v>#N/A</v>
        <stp/>
        <stp>BDH|3269107792956596151</stp>
        <tr r="W70" s="17"/>
      </tp>
      <tp t="e">
        <v>#N/A</v>
        <stp/>
        <stp>BDH|7850618803824974932</stp>
        <tr r="D64" s="21"/>
      </tp>
      <tp t="e">
        <v>#N/A</v>
        <stp/>
        <stp>BDH|4632129901651694835</stp>
        <tr r="M50" s="13"/>
      </tp>
      <tp t="e">
        <v>#N/A</v>
        <stp/>
        <stp>BDH|7224777148009425194</stp>
        <tr r="AA58" s="18"/>
      </tp>
      <tp t="e">
        <v>#N/A</v>
        <stp/>
        <stp>BDH|1629364933489517460</stp>
        <tr r="I51" s="18"/>
      </tp>
      <tp t="e">
        <v>#N/A</v>
        <stp/>
        <stp>BDH|8272414299710963930</stp>
        <tr r="N79" s="18"/>
      </tp>
      <tp t="e">
        <v>#N/A</v>
        <stp/>
        <stp>BDH|7498339690633423236</stp>
        <tr r="G34" s="6"/>
      </tp>
      <tp t="e">
        <v>#N/A</v>
        <stp/>
        <stp>BDH|3629700599232717383</stp>
        <tr r="R76" s="12"/>
      </tp>
      <tp t="e">
        <v>#N/A</v>
        <stp/>
        <stp>BDH|6000526063000538947</stp>
        <tr r="D86" s="12"/>
      </tp>
      <tp t="e">
        <v>#N/A</v>
        <stp/>
        <stp>BDH|6736746846751350865</stp>
        <tr r="Z50" s="13"/>
      </tp>
      <tp t="e">
        <v>#N/A</v>
        <stp/>
        <stp>BDH|2038564302212328972</stp>
        <tr r="Z83" s="24"/>
      </tp>
      <tp t="e">
        <v>#N/A</v>
        <stp/>
        <stp>BDH|5865695997372677402</stp>
        <tr r="Z8" s="24"/>
      </tp>
      <tp t="e">
        <v>#N/A</v>
        <stp/>
        <stp>BDH|4748479482267525378</stp>
        <tr r="F56" s="18"/>
      </tp>
      <tp t="e">
        <v>#N/A</v>
        <stp/>
        <stp>BDH|7899779680855793184</stp>
        <tr r="P54" s="21"/>
      </tp>
      <tp t="e">
        <v>#N/A</v>
        <stp/>
        <stp>BDH|2743603473549525614</stp>
        <tr r="D73" s="17"/>
      </tp>
      <tp t="e">
        <v>#N/A</v>
        <stp/>
        <stp>BDH|3646603081199233851</stp>
        <tr r="J7" s="8"/>
      </tp>
      <tp t="e">
        <v>#N/A</v>
        <stp/>
        <stp>BDH|4277041044765504976</stp>
        <tr r="J26" s="21"/>
      </tp>
      <tp t="e">
        <v>#N/A</v>
        <stp/>
        <stp>BDH|7555680508089734421</stp>
        <tr r="F20" s="12"/>
      </tp>
      <tp t="e">
        <v>#N/A</v>
        <stp/>
        <stp>BDH|9638215155736562470</stp>
        <tr r="AA73" s="17"/>
      </tp>
      <tp t="e">
        <v>#N/A</v>
        <stp/>
        <stp>BDH|6426163468168962530</stp>
        <tr r="L12" s="13"/>
      </tp>
      <tp t="e">
        <v>#N/A</v>
        <stp/>
        <stp>BDH|1446851210752133607</stp>
        <tr r="F135" s="18"/>
      </tp>
      <tp t="e">
        <v>#N/A</v>
        <stp/>
        <stp>BDH|1043670163625338877</stp>
        <tr r="C33" s="21"/>
      </tp>
      <tp t="e">
        <v>#N/A</v>
        <stp/>
        <stp>BDH|2750845266499154948</stp>
        <tr r="G17" s="13"/>
      </tp>
      <tp t="e">
        <v>#N/A</v>
        <stp/>
        <stp>BDH|8482601544475319335</stp>
        <tr r="N42" s="34"/>
      </tp>
      <tp t="e">
        <v>#N/A</v>
        <stp/>
        <stp>BDH|9731497537954958601</stp>
        <tr r="J31" s="34"/>
      </tp>
      <tp t="e">
        <v>#N/A</v>
        <stp/>
        <stp>BDH|4280589680476945339</stp>
        <tr r="Z62" s="21"/>
      </tp>
      <tp t="e">
        <v>#N/A</v>
        <stp/>
        <stp>BDH|2240771682022582325</stp>
        <tr r="AA56" s="18"/>
      </tp>
      <tp t="e">
        <v>#N/A</v>
        <stp/>
        <stp>BDH|9852182240117896787</stp>
        <tr r="Q8" s="27"/>
      </tp>
      <tp t="e">
        <v>#N/A</v>
        <stp/>
        <stp>BDH|4666414281903214742</stp>
        <tr r="D69" s="18"/>
      </tp>
      <tp t="e">
        <v>#N/A</v>
        <stp/>
        <stp>BDH|5816986584149197157</stp>
        <tr r="E132" s="18"/>
      </tp>
      <tp t="e">
        <v>#N/A</v>
        <stp/>
        <stp>BDH|4673972866110156769</stp>
        <tr r="P17" s="5"/>
        <tr r="P36" s="6"/>
      </tp>
      <tp t="e">
        <v>#N/A</v>
        <stp/>
        <stp>BDH|8864944194707064388</stp>
        <tr r="X76" s="18"/>
      </tp>
      <tp t="e">
        <v>#N/A</v>
        <stp/>
        <stp>BDH|4426844013921209014</stp>
        <tr r="U74" s="18"/>
      </tp>
      <tp t="e">
        <v>#N/A</v>
        <stp/>
        <stp>BDH|8230595819871331116</stp>
        <tr r="O40" s="22"/>
      </tp>
      <tp t="e">
        <v>#N/A</v>
        <stp/>
        <stp>BDH|3374847034133735748</stp>
        <tr r="O38" s="6"/>
      </tp>
      <tp t="e">
        <v>#N/A</v>
        <stp/>
        <stp>BDH|3681770433533382818</stp>
        <tr r="J43" s="12"/>
      </tp>
      <tp t="e">
        <v>#N/A</v>
        <stp/>
        <stp>BDH|3641970038246082393</stp>
        <tr r="Z7" s="21"/>
      </tp>
      <tp t="e">
        <v>#N/A</v>
        <stp/>
        <stp>BDH|5473758121615923996</stp>
        <tr r="Q25" s="26"/>
      </tp>
      <tp t="e">
        <v>#N/A</v>
        <stp/>
        <stp>BDH|5473852750936811291</stp>
        <tr r="K51" s="24"/>
      </tp>
      <tp t="e">
        <v>#N/A</v>
        <stp/>
        <stp>BDH|1197975442108604821</stp>
        <tr r="R27" s="26"/>
      </tp>
      <tp t="e">
        <v>#N/A</v>
        <stp/>
        <stp>BDH|3604079977551418921</stp>
        <tr r="O131" s="18"/>
      </tp>
      <tp t="e">
        <v>#N/A</v>
        <stp/>
        <stp>BDH|5980948462725698392</stp>
        <tr r="P12" s="25"/>
      </tp>
      <tp t="e">
        <v>#N/A</v>
        <stp/>
        <stp>BDH|9641478223393379016</stp>
        <tr r="D29" s="21"/>
      </tp>
      <tp t="e">
        <v>#N/A</v>
        <stp/>
        <stp>BDH|4312053180981705115</stp>
        <tr r="X25" s="17"/>
      </tp>
      <tp t="e">
        <v>#N/A</v>
        <stp/>
        <stp>BDH|5549870015823362344</stp>
        <tr r="L34" s="24"/>
      </tp>
      <tp t="e">
        <v>#N/A</v>
        <stp/>
        <stp>BDH|8173717814906230464</stp>
        <tr r="N61" s="21"/>
      </tp>
      <tp t="e">
        <v>#N/A</v>
        <stp/>
        <stp>BDH|6582134727268076109</stp>
        <tr r="K87" s="12"/>
      </tp>
      <tp t="e">
        <v>#N/A</v>
        <stp/>
        <stp>BDH|3625364426488229650</stp>
        <tr r="Z45" s="12"/>
      </tp>
      <tp t="e">
        <v>#N/A</v>
        <stp/>
        <stp>BDH|4889919958711611567</stp>
        <tr r="C73" s="24"/>
      </tp>
      <tp t="e">
        <v>#N/A</v>
        <stp/>
        <stp>BDH|8087284798449405658</stp>
        <tr r="S48" s="18"/>
      </tp>
      <tp t="e">
        <v>#N/A</v>
        <stp/>
        <stp>BDH|3716025795313859592</stp>
        <tr r="O25" s="18"/>
      </tp>
      <tp t="e">
        <v>#N/A</v>
        <stp/>
        <stp>BDH|2081715829849059293</stp>
        <tr r="W36" s="21"/>
      </tp>
      <tp t="e">
        <v>#N/A</v>
        <stp/>
        <stp>BDH|7190559038264925943</stp>
        <tr r="S25" s="12"/>
      </tp>
      <tp t="e">
        <v>#N/A</v>
        <stp/>
        <stp>BDH|9767447143623539647</stp>
        <tr r="H45" s="18"/>
      </tp>
      <tp t="e">
        <v>#N/A</v>
        <stp/>
        <stp>BDH|8702199723787897044</stp>
        <tr r="Z100" s="18"/>
        <tr r="Z9" s="20"/>
      </tp>
      <tp t="e">
        <v>#N/A</v>
        <stp/>
        <stp>BDH|7898992461160381421</stp>
        <tr r="W85" s="12"/>
      </tp>
      <tp t="e">
        <v>#N/A</v>
        <stp/>
        <stp>BDH|1495784932930722982</stp>
        <tr r="V39" s="12"/>
      </tp>
      <tp t="e">
        <v>#N/A</v>
        <stp/>
        <stp>BDH|4711234608198417291</stp>
        <tr r="L52" s="17"/>
        <tr r="L10" s="25"/>
      </tp>
      <tp t="e">
        <v>#N/A</v>
        <stp/>
        <stp>BDH|6306916990618054231</stp>
        <tr r="J29" s="29"/>
        <tr r="J7" s="29"/>
      </tp>
      <tp t="e">
        <v>#N/A</v>
        <stp/>
        <stp>BDH|7444207836768130223</stp>
        <tr r="Z61" s="21"/>
      </tp>
      <tp t="e">
        <v>#N/A</v>
        <stp/>
        <stp>BDH|7313563204156264822</stp>
        <tr r="H47" s="34"/>
      </tp>
      <tp t="e">
        <v>#N/A</v>
        <stp/>
        <stp>BDH|5206939000768783871</stp>
        <tr r="E19" s="18"/>
      </tp>
      <tp t="e">
        <v>#N/A</v>
        <stp/>
        <stp>BDH|7763806144997297007</stp>
        <tr r="Q45" s="17"/>
      </tp>
      <tp t="e">
        <v>#N/A</v>
        <stp/>
        <stp>BDH|9636022649664506591</stp>
        <tr r="F16" s="14"/>
      </tp>
      <tp t="e">
        <v>#N/A</v>
        <stp/>
        <stp>BDH|2066940035403109714</stp>
        <tr r="U11" s="29"/>
      </tp>
      <tp t="e">
        <v>#N/A</v>
        <stp/>
        <stp>BDH|3050734094407681604</stp>
        <tr r="K90" s="24"/>
      </tp>
      <tp t="e">
        <v>#N/A</v>
        <stp/>
        <stp>BDH|5425292825288938108</stp>
        <tr r="F85" s="12"/>
      </tp>
      <tp t="e">
        <v>#N/A</v>
        <stp/>
        <stp>BDH|5732512097922263726</stp>
        <tr r="E30" s="26"/>
      </tp>
      <tp t="e">
        <v>#N/A</v>
        <stp/>
        <stp>BDH|4027557967913401874</stp>
        <tr r="L102" s="18"/>
      </tp>
      <tp t="e">
        <v>#N/A</v>
        <stp/>
        <stp>BDH|3046505731848356137</stp>
        <tr r="J8" s="21"/>
      </tp>
      <tp t="e">
        <v>#N/A</v>
        <stp/>
        <stp>BDH|8993032370834310789</stp>
        <tr r="F38" s="25"/>
      </tp>
      <tp t="e">
        <v>#N/A</v>
        <stp/>
        <stp>BDH|8185995131349071783</stp>
        <tr r="I11" s="13"/>
      </tp>
      <tp t="e">
        <v>#N/A</v>
        <stp/>
        <stp>BDH|4038861371993116477</stp>
        <tr r="H26" s="10"/>
        <tr r="J32" s="13"/>
      </tp>
      <tp t="e">
        <v>#N/A</v>
        <stp/>
        <stp>BDH|3931249769168220374</stp>
        <tr r="Y46" s="34"/>
      </tp>
      <tp t="e">
        <v>#N/A</v>
        <stp/>
        <stp>BDH|8215150718974857060</stp>
        <tr r="N10" s="13"/>
      </tp>
      <tp t="e">
        <v>#N/A</v>
        <stp/>
        <stp>BDH|5728936010099601838</stp>
        <tr r="H28" s="4"/>
      </tp>
      <tp t="e">
        <v>#N/A</v>
        <stp/>
        <stp>BDH|8263075096448288503</stp>
        <tr r="L11" s="18"/>
      </tp>
      <tp t="e">
        <v>#N/A</v>
        <stp/>
        <stp>BDH|7074723186944679036</stp>
        <tr r="E72" s="12"/>
      </tp>
      <tp t="e">
        <v>#N/A</v>
        <stp/>
        <stp>BDH|7573732414759782445</stp>
        <tr r="G14" s="13"/>
      </tp>
      <tp t="e">
        <v>#N/A</v>
        <stp/>
        <stp>BDH|7227756954221397810</stp>
        <tr r="T18" s="23"/>
      </tp>
      <tp t="e">
        <v>#N/A</v>
        <stp/>
        <stp>BDH|2326910407615414274</stp>
        <tr r="S18" s="10"/>
        <tr r="U16" s="13"/>
        <tr r="U27" s="13"/>
      </tp>
      <tp t="e">
        <v>#N/A</v>
        <stp/>
        <stp>BDH|9586560018474441599</stp>
        <tr r="N44" s="34"/>
      </tp>
      <tp t="e">
        <v>#N/A</v>
        <stp/>
        <stp>BDH|5772187358724411955</stp>
        <tr r="K14" s="10"/>
      </tp>
      <tp t="e">
        <v>#N/A</v>
        <stp/>
        <stp>BDH|7525207043974469949</stp>
        <tr r="W53" s="17"/>
      </tp>
      <tp t="e">
        <v>#N/A</v>
        <stp/>
        <stp>BDH|3340555797655150660</stp>
        <tr r="X22" s="30"/>
        <tr r="X24" s="23"/>
      </tp>
      <tp t="e">
        <v>#N/A</v>
        <stp/>
        <stp>BDH|5415175358154568981</stp>
        <tr r="J26" s="26"/>
      </tp>
      <tp t="e">
        <v>#N/A</v>
        <stp/>
        <stp>BDH|2154314114014701854</stp>
        <tr r="Y33" s="12"/>
      </tp>
      <tp t="e">
        <v>#N/A</v>
        <stp/>
        <stp>BDH|6690608012434353915</stp>
        <tr r="D9" s="10"/>
      </tp>
      <tp t="e">
        <v>#N/A</v>
        <stp/>
        <stp>BDH|2952591684996691541</stp>
        <tr r="C28" s="22"/>
      </tp>
      <tp t="e">
        <v>#N/A</v>
        <stp/>
        <stp>BDH|4579395318143362910</stp>
        <tr r="J9" s="21"/>
      </tp>
      <tp t="e">
        <v>#N/A</v>
        <stp/>
        <stp>BDH|3924314371919639299</stp>
        <tr r="W30" s="34"/>
      </tp>
      <tp t="e">
        <v>#N/A</v>
        <stp/>
        <stp>BDH|3501122775169330074</stp>
        <tr r="X49" s="22"/>
      </tp>
      <tp t="e">
        <v>#N/A</v>
        <stp/>
        <stp>BDH|8433491273475164294</stp>
        <tr r="T33" s="5"/>
      </tp>
      <tp t="e">
        <v>#N/A</v>
        <stp/>
        <stp>BDH|7309196533851922868</stp>
        <tr r="W56" s="18"/>
      </tp>
      <tp t="e">
        <v>#N/A</v>
        <stp/>
        <stp>BDH|1747117626219012767</stp>
        <tr r="Y35" s="26"/>
      </tp>
      <tp t="e">
        <v>#N/A</v>
        <stp/>
        <stp>BDH|8604564625953384002</stp>
        <tr r="X44" s="22"/>
      </tp>
      <tp t="e">
        <v>#N/A</v>
        <stp/>
        <stp>BDH|1490925750838633961</stp>
        <tr r="I53" s="24"/>
      </tp>
      <tp t="e">
        <v>#N/A</v>
        <stp/>
        <stp>BDH|8688734504896033571</stp>
        <tr r="Y13" s="29"/>
        <tr r="Y22" s="29"/>
        <tr r="Y36" s="29"/>
      </tp>
      <tp t="e">
        <v>#N/A</v>
        <stp/>
        <stp>BDH|2861265303074978822</stp>
        <tr r="V99" s="18"/>
        <tr r="V8" s="20"/>
      </tp>
      <tp t="e">
        <v>#N/A</v>
        <stp/>
        <stp>BDH|8164574102997584675</stp>
        <tr r="V8" s="34"/>
      </tp>
      <tp t="e">
        <v>#N/A</v>
        <stp/>
        <stp>BDH|7882827721852409391</stp>
        <tr r="S54" s="24"/>
      </tp>
      <tp t="e">
        <v>#N/A</v>
        <stp/>
        <stp>BDH|7293832124401162020</stp>
        <tr r="N10" s="28"/>
      </tp>
      <tp t="e">
        <v>#N/A</v>
        <stp/>
        <stp>BDH|4424251914928029330</stp>
        <tr r="O14" s="22"/>
      </tp>
      <tp t="e">
        <v>#N/A</v>
        <stp/>
        <stp>BDH|4785915472292026425</stp>
        <tr r="K18" s="29"/>
        <tr r="K41" s="29"/>
      </tp>
      <tp t="e">
        <v>#N/A</v>
        <stp/>
        <stp>BDH|8304815470373480804</stp>
        <tr r="T33" s="10"/>
        <tr r="T25" s="11"/>
      </tp>
      <tp t="e">
        <v>#N/A</v>
        <stp/>
        <stp>BDH|6990661831509808607</stp>
        <tr r="T32" s="6"/>
      </tp>
      <tp t="e">
        <v>#N/A</v>
        <stp/>
        <stp>BDH|4243847140014399030</stp>
        <tr r="I26" s="18"/>
      </tp>
      <tp t="e">
        <v>#N/A</v>
        <stp/>
        <stp>BDH|7485840925191670053</stp>
        <tr r="S49" s="13"/>
      </tp>
      <tp t="e">
        <v>#N/A</v>
        <stp/>
        <stp>BDH|2144716596255486545</stp>
        <tr r="AA62" s="17"/>
      </tp>
      <tp t="e">
        <v>#N/A</v>
        <stp/>
        <stp>BDH|9007006657542990286</stp>
        <tr r="J72" s="18"/>
      </tp>
      <tp t="e">
        <v>#N/A</v>
        <stp/>
        <stp>BDH|7386755476719753213</stp>
        <tr r="G21" s="5"/>
      </tp>
      <tp t="e">
        <v>#N/A</v>
        <stp/>
        <stp>BDH|8602011265872146051</stp>
        <tr r="P87" s="17"/>
      </tp>
      <tp t="e">
        <v>#N/A</v>
        <stp/>
        <stp>BDH|6997804311737909476</stp>
        <tr r="V58" s="21"/>
        <tr r="V37" s="25"/>
        <tr r="T31" s="4"/>
        <tr r="T54" s="11"/>
      </tp>
      <tp t="e">
        <v>#N/A</v>
        <stp/>
        <stp>BDH|6872849403047978505</stp>
        <tr r="S17" s="22"/>
      </tp>
      <tp t="e">
        <v>#N/A</v>
        <stp/>
        <stp>BDH|3595864445264051704</stp>
        <tr r="P26" s="17"/>
      </tp>
      <tp t="e">
        <v>#N/A</v>
        <stp/>
        <stp>BDH|5697962270484266347</stp>
        <tr r="M13" s="22"/>
      </tp>
      <tp t="e">
        <v>#N/A</v>
        <stp/>
        <stp>BDH|4734729082900253726</stp>
        <tr r="F26" s="14"/>
      </tp>
      <tp t="e">
        <v>#N/A</v>
        <stp/>
        <stp>BDH|6032910346392929592</stp>
        <tr r="E11" s="21"/>
      </tp>
      <tp t="e">
        <v>#N/A</v>
        <stp/>
        <stp>BDH|7535933765586077242</stp>
        <tr r="Q82" s="17"/>
      </tp>
      <tp t="e">
        <v>#N/A</v>
        <stp/>
        <stp>BDH|8644722949350226787</stp>
        <tr r="H18" s="6"/>
      </tp>
      <tp t="e">
        <v>#N/A</v>
        <stp/>
        <stp>BDH|2818596422259770032</stp>
        <tr r="V45" s="21"/>
      </tp>
      <tp t="e">
        <v>#N/A</v>
        <stp/>
        <stp>BDH|6668322372248016617</stp>
        <tr r="U23" s="12"/>
      </tp>
      <tp t="e">
        <v>#N/A</v>
        <stp/>
        <stp>BDH|1314226646098270320</stp>
        <tr r="Y25" s="24"/>
      </tp>
      <tp t="e">
        <v>#N/A</v>
        <stp/>
        <stp>BDH|3119838658197920549</stp>
        <tr r="U13" s="25"/>
      </tp>
      <tp t="e">
        <v>#N/A</v>
        <stp/>
        <stp>BDH|6932223468406278860</stp>
        <tr r="N13" s="17"/>
        <tr r="N16" s="28"/>
      </tp>
      <tp t="e">
        <v>#N/A</v>
        <stp/>
        <stp>BDH|5534943927102822090</stp>
        <tr r="G52" s="17"/>
        <tr r="G10" s="25"/>
      </tp>
      <tp t="e">
        <v>#N/A</v>
        <stp/>
        <stp>BDH|4239054074009733637</stp>
        <tr r="Q50" s="18"/>
      </tp>
      <tp t="e">
        <v>#N/A</v>
        <stp/>
        <stp>BDH|9864861182105808034</stp>
        <tr r="T45" s="4"/>
        <tr r="T31" s="10"/>
        <tr r="T23" s="11"/>
        <tr r="V30" s="13"/>
      </tp>
      <tp t="e">
        <v>#N/A</v>
        <stp/>
        <stp>BDH|9195143962270085207</stp>
        <tr r="K36" s="12"/>
      </tp>
      <tp t="e">
        <v>#N/A</v>
        <stp/>
        <stp>BDH|9178683232765973553</stp>
        <tr r="V23" s="25"/>
        <tr r="T20" s="11"/>
      </tp>
      <tp t="e">
        <v>#N/A</v>
        <stp/>
        <stp>BDH|7326536651639566232</stp>
        <tr r="N43" s="18"/>
      </tp>
      <tp t="e">
        <v>#N/A</v>
        <stp/>
        <stp>BDH|6778209665586153847</stp>
        <tr r="X82" s="18"/>
      </tp>
      <tp t="e">
        <v>#N/A</v>
        <stp/>
        <stp>BDH|5176855728670357388</stp>
        <tr r="Q60" s="24"/>
      </tp>
      <tp t="e">
        <v>#N/A</v>
        <stp/>
        <stp>BDH|9053290046031948218</stp>
        <tr r="K83" s="17"/>
      </tp>
      <tp t="e">
        <v>#N/A</v>
        <stp/>
        <stp>BDH|6165961363910132525</stp>
        <tr r="Q32" s="25"/>
        <tr r="Q18" s="27"/>
      </tp>
      <tp t="e">
        <v>#N/A</v>
        <stp/>
        <stp>BDH|2200882489349137759</stp>
        <tr r="H123" s="18"/>
      </tp>
      <tp t="e">
        <v>#N/A</v>
        <stp/>
        <stp>BDH|6599635127487452926</stp>
        <tr r="G80" s="24"/>
      </tp>
      <tp t="e">
        <v>#N/A</v>
        <stp/>
        <stp>BDH|6332049776935486821</stp>
        <tr r="Q14" s="22"/>
      </tp>
      <tp t="e">
        <v>#N/A</v>
        <stp/>
        <stp>BDH|4165420935438881790</stp>
        <tr r="T84" s="18"/>
      </tp>
      <tp t="e">
        <v>#N/A</v>
        <stp/>
        <stp>BDH|4988732489592000542</stp>
        <tr r="Y52" s="12"/>
      </tp>
      <tp t="e">
        <v>#N/A</v>
        <stp/>
        <stp>BDH|8319317275811370135</stp>
        <tr r="I85" s="18"/>
      </tp>
      <tp t="e">
        <v>#N/A</v>
        <stp/>
        <stp>BDH|8522551465954710354</stp>
        <tr r="D50" s="4"/>
      </tp>
      <tp t="e">
        <v>#N/A</v>
        <stp/>
        <stp>BDH|3848492397364187602</stp>
        <tr r="AA35" s="12"/>
      </tp>
      <tp t="e">
        <v>#N/A</v>
        <stp/>
        <stp>BDH|4056377510838309234</stp>
        <tr r="Y30" s="26"/>
      </tp>
      <tp t="e">
        <v>#N/A</v>
        <stp/>
        <stp>BDH|9154253069329062892</stp>
        <tr r="X21" s="22"/>
      </tp>
      <tp t="e">
        <v>#N/A</v>
        <stp/>
        <stp>BDH|3505234387551430413</stp>
        <tr r="Q87" s="12"/>
      </tp>
      <tp t="e">
        <v>#N/A</v>
        <stp/>
        <stp>BDH|8267773637092561232</stp>
        <tr r="L9" s="12"/>
      </tp>
      <tp t="e">
        <v>#N/A</v>
        <stp/>
        <stp>BDH|4938384544359978683</stp>
        <tr r="R29" s="21"/>
      </tp>
      <tp t="e">
        <v>#N/A</v>
        <stp/>
        <stp>BDH|5652932301518363834</stp>
        <tr r="X24" s="24"/>
      </tp>
      <tp t="e">
        <v>#N/A</v>
        <stp/>
        <stp>BDH|4465249281095793726</stp>
        <tr r="L32" s="25"/>
        <tr r="L18" s="27"/>
      </tp>
      <tp t="e">
        <v>#N/A</v>
        <stp/>
        <stp>BDH|8220163039520061690</stp>
        <tr r="D20" s="18"/>
      </tp>
      <tp t="e">
        <v>#N/A</v>
        <stp/>
        <stp>BDH|9799045992985564901</stp>
        <tr r="S11" s="14"/>
      </tp>
      <tp t="e">
        <v>#N/A</v>
        <stp/>
        <stp>BDH|3146955200997788175</stp>
        <tr r="M32" s="26"/>
      </tp>
      <tp t="e">
        <v>#N/A</v>
        <stp/>
        <stp>BDH|2747587597880899247</stp>
        <tr r="H79" s="18"/>
      </tp>
      <tp t="e">
        <v>#N/A</v>
        <stp/>
        <stp>BDH|2058474038259371081</stp>
        <tr r="L34" s="17"/>
      </tp>
      <tp t="e">
        <v>#N/A</v>
        <stp/>
        <stp>BDH|8689243909281854779</stp>
        <tr r="O11" s="18"/>
      </tp>
      <tp t="e">
        <v>#N/A</v>
        <stp/>
        <stp>BDH|6579704181246722376</stp>
        <tr r="I27" s="21"/>
      </tp>
      <tp t="e">
        <v>#N/A</v>
        <stp/>
        <stp>BDH|1220843659038825837</stp>
        <tr r="F9" s="29"/>
      </tp>
      <tp t="e">
        <v>#N/A</v>
        <stp/>
        <stp>BDH|6838646079488623377</stp>
        <tr r="S31" s="9"/>
      </tp>
      <tp t="e">
        <v>#N/A</v>
        <stp/>
        <stp>BDH|9000386046616822426</stp>
        <tr r="S40" s="17"/>
      </tp>
      <tp t="e">
        <v>#N/A</v>
        <stp/>
        <stp>BDH|8004385473695855572</stp>
        <tr r="S61" s="24"/>
      </tp>
      <tp t="e">
        <v>#N/A</v>
        <stp/>
        <stp>BDH|9699389611012246590</stp>
        <tr r="D57" s="24"/>
      </tp>
      <tp t="e">
        <v>#N/A</v>
        <stp/>
        <stp>BDH|8549764813475420701</stp>
        <tr r="G53" s="17"/>
      </tp>
      <tp t="e">
        <v>#N/A</v>
        <stp/>
        <stp>BDH|6348467421624363834</stp>
        <tr r="U54" s="21"/>
      </tp>
      <tp t="e">
        <v>#N/A</v>
        <stp/>
        <stp>BDH|8633219118377278098</stp>
        <tr r="C38" s="10"/>
        <tr r="C30" s="11"/>
        <tr r="E42" s="13"/>
      </tp>
      <tp t="e">
        <v>#N/A</v>
        <stp/>
        <stp>BDH|8826608860657967353</stp>
        <tr r="S35" s="21"/>
      </tp>
      <tp t="e">
        <v>#N/A</v>
        <stp/>
        <stp>BDH|5274515887852602663</stp>
        <tr r="G15" s="21"/>
      </tp>
      <tp t="e">
        <v>#N/A</v>
        <stp/>
        <stp>BDH|2080543339428865011</stp>
        <tr r="D11" s="7"/>
      </tp>
      <tp t="e">
        <v>#N/A</v>
        <stp/>
        <stp>BDH|1791695023278811117</stp>
        <tr r="U31" s="18"/>
      </tp>
      <tp t="e">
        <v>#N/A</v>
        <stp/>
        <stp>BDH|8490099964550980245</stp>
        <tr r="N78" s="12"/>
      </tp>
      <tp t="e">
        <v>#N/A</v>
        <stp/>
        <stp>BDH|7612657432638184643</stp>
        <tr r="H48" s="24"/>
      </tp>
      <tp t="e">
        <v>#N/A</v>
        <stp/>
        <stp>BDH|7616731407369005568</stp>
        <tr r="X38" s="18"/>
      </tp>
      <tp t="e">
        <v>#N/A</v>
        <stp/>
        <stp>BDH|2052850557434627708</stp>
        <tr r="D10" s="18"/>
      </tp>
      <tp t="e">
        <v>#N/A</v>
        <stp/>
        <stp>BDH|3326047986956279170</stp>
        <tr r="S52" s="6"/>
        <tr r="U9" s="8"/>
      </tp>
      <tp t="e">
        <v>#N/A</v>
        <stp/>
        <stp>BDH|6317677430356072908</stp>
        <tr r="L87" s="24"/>
      </tp>
      <tp t="e">
        <v>#N/A</v>
        <stp/>
        <stp>BDH|2673161095956133006</stp>
        <tr r="Z34" s="26"/>
      </tp>
      <tp t="e">
        <v>#N/A</v>
        <stp/>
        <stp>BDH|4795816138304316790</stp>
        <tr r="R15" s="25"/>
      </tp>
      <tp t="e">
        <v>#N/A</v>
        <stp/>
        <stp>BDH|2864262721489247798</stp>
        <tr r="Z10" s="14"/>
      </tp>
      <tp t="e">
        <v>#N/A</v>
        <stp/>
        <stp>BDH|2300335598854862044</stp>
        <tr r="Z16" s="25"/>
      </tp>
      <tp t="e">
        <v>#N/A</v>
        <stp/>
        <stp>BDH|8218627438729872849</stp>
        <tr r="C73" s="18"/>
      </tp>
      <tp t="e">
        <v>#N/A</v>
        <stp/>
        <stp>BDH|9241568522182378014</stp>
        <tr r="E24" s="24"/>
      </tp>
      <tp t="e">
        <v>#N/A</v>
        <stp/>
        <stp>BDH|1941044309598583553</stp>
        <tr r="J22" s="17"/>
      </tp>
      <tp t="e">
        <v>#N/A</v>
        <stp/>
        <stp>BDH|8913491288708907046</stp>
        <tr r="G8" s="34"/>
      </tp>
      <tp t="e">
        <v>#N/A</v>
        <stp/>
        <stp>BDH|2005474984580213241</stp>
        <tr r="T23" s="23"/>
      </tp>
      <tp t="e">
        <v>#N/A</v>
        <stp/>
        <stp>BDH|2394861028746989216</stp>
        <tr r="S39" s="22"/>
      </tp>
      <tp t="e">
        <v>#N/A</v>
        <stp/>
        <stp>BDH|3138138144789563369</stp>
        <tr r="I58" s="17"/>
      </tp>
      <tp t="e">
        <v>#N/A</v>
        <stp/>
        <stp>BDH|1149232942732205974</stp>
        <tr r="X42" s="6"/>
      </tp>
      <tp t="e">
        <v>#N/A</v>
        <stp/>
        <stp>BDH|3577452354366215832</stp>
        <tr r="J108" s="18"/>
      </tp>
      <tp t="e">
        <v>#N/A</v>
        <stp/>
        <stp>BDH|7240265217459777117</stp>
        <tr r="M66" s="24"/>
      </tp>
      <tp t="e">
        <v>#N/A</v>
        <stp/>
        <stp>BDH|7705791085395634184</stp>
        <tr r="Q49" s="17"/>
      </tp>
      <tp t="e">
        <v>#N/A</v>
        <stp/>
        <stp>BDH|3264202665739208207</stp>
        <tr r="R59" s="12"/>
      </tp>
      <tp t="e">
        <v>#N/A</v>
        <stp/>
        <stp>BDH|1453525555204042961</stp>
        <tr r="S109" s="18"/>
      </tp>
      <tp t="e">
        <v>#N/A</v>
        <stp/>
        <stp>BDH|3025955752442062123</stp>
        <tr r="H26" s="26"/>
      </tp>
      <tp t="e">
        <v>#N/A</v>
        <stp/>
        <stp>BDH|3513192183473363598</stp>
        <tr r="W10" s="23"/>
      </tp>
      <tp t="e">
        <v>#N/A</v>
        <stp/>
        <stp>BDH|4319901547306720368</stp>
        <tr r="Z34" s="18"/>
      </tp>
      <tp t="e">
        <v>#N/A</v>
        <stp/>
        <stp>BDH|7024022943519654629</stp>
        <tr r="U29" s="18"/>
      </tp>
      <tp t="e">
        <v>#N/A</v>
        <stp/>
        <stp>BDH|1576825144523664209</stp>
        <tr r="L20" s="24"/>
      </tp>
      <tp t="e">
        <v>#N/A</v>
        <stp/>
        <stp>BDH|8488412218975130498</stp>
        <tr r="C8" s="23"/>
      </tp>
      <tp t="e">
        <v>#N/A</v>
        <stp/>
        <stp>BDH|7276240794681513128</stp>
        <tr r="V103" s="18"/>
      </tp>
      <tp t="e">
        <v>#N/A</v>
        <stp/>
        <stp>BDH|4185887904879145999</stp>
        <tr r="C29" s="18"/>
      </tp>
      <tp t="e">
        <v>#N/A</v>
        <stp/>
        <stp>BDH|9963997782323119769</stp>
        <tr r="Q7" s="2"/>
        <tr r="P7" s="5"/>
        <tr r="P7" s="9"/>
        <tr r="S14" s="3"/>
      </tp>
      <tp t="e">
        <v>#N/A</v>
        <stp/>
        <stp>BDH|7131078384404538726</stp>
        <tr r="E31" s="22"/>
      </tp>
      <tp t="e">
        <v>#N/A</v>
        <stp/>
        <stp>BDH|1156141945030513808</stp>
        <tr r="D18" s="13"/>
      </tp>
      <tp t="e">
        <v>#N/A</v>
        <stp/>
        <stp>BDH|8883289609583409588</stp>
        <tr r="P51" s="18"/>
      </tp>
      <tp t="e">
        <v>#N/A</v>
        <stp/>
        <stp>BDH|7047315314278498146</stp>
        <tr r="V13" s="17"/>
        <tr r="V16" s="28"/>
      </tp>
      <tp t="e">
        <v>#N/A</v>
        <stp/>
        <stp>BDH|6534968149781939660</stp>
        <tr r="W39" s="12"/>
      </tp>
      <tp t="e">
        <v>#N/A</v>
        <stp/>
        <stp>BDH|6292258794958541933</stp>
        <tr r="AA22" s="12"/>
      </tp>
      <tp t="e">
        <v>#N/A</v>
        <stp/>
        <stp>BDH|9696395228554640042</stp>
        <tr r="C64" s="13"/>
      </tp>
      <tp t="e">
        <v>#N/A</v>
        <stp/>
        <stp>BDH|2929807549834032651</stp>
        <tr r="N127" s="18"/>
      </tp>
      <tp t="e">
        <v>#N/A</v>
        <stp/>
        <stp>BDH|5121338687886750478</stp>
        <tr r="W60" s="17"/>
      </tp>
      <tp t="e">
        <v>#N/A</v>
        <stp/>
        <stp>BDH|3204222884901439456</stp>
        <tr r="D50" s="18"/>
      </tp>
      <tp t="e">
        <v>#N/A</v>
        <stp/>
        <stp>BDH|9748470106773296214</stp>
        <tr r="E70" s="24"/>
      </tp>
      <tp t="e">
        <v>#N/A</v>
        <stp/>
        <stp>BDH|79417508562818727</stp>
        <tr r="W15" s="5"/>
      </tp>
      <tp t="e">
        <v>#N/A</v>
        <stp/>
        <stp>BDH|52067314098861850</stp>
        <tr r="T52" s="10"/>
        <tr r="T44" s="11"/>
        <tr r="T15" s="7"/>
      </tp>
      <tp t="e">
        <v>#N/A</v>
        <stp/>
        <stp>BDH|73109399968681133</stp>
        <tr r="K124" s="18"/>
      </tp>
      <tp t="e">
        <v>#N/A</v>
        <stp/>
        <stp>BDH|17142328914668661</stp>
        <tr r="V10" s="21"/>
      </tp>
      <tp t="e">
        <v>#N/A</v>
        <stp/>
        <stp>BDH|60654251101821374</stp>
        <tr r="M106" s="18"/>
      </tp>
      <tp t="e">
        <v>#N/A</v>
        <stp/>
        <stp>BDH|79346978762509703</stp>
        <tr r="V52" s="6"/>
        <tr r="X9" s="8"/>
      </tp>
      <tp t="e">
        <v>#N/A</v>
        <stp/>
        <stp>BDH|16765783188511693</stp>
        <tr r="C56" s="6"/>
      </tp>
      <tp t="e">
        <v>#N/A</v>
        <stp/>
        <stp>BDH|4564018218701680900</stp>
        <tr r="M55" s="24"/>
      </tp>
      <tp t="e">
        <v>#N/A</v>
        <stp/>
        <stp>BDH|7242911238531713160</stp>
        <tr r="U15" s="21"/>
      </tp>
      <tp t="e">
        <v>#N/A</v>
        <stp/>
        <stp>BDH|8211089068372924118</stp>
        <tr r="V21" s="10"/>
      </tp>
      <tp t="e">
        <v>#N/A</v>
        <stp/>
        <stp>BDH|8255082721505024210</stp>
        <tr r="M63" s="10"/>
      </tp>
      <tp t="e">
        <v>#N/A</v>
        <stp/>
        <stp>BDH|9054862877403945827</stp>
        <tr r="Q7" s="6"/>
      </tp>
      <tp t="e">
        <v>#N/A</v>
        <stp/>
        <stp>BDH|4745091883183720205</stp>
        <tr r="Y71" s="18"/>
      </tp>
      <tp t="e">
        <v>#N/A</v>
        <stp/>
        <stp>BDH|7463526885504004397</stp>
        <tr r="Q129" s="18"/>
      </tp>
      <tp t="e">
        <v>#N/A</v>
        <stp/>
        <stp>BDH|8969018843537092617</stp>
        <tr r="C17" s="29"/>
        <tr r="C40" s="29"/>
      </tp>
      <tp t="e">
        <v>#N/A</v>
        <stp/>
        <stp>BDH|5673000773708875772</stp>
        <tr r="T40" s="18"/>
      </tp>
      <tp t="e">
        <v>#N/A</v>
        <stp/>
        <stp>BDH|7167313893942112288</stp>
        <tr r="C70" s="17"/>
      </tp>
      <tp t="e">
        <v>#N/A</v>
        <stp/>
        <stp>BDH|9658065835826899174</stp>
        <tr r="S25" s="7"/>
      </tp>
      <tp t="e">
        <v>#N/A</v>
        <stp/>
        <stp>BDH|2072855285407232881</stp>
        <tr r="M84" s="17"/>
      </tp>
      <tp t="e">
        <v>#N/A</v>
        <stp/>
        <stp>BDH|2926122480005861392</stp>
        <tr r="F9" s="13"/>
      </tp>
      <tp t="e">
        <v>#N/A</v>
        <stp/>
        <stp>BDH|2546475418268739274</stp>
        <tr r="K16" s="6"/>
      </tp>
      <tp t="e">
        <v>#N/A</v>
        <stp/>
        <stp>BDH|3084964908654766338</stp>
        <tr r="S28" s="26"/>
      </tp>
      <tp t="e">
        <v>#N/A</v>
        <stp/>
        <stp>BDH|3231810899039331634</stp>
        <tr r="F45" s="22"/>
      </tp>
      <tp t="e">
        <v>#N/A</v>
        <stp/>
        <stp>BDH|7518411996820988714</stp>
        <tr r="O83" s="17"/>
      </tp>
      <tp t="e">
        <v>#N/A</v>
        <stp/>
        <stp>BDH|2950620234102043857</stp>
        <tr r="I93" s="17"/>
      </tp>
      <tp t="e">
        <v>#N/A</v>
        <stp/>
        <stp>BDH|6365497860568612162</stp>
        <tr r="S95" s="18"/>
      </tp>
      <tp t="e">
        <v>#N/A</v>
        <stp/>
        <stp>BDH|9865075610580578507</stp>
        <tr r="U25" s="2"/>
        <tr r="W60" s="21"/>
      </tp>
      <tp t="e">
        <v>#N/A</v>
        <stp/>
        <stp>BDH|3558388514015338906</stp>
        <tr r="F136" s="18"/>
      </tp>
      <tp t="e">
        <v>#N/A</v>
        <stp/>
        <stp>BDH|1087920857136979666</stp>
        <tr r="H9" s="11"/>
      </tp>
      <tp t="e">
        <v>#N/A</v>
        <stp/>
        <stp>BDH|7520289722278615233</stp>
        <tr r="F8" s="34"/>
      </tp>
      <tp t="e">
        <v>#N/A</v>
        <stp/>
        <stp>BDH|4940972133144055779</stp>
        <tr r="G18" s="12"/>
      </tp>
      <tp t="e">
        <v>#N/A</v>
        <stp/>
        <stp>BDH|8245532279572212509</stp>
        <tr r="Q80" s="12"/>
      </tp>
      <tp t="e">
        <v>#N/A</v>
        <stp/>
        <stp>BDH|6876246289884768585</stp>
        <tr r="S134" s="18"/>
      </tp>
      <tp t="e">
        <v>#N/A</v>
        <stp/>
        <stp>BDH|1744150411719091590</stp>
        <tr r="Q78" s="18"/>
      </tp>
      <tp t="e">
        <v>#N/A</v>
        <stp/>
        <stp>BDH|8760586351112332778</stp>
        <tr r="K127" s="18"/>
      </tp>
      <tp t="e">
        <v>#N/A</v>
        <stp/>
        <stp>BDH|2500819216595135395</stp>
        <tr r="E39" s="24"/>
      </tp>
      <tp t="e">
        <v>#N/A</v>
        <stp/>
        <stp>BDH|9990088408201297517</stp>
        <tr r="Y12" s="10"/>
      </tp>
      <tp t="e">
        <v>#N/A</v>
        <stp/>
        <stp>BDH|4283881801742915382</stp>
        <tr r="U17" s="29"/>
        <tr r="U40" s="29"/>
      </tp>
      <tp t="e">
        <v>#N/A</v>
        <stp/>
        <stp>BDH|9968561916212798242</stp>
        <tr r="H91" s="24"/>
      </tp>
      <tp t="e">
        <v>#N/A</v>
        <stp/>
        <stp>BDH|6815361687523745350</stp>
        <tr r="I42" s="21"/>
      </tp>
      <tp t="e">
        <v>#N/A</v>
        <stp/>
        <stp>BDH|7582685340280399857</stp>
        <tr r="U26" s="29"/>
      </tp>
      <tp t="e">
        <v>#N/A</v>
        <stp/>
        <stp>BDH|9802319413946161007</stp>
        <tr r="I33" s="22"/>
      </tp>
      <tp t="e">
        <v>#N/A</v>
        <stp/>
        <stp>BDH|5113592435548233645</stp>
        <tr r="T9" s="11"/>
      </tp>
      <tp t="e">
        <v>#N/A</v>
        <stp/>
        <stp>BDH|1857970531913485517</stp>
        <tr r="F9" s="27"/>
      </tp>
      <tp t="e">
        <v>#N/A</v>
        <stp/>
        <stp>BDH|2154153658363519827</stp>
        <tr r="M16" s="26"/>
      </tp>
      <tp t="e">
        <v>#N/A</v>
        <stp/>
        <stp>BDH|8944855487460220525</stp>
        <tr r="G45" s="22"/>
      </tp>
      <tp t="e">
        <v>#N/A</v>
        <stp/>
        <stp>BDH|5612786203677465825</stp>
        <tr r="I68" s="10"/>
      </tp>
      <tp t="e">
        <v>#N/A</v>
        <stp/>
        <stp>BDH|5551143477698441696</stp>
        <tr r="Q15" s="11"/>
      </tp>
      <tp t="e">
        <v>#N/A</v>
        <stp/>
        <stp>BDH|5219995784051269867</stp>
        <tr r="N15" s="17"/>
        <tr r="N18" s="28"/>
      </tp>
      <tp t="e">
        <v>#N/A</v>
        <stp/>
        <stp>BDH|9364547569517622032</stp>
        <tr r="O102" s="18"/>
      </tp>
      <tp t="e">
        <v>#N/A</v>
        <stp/>
        <stp>BDH|9356805130969874609</stp>
        <tr r="E44" s="17"/>
      </tp>
      <tp t="e">
        <v>#N/A</v>
        <stp/>
        <stp>BDH|7622090505543735963</stp>
        <tr r="J91" s="17"/>
        <tr r="J7" s="27"/>
      </tp>
      <tp t="e">
        <v>#N/A</v>
        <stp/>
        <stp>BDH|2813486785583909074</stp>
        <tr r="L9" s="29"/>
      </tp>
      <tp t="e">
        <v>#N/A</v>
        <stp/>
        <stp>BDH|1073324049488559354</stp>
        <tr r="N90" s="18"/>
      </tp>
      <tp t="e">
        <v>#N/A</v>
        <stp/>
        <stp>BDH|6161826419842799067</stp>
        <tr r="K99" s="18"/>
        <tr r="K8" s="20"/>
      </tp>
      <tp t="e">
        <v>#N/A</v>
        <stp/>
        <stp>BDH|7985216355679011460</stp>
        <tr r="C29" s="29"/>
        <tr r="C7" s="29"/>
      </tp>
      <tp t="e">
        <v>#N/A</v>
        <stp/>
        <stp>BDH|8275120025605600389</stp>
        <tr r="E31" s="29"/>
      </tp>
      <tp t="e">
        <v>#N/A</v>
        <stp/>
        <stp>BDH|7589981313061515300</stp>
        <tr r="N42" s="22"/>
      </tp>
      <tp t="e">
        <v>#N/A</v>
        <stp/>
        <stp>BDH|8161234680888952704</stp>
        <tr r="I13" s="9"/>
      </tp>
      <tp t="e">
        <v>#N/A</v>
        <stp/>
        <stp>BDH|8311169324353316590</stp>
        <tr r="U11" s="14"/>
      </tp>
      <tp t="e">
        <v>#N/A</v>
        <stp/>
        <stp>BDH|8399507891289858013</stp>
        <tr r="G34" s="5"/>
        <tr r="H32" s="29"/>
      </tp>
      <tp t="e">
        <v>#N/A</v>
        <stp/>
        <stp>BDH|3027581116842166840</stp>
        <tr r="T62" s="13"/>
      </tp>
      <tp t="e">
        <v>#N/A</v>
        <stp/>
        <stp>BDH|4546903668714155278</stp>
        <tr r="V34" s="24"/>
      </tp>
      <tp t="e">
        <v>#N/A</v>
        <stp/>
        <stp>BDH|6948320444409793534</stp>
        <tr r="F121" s="18"/>
      </tp>
      <tp t="e">
        <v>#N/A</v>
        <stp/>
        <stp>BDH|5999445969778942263</stp>
        <tr r="D90" s="24"/>
      </tp>
      <tp t="e">
        <v>#N/A</v>
        <stp/>
        <stp>BDH|9562357254340977269</stp>
        <tr r="N9" s="14"/>
      </tp>
      <tp t="e">
        <v>#N/A</v>
        <stp/>
        <stp>BDH|6352783127897261954</stp>
        <tr r="P32" s="21"/>
      </tp>
      <tp t="e">
        <v>#N/A</v>
        <stp/>
        <stp>BDH|6484079127841760880</stp>
        <tr r="T59" s="18"/>
      </tp>
      <tp t="e">
        <v>#N/A</v>
        <stp/>
        <stp>BDH|3870391912969835503</stp>
        <tr r="Q21" s="11"/>
      </tp>
      <tp t="e">
        <v>#N/A</v>
        <stp/>
        <stp>BDH|7644970267973420691</stp>
        <tr r="S9" s="30"/>
      </tp>
      <tp t="e">
        <v>#N/A</v>
        <stp/>
        <stp>BDH|5158066209210567809</stp>
        <tr r="C21" s="2"/>
      </tp>
      <tp t="e">
        <v>#N/A</v>
        <stp/>
        <stp>BDH|3050803766442813262</stp>
        <tr r="Q18" s="17"/>
      </tp>
      <tp t="e">
        <v>#N/A</v>
        <stp/>
        <stp>BDH|2765609940295886874</stp>
        <tr r="U27" s="14"/>
      </tp>
      <tp t="e">
        <v>#N/A</v>
        <stp/>
        <stp>BDH|8161737518712759152</stp>
        <tr r="Z26" s="22"/>
      </tp>
      <tp t="e">
        <v>#N/A</v>
        <stp/>
        <stp>BDH|2762342689682462665</stp>
        <tr r="Q28" s="34"/>
      </tp>
      <tp t="e">
        <v>#N/A</v>
        <stp/>
        <stp>BDH|3899852761472362278</stp>
        <tr r="H32" s="12"/>
      </tp>
      <tp t="e">
        <v>#N/A</v>
        <stp/>
        <stp>BDH|2331218048650746959</stp>
        <tr r="O14" s="4"/>
      </tp>
      <tp t="e">
        <v>#N/A</v>
        <stp/>
        <stp>BDH|9678048055174892577</stp>
        <tr r="P34" s="6"/>
      </tp>
      <tp t="e">
        <v>#N/A</v>
        <stp/>
        <stp>BDH|8943043181334738937</stp>
        <tr r="Q9" s="2"/>
        <tr r="S8" s="25"/>
        <tr r="P10" s="5"/>
      </tp>
      <tp t="e">
        <v>#N/A</v>
        <stp/>
        <stp>BDH|9254711611946370499</stp>
        <tr r="AA34" s="22"/>
      </tp>
      <tp t="e">
        <v>#N/A</v>
        <stp/>
        <stp>BDH|1850226557352170944</stp>
        <tr r="L23" s="26"/>
      </tp>
      <tp t="e">
        <v>#N/A</v>
        <stp/>
        <stp>BDH|3871444104078949295</stp>
        <tr r="C21" s="27"/>
      </tp>
      <tp t="e">
        <v>#N/A</v>
        <stp/>
        <stp>BDH|3148742486129871832</stp>
        <tr r="C35" s="25"/>
      </tp>
      <tp t="e">
        <v>#N/A</v>
        <stp/>
        <stp>BDH|6159083043298062726</stp>
        <tr r="E142" s="18"/>
      </tp>
      <tp t="e">
        <v>#N/A</v>
        <stp/>
        <stp>BDH|2203805203047098098</stp>
        <tr r="F11" s="7"/>
      </tp>
      <tp t="e">
        <v>#N/A</v>
        <stp/>
        <stp>BDH|2912470613059274370</stp>
        <tr r="M16" s="25"/>
      </tp>
      <tp t="e">
        <v>#N/A</v>
        <stp/>
        <stp>BDH|5198306558529291735</stp>
        <tr r="D29" s="17"/>
      </tp>
      <tp t="e">
        <v>#N/A</v>
        <stp/>
        <stp>BDH|1128617643749970723</stp>
        <tr r="X25" s="4"/>
        <tr r="X65" s="10"/>
      </tp>
      <tp t="e">
        <v>#N/A</v>
        <stp/>
        <stp>BDH|4395362002903982963</stp>
        <tr r="N38" s="22"/>
      </tp>
      <tp t="e">
        <v>#N/A</v>
        <stp/>
        <stp>BDH|2877093087222868568</stp>
        <tr r="L12" s="25"/>
      </tp>
      <tp t="e">
        <v>#N/A</v>
        <stp/>
        <stp>BDH|4291091525593615804</stp>
        <tr r="S17" s="5"/>
        <tr r="S36" s="6"/>
      </tp>
      <tp t="e">
        <v>#N/A</v>
        <stp/>
        <stp>BDH|9690193479545859762</stp>
        <tr r="R38" s="4"/>
        <tr r="R58" s="11"/>
        <tr r="T13" s="23"/>
      </tp>
      <tp t="e">
        <v>#N/A</v>
        <stp/>
        <stp>BDH|7496777489120720556</stp>
        <tr r="C32" s="10"/>
        <tr r="C24" s="11"/>
      </tp>
      <tp t="e">
        <v>#N/A</v>
        <stp/>
        <stp>BDH|6207802189793790846</stp>
        <tr r="L28" s="14"/>
      </tp>
      <tp t="e">
        <v>#N/A</v>
        <stp/>
        <stp>BDH|3387083755699243243</stp>
        <tr r="Y121" s="18"/>
      </tp>
      <tp t="e">
        <v>#N/A</v>
        <stp/>
        <stp>BDH|6991753467278607255</stp>
        <tr r="D7" s="21"/>
      </tp>
      <tp t="e">
        <v>#N/A</v>
        <stp/>
        <stp>BDH|3914976501442687517</stp>
        <tr r="R31" s="29"/>
      </tp>
      <tp t="e">
        <v>#N/A</v>
        <stp/>
        <stp>BDH|4888581969269209337</stp>
        <tr r="D64" s="18"/>
      </tp>
      <tp t="e">
        <v>#N/A</v>
        <stp/>
        <stp>BDH|3188888360589226938</stp>
        <tr r="P39" s="22"/>
      </tp>
      <tp t="e">
        <v>#N/A</v>
        <stp/>
        <stp>BDH|9165509810461019195</stp>
        <tr r="D20" s="23"/>
      </tp>
      <tp t="e">
        <v>#N/A</v>
        <stp/>
        <stp>BDH|8350366070164559588</stp>
        <tr r="T9" s="28"/>
      </tp>
      <tp t="e">
        <v>#N/A</v>
        <stp/>
        <stp>BDH|6898525461719706144</stp>
        <tr r="M53" s="10"/>
        <tr r="M45" s="11"/>
        <tr r="M16" s="7"/>
      </tp>
      <tp t="e">
        <v>#N/A</v>
        <stp/>
        <stp>BDH|9802789639315602574</stp>
        <tr r="U31" s="24"/>
      </tp>
      <tp t="e">
        <v>#N/A</v>
        <stp/>
        <stp>BDH|3084641539218002355</stp>
        <tr r="T73" s="10"/>
        <tr r="T65" s="11"/>
      </tp>
      <tp t="e">
        <v>#N/A</v>
        <stp/>
        <stp>BDH|2140771228329713306</stp>
        <tr r="Z49" s="12"/>
      </tp>
      <tp t="e">
        <v>#N/A</v>
        <stp/>
        <stp>BDH|4290540078619286257</stp>
        <tr r="N22" s="22"/>
      </tp>
      <tp t="e">
        <v>#N/A</v>
        <stp/>
        <stp>BDH|9626878083865359187</stp>
        <tr r="R53" s="6"/>
        <tr r="T10" s="8"/>
      </tp>
      <tp t="e">
        <v>#N/A</v>
        <stp/>
        <stp>BDH|2283657275467312989</stp>
        <tr r="Q20" s="2"/>
        <tr r="Q18" s="4"/>
        <tr r="Q58" s="10"/>
        <tr r="Q50" s="11"/>
        <tr r="Q19" s="7"/>
        <tr r="S65" s="13"/>
      </tp>
      <tp t="e">
        <v>#N/A</v>
        <stp/>
        <stp>BDH|2853375414858288503</stp>
        <tr r="C20" s="18"/>
      </tp>
      <tp t="e">
        <v>#N/A</v>
        <stp/>
        <stp>BDH|1979633555498621700</stp>
        <tr r="I41" s="12"/>
      </tp>
      <tp t="e">
        <v>#N/A</v>
        <stp/>
        <stp>BDH|7182300929918556346</stp>
        <tr r="F34" s="24"/>
      </tp>
      <tp t="e">
        <v>#N/A</v>
        <stp/>
        <stp>BDH|9811625934219662812</stp>
        <tr r="G54" s="12"/>
      </tp>
      <tp t="e">
        <v>#N/A</v>
        <stp/>
        <stp>BDH|4370941400157805762</stp>
        <tr r="M81" s="12"/>
      </tp>
      <tp t="e">
        <v>#N/A</v>
        <stp/>
        <stp>BDH|5900345683603153063</stp>
        <tr r="K21" s="2"/>
      </tp>
      <tp t="e">
        <v>#N/A</v>
        <stp/>
        <stp>BDH|2119797539079066285</stp>
        <tr r="K8" s="34"/>
      </tp>
      <tp t="e">
        <v>#N/A</v>
        <stp/>
        <stp>BDH|4230496397094163046</stp>
        <tr r="E16" s="6"/>
      </tp>
      <tp t="e">
        <v>#N/A</v>
        <stp/>
        <stp>BDH|1754938847579392895</stp>
        <tr r="U13" s="24"/>
      </tp>
      <tp t="e">
        <v>#N/A</v>
        <stp/>
        <stp>BDH|5917373597197361531</stp>
        <tr r="U31" s="9"/>
      </tp>
      <tp t="e">
        <v>#N/A</v>
        <stp/>
        <stp>BDH|2500897344946213538</stp>
        <tr r="O119" s="18"/>
      </tp>
      <tp t="e">
        <v>#N/A</v>
        <stp/>
        <stp>BDH|3230459397767123488</stp>
        <tr r="W82" s="24"/>
      </tp>
      <tp t="e">
        <v>#N/A</v>
        <stp/>
        <stp>BDH|6054951520786428686</stp>
        <tr r="U7" s="17"/>
      </tp>
      <tp t="e">
        <v>#N/A</v>
        <stp/>
        <stp>BDH|8632864199926800289</stp>
        <tr r="G19" s="6"/>
      </tp>
      <tp t="e">
        <v>#N/A</v>
        <stp/>
        <stp>BDH|8822040149756438781</stp>
        <tr r="E16" s="10"/>
      </tp>
      <tp t="e">
        <v>#N/A</v>
        <stp/>
        <stp>BDH|5671703689085764214</stp>
        <tr r="Q8" s="10"/>
      </tp>
      <tp t="e">
        <v>#N/A</v>
        <stp/>
        <stp>BDH|7533082240809735733</stp>
        <tr r="F10" s="34"/>
      </tp>
      <tp t="e">
        <v>#N/A</v>
        <stp/>
        <stp>BDH|7841855895312930988</stp>
        <tr r="Q24" s="24"/>
      </tp>
      <tp t="e">
        <v>#N/A</v>
        <stp/>
        <stp>BDH|7224512139095210919</stp>
        <tr r="Q17" s="13"/>
      </tp>
      <tp t="e">
        <v>#N/A</v>
        <stp/>
        <stp>BDH|8091312110591865600</stp>
        <tr r="L24" s="17"/>
      </tp>
      <tp t="e">
        <v>#N/A</v>
        <stp/>
        <stp>BDH|9349294837483588611</stp>
        <tr r="Y10" s="14"/>
      </tp>
      <tp t="e">
        <v>#N/A</v>
        <stp/>
        <stp>BDH|6764299557249590558</stp>
        <tr r="U45" s="22"/>
      </tp>
      <tp t="e">
        <v>#N/A</v>
        <stp/>
        <stp>BDH|7553989263523655610</stp>
        <tr r="O9" s="6"/>
      </tp>
      <tp t="e">
        <v>#N/A</v>
        <stp/>
        <stp>BDH|8904735064310552452</stp>
        <tr r="G33" s="24"/>
      </tp>
      <tp t="e">
        <v>#N/A</v>
        <stp/>
        <stp>BDH|4684933428411181326</stp>
        <tr r="V6" s="15"/>
        <tr r="V12" s="2"/>
        <tr r="V11" s="4"/>
        <tr r="V6" s="10"/>
      </tp>
      <tp t="e">
        <v>#N/A</v>
        <stp/>
        <stp>BDH|6816571182181008731</stp>
        <tr r="M17" s="14"/>
      </tp>
      <tp t="e">
        <v>#N/A</v>
        <stp/>
        <stp>BDH|9304352020053102692</stp>
        <tr r="T55" s="18"/>
      </tp>
      <tp t="e">
        <v>#N/A</v>
        <stp/>
        <stp>BDH|4935032838553957951</stp>
        <tr r="P84" s="12"/>
      </tp>
      <tp t="e">
        <v>#N/A</v>
        <stp/>
        <stp>BDH|9212115125541175695</stp>
        <tr r="Q20" s="17"/>
      </tp>
      <tp t="e">
        <v>#N/A</v>
        <stp/>
        <stp>BDH|1507276777088337186</stp>
        <tr r="I35" s="14"/>
      </tp>
      <tp t="e">
        <v>#N/A</v>
        <stp/>
        <stp>BDH|7895213883989316970</stp>
        <tr r="W17" s="14"/>
      </tp>
      <tp t="e">
        <v>#N/A</v>
        <stp/>
        <stp>BDH|1111837631331552685</stp>
        <tr r="H25" s="12"/>
      </tp>
      <tp t="e">
        <v>#N/A</v>
        <stp/>
        <stp>BDH|1261979067563485087</stp>
        <tr r="K13" s="2"/>
      </tp>
      <tp t="e">
        <v>#N/A</v>
        <stp/>
        <stp>BDH|8369102775011111290</stp>
        <tr r="C70" s="18"/>
      </tp>
      <tp t="e">
        <v>#N/A</v>
        <stp/>
        <stp>BDH|1052345881971357689</stp>
        <tr r="I13" s="8"/>
      </tp>
      <tp t="e">
        <v>#N/A</v>
        <stp/>
        <stp>BDH|4850012896962398220</stp>
        <tr r="AA61" s="13"/>
      </tp>
      <tp t="e">
        <v>#N/A</v>
        <stp/>
        <stp>BDH|9269395536496418271</stp>
        <tr r="D123" s="18"/>
      </tp>
      <tp t="e">
        <v>#N/A</v>
        <stp/>
        <stp>BDH|4185988259595949077</stp>
        <tr r="G18" s="24"/>
      </tp>
      <tp t="e">
        <v>#N/A</v>
        <stp/>
        <stp>BDH|8050882573019583309</stp>
        <tr r="T125" s="18"/>
      </tp>
      <tp t="e">
        <v>#N/A</v>
        <stp/>
        <stp>BDH|8095830069989676221</stp>
        <tr r="I50" s="24"/>
      </tp>
      <tp t="e">
        <v>#N/A</v>
        <stp/>
        <stp>BDH|5415115149308576578</stp>
        <tr r="Y30" s="29"/>
        <tr r="Y8" s="29"/>
      </tp>
      <tp t="e">
        <v>#N/A</v>
        <stp/>
        <stp>BDH|2478156588173404538</stp>
        <tr r="F26" s="21"/>
      </tp>
      <tp t="e">
        <v>#N/A</v>
        <stp/>
        <stp>BDH|3907000516718178708</stp>
        <tr r="AA26" s="12"/>
      </tp>
      <tp t="e">
        <v>#N/A</v>
        <stp/>
        <stp>BDH|5798606725564904851</stp>
        <tr r="P24" s="22"/>
      </tp>
      <tp t="e">
        <v>#N/A</v>
        <stp/>
        <stp>BDH|8840592472337471098</stp>
        <tr r="P37" s="21"/>
        <tr r="P24" s="3"/>
      </tp>
      <tp t="e">
        <v>#N/A</v>
        <stp/>
        <stp>BDH|5898151128303958824</stp>
        <tr r="C83" s="17"/>
      </tp>
      <tp t="e">
        <v>#N/A</v>
        <stp/>
        <stp>BDH|1246018768563469915</stp>
        <tr r="E32" s="12"/>
      </tp>
      <tp t="e">
        <v>#N/A</v>
        <stp/>
        <stp>BDH|2954725927718385212</stp>
        <tr r="K26" s="14"/>
      </tp>
      <tp t="e">
        <v>#N/A</v>
        <stp/>
        <stp>BDH|7359298285210703062</stp>
        <tr r="N81" s="24"/>
      </tp>
      <tp t="e">
        <v>#N/A</v>
        <stp/>
        <stp>BDH|4018916348347731308</stp>
        <tr r="Q9" s="21"/>
      </tp>
      <tp t="e">
        <v>#N/A</v>
        <stp/>
        <stp>BDH|9354940180965172085</stp>
        <tr r="C71" s="24"/>
      </tp>
      <tp t="e">
        <v>#N/A</v>
        <stp/>
        <stp>BDH|6310883405807423459</stp>
        <tr r="P26" s="29"/>
      </tp>
      <tp t="e">
        <v>#N/A</v>
        <stp/>
        <stp>BDH|6139206991761657194</stp>
        <tr r="R26" s="24"/>
      </tp>
      <tp t="e">
        <v>#N/A</v>
        <stp/>
        <stp>BDH|3656937814162762496</stp>
        <tr r="I20" s="23"/>
      </tp>
      <tp t="e">
        <v>#N/A</v>
        <stp/>
        <stp>BDH|8789891089856830300</stp>
        <tr r="V75" s="17"/>
        <tr r="S9" s="5"/>
        <tr r="S9" s="9"/>
      </tp>
      <tp t="e">
        <v>#N/A</v>
        <stp/>
        <stp>BDH|4272220846737924800</stp>
        <tr r="K25" s="13"/>
      </tp>
      <tp t="e">
        <v>#N/A</v>
        <stp/>
        <stp>BDH|6211411903696707983</stp>
        <tr r="E37" s="26"/>
      </tp>
      <tp t="e">
        <v>#N/A</v>
        <stp/>
        <stp>BDH|4078660648033122800</stp>
        <tr r="K76" s="17"/>
        <tr r="K19" s="3"/>
      </tp>
      <tp t="e">
        <v>#N/A</v>
        <stp/>
        <stp>BDH|4572355651748846765</stp>
        <tr r="X22" s="18"/>
      </tp>
      <tp t="e">
        <v>#N/A</v>
        <stp/>
        <stp>BDH|8232029265323844029</stp>
        <tr r="F42" s="10"/>
        <tr r="F34" s="11"/>
      </tp>
      <tp t="e">
        <v>#N/A</v>
        <stp/>
        <stp>BDH|7905374932493734944</stp>
        <tr r="W39" s="24"/>
      </tp>
      <tp t="e">
        <v>#N/A</v>
        <stp/>
        <stp>BDH|2569921748675144712</stp>
        <tr r="P125" s="18"/>
      </tp>
      <tp t="e">
        <v>#N/A</v>
        <stp/>
        <stp>BDH|7867404780120016674</stp>
        <tr r="P25" s="9"/>
      </tp>
      <tp t="e">
        <v>#N/A</v>
        <stp/>
        <stp>BDH|8559172576240826331</stp>
        <tr r="K9" s="28"/>
      </tp>
      <tp t="e">
        <v>#N/A</v>
        <stp/>
        <stp>BDH|8641171439797335047</stp>
        <tr r="X14" s="23"/>
      </tp>
      <tp t="e">
        <v>#N/A</v>
        <stp/>
        <stp>BDH|6425849769200194578</stp>
        <tr r="H7" s="6"/>
      </tp>
      <tp t="e">
        <v>#N/A</v>
        <stp/>
        <stp>BDH|8750248582408982779</stp>
        <tr r="F42" s="6"/>
      </tp>
      <tp t="e">
        <v>#N/A</v>
        <stp/>
        <stp>BDH|5803349826318775125</stp>
        <tr r="S23" s="17"/>
      </tp>
      <tp t="e">
        <v>#N/A</v>
        <stp/>
        <stp>BDH|3321424735990358980</stp>
        <tr r="G72" s="18"/>
      </tp>
      <tp t="e">
        <v>#N/A</v>
        <stp/>
        <stp>BDH|6255783347989519174</stp>
        <tr r="H8" s="17"/>
      </tp>
      <tp t="e">
        <v>#N/A</v>
        <stp/>
        <stp>BDH|2820828215414020206</stp>
        <tr r="S45" s="12"/>
      </tp>
      <tp t="e">
        <v>#N/A</v>
        <stp/>
        <stp>BDH|3908729584243875286</stp>
        <tr r="AA46" s="34"/>
      </tp>
      <tp t="e">
        <v>#N/A</v>
        <stp/>
        <stp>BDH|3577634399033192216</stp>
        <tr r="M43" s="34"/>
      </tp>
      <tp t="e">
        <v>#N/A</v>
        <stp/>
        <stp>BDH|3297775030019269385</stp>
        <tr r="P47" s="24"/>
      </tp>
      <tp t="e">
        <v>#N/A</v>
        <stp/>
        <stp>BDH|1552789130350685849</stp>
        <tr r="O142" s="18"/>
      </tp>
      <tp t="e">
        <v>#N/A</v>
        <stp/>
        <stp>BDH|3747397867348287346</stp>
        <tr r="F8" s="28"/>
      </tp>
      <tp t="e">
        <v>#N/A</v>
        <stp/>
        <stp>BDH|8534616898493447944</stp>
        <tr r="C35" s="18"/>
      </tp>
      <tp t="e">
        <v>#N/A</v>
        <stp/>
        <stp>BDH|4340022687864885526</stp>
        <tr r="G38" s="25"/>
      </tp>
      <tp t="e">
        <v>#N/A</v>
        <stp/>
        <stp>BDH|2341168029669490543</stp>
        <tr r="O13" s="21"/>
      </tp>
      <tp t="e">
        <v>#N/A</v>
        <stp/>
        <stp>BDH|6852933624494441476</stp>
        <tr r="V44" s="34"/>
      </tp>
      <tp t="e">
        <v>#N/A</v>
        <stp/>
        <stp>BDH|5736962213502707297</stp>
        <tr r="R112" s="18"/>
      </tp>
      <tp t="e">
        <v>#N/A</v>
        <stp/>
        <stp>BDH|3879240166109471322</stp>
        <tr r="I23" s="2"/>
        <tr r="K18" s="21"/>
        <tr r="K23" s="3"/>
      </tp>
      <tp t="e">
        <v>#N/A</v>
        <stp/>
        <stp>BDH|3809445614733415801</stp>
        <tr r="V8" s="23"/>
      </tp>
      <tp t="e">
        <v>#N/A</v>
        <stp/>
        <stp>BDH|1390018668423513931</stp>
        <tr r="U28" s="18"/>
      </tp>
      <tp t="e">
        <v>#N/A</v>
        <stp/>
        <stp>BDH|8256151228415318304</stp>
        <tr r="M40" s="12"/>
      </tp>
      <tp t="e">
        <v>#N/A</v>
        <stp/>
        <stp>BDH|8669485527376374562</stp>
        <tr r="P18" s="24"/>
      </tp>
      <tp t="e">
        <v>#N/A</v>
        <stp/>
        <stp>BDH|1966983929474233367</stp>
        <tr r="D119" s="18"/>
      </tp>
      <tp t="e">
        <v>#N/A</v>
        <stp/>
        <stp>BDH|4237228467688293590</stp>
        <tr r="Z17" s="22"/>
      </tp>
      <tp t="e">
        <v>#N/A</v>
        <stp/>
        <stp>BDH|1422683231438617172</stp>
        <tr r="Z6" s="19"/>
        <tr r="Z35" s="17"/>
        <tr r="Z16" s="3"/>
      </tp>
      <tp t="e">
        <v>#N/A</v>
        <stp/>
        <stp>BDH|3902947212047073136</stp>
        <tr r="F68" s="17"/>
      </tp>
      <tp t="e">
        <v>#N/A</v>
        <stp/>
        <stp>BDH|4725984535354357756</stp>
        <tr r="AA25" s="25"/>
        <tr r="AA10" s="27"/>
      </tp>
      <tp t="e">
        <v>#N/A</v>
        <stp/>
        <stp>BDH|9809232184399553762</stp>
        <tr r="Z90" s="24"/>
      </tp>
      <tp t="e">
        <v>#N/A</v>
        <stp/>
        <stp>BDH|2805474130089461174</stp>
        <tr r="J42" s="17"/>
      </tp>
      <tp t="e">
        <v>#N/A</v>
        <stp/>
        <stp>BDH|8397856821016246992</stp>
        <tr r="F61" s="13"/>
      </tp>
      <tp t="e">
        <v>#N/A</v>
        <stp/>
        <stp>BDH|4995132537223559845</stp>
        <tr r="T11" s="11"/>
      </tp>
      <tp t="e">
        <v>#N/A</v>
        <stp/>
        <stp>BDH|2822159337185458827</stp>
        <tr r="G12" s="12"/>
      </tp>
      <tp t="e">
        <v>#N/A</v>
        <stp/>
        <stp>BDH|7294691284435148120</stp>
        <tr r="R110" s="18"/>
      </tp>
      <tp t="e">
        <v>#N/A</v>
        <stp/>
        <stp>BDH|5676072636682827939</stp>
        <tr r="T25" s="17"/>
      </tp>
      <tp t="e">
        <v>#N/A</v>
        <stp/>
        <stp>BDH|7708436594627904058</stp>
        <tr r="Q47" s="22"/>
      </tp>
      <tp t="e">
        <v>#N/A</v>
        <stp/>
        <stp>BDH|5195052975389951646</stp>
        <tr r="S33" s="5"/>
      </tp>
      <tp t="e">
        <v>#N/A</v>
        <stp/>
        <stp>BDH|4998403320497522807</stp>
        <tr r="S61" s="11"/>
      </tp>
      <tp t="e">
        <v>#N/A</v>
        <stp/>
        <stp>BDH|5181532889677733204</stp>
        <tr r="I17" s="9"/>
      </tp>
      <tp t="e">
        <v>#N/A</v>
        <stp/>
        <stp>BDH|9485740651503984548</stp>
        <tr r="J29" s="10"/>
        <tr r="L35" s="13"/>
      </tp>
      <tp t="e">
        <v>#N/A</v>
        <stp/>
        <stp>BDH|9285273093717274886</stp>
        <tr r="O67" s="12"/>
      </tp>
      <tp t="e">
        <v>#N/A</v>
        <stp/>
        <stp>BDH|3200869280448951614</stp>
        <tr r="F17" s="4"/>
        <tr r="H10" s="3"/>
        <tr r="F56" s="10"/>
        <tr r="F48" s="11"/>
        <tr r="F17" s="7"/>
        <tr r="H54" s="13"/>
      </tp>
      <tp t="e">
        <v>#N/A</v>
        <stp/>
        <stp>BDH|6180320881282660283</stp>
        <tr r="M27" s="12"/>
      </tp>
      <tp t="e">
        <v>#N/A</v>
        <stp/>
        <stp>BDH|5511559959520726820</stp>
        <tr r="C16" s="25"/>
      </tp>
      <tp t="e">
        <v>#N/A</v>
        <stp/>
        <stp>BDH|6118330098958342953</stp>
        <tr r="D18" s="10"/>
        <tr r="F16" s="13"/>
        <tr r="F27" s="13"/>
      </tp>
      <tp t="e">
        <v>#N/A</v>
        <stp/>
        <stp>BDH|3403846721930598488</stp>
        <tr r="R19" s="20"/>
      </tp>
      <tp t="e">
        <v>#N/A</v>
        <stp/>
        <stp>BDH|3812048682917660157</stp>
        <tr r="E39" s="6"/>
      </tp>
      <tp t="e">
        <v>#N/A</v>
        <stp/>
        <stp>BDH|5506897602735176526</stp>
        <tr r="X61" s="18"/>
      </tp>
      <tp t="e">
        <v>#N/A</v>
        <stp/>
        <stp>BDH|8974743659431871616</stp>
        <tr r="R76" s="24"/>
      </tp>
      <tp t="e">
        <v>#N/A</v>
        <stp/>
        <stp>BDH|9528412538890891391</stp>
        <tr r="Q9" s="30"/>
      </tp>
      <tp t="e">
        <v>#N/A</v>
        <stp/>
        <stp>BDH|2992418550126043854</stp>
        <tr r="S7" s="17"/>
      </tp>
      <tp t="e">
        <v>#N/A</v>
        <stp/>
        <stp>BDH|9913183036457330195</stp>
        <tr r="I33" s="12"/>
      </tp>
      <tp t="e">
        <v>#N/A</v>
        <stp/>
        <stp>BDH|5802886954257174283</stp>
        <tr r="H50" s="13"/>
      </tp>
      <tp t="e">
        <v>#N/A</v>
        <stp/>
        <stp>BDH|1994627879128748588</stp>
        <tr r="U18" s="13"/>
      </tp>
      <tp t="e">
        <v>#N/A</v>
        <stp/>
        <stp>BDH|5956110794067145702</stp>
        <tr r="V30" s="21"/>
      </tp>
      <tp t="e">
        <v>#N/A</v>
        <stp/>
        <stp>BDH|2411221889883332618</stp>
        <tr r="E38" s="17"/>
      </tp>
      <tp t="e">
        <v>#N/A</v>
        <stp/>
        <stp>BDH|3870285372663726885</stp>
        <tr r="C12" s="14"/>
      </tp>
      <tp t="e">
        <v>#N/A</v>
        <stp/>
        <stp>BDH|7223794426008744771</stp>
        <tr r="C11" s="17"/>
      </tp>
      <tp t="e">
        <v>#N/A</v>
        <stp/>
        <stp>BDH|3404251235518193788</stp>
        <tr r="C17" s="12"/>
      </tp>
      <tp t="e">
        <v>#N/A</v>
        <stp/>
        <stp>BDH|2005781043425567936</stp>
        <tr r="I26" s="24"/>
      </tp>
      <tp t="e">
        <v>#N/A</v>
        <stp/>
        <stp>BDH|5329557436179589789</stp>
        <tr r="E42" s="22"/>
      </tp>
      <tp t="e">
        <v>#N/A</v>
        <stp/>
        <stp>BDH|9538983921436111900</stp>
        <tr r="V77" s="18"/>
      </tp>
      <tp t="e">
        <v>#N/A</v>
        <stp/>
        <stp>BDH|8441753641725808355</stp>
        <tr r="N17" s="13"/>
      </tp>
      <tp t="e">
        <v>#N/A</v>
        <stp/>
        <stp>BDH|2943515930758344167</stp>
        <tr r="R22" s="14"/>
      </tp>
      <tp t="e">
        <v>#N/A</v>
        <stp/>
        <stp>BDH|9617788555765139379</stp>
        <tr r="AA50" s="18"/>
      </tp>
      <tp t="e">
        <v>#N/A</v>
        <stp/>
        <stp>BDH|5859595801488446594</stp>
        <tr r="N50" s="21"/>
      </tp>
      <tp t="e">
        <v>#N/A</v>
        <stp/>
        <stp>BDH|3613213880354826027</stp>
        <tr r="M22" s="12"/>
      </tp>
      <tp t="e">
        <v>#N/A</v>
        <stp/>
        <stp>BDH|5541334946268944742</stp>
        <tr r="F30" s="12"/>
      </tp>
      <tp t="e">
        <v>#N/A</v>
        <stp/>
        <stp>BDH|5337148598941049121</stp>
        <tr r="E9" s="3"/>
        <tr r="C51" s="10"/>
        <tr r="C43" s="11"/>
        <tr r="C14" s="7"/>
      </tp>
      <tp t="e">
        <v>#N/A</v>
        <stp/>
        <stp>BDH|6691762005788931418</stp>
        <tr r="Q23" s="24"/>
      </tp>
      <tp t="e">
        <v>#N/A</v>
        <stp/>
        <stp>BDH|8262422018306048654</stp>
        <tr r="K13" s="10"/>
      </tp>
      <tp t="e">
        <v>#N/A</v>
        <stp/>
        <stp>BDH|6749235493185268580</stp>
        <tr r="P6" s="2"/>
        <tr r="O6" s="5"/>
        <tr r="O6" s="9"/>
        <tr r="Q12" s="8"/>
        <tr r="P10" s="29"/>
        <tr r="P19" s="29"/>
        <tr r="P25" s="29"/>
      </tp>
      <tp t="e">
        <v>#N/A</v>
        <stp/>
        <stp>BDH|5659703511167884929</stp>
        <tr r="Z46" s="21"/>
      </tp>
      <tp t="e">
        <v>#N/A</v>
        <stp/>
        <stp>BDH|2485888635016468200</stp>
        <tr r="N9" s="3"/>
        <tr r="L51" s="10"/>
        <tr r="L43" s="11"/>
        <tr r="L14" s="7"/>
      </tp>
      <tp t="e">
        <v>#N/A</v>
        <stp/>
        <stp>BDH|2344203143659513088</stp>
        <tr r="H38" s="26"/>
      </tp>
      <tp t="e">
        <v>#N/A</v>
        <stp/>
        <stp>BDH|5669224687993891169</stp>
        <tr r="G33" s="10"/>
        <tr r="G25" s="11"/>
      </tp>
      <tp t="e">
        <v>#N/A</v>
        <stp/>
        <stp>BDH|7934044306808530237</stp>
        <tr r="AA69" s="17"/>
      </tp>
      <tp t="e">
        <v>#N/A</v>
        <stp/>
        <stp>BDH|9728733808997104403</stp>
        <tr r="F68" s="24"/>
      </tp>
      <tp t="e">
        <v>#N/A</v>
        <stp/>
        <stp>BDH|7173269717029538087</stp>
        <tr r="J14" s="6"/>
      </tp>
      <tp t="e">
        <v>#N/A</v>
        <stp/>
        <stp>BDH|1119544876496832868</stp>
        <tr r="J73" s="17"/>
      </tp>
      <tp t="e">
        <v>#N/A</v>
        <stp/>
        <stp>BDH|5651212489000724248</stp>
        <tr r="P30" s="34"/>
      </tp>
      <tp t="e">
        <v>#N/A</v>
        <stp/>
        <stp>BDH|8473777877507018299</stp>
        <tr r="C11" s="30"/>
      </tp>
      <tp t="e">
        <v>#N/A</v>
        <stp/>
        <stp>BDH|8457081935747683126</stp>
        <tr r="Y55" s="13"/>
      </tp>
      <tp t="e">
        <v>#N/A</v>
        <stp/>
        <stp>BDH|8396247440511308296</stp>
        <tr r="AA13" s="18"/>
      </tp>
      <tp t="e">
        <v>#N/A</v>
        <stp/>
        <stp>BDH|4643384653988149711</stp>
        <tr r="O16" s="29"/>
        <tr r="O39" s="29"/>
      </tp>
      <tp t="e">
        <v>#N/A</v>
        <stp/>
        <stp>BDH|9108601556985225286</stp>
        <tr r="T46" s="12"/>
      </tp>
      <tp t="e">
        <v>#N/A</v>
        <stp/>
        <stp>BDH|8489000126843641498</stp>
        <tr r="N48" s="21"/>
      </tp>
      <tp t="e">
        <v>#N/A</v>
        <stp/>
        <stp>BDH|8194422106972990314</stp>
        <tr r="F31" s="17"/>
      </tp>
      <tp t="e">
        <v>#N/A</v>
        <stp/>
        <stp>BDH|9109313391417593991</stp>
        <tr r="X99" s="18"/>
        <tr r="X8" s="20"/>
      </tp>
      <tp t="e">
        <v>#N/A</v>
        <stp/>
        <stp>BDH|4825912852153781616</stp>
        <tr r="D8" s="10"/>
      </tp>
      <tp t="e">
        <v>#N/A</v>
        <stp/>
        <stp>BDH|8317025220885464285</stp>
        <tr r="F24" s="4"/>
        <tr r="F57" s="11"/>
      </tp>
      <tp t="e">
        <v>#N/A</v>
        <stp/>
        <stp>BDH|3372004668079691104</stp>
        <tr r="AA125" s="18"/>
      </tp>
      <tp t="e">
        <v>#N/A</v>
        <stp/>
        <stp>BDH|2336469699461418351</stp>
        <tr r="W30" s="12"/>
      </tp>
      <tp t="e">
        <v>#N/A</v>
        <stp/>
        <stp>BDH|4142349346597732995</stp>
        <tr r="J17" s="29"/>
        <tr r="J40" s="29"/>
      </tp>
      <tp t="e">
        <v>#N/A</v>
        <stp/>
        <stp>BDH|8320713132473624246</stp>
        <tr r="P17" s="14"/>
      </tp>
      <tp t="e">
        <v>#N/A</v>
        <stp/>
        <stp>BDH|8181279936277772355</stp>
        <tr r="H7" s="14"/>
      </tp>
      <tp t="e">
        <v>#N/A</v>
        <stp/>
        <stp>BDH|8436679524290493110</stp>
        <tr r="I33" s="24"/>
      </tp>
      <tp t="e">
        <v>#N/A</v>
        <stp/>
        <stp>BDH|1131438589897106782</stp>
        <tr r="R50" s="13"/>
      </tp>
      <tp t="e">
        <v>#N/A</v>
        <stp/>
        <stp>BDH|6354786740310899818</stp>
        <tr r="P33" s="17"/>
      </tp>
      <tp t="e">
        <v>#N/A</v>
        <stp/>
        <stp>BDH|1833463781756964641</stp>
        <tr r="T20" s="29"/>
      </tp>
      <tp t="e">
        <v>#N/A</v>
        <stp/>
        <stp>BDH|4130667604416672977</stp>
        <tr r="L26" s="13"/>
      </tp>
      <tp t="e">
        <v>#N/A</v>
        <stp/>
        <stp>BDH|6316161256766123906</stp>
        <tr r="V12" s="10"/>
      </tp>
      <tp t="e">
        <v>#N/A</v>
        <stp/>
        <stp>BDH|5316296209112441850</stp>
        <tr r="S52" s="17"/>
        <tr r="S10" s="25"/>
      </tp>
      <tp t="e">
        <v>#N/A</v>
        <stp/>
        <stp>BDH|4784981852996920367</stp>
        <tr r="R34" s="9"/>
      </tp>
      <tp t="e">
        <v>#N/A</v>
        <stp/>
        <stp>BDH|7471073622170101820</stp>
        <tr r="G23" s="12"/>
      </tp>
      <tp t="e">
        <v>#N/A</v>
        <stp/>
        <stp>BDH|5106930547774066174</stp>
        <tr r="D85" s="17"/>
      </tp>
      <tp t="e">
        <v>#N/A</v>
        <stp/>
        <stp>BDH|6910884336849008958</stp>
        <tr r="F20" s="27"/>
      </tp>
      <tp t="e">
        <v>#N/A</v>
        <stp/>
        <stp>BDH|8374210922120677544</stp>
        <tr r="T61" s="13"/>
      </tp>
      <tp t="e">
        <v>#N/A</v>
        <stp/>
        <stp>BDH|7662076022420866896</stp>
        <tr r="Q13" s="25"/>
      </tp>
      <tp t="e">
        <v>#N/A</v>
        <stp/>
        <stp>BDH|4289976876091598643</stp>
        <tr r="K7" s="8"/>
      </tp>
      <tp t="e">
        <v>#N/A</v>
        <stp/>
        <stp>BDH|9940375346641800220</stp>
        <tr r="S30" s="25"/>
        <tr r="S16" s="27"/>
      </tp>
      <tp t="e">
        <v>#N/A</v>
        <stp/>
        <stp>BDH|8976649954505353389</stp>
        <tr r="O90" s="12"/>
      </tp>
      <tp t="e">
        <v>#N/A</v>
        <stp/>
        <stp>BDH|8486878952148161021</stp>
        <tr r="I25" s="9"/>
      </tp>
      <tp t="e">
        <v>#N/A</v>
        <stp/>
        <stp>BDH|9643472772455484253</stp>
        <tr r="J58" s="12"/>
      </tp>
      <tp t="e">
        <v>#N/A</v>
        <stp/>
        <stp>BDH|3903349199577455320</stp>
        <tr r="R133" s="18"/>
      </tp>
      <tp t="e">
        <v>#N/A</v>
        <stp/>
        <stp>BDH|9727106021813166453</stp>
        <tr r="J51" s="17"/>
        <tr r="J17" s="3"/>
      </tp>
      <tp t="e">
        <v>#N/A</v>
        <stp/>
        <stp>BDH|8508846530339342708</stp>
        <tr r="Y49" s="22"/>
      </tp>
      <tp t="e">
        <v>#N/A</v>
        <stp/>
        <stp>BDH|3164648487981597157</stp>
        <tr r="V43" s="13"/>
      </tp>
      <tp t="e">
        <v>#N/A</v>
        <stp/>
        <stp>BDH|3710178387334644336</stp>
        <tr r="S10" s="23"/>
      </tp>
      <tp t="e">
        <v>#N/A</v>
        <stp/>
        <stp>BDH|3313138147378733321</stp>
        <tr r="Q17" s="22"/>
      </tp>
      <tp t="e">
        <v>#N/A</v>
        <stp/>
        <stp>BDH|9456253465169175978</stp>
        <tr r="J12" s="13"/>
      </tp>
      <tp t="e">
        <v>#N/A</v>
        <stp/>
        <stp>BDH|9136733319534195684</stp>
        <tr r="V14" s="23"/>
      </tp>
      <tp t="e">
        <v>#N/A</v>
        <stp/>
        <stp>BDH|9496271882597313906</stp>
        <tr r="D7" s="6"/>
      </tp>
      <tp t="e">
        <v>#N/A</v>
        <stp/>
        <stp>BDH|5014815266735698330</stp>
        <tr r="G60" s="11"/>
        <tr r="I19" s="23"/>
      </tp>
      <tp t="e">
        <v>#N/A</v>
        <stp/>
        <stp>BDH|9718327336042745668</stp>
        <tr r="C142" s="18"/>
      </tp>
      <tp t="e">
        <v>#N/A</v>
        <stp/>
        <stp>BDH|9004444305827640755</stp>
        <tr r="Z42" s="18"/>
      </tp>
      <tp t="e">
        <v>#N/A</v>
        <stp/>
        <stp>BDH|5212915596241682913</stp>
        <tr r="U68" s="12"/>
      </tp>
      <tp t="e">
        <v>#N/A</v>
        <stp/>
        <stp>BDH|5027658381687222143</stp>
        <tr r="G17" s="4"/>
        <tr r="I10" s="3"/>
        <tr r="G56" s="10"/>
        <tr r="G48" s="11"/>
        <tr r="G17" s="7"/>
        <tr r="I54" s="13"/>
      </tp>
      <tp t="e">
        <v>#N/A</v>
        <stp/>
        <stp>BDH|5195407502254131803</stp>
        <tr r="D18" s="21"/>
        <tr r="D23" s="3"/>
      </tp>
      <tp t="e">
        <v>#N/A</v>
        <stp/>
        <stp>BDH|8193367212614260352</stp>
        <tr r="D83" s="24"/>
      </tp>
      <tp t="e">
        <v>#N/A</v>
        <stp/>
        <stp>BDH|4620562048938205086</stp>
        <tr r="E82" s="18"/>
      </tp>
      <tp t="e">
        <v>#N/A</v>
        <stp/>
        <stp>BDH|7040295026399482395</stp>
        <tr r="O67" s="24"/>
      </tp>
      <tp t="e">
        <v>#N/A</v>
        <stp/>
        <stp>BDH|8888554964531941723</stp>
        <tr r="M39" s="10"/>
        <tr r="M31" s="11"/>
      </tp>
      <tp t="e">
        <v>#N/A</v>
        <stp/>
        <stp>BDH|4832346213368913356</stp>
        <tr r="I39" s="34"/>
      </tp>
      <tp t="e">
        <v>#N/A</v>
        <stp/>
        <stp>BDH|5832491401325791949</stp>
        <tr r="AA12" s="24"/>
      </tp>
      <tp t="e">
        <v>#N/A</v>
        <stp/>
        <stp>BDH|2640232780543131671</stp>
        <tr r="P15" s="21"/>
      </tp>
      <tp t="e">
        <v>#N/A</v>
        <stp/>
        <stp>BDH|8782069612523345731</stp>
        <tr r="W32" s="21"/>
      </tp>
      <tp t="e">
        <v>#N/A</v>
        <stp/>
        <stp>BDH|9010110170646538475</stp>
        <tr r="Z42" s="21"/>
      </tp>
      <tp t="e">
        <v>#N/A</v>
        <stp/>
        <stp>BDH|7957375805739137095</stp>
        <tr r="E50" s="18"/>
      </tp>
      <tp t="e">
        <v>#N/A</v>
        <stp/>
        <stp>BDH|6673577063558310024</stp>
        <tr r="J7" s="24"/>
      </tp>
      <tp t="e">
        <v>#N/A</v>
        <stp/>
        <stp>BDH|9409299246290885203</stp>
        <tr r="I96" s="18"/>
      </tp>
      <tp t="e">
        <v>#N/A</v>
        <stp/>
        <stp>BDH|8638218950297794530</stp>
        <tr r="G10" s="34"/>
      </tp>
      <tp t="e">
        <v>#N/A</v>
        <stp/>
        <stp>BDH|5556605233599004455</stp>
        <tr r="R13" s="10"/>
      </tp>
      <tp t="e">
        <v>#N/A</v>
        <stp/>
        <stp>BDH|6202417854752725831</stp>
        <tr r="Q9" s="3"/>
        <tr r="O51" s="10"/>
        <tr r="O43" s="11"/>
        <tr r="O14" s="7"/>
      </tp>
      <tp t="e">
        <v>#N/A</v>
        <stp/>
        <stp>BDH|8797590480170883852</stp>
        <tr r="L51" s="6"/>
        <tr r="N6" s="8"/>
      </tp>
      <tp t="e">
        <v>#N/A</v>
        <stp/>
        <stp>BDH|4146392215869653289</stp>
        <tr r="N28" s="4"/>
      </tp>
      <tp t="e">
        <v>#N/A</v>
        <stp/>
        <stp>BDH|9888319378360385018</stp>
        <tr r="M58" s="21"/>
        <tr r="M37" s="25"/>
        <tr r="K31" s="4"/>
        <tr r="K54" s="11"/>
      </tp>
      <tp t="e">
        <v>#N/A</v>
        <stp/>
        <stp>BDH|3293430842908759671</stp>
        <tr r="I102" s="18"/>
      </tp>
      <tp t="e">
        <v>#N/A</v>
        <stp/>
        <stp>BDH|1624820737576863186</stp>
        <tr r="M12" s="7"/>
      </tp>
      <tp t="e">
        <v>#N/A</v>
        <stp/>
        <stp>BDH|8314250151763484109</stp>
        <tr r="G36" s="18"/>
      </tp>
      <tp t="e">
        <v>#N/A</v>
        <stp/>
        <stp>BDH|6950410928468334505</stp>
        <tr r="P29" s="24"/>
      </tp>
      <tp t="e">
        <v>#N/A</v>
        <stp/>
        <stp>BDH|2284151406108664648</stp>
        <tr r="I49" s="6"/>
      </tp>
      <tp t="e">
        <v>#N/A</v>
        <stp/>
        <stp>BDH|9538106957351659175</stp>
        <tr r="I100" s="18"/>
        <tr r="I9" s="20"/>
      </tp>
      <tp t="e">
        <v>#N/A</v>
        <stp/>
        <stp>BDH|5390045055885927880</stp>
        <tr r="H39" s="25"/>
        <tr r="H7" s="3"/>
        <tr r="F18" s="11"/>
        <tr r="H22" s="13"/>
        <tr r="H7" s="13"/>
      </tp>
      <tp t="e">
        <v>#N/A</v>
        <stp/>
        <stp>BDH|6220977586382646864</stp>
        <tr r="I111" s="18"/>
      </tp>
      <tp t="e">
        <v>#N/A</v>
        <stp/>
        <stp>BDH|6801876150317584194</stp>
        <tr r="X17" s="23"/>
      </tp>
      <tp t="e">
        <v>#N/A</v>
        <stp/>
        <stp>BDH|9093871106454230806</stp>
        <tr r="E18" s="26"/>
      </tp>
      <tp t="e">
        <v>#N/A</v>
        <stp/>
        <stp>BDH|7285377285457370605</stp>
        <tr r="G44" s="12"/>
      </tp>
      <tp t="e">
        <v>#N/A</v>
        <stp/>
        <stp>BDH|1829058495665317084</stp>
        <tr r="Q13" s="24"/>
      </tp>
      <tp t="e">
        <v>#N/A</v>
        <stp/>
        <stp>BDH|8891428950861871517</stp>
        <tr r="T115" s="18"/>
      </tp>
      <tp t="e">
        <v>#N/A</v>
        <stp/>
        <stp>BDH|1859678305552945805</stp>
        <tr r="T14" s="12"/>
      </tp>
      <tp t="e">
        <v>#N/A</v>
        <stp/>
        <stp>BDH|9593672283918784252</stp>
        <tr r="Z52" s="17"/>
        <tr r="Z10" s="25"/>
      </tp>
      <tp t="e">
        <v>#N/A</v>
        <stp/>
        <stp>BDH|3758794394892118280</stp>
        <tr r="R46" s="4"/>
        <tr r="R23" s="10"/>
        <tr r="T37" s="13"/>
      </tp>
      <tp t="e">
        <v>#N/A</v>
        <stp/>
        <stp>BDH|5930109987530440190</stp>
        <tr r="U9" s="14"/>
      </tp>
      <tp t="e">
        <v>#N/A</v>
        <stp/>
        <stp>BDH|9202968054509708146</stp>
        <tr r="L19" s="24"/>
      </tp>
      <tp t="e">
        <v>#N/A</v>
        <stp/>
        <stp>BDH|2487226617424784858</stp>
        <tr r="V9" s="27"/>
      </tp>
      <tp t="e">
        <v>#N/A</v>
        <stp/>
        <stp>BDH|7015807575682430729</stp>
        <tr r="X138" s="18"/>
      </tp>
      <tp t="e">
        <v>#N/A</v>
        <stp/>
        <stp>BDH|5544888337274869712</stp>
        <tr r="R26" s="34"/>
      </tp>
      <tp t="e">
        <v>#N/A</v>
        <stp/>
        <stp>BDH|2127784208771139938</stp>
        <tr r="G21" s="24"/>
      </tp>
      <tp t="e">
        <v>#N/A</v>
        <stp/>
        <stp>BDH|3036223592711749449</stp>
        <tr r="K78" s="18"/>
      </tp>
      <tp t="e">
        <v>#N/A</v>
        <stp/>
        <stp>BDH|5301190899888435846</stp>
        <tr r="J13" s="8"/>
      </tp>
      <tp t="e">
        <v>#N/A</v>
        <stp/>
        <stp>BDH|9230245872303217259</stp>
        <tr r="X11" s="17"/>
      </tp>
      <tp t="e">
        <v>#N/A</v>
        <stp/>
        <stp>BDH|8666836884092284704</stp>
        <tr r="N138" s="18"/>
      </tp>
      <tp t="e">
        <v>#N/A</v>
        <stp/>
        <stp>BDH|5389409801088778469</stp>
        <tr r="T39" s="12"/>
      </tp>
      <tp t="e">
        <v>#N/A</v>
        <stp/>
        <stp>BDH|8045515730934433764</stp>
        <tr r="Q95" s="18"/>
      </tp>
      <tp t="e">
        <v>#N/A</v>
        <stp/>
        <stp>BDH|8078506914148676918</stp>
        <tr r="C8" s="18"/>
      </tp>
      <tp t="e">
        <v>#N/A</v>
        <stp/>
        <stp>BDH|9453483409867454725</stp>
        <tr r="D100" s="18"/>
        <tr r="D9" s="20"/>
      </tp>
      <tp t="e">
        <v>#N/A</v>
        <stp/>
        <stp>BDH|4665938522552112054</stp>
        <tr r="M15" s="10"/>
      </tp>
      <tp t="e">
        <v>#N/A</v>
        <stp/>
        <stp>BDH|6328319093618770954</stp>
        <tr r="U11" s="12"/>
      </tp>
      <tp t="e">
        <v>#N/A</v>
        <stp/>
        <stp>BDH|9076141744156700776</stp>
        <tr r="P49" s="17"/>
      </tp>
      <tp t="e">
        <v>#N/A</v>
        <stp/>
        <stp>BDH|1015023117159014453</stp>
        <tr r="R15" s="12"/>
      </tp>
      <tp t="e">
        <v>#N/A</v>
        <stp/>
        <stp>BDH|1176138265622380940</stp>
        <tr r="G43" s="21"/>
      </tp>
      <tp t="e">
        <v>#N/A</v>
        <stp/>
        <stp>BDH|9945315839791912586</stp>
        <tr r="D25" s="24"/>
      </tp>
      <tp t="e">
        <v>#N/A</v>
        <stp/>
        <stp>BDH|5937327653216073880</stp>
        <tr r="S39" s="10"/>
        <tr r="S31" s="11"/>
      </tp>
      <tp t="e">
        <v>#N/A</v>
        <stp/>
        <stp>BDH|4609965104556304671</stp>
        <tr r="T39" s="34"/>
      </tp>
      <tp t="e">
        <v>#N/A</v>
        <stp/>
        <stp>BDH|5191678454969792251</stp>
        <tr r="I40" s="18"/>
      </tp>
      <tp t="e">
        <v>#N/A</v>
        <stp/>
        <stp>BDH|7625471742029544364</stp>
        <tr r="N57" s="24"/>
      </tp>
      <tp t="e">
        <v>#N/A</v>
        <stp/>
        <stp>BDH|9833832196246420392</stp>
        <tr r="X80" s="18"/>
      </tp>
      <tp t="e">
        <v>#N/A</v>
        <stp/>
        <stp>BDH|1373193749270101924</stp>
        <tr r="S8" s="14"/>
      </tp>
      <tp t="e">
        <v>#N/A</v>
        <stp/>
        <stp>BDH|5221506087327561203</stp>
        <tr r="T8" s="8"/>
      </tp>
      <tp t="e">
        <v>#N/A</v>
        <stp/>
        <stp>BDH|8913024948477437677</stp>
        <tr r="P38" s="4"/>
        <tr r="P58" s="11"/>
        <tr r="R13" s="23"/>
      </tp>
      <tp t="e">
        <v>#N/A</v>
        <stp/>
        <stp>BDH|6741284697490875006</stp>
        <tr r="M11" s="11"/>
      </tp>
      <tp t="e">
        <v>#N/A</v>
        <stp/>
        <stp>BDH|3072398791906101292</stp>
        <tr r="R31" s="24"/>
      </tp>
      <tp t="e">
        <v>#N/A</v>
        <stp/>
        <stp>BDH|4463373480624168621</stp>
        <tr r="R24" s="5"/>
      </tp>
      <tp t="e">
        <v>#N/A</v>
        <stp/>
        <stp>BDH|1538569384723707209</stp>
        <tr r="I43" s="34"/>
      </tp>
      <tp t="e">
        <v>#N/A</v>
        <stp/>
        <stp>BDH|6648643482243712673</stp>
        <tr r="N41" s="12"/>
      </tp>
      <tp t="e">
        <v>#N/A</v>
        <stp/>
        <stp>BDH|6838906188978395232</stp>
        <tr r="C43" s="6"/>
      </tp>
      <tp t="e">
        <v>#N/A</v>
        <stp/>
        <stp>BDH|7944742497420307494</stp>
        <tr r="V24" s="18"/>
      </tp>
      <tp t="e">
        <v>#N/A</v>
        <stp/>
        <stp>BDH|3861063640129963374</stp>
        <tr r="N67" s="10"/>
      </tp>
      <tp t="e">
        <v>#N/A</v>
        <stp/>
        <stp>BDH|7271050980963485130</stp>
        <tr r="T37" s="18"/>
      </tp>
      <tp t="e">
        <v>#N/A</v>
        <stp/>
        <stp>BDH|2711736823378058278</stp>
        <tr r="I9" s="11"/>
      </tp>
      <tp t="e">
        <v>#N/A</v>
        <stp/>
        <stp>BDH|6920398093783548260</stp>
        <tr r="L13" s="20"/>
      </tp>
      <tp t="e">
        <v>#N/A</v>
        <stp/>
        <stp>BDH|8865093260843406055</stp>
        <tr r="I13" s="18"/>
      </tp>
      <tp t="e">
        <v>#N/A</v>
        <stp/>
        <stp>BDH|6381885748582231510</stp>
        <tr r="D39" s="12"/>
      </tp>
      <tp t="e">
        <v>#N/A</v>
        <stp/>
        <stp>BDH|3860031216629885653</stp>
        <tr r="N18" s="17"/>
      </tp>
      <tp t="e">
        <v>#N/A</v>
        <stp/>
        <stp>BDH|9352588084630981969</stp>
        <tr r="N75" s="17"/>
        <tr r="K9" s="5"/>
        <tr r="K9" s="9"/>
      </tp>
      <tp t="e">
        <v>#N/A</v>
        <stp/>
        <stp>BDH|7266669399821823458</stp>
        <tr r="N29" s="12"/>
      </tp>
      <tp t="e">
        <v>#N/A</v>
        <stp/>
        <stp>BDH|8844176853841806047</stp>
        <tr r="T142" s="18"/>
      </tp>
      <tp t="e">
        <v>#N/A</v>
        <stp/>
        <stp>BDH|1752524803998557133</stp>
        <tr r="E8" s="26"/>
      </tp>
      <tp t="e">
        <v>#N/A</v>
        <stp/>
        <stp>BDH|8161963382045684133</stp>
        <tr r="I8" s="13"/>
      </tp>
      <tp t="e">
        <v>#N/A</v>
        <stp/>
        <stp>BDH|4134553647701081931</stp>
        <tr r="U15" s="10"/>
      </tp>
      <tp t="e">
        <v>#N/A</v>
        <stp/>
        <stp>BDH|3451872935095162061</stp>
        <tr r="F71" s="18"/>
      </tp>
      <tp t="e">
        <v>#N/A</v>
        <stp/>
        <stp>BDH|7506985750396457083</stp>
        <tr r="M74" s="24"/>
      </tp>
      <tp t="e">
        <v>#N/A</v>
        <stp/>
        <stp>BDH|7079141451306505815</stp>
        <tr r="K25" s="22"/>
      </tp>
      <tp t="e">
        <v>#N/A</v>
        <stp/>
        <stp>BDH|1658935340317061645</stp>
        <tr r="S41" s="34"/>
      </tp>
      <tp t="e">
        <v>#N/A</v>
        <stp/>
        <stp>BDH|1380023602984164837</stp>
        <tr r="M63" s="13"/>
      </tp>
      <tp t="e">
        <v>#N/A</v>
        <stp/>
        <stp>BDH|5129652642993432938</stp>
        <tr r="K28" s="25"/>
        <tr r="K14" s="27"/>
      </tp>
      <tp t="e">
        <v>#N/A</v>
        <stp/>
        <stp>BDH|3116425294084252743</stp>
        <tr r="S7" s="8"/>
      </tp>
      <tp t="e">
        <v>#N/A</v>
        <stp/>
        <stp>BDH|9517064644024675407</stp>
        <tr r="Q117" s="18"/>
      </tp>
      <tp t="e">
        <v>#N/A</v>
        <stp/>
        <stp>BDH|3550614050559355464</stp>
        <tr r="O11" s="24"/>
      </tp>
      <tp t="e">
        <v>#N/A</v>
        <stp/>
        <stp>BDH|9070566363225070241</stp>
        <tr r="Y41" s="17"/>
        <tr r="Y9" s="25"/>
      </tp>
      <tp t="e">
        <v>#N/A</v>
        <stp/>
        <stp>BDH|3148423238619359091</stp>
        <tr r="E48" s="21"/>
      </tp>
      <tp t="e">
        <v>#N/A</v>
        <stp/>
        <stp>BDH|6731157923531549950</stp>
        <tr r="D31" s="17"/>
      </tp>
      <tp t="e">
        <v>#N/A</v>
        <stp/>
        <stp>BDH|3395636997672546338</stp>
        <tr r="E58" s="17"/>
      </tp>
      <tp t="e">
        <v>#N/A</v>
        <stp/>
        <stp>BDH|1754541097632719226</stp>
        <tr r="Q43" s="13"/>
      </tp>
      <tp t="e">
        <v>#N/A</v>
        <stp/>
        <stp>BDH|7085541195792983493</stp>
        <tr r="P66" s="24"/>
      </tp>
      <tp t="e">
        <v>#N/A</v>
        <stp/>
        <stp>BDH|9313678716635091632</stp>
        <tr r="Q49" s="4"/>
      </tp>
      <tp t="e">
        <v>#N/A</v>
        <stp/>
        <stp>BDH|9874758857880205693</stp>
        <tr r="D18" s="5"/>
        <tr r="D41" s="6"/>
      </tp>
      <tp t="e">
        <v>#N/A</v>
        <stp/>
        <stp>BDH|1670921804070470555</stp>
        <tr r="P91" s="24"/>
      </tp>
      <tp t="e">
        <v>#N/A</v>
        <stp/>
        <stp>BDH|8149951220118653635</stp>
        <tr r="V45" s="13"/>
      </tp>
      <tp t="e">
        <v>#N/A</v>
        <stp/>
        <stp>BDH|9126001264126701435</stp>
        <tr r="Q40" s="18"/>
      </tp>
      <tp t="e">
        <v>#N/A</v>
        <stp/>
        <stp>BDH|7675905846474207331</stp>
        <tr r="I41" s="34"/>
      </tp>
      <tp t="e">
        <v>#N/A</v>
        <stp/>
        <stp>BDH|9892107718886500241</stp>
        <tr r="O21" s="24"/>
      </tp>
      <tp t="e">
        <v>#N/A</v>
        <stp/>
        <stp>BDH|1448450417051643817</stp>
        <tr r="I38" s="18"/>
      </tp>
      <tp t="e">
        <v>#N/A</v>
        <stp/>
        <stp>BDH|4235810896738134050</stp>
        <tr r="V39" s="10"/>
        <tr r="V31" s="11"/>
      </tp>
      <tp t="e">
        <v>#N/A</v>
        <stp/>
        <stp>BDH|9719345398348875627</stp>
        <tr r="Y24" s="10"/>
      </tp>
      <tp t="e">
        <v>#N/A</v>
        <stp/>
        <stp>BDH|2308912800704001233</stp>
        <tr r="S7" s="14"/>
      </tp>
      <tp t="e">
        <v>#N/A</v>
        <stp/>
        <stp>BDH|8103080030611041784</stp>
        <tr r="K64" s="18"/>
      </tp>
      <tp t="e">
        <v>#N/A</v>
        <stp/>
        <stp>BDH|5238700901097473862</stp>
        <tr r="T60" s="12"/>
      </tp>
      <tp t="e">
        <v>#N/A</v>
        <stp/>
        <stp>BDH|9010749334463362323</stp>
        <tr r="W17" s="18"/>
      </tp>
      <tp t="e">
        <v>#N/A</v>
        <stp/>
        <stp>BDH|9356518060221455673</stp>
        <tr r="S96" s="18"/>
      </tp>
      <tp t="e">
        <v>#N/A</v>
        <stp/>
        <stp>BDH|8273088457937962758</stp>
        <tr r="Y16" s="23"/>
      </tp>
      <tp t="e">
        <v>#N/A</v>
        <stp/>
        <stp>BDH|2420520340686251859</stp>
        <tr r="G69" s="17"/>
      </tp>
      <tp t="e">
        <v>#N/A</v>
        <stp/>
        <stp>BDH|4779563717885162860</stp>
        <tr r="U25" s="14"/>
      </tp>
      <tp t="e">
        <v>#N/A</v>
        <stp/>
        <stp>BDH|9436987128987032853</stp>
        <tr r="Q51" s="12"/>
      </tp>
      <tp t="e">
        <v>#N/A</v>
        <stp/>
        <stp>BDH|8382259857374864689</stp>
        <tr r="W61" s="24"/>
      </tp>
      <tp t="e">
        <v>#N/A</v>
        <stp/>
        <stp>BDH|1824387861979941095</stp>
        <tr r="V33" s="14"/>
      </tp>
      <tp t="e">
        <v>#N/A</v>
        <stp/>
        <stp>BDH|7168111161858218522</stp>
        <tr r="N104" s="18"/>
      </tp>
      <tp t="e">
        <v>#N/A</v>
        <stp/>
        <stp>BDH|8009448143484541134</stp>
        <tr r="J10" s="28"/>
      </tp>
      <tp t="e">
        <v>#N/A</v>
        <stp/>
        <stp>BDH|6183239432103454959</stp>
        <tr r="N29" s="24"/>
      </tp>
      <tp t="e">
        <v>#N/A</v>
        <stp/>
        <stp>BDH|8802790232441580073</stp>
        <tr r="V73" s="24"/>
      </tp>
      <tp t="e">
        <v>#N/A</v>
        <stp/>
        <stp>BDH|4120827675131971792</stp>
        <tr r="P53" s="12"/>
      </tp>
      <tp t="e">
        <v>#N/A</v>
        <stp/>
        <stp>BDH|6351390398032564312</stp>
        <tr r="H15" s="4"/>
      </tp>
      <tp t="e">
        <v>#N/A</v>
        <stp/>
        <stp>BDH|8802737371145426085</stp>
        <tr r="Y39" s="22"/>
      </tp>
      <tp t="e">
        <v>#N/A</v>
        <stp/>
        <stp>BDH|4379250650366708874</stp>
        <tr r="U17" s="22"/>
      </tp>
      <tp t="e">
        <v>#N/A</v>
        <stp/>
        <stp>BDH|2037207220287454820</stp>
        <tr r="R32" s="6"/>
      </tp>
      <tp t="e">
        <v>#N/A</v>
        <stp/>
        <stp>BDH|3429693007291919951</stp>
        <tr r="S55" s="24"/>
      </tp>
      <tp t="e">
        <v>#N/A</v>
        <stp/>
        <stp>BDH|4746775357583234834</stp>
        <tr r="J24" s="5"/>
      </tp>
      <tp t="e">
        <v>#N/A</v>
        <stp/>
        <stp>BDH|1990964558567498752</stp>
        <tr r="W66" s="18"/>
      </tp>
      <tp t="e">
        <v>#N/A</v>
        <stp/>
        <stp>BDH|5546716241848504368</stp>
        <tr r="O6" s="28"/>
      </tp>
      <tp t="e">
        <v>#N/A</v>
        <stp/>
        <stp>BDH|2538807504925778208</stp>
        <tr r="G45" s="34"/>
      </tp>
      <tp t="e">
        <v>#N/A</v>
        <stp/>
        <stp>BDH|1009081986606831206</stp>
        <tr r="W49" s="21"/>
      </tp>
      <tp t="e">
        <v>#N/A</v>
        <stp/>
        <stp>BDH|3623859845937514551</stp>
        <tr r="F84" s="17"/>
      </tp>
      <tp t="e">
        <v>#N/A</v>
        <stp/>
        <stp>BDH|6668044385676342522</stp>
        <tr r="Q52" s="10"/>
        <tr r="Q44" s="11"/>
        <tr r="Q15" s="7"/>
      </tp>
      <tp t="e">
        <v>#N/A</v>
        <stp/>
        <stp>BDH|9993679863067274395</stp>
        <tr r="M45" s="21"/>
      </tp>
      <tp t="e">
        <v>#N/A</v>
        <stp/>
        <stp>BDH|6844234637299801320</stp>
        <tr r="U125" s="18"/>
      </tp>
      <tp t="e">
        <v>#N/A</v>
        <stp/>
        <stp>BDH|4555879266600487767</stp>
        <tr r="I16" s="10"/>
      </tp>
      <tp t="e">
        <v>#N/A</v>
        <stp/>
        <stp>BDH|7347039297113815098</stp>
        <tr r="J117" s="18"/>
      </tp>
      <tp t="e">
        <v>#N/A</v>
        <stp/>
        <stp>BDH|2859819438424594025</stp>
        <tr r="J25" s="26"/>
      </tp>
      <tp t="e">
        <v>#N/A</v>
        <stp/>
        <stp>BDH|5616532184971450438</stp>
        <tr r="R47" s="22"/>
      </tp>
      <tp t="e">
        <v>#N/A</v>
        <stp/>
        <stp>BDH|4739429493172457649</stp>
        <tr r="Y15" s="13"/>
      </tp>
      <tp t="e">
        <v>#N/A</v>
        <stp/>
        <stp>BDH|1603752934868894094</stp>
        <tr r="S55" s="12"/>
      </tp>
      <tp t="e">
        <v>#N/A</v>
        <stp/>
        <stp>BDH|7331347861146877985</stp>
        <tr r="O25" s="24"/>
      </tp>
      <tp t="e">
        <v>#N/A</v>
        <stp/>
        <stp>BDH|8847824822907981879</stp>
        <tr r="O20" s="18"/>
      </tp>
      <tp t="e">
        <v>#N/A</v>
        <stp/>
        <stp>BDH|7019033390485281675</stp>
        <tr r="L45" s="34"/>
      </tp>
      <tp t="e">
        <v>#N/A</v>
        <stp/>
        <stp>BDH|5436468495880116509</stp>
        <tr r="L45" s="18"/>
      </tp>
      <tp t="e">
        <v>#N/A</v>
        <stp/>
        <stp>BDH|4633160017630768968</stp>
        <tr r="D30" s="13"/>
      </tp>
      <tp t="e">
        <v>#N/A</v>
        <stp/>
        <stp>BDH|4308353570818016501</stp>
        <tr r="U135" s="18"/>
      </tp>
      <tp t="e">
        <v>#N/A</v>
        <stp/>
        <stp>BDH|7668076141958720611</stp>
        <tr r="J18" s="29"/>
        <tr r="J41" s="29"/>
      </tp>
      <tp t="e">
        <v>#N/A</v>
        <stp/>
        <stp>BDH|8488916191510315510</stp>
        <tr r="X31" s="5"/>
      </tp>
      <tp t="e">
        <v>#N/A</v>
        <stp/>
        <stp>BDH|6995306519840780913</stp>
        <tr r="L73" s="18"/>
      </tp>
      <tp t="e">
        <v>#N/A</v>
        <stp/>
        <stp>BDH|6608208857314405834</stp>
        <tr r="K25" s="2"/>
        <tr r="M60" s="21"/>
      </tp>
      <tp t="e">
        <v>#N/A</v>
        <stp/>
        <stp>BDH|4310337382893548115</stp>
        <tr r="AA10" s="23"/>
      </tp>
      <tp t="e">
        <v>#N/A</v>
        <stp/>
        <stp>BDH|8508978723647224953</stp>
        <tr r="K26" s="6"/>
      </tp>
      <tp t="e">
        <v>#N/A</v>
        <stp/>
        <stp>BDH|2379520592854193749</stp>
        <tr r="W114" s="18"/>
      </tp>
      <tp t="e">
        <v>#N/A</v>
        <stp/>
        <stp>BDH|1410501355039495537</stp>
        <tr r="U30" s="24"/>
      </tp>
      <tp t="e">
        <v>#N/A</v>
        <stp/>
        <stp>BDH|8594503803300033004</stp>
        <tr r="O13" s="29"/>
        <tr r="O22" s="29"/>
        <tr r="O36" s="29"/>
      </tp>
      <tp t="e">
        <v>#N/A</v>
        <stp/>
        <stp>BDH|4309495562032627989</stp>
        <tr r="M71" s="17"/>
      </tp>
      <tp t="e">
        <v>#N/A</v>
        <stp/>
        <stp>BDH|4986762545728578294</stp>
        <tr r="I65" s="18"/>
      </tp>
      <tp t="e">
        <v>#N/A</v>
        <stp/>
        <stp>BDH|5561336610739179301</stp>
        <tr r="V33" s="24"/>
      </tp>
      <tp t="e">
        <v>#N/A</v>
        <stp/>
        <stp>BDH|1219321880125346245</stp>
        <tr r="U26" s="7"/>
      </tp>
      <tp t="e">
        <v>#N/A</v>
        <stp/>
        <stp>BDH|4659463146691201830</stp>
        <tr r="L140" s="18"/>
      </tp>
      <tp t="e">
        <v>#N/A</v>
        <stp/>
        <stp>BDH|7125426397340643753</stp>
        <tr r="V88" s="24"/>
      </tp>
      <tp t="e">
        <v>#N/A</v>
        <stp/>
        <stp>BDH|8042355812536940190</stp>
        <tr r="P13" s="6"/>
      </tp>
      <tp t="e">
        <v>#N/A</v>
        <stp/>
        <stp>BDH|2897548967025530991</stp>
        <tr r="P132" s="18"/>
      </tp>
      <tp t="e">
        <v>#N/A</v>
        <stp/>
        <stp>BDH|3371701019951998945</stp>
        <tr r="F7" s="4"/>
      </tp>
      <tp t="e">
        <v>#N/A</v>
        <stp/>
        <stp>BDH|9733507379941080790</stp>
        <tr r="N13" s="6"/>
      </tp>
      <tp t="e">
        <v>#N/A</v>
        <stp/>
        <stp>BDH|3217332991280010475</stp>
        <tr r="J16" s="10"/>
      </tp>
      <tp t="e">
        <v>#N/A</v>
        <stp/>
        <stp>BDH|6435453217196910885</stp>
        <tr r="Q25" s="21"/>
      </tp>
      <tp t="e">
        <v>#N/A</v>
        <stp/>
        <stp>BDH|7615543637649453565</stp>
        <tr r="G62" s="13"/>
      </tp>
      <tp t="e">
        <v>#N/A</v>
        <stp/>
        <stp>BDH|6539002989262273190</stp>
        <tr r="Y15" s="29"/>
        <tr r="Y38" s="29"/>
      </tp>
      <tp t="e">
        <v>#N/A</v>
        <stp/>
        <stp>BDH|8296042420835147203</stp>
        <tr r="F130" s="18"/>
      </tp>
      <tp t="e">
        <v>#N/A</v>
        <stp/>
        <stp>BDH|1145461714228250166</stp>
        <tr r="P25" s="14"/>
      </tp>
      <tp t="e">
        <v>#N/A</v>
        <stp/>
        <stp>BDH|4379212964754677971</stp>
        <tr r="J42" s="21"/>
      </tp>
      <tp t="e">
        <v>#N/A</v>
        <stp/>
        <stp>BDH|8319785745072063496</stp>
        <tr r="P19" s="12"/>
      </tp>
      <tp t="e">
        <v>#N/A</v>
        <stp/>
        <stp>BDH|5774323790386421462</stp>
        <tr r="D88" s="12"/>
      </tp>
      <tp t="e">
        <v>#N/A</v>
        <stp/>
        <stp>BDH|3679367780035246053</stp>
        <tr r="Q136" s="18"/>
      </tp>
      <tp t="e">
        <v>#N/A</v>
        <stp/>
        <stp>BDH|2650829485878374755</stp>
        <tr r="M45" s="18"/>
      </tp>
      <tp t="e">
        <v>#N/A</v>
        <stp/>
        <stp>BDH|8745218299937168995</stp>
        <tr r="S50" s="4"/>
      </tp>
      <tp t="e">
        <v>#N/A</v>
        <stp/>
        <stp>BDH|1909822885888087494</stp>
        <tr r="F13" s="7"/>
      </tp>
      <tp t="e">
        <v>#N/A</v>
        <stp/>
        <stp>BDH|9639371495377334904</stp>
        <tr r="T58" s="6"/>
      </tp>
      <tp t="e">
        <v>#N/A</v>
        <stp/>
        <stp>BDH|6399471882700409759</stp>
        <tr r="Z58" s="17"/>
      </tp>
      <tp t="e">
        <v>#N/A</v>
        <stp/>
        <stp>BDH|2360909027525088134</stp>
        <tr r="C45" s="22"/>
      </tp>
      <tp t="e">
        <v>#N/A</v>
        <stp/>
        <stp>BDH|1914238894760934704</stp>
        <tr r="U20" s="9"/>
      </tp>
      <tp t="e">
        <v>#N/A</v>
        <stp/>
        <stp>BDH|7597573586030052737</stp>
        <tr r="U7" s="23"/>
      </tp>
      <tp t="e">
        <v>#N/A</v>
        <stp/>
        <stp>BDH|8964238385598875704</stp>
        <tr r="X24" s="5"/>
      </tp>
      <tp t="e">
        <v>#N/A</v>
        <stp/>
        <stp>BDH|7680919213420675259</stp>
        <tr r="Q60" s="17"/>
      </tp>
      <tp t="e">
        <v>#N/A</v>
        <stp/>
        <stp>BDH|7522185774048751499</stp>
        <tr r="W26" s="7"/>
      </tp>
      <tp t="e">
        <v>#N/A</v>
        <stp/>
        <stp>BDH|3906898447824031608</stp>
        <tr r="S65" s="21"/>
      </tp>
      <tp t="e">
        <v>#N/A</v>
        <stp/>
        <stp>BDH|2011974570250084105</stp>
        <tr r="E65" s="18"/>
      </tp>
      <tp t="e">
        <v>#N/A</v>
        <stp/>
        <stp>BDH|2409470505812228930</stp>
        <tr r="J43" s="10"/>
        <tr r="J35" s="11"/>
      </tp>
      <tp t="e">
        <v>#N/A</v>
        <stp/>
        <stp>BDH|7131869935065674437</stp>
        <tr r="P93" s="18"/>
      </tp>
      <tp t="e">
        <v>#N/A</v>
        <stp/>
        <stp>BDH|2342388242201962975</stp>
        <tr r="X45" s="22"/>
      </tp>
      <tp t="e">
        <v>#N/A</v>
        <stp/>
        <stp>BDH|8161620155853346527</stp>
        <tr r="M20" s="5"/>
      </tp>
      <tp t="e">
        <v>#N/A</v>
        <stp/>
        <stp>BDH|8264134575846429575</stp>
        <tr r="X12" s="26"/>
      </tp>
      <tp t="e">
        <v>#N/A</v>
        <stp/>
        <stp>BDH|8259995429916156841</stp>
        <tr r="J34" s="22"/>
      </tp>
      <tp t="e">
        <v>#N/A</v>
        <stp/>
        <stp>BDH|5347731083960441704</stp>
        <tr r="M21" s="6"/>
      </tp>
      <tp t="e">
        <v>#N/A</v>
        <stp/>
        <stp>BDH|8567829849799946003</stp>
        <tr r="I36" s="12"/>
      </tp>
      <tp t="e">
        <v>#N/A</v>
        <stp/>
        <stp>BDH|4308764490393406468</stp>
        <tr r="T14" s="6"/>
      </tp>
      <tp t="e">
        <v>#N/A</v>
        <stp/>
        <stp>BDH|5600475867168191202</stp>
        <tr r="P8" s="21"/>
      </tp>
      <tp t="e">
        <v>#N/A</v>
        <stp/>
        <stp>BDH|6466450623655676839</stp>
        <tr r="E17" s="21"/>
      </tp>
      <tp t="e">
        <v>#N/A</v>
        <stp/>
        <stp>BDH|1615477984859770957</stp>
        <tr r="K22" s="4"/>
      </tp>
      <tp t="e">
        <v>#N/A</v>
        <stp/>
        <stp>BDH|4357320631421498836</stp>
        <tr r="Q33" s="18"/>
      </tp>
      <tp t="e">
        <v>#N/A</v>
        <stp/>
        <stp>BDH|6832858577143781793</stp>
        <tr r="H66" s="18"/>
      </tp>
      <tp t="e">
        <v>#N/A</v>
        <stp/>
        <stp>BDH|4249559520379474779</stp>
        <tr r="L41" s="24"/>
      </tp>
      <tp t="e">
        <v>#N/A</v>
        <stp/>
        <stp>BDH|8108443982338777144</stp>
        <tr r="C23" s="25"/>
      </tp>
      <tp t="e">
        <v>#N/A</v>
        <stp/>
        <stp>BDH|4760325929279026180</stp>
        <tr r="N28" s="21"/>
      </tp>
      <tp t="e">
        <v>#N/A</v>
        <stp/>
        <stp>BDH|1910285690972778529</stp>
        <tr r="L73" s="10"/>
        <tr r="L65" s="11"/>
      </tp>
      <tp t="e">
        <v>#N/A</v>
        <stp/>
        <stp>BDH|9142370154761276346</stp>
        <tr r="N44" s="18"/>
      </tp>
      <tp t="e">
        <v>#N/A</v>
        <stp/>
        <stp>BDH|6249463992625107334</stp>
        <tr r="O37" s="12"/>
      </tp>
      <tp t="e">
        <v>#N/A</v>
        <stp/>
        <stp>BDH|5645965456977341319</stp>
        <tr r="H6" s="28"/>
      </tp>
      <tp t="e">
        <v>#N/A</v>
        <stp/>
        <stp>BDH|2632111310239665652</stp>
        <tr r="N89" s="12"/>
      </tp>
      <tp t="e">
        <v>#N/A</v>
        <stp/>
        <stp>BDH|7720805075400677500</stp>
        <tr r="E13" s="2"/>
      </tp>
      <tp t="e">
        <v>#N/A</v>
        <stp/>
        <stp>BDH|3015650295637714632</stp>
        <tr r="D35" s="18"/>
      </tp>
      <tp t="e">
        <v>#N/A</v>
        <stp/>
        <stp>BDH|1047165539426804832</stp>
        <tr r="D22" s="6"/>
      </tp>
      <tp t="e">
        <v>#N/A</v>
        <stp/>
        <stp>BDH|4201612400676512922</stp>
        <tr r="G17" s="18"/>
      </tp>
      <tp t="e">
        <v>#N/A</v>
        <stp/>
        <stp>BDH|2884614441919412483</stp>
        <tr r="Q133" s="18"/>
      </tp>
      <tp t="e">
        <v>#N/A</v>
        <stp/>
        <stp>BDH|3643876053074148771</stp>
        <tr r="W78" s="12"/>
      </tp>
      <tp t="e">
        <v>#N/A</v>
        <stp/>
        <stp>BDH|4555810810491316136</stp>
        <tr r="C87" s="24"/>
      </tp>
      <tp t="e">
        <v>#N/A</v>
        <stp/>
        <stp>BDH|3036173182680711761</stp>
        <tr r="C15" s="24"/>
      </tp>
      <tp t="e">
        <v>#N/A</v>
        <stp/>
        <stp>BDH|4072826974046356012</stp>
        <tr r="E32" s="10"/>
        <tr r="E24" s="11"/>
      </tp>
      <tp t="e">
        <v>#N/A</v>
        <stp/>
        <stp>BDH|5279988308944167576</stp>
        <tr r="J50" s="17"/>
      </tp>
      <tp t="e">
        <v>#N/A</v>
        <stp/>
        <stp>BDH|1287532390351322162</stp>
        <tr r="P30" s="10"/>
        <tr r="R36" s="13"/>
      </tp>
      <tp t="e">
        <v>#N/A</v>
        <stp/>
        <stp>BDH|8289346494059516636</stp>
        <tr r="G9" s="24"/>
      </tp>
      <tp t="e">
        <v>#N/A</v>
        <stp/>
        <stp>BDH|1796831831327364024</stp>
        <tr r="O19" s="6"/>
      </tp>
      <tp t="e">
        <v>#N/A</v>
        <stp/>
        <stp>BDH|8207817281294484124</stp>
        <tr r="E13" s="7"/>
      </tp>
      <tp t="e">
        <v>#N/A</v>
        <stp/>
        <stp>BDH|3366904000250211759</stp>
        <tr r="W12" s="26"/>
      </tp>
      <tp t="e">
        <v>#N/A</v>
        <stp/>
        <stp>BDH|4497152896556173721</stp>
        <tr r="H17" s="21"/>
      </tp>
      <tp t="e">
        <v>#N/A</v>
        <stp/>
        <stp>BDH|4680403891897138328</stp>
        <tr r="R20" s="17"/>
      </tp>
      <tp t="e">
        <v>#N/A</v>
        <stp/>
        <stp>BDH|3086687564506993818</stp>
        <tr r="J28" s="4"/>
      </tp>
      <tp t="e">
        <v>#N/A</v>
        <stp/>
        <stp>BDH|1272924655929217930</stp>
        <tr r="K23" s="2"/>
        <tr r="M18" s="21"/>
        <tr r="M23" s="3"/>
      </tp>
      <tp t="e">
        <v>#N/A</v>
        <stp/>
        <stp>BDH|5477388748016172915</stp>
        <tr r="C57" s="24"/>
      </tp>
      <tp t="e">
        <v>#N/A</v>
        <stp/>
        <stp>BDH|8790169354792626378</stp>
        <tr r="D8" s="8"/>
      </tp>
      <tp t="e">
        <v>#N/A</v>
        <stp/>
        <stp>BDH|9751252495089683652</stp>
        <tr r="M16" s="18"/>
      </tp>
      <tp t="e">
        <v>#N/A</v>
        <stp/>
        <stp>BDH|1149348395706445002</stp>
        <tr r="H11" s="6"/>
      </tp>
      <tp t="e">
        <v>#N/A</v>
        <stp/>
        <stp>BDH|9035314436280709449</stp>
        <tr r="T21" s="27"/>
      </tp>
      <tp t="e">
        <v>#N/A</v>
        <stp/>
        <stp>BDH|4049889119283773324</stp>
        <tr r="N51" s="17"/>
        <tr r="N17" s="3"/>
      </tp>
      <tp t="e">
        <v>#N/A</v>
        <stp/>
        <stp>BDH|3223880123380953448</stp>
        <tr r="P25" s="17"/>
      </tp>
      <tp t="e">
        <v>#N/A</v>
        <stp/>
        <stp>BDH|4206964315027225679</stp>
        <tr r="F45" s="21"/>
      </tp>
      <tp t="e">
        <v>#N/A</v>
        <stp/>
        <stp>BDH|4516766096685466258</stp>
        <tr r="R14" s="22"/>
      </tp>
      <tp t="e">
        <v>#N/A</v>
        <stp/>
        <stp>BDH|2227259860403772846</stp>
        <tr r="P8" s="17"/>
      </tp>
      <tp t="e">
        <v>#N/A</v>
        <stp/>
        <stp>BDH|3699833351511334232</stp>
        <tr r="F65" s="17"/>
      </tp>
      <tp t="e">
        <v>#N/A</v>
        <stp/>
        <stp>BDH|7572845987178185235</stp>
        <tr r="D36" s="34"/>
      </tp>
      <tp t="e">
        <v>#N/A</v>
        <stp/>
        <stp>BDH|9759310542452125102</stp>
        <tr r="S12" s="18"/>
      </tp>
      <tp t="e">
        <v>#N/A</v>
        <stp/>
        <stp>BDH|3141015813517522837</stp>
        <tr r="K45" s="4"/>
        <tr r="K31" s="10"/>
        <tr r="K23" s="11"/>
        <tr r="M30" s="13"/>
      </tp>
      <tp t="e">
        <v>#N/A</v>
        <stp/>
        <stp>BDH|2118274941270051922</stp>
        <tr r="N47" s="24"/>
      </tp>
      <tp t="e">
        <v>#N/A</v>
        <stp/>
        <stp>BDH|7553288866897755990</stp>
        <tr r="R82" s="18"/>
      </tp>
      <tp t="e">
        <v>#N/A</v>
        <stp/>
        <stp>BDH|7838099095984387728</stp>
        <tr r="F86" s="24"/>
      </tp>
      <tp t="e">
        <v>#N/A</v>
        <stp/>
        <stp>BDH|4665562374913669878</stp>
        <tr r="E17" s="6"/>
      </tp>
      <tp t="e">
        <v>#N/A</v>
        <stp/>
        <stp>BDH|7377214525682037824</stp>
        <tr r="K24" s="24"/>
      </tp>
      <tp t="e">
        <v>#N/A</v>
        <stp/>
        <stp>BDH|3563559892731723308</stp>
        <tr r="S14" s="12"/>
      </tp>
      <tp t="e">
        <v>#N/A</v>
        <stp/>
        <stp>BDH|8720343442362414006</stp>
        <tr r="P33" s="5"/>
      </tp>
      <tp t="e">
        <v>#N/A</v>
        <stp/>
        <stp>BDH|2410962043955794736</stp>
        <tr r="X25" s="34"/>
      </tp>
      <tp t="e">
        <v>#N/A</v>
        <stp/>
        <stp>BDH|5778647572598415101</stp>
        <tr r="Y30" s="24"/>
      </tp>
      <tp t="e">
        <v>#N/A</v>
        <stp/>
        <stp>BDH|1846946208677950284</stp>
        <tr r="W71" s="18"/>
      </tp>
      <tp t="e">
        <v>#N/A</v>
        <stp/>
        <stp>BDH|2294066530945413953</stp>
        <tr r="Z8" s="27"/>
      </tp>
      <tp t="e">
        <v>#N/A</v>
        <stp/>
        <stp>BDH|6419466793294531212</stp>
        <tr r="D27" s="25"/>
        <tr r="D13" s="27"/>
      </tp>
      <tp t="e">
        <v>#N/A</v>
        <stp/>
        <stp>BDH|1878699997916458576</stp>
        <tr r="AA97" s="18"/>
        <tr r="AA6" s="20"/>
      </tp>
      <tp t="e">
        <v>#N/A</v>
        <stp/>
        <stp>BDH|9536931248271328886</stp>
        <tr r="J89" s="12"/>
      </tp>
      <tp t="e">
        <v>#N/A</v>
        <stp/>
        <stp>BDH|9750330890098205632</stp>
        <tr r="W41" s="24"/>
      </tp>
      <tp t="e">
        <v>#N/A</v>
        <stp/>
        <stp>BDH|8019110358187531694</stp>
        <tr r="X114" s="18"/>
      </tp>
      <tp t="e">
        <v>#N/A</v>
        <stp/>
        <stp>BDH|1014764342496372921</stp>
        <tr r="E69" s="12"/>
      </tp>
      <tp t="e">
        <v>#N/A</v>
        <stp/>
        <stp>BDH|3095112226328563578</stp>
        <tr r="Y7" s="28"/>
      </tp>
      <tp t="e">
        <v>#N/A</v>
        <stp/>
        <stp>BDH|9773536261830084707</stp>
        <tr r="C24" s="4"/>
        <tr r="C57" s="11"/>
      </tp>
      <tp t="e">
        <v>#N/A</v>
        <stp/>
        <stp>BDH|9538724530484205405</stp>
        <tr r="H15" s="20"/>
      </tp>
      <tp t="e">
        <v>#N/A</v>
        <stp/>
        <stp>BDH|9239455711368545967</stp>
        <tr r="I20" s="22"/>
      </tp>
      <tp t="e">
        <v>#N/A</v>
        <stp/>
        <stp>BDH|4334794736058967508</stp>
        <tr r="F27" s="14"/>
      </tp>
      <tp t="e">
        <v>#N/A</v>
        <stp/>
        <stp>BDH|5698411242528152011</stp>
        <tr r="S102" s="18"/>
      </tp>
      <tp t="e">
        <v>#N/A</v>
        <stp/>
        <stp>BDH|8460066598615795987</stp>
        <tr r="W13" s="18"/>
      </tp>
      <tp t="e">
        <v>#N/A</v>
        <stp/>
        <stp>BDH|8674190806912950653</stp>
        <tr r="O25" s="14"/>
      </tp>
      <tp t="e">
        <v>#N/A</v>
        <stp/>
        <stp>BDH|3908294394057396225</stp>
        <tr r="G32" s="12"/>
      </tp>
      <tp t="e">
        <v>#N/A</v>
        <stp/>
        <stp>BDH|7508973575761653549</stp>
        <tr r="F62" s="17"/>
      </tp>
      <tp t="e">
        <v>#N/A</v>
        <stp/>
        <stp>BDH|1829991641750653139</stp>
        <tr r="AA69" s="12"/>
      </tp>
      <tp t="e">
        <v>#N/A</v>
        <stp/>
        <stp>BDH|8214030020833433400</stp>
        <tr r="K38" s="12"/>
      </tp>
      <tp t="e">
        <v>#N/A</v>
        <stp/>
        <stp>BDH|8628443102391115049</stp>
        <tr r="AA78" s="18"/>
      </tp>
      <tp t="e">
        <v>#N/A</v>
        <stp/>
        <stp>BDH|2069672999088268898</stp>
        <tr r="D95" s="18"/>
      </tp>
      <tp t="e">
        <v>#N/A</v>
        <stp/>
        <stp>BDH|1452713582734659749</stp>
        <tr r="Z82" s="24"/>
      </tp>
      <tp t="e">
        <v>#N/A</v>
        <stp/>
        <stp>BDH|5708241560505783911</stp>
        <tr r="F46" s="12"/>
      </tp>
      <tp t="e">
        <v>#N/A</v>
        <stp/>
        <stp>BDH|2042519768269569594</stp>
        <tr r="Y90" s="18"/>
      </tp>
      <tp t="e">
        <v>#N/A</v>
        <stp/>
        <stp>BDH|5207465880763698777</stp>
        <tr r="Y23" s="21"/>
      </tp>
      <tp t="e">
        <v>#N/A</v>
        <stp/>
        <stp>BDH|2316940990956443960</stp>
        <tr r="Q7" s="8"/>
      </tp>
      <tp t="e">
        <v>#N/A</v>
        <stp/>
        <stp>BDH|4979119220009552384</stp>
        <tr r="D15" s="21"/>
      </tp>
      <tp t="e">
        <v>#N/A</v>
        <stp/>
        <stp>BDH|6679555344888106234</stp>
        <tr r="R30" s="29"/>
        <tr r="R8" s="29"/>
      </tp>
      <tp t="e">
        <v>#N/A</v>
        <stp/>
        <stp>BDH|16211945340647652</stp>
        <tr r="G125" s="18"/>
      </tp>
      <tp t="e">
        <v>#N/A</v>
        <stp/>
        <stp>BDH|43650617345601218</stp>
        <tr r="J24" s="13"/>
      </tp>
      <tp t="e">
        <v>#N/A</v>
        <stp/>
        <stp>BDH|75313787353596802</stp>
        <tr r="E42" s="10"/>
        <tr r="E34" s="11"/>
      </tp>
      <tp t="e">
        <v>#N/A</v>
        <stp/>
        <stp>BDH|38814408190609819</stp>
        <tr r="Q10" s="18"/>
      </tp>
      <tp t="e">
        <v>#N/A</v>
        <stp/>
        <stp>BDH|50208328744020462</stp>
        <tr r="F15" s="11"/>
      </tp>
      <tp t="e">
        <v>#N/A</v>
        <stp/>
        <stp>BDH|25090223350228243</stp>
        <tr r="C91" s="18"/>
      </tp>
      <tp t="e">
        <v>#N/A</v>
        <stp/>
        <stp>BDH|26268113207912464</stp>
        <tr r="J51" s="18"/>
      </tp>
      <tp t="e">
        <v>#N/A</v>
        <stp/>
        <stp>BDH|95846728898492227</stp>
        <tr r="Z32" s="25"/>
        <tr r="Z18" s="27"/>
      </tp>
      <tp t="e">
        <v>#N/A</v>
        <stp/>
        <stp>BDH|86217859134666359</stp>
        <tr r="R35" s="14"/>
      </tp>
      <tp t="e">
        <v>#N/A</v>
        <stp/>
        <stp>BDH|87007058340187511</stp>
        <tr r="U34" s="12"/>
      </tp>
      <tp t="e">
        <v>#N/A</v>
        <stp/>
        <stp>BDH|4714895361153254771</stp>
        <tr r="R55" s="13"/>
      </tp>
      <tp t="e">
        <v>#N/A</v>
        <stp/>
        <stp>BDH|1060959198157293856</stp>
        <tr r="H21" s="22"/>
      </tp>
      <tp t="e">
        <v>#N/A</v>
        <stp/>
        <stp>BDH|7312160404748965021</stp>
        <tr r="G9" s="34"/>
      </tp>
      <tp t="e">
        <v>#N/A</v>
        <stp/>
        <stp>BDH|5317383991898437948</stp>
        <tr r="D47" s="24"/>
      </tp>
      <tp t="e">
        <v>#N/A</v>
        <stp/>
        <stp>BDH|5107860613545959771</stp>
        <tr r="X28" s="26"/>
      </tp>
      <tp t="e">
        <v>#N/A</v>
        <stp/>
        <stp>BDH|3516051060469259280</stp>
        <tr r="R10" s="21"/>
      </tp>
      <tp t="e">
        <v>#N/A</v>
        <stp/>
        <stp>BDH|6075323512139362393</stp>
        <tr r="K18" s="22"/>
      </tp>
      <tp t="e">
        <v>#N/A</v>
        <stp/>
        <stp>BDH|5518085772699265574</stp>
        <tr r="AA29" s="34"/>
      </tp>
      <tp t="e">
        <v>#N/A</v>
        <stp/>
        <stp>BDH|4985944163555427008</stp>
        <tr r="S81" s="17"/>
        <tr r="S20" s="3"/>
        <tr r="Q6" s="7"/>
      </tp>
      <tp t="e">
        <v>#N/A</v>
        <stp/>
        <stp>BDH|3774059689976413354</stp>
        <tr r="T20" s="14"/>
      </tp>
      <tp t="e">
        <v>#N/A</v>
        <stp/>
        <stp>BDH|9268530669796026221</stp>
        <tr r="U83" s="24"/>
      </tp>
      <tp t="e">
        <v>#N/A</v>
        <stp/>
        <stp>BDH|6921786326248404594</stp>
        <tr r="K43" s="10"/>
        <tr r="K35" s="11"/>
      </tp>
      <tp t="e">
        <v>#N/A</v>
        <stp/>
        <stp>BDH|1262900873566979721</stp>
        <tr r="N16" s="11"/>
      </tp>
      <tp t="e">
        <v>#N/A</v>
        <stp/>
        <stp>BDH|5603234316309115182</stp>
        <tr r="D12" s="22"/>
      </tp>
      <tp t="e">
        <v>#N/A</v>
        <stp/>
        <stp>BDH|7259056488754750525</stp>
        <tr r="O21" s="2"/>
      </tp>
      <tp t="e">
        <v>#N/A</v>
        <stp/>
        <stp>BDH|4988937411363187103</stp>
        <tr r="D20" s="27"/>
      </tp>
      <tp t="e">
        <v>#N/A</v>
        <stp/>
        <stp>BDH|7812815118953329388</stp>
        <tr r="W20" s="24"/>
      </tp>
      <tp t="e">
        <v>#N/A</v>
        <stp/>
        <stp>BDH|6873976746765337003</stp>
        <tr r="C7" s="6"/>
      </tp>
      <tp t="e">
        <v>#N/A</v>
        <stp/>
        <stp>BDH|3501608199135307750</stp>
        <tr r="L27" s="17"/>
      </tp>
      <tp t="e">
        <v>#N/A</v>
        <stp/>
        <stp>BDH|1891936129440180498</stp>
        <tr r="N22" s="18"/>
      </tp>
      <tp t="e">
        <v>#N/A</v>
        <stp/>
        <stp>BDH|6701600341802550896</stp>
        <tr r="M12" s="25"/>
      </tp>
      <tp t="e">
        <v>#N/A</v>
        <stp/>
        <stp>BDH|2060083556079368079</stp>
        <tr r="T51" s="12"/>
      </tp>
      <tp t="e">
        <v>#N/A</v>
        <stp/>
        <stp>BDH|6957740582627579009</stp>
        <tr r="O35" s="14"/>
      </tp>
      <tp t="e">
        <v>#N/A</v>
        <stp/>
        <stp>BDH|6801859456733847696</stp>
        <tr r="O13" s="26"/>
      </tp>
      <tp t="e">
        <v>#N/A</v>
        <stp/>
        <stp>BDH|9087146610080614780</stp>
        <tr r="T32" s="9"/>
      </tp>
      <tp t="e">
        <v>#N/A</v>
        <stp/>
        <stp>BDH|2937897398255508879</stp>
        <tr r="Z45" s="21"/>
      </tp>
      <tp t="e">
        <v>#N/A</v>
        <stp/>
        <stp>BDH|9822653891561196972</stp>
        <tr r="AA39" s="34"/>
      </tp>
      <tp t="e">
        <v>#N/A</v>
        <stp/>
        <stp>BDH|3093520679489136600</stp>
        <tr r="Z30" s="34"/>
      </tp>
      <tp t="e">
        <v>#N/A</v>
        <stp/>
        <stp>BDH|8422509939519362959</stp>
        <tr r="D9" s="34"/>
      </tp>
      <tp t="e">
        <v>#N/A</v>
        <stp/>
        <stp>BDH|6279893630684026700</stp>
        <tr r="AA9" s="12"/>
      </tp>
      <tp t="e">
        <v>#N/A</v>
        <stp/>
        <stp>BDH|7450790897685231230</stp>
        <tr r="R12" s="14"/>
      </tp>
      <tp t="e">
        <v>#N/A</v>
        <stp/>
        <stp>BDH|9874060423206772312</stp>
        <tr r="V46" s="34"/>
      </tp>
      <tp t="e">
        <v>#N/A</v>
        <stp/>
        <stp>BDH|2027360579248545014</stp>
        <tr r="P15" s="26"/>
      </tp>
      <tp t="e">
        <v>#N/A</v>
        <stp/>
        <stp>BDH|9943073121402487708</stp>
        <tr r="R24" s="6"/>
      </tp>
      <tp t="e">
        <v>#N/A</v>
        <stp/>
        <stp>BDH|9840255953071012152</stp>
        <tr r="Y12" s="13"/>
      </tp>
      <tp t="e">
        <v>#N/A</v>
        <stp/>
        <stp>BDH|5925324211548240132</stp>
        <tr r="E14" s="2"/>
        <tr r="E11" s="10"/>
      </tp>
      <tp t="e">
        <v>#N/A</v>
        <stp/>
        <stp>BDH|8445540018274558666</stp>
        <tr r="P16" s="12"/>
      </tp>
      <tp t="e">
        <v>#N/A</v>
        <stp/>
        <stp>BDH|3736554121138175295</stp>
        <tr r="G35" s="25"/>
      </tp>
      <tp t="e">
        <v>#N/A</v>
        <stp/>
        <stp>BDH|8914003046301378372</stp>
        <tr r="X32" s="10"/>
        <tr r="X24" s="11"/>
      </tp>
      <tp t="e">
        <v>#N/A</v>
        <stp/>
        <stp>BDH|9123326929846686070</stp>
        <tr r="E97" s="18"/>
        <tr r="E6" s="20"/>
      </tp>
      <tp t="e">
        <v>#N/A</v>
        <stp/>
        <stp>BDH|5623867945744928377</stp>
        <tr r="F10" s="4"/>
        <tr r="E6" s="16"/>
        <tr r="H6" s="3"/>
        <tr r="F6" s="11"/>
      </tp>
      <tp t="e">
        <v>#N/A</v>
        <stp/>
        <stp>BDH|2583815621240898661</stp>
        <tr r="K33" s="9"/>
      </tp>
      <tp t="e">
        <v>#N/A</v>
        <stp/>
        <stp>BDH|1754873466561403095</stp>
        <tr r="N73" s="17"/>
      </tp>
      <tp t="e">
        <v>#N/A</v>
        <stp/>
        <stp>BDH|3869072381176178344</stp>
        <tr r="T8" s="21"/>
      </tp>
      <tp t="e">
        <v>#N/A</v>
        <stp/>
        <stp>BDH|4504936459073002540</stp>
        <tr r="Q27" s="22"/>
      </tp>
      <tp t="e">
        <v>#N/A</v>
        <stp/>
        <stp>BDH|7436779241438910206</stp>
        <tr r="X73" s="12"/>
      </tp>
      <tp t="e">
        <v>#N/A</v>
        <stp/>
        <stp>BDH|6604809694179052095</stp>
        <tr r="F12" s="3"/>
        <tr r="D55" s="10"/>
        <tr r="D47" s="11"/>
        <tr r="D7" s="7"/>
      </tp>
      <tp t="e">
        <v>#N/A</v>
        <stp/>
        <stp>BDH|4555647489424773049</stp>
        <tr r="E59" s="11"/>
        <tr r="G15" s="23"/>
      </tp>
      <tp t="e">
        <v>#N/A</v>
        <stp/>
        <stp>BDH|2601772675359901569</stp>
        <tr r="V25" s="3"/>
      </tp>
      <tp t="e">
        <v>#N/A</v>
        <stp/>
        <stp>BDH|7617894758190852449</stp>
        <tr r="K20" s="20"/>
      </tp>
      <tp t="e">
        <v>#N/A</v>
        <stp/>
        <stp>BDH|4006781362933859896</stp>
        <tr r="M126" s="18"/>
      </tp>
      <tp t="e">
        <v>#N/A</v>
        <stp/>
        <stp>BDH|4396254687133826324</stp>
        <tr r="Z77" s="17"/>
      </tp>
      <tp t="e">
        <v>#N/A</v>
        <stp/>
        <stp>BDH|9669413273896767281</stp>
        <tr r="U36" s="18"/>
      </tp>
      <tp t="e">
        <v>#N/A</v>
        <stp/>
        <stp>BDH|8862091420850253480</stp>
        <tr r="M7" s="2"/>
        <tr r="L7" s="5"/>
        <tr r="L7" s="9"/>
        <tr r="O14" s="3"/>
      </tp>
      <tp t="e">
        <v>#N/A</v>
        <stp/>
        <stp>BDH|9352149175105123482</stp>
        <tr r="D58" s="21"/>
        <tr r="D37" s="25"/>
      </tp>
      <tp t="e">
        <v>#N/A</v>
        <stp/>
        <stp>BDH|9557775516467814678</stp>
        <tr r="T12" s="22"/>
      </tp>
      <tp t="e">
        <v>#N/A</v>
        <stp/>
        <stp>BDH|4888369509578802149</stp>
        <tr r="O52" s="24"/>
      </tp>
      <tp t="e">
        <v>#N/A</v>
        <stp/>
        <stp>BDH|2627289463339274143</stp>
        <tr r="T45" s="22"/>
      </tp>
      <tp t="e">
        <v>#N/A</v>
        <stp/>
        <stp>BDH|4488063114748795394</stp>
        <tr r="P54" s="18"/>
      </tp>
      <tp t="e">
        <v>#N/A</v>
        <stp/>
        <stp>BDH|4302802157261967656</stp>
        <tr r="Y69" s="24"/>
      </tp>
      <tp t="e">
        <v>#N/A</v>
        <stp/>
        <stp>BDH|8089327417480896452</stp>
        <tr r="X83" s="17"/>
      </tp>
      <tp t="e">
        <v>#N/A</v>
        <stp/>
        <stp>BDH|9600692557074031001</stp>
        <tr r="R130" s="18"/>
      </tp>
      <tp t="e">
        <v>#N/A</v>
        <stp/>
        <stp>BDH|3277287256192741835</stp>
        <tr r="Z111" s="18"/>
      </tp>
      <tp t="e">
        <v>#N/A</v>
        <stp/>
        <stp>BDH|8622732735724936617</stp>
        <tr r="L25" s="21"/>
      </tp>
      <tp t="e">
        <v>#N/A</v>
        <stp/>
        <stp>BDH|4453896804715760760</stp>
        <tr r="Q6" s="6"/>
      </tp>
      <tp t="e">
        <v>#N/A</v>
        <stp/>
        <stp>BDH|4202802912664944715</stp>
        <tr r="I15" s="29"/>
        <tr r="I38" s="29"/>
      </tp>
      <tp t="e">
        <v>#N/A</v>
        <stp/>
        <stp>BDH|6233627506008642687</stp>
        <tr r="E35" s="21"/>
      </tp>
      <tp t="e">
        <v>#N/A</v>
        <stp/>
        <stp>BDH|8252224142817967738</stp>
        <tr r="E46" s="21"/>
      </tp>
      <tp t="e">
        <v>#N/A</v>
        <stp/>
        <stp>BDH|5284238281264910514</stp>
        <tr r="P88" s="24"/>
      </tp>
      <tp t="e">
        <v>#N/A</v>
        <stp/>
        <stp>BDH|9251751389241417920</stp>
        <tr r="L33" s="6"/>
      </tp>
      <tp t="e">
        <v>#N/A</v>
        <stp/>
        <stp>BDH|4700294287441244132</stp>
        <tr r="X10" s="28"/>
      </tp>
      <tp t="e">
        <v>#N/A</v>
        <stp/>
        <stp>BDH|7741632946172972936</stp>
        <tr r="J50" s="4"/>
      </tp>
      <tp t="e">
        <v>#N/A</v>
        <stp/>
        <stp>BDH|6943899872214200389</stp>
        <tr r="D13" s="23"/>
      </tp>
      <tp t="e">
        <v>#N/A</v>
        <stp/>
        <stp>BDH|3332796048669333799</stp>
        <tr r="E21" s="11"/>
      </tp>
      <tp t="e">
        <v>#N/A</v>
        <stp/>
        <stp>BDH|1790097027578868595</stp>
        <tr r="V7" s="4"/>
      </tp>
      <tp t="e">
        <v>#N/A</v>
        <stp/>
        <stp>BDH|8273755176333984502</stp>
        <tr r="W36" s="22"/>
      </tp>
      <tp t="e">
        <v>#N/A</v>
        <stp/>
        <stp>BDH|4493984304003712077</stp>
        <tr r="Y87" s="17"/>
      </tp>
      <tp t="e">
        <v>#N/A</v>
        <stp/>
        <stp>BDH|7870268129419637092</stp>
        <tr r="P19" s="26"/>
      </tp>
      <tp t="e">
        <v>#N/A</v>
        <stp/>
        <stp>BDH|8159377617777968309</stp>
        <tr r="C20" s="20"/>
      </tp>
      <tp t="e">
        <v>#N/A</v>
        <stp/>
        <stp>BDH|3421982138291415689</stp>
        <tr r="Q77" s="24"/>
      </tp>
      <tp t="e">
        <v>#N/A</v>
        <stp/>
        <stp>BDH|9254686507874465510</stp>
        <tr r="T33" s="14"/>
      </tp>
      <tp t="e">
        <v>#N/A</v>
        <stp/>
        <stp>BDH|8192968219759689703</stp>
        <tr r="W17" s="21"/>
      </tp>
      <tp t="e">
        <v>#N/A</v>
        <stp/>
        <stp>BDH|4763950521836878734</stp>
        <tr r="Z19" s="20"/>
      </tp>
      <tp t="e">
        <v>#N/A</v>
        <stp/>
        <stp>BDH|3635399851703361857</stp>
        <tr r="AA44" s="13"/>
      </tp>
      <tp t="e">
        <v>#N/A</v>
        <stp/>
        <stp>BDH|6450948616995617589</stp>
        <tr r="S13" s="11"/>
      </tp>
      <tp t="e">
        <v>#N/A</v>
        <stp/>
        <stp>BDH|3067787460698298421</stp>
        <tr r="Z69" s="12"/>
      </tp>
      <tp t="e">
        <v>#N/A</v>
        <stp/>
        <stp>BDH|2950913527916154164</stp>
        <tr r="Z46" s="22"/>
      </tp>
      <tp t="e">
        <v>#N/A</v>
        <stp/>
        <stp>BDH|9013979876218842110</stp>
        <tr r="F8" s="17"/>
      </tp>
      <tp t="e">
        <v>#N/A</v>
        <stp/>
        <stp>BDH|5185424999411117737</stp>
        <tr r="F12" s="26"/>
      </tp>
      <tp t="e">
        <v>#N/A</v>
        <stp/>
        <stp>BDH|7219533761759049390</stp>
        <tr r="Q27" s="6"/>
      </tp>
      <tp t="e">
        <v>#N/A</v>
        <stp/>
        <stp>BDH|5638957414251750292</stp>
        <tr r="G28" s="18"/>
      </tp>
      <tp t="e">
        <v>#N/A</v>
        <stp/>
        <stp>BDH|8152115339014100010</stp>
        <tr r="H15" s="14"/>
      </tp>
      <tp t="e">
        <v>#N/A</v>
        <stp/>
        <stp>BDH|1424730673447479891</stp>
        <tr r="S88" s="24"/>
      </tp>
      <tp t="e">
        <v>#N/A</v>
        <stp/>
        <stp>BDH|8625485113012261162</stp>
        <tr r="G37" s="21"/>
        <tr r="G24" s="3"/>
      </tp>
      <tp t="e">
        <v>#N/A</v>
        <stp/>
        <stp>BDH|8000807782092858431</stp>
        <tr r="U47" s="13"/>
      </tp>
      <tp t="e">
        <v>#N/A</v>
        <stp/>
        <stp>BDH|3845809799315944919</stp>
        <tr r="C88" s="17"/>
      </tp>
      <tp t="e">
        <v>#N/A</v>
        <stp/>
        <stp>BDH|9988765056640487540</stp>
        <tr r="Q27" s="12"/>
      </tp>
      <tp t="e">
        <v>#N/A</v>
        <stp/>
        <stp>BDH|5972136607438021245</stp>
        <tr r="P39" s="12"/>
      </tp>
      <tp t="e">
        <v>#N/A</v>
        <stp/>
        <stp>BDH|4769047563785914905</stp>
        <tr r="V34" s="18"/>
      </tp>
      <tp t="e">
        <v>#N/A</v>
        <stp/>
        <stp>BDH|2453380237219401565</stp>
        <tr r="AA32" s="14"/>
      </tp>
      <tp t="e">
        <v>#N/A</v>
        <stp/>
        <stp>BDH|6043356115122153884</stp>
        <tr r="H8" s="14"/>
      </tp>
      <tp t="e">
        <v>#N/A</v>
        <stp/>
        <stp>BDH|4488078486466953453</stp>
        <tr r="T85" s="12"/>
      </tp>
      <tp t="e">
        <v>#N/A</v>
        <stp/>
        <stp>BDH|8490880470140744929</stp>
        <tr r="T41" s="24"/>
      </tp>
      <tp t="e">
        <v>#N/A</v>
        <stp/>
        <stp>BDH|1767984148781602380</stp>
        <tr r="R13" s="25"/>
      </tp>
      <tp t="e">
        <v>#N/A</v>
        <stp/>
        <stp>BDH|1890571989121645398</stp>
        <tr r="AA39" s="26"/>
      </tp>
      <tp t="e">
        <v>#N/A</v>
        <stp/>
        <stp>BDH|8070444921501842147</stp>
        <tr r="F9" s="17"/>
      </tp>
      <tp t="e">
        <v>#N/A</v>
        <stp/>
        <stp>BDH|5546329403929584188</stp>
        <tr r="D12" s="26"/>
      </tp>
      <tp t="e">
        <v>#N/A</v>
        <stp/>
        <stp>BDH|7298926168890940687</stp>
        <tr r="G17" s="10"/>
      </tp>
      <tp t="e">
        <v>#N/A</v>
        <stp/>
        <stp>BDH|2531675187242485088</stp>
        <tr r="R28" s="6"/>
      </tp>
      <tp t="e">
        <v>#N/A</v>
        <stp/>
        <stp>BDH|7244223128350693979</stp>
        <tr r="W67" s="24"/>
      </tp>
      <tp t="e">
        <v>#N/A</v>
        <stp/>
        <stp>BDH|4767748723896864914</stp>
        <tr r="Y44" s="21"/>
      </tp>
      <tp t="e">
        <v>#N/A</v>
        <stp/>
        <stp>BDH|1857897848106040503</stp>
        <tr r="U11" s="11"/>
      </tp>
      <tp t="e">
        <v>#N/A</v>
        <stp/>
        <stp>BDH|4466081495130416340</stp>
        <tr r="P76" s="18"/>
      </tp>
      <tp t="e">
        <v>#N/A</v>
        <stp/>
        <stp>BDH|4842856142537221142</stp>
        <tr r="H73" s="17"/>
      </tp>
      <tp t="e">
        <v>#N/A</v>
        <stp/>
        <stp>BDH|5638704325367333990</stp>
        <tr r="F22" s="22"/>
      </tp>
      <tp t="e">
        <v>#N/A</v>
        <stp/>
        <stp>BDH|3214717672778130594</stp>
        <tr r="K33" s="14"/>
      </tp>
      <tp t="e">
        <v>#N/A</v>
        <stp/>
        <stp>BDH|1874047065400137911</stp>
        <tr r="H83" s="24"/>
      </tp>
      <tp t="e">
        <v>#N/A</v>
        <stp/>
        <stp>BDH|2901524197687372763</stp>
        <tr r="W62" s="13"/>
      </tp>
      <tp t="e">
        <v>#N/A</v>
        <stp/>
        <stp>BDH|1752072553123860929</stp>
        <tr r="W63" s="18"/>
      </tp>
      <tp t="e">
        <v>#N/A</v>
        <stp/>
        <stp>BDH|1579607639198786221</stp>
        <tr r="H16" s="18"/>
      </tp>
      <tp t="e">
        <v>#N/A</v>
        <stp/>
        <stp>BDH|5313472281921965656</stp>
        <tr r="V10" s="14"/>
      </tp>
      <tp t="e">
        <v>#N/A</v>
        <stp/>
        <stp>BDH|2321239392306373185</stp>
        <tr r="V12" s="14"/>
      </tp>
      <tp t="e">
        <v>#N/A</v>
        <stp/>
        <stp>BDH|5595189105998167202</stp>
        <tr r="G20" s="12"/>
      </tp>
      <tp t="e">
        <v>#N/A</v>
        <stp/>
        <stp>BDH|8520668379522562565</stp>
        <tr r="X48" s="22"/>
      </tp>
      <tp t="e">
        <v>#N/A</v>
        <stp/>
        <stp>BDH|4505905948436496107</stp>
        <tr r="S8" s="13"/>
      </tp>
      <tp t="e">
        <v>#N/A</v>
        <stp/>
        <stp>BDH|8272379020183500491</stp>
        <tr r="K75" s="12"/>
      </tp>
      <tp t="e">
        <v>#N/A</v>
        <stp/>
        <stp>BDH|3726145571269423286</stp>
        <tr r="Q52" s="4"/>
        <tr r="S8" s="3"/>
        <tr r="Q44" s="10"/>
        <tr r="Q36" s="11"/>
        <tr r="S40" s="13"/>
      </tp>
      <tp t="e">
        <v>#N/A</v>
        <stp/>
        <stp>BDH|2057948003187198284</stp>
        <tr r="S25" s="21"/>
      </tp>
      <tp t="e">
        <v>#N/A</v>
        <stp/>
        <stp>BDH|2444587926573507817</stp>
        <tr r="C39" s="25"/>
        <tr r="C7" s="3"/>
        <tr r="C22" s="13"/>
        <tr r="C7" s="13"/>
      </tp>
      <tp t="e">
        <v>#N/A</v>
        <stp/>
        <stp>BDH|9164230766295931637</stp>
        <tr r="L10" s="17"/>
      </tp>
      <tp t="e">
        <v>#N/A</v>
        <stp/>
        <stp>BDH|3138481228663704887</stp>
        <tr r="C17" s="11"/>
      </tp>
      <tp t="e">
        <v>#N/A</v>
        <stp/>
        <stp>BDH|6339042198957284633</stp>
        <tr r="M23" s="2"/>
        <tr r="O18" s="21"/>
        <tr r="O23" s="3"/>
      </tp>
      <tp t="e">
        <v>#N/A</v>
        <stp/>
        <stp>BDH|7157475269719120207</stp>
        <tr r="U70" s="24"/>
      </tp>
      <tp t="e">
        <v>#N/A</v>
        <stp/>
        <stp>BDH|1968244245860178978</stp>
        <tr r="E56" s="24"/>
      </tp>
      <tp t="e">
        <v>#N/A</v>
        <stp/>
        <stp>BDH|7841571390281813493</stp>
        <tr r="E62" s="13"/>
      </tp>
      <tp t="e">
        <v>#N/A</v>
        <stp/>
        <stp>BDH|4765919116623983175</stp>
        <tr r="K19" s="20"/>
      </tp>
      <tp t="e">
        <v>#N/A</v>
        <stp/>
        <stp>BDH|4079747646730901953</stp>
        <tr r="X24" s="22"/>
      </tp>
      <tp t="e">
        <v>#N/A</v>
        <stp/>
        <stp>BDH|6266702687106925120</stp>
        <tr r="W21" s="27"/>
      </tp>
      <tp t="e">
        <v>#N/A</v>
        <stp/>
        <stp>BDH|7964460927609318656</stp>
        <tr r="I6" s="28"/>
      </tp>
      <tp t="e">
        <v>#N/A</v>
        <stp/>
        <stp>BDH|9756152208387626121</stp>
        <tr r="W42" s="17"/>
      </tp>
      <tp t="e">
        <v>#N/A</v>
        <stp/>
        <stp>BDH|8254859191965854206</stp>
        <tr r="V21" s="2"/>
      </tp>
      <tp t="e">
        <v>#N/A</v>
        <stp/>
        <stp>BDH|8185038989369020757</stp>
        <tr r="N52" s="24"/>
      </tp>
      <tp t="e">
        <v>#N/A</v>
        <stp/>
        <stp>BDH|5742459076510907831</stp>
        <tr r="N31" s="21"/>
      </tp>
      <tp t="e">
        <v>#N/A</v>
        <stp/>
        <stp>BDH|2411981851671699156</stp>
        <tr r="U54" s="24"/>
      </tp>
      <tp t="e">
        <v>#N/A</v>
        <stp/>
        <stp>BDH|2176858559004518567</stp>
        <tr r="M13" s="6"/>
      </tp>
      <tp t="e">
        <v>#N/A</v>
        <stp/>
        <stp>BDH|4994300035363053925</stp>
        <tr r="X20" s="22"/>
      </tp>
      <tp t="e">
        <v>#N/A</v>
        <stp/>
        <stp>BDH|4693241184490979011</stp>
        <tr r="S44" s="18"/>
      </tp>
      <tp t="e">
        <v>#N/A</v>
        <stp/>
        <stp>BDH|9803797075561208688</stp>
        <tr r="G49" s="4"/>
      </tp>
      <tp t="e">
        <v>#N/A</v>
        <stp/>
        <stp>BDH|5451962270800550597</stp>
        <tr r="I74" s="10"/>
        <tr r="I66" s="11"/>
      </tp>
      <tp t="e">
        <v>#N/A</v>
        <stp/>
        <stp>BDH|3622142878602481903</stp>
        <tr r="D46" s="22"/>
      </tp>
      <tp t="e">
        <v>#N/A</v>
        <stp/>
        <stp>BDH|3051153569239691341</stp>
        <tr r="Y85" s="18"/>
      </tp>
      <tp t="e">
        <v>#N/A</v>
        <stp/>
        <stp>BDH|9288142077488646996</stp>
        <tr r="F35" s="12"/>
      </tp>
      <tp t="e">
        <v>#N/A</v>
        <stp/>
        <stp>BDH|4832098702229817357</stp>
        <tr r="P67" s="17"/>
        <tr r="M8" s="5"/>
        <tr r="M8" s="9"/>
      </tp>
      <tp t="e">
        <v>#N/A</v>
        <stp/>
        <stp>BDH|1599470239048573001</stp>
        <tr r="E52" s="12"/>
      </tp>
      <tp t="e">
        <v>#N/A</v>
        <stp/>
        <stp>BDH|7720683997242139461</stp>
        <tr r="L8" s="2"/>
      </tp>
      <tp t="e">
        <v>#N/A</v>
        <stp/>
        <stp>BDH|9225593425035593549</stp>
        <tr r="C19" s="5"/>
        <tr r="C46" s="6"/>
      </tp>
      <tp t="e">
        <v>#N/A</v>
        <stp/>
        <stp>BDH|2418739028461990894</stp>
        <tr r="Z16" s="22"/>
      </tp>
      <tp t="e">
        <v>#N/A</v>
        <stp/>
        <stp>BDH|2244852856141977071</stp>
        <tr r="F97" s="18"/>
        <tr r="F6" s="20"/>
      </tp>
      <tp t="e">
        <v>#N/A</v>
        <stp/>
        <stp>BDH|9796132251052296182</stp>
        <tr r="L15" s="21"/>
      </tp>
      <tp t="e">
        <v>#N/A</v>
        <stp/>
        <stp>BDH|6687565580196699396</stp>
        <tr r="AA50" s="12"/>
      </tp>
      <tp t="e">
        <v>#N/A</v>
        <stp/>
        <stp>BDH|2488997632255772379</stp>
        <tr r="T52" s="6"/>
        <tr r="V9" s="8"/>
      </tp>
      <tp t="e">
        <v>#N/A</v>
        <stp/>
        <stp>BDH|9677434619567556561</stp>
        <tr r="S23" s="23"/>
      </tp>
      <tp t="e">
        <v>#N/A</v>
        <stp/>
        <stp>BDH|5904094971519654586</stp>
        <tr r="Q6" s="15"/>
        <tr r="Q12" s="2"/>
        <tr r="Q11" s="4"/>
        <tr r="Q6" s="10"/>
      </tp>
      <tp t="e">
        <v>#N/A</v>
        <stp/>
        <stp>BDH|3052281818066978866</stp>
        <tr r="L128" s="18"/>
      </tp>
      <tp t="e">
        <v>#N/A</v>
        <stp/>
        <stp>BDH|4243699395233925688</stp>
        <tr r="H13" s="20"/>
      </tp>
      <tp t="e">
        <v>#N/A</v>
        <stp/>
        <stp>BDH|9640748813926736791</stp>
        <tr r="AA89" s="12"/>
      </tp>
      <tp t="e">
        <v>#N/A</v>
        <stp/>
        <stp>BDH|3309976312831096490</stp>
        <tr r="S11" s="28"/>
      </tp>
      <tp t="e">
        <v>#N/A</v>
        <stp/>
        <stp>BDH|7848481614584329885</stp>
        <tr r="K22" s="18"/>
      </tp>
      <tp t="e">
        <v>#N/A</v>
        <stp/>
        <stp>BDH|1862613265996293912</stp>
        <tr r="T59" s="13"/>
      </tp>
      <tp t="e">
        <v>#N/A</v>
        <stp/>
        <stp>BDH|3895839132430557637</stp>
        <tr r="E11" s="6"/>
      </tp>
      <tp t="e">
        <v>#N/A</v>
        <stp/>
        <stp>BDH|8868044632047429256</stp>
        <tr r="Z119" s="18"/>
      </tp>
      <tp t="e">
        <v>#N/A</v>
        <stp/>
        <stp>BDH|9672611929686902589</stp>
        <tr r="U47" s="17"/>
      </tp>
      <tp t="e">
        <v>#N/A</v>
        <stp/>
        <stp>BDH|9191892197182236420</stp>
        <tr r="Z27" s="25"/>
        <tr r="Z13" s="27"/>
      </tp>
      <tp t="e">
        <v>#N/A</v>
        <stp/>
        <stp>BDH|4974852546621392762</stp>
        <tr r="V38" s="10"/>
        <tr r="V30" s="11"/>
        <tr r="X42" s="13"/>
      </tp>
      <tp t="e">
        <v>#N/A</v>
        <stp/>
        <stp>BDH|1798643897276368686</stp>
        <tr r="D26" s="22"/>
      </tp>
      <tp t="e">
        <v>#N/A</v>
        <stp/>
        <stp>BDH|3893645044818195766</stp>
        <tr r="S70" s="12"/>
      </tp>
      <tp t="e">
        <v>#N/A</v>
        <stp/>
        <stp>BDH|5565784692933672667</stp>
        <tr r="R25" s="24"/>
      </tp>
      <tp t="e">
        <v>#N/A</v>
        <stp/>
        <stp>BDH|3929138787135044124</stp>
        <tr r="Y50" s="21"/>
      </tp>
      <tp t="e">
        <v>#N/A</v>
        <stp/>
        <stp>BDH|4528751606888070596</stp>
        <tr r="J14" s="8"/>
      </tp>
      <tp t="e">
        <v>#N/A</v>
        <stp/>
        <stp>BDH|7390786744012535856</stp>
        <tr r="G36" s="4"/>
      </tp>
      <tp t="e">
        <v>#N/A</v>
        <stp/>
        <stp>BDH|8708359053119941976</stp>
        <tr r="I25" s="13"/>
      </tp>
      <tp t="e">
        <v>#N/A</v>
        <stp/>
        <stp>BDH|8162016726422812618</stp>
        <tr r="E11" s="9"/>
      </tp>
      <tp t="e">
        <v>#N/A</v>
        <stp/>
        <stp>BDH|3960839730767030156</stp>
        <tr r="J21" s="18"/>
      </tp>
      <tp t="e">
        <v>#N/A</v>
        <stp/>
        <stp>BDH|1443588108263377985</stp>
        <tr r="E8" s="18"/>
      </tp>
      <tp t="e">
        <v>#N/A</v>
        <stp/>
        <stp>BDH|4562850998128483333</stp>
        <tr r="C27" s="26"/>
      </tp>
      <tp t="e">
        <v>#N/A</v>
        <stp/>
        <stp>BDH|2067987051872616206</stp>
        <tr r="U17" s="5"/>
        <tr r="U36" s="6"/>
      </tp>
      <tp t="e">
        <v>#N/A</v>
        <stp/>
        <stp>BDH|8134496260881262555</stp>
        <tr r="L72" s="17"/>
      </tp>
      <tp t="e">
        <v>#N/A</v>
        <stp/>
        <stp>BDH|2454169988022340766</stp>
        <tr r="Y37" s="18"/>
      </tp>
      <tp t="e">
        <v>#N/A</v>
        <stp/>
        <stp>BDH|7377749957168787389</stp>
        <tr r="D19" s="25"/>
      </tp>
      <tp t="e">
        <v>#N/A</v>
        <stp/>
        <stp>BDH|6793367803762444993</stp>
        <tr r="V65" s="17"/>
      </tp>
      <tp t="e">
        <v>#N/A</v>
        <stp/>
        <stp>BDH|9908746724845210741</stp>
        <tr r="G26" s="21"/>
      </tp>
      <tp t="e">
        <v>#N/A</v>
        <stp/>
        <stp>BDH|8367964788530827794</stp>
        <tr r="Q20" s="23"/>
      </tp>
      <tp t="e">
        <v>#N/A</v>
        <stp/>
        <stp>BDH|9468970471391600884</stp>
        <tr r="X89" s="24"/>
      </tp>
      <tp t="e">
        <v>#N/A</v>
        <stp/>
        <stp>BDH|2898462691161799042</stp>
        <tr r="R26" s="13"/>
      </tp>
      <tp t="e">
        <v>#N/A</v>
        <stp/>
        <stp>BDH|2210513806381145885</stp>
        <tr r="W71" s="12"/>
      </tp>
      <tp t="e">
        <v>#N/A</v>
        <stp/>
        <stp>BDH|9825447933311019134</stp>
        <tr r="W33" s="22"/>
      </tp>
      <tp t="e">
        <v>#N/A</v>
        <stp/>
        <stp>BDH|2230287992750379777</stp>
        <tr r="S8" s="18"/>
      </tp>
      <tp t="e">
        <v>#N/A</v>
        <stp/>
        <stp>BDH|4089881763830158467</stp>
        <tr r="O10" s="2"/>
        <tr r="N11" s="5"/>
        <tr r="N55" s="6"/>
        <tr r="O33" s="29"/>
        <tr r="O42" s="29"/>
      </tp>
      <tp t="e">
        <v>#N/A</v>
        <stp/>
        <stp>BDH|8866023388637960976</stp>
        <tr r="E26" s="21"/>
      </tp>
      <tp t="e">
        <v>#N/A</v>
        <stp/>
        <stp>BDH|9894401431073627339</stp>
        <tr r="U27" s="26"/>
      </tp>
      <tp t="e">
        <v>#N/A</v>
        <stp/>
        <stp>BDH|2070983417683466777</stp>
        <tr r="M59" s="13"/>
      </tp>
      <tp t="e">
        <v>#N/A</v>
        <stp/>
        <stp>BDH|1768502394630613391</stp>
        <tr r="Q18" s="23"/>
      </tp>
      <tp t="e">
        <v>#N/A</v>
        <stp/>
        <stp>BDH|1933662459385358992</stp>
        <tr r="E60" s="13"/>
      </tp>
      <tp t="e">
        <v>#N/A</v>
        <stp/>
        <stp>BDH|9735997497743762420</stp>
        <tr r="Y18" s="14"/>
      </tp>
      <tp t="e">
        <v>#N/A</v>
        <stp/>
        <stp>BDH|9372390108074609082</stp>
        <tr r="O14" s="8"/>
      </tp>
      <tp t="e">
        <v>#N/A</v>
        <stp/>
        <stp>BDH|1909826475593541373</stp>
        <tr r="Y12" s="22"/>
      </tp>
      <tp t="e">
        <v>#N/A</v>
        <stp/>
        <stp>BDH|6014186406271310810</stp>
        <tr r="D34" s="10"/>
        <tr r="D26" s="11"/>
      </tp>
      <tp t="e">
        <v>#N/A</v>
        <stp/>
        <stp>BDH|1851043992104544277</stp>
        <tr r="R16" s="6"/>
      </tp>
      <tp t="e">
        <v>#N/A</v>
        <stp/>
        <stp>BDH|3151286704668687774</stp>
        <tr r="M8" s="13"/>
      </tp>
      <tp t="e">
        <v>#N/A</v>
        <stp/>
        <stp>BDH|9436041404337085081</stp>
        <tr r="W27" s="21"/>
      </tp>
      <tp t="e">
        <v>#N/A</v>
        <stp/>
        <stp>BDH|2948295897775985226</stp>
        <tr r="P30" s="25"/>
        <tr r="P16" s="27"/>
      </tp>
      <tp t="e">
        <v>#N/A</v>
        <stp/>
        <stp>BDH|4575631387107964349</stp>
        <tr r="G10" s="24"/>
      </tp>
      <tp t="e">
        <v>#N/A</v>
        <stp/>
        <stp>BDH|6398851448701506577</stp>
        <tr r="N10" s="23"/>
      </tp>
      <tp t="e">
        <v>#N/A</v>
        <stp/>
        <stp>BDH|2030229218276111972</stp>
        <tr r="W90" s="17"/>
      </tp>
      <tp t="e">
        <v>#N/A</v>
        <stp/>
        <stp>BDH|7182114632673855864</stp>
        <tr r="N46" s="4"/>
        <tr r="N23" s="10"/>
        <tr r="P37" s="13"/>
      </tp>
      <tp t="e">
        <v>#N/A</v>
        <stp/>
        <stp>BDH|1145098263048073171</stp>
        <tr r="P14" s="20"/>
      </tp>
      <tp t="e">
        <v>#N/A</v>
        <stp/>
        <stp>BDH|7811530713938038541</stp>
        <tr r="Z8" s="12"/>
      </tp>
      <tp t="e">
        <v>#N/A</v>
        <stp/>
        <stp>BDH|9807418318750966244</stp>
        <tr r="P40" s="12"/>
      </tp>
      <tp t="e">
        <v>#N/A</v>
        <stp/>
        <stp>BDH|2363499657549325424</stp>
        <tr r="K142" s="18"/>
      </tp>
      <tp t="e">
        <v>#N/A</v>
        <stp/>
        <stp>BDH|7221903832780996353</stp>
        <tr r="F76" s="12"/>
      </tp>
      <tp t="e">
        <v>#N/A</v>
        <stp/>
        <stp>BDH|2198804465094905613</stp>
        <tr r="V82" s="12"/>
      </tp>
      <tp t="e">
        <v>#N/A</v>
        <stp/>
        <stp>BDH|6888893163934691285</stp>
        <tr r="AA133" s="18"/>
      </tp>
      <tp t="e">
        <v>#N/A</v>
        <stp/>
        <stp>BDH|5075786997690061520</stp>
        <tr r="E106" s="18"/>
      </tp>
      <tp t="e">
        <v>#N/A</v>
        <stp/>
        <stp>BDH|4403660068259753306</stp>
        <tr r="C19" s="18"/>
      </tp>
      <tp t="e">
        <v>#N/A</v>
        <stp/>
        <stp>BDH|7858971878254336394</stp>
        <tr r="E21" s="6"/>
      </tp>
      <tp t="e">
        <v>#N/A</v>
        <stp/>
        <stp>BDH|5734717693981184494</stp>
        <tr r="W69" s="24"/>
      </tp>
      <tp t="e">
        <v>#N/A</v>
        <stp/>
        <stp>BDH|6620682351178181339</stp>
        <tr r="C37" s="18"/>
      </tp>
      <tp t="e">
        <v>#N/A</v>
        <stp/>
        <stp>BDH|9407105808512668476</stp>
        <tr r="H22" s="6"/>
      </tp>
      <tp t="e">
        <v>#N/A</v>
        <stp/>
        <stp>BDH|9724967789563037553</stp>
        <tr r="P26" s="34"/>
      </tp>
      <tp t="e">
        <v>#N/A</v>
        <stp/>
        <stp>BDH|4100752208395024813</stp>
        <tr r="Z19" s="30"/>
      </tp>
      <tp t="e">
        <v>#N/A</v>
        <stp/>
        <stp>BDH|5158999444175097316</stp>
        <tr r="R34" s="12"/>
      </tp>
      <tp t="e">
        <v>#N/A</v>
        <stp/>
        <stp>BDH|4315482092322452500</stp>
        <tr r="Z38" s="25"/>
      </tp>
      <tp t="e">
        <v>#N/A</v>
        <stp/>
        <stp>BDH|6876679869811831930</stp>
        <tr r="X32" s="18"/>
      </tp>
      <tp t="e">
        <v>#N/A</v>
        <stp/>
        <stp>BDH|4549239689487242709</stp>
        <tr r="M59" s="24"/>
      </tp>
      <tp t="e">
        <v>#N/A</v>
        <stp/>
        <stp>BDH|4710301791620267094</stp>
        <tr r="L35" s="34"/>
      </tp>
      <tp t="e">
        <v>#N/A</v>
        <stp/>
        <stp>BDH|6797541281864941160</stp>
        <tr r="R34" s="18"/>
      </tp>
      <tp t="e">
        <v>#N/A</v>
        <stp/>
        <stp>BDH|2263325384457183089</stp>
        <tr r="E57" s="18"/>
      </tp>
      <tp t="e">
        <v>#N/A</v>
        <stp/>
        <stp>BDH|2921513218041464991</stp>
        <tr r="I25" s="7"/>
      </tp>
      <tp t="e">
        <v>#N/A</v>
        <stp/>
        <stp>BDH|5056069661514869929</stp>
        <tr r="V22" s="22"/>
      </tp>
      <tp t="e">
        <v>#N/A</v>
        <stp/>
        <stp>BDH|5606975826951320198</stp>
        <tr r="E34" s="21"/>
      </tp>
      <tp t="e">
        <v>#N/A</v>
        <stp/>
        <stp>BDH|1790262465759977202</stp>
        <tr r="D40" s="17"/>
      </tp>
      <tp t="e">
        <v>#N/A</v>
        <stp/>
        <stp>BDH|1723429278655806984</stp>
        <tr r="T37" s="26"/>
      </tp>
      <tp t="e">
        <v>#N/A</v>
        <stp/>
        <stp>BDH|6205779563660277990</stp>
        <tr r="H41" s="24"/>
      </tp>
      <tp t="e">
        <v>#N/A</v>
        <stp/>
        <stp>BDH|3292967549343350330</stp>
        <tr r="H49" s="24"/>
      </tp>
      <tp t="e">
        <v>#N/A</v>
        <stp/>
        <stp>BDH|3507332899622580574</stp>
        <tr r="X91" s="18"/>
      </tp>
      <tp t="e">
        <v>#N/A</v>
        <stp/>
        <stp>BDH|3748889163185645673</stp>
        <tr r="H91" s="18"/>
      </tp>
      <tp t="e">
        <v>#N/A</v>
        <stp/>
        <stp>BDH|5743606710858983439</stp>
        <tr r="R70" s="10"/>
        <tr r="R62" s="11"/>
        <tr r="R20" s="7"/>
      </tp>
      <tp t="e">
        <v>#N/A</v>
        <stp/>
        <stp>BDH|7973949792928596173</stp>
        <tr r="I89" s="12"/>
      </tp>
      <tp t="e">
        <v>#N/A</v>
        <stp/>
        <stp>BDH|1754625419819459150</stp>
        <tr r="Q37" s="24"/>
      </tp>
      <tp t="e">
        <v>#N/A</v>
        <stp/>
        <stp>BDH|6312309004332378991</stp>
        <tr r="R16" s="10"/>
      </tp>
      <tp t="e">
        <v>#N/A</v>
        <stp/>
        <stp>BDH|3042962953269909818</stp>
        <tr r="R19" s="25"/>
      </tp>
      <tp t="e">
        <v>#N/A</v>
        <stp/>
        <stp>BDH|3754800409732364708</stp>
        <tr r="X44" s="21"/>
      </tp>
      <tp t="e">
        <v>#N/A</v>
        <stp/>
        <stp>BDH|1030223188871269452</stp>
        <tr r="F34" s="9"/>
      </tp>
      <tp t="e">
        <v>#N/A</v>
        <stp/>
        <stp>BDH|7942326650086393957</stp>
        <tr r="AA23" s="22"/>
      </tp>
      <tp t="e">
        <v>#N/A</v>
        <stp/>
        <stp>BDH|9399891696763203533</stp>
        <tr r="C41" s="12"/>
      </tp>
      <tp t="e">
        <v>#N/A</v>
        <stp/>
        <stp>BDH|7670677494756985010</stp>
        <tr r="J65" s="21"/>
      </tp>
      <tp t="e">
        <v>#N/A</v>
        <stp/>
        <stp>BDH|1615028732929996527</stp>
        <tr r="C21" s="10"/>
      </tp>
      <tp t="e">
        <v>#N/A</v>
        <stp/>
        <stp>BDH|7073947943793890720</stp>
        <tr r="X58" s="17"/>
      </tp>
      <tp t="e">
        <v>#N/A</v>
        <stp/>
        <stp>BDH|5965777685696007269</stp>
        <tr r="E31" s="34"/>
      </tp>
      <tp t="e">
        <v>#N/A</v>
        <stp/>
        <stp>BDH|7901104293502278358</stp>
        <tr r="V22" s="7"/>
      </tp>
      <tp t="e">
        <v>#N/A</v>
        <stp/>
        <stp>BDH|3450997235125354297</stp>
        <tr r="O36" s="21"/>
      </tp>
      <tp t="e">
        <v>#N/A</v>
        <stp/>
        <stp>BDH|8879809228115090927</stp>
        <tr r="H59" s="18"/>
      </tp>
      <tp t="e">
        <v>#N/A</v>
        <stp/>
        <stp>BDH|4510205392403147244</stp>
        <tr r="N70" s="17"/>
      </tp>
      <tp t="e">
        <v>#N/A</v>
        <stp/>
        <stp>BDH|3471011447491623860</stp>
        <tr r="T9" s="24"/>
      </tp>
      <tp t="e">
        <v>#N/A</v>
        <stp/>
        <stp>BDH|7919103161028940636</stp>
        <tr r="S75" s="17"/>
        <tr r="P9" s="5"/>
        <tr r="P9" s="9"/>
      </tp>
      <tp t="e">
        <v>#N/A</v>
        <stp/>
        <stp>BDH|3913187918434833932</stp>
        <tr r="V18" s="18"/>
      </tp>
      <tp t="e">
        <v>#N/A</v>
        <stp/>
        <stp>BDH|5150344795287724652</stp>
        <tr r="L55" s="18"/>
      </tp>
      <tp t="e">
        <v>#N/A</v>
        <stp/>
        <stp>BDH|8439025590117379872</stp>
        <tr r="C108" s="18"/>
      </tp>
      <tp t="e">
        <v>#N/A</v>
        <stp/>
        <stp>BDH|3455962651690843197</stp>
        <tr r="S12" s="22"/>
      </tp>
      <tp t="e">
        <v>#N/A</v>
        <stp/>
        <stp>BDH|8524823420734430810</stp>
        <tr r="O76" s="12"/>
      </tp>
      <tp t="e">
        <v>#N/A</v>
        <stp/>
        <stp>BDH|3309470087353214237</stp>
        <tr r="I52" s="10"/>
        <tr r="I44" s="11"/>
        <tr r="I15" s="7"/>
      </tp>
      <tp t="e">
        <v>#N/A</v>
        <stp/>
        <stp>BDH|4189507892852455456</stp>
        <tr r="W25" s="25"/>
        <tr r="W10" s="27"/>
      </tp>
      <tp t="e">
        <v>#N/A</v>
        <stp/>
        <stp>BDH|9051309285948438432</stp>
        <tr r="I14" s="29"/>
        <tr r="I23" s="29"/>
        <tr r="I37" s="29"/>
      </tp>
      <tp t="e">
        <v>#N/A</v>
        <stp/>
        <stp>BDH|9114343190624575924</stp>
        <tr r="D129" s="18"/>
      </tp>
      <tp t="e">
        <v>#N/A</v>
        <stp/>
        <stp>BDH|5323150799423888059</stp>
        <tr r="E63" s="13"/>
      </tp>
      <tp t="e">
        <v>#N/A</v>
        <stp/>
        <stp>BDH|9465733042827328348</stp>
        <tr r="U68" s="10"/>
      </tp>
      <tp t="e">
        <v>#N/A</v>
        <stp/>
        <stp>BDH|4879837289499852387</stp>
        <tr r="S42" s="34"/>
      </tp>
      <tp t="e">
        <v>#N/A</v>
        <stp/>
        <stp>BDH|3940746616693871815</stp>
        <tr r="D45" s="22"/>
      </tp>
      <tp t="e">
        <v>#N/A</v>
        <stp/>
        <stp>BDH|5745240991272822282</stp>
        <tr r="U6" s="15"/>
        <tr r="U12" s="2"/>
        <tr r="U11" s="4"/>
        <tr r="U6" s="10"/>
      </tp>
      <tp t="e">
        <v>#N/A</v>
        <stp/>
        <stp>BDH|1289219291841766576</stp>
        <tr r="E11" s="22"/>
      </tp>
      <tp t="e">
        <v>#N/A</v>
        <stp/>
        <stp>BDH|5555963250197289034</stp>
        <tr r="X21" s="4"/>
      </tp>
      <tp t="e">
        <v>#N/A</v>
        <stp/>
        <stp>BDH|5258837109904805720</stp>
        <tr r="S42" s="18"/>
      </tp>
      <tp t="e">
        <v>#N/A</v>
        <stp/>
        <stp>BDH|2226846959907813656</stp>
        <tr r="U13" s="17"/>
        <tr r="U16" s="28"/>
      </tp>
      <tp t="e">
        <v>#N/A</v>
        <stp/>
        <stp>BDH|2281767876465012900</stp>
        <tr r="L8" s="13"/>
      </tp>
      <tp t="e">
        <v>#N/A</v>
        <stp/>
        <stp>BDH|4228863914696186535</stp>
        <tr r="H25" s="17"/>
      </tp>
      <tp t="e">
        <v>#N/A</v>
        <stp/>
        <stp>BDH|3671243515986233874</stp>
        <tr r="P14" s="21"/>
      </tp>
      <tp t="e">
        <v>#N/A</v>
        <stp/>
        <stp>BDH|2516072441721387920</stp>
        <tr r="N14" s="23"/>
      </tp>
      <tp t="e">
        <v>#N/A</v>
        <stp/>
        <stp>BDH|6166028784434643432</stp>
        <tr r="M20" s="9"/>
      </tp>
      <tp t="e">
        <v>#N/A</v>
        <stp/>
        <stp>BDH|3466919679651819264</stp>
        <tr r="F20" s="26"/>
      </tp>
      <tp t="e">
        <v>#N/A</v>
        <stp/>
        <stp>BDH|3322991805877953341</stp>
        <tr r="L56" s="24"/>
      </tp>
      <tp t="e">
        <v>#N/A</v>
        <stp/>
        <stp>BDH|4180336936613001967</stp>
        <tr r="V6" s="2"/>
        <tr r="U6" s="5"/>
        <tr r="U6" s="9"/>
        <tr r="W12" s="8"/>
        <tr r="V10" s="29"/>
        <tr r="V19" s="29"/>
        <tr r="V25" s="29"/>
      </tp>
      <tp t="e">
        <v>#N/A</v>
        <stp/>
        <stp>BDH|9275301006732180677</stp>
        <tr r="G53" s="12"/>
      </tp>
      <tp t="e">
        <v>#N/A</v>
        <stp/>
        <stp>BDH|2337969280854687914</stp>
        <tr r="Z20" s="14"/>
      </tp>
      <tp t="e">
        <v>#N/A</v>
        <stp/>
        <stp>BDH|6513065688928107883</stp>
        <tr r="U8" s="24"/>
      </tp>
      <tp t="e">
        <v>#N/A</v>
        <stp/>
        <stp>BDH|9897772782209728185</stp>
        <tr r="Y41" s="34"/>
      </tp>
      <tp t="e">
        <v>#N/A</v>
        <stp/>
        <stp>BDH|4313877002022272070</stp>
        <tr r="V12" s="3"/>
        <tr r="T55" s="10"/>
        <tr r="T47" s="11"/>
        <tr r="T7" s="7"/>
      </tp>
      <tp t="e">
        <v>#N/A</v>
        <stp/>
        <stp>BDH|3159672119553816942</stp>
        <tr r="I24" s="13"/>
      </tp>
      <tp t="e">
        <v>#N/A</v>
        <stp/>
        <stp>BDH|5455481802319566681</stp>
        <tr r="V47" s="21"/>
      </tp>
      <tp t="e">
        <v>#N/A</v>
        <stp/>
        <stp>BDH|4263716798654137097</stp>
        <tr r="O14" s="28"/>
      </tp>
      <tp t="e">
        <v>#N/A</v>
        <stp/>
        <stp>BDH|2284555400501222868</stp>
        <tr r="G140" s="18"/>
      </tp>
      <tp t="e">
        <v>#N/A</v>
        <stp/>
        <stp>BDH|2978556047509905416</stp>
        <tr r="J84" s="12"/>
      </tp>
      <tp t="e">
        <v>#N/A</v>
        <stp/>
        <stp>BDH|3407967450107149600</stp>
        <tr r="M21" s="17"/>
        <tr r="M15" s="3"/>
      </tp>
      <tp t="e">
        <v>#N/A</v>
        <stp/>
        <stp>BDH|8419254414123634605</stp>
        <tr r="J7" s="30"/>
      </tp>
      <tp t="e">
        <v>#N/A</v>
        <stp/>
        <stp>BDH|5547607605554301903</stp>
        <tr r="I120" s="18"/>
      </tp>
      <tp t="e">
        <v>#N/A</v>
        <stp/>
        <stp>BDH|2606309140368180347</stp>
        <tr r="I15" s="18"/>
      </tp>
      <tp t="e">
        <v>#N/A</v>
        <stp/>
        <stp>BDH|9575196602260434695</stp>
        <tr r="L32" s="26"/>
      </tp>
      <tp t="e">
        <v>#N/A</v>
        <stp/>
        <stp>BDH|6222552108604510992</stp>
        <tr r="X41" s="18"/>
      </tp>
      <tp t="e">
        <v>#N/A</v>
        <stp/>
        <stp>BDH|4598159303478630362</stp>
        <tr r="I26" s="22"/>
      </tp>
      <tp t="e">
        <v>#N/A</v>
        <stp/>
        <stp>BDH|9635272152820792074</stp>
        <tr r="Y29" s="21"/>
      </tp>
      <tp t="e">
        <v>#N/A</v>
        <stp/>
        <stp>BDH|4561676497365213046</stp>
        <tr r="Z93" s="18"/>
      </tp>
      <tp t="e">
        <v>#N/A</v>
        <stp/>
        <stp>BDH|8646683826313212191</stp>
        <tr r="O36" s="34"/>
      </tp>
      <tp t="e">
        <v>#N/A</v>
        <stp/>
        <stp>BDH|4980740673123561988</stp>
        <tr r="L82" s="18"/>
      </tp>
      <tp t="e">
        <v>#N/A</v>
        <stp/>
        <stp>BDH|9950001126344862146</stp>
        <tr r="L42" s="10"/>
        <tr r="L34" s="11"/>
      </tp>
      <tp t="e">
        <v>#N/A</v>
        <stp/>
        <stp>BDH|3540155492223369622</stp>
        <tr r="Y32" s="17"/>
      </tp>
      <tp t="e">
        <v>#N/A</v>
        <stp/>
        <stp>BDH|5569154983102705075</stp>
        <tr r="D57" s="12"/>
      </tp>
      <tp t="e">
        <v>#N/A</v>
        <stp/>
        <stp>BDH|6595408606474343837</stp>
        <tr r="O25" s="3"/>
      </tp>
      <tp t="e">
        <v>#N/A</v>
        <stp/>
        <stp>BDH|8247113142310518373</stp>
        <tr r="E33" s="9"/>
      </tp>
      <tp t="e">
        <v>#N/A</v>
        <stp/>
        <stp>BDH|9213169513285249267</stp>
        <tr r="AA114" s="18"/>
      </tp>
      <tp t="e">
        <v>#N/A</v>
        <stp/>
        <stp>BDH|4994137126790976967</stp>
        <tr r="K20" s="27"/>
      </tp>
      <tp t="e">
        <v>#N/A</v>
        <stp/>
        <stp>BDH|8510206446773497341</stp>
        <tr r="O86" s="18"/>
      </tp>
      <tp t="e">
        <v>#N/A</v>
        <stp/>
        <stp>BDH|1900002416208413689</stp>
        <tr r="E16" s="2"/>
        <tr r="E32" s="4"/>
        <tr r="E62" s="10"/>
        <tr r="G19" s="13"/>
      </tp>
      <tp t="e">
        <v>#N/A</v>
        <stp/>
        <stp>BDH|2534757729141848829</stp>
        <tr r="Q23" s="12"/>
      </tp>
      <tp t="e">
        <v>#N/A</v>
        <stp/>
        <stp>BDH|2414108388433701686</stp>
        <tr r="P22" s="6"/>
      </tp>
      <tp t="e">
        <v>#N/A</v>
        <stp/>
        <stp>BDH|4367832556700311769</stp>
        <tr r="T10" s="13"/>
      </tp>
      <tp t="e">
        <v>#N/A</v>
        <stp/>
        <stp>BDH|1566201010484200848</stp>
        <tr r="J23" s="5"/>
        <tr r="J23" s="9"/>
      </tp>
      <tp t="e">
        <v>#N/A</v>
        <stp/>
        <stp>BDH|9158994890342290591</stp>
        <tr r="T87" s="12"/>
      </tp>
      <tp t="e">
        <v>#N/A</v>
        <stp/>
        <stp>BDH|9768634469586643189</stp>
        <tr r="C20" s="10"/>
      </tp>
      <tp t="e">
        <v>#N/A</v>
        <stp/>
        <stp>BDH|8263424905214397653</stp>
        <tr r="Q11" s="13"/>
      </tp>
      <tp t="e">
        <v>#N/A</v>
        <stp/>
        <stp>BDH|4594136802708723300</stp>
        <tr r="V6" s="28"/>
      </tp>
      <tp t="e">
        <v>#N/A</v>
        <stp/>
        <stp>BDH|3999420654385931954</stp>
        <tr r="H32" s="6"/>
      </tp>
      <tp t="e">
        <v>#N/A</v>
        <stp/>
        <stp>BDH|1835611188912058323</stp>
        <tr r="AA10" s="34"/>
      </tp>
      <tp t="e">
        <v>#N/A</v>
        <stp/>
        <stp>BDH|4664999326141230081</stp>
        <tr r="X15" s="21"/>
      </tp>
      <tp t="e">
        <v>#N/A</v>
        <stp/>
        <stp>BDH|4852537764809869040</stp>
        <tr r="J30" s="5"/>
        <tr r="J30" s="9"/>
      </tp>
      <tp t="e">
        <v>#N/A</v>
        <stp/>
        <stp>BDH|1797618921848005345</stp>
        <tr r="S52" s="12"/>
      </tp>
      <tp t="e">
        <v>#N/A</v>
        <stp/>
        <stp>BDH|4480972213053107125</stp>
        <tr r="L22" s="22"/>
      </tp>
      <tp t="e">
        <v>#N/A</v>
        <stp/>
        <stp>BDH|9151455849213798494</stp>
        <tr r="F24" s="17"/>
      </tp>
      <tp t="e">
        <v>#N/A</v>
        <stp/>
        <stp>BDH|9717401284229702243</stp>
        <tr r="W57" s="12"/>
      </tp>
      <tp t="e">
        <v>#N/A</v>
        <stp/>
        <stp>BDH|4478427058679603287</stp>
        <tr r="D11" s="13"/>
      </tp>
      <tp t="e">
        <v>#N/A</v>
        <stp/>
        <stp>BDH|8148066664754316405</stp>
        <tr r="L56" s="17"/>
      </tp>
      <tp t="e">
        <v>#N/A</v>
        <stp/>
        <stp>BDH|3591940223503248508</stp>
        <tr r="G87" s="12"/>
      </tp>
      <tp t="e">
        <v>#N/A</v>
        <stp/>
        <stp>BDH|8664693027532163095</stp>
        <tr r="Z12" s="17"/>
      </tp>
      <tp t="e">
        <v>#N/A</v>
        <stp/>
        <stp>BDH|1391548997394994798</stp>
        <tr r="G14" s="4"/>
      </tp>
      <tp t="e">
        <v>#N/A</v>
        <stp/>
        <stp>BDH|7831111779108816781</stp>
        <tr r="Z16" s="14"/>
      </tp>
      <tp t="e">
        <v>#N/A</v>
        <stp/>
        <stp>BDH|4389459076970181913</stp>
        <tr r="F29" s="21"/>
      </tp>
      <tp t="e">
        <v>#N/A</v>
        <stp/>
        <stp>BDH|7581928273451615627</stp>
        <tr r="S33" s="17"/>
      </tp>
      <tp t="e">
        <v>#N/A</v>
        <stp/>
        <stp>BDH|5125050815222744866</stp>
        <tr r="S23" s="21"/>
      </tp>
      <tp t="e">
        <v>#N/A</v>
        <stp/>
        <stp>BDH|5100879435515194520</stp>
        <tr r="S129" s="18"/>
      </tp>
      <tp t="e">
        <v>#N/A</v>
        <stp/>
        <stp>BDH|8325640537374408744</stp>
        <tr r="G22" s="12"/>
      </tp>
      <tp t="e">
        <v>#N/A</v>
        <stp/>
        <stp>BDH|1710037230448232465</stp>
        <tr r="X40" s="22"/>
      </tp>
      <tp t="e">
        <v>#N/A</v>
        <stp/>
        <stp>BDH|2122612287546418430</stp>
        <tr r="O39" s="26"/>
      </tp>
      <tp t="e">
        <v>#N/A</v>
        <stp/>
        <stp>BDH|9201844790277729110</stp>
        <tr r="H29" s="4"/>
      </tp>
      <tp t="e">
        <v>#N/A</v>
        <stp/>
        <stp>BDH|8684245805620152469</stp>
        <tr r="R8" s="2"/>
      </tp>
      <tp t="e">
        <v>#N/A</v>
        <stp/>
        <stp>BDH|9845195266268422838</stp>
        <tr r="J27" s="17"/>
      </tp>
      <tp t="e">
        <v>#N/A</v>
        <stp/>
        <stp>BDH|4249479583045128377</stp>
        <tr r="P20" s="27"/>
      </tp>
      <tp t="e">
        <v>#N/A</v>
        <stp/>
        <stp>BDH|6299928634254131658</stp>
        <tr r="E13" s="5"/>
      </tp>
      <tp t="e">
        <v>#N/A</v>
        <stp/>
        <stp>BDH|9360236575741047359</stp>
        <tr r="V124" s="18"/>
      </tp>
      <tp t="e">
        <v>#N/A</v>
        <stp/>
        <stp>BDH|6542928809343654280</stp>
        <tr r="I58" s="12"/>
      </tp>
      <tp t="e">
        <v>#N/A</v>
        <stp/>
        <stp>BDH|9368669879690823641</stp>
        <tr r="X27" s="26"/>
      </tp>
      <tp t="e">
        <v>#N/A</v>
        <stp/>
        <stp>BDH|8764680778370203758</stp>
        <tr r="L60" s="13"/>
      </tp>
      <tp t="e">
        <v>#N/A</v>
        <stp/>
        <stp>BDH|9400003633542685613</stp>
        <tr r="V83" s="17"/>
      </tp>
      <tp t="e">
        <v>#N/A</v>
        <stp/>
        <stp>BDH|5348822617452082067</stp>
        <tr r="S13" s="21"/>
      </tp>
      <tp t="e">
        <v>#N/A</v>
        <stp/>
        <stp>BDH|8391404857533448400</stp>
        <tr r="V90" s="18"/>
      </tp>
      <tp t="e">
        <v>#N/A</v>
        <stp/>
        <stp>BDH|8111012370065289427</stp>
        <tr r="Z10" s="17"/>
      </tp>
      <tp t="e">
        <v>#N/A</v>
        <stp/>
        <stp>BDH|5172308243779139537</stp>
        <tr r="L33" s="22"/>
      </tp>
      <tp t="e">
        <v>#N/A</v>
        <stp/>
        <stp>BDH|3084420886746037740</stp>
        <tr r="H67" s="12"/>
      </tp>
      <tp t="e">
        <v>#N/A</v>
        <stp/>
        <stp>BDH|1701328337277746851</stp>
        <tr r="Y83" s="18"/>
      </tp>
      <tp t="e">
        <v>#N/A</v>
        <stp/>
        <stp>BDH|4841280142894316812</stp>
        <tr r="Y22" s="12"/>
      </tp>
      <tp t="e">
        <v>#N/A</v>
        <stp/>
        <stp>BDH|9486732533040539317</stp>
        <tr r="K9" s="30"/>
      </tp>
      <tp t="e">
        <v>#N/A</v>
        <stp/>
        <stp>BDH|9901298845237615635</stp>
        <tr r="L25" s="12"/>
      </tp>
      <tp t="e">
        <v>#N/A</v>
        <stp/>
        <stp>BDH|5272550367840878899</stp>
        <tr r="Y72" s="10"/>
        <tr r="Y64" s="11"/>
      </tp>
      <tp t="e">
        <v>#N/A</v>
        <stp/>
        <stp>BDH|2432668087451372378</stp>
        <tr r="E16" s="22"/>
      </tp>
      <tp t="e">
        <v>#N/A</v>
        <stp/>
        <stp>BDH|4605432684426027004</stp>
        <tr r="M22" s="14"/>
      </tp>
      <tp t="e">
        <v>#N/A</v>
        <stp/>
        <stp>BDH|5029773888174901070</stp>
        <tr r="H66" s="12"/>
      </tp>
      <tp t="e">
        <v>#N/A</v>
        <stp/>
        <stp>BDH|9609383024394382288</stp>
        <tr r="K7" s="17"/>
      </tp>
      <tp t="e">
        <v>#N/A</v>
        <stp/>
        <stp>BDH|6440752656028479221</stp>
        <tr r="V11" s="22"/>
      </tp>
      <tp t="e">
        <v>#N/A</v>
        <stp/>
        <stp>BDH|7678340576674432912</stp>
        <tr r="T27" s="10"/>
        <tr r="V33" s="13"/>
      </tp>
      <tp t="e">
        <v>#N/A</v>
        <stp/>
        <stp>BDH|9467013005357611074</stp>
        <tr r="X61" s="12"/>
      </tp>
      <tp t="e">
        <v>#N/A</v>
        <stp/>
        <stp>BDH|2939151668568123346</stp>
        <tr r="Z61" s="13"/>
      </tp>
      <tp t="e">
        <v>#N/A</v>
        <stp/>
        <stp>BDH|8662140211590728653</stp>
        <tr r="O30" s="5"/>
        <tr r="O30" s="9"/>
      </tp>
      <tp t="e">
        <v>#N/A</v>
        <stp/>
        <stp>BDH|5536491497496275083</stp>
        <tr r="Q13" s="11"/>
      </tp>
      <tp t="e">
        <v>#N/A</v>
        <stp/>
        <stp>BDH|5442917356961469669</stp>
        <tr r="Y60" s="24"/>
      </tp>
      <tp t="e">
        <v>#N/A</v>
        <stp/>
        <stp>BDH|8983262151245948469</stp>
        <tr r="C37" s="24"/>
      </tp>
      <tp t="e">
        <v>#N/A</v>
        <stp/>
        <stp>BDH|4077371647585311827</stp>
        <tr r="L31" s="21"/>
      </tp>
      <tp t="e">
        <v>#N/A</v>
        <stp/>
        <stp>BDH|3391585872987831802</stp>
        <tr r="S39" s="25"/>
        <tr r="S7" s="3"/>
        <tr r="Q18" s="11"/>
        <tr r="S22" s="13"/>
        <tr r="S7" s="13"/>
      </tp>
      <tp t="e">
        <v>#N/A</v>
        <stp/>
        <stp>BDH|5410145159799811606</stp>
        <tr r="T126" s="18"/>
      </tp>
      <tp t="e">
        <v>#N/A</v>
        <stp/>
        <stp>BDH|5518914920076405612</stp>
        <tr r="H39" s="6"/>
      </tp>
      <tp t="e">
        <v>#N/A</v>
        <stp/>
        <stp>BDH|9618337806496120237</stp>
        <tr r="S40" s="34"/>
      </tp>
      <tp t="e">
        <v>#N/A</v>
        <stp/>
        <stp>BDH|6105313492830757248</stp>
        <tr r="O106" s="18"/>
      </tp>
      <tp t="e">
        <v>#N/A</v>
        <stp/>
        <stp>BDH|2602112660213712817</stp>
        <tr r="AA16" s="18"/>
      </tp>
      <tp t="e">
        <v>#N/A</v>
        <stp/>
        <stp>BDH|9647027813471638702</stp>
        <tr r="N62" s="21"/>
      </tp>
      <tp t="e">
        <v>#N/A</v>
        <stp/>
        <stp>BDH|7747265210699782379</stp>
        <tr r="V58" s="18"/>
      </tp>
      <tp t="e">
        <v>#N/A</v>
        <stp/>
        <stp>BDH|3835717096502702198</stp>
        <tr r="K20" s="12"/>
      </tp>
      <tp t="e">
        <v>#N/A</v>
        <stp/>
        <stp>BDH|7292532301328953484</stp>
        <tr r="Q85" s="12"/>
      </tp>
      <tp t="e">
        <v>#N/A</v>
        <stp/>
        <stp>BDH|3332239533284505871</stp>
        <tr r="M54" s="21"/>
      </tp>
      <tp t="e">
        <v>#N/A</v>
        <stp/>
        <stp>BDH|3539212267758431168</stp>
        <tr r="T13" s="25"/>
      </tp>
      <tp t="e">
        <v>#N/A</v>
        <stp/>
        <stp>BDH|7077569505535609946</stp>
        <tr r="T38" s="18"/>
      </tp>
      <tp t="e">
        <v>#N/A</v>
        <stp/>
        <stp>BDH|3138942046082597274</stp>
        <tr r="Q71" s="12"/>
      </tp>
      <tp t="e">
        <v>#N/A</v>
        <stp/>
        <stp>BDH|4786373116761303940</stp>
        <tr r="Q16" s="17"/>
        <tr r="Q19" s="28"/>
      </tp>
      <tp t="e">
        <v>#N/A</v>
        <stp/>
        <stp>BDH|2611316706896612962</stp>
        <tr r="V100" s="18"/>
        <tr r="V9" s="20"/>
      </tp>
      <tp t="e">
        <v>#N/A</v>
        <stp/>
        <stp>BDH|4067460562931539900</stp>
        <tr r="V70" s="12"/>
      </tp>
      <tp t="e">
        <v>#N/A</v>
        <stp/>
        <stp>BDH|9867287726186084176</stp>
        <tr r="T14" s="4"/>
      </tp>
      <tp t="e">
        <v>#N/A</v>
        <stp/>
        <stp>BDH|2155862220072446452</stp>
        <tr r="V44" s="13"/>
      </tp>
      <tp t="e">
        <v>#N/A</v>
        <stp/>
        <stp>BDH|7168519984914377010</stp>
        <tr r="N25" s="3"/>
      </tp>
      <tp t="e">
        <v>#N/A</v>
        <stp/>
        <stp>BDH|4183426990897442013</stp>
        <tr r="V73" s="17"/>
      </tp>
      <tp t="e">
        <v>#N/A</v>
        <stp/>
        <stp>BDH|8807495747240238625</stp>
        <tr r="K39" s="6"/>
      </tp>
      <tp t="e">
        <v>#N/A</v>
        <stp/>
        <stp>BDH|4493254792815507405</stp>
        <tr r="U76" s="12"/>
      </tp>
      <tp t="e">
        <v>#N/A</v>
        <stp/>
        <stp>BDH|6697558486656145323</stp>
        <tr r="P62" s="13"/>
      </tp>
      <tp t="e">
        <v>#N/A</v>
        <stp/>
        <stp>BDH|1212041061498073113</stp>
        <tr r="I20" s="18"/>
      </tp>
      <tp t="e">
        <v>#N/A</v>
        <stp/>
        <stp>BDH|5241864364621635406</stp>
        <tr r="X32" s="22"/>
      </tp>
      <tp t="e">
        <v>#N/A</v>
        <stp/>
        <stp>BDH|7360032734623480969</stp>
        <tr r="W89" s="24"/>
      </tp>
      <tp t="e">
        <v>#N/A</v>
        <stp/>
        <stp>BDH|7397069724222297958</stp>
        <tr r="Z35" s="14"/>
      </tp>
      <tp t="e">
        <v>#N/A</v>
        <stp/>
        <stp>BDH|6605303976678254442</stp>
        <tr r="L7" s="17"/>
      </tp>
      <tp t="e">
        <v>#N/A</v>
        <stp/>
        <stp>BDH|7364462690790204411</stp>
        <tr r="Z60" s="17"/>
      </tp>
      <tp t="e">
        <v>#N/A</v>
        <stp/>
        <stp>BDH|3600484463848288791</stp>
        <tr r="N80" s="18"/>
      </tp>
      <tp t="e">
        <v>#N/A</v>
        <stp/>
        <stp>BDH|7851775098561672676</stp>
        <tr r="Y63" s="12"/>
      </tp>
      <tp t="e">
        <v>#N/A</v>
        <stp/>
        <stp>BDH|3189624731869188158</stp>
        <tr r="P61" s="11"/>
      </tp>
      <tp t="e">
        <v>#N/A</v>
        <stp/>
        <stp>BDH|3445226417726732801</stp>
        <tr r="Q8" s="26"/>
        <tr r="N10" s="9"/>
      </tp>
      <tp t="e">
        <v>#N/A</v>
        <stp/>
        <stp>BDH|4901780511568059467</stp>
        <tr r="P56" s="24"/>
      </tp>
      <tp t="e">
        <v>#N/A</v>
        <stp/>
        <stp>BDH|9440775757265374012</stp>
        <tr r="T39" s="17"/>
      </tp>
      <tp t="e">
        <v>#N/A</v>
        <stp/>
        <stp>BDH|1219546854136414901</stp>
        <tr r="Z6" s="28"/>
      </tp>
      <tp t="e">
        <v>#N/A</v>
        <stp/>
        <stp>BDH|8241177315064114274</stp>
        <tr r="Q50" s="4"/>
      </tp>
      <tp t="e">
        <v>#N/A</v>
        <stp/>
        <stp>BDH|3053093051080798899</stp>
        <tr r="C53" s="6"/>
        <tr r="E10" s="8"/>
      </tp>
      <tp t="e">
        <v>#N/A</v>
        <stp/>
        <stp>BDH|7161803161890092762</stp>
        <tr r="H117" s="18"/>
      </tp>
      <tp t="e">
        <v>#N/A</v>
        <stp/>
        <stp>BDH|1701926723944617067</stp>
        <tr r="R8" s="12"/>
      </tp>
      <tp t="e">
        <v>#N/A</v>
        <stp/>
        <stp>BDH|8065242447027398764</stp>
        <tr r="G34" s="24"/>
      </tp>
      <tp t="e">
        <v>#N/A</v>
        <stp/>
        <stp>BDH|3334114452939776011</stp>
        <tr r="I11" s="28"/>
      </tp>
      <tp t="e">
        <v>#N/A</v>
        <stp/>
        <stp>BDH|2734120858441299996</stp>
        <tr r="I40" s="21"/>
      </tp>
      <tp t="e">
        <v>#N/A</v>
        <stp/>
        <stp>BDH|9638637330186088435</stp>
        <tr r="P85" s="18"/>
      </tp>
      <tp t="e">
        <v>#N/A</v>
        <stp/>
        <stp>BDH|9579257226413299426</stp>
        <tr r="V60" s="17"/>
      </tp>
      <tp t="e">
        <v>#N/A</v>
        <stp/>
        <stp>BDH|5445979736471315002</stp>
        <tr r="V108" s="18"/>
      </tp>
      <tp t="e">
        <v>#N/A</v>
        <stp/>
        <stp>BDH|4110755774928369251</stp>
        <tr r="H12" s="26"/>
      </tp>
      <tp t="e">
        <v>#N/A</v>
        <stp/>
        <stp>BDH|5314145994767201479</stp>
        <tr r="K9" s="26"/>
      </tp>
      <tp t="e">
        <v>#N/A</v>
        <stp/>
        <stp>BDH|5749516872769793051</stp>
        <tr r="T22" s="21"/>
      </tp>
      <tp t="e">
        <v>#N/A</v>
        <stp/>
        <stp>BDH|4700969002433413011</stp>
        <tr r="D11" s="30"/>
      </tp>
      <tp t="e">
        <v>#N/A</v>
        <stp/>
        <stp>BDH|5344046812852722845</stp>
        <tr r="E25" s="7"/>
      </tp>
      <tp t="e">
        <v>#N/A</v>
        <stp/>
        <stp>BDH|3146849631525154331</stp>
        <tr r="R30" s="17"/>
      </tp>
      <tp t="e">
        <v>#N/A</v>
        <stp/>
        <stp>BDH|3298477011571138934</stp>
        <tr r="O55" s="24"/>
      </tp>
      <tp t="e">
        <v>#N/A</v>
        <stp/>
        <stp>BDH|6415913319752210288</stp>
        <tr r="R40" s="22"/>
      </tp>
      <tp t="e">
        <v>#N/A</v>
        <stp/>
        <stp>BDH|9193411937822342228</stp>
        <tr r="O47" s="17"/>
      </tp>
      <tp t="e">
        <v>#N/A</v>
        <stp/>
        <stp>BDH|2344238871108329140</stp>
        <tr r="C31" s="17"/>
      </tp>
      <tp t="e">
        <v>#N/A</v>
        <stp/>
        <stp>BDH|9523681663524987311</stp>
        <tr r="J67" s="10"/>
      </tp>
      <tp t="e">
        <v>#N/A</v>
        <stp/>
        <stp>BDH|5137368148065802914</stp>
        <tr r="U41" s="34"/>
      </tp>
      <tp t="e">
        <v>#N/A</v>
        <stp/>
        <stp>BDH|8095358520250599765</stp>
        <tr r="N93" s="17"/>
      </tp>
      <tp t="e">
        <v>#N/A</v>
        <stp/>
        <stp>BDH|3654599568888594642</stp>
        <tr r="L32" s="5"/>
      </tp>
      <tp t="e">
        <v>#N/A</v>
        <stp/>
        <stp>BDH|7770241821960251965</stp>
        <tr r="V75" s="24"/>
      </tp>
      <tp t="e">
        <v>#N/A</v>
        <stp/>
        <stp>BDH|6683273951406612901</stp>
        <tr r="Z42" s="34"/>
      </tp>
      <tp t="e">
        <v>#N/A</v>
        <stp/>
        <stp>BDH|2998005043490529894</stp>
        <tr r="U89" s="24"/>
      </tp>
      <tp t="e">
        <v>#N/A</v>
        <stp/>
        <stp>BDH|7733150351259095449</stp>
        <tr r="X91" s="17"/>
        <tr r="X7" s="27"/>
      </tp>
      <tp t="e">
        <v>#N/A</v>
        <stp/>
        <stp>BDH|8829097273087570602</stp>
        <tr r="O15" s="9"/>
      </tp>
      <tp t="e">
        <v>#N/A</v>
        <stp/>
        <stp>BDH|8068231601946373269</stp>
        <tr r="U42" s="24"/>
      </tp>
      <tp t="e">
        <v>#N/A</v>
        <stp/>
        <stp>BDH|2063300856893685975</stp>
        <tr r="G21" s="3"/>
      </tp>
      <tp t="e">
        <v>#N/A</v>
        <stp/>
        <stp>BDH|5261752291611613470</stp>
        <tr r="D29" s="18"/>
      </tp>
      <tp t="e">
        <v>#N/A</v>
        <stp/>
        <stp>BDH|6223570883600759562</stp>
        <tr r="P56" s="11"/>
      </tp>
      <tp t="e">
        <v>#N/A</v>
        <stp/>
        <stp>BDH|5042140561384344810</stp>
        <tr r="S29" s="21"/>
      </tp>
      <tp t="e">
        <v>#N/A</v>
        <stp/>
        <stp>BDH|8810170473581837134</stp>
        <tr r="Q73" s="12"/>
      </tp>
      <tp t="e">
        <v>#N/A</v>
        <stp/>
        <stp>BDH|6874413600555871964</stp>
        <tr r="F50" s="18"/>
      </tp>
      <tp t="e">
        <v>#N/A</v>
        <stp/>
        <stp>BDH|3573301391536654154</stp>
        <tr r="AA19" s="12"/>
      </tp>
      <tp t="e">
        <v>#N/A</v>
        <stp/>
        <stp>BDH|7271690877368923024</stp>
        <tr r="M59" s="21"/>
        <tr r="K55" s="11"/>
      </tp>
      <tp t="e">
        <v>#N/A</v>
        <stp/>
        <stp>BDH|3798364088847823165</stp>
        <tr r="R8" s="14"/>
      </tp>
      <tp t="e">
        <v>#N/A</v>
        <stp/>
        <stp>BDH|7638634552738065204</stp>
        <tr r="I18" s="2"/>
        <tr r="I53" s="4"/>
        <tr r="I46" s="10"/>
        <tr r="I38" s="11"/>
        <tr r="K51" s="13"/>
      </tp>
      <tp t="e">
        <v>#N/A</v>
        <stp/>
        <stp>BDH|2869356259183710945</stp>
        <tr r="M33" s="14"/>
      </tp>
      <tp t="e">
        <v>#N/A</v>
        <stp/>
        <stp>BDH|1767652882479134866</stp>
        <tr r="U31" s="21"/>
      </tp>
      <tp t="e">
        <v>#N/A</v>
        <stp/>
        <stp>BDH|9074770705096771625</stp>
        <tr r="F34" s="26"/>
      </tp>
      <tp t="e">
        <v>#N/A</v>
        <stp/>
        <stp>BDH|8405896510236914931</stp>
        <tr r="S23" s="13"/>
      </tp>
      <tp t="e">
        <v>#N/A</v>
        <stp/>
        <stp>BDH|9441521139113816201</stp>
        <tr r="O19" s="22"/>
      </tp>
      <tp t="e">
        <v>#N/A</v>
        <stp/>
        <stp>BDH|6496832630117990497</stp>
        <tr r="R65" s="24"/>
      </tp>
      <tp t="e">
        <v>#N/A</v>
        <stp/>
        <stp>BDH|9115338283825016964</stp>
        <tr r="I82" s="24"/>
      </tp>
      <tp t="e">
        <v>#N/A</v>
        <stp/>
        <stp>BDH|2030141714069768500</stp>
        <tr r="Z31" s="24"/>
      </tp>
      <tp t="e">
        <v>#N/A</v>
        <stp/>
        <stp>BDH|1620454244437925897</stp>
        <tr r="F22" s="12"/>
      </tp>
      <tp t="e">
        <v>#N/A</v>
        <stp/>
        <stp>BDH|3200417045615114807</stp>
        <tr r="H32" s="22"/>
      </tp>
      <tp t="e">
        <v>#N/A</v>
        <stp/>
        <stp>BDH|1011814630681165572</stp>
        <tr r="T72" s="12"/>
      </tp>
      <tp t="e">
        <v>#N/A</v>
        <stp/>
        <stp>BDH|1911322143510704880</stp>
        <tr r="F18" s="13"/>
      </tp>
      <tp t="e">
        <v>#N/A</v>
        <stp/>
        <stp>BDH|5202844751177344137</stp>
        <tr r="U59" s="17"/>
      </tp>
      <tp t="e">
        <v>#N/A</v>
        <stp/>
        <stp>BDH|3202979662625821784</stp>
        <tr r="E57" s="6"/>
      </tp>
      <tp t="e">
        <v>#N/A</v>
        <stp/>
        <stp>BDH|2759137802615851899</stp>
        <tr r="P37" s="34"/>
      </tp>
      <tp t="e">
        <v>#N/A</v>
        <stp/>
        <stp>BDH|4677957032819644904</stp>
        <tr r="H40" s="22"/>
      </tp>
      <tp t="e">
        <v>#N/A</v>
        <stp/>
        <stp>BDH|9743488508097536457</stp>
        <tr r="L91" s="17"/>
        <tr r="L7" s="27"/>
      </tp>
      <tp t="e">
        <v>#N/A</v>
        <stp/>
        <stp>BDH|8741684962390983630</stp>
        <tr r="C22" s="30"/>
        <tr r="C24" s="23"/>
      </tp>
      <tp t="e">
        <v>#N/A</v>
        <stp/>
        <stp>BDH|3436733207383201958</stp>
        <tr r="N33" s="24"/>
      </tp>
      <tp t="e">
        <v>#N/A</v>
        <stp/>
        <stp>BDH|9676708035912193155</stp>
        <tr r="I47" s="24"/>
      </tp>
      <tp t="e">
        <v>#N/A</v>
        <stp/>
        <stp>BDH|4429882453577875008</stp>
        <tr r="F8" s="10"/>
      </tp>
      <tp t="e">
        <v>#N/A</v>
        <stp/>
        <stp>BDH|2317421990484783511</stp>
        <tr r="I24" s="17"/>
      </tp>
      <tp t="e">
        <v>#N/A</v>
        <stp/>
        <stp>BDH|6552289146557845940</stp>
        <tr r="G19" s="25"/>
      </tp>
      <tp t="e">
        <v>#N/A</v>
        <stp/>
        <stp>BDH|1487556183295652734</stp>
        <tr r="O7" s="23"/>
      </tp>
      <tp t="e">
        <v>#N/A</v>
        <stp/>
        <stp>BDH|5645797462892867820</stp>
        <tr r="M26" s="26"/>
      </tp>
      <tp t="e">
        <v>#N/A</v>
        <stp/>
        <stp>BDH|7828899156841484546</stp>
        <tr r="U13" s="2"/>
      </tp>
      <tp t="e">
        <v>#N/A</v>
        <stp/>
        <stp>BDH|5383883862184855163</stp>
        <tr r="F27" s="21"/>
      </tp>
      <tp t="e">
        <v>#N/A</v>
        <stp/>
        <stp>BDH|6040019297237822691</stp>
        <tr r="Q89" s="12"/>
      </tp>
      <tp t="e">
        <v>#N/A</v>
        <stp/>
        <stp>BDH|5192955575680653503</stp>
        <tr r="L19" s="10"/>
      </tp>
      <tp t="e">
        <v>#N/A</v>
        <stp/>
        <stp>BDH|8870450360502887625</stp>
        <tr r="I113" s="18"/>
      </tp>
      <tp t="e">
        <v>#N/A</v>
        <stp/>
        <stp>BDH|8927140244557607488</stp>
        <tr r="Y9" s="21"/>
      </tp>
      <tp t="e">
        <v>#N/A</v>
        <stp/>
        <stp>BDH|2278538159435805974</stp>
        <tr r="E81" s="12"/>
      </tp>
      <tp t="e">
        <v>#N/A</v>
        <stp/>
        <stp>BDH|4046806587848573253</stp>
        <tr r="M19" s="10"/>
      </tp>
      <tp t="e">
        <v>#N/A</v>
        <stp/>
        <stp>BDH|4608198006878416390</stp>
        <tr r="E93" s="17"/>
      </tp>
      <tp t="e">
        <v>#N/A</v>
        <stp/>
        <stp>BDH|5583631170879461367</stp>
        <tr r="Y10" s="28"/>
      </tp>
      <tp t="e">
        <v>#N/A</v>
        <stp/>
        <stp>BDH|9744171416671302613</stp>
        <tr r="V14" s="21"/>
      </tp>
      <tp t="e">
        <v>#N/A</v>
        <stp/>
        <stp>BDH|4413911532513663350</stp>
        <tr r="Y20" s="17"/>
      </tp>
      <tp t="e">
        <v>#N/A</v>
        <stp/>
        <stp>BDH|9765629117440386050</stp>
        <tr r="AA9" s="17"/>
      </tp>
      <tp t="e">
        <v>#N/A</v>
        <stp/>
        <stp>BDH|2330820100135025153</stp>
        <tr r="S46" s="13"/>
      </tp>
      <tp t="e">
        <v>#N/A</v>
        <stp/>
        <stp>BDH|7128668920958124522</stp>
        <tr r="W32" s="5"/>
      </tp>
      <tp t="e">
        <v>#N/A</v>
        <stp/>
        <stp>BDH|7627131948449846510</stp>
        <tr r="Q44" s="17"/>
      </tp>
      <tp t="e">
        <v>#N/A</v>
        <stp/>
        <stp>BDH|5683698168239238212</stp>
        <tr r="D24" s="10"/>
      </tp>
      <tp t="e">
        <v>#N/A</v>
        <stp/>
        <stp>BDH|9824543458593463441</stp>
        <tr r="O35" s="21"/>
      </tp>
      <tp t="e">
        <v>#N/A</v>
        <stp/>
        <stp>BDH|1227892804732878532</stp>
        <tr r="J20" s="29"/>
      </tp>
      <tp t="e">
        <v>#N/A</v>
        <stp/>
        <stp>BDH|5462722729568961625</stp>
        <tr r="E30" s="24"/>
      </tp>
      <tp t="e">
        <v>#N/A</v>
        <stp/>
        <stp>BDH|5309352557185738822</stp>
        <tr r="Y61" s="13"/>
      </tp>
      <tp t="e">
        <v>#N/A</v>
        <stp/>
        <stp>BDH|8359423113136225547</stp>
        <tr r="J51" s="6"/>
        <tr r="L6" s="8"/>
      </tp>
      <tp t="e">
        <v>#N/A</v>
        <stp/>
        <stp>BDH|3222905150784762514</stp>
        <tr r="Q57" s="17"/>
      </tp>
      <tp t="e">
        <v>#N/A</v>
        <stp/>
        <stp>BDH|9232634375025059300</stp>
        <tr r="N8" s="10"/>
      </tp>
      <tp t="e">
        <v>#N/A</v>
        <stp/>
        <stp>BDH|3480716600948852297</stp>
        <tr r="K27" s="7"/>
      </tp>
      <tp t="e">
        <v>#N/A</v>
        <stp/>
        <stp>BDH|9675302821363204513</stp>
        <tr r="F89" s="18"/>
      </tp>
      <tp t="e">
        <v>#N/A</v>
        <stp/>
        <stp>BDH|5678703435139097679</stp>
        <tr r="L38" s="22"/>
      </tp>
      <tp t="e">
        <v>#N/A</v>
        <stp/>
        <stp>BDH|6172940576507306146</stp>
        <tr r="C30" s="25"/>
        <tr r="C16" s="27"/>
      </tp>
      <tp t="e">
        <v>#N/A</v>
        <stp/>
        <stp>BDH|2861746199993985185</stp>
        <tr r="U87" s="12"/>
      </tp>
      <tp t="e">
        <v>#N/A</v>
        <stp/>
        <stp>BDH|5740317492114328534</stp>
        <tr r="Q20" s="27"/>
      </tp>
      <tp t="e">
        <v>#N/A</v>
        <stp/>
        <stp>BDH|2755826511903668668</stp>
        <tr r="S29" s="6"/>
      </tp>
      <tp t="e">
        <v>#N/A</v>
        <stp/>
        <stp>BDH|7415334462775040911</stp>
        <tr r="W26" s="17"/>
      </tp>
      <tp t="e">
        <v>#N/A</v>
        <stp/>
        <stp>BDH|3559117512449314411</stp>
        <tr r="O19" s="26"/>
      </tp>
      <tp t="e">
        <v>#N/A</v>
        <stp/>
        <stp>BDH|1277278839118090681</stp>
        <tr r="H10" s="28"/>
      </tp>
      <tp t="e">
        <v>#N/A</v>
        <stp/>
        <stp>BDH|6318720981185141252</stp>
        <tr r="L10" s="12"/>
      </tp>
      <tp t="e">
        <v>#N/A</v>
        <stp/>
        <stp>BDH|6982396420458164155</stp>
        <tr r="S13" s="5"/>
      </tp>
      <tp t="e">
        <v>#N/A</v>
        <stp/>
        <stp>BDH|6734341889594778799</stp>
        <tr r="H48" s="13"/>
      </tp>
      <tp t="e">
        <v>#N/A</v>
        <stp/>
        <stp>BDH|5852676578288680250</stp>
        <tr r="U34" s="18"/>
      </tp>
      <tp t="e">
        <v>#N/A</v>
        <stp/>
        <stp>BDH|5581748507969122533</stp>
        <tr r="C22" s="27"/>
      </tp>
      <tp t="e">
        <v>#N/A</v>
        <stp/>
        <stp>BDH|5192715261898288274</stp>
        <tr r="P23" s="24"/>
      </tp>
      <tp t="e">
        <v>#N/A</v>
        <stp/>
        <stp>BDH|2701454585575084532</stp>
        <tr r="E26" s="14"/>
      </tp>
      <tp t="e">
        <v>#N/A</v>
        <stp/>
        <stp>BDH|9699096219352253402</stp>
        <tr r="W11" s="17"/>
      </tp>
      <tp t="e">
        <v>#N/A</v>
        <stp/>
        <stp>BDH|5294187626148928016</stp>
        <tr r="R10" s="23"/>
      </tp>
      <tp t="e">
        <v>#N/A</v>
        <stp/>
        <stp>BDH|8117604850840071551</stp>
        <tr r="P135" s="18"/>
      </tp>
      <tp t="e">
        <v>#N/A</v>
        <stp/>
        <stp>BDH|9407104279948974900</stp>
        <tr r="N24" s="10"/>
      </tp>
      <tp t="e">
        <v>#N/A</v>
        <stp/>
        <stp>BDH|4847887038938502990</stp>
        <tr r="U64" s="10"/>
      </tp>
      <tp t="e">
        <v>#N/A</v>
        <stp/>
        <stp>BDH|4432431152828588348</stp>
        <tr r="J57" s="17"/>
      </tp>
      <tp t="e">
        <v>#N/A</v>
        <stp/>
        <stp>BDH|4240330304909018016</stp>
        <tr r="I56" s="13"/>
      </tp>
      <tp t="e">
        <v>#N/A</v>
        <stp/>
        <stp>BDH|6832993316599583967</stp>
        <tr r="D19" s="11"/>
      </tp>
      <tp t="e">
        <v>#N/A</v>
        <stp/>
        <stp>BDH|4241212760939320740</stp>
        <tr r="Y35" s="21"/>
      </tp>
      <tp t="e">
        <v>#N/A</v>
        <stp/>
        <stp>BDH|4636724284210180550</stp>
        <tr r="G134" s="18"/>
      </tp>
      <tp t="e">
        <v>#N/A</v>
        <stp/>
        <stp>BDH|6290948554664536039</stp>
        <tr r="O54" s="24"/>
      </tp>
      <tp t="e">
        <v>#N/A</v>
        <stp/>
        <stp>BDH|4759993651191837738</stp>
        <tr r="F37" s="24"/>
      </tp>
      <tp t="e">
        <v>#N/A</v>
        <stp/>
        <stp>BDH|6845975733885835706</stp>
        <tr r="C92" s="18"/>
      </tp>
      <tp t="e">
        <v>#N/A</v>
        <stp/>
        <stp>BDH|4061591819859219761</stp>
        <tr r="T17" s="13"/>
      </tp>
      <tp t="e">
        <v>#N/A</v>
        <stp/>
        <stp>BDH|3061222559709648398</stp>
        <tr r="F17" s="22"/>
      </tp>
      <tp t="e">
        <v>#N/A</v>
        <stp/>
        <stp>BDH|1955013446703882827</stp>
        <tr r="E13" s="20"/>
      </tp>
      <tp t="e">
        <v>#N/A</v>
        <stp/>
        <stp>BDH|7040875535123582129</stp>
        <tr r="J42" s="18"/>
      </tp>
      <tp t="e">
        <v>#N/A</v>
        <stp/>
        <stp>BDH|4212776887935698016</stp>
        <tr r="AA8" s="23"/>
      </tp>
      <tp t="e">
        <v>#N/A</v>
        <stp/>
        <stp>BDH|1088641390633485356</stp>
        <tr r="X58" s="18"/>
      </tp>
      <tp t="e">
        <v>#N/A</v>
        <stp/>
        <stp>BDH|9628685071270902634</stp>
        <tr r="V13" s="9"/>
      </tp>
      <tp t="e">
        <v>#N/A</v>
        <stp/>
        <stp>BDH|5995072259828622641</stp>
        <tr r="V34" s="9"/>
      </tp>
      <tp t="e">
        <v>#N/A</v>
        <stp/>
        <stp>BDH|1204369161263023909</stp>
        <tr r="G65" s="24"/>
      </tp>
      <tp t="e">
        <v>#N/A</v>
        <stp/>
        <stp>BDH|4931073598950401379</stp>
        <tr r="O10" s="28"/>
      </tp>
      <tp t="e">
        <v>#N/A</v>
        <stp/>
        <stp>BDH|3855737683564521686</stp>
        <tr r="D17" s="12"/>
      </tp>
      <tp t="e">
        <v>#N/A</v>
        <stp/>
        <stp>BDH|8224529204461489254</stp>
        <tr r="N79" s="12"/>
      </tp>
      <tp t="e">
        <v>#N/A</v>
        <stp/>
        <stp>BDH|8645179626166600348</stp>
        <tr r="L26" s="34"/>
      </tp>
      <tp t="e">
        <v>#N/A</v>
        <stp/>
        <stp>BDH|8199319850555588509</stp>
        <tr r="P31" s="9"/>
      </tp>
      <tp t="e">
        <v>#N/A</v>
        <stp/>
        <stp>BDH|3590884165834849755</stp>
        <tr r="F15" s="30"/>
      </tp>
      <tp t="e">
        <v>#N/A</v>
        <stp/>
        <stp>BDH|1533267222317685828</stp>
        <tr r="W25" s="18"/>
      </tp>
      <tp t="e">
        <v>#N/A</v>
        <stp/>
        <stp>BDH|5958601039457220975</stp>
        <tr r="N74" s="24"/>
      </tp>
      <tp t="e">
        <v>#N/A</v>
        <stp/>
        <stp>BDH|5558975672552753727</stp>
        <tr r="Y39" s="10"/>
        <tr r="Y31" s="11"/>
      </tp>
      <tp t="e">
        <v>#N/A</v>
        <stp/>
        <stp>BDH|7707303495237015476</stp>
        <tr r="Q36" s="12"/>
      </tp>
      <tp t="e">
        <v>#N/A</v>
        <stp/>
        <stp>BDH|1928109997923272493</stp>
        <tr r="D22" s="18"/>
      </tp>
      <tp t="e">
        <v>#N/A</v>
        <stp/>
        <stp>BDH|3066776597810083356</stp>
        <tr r="N33" s="5"/>
      </tp>
      <tp t="e">
        <v>#N/A</v>
        <stp/>
        <stp>BDH|6001899627366280494</stp>
        <tr r="H18" s="26"/>
      </tp>
      <tp t="e">
        <v>#N/A</v>
        <stp/>
        <stp>BDH|3935196635797578853</stp>
        <tr r="H12" s="14"/>
      </tp>
      <tp t="e">
        <v>#N/A</v>
        <stp/>
        <stp>BDH|7116003997728377804</stp>
        <tr r="Q97" s="18"/>
        <tr r="Q6" s="20"/>
      </tp>
      <tp t="e">
        <v>#N/A</v>
        <stp/>
        <stp>BDH|7533040686585747454</stp>
        <tr r="X120" s="18"/>
      </tp>
      <tp t="e">
        <v>#N/A</v>
        <stp/>
        <stp>BDH|4141173631038072029</stp>
        <tr r="N39" s="24"/>
      </tp>
      <tp t="e">
        <v>#N/A</v>
        <stp/>
        <stp>BDH|6180991098661377961</stp>
        <tr r="J78" s="12"/>
      </tp>
      <tp t="e">
        <v>#N/A</v>
        <stp/>
        <stp>BDH|8213430711933715020</stp>
        <tr r="Q14" s="12"/>
      </tp>
      <tp t="e">
        <v>#N/A</v>
        <stp/>
        <stp>BDH|7616124039473109898</stp>
        <tr r="V15" s="9"/>
      </tp>
      <tp t="e">
        <v>#N/A</v>
        <stp/>
        <stp>BDH|1089913076244304510</stp>
        <tr r="M13" s="17"/>
        <tr r="M16" s="28"/>
      </tp>
      <tp t="e">
        <v>#N/A</v>
        <stp/>
        <stp>BDH|9646218751066771643</stp>
        <tr r="V24" s="29"/>
      </tp>
      <tp t="e">
        <v>#N/A</v>
        <stp/>
        <stp>BDH|6260622737878060522</stp>
        <tr r="AA140" s="18"/>
      </tp>
      <tp t="e">
        <v>#N/A</v>
        <stp/>
        <stp>BDH|4566437519249296682</stp>
        <tr r="I28" s="25"/>
        <tr r="I14" s="27"/>
      </tp>
      <tp t="e">
        <v>#N/A</v>
        <stp/>
        <stp>BDH|7324950413808258927</stp>
        <tr r="U15" s="9"/>
      </tp>
      <tp t="e">
        <v>#N/A</v>
        <stp/>
        <stp>BDH|3202106166992017815</stp>
        <tr r="O56" s="18"/>
      </tp>
      <tp t="e">
        <v>#N/A</v>
        <stp/>
        <stp>BDH|4833875381718390282</stp>
        <tr r="L73" s="12"/>
      </tp>
      <tp t="e">
        <v>#N/A</v>
        <stp/>
        <stp>BDH|9915266377737996543</stp>
        <tr r="N117" s="18"/>
      </tp>
      <tp t="e">
        <v>#N/A</v>
        <stp/>
        <stp>BDH|9008544742935511361</stp>
        <tr r="R88" s="17"/>
      </tp>
      <tp t="e">
        <v>#N/A</v>
        <stp/>
        <stp>BDH|7503836631441388317</stp>
        <tr r="N10" s="2"/>
        <tr r="M11" s="5"/>
        <tr r="M55" s="6"/>
        <tr r="N33" s="29"/>
        <tr r="N42" s="29"/>
      </tp>
      <tp t="e">
        <v>#N/A</v>
        <stp/>
        <stp>BDH|7534310984564121648</stp>
        <tr r="I37" s="6"/>
      </tp>
      <tp t="e">
        <v>#N/A</v>
        <stp/>
        <stp>BDH|8335007122423284767</stp>
        <tr r="D21" s="3"/>
      </tp>
      <tp t="e">
        <v>#N/A</v>
        <stp/>
        <stp>BDH|2095345423048402562</stp>
        <tr r="U32" s="18"/>
      </tp>
      <tp t="e">
        <v>#N/A</v>
        <stp/>
        <stp>BDH|5201394286982924211</stp>
        <tr r="K14" s="12"/>
      </tp>
      <tp t="e">
        <v>#N/A</v>
        <stp/>
        <stp>BDH|5373928024798833885</stp>
        <tr r="AA67" s="18"/>
      </tp>
      <tp t="e">
        <v>#N/A</v>
        <stp/>
        <stp>BDH|26718085658209418</stp>
        <tr r="I13" s="21"/>
      </tp>
      <tp t="e">
        <v>#N/A</v>
        <stp/>
        <stp>BDH|27226838595134781</stp>
        <tr r="G53" s="24"/>
      </tp>
      <tp t="e">
        <v>#N/A</v>
        <stp/>
        <stp>BDH|50369703162738220</stp>
        <tr r="S105" s="18"/>
      </tp>
      <tp t="e">
        <v>#N/A</v>
        <stp/>
        <stp>BDH|42610814800020445</stp>
        <tr r="Y67" s="17"/>
        <tr r="V8" s="5"/>
        <tr r="V8" s="9"/>
      </tp>
      <tp t="e">
        <v>#N/A</v>
        <stp/>
        <stp>BDH|56465973048512811</stp>
        <tr r="W122" s="18"/>
      </tp>
      <tp t="e">
        <v>#N/A</v>
        <stp/>
        <stp>BDH|80450668637053626</stp>
        <tr r="V83" s="18"/>
      </tp>
      <tp t="e">
        <v>#N/A</v>
        <stp/>
        <stp>BDH|14026865665939022</stp>
        <tr r="H80" s="24"/>
      </tp>
      <tp t="e">
        <v>#N/A</v>
        <stp/>
        <stp>BDH|81668122582683591</stp>
        <tr r="D30" s="10"/>
        <tr r="F36" s="13"/>
      </tp>
      <tp t="e">
        <v>#N/A</v>
        <stp/>
        <stp>BDH|77862229201687814</stp>
        <tr r="S13" s="2"/>
      </tp>
      <tp t="e">
        <v>#N/A</v>
        <stp/>
        <stp>BDH|97151264431115588</stp>
        <tr r="Q135" s="18"/>
      </tp>
      <tp t="e">
        <v>#N/A</v>
        <stp/>
        <stp>BDH|3686350740888994308</stp>
        <tr r="F138" s="18"/>
      </tp>
      <tp t="e">
        <v>#N/A</v>
        <stp/>
        <stp>BDH|9653054278572665372</stp>
        <tr r="U44" s="21"/>
      </tp>
      <tp t="e">
        <v>#N/A</v>
        <stp/>
        <stp>BDH|1000927108285758273</stp>
        <tr r="M76" s="17"/>
        <tr r="M19" s="3"/>
      </tp>
      <tp t="e">
        <v>#N/A</v>
        <stp/>
        <stp>BDH|5164555947083876817</stp>
        <tr r="S66" s="24"/>
      </tp>
      <tp t="e">
        <v>#N/A</v>
        <stp/>
        <stp>BDH|4932469080345236278</stp>
        <tr r="R16" s="29"/>
        <tr r="R39" s="29"/>
      </tp>
      <tp t="e">
        <v>#N/A</v>
        <stp/>
        <stp>BDH|9860113635257229347</stp>
        <tr r="S26" s="18"/>
      </tp>
      <tp t="e">
        <v>#N/A</v>
        <stp/>
        <stp>BDH|6312877649317781208</stp>
        <tr r="T45" s="21"/>
      </tp>
      <tp t="e">
        <v>#N/A</v>
        <stp/>
        <stp>BDH|6407408982686993352</stp>
        <tr r="J12" s="21"/>
      </tp>
      <tp t="e">
        <v>#N/A</v>
        <stp/>
        <stp>BDH|4502131743667948966</stp>
        <tr r="AA32" s="22"/>
      </tp>
      <tp t="e">
        <v>#N/A</v>
        <stp/>
        <stp>BDH|9460212759541634006</stp>
        <tr r="R66" s="24"/>
      </tp>
      <tp t="e">
        <v>#N/A</v>
        <stp/>
        <stp>BDH|2486899645258334914</stp>
        <tr r="V12" s="18"/>
      </tp>
      <tp t="e">
        <v>#N/A</v>
        <stp/>
        <stp>BDH|9197329735717956155</stp>
        <tr r="X10" s="34"/>
      </tp>
      <tp t="e">
        <v>#N/A</v>
        <stp/>
        <stp>BDH|9288363977050195284</stp>
        <tr r="H49" s="6"/>
      </tp>
      <tp t="e">
        <v>#N/A</v>
        <stp/>
        <stp>BDH|5438506481457905068</stp>
        <tr r="C9" s="6"/>
      </tp>
      <tp t="e">
        <v>#N/A</v>
        <stp/>
        <stp>BDH|5943815430613388216</stp>
        <tr r="U17" s="21"/>
      </tp>
      <tp t="e">
        <v>#N/A</v>
        <stp/>
        <stp>BDH|6272981547737390340</stp>
        <tr r="Q73" s="18"/>
      </tp>
      <tp t="e">
        <v>#N/A</v>
        <stp/>
        <stp>BDH|3110354518837330956</stp>
        <tr r="P8" s="8"/>
      </tp>
      <tp t="e">
        <v>#N/A</v>
        <stp/>
        <stp>BDH|8649230778131793304</stp>
        <tr r="Q63" s="17"/>
      </tp>
      <tp t="e">
        <v>#N/A</v>
        <stp/>
        <stp>BDH|1914439351778868792</stp>
        <tr r="K15" s="10"/>
      </tp>
      <tp t="e">
        <v>#N/A</v>
        <stp/>
        <stp>BDH|7986005655055548833</stp>
        <tr r="T35" s="25"/>
      </tp>
      <tp t="e">
        <v>#N/A</v>
        <stp/>
        <stp>BDH|2122902275393613088</stp>
        <tr r="D21" s="10"/>
      </tp>
      <tp t="e">
        <v>#N/A</v>
        <stp/>
        <stp>BDH|8085991915018256746</stp>
        <tr r="V65" s="21"/>
      </tp>
      <tp t="e">
        <v>#N/A</v>
        <stp/>
        <stp>BDH|4836767431296235978</stp>
        <tr r="J7" s="17"/>
      </tp>
      <tp t="e">
        <v>#N/A</v>
        <stp/>
        <stp>BDH|1801646397413799267</stp>
        <tr r="C49" s="22"/>
      </tp>
      <tp t="e">
        <v>#N/A</v>
        <stp/>
        <stp>BDH|8919304657514086547</stp>
        <tr r="K57" s="6"/>
      </tp>
      <tp t="e">
        <v>#N/A</v>
        <stp/>
        <stp>BDH|3553615669015080976</stp>
        <tr r="O137" s="18"/>
      </tp>
      <tp t="e">
        <v>#N/A</v>
        <stp/>
        <stp>BDH|9536299052606658727</stp>
        <tr r="K55" s="17"/>
      </tp>
      <tp t="e">
        <v>#N/A</v>
        <stp/>
        <stp>BDH|2281855516731926539</stp>
        <tr r="T74" s="18"/>
      </tp>
      <tp t="e">
        <v>#N/A</v>
        <stp/>
        <stp>BDH|5609046522650837832</stp>
        <tr r="Z89" s="24"/>
      </tp>
      <tp t="e">
        <v>#N/A</v>
        <stp/>
        <stp>BDH|6943975246367139320</stp>
        <tr r="W41" s="21"/>
      </tp>
      <tp t="e">
        <v>#N/A</v>
        <stp/>
        <stp>BDH|6484869898080821893</stp>
        <tr r="L75" s="12"/>
      </tp>
      <tp t="e">
        <v>#N/A</v>
        <stp/>
        <stp>BDH|6857610162568267126</stp>
        <tr r="P84" s="17"/>
      </tp>
      <tp t="e">
        <v>#N/A</v>
        <stp/>
        <stp>BDH|8632168608906025030</stp>
        <tr r="P27" s="10"/>
        <tr r="R33" s="13"/>
      </tp>
      <tp t="e">
        <v>#N/A</v>
        <stp/>
        <stp>BDH|5659972738426651645</stp>
        <tr r="G90" s="24"/>
      </tp>
      <tp t="e">
        <v>#N/A</v>
        <stp/>
        <stp>BDH|5704154201363108894</stp>
        <tr r="G21" s="6"/>
      </tp>
      <tp t="e">
        <v>#N/A</v>
        <stp/>
        <stp>BDH|7181292617149017248</stp>
        <tr r="O65" s="24"/>
      </tp>
      <tp t="e">
        <v>#N/A</v>
        <stp/>
        <stp>BDH|3253789539320991814</stp>
        <tr r="I8" s="24"/>
      </tp>
      <tp t="e">
        <v>#N/A</v>
        <stp/>
        <stp>BDH|1576636798291211070</stp>
        <tr r="V60" s="13"/>
      </tp>
      <tp t="e">
        <v>#N/A</v>
        <stp/>
        <stp>BDH|4876632783724531164</stp>
        <tr r="G39" s="12"/>
      </tp>
      <tp t="e">
        <v>#N/A</v>
        <stp/>
        <stp>BDH|5493875852852224583</stp>
        <tr r="L21" s="14"/>
      </tp>
      <tp t="e">
        <v>#N/A</v>
        <stp/>
        <stp>BDH|1272974035392963622</stp>
        <tr r="J28" s="18"/>
      </tp>
      <tp t="e">
        <v>#N/A</v>
        <stp/>
        <stp>BDH|9812436532354149534</stp>
        <tr r="P55" s="13"/>
      </tp>
      <tp t="e">
        <v>#N/A</v>
        <stp/>
        <stp>BDH|8962625531425951785</stp>
        <tr r="M13" s="29"/>
        <tr r="M22" s="29"/>
        <tr r="M36" s="29"/>
      </tp>
      <tp t="e">
        <v>#N/A</v>
        <stp/>
        <stp>BDH|9965231827733268541</stp>
        <tr r="N14" s="11"/>
      </tp>
      <tp t="e">
        <v>#N/A</v>
        <stp/>
        <stp>BDH|3196084526616695825</stp>
        <tr r="J9" s="28"/>
      </tp>
      <tp t="e">
        <v>#N/A</v>
        <stp/>
        <stp>BDH|7475877025653592189</stp>
        <tr r="N83" s="24"/>
      </tp>
      <tp t="e">
        <v>#N/A</v>
        <stp/>
        <stp>BDH|4129013751446222881</stp>
        <tr r="K11" s="30"/>
      </tp>
      <tp t="e">
        <v>#N/A</v>
        <stp/>
        <stp>BDH|3597452129519127335</stp>
        <tr r="H78" s="18"/>
      </tp>
      <tp t="e">
        <v>#N/A</v>
        <stp/>
        <stp>BDH|9713014570976849751</stp>
        <tr r="Z32" s="18"/>
      </tp>
      <tp t="e">
        <v>#N/A</v>
        <stp/>
        <stp>BDH|8619079419302236411</stp>
        <tr r="T14" s="8"/>
      </tp>
      <tp t="e">
        <v>#N/A</v>
        <stp/>
        <stp>BDH|7084906655632954675</stp>
        <tr r="G85" s="12"/>
      </tp>
      <tp t="e">
        <v>#N/A</v>
        <stp/>
        <stp>BDH|7547484351889094079</stp>
        <tr r="C34" s="5"/>
        <tr r="D32" s="29"/>
      </tp>
      <tp t="e">
        <v>#N/A</v>
        <stp/>
        <stp>BDH|8031900499456354118</stp>
        <tr r="J62" s="13"/>
      </tp>
      <tp t="e">
        <v>#N/A</v>
        <stp/>
        <stp>BDH|8093308339110084722</stp>
        <tr r="P17" s="10"/>
      </tp>
      <tp t="e">
        <v>#N/A</v>
        <stp/>
        <stp>BDH|4436700980413889772</stp>
        <tr r="K9" s="2"/>
        <tr r="M8" s="25"/>
        <tr r="J10" s="5"/>
      </tp>
      <tp t="e">
        <v>#N/A</v>
        <stp/>
        <stp>BDH|5680889254830306724</stp>
        <tr r="F6" s="28"/>
      </tp>
      <tp t="e">
        <v>#N/A</v>
        <stp/>
        <stp>BDH|4192874295399969315</stp>
        <tr r="K115" s="18"/>
      </tp>
      <tp t="e">
        <v>#N/A</v>
        <stp/>
        <stp>BDH|2023686636939089158</stp>
        <tr r="N39" s="22"/>
      </tp>
      <tp t="e">
        <v>#N/A</v>
        <stp/>
        <stp>BDH|3986807001193400772</stp>
        <tr r="L48" s="6"/>
      </tp>
      <tp t="e">
        <v>#N/A</v>
        <stp/>
        <stp>BDH|8434401493309467388</stp>
        <tr r="N43" s="34"/>
      </tp>
      <tp t="e">
        <v>#N/A</v>
        <stp/>
        <stp>BDH|2715814491828850446</stp>
        <tr r="T34" s="22"/>
      </tp>
      <tp t="e">
        <v>#N/A</v>
        <stp/>
        <stp>BDH|5805059686211059300</stp>
        <tr r="C38" s="17"/>
      </tp>
      <tp t="e">
        <v>#N/A</v>
        <stp/>
        <stp>BDH|3082799322171291818</stp>
        <tr r="S69" s="12"/>
      </tp>
      <tp t="e">
        <v>#N/A</v>
        <stp/>
        <stp>BDH|9128735235862861078</stp>
        <tr r="H90" s="12"/>
      </tp>
      <tp t="e">
        <v>#N/A</v>
        <stp/>
        <stp>BDH|7477589898124496087</stp>
        <tr r="W20" s="9"/>
      </tp>
      <tp t="e">
        <v>#N/A</v>
        <stp/>
        <stp>BDH|6405616669511234860</stp>
        <tr r="Q66" s="12"/>
      </tp>
      <tp t="e">
        <v>#N/A</v>
        <stp/>
        <stp>BDH|6430038585363313299</stp>
        <tr r="D13" s="26"/>
      </tp>
      <tp t="e">
        <v>#N/A</v>
        <stp/>
        <stp>BDH|6189802524976448597</stp>
        <tr r="M29" s="12"/>
      </tp>
      <tp t="e">
        <v>#N/A</v>
        <stp/>
        <stp>BDH|5262984122612267320</stp>
        <tr r="F15" s="24"/>
      </tp>
      <tp t="e">
        <v>#N/A</v>
        <stp/>
        <stp>BDH|6870847124093049006</stp>
        <tr r="R44" s="6"/>
      </tp>
      <tp t="e">
        <v>#N/A</v>
        <stp/>
        <stp>BDH|8609113818721131662</stp>
        <tr r="N25" s="25"/>
        <tr r="N10" s="27"/>
      </tp>
      <tp t="e">
        <v>#N/A</v>
        <stp/>
        <stp>BDH|9537773778803359518</stp>
        <tr r="D18" s="20"/>
      </tp>
      <tp t="e">
        <v>#N/A</v>
        <stp/>
        <stp>BDH|2256981646770726035</stp>
        <tr r="R17" s="20"/>
      </tp>
      <tp t="e">
        <v>#N/A</v>
        <stp/>
        <stp>BDH|4406456195022801440</stp>
        <tr r="L38" s="34"/>
      </tp>
      <tp t="e">
        <v>#N/A</v>
        <stp/>
        <stp>BDH|2429298255803929996</stp>
        <tr r="U13" s="9"/>
      </tp>
      <tp t="e">
        <v>#N/A</v>
        <stp/>
        <stp>BDH|5171286392798728942</stp>
        <tr r="G30" s="26"/>
      </tp>
      <tp t="e">
        <v>#N/A</v>
        <stp/>
        <stp>BDH|4849157786623546167</stp>
        <tr r="E8" s="27"/>
      </tp>
      <tp t="e">
        <v>#N/A</v>
        <stp/>
        <stp>BDH|9521255341039877919</stp>
        <tr r="I72" s="10"/>
        <tr r="I64" s="11"/>
      </tp>
      <tp t="e">
        <v>#N/A</v>
        <stp/>
        <stp>BDH|5499074181363953132</stp>
        <tr r="T38" s="6"/>
      </tp>
      <tp t="e">
        <v>#N/A</v>
        <stp/>
        <stp>BDH|8409139069448646800</stp>
        <tr r="I69" s="18"/>
      </tp>
      <tp t="e">
        <v>#N/A</v>
        <stp/>
        <stp>BDH|3385320378549256130</stp>
        <tr r="M61" s="13"/>
      </tp>
      <tp t="e">
        <v>#N/A</v>
        <stp/>
        <stp>BDH|7987304587602655107</stp>
        <tr r="R24" s="10"/>
      </tp>
      <tp t="e">
        <v>#N/A</v>
        <stp/>
        <stp>BDH|6144608552219212397</stp>
        <tr r="U13" s="7"/>
      </tp>
      <tp t="e">
        <v>#N/A</v>
        <stp/>
        <stp>BDH|2959232277971573901</stp>
        <tr r="U25" s="9"/>
      </tp>
      <tp t="e">
        <v>#N/A</v>
        <stp/>
        <stp>BDH|3209672931409969058</stp>
        <tr r="K37" s="18"/>
      </tp>
      <tp t="e">
        <v>#N/A</v>
        <stp/>
        <stp>BDH|7798455948590418863</stp>
        <tr r="T23" s="5"/>
        <tr r="T23" s="9"/>
      </tp>
      <tp t="e">
        <v>#N/A</v>
        <stp/>
        <stp>BDH|2655970485009592597</stp>
        <tr r="X35" s="4"/>
      </tp>
      <tp t="e">
        <v>#N/A</v>
        <stp/>
        <stp>BDH|1402743786097716699</stp>
        <tr r="C34" s="26"/>
      </tp>
      <tp t="e">
        <v>#N/A</v>
        <stp/>
        <stp>BDH|8001520868604499065</stp>
        <tr r="K126" s="18"/>
      </tp>
      <tp t="e">
        <v>#N/A</v>
        <stp/>
        <stp>BDH|3691263517226919963</stp>
        <tr r="C18" s="13"/>
      </tp>
      <tp t="e">
        <v>#N/A</v>
        <stp/>
        <stp>BDH|7926392304999924251</stp>
        <tr r="P46" s="4"/>
        <tr r="P23" s="10"/>
        <tr r="R37" s="13"/>
      </tp>
      <tp t="e">
        <v>#N/A</v>
        <stp/>
        <stp>BDH|4068801572297905338</stp>
        <tr r="L24" s="5"/>
      </tp>
      <tp t="e">
        <v>#N/A</v>
        <stp/>
        <stp>BDH|5440516503439928679</stp>
        <tr r="Y22" s="11"/>
      </tp>
      <tp t="e">
        <v>#N/A</v>
        <stp/>
        <stp>BDH|3218846153166996742</stp>
        <tr r="G9" s="29"/>
      </tp>
      <tp t="e">
        <v>#N/A</v>
        <stp/>
        <stp>BDH|9673678339797120417</stp>
        <tr r="AA52" s="12"/>
      </tp>
      <tp t="e">
        <v>#N/A</v>
        <stp/>
        <stp>BDH|9827710436863664110</stp>
        <tr r="J27" s="34"/>
      </tp>
      <tp t="e">
        <v>#N/A</v>
        <stp/>
        <stp>BDH|6119691552888438267</stp>
        <tr r="Y44" s="22"/>
      </tp>
      <tp t="e">
        <v>#N/A</v>
        <stp/>
        <stp>BDH|1913335856658653028</stp>
        <tr r="D69" s="10"/>
      </tp>
      <tp t="e">
        <v>#N/A</v>
        <stp/>
        <stp>BDH|7761281940198308649</stp>
        <tr r="AA141" s="18"/>
      </tp>
      <tp t="e">
        <v>#N/A</v>
        <stp/>
        <stp>BDH|5375829847662920475</stp>
        <tr r="V30" s="17"/>
      </tp>
      <tp t="e">
        <v>#N/A</v>
        <stp/>
        <stp>BDH|8245958220279754585</stp>
        <tr r="I25" s="24"/>
      </tp>
      <tp t="e">
        <v>#N/A</v>
        <stp/>
        <stp>BDH|6668800801042791381</stp>
        <tr r="V6" s="27"/>
      </tp>
      <tp t="e">
        <v>#N/A</v>
        <stp/>
        <stp>BDH|7101326039998389019</stp>
        <tr r="K60" s="24"/>
      </tp>
      <tp t="e">
        <v>#N/A</v>
        <stp/>
        <stp>BDH|4730408284991393685</stp>
        <tr r="K52" s="17"/>
        <tr r="K10" s="25"/>
      </tp>
      <tp t="e">
        <v>#N/A</v>
        <stp/>
        <stp>BDH|3415954525534868348</stp>
        <tr r="W25" s="22"/>
      </tp>
      <tp t="e">
        <v>#N/A</v>
        <stp/>
        <stp>BDH|5264451759673055875</stp>
        <tr r="F30" s="10"/>
        <tr r="H36" s="13"/>
      </tp>
      <tp t="e">
        <v>#N/A</v>
        <stp/>
        <stp>BDH|9336001967559555983</stp>
        <tr r="D22" s="24"/>
      </tp>
      <tp t="e">
        <v>#N/A</v>
        <stp/>
        <stp>BDH|6754394596825682672</stp>
        <tr r="E89" s="18"/>
      </tp>
      <tp t="e">
        <v>#N/A</v>
        <stp/>
        <stp>BDH|4396644123809833654</stp>
        <tr r="O17" s="14"/>
      </tp>
      <tp t="e">
        <v>#N/A</v>
        <stp/>
        <stp>BDH|3968546983297323642</stp>
        <tr r="E10" s="26"/>
      </tp>
      <tp t="e">
        <v>#N/A</v>
        <stp/>
        <stp>BDH|4704974578400835596</stp>
        <tr r="M86" s="18"/>
      </tp>
      <tp t="e">
        <v>#N/A</v>
        <stp/>
        <stp>BDH|1610256618165226801</stp>
        <tr r="S52" s="24"/>
      </tp>
      <tp t="e">
        <v>#N/A</v>
        <stp/>
        <stp>BDH|7407437336707052880</stp>
        <tr r="F40" s="21"/>
      </tp>
      <tp t="e">
        <v>#N/A</v>
        <stp/>
        <stp>BDH|6298910879137180025</stp>
        <tr r="E30" s="21"/>
      </tp>
      <tp t="e">
        <v>#N/A</v>
        <stp/>
        <stp>BDH|8001190791197253831</stp>
        <tr r="E126" s="18"/>
      </tp>
      <tp t="e">
        <v>#N/A</v>
        <stp/>
        <stp>BDH|3652885165560734252</stp>
        <tr r="D50" s="12"/>
      </tp>
      <tp t="e">
        <v>#N/A</v>
        <stp/>
        <stp>BDH|5896635693731886494</stp>
        <tr r="W135" s="18"/>
      </tp>
      <tp t="e">
        <v>#N/A</v>
        <stp/>
        <stp>BDH|3441444764706909840</stp>
        <tr r="Q60" s="18"/>
      </tp>
      <tp t="e">
        <v>#N/A</v>
        <stp/>
        <stp>BDH|9206577574750801406</stp>
        <tr r="R19" s="6"/>
      </tp>
      <tp t="e">
        <v>#N/A</v>
        <stp/>
        <stp>BDH|4612787745400114835</stp>
        <tr r="X108" s="18"/>
      </tp>
      <tp t="e">
        <v>#N/A</v>
        <stp/>
        <stp>BDH|8266173191227947845</stp>
        <tr r="D60" s="21"/>
      </tp>
      <tp t="e">
        <v>#N/A</v>
        <stp/>
        <stp>BDH|9850981654418514287</stp>
        <tr r="L13" s="17"/>
        <tr r="L16" s="28"/>
      </tp>
      <tp t="e">
        <v>#N/A</v>
        <stp/>
        <stp>BDH|5829941422559333843</stp>
        <tr r="W18" s="26"/>
      </tp>
      <tp t="e">
        <v>#N/A</v>
        <stp/>
        <stp>BDH|9982249672890546334</stp>
        <tr r="K101" s="18"/>
      </tp>
      <tp t="e">
        <v>#N/A</v>
        <stp/>
        <stp>BDH|8385365710210467581</stp>
        <tr r="C38" s="4"/>
        <tr r="C58" s="11"/>
        <tr r="E13" s="23"/>
      </tp>
      <tp t="e">
        <v>#N/A</v>
        <stp/>
        <stp>BDH|6005821094519699195</stp>
        <tr r="N126" s="18"/>
      </tp>
      <tp t="e">
        <v>#N/A</v>
        <stp/>
        <stp>BDH|6859840305911461042</stp>
        <tr r="D37" s="26"/>
      </tp>
      <tp t="e">
        <v>#N/A</v>
        <stp/>
        <stp>BDH|8195444248865766238</stp>
        <tr r="N51" s="18"/>
      </tp>
      <tp t="e">
        <v>#N/A</v>
        <stp/>
        <stp>BDH|8819425909620203389</stp>
        <tr r="K94" s="18"/>
      </tp>
      <tp t="e">
        <v>#N/A</v>
        <stp/>
        <stp>BDH|4535986435453487252</stp>
        <tr r="P8" s="28"/>
      </tp>
      <tp t="e">
        <v>#N/A</v>
        <stp/>
        <stp>BDH|9142809425779438592</stp>
        <tr r="H37" s="6"/>
      </tp>
      <tp t="e">
        <v>#N/A</v>
        <stp/>
        <stp>BDH|9346501842812926514</stp>
        <tr r="E25" s="4"/>
        <tr r="E65" s="10"/>
      </tp>
      <tp t="e">
        <v>#N/A</v>
        <stp/>
        <stp>BDH|8208054270117793796</stp>
        <tr r="P40" s="34"/>
      </tp>
      <tp t="e">
        <v>#N/A</v>
        <stp/>
        <stp>BDH|8457679439220376205</stp>
        <tr r="U38" s="22"/>
      </tp>
      <tp t="e">
        <v>#N/A</v>
        <stp/>
        <stp>BDH|3982129033307260938</stp>
        <tr r="H17" s="5"/>
        <tr r="H36" s="6"/>
      </tp>
      <tp t="e">
        <v>#N/A</v>
        <stp/>
        <stp>BDH|3641437530372440988</stp>
        <tr r="G24" s="21"/>
      </tp>
      <tp t="e">
        <v>#N/A</v>
        <stp/>
        <stp>BDH|7829598684271574490</stp>
        <tr r="N114" s="18"/>
      </tp>
      <tp t="e">
        <v>#N/A</v>
        <stp/>
        <stp>BDH|4389827542507327097</stp>
        <tr r="M9" s="17"/>
      </tp>
      <tp t="e">
        <v>#N/A</v>
        <stp/>
        <stp>BDH|1461097255372084914</stp>
        <tr r="L39" s="12"/>
      </tp>
      <tp t="e">
        <v>#N/A</v>
        <stp/>
        <stp>BDH|5793796375388428260</stp>
        <tr r="M58" s="18"/>
      </tp>
      <tp t="e">
        <v>#N/A</v>
        <stp/>
        <stp>BDH|6326079024963081894</stp>
        <tr r="U19" s="30"/>
      </tp>
      <tp t="e">
        <v>#N/A</v>
        <stp/>
        <stp>BDH|9034194103382493573</stp>
        <tr r="R34" s="10"/>
        <tr r="R26" s="11"/>
      </tp>
      <tp t="e">
        <v>#N/A</v>
        <stp/>
        <stp>BDH|6394223619722656809</stp>
        <tr r="R49" s="13"/>
      </tp>
      <tp t="e">
        <v>#N/A</v>
        <stp/>
        <stp>BDH|6839360413523708847</stp>
        <tr r="E9" s="22"/>
      </tp>
      <tp t="e">
        <v>#N/A</v>
        <stp/>
        <stp>BDH|6926943123230309232</stp>
        <tr r="V62" s="18"/>
      </tp>
      <tp t="e">
        <v>#N/A</v>
        <stp/>
        <stp>BDH|8104021033016767297</stp>
        <tr r="D49" s="17"/>
      </tp>
      <tp t="e">
        <v>#N/A</v>
        <stp/>
        <stp>BDH|9387246509100961499</stp>
        <tr r="N123" s="18"/>
      </tp>
      <tp t="e">
        <v>#N/A</v>
        <stp/>
        <stp>BDH|9255486709963889152</stp>
        <tr r="Q55" s="18"/>
      </tp>
      <tp t="e">
        <v>#N/A</v>
        <stp/>
        <stp>BDH|5566323503481380899</stp>
        <tr r="Q66" s="18"/>
      </tp>
      <tp t="e">
        <v>#N/A</v>
        <stp/>
        <stp>BDH|1581293843838083018</stp>
        <tr r="N88" s="18"/>
      </tp>
      <tp t="e">
        <v>#N/A</v>
        <stp/>
        <stp>BDH|4500329602778995025</stp>
        <tr r="D28" s="25"/>
        <tr r="D14" s="27"/>
      </tp>
      <tp t="e">
        <v>#N/A</v>
        <stp/>
        <stp>BDH|3061096096313048615</stp>
        <tr r="Z115" s="18"/>
      </tp>
      <tp t="e">
        <v>#N/A</v>
        <stp/>
        <stp>BDH|4925627070313413912</stp>
        <tr r="G85" s="17"/>
      </tp>
      <tp t="e">
        <v>#N/A</v>
        <stp/>
        <stp>BDH|2816405187511404054</stp>
        <tr r="E115" s="18"/>
      </tp>
      <tp t="e">
        <v>#N/A</v>
        <stp/>
        <stp>BDH|6633570072298449391</stp>
        <tr r="D31" s="25"/>
        <tr r="D17" s="27"/>
      </tp>
      <tp t="e">
        <v>#N/A</v>
        <stp/>
        <stp>BDH|8734287744997106649</stp>
        <tr r="N32" s="17"/>
      </tp>
      <tp t="e">
        <v>#N/A</v>
        <stp/>
        <stp>BDH|7599270279515485810</stp>
        <tr r="F16" s="22"/>
      </tp>
      <tp t="e">
        <v>#N/A</v>
        <stp/>
        <stp>BDH|9027457569693734754</stp>
        <tr r="E46" s="34"/>
      </tp>
      <tp t="e">
        <v>#N/A</v>
        <stp/>
        <stp>BDH|4757934201497319582</stp>
        <tr r="E15" s="13"/>
      </tp>
      <tp t="e">
        <v>#N/A</v>
        <stp/>
        <stp>BDH|2575972249353215371</stp>
        <tr r="T25" s="5"/>
      </tp>
      <tp t="e">
        <v>#N/A</v>
        <stp/>
        <stp>BDH|7834941176117057140</stp>
        <tr r="M25" s="7"/>
      </tp>
      <tp t="e">
        <v>#N/A</v>
        <stp/>
        <stp>BDH|7874138010160577800</stp>
        <tr r="Y26" s="21"/>
      </tp>
      <tp t="e">
        <v>#N/A</v>
        <stp/>
        <stp>BDH|8819673355097636328</stp>
        <tr r="M73" s="12"/>
      </tp>
      <tp t="e">
        <v>#N/A</v>
        <stp/>
        <stp>BDH|6910574866449110378</stp>
        <tr r="U30" s="25"/>
        <tr r="U16" s="27"/>
      </tp>
      <tp t="e">
        <v>#N/A</v>
        <stp/>
        <stp>BDH|2096697014618119221</stp>
        <tr r="O13" s="5"/>
      </tp>
      <tp t="e">
        <v>#N/A</v>
        <stp/>
        <stp>BDH|7430000529412483874</stp>
        <tr r="U11" s="18"/>
      </tp>
      <tp t="e">
        <v>#N/A</v>
        <stp/>
        <stp>BDH|8457415041642954538</stp>
        <tr r="O141" s="18"/>
      </tp>
      <tp t="e">
        <v>#N/A</v>
        <stp/>
        <stp>BDH|6808011374818112623</stp>
        <tr r="H8" s="34"/>
      </tp>
      <tp t="e">
        <v>#N/A</v>
        <stp/>
        <stp>BDH|3678769718932485825</stp>
        <tr r="Y46" s="24"/>
      </tp>
      <tp t="e">
        <v>#N/A</v>
        <stp/>
        <stp>BDH|2137089294107779341</stp>
        <tr r="X28" s="14"/>
      </tp>
      <tp t="e">
        <v>#N/A</v>
        <stp/>
        <stp>BDH|9802589353554469297</stp>
        <tr r="Z20" s="17"/>
      </tp>
      <tp t="e">
        <v>#N/A</v>
        <stp/>
        <stp>BDH|4790823051282279481</stp>
        <tr r="H24" s="6"/>
      </tp>
      <tp t="e">
        <v>#N/A</v>
        <stp/>
        <stp>BDH|5896587794684847222</stp>
        <tr r="N106" s="18"/>
      </tp>
      <tp t="e">
        <v>#N/A</v>
        <stp/>
        <stp>BDH|6586950823721814350</stp>
        <tr r="C87" s="17"/>
      </tp>
      <tp t="e">
        <v>#N/A</v>
        <stp/>
        <stp>BDH|1545965356702368091</stp>
        <tr r="Q27" s="25"/>
        <tr r="Q13" s="27"/>
      </tp>
      <tp t="e">
        <v>#N/A</v>
        <stp/>
        <stp>BDH|3674827866674404697</stp>
        <tr r="T7" s="10"/>
      </tp>
      <tp t="e">
        <v>#N/A</v>
        <stp/>
        <stp>BDH|1745794318109836112</stp>
        <tr r="U8" s="26"/>
        <tr r="R10" s="9"/>
      </tp>
      <tp t="e">
        <v>#N/A</v>
        <stp/>
        <stp>BDH|6249540829838292625</stp>
        <tr r="F77" s="17"/>
      </tp>
      <tp t="e">
        <v>#N/A</v>
        <stp/>
        <stp>BDH|4933700159839793082</stp>
        <tr r="I10" s="22"/>
      </tp>
      <tp t="e">
        <v>#N/A</v>
        <stp/>
        <stp>BDH|6759166589614269450</stp>
        <tr r="M34" s="17"/>
      </tp>
      <tp t="e">
        <v>#N/A</v>
        <stp/>
        <stp>BDH|6285989706738337806</stp>
        <tr r="U24" s="4"/>
        <tr r="U57" s="11"/>
      </tp>
      <tp t="e">
        <v>#N/A</v>
        <stp/>
        <stp>BDH|5085734574262087885</stp>
        <tr r="E67" s="17"/>
      </tp>
      <tp t="e">
        <v>#N/A</v>
        <stp/>
        <stp>BDH|3660349040142987945</stp>
        <tr r="W13" s="30"/>
      </tp>
      <tp t="e">
        <v>#N/A</v>
        <stp/>
        <stp>BDH|3638554099521158145</stp>
        <tr r="H58" s="17"/>
      </tp>
      <tp t="e">
        <v>#N/A</v>
        <stp/>
        <stp>BDH|2928981558796477721</stp>
        <tr r="U12" s="26"/>
      </tp>
      <tp t="e">
        <v>#N/A</v>
        <stp/>
        <stp>BDH|6566770703089914775</stp>
        <tr r="V26" s="6"/>
      </tp>
      <tp t="e">
        <v>#N/A</v>
        <stp/>
        <stp>BDH|9735824429709006535</stp>
        <tr r="AA15" s="25"/>
      </tp>
      <tp t="e">
        <v>#N/A</v>
        <stp/>
        <stp>BDH|3360033793992916758</stp>
        <tr r="O15" s="5"/>
      </tp>
      <tp t="e">
        <v>#N/A</v>
        <stp/>
        <stp>BDH|8978467433009624957</stp>
        <tr r="K13" s="22"/>
      </tp>
      <tp t="e">
        <v>#N/A</v>
        <stp/>
        <stp>BDH|5689828574422911761</stp>
        <tr r="K28" s="6"/>
      </tp>
      <tp t="e">
        <v>#N/A</v>
        <stp/>
        <stp>BDH|4937734605788712475</stp>
        <tr r="G28" s="17"/>
      </tp>
      <tp t="e">
        <v>#N/A</v>
        <stp/>
        <stp>BDH|7948369987445496637</stp>
        <tr r="N125" s="18"/>
      </tp>
      <tp t="e">
        <v>#N/A</v>
        <stp/>
        <stp>BDH|6625912978734495349</stp>
        <tr r="Q39" s="6"/>
      </tp>
      <tp t="e">
        <v>#N/A</v>
        <stp/>
        <stp>BDH|3871481699336646708</stp>
        <tr r="Z137" s="18"/>
      </tp>
      <tp t="e">
        <v>#N/A</v>
        <stp/>
        <stp>BDH|1287912832385648184</stp>
        <tr r="L12" s="14"/>
      </tp>
      <tp t="e">
        <v>#N/A</v>
        <stp/>
        <stp>BDH|5020410581891765785</stp>
        <tr r="I11" s="21"/>
      </tp>
      <tp t="e">
        <v>#N/A</v>
        <stp/>
        <stp>BDH|5872879923164179420</stp>
        <tr r="Q41" s="34"/>
      </tp>
      <tp t="e">
        <v>#N/A</v>
        <stp/>
        <stp>BDH|6374224759126037879</stp>
        <tr r="T61" s="24"/>
      </tp>
      <tp t="e">
        <v>#N/A</v>
        <stp/>
        <stp>BDH|5921738376719621357</stp>
        <tr r="Q69" s="24"/>
      </tp>
      <tp t="e">
        <v>#N/A</v>
        <stp/>
        <stp>BDH|8932218869630766393</stp>
        <tr r="P59" s="11"/>
        <tr r="R15" s="23"/>
      </tp>
      <tp t="e">
        <v>#N/A</v>
        <stp/>
        <stp>BDH|5883822234729769863</stp>
        <tr r="Y14" s="22"/>
      </tp>
      <tp t="e">
        <v>#N/A</v>
        <stp/>
        <stp>BDH|2379189615249078410</stp>
        <tr r="Z65" s="18"/>
      </tp>
      <tp t="e">
        <v>#N/A</v>
        <stp/>
        <stp>BDH|7506091067676682824</stp>
        <tr r="F39" s="6"/>
      </tp>
      <tp t="e">
        <v>#N/A</v>
        <stp/>
        <stp>BDH|2108012088816135362</stp>
        <tr r="Z12" s="14"/>
      </tp>
      <tp t="e">
        <v>#N/A</v>
        <stp/>
        <stp>BDH|3495321979339871187</stp>
        <tr r="J21" s="3"/>
      </tp>
      <tp t="e">
        <v>#N/A</v>
        <stp/>
        <stp>BDH|8543298064664431733</stp>
        <tr r="G12" s="20"/>
      </tp>
      <tp t="e">
        <v>#N/A</v>
        <stp/>
        <stp>BDH|6698082830143946984</stp>
        <tr r="R37" s="21"/>
        <tr r="R24" s="3"/>
      </tp>
      <tp t="e">
        <v>#N/A</v>
        <stp/>
        <stp>BDH|5431793139967220996</stp>
        <tr r="I28" s="21"/>
      </tp>
      <tp t="e">
        <v>#N/A</v>
        <stp/>
        <stp>BDH|2356894563544606709</stp>
        <tr r="O52" s="17"/>
        <tr r="O10" s="25"/>
      </tp>
      <tp t="e">
        <v>#N/A</v>
        <stp/>
        <stp>BDH|6143728876998301198</stp>
        <tr r="T26" s="26"/>
      </tp>
      <tp t="e">
        <v>#N/A</v>
        <stp/>
        <stp>BDH|6219947208883519342</stp>
        <tr r="N27" s="25"/>
        <tr r="N13" s="27"/>
      </tp>
      <tp t="e">
        <v>#N/A</v>
        <stp/>
        <stp>BDH|3259790634858088009</stp>
        <tr r="M61" s="17"/>
      </tp>
      <tp t="e">
        <v>#N/A</v>
        <stp/>
        <stp>BDH|4710202044064999956</stp>
        <tr r="Y14" s="17"/>
        <tr r="Y17" s="28"/>
      </tp>
      <tp t="e">
        <v>#N/A</v>
        <stp/>
        <stp>BDH|7839033657754788940</stp>
        <tr r="M38" s="17"/>
      </tp>
      <tp t="e">
        <v>#N/A</v>
        <stp/>
        <stp>BDH|9216577258846583079</stp>
        <tr r="E31" s="25"/>
        <tr r="E17" s="27"/>
      </tp>
      <tp t="e">
        <v>#N/A</v>
        <stp/>
        <stp>BDH|2199827448086063746</stp>
        <tr r="K84" s="17"/>
      </tp>
      <tp t="e">
        <v>#N/A</v>
        <stp/>
        <stp>BDH|1431826393437868829</stp>
        <tr r="L110" s="18"/>
      </tp>
      <tp t="e">
        <v>#N/A</v>
        <stp/>
        <stp>BDH|6345898675335476379</stp>
        <tr r="V9" s="29"/>
      </tp>
      <tp t="e">
        <v>#N/A</v>
        <stp/>
        <stp>BDH|8412364589478541425</stp>
        <tr r="F52" s="24"/>
      </tp>
      <tp t="e">
        <v>#N/A</v>
        <stp/>
        <stp>BDH|6603166380387524797</stp>
        <tr r="O43" s="4"/>
      </tp>
      <tp t="e">
        <v>#N/A</v>
        <stp/>
        <stp>BDH|7394128340085563887</stp>
        <tr r="R19" s="5"/>
        <tr r="R46" s="6"/>
      </tp>
      <tp t="e">
        <v>#N/A</v>
        <stp/>
        <stp>BDH|2438730389036072424</stp>
        <tr r="U116" s="18"/>
      </tp>
      <tp t="e">
        <v>#N/A</v>
        <stp/>
        <stp>BDH|4351905885662875822</stp>
        <tr r="V24" s="5"/>
      </tp>
      <tp t="e">
        <v>#N/A</v>
        <stp/>
        <stp>BDH|4068335340485777985</stp>
        <tr r="M128" s="18"/>
      </tp>
      <tp t="e">
        <v>#N/A</v>
        <stp/>
        <stp>BDH|9649641999068611110</stp>
        <tr r="E8" s="12"/>
      </tp>
      <tp t="e">
        <v>#N/A</v>
        <stp/>
        <stp>BDH|5486112159288184617</stp>
        <tr r="C14" s="2"/>
        <tr r="C11" s="10"/>
      </tp>
      <tp t="e">
        <v>#N/A</v>
        <stp/>
        <stp>BDH|6224883768650669787</stp>
        <tr r="D38" s="34"/>
      </tp>
      <tp t="e">
        <v>#N/A</v>
        <stp/>
        <stp>BDH|7216906557737939305</stp>
        <tr r="F43" s="21"/>
      </tp>
      <tp t="e">
        <v>#N/A</v>
        <stp/>
        <stp>BDH|7825991738624287674</stp>
        <tr r="P36" s="21"/>
      </tp>
      <tp t="e">
        <v>#N/A</v>
        <stp/>
        <stp>BDH|9295048022906034282</stp>
        <tr r="M47" s="21"/>
      </tp>
      <tp t="e">
        <v>#N/A</v>
        <stp/>
        <stp>BDH|5846485099823098459</stp>
        <tr r="V37" s="12"/>
      </tp>
      <tp t="e">
        <v>#N/A</v>
        <stp/>
        <stp>BDH|5384204352134929946</stp>
        <tr r="V76" s="24"/>
      </tp>
      <tp t="e">
        <v>#N/A</v>
        <stp/>
        <stp>BDH|1886655467747306952</stp>
        <tr r="R71" s="17"/>
      </tp>
      <tp t="e">
        <v>#N/A</v>
        <stp/>
        <stp>BDH|3548068796740179584</stp>
        <tr r="AA56" s="12"/>
      </tp>
      <tp t="e">
        <v>#N/A</v>
        <stp/>
        <stp>BDH|4559953610832904156</stp>
        <tr r="F37" s="12"/>
      </tp>
      <tp t="e">
        <v>#N/A</v>
        <stp/>
        <stp>BDH|6248847214868714892</stp>
        <tr r="V46" s="21"/>
      </tp>
      <tp t="e">
        <v>#N/A</v>
        <stp/>
        <stp>BDH|4204310086859968906</stp>
        <tr r="E34" s="29"/>
      </tp>
      <tp t="e">
        <v>#N/A</v>
        <stp/>
        <stp>BDH|2701410432389136398</stp>
        <tr r="O42" s="18"/>
      </tp>
      <tp t="e">
        <v>#N/A</v>
        <stp/>
        <stp>BDH|9380300054735331587</stp>
        <tr r="K11" s="14"/>
      </tp>
      <tp t="e">
        <v>#N/A</v>
        <stp/>
        <stp>BDH|7679179913850796895</stp>
        <tr r="T49" s="24"/>
      </tp>
      <tp t="e">
        <v>#N/A</v>
        <stp/>
        <stp>BDH|5525837025399891975</stp>
        <tr r="E7" s="6"/>
      </tp>
      <tp t="e">
        <v>#N/A</v>
        <stp/>
        <stp>BDH|5356705490620728489</stp>
        <tr r="T87" s="17"/>
      </tp>
      <tp t="e">
        <v>#N/A</v>
        <stp/>
        <stp>BDH|5781210458444318910</stp>
        <tr r="W68" s="12"/>
      </tp>
      <tp t="e">
        <v>#N/A</v>
        <stp/>
        <stp>BDH|3832828407246556240</stp>
        <tr r="Q27" s="34"/>
      </tp>
      <tp t="e">
        <v>#N/A</v>
        <stp/>
        <stp>BDH|8874871988103831438</stp>
        <tr r="S27" s="10"/>
        <tr r="U33" s="13"/>
      </tp>
      <tp t="e">
        <v>#N/A</v>
        <stp/>
        <stp>BDH|8283835664080113980</stp>
        <tr r="K65" s="18"/>
      </tp>
      <tp t="e">
        <v>#N/A</v>
        <stp/>
        <stp>BDH|9132402746723317588</stp>
        <tr r="Y8" s="22"/>
      </tp>
      <tp t="e">
        <v>#N/A</v>
        <stp/>
        <stp>BDH|9343189621471703416</stp>
        <tr r="T7" s="11"/>
      </tp>
      <tp t="e">
        <v>#N/A</v>
        <stp/>
        <stp>BDH|1665960425305827019</stp>
        <tr r="T16" s="26"/>
      </tp>
      <tp t="e">
        <v>#N/A</v>
        <stp/>
        <stp>BDH|9842771713029027916</stp>
        <tr r="K34" s="34"/>
      </tp>
      <tp t="e">
        <v>#N/A</v>
        <stp/>
        <stp>BDH|2918535097631949097</stp>
        <tr r="T59" s="21"/>
        <tr r="R55" s="11"/>
      </tp>
      <tp t="e">
        <v>#N/A</v>
        <stp/>
        <stp>BDH|8323527170715820041</stp>
        <tr r="J134" s="18"/>
      </tp>
      <tp t="e">
        <v>#N/A</v>
        <stp/>
        <stp>BDH|3044654394504457780</stp>
        <tr r="T15" s="14"/>
      </tp>
      <tp t="e">
        <v>#N/A</v>
        <stp/>
        <stp>BDH|9675524248600476752</stp>
        <tr r="D10" s="13"/>
      </tp>
      <tp t="e">
        <v>#N/A</v>
        <stp/>
        <stp>BDH|7227833908512233265</stp>
        <tr r="L88" s="24"/>
      </tp>
      <tp t="e">
        <v>#N/A</v>
        <stp/>
        <stp>BDH|8974358576824027770</stp>
        <tr r="P119" s="18"/>
      </tp>
      <tp t="e">
        <v>#N/A</v>
        <stp/>
        <stp>BDH|4862672387666122345</stp>
        <tr r="D83" s="17"/>
      </tp>
      <tp t="e">
        <v>#N/A</v>
        <stp/>
        <stp>BDH|3049882765247868587</stp>
        <tr r="U9" s="10"/>
      </tp>
      <tp t="e">
        <v>#N/A</v>
        <stp/>
        <stp>BDH|7323760254369422387</stp>
        <tr r="J7" s="10"/>
      </tp>
      <tp t="e">
        <v>#N/A</v>
        <stp/>
        <stp>BDH|1095189766240415977</stp>
        <tr r="V55" s="18"/>
      </tp>
      <tp t="e">
        <v>#N/A</v>
        <stp/>
        <stp>BDH|8601322933350811724</stp>
        <tr r="C60" s="17"/>
      </tp>
      <tp t="e">
        <v>#N/A</v>
        <stp/>
        <stp>BDH|2478837748589202803</stp>
        <tr r="K44" s="18"/>
      </tp>
      <tp t="e">
        <v>#N/A</v>
        <stp/>
        <stp>BDH|8717045362746816744</stp>
        <tr r="L35" s="26"/>
      </tp>
      <tp t="e">
        <v>#N/A</v>
        <stp/>
        <stp>BDH|5975943844351099648</stp>
        <tr r="M9" s="29"/>
      </tp>
      <tp t="e">
        <v>#N/A</v>
        <stp/>
        <stp>BDH|8518219508363236631</stp>
        <tr r="E84" s="12"/>
      </tp>
      <tp t="e">
        <v>#N/A</v>
        <stp/>
        <stp>BDH|9820285225190992616</stp>
        <tr r="K59" s="18"/>
      </tp>
      <tp t="e">
        <v>#N/A</v>
        <stp/>
        <stp>BDH|7365593552938264071</stp>
        <tr r="K15" s="26"/>
      </tp>
      <tp t="e">
        <v>#N/A</v>
        <stp/>
        <stp>BDH|5255686183910414400</stp>
        <tr r="G61" s="11"/>
      </tp>
      <tp t="e">
        <v>#N/A</v>
        <stp/>
        <stp>BDH|6140204510999851346</stp>
        <tr r="Z34" s="24"/>
      </tp>
      <tp t="e">
        <v>#N/A</v>
        <stp/>
        <stp>BDH|9860102220561599405</stp>
        <tr r="C42" s="34"/>
      </tp>
      <tp t="e">
        <v>#N/A</v>
        <stp/>
        <stp>BDH|3592675755638311797</stp>
        <tr r="J38" s="26"/>
      </tp>
      <tp t="e">
        <v>#N/A</v>
        <stp/>
        <stp>BDH|3546050127946343896</stp>
        <tr r="O20" s="25"/>
      </tp>
      <tp t="e">
        <v>#N/A</v>
        <stp/>
        <stp>BDH|9451012585417486994</stp>
        <tr r="J58" s="21"/>
        <tr r="J37" s="25"/>
        <tr r="H31" s="4"/>
        <tr r="H54" s="11"/>
      </tp>
      <tp t="e">
        <v>#N/A</v>
        <stp/>
        <stp>BDH|3474662446828119683</stp>
        <tr r="H51" s="6"/>
        <tr r="J6" s="8"/>
      </tp>
      <tp t="e">
        <v>#N/A</v>
        <stp/>
        <stp>BDH|8685598149742395480</stp>
        <tr r="D8" s="34"/>
      </tp>
      <tp t="e">
        <v>#N/A</v>
        <stp/>
        <stp>BDH|8140971650613322870</stp>
        <tr r="C15" s="4"/>
      </tp>
      <tp t="e">
        <v>#N/A</v>
        <stp/>
        <stp>BDH|9344753448366933356</stp>
        <tr r="S14" s="28"/>
      </tp>
      <tp t="e">
        <v>#N/A</v>
        <stp/>
        <stp>BDH|3127685153548065785</stp>
        <tr r="R84" s="18"/>
      </tp>
      <tp t="e">
        <v>#N/A</v>
        <stp/>
        <stp>BDH|3240274980404129267</stp>
        <tr r="K43" s="12"/>
      </tp>
      <tp t="e">
        <v>#N/A</v>
        <stp/>
        <stp>BDH|4402222085547625674</stp>
        <tr r="M9" s="10"/>
      </tp>
      <tp t="e">
        <v>#N/A</v>
        <stp/>
        <stp>BDH|8209295470434969607</stp>
        <tr r="U12" s="6"/>
      </tp>
      <tp t="e">
        <v>#N/A</v>
        <stp/>
        <stp>BDH|9558861950399017216</stp>
        <tr r="Z74" s="18"/>
      </tp>
      <tp t="e">
        <v>#N/A</v>
        <stp/>
        <stp>BDH|7609234083706761435</stp>
        <tr r="C106" s="18"/>
      </tp>
      <tp t="e">
        <v>#N/A</v>
        <stp/>
        <stp>BDH|1579664851005303830</stp>
        <tr r="J15" s="13"/>
      </tp>
      <tp t="e">
        <v>#N/A</v>
        <stp/>
        <stp>BDH|2867107715425830875</stp>
        <tr r="L45" s="17"/>
      </tp>
      <tp t="e">
        <v>#N/A</v>
        <stp/>
        <stp>BDH|4783969039366941734</stp>
        <tr r="X49" s="18"/>
      </tp>
      <tp t="e">
        <v>#N/A</v>
        <stp/>
        <stp>BDH|5222180081541960203</stp>
        <tr r="N15" s="10"/>
      </tp>
      <tp t="e">
        <v>#N/A</v>
        <stp/>
        <stp>BDH|7423194370419996769</stp>
        <tr r="E73" s="12"/>
      </tp>
      <tp t="e">
        <v>#N/A</v>
        <stp/>
        <stp>BDH|5659370889078865921</stp>
        <tr r="T46" s="17"/>
      </tp>
      <tp t="e">
        <v>#N/A</v>
        <stp/>
        <stp>BDH|6542014364347289809</stp>
        <tr r="H28" s="21"/>
      </tp>
      <tp t="e">
        <v>#N/A</v>
        <stp/>
        <stp>BDH|8229120007144097258</stp>
        <tr r="G118" s="18"/>
      </tp>
      <tp t="e">
        <v>#N/A</v>
        <stp/>
        <stp>BDH|5328293362776220881</stp>
        <tr r="X15" s="9"/>
      </tp>
      <tp t="e">
        <v>#N/A</v>
        <stp/>
        <stp>BDH|7283352925090799976</stp>
        <tr r="Z28" s="14"/>
      </tp>
      <tp t="e">
        <v>#N/A</v>
        <stp/>
        <stp>BDH|6707959274297489007</stp>
        <tr r="D15" s="25"/>
      </tp>
      <tp t="e">
        <v>#N/A</v>
        <stp/>
        <stp>BDH|7308807615194357577</stp>
        <tr r="H30" s="29"/>
        <tr r="H8" s="29"/>
      </tp>
      <tp t="e">
        <v>#N/A</v>
        <stp/>
        <stp>BDH|9208006902623002527</stp>
        <tr r="V138" s="18"/>
      </tp>
      <tp t="e">
        <v>#N/A</v>
        <stp/>
        <stp>BDH|9359314541928664979</stp>
        <tr r="I71" s="24"/>
      </tp>
      <tp t="e">
        <v>#N/A</v>
        <stp/>
        <stp>BDH|2885497272539285734</stp>
        <tr r="J10" s="21"/>
      </tp>
      <tp t="e">
        <v>#N/A</v>
        <stp/>
        <stp>BDH|8835691262452865599</stp>
        <tr r="F65" s="24"/>
      </tp>
      <tp t="e">
        <v>#N/A</v>
        <stp/>
        <stp>BDH|2095072301358569517</stp>
        <tr r="K16" s="22"/>
      </tp>
      <tp t="e">
        <v>#N/A</v>
        <stp/>
        <stp>BDH|6746270986853310074</stp>
        <tr r="E29" s="10"/>
        <tr r="G35" s="13"/>
      </tp>
      <tp t="e">
        <v>#N/A</v>
        <stp/>
        <stp>BDH|2234039739407213987</stp>
        <tr r="P24" s="2"/>
      </tp>
      <tp t="e">
        <v>#N/A</v>
        <stp/>
        <stp>BDH|9829174323810618587</stp>
        <tr r="R29" s="18"/>
      </tp>
      <tp t="e">
        <v>#N/A</v>
        <stp/>
        <stp>BDH|3886521690088090888</stp>
        <tr r="F13" s="24"/>
      </tp>
      <tp t="e">
        <v>#N/A</v>
        <stp/>
        <stp>BDH|2125152296024623169</stp>
        <tr r="E127" s="18"/>
      </tp>
      <tp t="e">
        <v>#N/A</v>
        <stp/>
        <stp>BDH|3807349178878094062</stp>
        <tr r="F29" s="10"/>
        <tr r="H35" s="13"/>
      </tp>
      <tp t="e">
        <v>#N/A</v>
        <stp/>
        <stp>BDH|7717900043824434120</stp>
        <tr r="E37" s="34"/>
      </tp>
      <tp t="e">
        <v>#N/A</v>
        <stp/>
        <stp>BDH|5732596394845040384</stp>
        <tr r="K20" s="2"/>
        <tr r="K18" s="4"/>
        <tr r="K58" s="10"/>
        <tr r="K50" s="11"/>
        <tr r="K19" s="7"/>
        <tr r="M65" s="13"/>
      </tp>
      <tp t="e">
        <v>#N/A</v>
        <stp/>
        <stp>BDH|3009147061523265859</stp>
        <tr r="K7" s="2"/>
        <tr r="J7" s="5"/>
        <tr r="J7" s="9"/>
        <tr r="M14" s="3"/>
      </tp>
      <tp t="e">
        <v>#N/A</v>
        <stp/>
        <stp>BDH|8402323163432528029</stp>
        <tr r="O17" s="6"/>
      </tp>
      <tp t="e">
        <v>#N/A</v>
        <stp/>
        <stp>BDH|5275128499037276597</stp>
        <tr r="V84" s="18"/>
      </tp>
      <tp t="e">
        <v>#N/A</v>
        <stp/>
        <stp>BDH|2474673442566094937</stp>
        <tr r="J98" s="18"/>
        <tr r="J7" s="20"/>
      </tp>
      <tp t="e">
        <v>#N/A</v>
        <stp/>
        <stp>BDH|9059134846016773509</stp>
        <tr r="J65" s="18"/>
      </tp>
      <tp t="e">
        <v>#N/A</v>
        <stp/>
        <stp>BDH|9527253123491187702</stp>
        <tr r="C32" s="12"/>
      </tp>
      <tp t="e">
        <v>#N/A</v>
        <stp/>
        <stp>BDH|1548203112409344469</stp>
        <tr r="X27" s="7"/>
      </tp>
      <tp t="e">
        <v>#N/A</v>
        <stp/>
        <stp>BDH|3935206030694241999</stp>
        <tr r="X75" s="18"/>
        <tr r="X64" s="12"/>
      </tp>
      <tp t="e">
        <v>#N/A</v>
        <stp/>
        <stp>BDH|3765558380304829581</stp>
        <tr r="C113" s="18"/>
      </tp>
      <tp t="e">
        <v>#N/A</v>
        <stp/>
        <stp>BDH|8189297208840408576</stp>
        <tr r="V19" s="5"/>
        <tr r="V46" s="6"/>
      </tp>
      <tp t="e">
        <v>#N/A</v>
        <stp/>
        <stp>BDH|3021642697984903799</stp>
        <tr r="I32" s="22"/>
      </tp>
      <tp t="e">
        <v>#N/A</v>
        <stp/>
        <stp>BDH|3425073689171862515</stp>
        <tr r="E36" s="22"/>
      </tp>
      <tp t="e">
        <v>#N/A</v>
        <stp/>
        <stp>BDH|5393489069258541045</stp>
        <tr r="L65" s="17"/>
      </tp>
      <tp t="e">
        <v>#N/A</v>
        <stp/>
        <stp>BDH|6408125496570448177</stp>
        <tr r="N20" s="14"/>
      </tp>
      <tp t="e">
        <v>#N/A</v>
        <stp/>
        <stp>BDH|3628848273395387613</stp>
        <tr r="Q34" s="21"/>
      </tp>
      <tp t="e">
        <v>#N/A</v>
        <stp/>
        <stp>BDH|3538850016596011355</stp>
        <tr r="U8" s="2"/>
      </tp>
      <tp t="e">
        <v>#N/A</v>
        <stp/>
        <stp>BDH|5793670695605284045</stp>
        <tr r="X35" s="10"/>
        <tr r="X27" s="11"/>
      </tp>
      <tp t="e">
        <v>#N/A</v>
        <stp/>
        <stp>BDH|9724390821052918551</stp>
        <tr r="X75" s="12"/>
      </tp>
      <tp t="e">
        <v>#N/A</v>
        <stp/>
        <stp>BDH|8873958551509718289</stp>
        <tr r="X15" s="12"/>
      </tp>
      <tp t="e">
        <v>#N/A</v>
        <stp/>
        <stp>BDH|7640782733389685588</stp>
        <tr r="S14" s="10"/>
      </tp>
      <tp t="e">
        <v>#N/A</v>
        <stp/>
        <stp>BDH|4069841408573941063</stp>
        <tr r="F26" s="34"/>
      </tp>
      <tp t="e">
        <v>#N/A</v>
        <stp/>
        <stp>BDH|1834584912383830993</stp>
        <tr r="M13" s="24"/>
      </tp>
      <tp t="e">
        <v>#N/A</v>
        <stp/>
        <stp>BDH|2438855946364109551</stp>
        <tr r="AA39" s="24"/>
      </tp>
      <tp t="e">
        <v>#N/A</v>
        <stp/>
        <stp>BDH|9428404021228753815</stp>
        <tr r="W33" s="5"/>
      </tp>
      <tp t="e">
        <v>#N/A</v>
        <stp/>
        <stp>BDH|3993098810235013836</stp>
        <tr r="G18" s="23"/>
      </tp>
      <tp t="e">
        <v>#N/A</v>
        <stp/>
        <stp>BDH|8653555335764306560</stp>
        <tr r="Q16" s="18"/>
      </tp>
      <tp t="e">
        <v>#N/A</v>
        <stp/>
        <stp>BDH|9098746644187617258</stp>
        <tr r="H59" s="21"/>
        <tr r="F55" s="11"/>
      </tp>
      <tp t="e">
        <v>#N/A</v>
        <stp/>
        <stp>BDH|4361743934918824789</stp>
        <tr r="Y32" s="26"/>
      </tp>
      <tp t="e">
        <v>#N/A</v>
        <stp/>
        <stp>BDH|8432528337615788452</stp>
        <tr r="W120" s="18"/>
      </tp>
      <tp t="e">
        <v>#N/A</v>
        <stp/>
        <stp>BDH|1005465687321388319</stp>
        <tr r="H15" s="11"/>
      </tp>
      <tp t="e">
        <v>#N/A</v>
        <stp/>
        <stp>BDH|8435081686547876816</stp>
        <tr r="D8" s="22"/>
      </tp>
      <tp t="e">
        <v>#N/A</v>
        <stp/>
        <stp>BDH|9168502405767004475</stp>
        <tr r="Y57" s="18"/>
      </tp>
      <tp t="e">
        <v>#N/A</v>
        <stp/>
        <stp>BDH|8557510637864153511</stp>
        <tr r="X63" s="10"/>
      </tp>
      <tp t="e">
        <v>#N/A</v>
        <stp/>
        <stp>BDH|9324138337433109757</stp>
        <tr r="H131" s="18"/>
      </tp>
      <tp t="e">
        <v>#N/A</v>
        <stp/>
        <stp>BDH|7796266203652777866</stp>
        <tr r="Z26" s="17"/>
      </tp>
      <tp t="e">
        <v>#N/A</v>
        <stp/>
        <stp>BDH|8610032021917377247</stp>
        <tr r="K44" s="17"/>
      </tp>
      <tp t="e">
        <v>#N/A</v>
        <stp/>
        <stp>BDH|6880814825710756384</stp>
        <tr r="H19" s="6"/>
      </tp>
      <tp t="e">
        <v>#N/A</v>
        <stp/>
        <stp>BDH|9751789657335372185</stp>
        <tr r="Q53" s="6"/>
        <tr r="S10" s="8"/>
      </tp>
      <tp t="e">
        <v>#N/A</v>
        <stp/>
        <stp>BDH|2989794158057313880</stp>
        <tr r="S39" s="34"/>
      </tp>
      <tp t="e">
        <v>#N/A</v>
        <stp/>
        <stp>BDH|3740161054788079069</stp>
        <tr r="O19" s="25"/>
      </tp>
      <tp t="e">
        <v>#N/A</v>
        <stp/>
        <stp>BDH|9753333315254589070</stp>
        <tr r="P28" s="25"/>
        <tr r="P14" s="27"/>
      </tp>
      <tp t="e">
        <v>#N/A</v>
        <stp/>
        <stp>BDH|8685376653166081718</stp>
        <tr r="O58" s="12"/>
      </tp>
      <tp t="e">
        <v>#N/A</v>
        <stp/>
        <stp>BDH|8074703567702493405</stp>
        <tr r="I59" s="18"/>
      </tp>
      <tp t="e">
        <v>#N/A</v>
        <stp/>
        <stp>BDH|5574678533848000729</stp>
        <tr r="U27" s="6"/>
      </tp>
      <tp t="e">
        <v>#N/A</v>
        <stp/>
        <stp>BDH|7685573232048906695</stp>
        <tr r="T11" s="18"/>
      </tp>
      <tp t="e">
        <v>#N/A</v>
        <stp/>
        <stp>BDH|3876377212699880760</stp>
        <tr r="I34" s="14"/>
      </tp>
      <tp t="e">
        <v>#N/A</v>
        <stp/>
        <stp>BDH|2132324082925689348</stp>
        <tr r="N18" s="10"/>
        <tr r="P16" s="13"/>
        <tr r="P27" s="13"/>
      </tp>
      <tp t="e">
        <v>#N/A</v>
        <stp/>
        <stp>BDH|9031779912236660600</stp>
        <tr r="D142" s="18"/>
      </tp>
      <tp t="e">
        <v>#N/A</v>
        <stp/>
        <stp>BDH|7430270728328808031</stp>
        <tr r="G15" s="30"/>
      </tp>
      <tp t="e">
        <v>#N/A</v>
        <stp/>
        <stp>BDH|7010727438009903536</stp>
        <tr r="C10" s="24"/>
      </tp>
      <tp t="e">
        <v>#N/A</v>
        <stp/>
        <stp>BDH|7044044291579363863</stp>
        <tr r="C39" s="26"/>
      </tp>
      <tp t="e">
        <v>#N/A</v>
        <stp/>
        <stp>BDH|1481668587383142347</stp>
        <tr r="V48" s="6"/>
      </tp>
      <tp t="e">
        <v>#N/A</v>
        <stp/>
        <stp>BDH|1521542326079070074</stp>
        <tr r="V35" s="18"/>
      </tp>
      <tp t="e">
        <v>#N/A</v>
        <stp/>
        <stp>BDH|4126862807434066701</stp>
        <tr r="T38" s="26"/>
      </tp>
      <tp t="e">
        <v>#N/A</v>
        <stp/>
        <stp>BDH|5777077730209666066</stp>
        <tr r="R47" s="10"/>
        <tr r="R39" s="11"/>
      </tp>
      <tp t="e">
        <v>#N/A</v>
        <stp/>
        <stp>BDH|5149654353859338049</stp>
        <tr r="C32" s="29"/>
      </tp>
      <tp t="e">
        <v>#N/A</v>
        <stp/>
        <stp>BDH|2429545951455906887</stp>
        <tr r="D16" s="11"/>
      </tp>
      <tp t="e">
        <v>#N/A</v>
        <stp/>
        <stp>BDH|1587330483957518204</stp>
        <tr r="E83" s="24"/>
      </tp>
      <tp t="e">
        <v>#N/A</v>
        <stp/>
        <stp>BDH|9325510190079252301</stp>
        <tr r="G32" s="22"/>
      </tp>
      <tp t="e">
        <v>#N/A</v>
        <stp/>
        <stp>BDH|7250681718238786758</stp>
        <tr r="R60" s="17"/>
      </tp>
      <tp t="e">
        <v>#N/A</v>
        <stp/>
        <stp>BDH|8274276374177538545</stp>
        <tr r="AA8" s="18"/>
      </tp>
      <tp t="e">
        <v>#N/A</v>
        <stp/>
        <stp>BDH|8989802496294610290</stp>
        <tr r="K27" s="14"/>
      </tp>
      <tp t="e">
        <v>#N/A</v>
        <stp/>
        <stp>BDH|4777664458609996105</stp>
        <tr r="X42" s="21"/>
      </tp>
      <tp t="e">
        <v>#N/A</v>
        <stp/>
        <stp>BDH|5008952961664791134</stp>
        <tr r="S116" s="18"/>
      </tp>
      <tp t="e">
        <v>#N/A</v>
        <stp/>
        <stp>BDH|2882401358348708473</stp>
        <tr r="Z34" s="34"/>
      </tp>
      <tp t="e">
        <v>#N/A</v>
        <stp/>
        <stp>BDH|3506779845166177966</stp>
        <tr r="X8" s="13"/>
      </tp>
      <tp t="e">
        <v>#N/A</v>
        <stp/>
        <stp>BDH|2540340517116480925</stp>
        <tr r="M54" s="24"/>
      </tp>
      <tp t="e">
        <v>#N/A</v>
        <stp/>
        <stp>BDH|1603773032793286914</stp>
        <tr r="O31" s="26"/>
        <tr r="L14" s="9"/>
      </tp>
      <tp t="e">
        <v>#N/A</v>
        <stp/>
        <stp>BDH|4122770790637587237</stp>
        <tr r="O25" s="5"/>
      </tp>
      <tp t="e">
        <v>#N/A</v>
        <stp/>
        <stp>BDH|7798494665808876239</stp>
        <tr r="I28" s="18"/>
      </tp>
      <tp t="e">
        <v>#N/A</v>
        <stp/>
        <stp>BDH|8163842515819916797</stp>
        <tr r="X88" s="18"/>
      </tp>
      <tp t="e">
        <v>#N/A</v>
        <stp/>
        <stp>BDH|6559256730130489846</stp>
        <tr r="O10" s="26"/>
      </tp>
      <tp t="e">
        <v>#N/A</v>
        <stp/>
        <stp>BDH|3064437282889778962</stp>
        <tr r="M90" s="24"/>
      </tp>
      <tp t="e">
        <v>#N/A</v>
        <stp/>
        <stp>BDH|6070109991725503445</stp>
        <tr r="O33" s="24"/>
      </tp>
      <tp t="e">
        <v>#N/A</v>
        <stp/>
        <stp>BDH|6000956183708289046</stp>
        <tr r="X90" s="12"/>
      </tp>
      <tp t="e">
        <v>#N/A</v>
        <stp/>
        <stp>BDH|7299664081117227170</stp>
        <tr r="AA74" s="12"/>
      </tp>
      <tp t="e">
        <v>#N/A</v>
        <stp/>
        <stp>BDH|4990514472889919025</stp>
        <tr r="E29" s="12"/>
      </tp>
      <tp t="e">
        <v>#N/A</v>
        <stp/>
        <stp>BDH|4568573422188872492</stp>
        <tr r="C26" s="12"/>
      </tp>
      <tp t="e">
        <v>#N/A</v>
        <stp/>
        <stp>BDH|6920070685257305691</stp>
        <tr r="W51" s="18"/>
      </tp>
      <tp t="e">
        <v>#N/A</v>
        <stp/>
        <stp>BDH|5648910450452744415</stp>
        <tr r="Q64" s="17"/>
      </tp>
      <tp t="e">
        <v>#N/A</v>
        <stp/>
        <stp>BDH|8130616651235018107</stp>
        <tr r="O15" s="14"/>
      </tp>
      <tp t="e">
        <v>#N/A</v>
        <stp/>
        <stp>BDH|8899479760640844563</stp>
        <tr r="T22" s="4"/>
      </tp>
      <tp t="e">
        <v>#N/A</v>
        <stp/>
        <stp>BDH|7365018967307583914</stp>
        <tr r="V73" s="12"/>
      </tp>
      <tp t="e">
        <v>#N/A</v>
        <stp/>
        <stp>BDH|5963500808018706776</stp>
        <tr r="L57" s="17"/>
      </tp>
      <tp t="e">
        <v>#N/A</v>
        <stp/>
        <stp>BDH|1131956066079261810</stp>
        <tr r="D9" s="14"/>
      </tp>
      <tp t="e">
        <v>#N/A</v>
        <stp/>
        <stp>BDH|6403331956306081909</stp>
        <tr r="C117" s="18"/>
      </tp>
      <tp t="e">
        <v>#N/A</v>
        <stp/>
        <stp>BDH|2517135963322306875</stp>
        <tr r="I21" s="11"/>
      </tp>
      <tp t="e">
        <v>#N/A</v>
        <stp/>
        <stp>BDH|2047436071067566961</stp>
        <tr r="P11" s="6"/>
      </tp>
      <tp t="e">
        <v>#N/A</v>
        <stp/>
        <stp>BDH|6335821503436763745</stp>
        <tr r="Y44" s="17"/>
      </tp>
      <tp t="e">
        <v>#N/A</v>
        <stp/>
        <stp>BDH|9579432841002521432</stp>
        <tr r="N28" s="14"/>
      </tp>
      <tp t="e">
        <v>#N/A</v>
        <stp/>
        <stp>BDH|2384975026723565569</stp>
        <tr r="I8" s="27"/>
      </tp>
      <tp t="e">
        <v>#N/A</v>
        <stp/>
        <stp>BDH|8437919380307648128</stp>
        <tr r="Q77" s="17"/>
      </tp>
      <tp t="e">
        <v>#N/A</v>
        <stp/>
        <stp>BDH|4739730241049142152</stp>
        <tr r="K57" s="17"/>
      </tp>
      <tp t="e">
        <v>#N/A</v>
        <stp/>
        <stp>BDH|3736355195253098568</stp>
        <tr r="Z26" s="13"/>
      </tp>
      <tp t="e">
        <v>#N/A</v>
        <stp/>
        <stp>BDH|7437871013552926381</stp>
        <tr r="W10" s="17"/>
      </tp>
      <tp t="e">
        <v>#N/A</v>
        <stp/>
        <stp>BDH|1001983439736938293</stp>
        <tr r="F56" s="17"/>
      </tp>
      <tp t="e">
        <v>#N/A</v>
        <stp/>
        <stp>BDH|3281474033612452939</stp>
        <tr r="K41" s="22"/>
      </tp>
      <tp t="e">
        <v>#N/A</v>
        <stp/>
        <stp>BDH|7693586975248384293</stp>
        <tr r="D15" s="12"/>
      </tp>
      <tp t="e">
        <v>#N/A</v>
        <stp/>
        <stp>BDH|1638535493751312346</stp>
        <tr r="U36" s="10"/>
        <tr r="U48" s="10"/>
        <tr r="U28" s="11"/>
        <tr r="U40" s="11"/>
      </tp>
      <tp t="e">
        <v>#N/A</v>
        <stp/>
        <stp>BDH|6863845726307291490</stp>
        <tr r="F16" s="24"/>
      </tp>
      <tp t="e">
        <v>#N/A</v>
        <stp/>
        <stp>BDH|8298243207207053204</stp>
        <tr r="W50" s="12"/>
      </tp>
      <tp t="e">
        <v>#N/A</v>
        <stp/>
        <stp>BDH|7668873901622028218</stp>
        <tr r="K43" s="18"/>
      </tp>
      <tp t="e">
        <v>#N/A</v>
        <stp/>
        <stp>BDH|9709478743077436163</stp>
        <tr r="Y36" s="18"/>
      </tp>
      <tp t="e">
        <v>#N/A</v>
        <stp/>
        <stp>BDH|2966322606016888844</stp>
        <tr r="O12" s="13"/>
      </tp>
      <tp t="e">
        <v>#N/A</v>
        <stp/>
        <stp>BDH|5160832960776485273</stp>
        <tr r="J10" s="2"/>
        <tr r="I11" s="5"/>
        <tr r="I55" s="6"/>
        <tr r="J33" s="29"/>
        <tr r="J42" s="29"/>
      </tp>
      <tp t="e">
        <v>#N/A</v>
        <stp/>
        <stp>BDH|4345436638429152588</stp>
        <tr r="L16" s="26"/>
      </tp>
      <tp t="e">
        <v>#N/A</v>
        <stp/>
        <stp>BDH|1252084089916136031</stp>
        <tr r="N16" s="12"/>
      </tp>
      <tp t="e">
        <v>#N/A</v>
        <stp/>
        <stp>BDH|6751571887915079160</stp>
        <tr r="R40" s="34"/>
      </tp>
      <tp t="e">
        <v>#N/A</v>
        <stp/>
        <stp>BDH|3958497281849625962</stp>
        <tr r="AA81" s="24"/>
      </tp>
      <tp t="e">
        <v>#N/A</v>
        <stp/>
        <stp>BDH|4946789124539275763</stp>
        <tr r="N15" s="22"/>
      </tp>
      <tp t="e">
        <v>#N/A</v>
        <stp/>
        <stp>BDH|7765864532306161538</stp>
        <tr r="S31" s="21"/>
      </tp>
      <tp t="e">
        <v>#N/A</v>
        <stp/>
        <stp>BDH|9755048666116343677</stp>
        <tr r="V18" s="2"/>
        <tr r="V53" s="4"/>
        <tr r="V46" s="10"/>
        <tr r="V38" s="11"/>
        <tr r="X51" s="13"/>
      </tp>
      <tp t="e">
        <v>#N/A</v>
        <stp/>
        <stp>BDH|2860098056581036967</stp>
        <tr r="O10" s="22"/>
      </tp>
      <tp t="e">
        <v>#N/A</v>
        <stp/>
        <stp>BDH|1892039203006731893</stp>
        <tr r="T36" s="4"/>
      </tp>
      <tp t="e">
        <v>#N/A</v>
        <stp/>
        <stp>BDH|6775141221212014845</stp>
        <tr r="I35" s="25"/>
      </tp>
      <tp t="e">
        <v>#N/A</v>
        <stp/>
        <stp>BDH|2039814566663089019</stp>
        <tr r="N47" s="21"/>
      </tp>
      <tp t="e">
        <v>#N/A</v>
        <stp/>
        <stp>BDH|2271012975128026206</stp>
        <tr r="F56" s="24"/>
      </tp>
      <tp t="e">
        <v>#N/A</v>
        <stp/>
        <stp>BDH|5261650405984260869</stp>
        <tr r="E21" s="9"/>
      </tp>
      <tp t="e">
        <v>#N/A</v>
        <stp/>
        <stp>BDH|8701520149727318196</stp>
        <tr r="H50" s="24"/>
      </tp>
      <tp t="e">
        <v>#N/A</v>
        <stp/>
        <stp>BDH|4134714937097504844</stp>
        <tr r="H57" s="10"/>
        <tr r="H49" s="11"/>
        <tr r="H18" s="7"/>
        <tr r="J57" s="13"/>
      </tp>
      <tp t="e">
        <v>#N/A</v>
        <stp/>
        <stp>BDH|5655754590744615034</stp>
        <tr r="C52" s="24"/>
      </tp>
      <tp t="e">
        <v>#N/A</v>
        <stp/>
        <stp>BDH|8513701307199120951</stp>
        <tr r="G60" s="24"/>
      </tp>
      <tp t="e">
        <v>#N/A</v>
        <stp/>
        <stp>BDH|6221361477155342862</stp>
        <tr r="AA46" s="21"/>
      </tp>
      <tp t="e">
        <v>#N/A</v>
        <stp/>
        <stp>BDH|8701441551032309475</stp>
        <tr r="M47" s="24"/>
      </tp>
      <tp t="e">
        <v>#N/A</v>
        <stp/>
        <stp>BDH|7879874309622368234</stp>
        <tr r="G51" s="12"/>
      </tp>
      <tp t="e">
        <v>#N/A</v>
        <stp/>
        <stp>BDH|1245389596971827520</stp>
        <tr r="G10" s="11"/>
      </tp>
      <tp t="e">
        <v>#N/A</v>
        <stp/>
        <stp>BDH|2429384788771026725</stp>
        <tr r="G93" s="17"/>
      </tp>
      <tp t="e">
        <v>#N/A</v>
        <stp/>
        <stp>BDH|4997956278323410664</stp>
        <tr r="G32" s="21"/>
      </tp>
      <tp t="e">
        <v>#N/A</v>
        <stp/>
        <stp>BDH|1657646685715850598</stp>
        <tr r="Q128" s="18"/>
      </tp>
      <tp t="e">
        <v>#N/A</v>
        <stp/>
        <stp>BDH|5764248371729404600</stp>
        <tr r="R22" s="24"/>
      </tp>
      <tp t="e">
        <v>#N/A</v>
        <stp/>
        <stp>BDH|7174989169797510031</stp>
        <tr r="S25" s="13"/>
      </tp>
      <tp t="e">
        <v>#N/A</v>
        <stp/>
        <stp>BDH|5555208704089066173</stp>
        <tr r="S34" s="5"/>
        <tr r="T32" s="29"/>
      </tp>
      <tp t="e">
        <v>#N/A</v>
        <stp/>
        <stp>BDH|2157905552071690032</stp>
        <tr r="N34" s="24"/>
      </tp>
      <tp t="e">
        <v>#N/A</v>
        <stp/>
        <stp>BDH|8668714903900406060</stp>
        <tr r="X8" s="10"/>
      </tp>
      <tp t="e">
        <v>#N/A</v>
        <stp/>
        <stp>BDH|6323219266574236906</stp>
        <tr r="S72" s="17"/>
      </tp>
      <tp t="e">
        <v>#N/A</v>
        <stp/>
        <stp>BDH|4167710497942805794</stp>
        <tr r="C40" s="34"/>
      </tp>
      <tp t="e">
        <v>#N/A</v>
        <stp/>
        <stp>BDH|7629629473768168101</stp>
        <tr r="W7" s="6"/>
      </tp>
      <tp t="e">
        <v>#N/A</v>
        <stp/>
        <stp>BDH|2590500133292564956</stp>
        <tr r="V22" s="14"/>
      </tp>
      <tp t="e">
        <v>#N/A</v>
        <stp/>
        <stp>BDH|2022584816670886903</stp>
        <tr r="T27" s="22"/>
      </tp>
      <tp t="e">
        <v>#N/A</v>
        <stp/>
        <stp>BDH|1694351686474764140</stp>
        <tr r="C16" s="12"/>
      </tp>
      <tp t="e">
        <v>#N/A</v>
        <stp/>
        <stp>BDH|6447078384112842394</stp>
        <tr r="Q25" s="2"/>
        <tr r="S60" s="21"/>
      </tp>
      <tp t="e">
        <v>#N/A</v>
        <stp/>
        <stp>BDH|2180446983783251221</stp>
        <tr r="S22" s="22"/>
      </tp>
      <tp t="e">
        <v>#N/A</v>
        <stp/>
        <stp>BDH|1499010244758242256</stp>
        <tr r="K58" s="6"/>
      </tp>
      <tp t="e">
        <v>#N/A</v>
        <stp/>
        <stp>BDH|8017721964931836784</stp>
        <tr r="M59" s="17"/>
      </tp>
      <tp t="e">
        <v>#N/A</v>
        <stp/>
        <stp>BDH|7555912265662285548</stp>
        <tr r="Z13" s="25"/>
      </tp>
      <tp t="e">
        <v>#N/A</v>
        <stp/>
        <stp>BDH|7759824047091350565</stp>
        <tr r="AA49" s="18"/>
      </tp>
      <tp t="e">
        <v>#N/A</v>
        <stp/>
        <stp>BDH|1622841195297338833</stp>
        <tr r="K11" s="9"/>
      </tp>
      <tp t="e">
        <v>#N/A</v>
        <stp/>
        <stp>BDH|4367631830269021776</stp>
        <tr r="V133" s="18"/>
      </tp>
      <tp t="e">
        <v>#N/A</v>
        <stp/>
        <stp>BDH|1783948753456550421</stp>
        <tr r="W138" s="18"/>
      </tp>
      <tp t="e">
        <v>#N/A</v>
        <stp/>
        <stp>BDH|7387147965807512806</stp>
        <tr r="D26" s="18"/>
      </tp>
      <tp t="e">
        <v>#N/A</v>
        <stp/>
        <stp>BDH|7470389028069644059</stp>
        <tr r="G32" s="24"/>
      </tp>
      <tp t="e">
        <v>#N/A</v>
        <stp/>
        <stp>BDH|8479301431174666342</stp>
        <tr r="M21" s="21"/>
      </tp>
      <tp t="e">
        <v>#N/A</v>
        <stp/>
        <stp>BDH|5434604872402856995</stp>
        <tr r="C32" s="24"/>
      </tp>
      <tp t="e">
        <v>#N/A</v>
        <stp/>
        <stp>BDH|8591975967388054028</stp>
        <tr r="T35" s="34"/>
      </tp>
      <tp t="e">
        <v>#N/A</v>
        <stp/>
        <stp>BDH|3066740726581420813</stp>
        <tr r="M70" s="18"/>
      </tp>
      <tp t="e">
        <v>#N/A</v>
        <stp/>
        <stp>BDH|3056198520647772899</stp>
        <tr r="Y38" s="17"/>
      </tp>
      <tp t="e">
        <v>#N/A</v>
        <stp/>
        <stp>BDH|6174655446153466810</stp>
        <tr r="M25" s="5"/>
      </tp>
      <tp t="e">
        <v>#N/A</v>
        <stp/>
        <stp>BDH|8043057198139215787</stp>
        <tr r="H107" s="18"/>
      </tp>
      <tp t="e">
        <v>#N/A</v>
        <stp/>
        <stp>BDH|3563911866686334566</stp>
        <tr r="L43" s="13"/>
      </tp>
      <tp t="e">
        <v>#N/A</v>
        <stp/>
        <stp>BDH|7645077031122044972</stp>
        <tr r="D11" s="24"/>
      </tp>
      <tp t="e">
        <v>#N/A</v>
        <stp/>
        <stp>BDH|1759305282044770153</stp>
        <tr r="K77" s="17"/>
      </tp>
      <tp t="e">
        <v>#N/A</v>
        <stp/>
        <stp>BDH|5600781101524008980</stp>
        <tr r="L61" s="24"/>
      </tp>
      <tp t="e">
        <v>#N/A</v>
        <stp/>
        <stp>BDH|7479973215418641870</stp>
        <tr r="Z12" s="24"/>
      </tp>
      <tp t="e">
        <v>#N/A</v>
        <stp/>
        <stp>BDH|1968466140468008683</stp>
        <tr r="J44" s="12"/>
      </tp>
      <tp t="e">
        <v>#N/A</v>
        <stp/>
        <stp>BDH|7373851174855605239</stp>
        <tr r="D17" s="6"/>
      </tp>
      <tp t="e">
        <v>#N/A</v>
        <stp/>
        <stp>BDH|7828722494261819715</stp>
        <tr r="N14" s="22"/>
      </tp>
      <tp t="e">
        <v>#N/A</v>
        <stp/>
        <stp>BDH|8646082283018889728</stp>
        <tr r="S84" s="18"/>
      </tp>
      <tp t="e">
        <v>#N/A</v>
        <stp/>
        <stp>BDH|4389646265632160948</stp>
        <tr r="O45" s="17"/>
      </tp>
      <tp t="e">
        <v>#N/A</v>
        <stp/>
        <stp>BDH|5897217561109714787</stp>
        <tr r="D14" s="29"/>
        <tr r="D23" s="29"/>
        <tr r="D37" s="29"/>
      </tp>
      <tp t="e">
        <v>#N/A</v>
        <stp/>
        <stp>BDH|1490280189466455261</stp>
        <tr r="D83" s="12"/>
      </tp>
      <tp t="e">
        <v>#N/A</v>
        <stp/>
        <stp>BDH|3360543788176892704</stp>
        <tr r="R24" s="9"/>
      </tp>
      <tp t="e">
        <v>#N/A</v>
        <stp/>
        <stp>BDH|6884995353287600236</stp>
        <tr r="K59" s="13"/>
      </tp>
      <tp t="e">
        <v>#N/A</v>
        <stp/>
        <stp>BDH|6441863731456738438</stp>
        <tr r="J32" s="17"/>
      </tp>
      <tp t="e">
        <v>#N/A</v>
        <stp/>
        <stp>BDH|2337019664023861897</stp>
        <tr r="N120" s="18"/>
      </tp>
      <tp t="e">
        <v>#N/A</v>
        <stp/>
        <stp>BDH|5350529588377951071</stp>
        <tr r="J34" s="21"/>
      </tp>
      <tp t="e">
        <v>#N/A</v>
        <stp/>
        <stp>BDH|6515356233041759838</stp>
        <tr r="K31" s="17"/>
      </tp>
      <tp t="e">
        <v>#N/A</v>
        <stp/>
        <stp>BDH|9143048726754545012</stp>
        <tr r="N12" s="3"/>
        <tr r="L55" s="10"/>
        <tr r="L47" s="11"/>
        <tr r="L7" s="7"/>
      </tp>
      <tp t="e">
        <v>#N/A</v>
        <stp/>
        <stp>BDH|7587901539604330681</stp>
        <tr r="P14" s="29"/>
        <tr r="P23" s="29"/>
        <tr r="P37" s="29"/>
      </tp>
      <tp t="e">
        <v>#N/A</v>
        <stp/>
        <stp>BDH|2158509387222979285</stp>
        <tr r="Q43" s="21"/>
      </tp>
      <tp t="e">
        <v>#N/A</v>
        <stp/>
        <stp>BDH|7091724743199754215</stp>
        <tr r="H9" s="3"/>
        <tr r="F51" s="10"/>
        <tr r="F43" s="11"/>
        <tr r="F14" s="7"/>
      </tp>
      <tp t="e">
        <v>#N/A</v>
        <stp/>
        <stp>BDH|7684964986951803899</stp>
        <tr r="W9" s="27"/>
      </tp>
      <tp t="e">
        <v>#N/A</v>
        <stp/>
        <stp>BDH|6595454574418126224</stp>
        <tr r="U7" s="30"/>
      </tp>
      <tp t="e">
        <v>#N/A</v>
        <stp/>
        <stp>BDH|8800278332706861026</stp>
        <tr r="Z58" s="21"/>
        <tr r="Z37" s="25"/>
        <tr r="X31" s="4"/>
        <tr r="X54" s="11"/>
      </tp>
      <tp t="e">
        <v>#N/A</v>
        <stp/>
        <stp>BDH|9042135873278658818</stp>
        <tr r="Y27" s="17"/>
      </tp>
      <tp t="e">
        <v>#N/A</v>
        <stp/>
        <stp>BDH|8197916551569244240</stp>
        <tr r="L29" s="29"/>
        <tr r="L7" s="29"/>
      </tp>
      <tp t="e">
        <v>#N/A</v>
        <stp/>
        <stp>BDH|4045520219757543899</stp>
        <tr r="C14" s="29"/>
        <tr r="C23" s="29"/>
        <tr r="C37" s="29"/>
      </tp>
      <tp t="e">
        <v>#N/A</v>
        <stp/>
        <stp>BDH|3449913213060392420</stp>
        <tr r="D56" s="13"/>
      </tp>
      <tp t="e">
        <v>#N/A</v>
        <stp/>
        <stp>BDH|6150749815577250852</stp>
        <tr r="S59" s="17"/>
      </tp>
      <tp t="e">
        <v>#N/A</v>
        <stp/>
        <stp>BDH|7480606863199598167</stp>
        <tr r="D56" s="11"/>
      </tp>
      <tp t="e">
        <v>#N/A</v>
        <stp/>
        <stp>BDH|9439204534410639720</stp>
        <tr r="M26" s="24"/>
      </tp>
      <tp t="e">
        <v>#N/A</v>
        <stp/>
        <stp>BDH|7812235727418051085</stp>
        <tr r="W46" s="12"/>
      </tp>
      <tp t="e">
        <v>#N/A</v>
        <stp/>
        <stp>BDH|8747067926456767341</stp>
        <tr r="T88" s="17"/>
      </tp>
      <tp t="e">
        <v>#N/A</v>
        <stp/>
        <stp>BDH|2289137573312392955</stp>
        <tr r="M44" s="21"/>
      </tp>
      <tp t="e">
        <v>#N/A</v>
        <stp/>
        <stp>BDH|6751564517944121939</stp>
        <tr r="V29" s="4"/>
      </tp>
      <tp t="e">
        <v>#N/A</v>
        <stp/>
        <stp>BDH|5934958913533840139</stp>
        <tr r="D7" s="8"/>
      </tp>
      <tp t="e">
        <v>#N/A</v>
        <stp/>
        <stp>BDH|2613934166255418735</stp>
        <tr r="O34" s="10"/>
        <tr r="O26" s="11"/>
      </tp>
      <tp t="e">
        <v>#N/A</v>
        <stp/>
        <stp>BDH|3752221980481026710</stp>
        <tr r="T69" s="10"/>
      </tp>
      <tp t="e">
        <v>#N/A</v>
        <stp/>
        <stp>BDH|9426077715043625445</stp>
        <tr r="I15" s="21"/>
      </tp>
      <tp t="e">
        <v>#N/A</v>
        <stp/>
        <stp>BDH|3151848393859646443</stp>
        <tr r="R36" s="22"/>
      </tp>
      <tp t="e">
        <v>#N/A</v>
        <stp/>
        <stp>BDH|6428342105633115905</stp>
        <tr r="K31" s="18"/>
      </tp>
      <tp t="e">
        <v>#N/A</v>
        <stp/>
        <stp>BDH|6146512964013777973</stp>
        <tr r="M12" s="3"/>
        <tr r="K55" s="10"/>
        <tr r="K47" s="11"/>
        <tr r="K7" s="7"/>
      </tp>
      <tp t="e">
        <v>#N/A</v>
        <stp/>
        <stp>BDH|3197933485944453972</stp>
        <tr r="D117" s="18"/>
      </tp>
      <tp t="e">
        <v>#N/A</v>
        <stp/>
        <stp>BDH|3947485229192429886</stp>
        <tr r="S78" s="24"/>
      </tp>
      <tp t="e">
        <v>#N/A</v>
        <stp/>
        <stp>BDH|1888535296497085595</stp>
        <tr r="L12" s="7"/>
      </tp>
      <tp t="e">
        <v>#N/A</v>
        <stp/>
        <stp>BDH|5582871435153082234</stp>
        <tr r="O35" s="22"/>
      </tp>
      <tp t="e">
        <v>#N/A</v>
        <stp/>
        <stp>BDH|7662062898547421684</stp>
        <tr r="D76" s="12"/>
      </tp>
      <tp t="e">
        <v>#N/A</v>
        <stp/>
        <stp>BDH|9465171561507449621</stp>
        <tr r="S20" s="23"/>
      </tp>
      <tp t="e">
        <v>#N/A</v>
        <stp/>
        <stp>BDH|4361483346579935205</stp>
        <tr r="M39" s="4"/>
        <tr r="M66" s="10"/>
      </tp>
      <tp t="e">
        <v>#N/A</v>
        <stp/>
        <stp>BDH|1043636484331345103</stp>
        <tr r="T9" s="27"/>
      </tp>
      <tp t="e">
        <v>#N/A</v>
        <stp/>
        <stp>BDH|8016511992649155265</stp>
        <tr r="AA7" s="17"/>
      </tp>
      <tp t="e">
        <v>#N/A</v>
        <stp/>
        <stp>BDH|1855327061668829370</stp>
        <tr r="J71" s="17"/>
      </tp>
      <tp t="e">
        <v>#N/A</v>
        <stp/>
        <stp>BDH|4464960817295090614</stp>
        <tr r="D134" s="18"/>
      </tp>
      <tp t="e">
        <v>#N/A</v>
        <stp/>
        <stp>BDH|4331727947908062022</stp>
        <tr r="E83" s="12"/>
      </tp>
      <tp t="e">
        <v>#N/A</v>
        <stp/>
        <stp>BDH|3062463283226172608</stp>
        <tr r="F68" s="10"/>
      </tp>
      <tp t="e">
        <v>#N/A</v>
        <stp/>
        <stp>BDH|6958076739238380202</stp>
        <tr r="T33" s="22"/>
      </tp>
      <tp t="e">
        <v>#N/A</v>
        <stp/>
        <stp>BDH|6211312396992341125</stp>
        <tr r="E43" s="17"/>
      </tp>
      <tp t="e">
        <v>#N/A</v>
        <stp/>
        <stp>BDH|8397154174742449325</stp>
        <tr r="I7" s="10"/>
      </tp>
      <tp t="e">
        <v>#N/A</v>
        <stp/>
        <stp>BDH|1461316224759240679</stp>
        <tr r="Q21" s="3"/>
      </tp>
      <tp t="e">
        <v>#N/A</v>
        <stp/>
        <stp>BDH|4557527186640485616</stp>
        <tr r="Z19" s="25"/>
      </tp>
      <tp t="e">
        <v>#N/A</v>
        <stp/>
        <stp>BDH|9087534226664802590</stp>
        <tr r="U36" s="22"/>
      </tp>
      <tp t="e">
        <v>#N/A</v>
        <stp/>
        <stp>BDH|4450540282926672001</stp>
        <tr r="X40" s="18"/>
      </tp>
      <tp t="e">
        <v>#N/A</v>
        <stp/>
        <stp>BDH|8282209827953523440</stp>
        <tr r="T26" s="14"/>
      </tp>
      <tp t="e">
        <v>#N/A</v>
        <stp/>
        <stp>BDH|5068398430302452892</stp>
        <tr r="M39" s="34"/>
      </tp>
      <tp t="e">
        <v>#N/A</v>
        <stp/>
        <stp>BDH|9369057439903975625</stp>
        <tr r="X67" s="10"/>
      </tp>
      <tp t="e">
        <v>#N/A</v>
        <stp/>
        <stp>BDH|6394367922889134128</stp>
        <tr r="J70" s="12"/>
      </tp>
      <tp t="e">
        <v>#N/A</v>
        <stp/>
        <stp>BDH|5459102046539685607</stp>
        <tr r="N116" s="18"/>
      </tp>
      <tp t="e">
        <v>#N/A</v>
        <stp/>
        <stp>BDH|3839346268021591850</stp>
        <tr r="H21" s="6"/>
      </tp>
      <tp t="e">
        <v>#N/A</v>
        <stp/>
        <stp>BDH|1201427099363591083</stp>
        <tr r="P33" s="24"/>
      </tp>
      <tp t="e">
        <v>#N/A</v>
        <stp/>
        <stp>BDH|4611260907051762849</stp>
        <tr r="K8" s="6"/>
      </tp>
      <tp t="e">
        <v>#N/A</v>
        <stp/>
        <stp>BDH|4324125694831693267</stp>
        <tr r="AA27" s="25"/>
        <tr r="AA13" s="27"/>
      </tp>
      <tp t="e">
        <v>#N/A</v>
        <stp/>
        <stp>BDH|9437610766100172674</stp>
        <tr r="V55" s="12"/>
      </tp>
      <tp t="e">
        <v>#N/A</v>
        <stp/>
        <stp>BDH|5520310887846631708</stp>
        <tr r="J83" s="18"/>
      </tp>
      <tp t="e">
        <v>#N/A</v>
        <stp/>
        <stp>BDH|8065777451781627455</stp>
        <tr r="O104" s="18"/>
      </tp>
      <tp t="e">
        <v>#N/A</v>
        <stp/>
        <stp>BDH|9036207517913599675</stp>
        <tr r="P28" s="34"/>
      </tp>
      <tp t="e">
        <v>#N/A</v>
        <stp/>
        <stp>BDH|4746753227889480747</stp>
        <tr r="L54" s="12"/>
      </tp>
      <tp t="e">
        <v>#N/A</v>
        <stp/>
        <stp>BDH|2778311828434921822</stp>
        <tr r="O11" s="11"/>
      </tp>
      <tp t="e">
        <v>#N/A</v>
        <stp/>
        <stp>BDH|4442864058783616594</stp>
        <tr r="K51" s="17"/>
        <tr r="K17" s="3"/>
      </tp>
      <tp t="e">
        <v>#N/A</v>
        <stp/>
        <stp>BDH|9233297787254179883</stp>
        <tr r="C79" s="12"/>
      </tp>
      <tp t="e">
        <v>#N/A</v>
        <stp/>
        <stp>BDH|3707330105319751633</stp>
        <tr r="K73" s="10"/>
        <tr r="K65" s="11"/>
      </tp>
      <tp t="e">
        <v>#N/A</v>
        <stp/>
        <stp>BDH|8144551930394764565</stp>
        <tr r="P31" s="5"/>
      </tp>
      <tp t="e">
        <v>#N/A</v>
        <stp/>
        <stp>BDH|6432072896515789579</stp>
        <tr r="V71" s="24"/>
      </tp>
      <tp t="e">
        <v>#N/A</v>
        <stp/>
        <stp>BDH|8442415375123144740</stp>
        <tr r="S19" s="11"/>
      </tp>
      <tp t="e">
        <v>#N/A</v>
        <stp/>
        <stp>BDH|7923244694711406286</stp>
        <tr r="C21" s="24"/>
      </tp>
      <tp t="e">
        <v>#N/A</v>
        <stp/>
        <stp>BDH|6037762564779236152</stp>
        <tr r="E7" s="30"/>
      </tp>
      <tp t="e">
        <v>#N/A</v>
        <stp/>
        <stp>BDH|6807012762226938974</stp>
        <tr r="D16" s="22"/>
      </tp>
      <tp t="e">
        <v>#N/A</v>
        <stp/>
        <stp>BDH|9228751252861893584</stp>
        <tr r="V8" s="28"/>
      </tp>
      <tp t="e">
        <v>#N/A</v>
        <stp/>
        <stp>BDH|6142334062995214971</stp>
        <tr r="X102" s="18"/>
      </tp>
      <tp t="e">
        <v>#N/A</v>
        <stp/>
        <stp>BDH|9615205097864203964</stp>
        <tr r="J15" s="29"/>
        <tr r="J38" s="29"/>
      </tp>
      <tp t="e">
        <v>#N/A</v>
        <stp/>
        <stp>BDH|8420234075581484333</stp>
        <tr r="P39" s="17"/>
      </tp>
      <tp t="e">
        <v>#N/A</v>
        <stp/>
        <stp>BDH|4795616347808698125</stp>
        <tr r="S34" s="17"/>
      </tp>
      <tp t="e">
        <v>#N/A</v>
        <stp/>
        <stp>BDH|1969031158753732808</stp>
        <tr r="M16" s="24"/>
      </tp>
      <tp t="e">
        <v>#N/A</v>
        <stp/>
        <stp>BDH|6756935817015436428</stp>
        <tr r="D25" s="3"/>
      </tp>
      <tp t="e">
        <v>#N/A</v>
        <stp/>
        <stp>BDH|4021838912634701637</stp>
        <tr r="O19" s="18"/>
      </tp>
      <tp t="e">
        <v>#N/A</v>
        <stp/>
        <stp>BDH|4500000381030330329</stp>
        <tr r="M58" s="17"/>
      </tp>
      <tp t="e">
        <v>#N/A</v>
        <stp/>
        <stp>BDH|7211097069857745900</stp>
        <tr r="R37" s="24"/>
      </tp>
      <tp t="e">
        <v>#N/A</v>
        <stp/>
        <stp>BDH|7586356294262357024</stp>
        <tr r="D68" s="10"/>
      </tp>
      <tp t="e">
        <v>#N/A</v>
        <stp/>
        <stp>BDH|5946950920881170086</stp>
        <tr r="M23" s="13"/>
      </tp>
      <tp t="e">
        <v>#N/A</v>
        <stp/>
        <stp>BDH|3769909422543119416</stp>
        <tr r="F21" s="2"/>
      </tp>
      <tp t="e">
        <v>#N/A</v>
        <stp/>
        <stp>BDH|6586414634249666735</stp>
        <tr r="S92" s="17"/>
        <tr r="S13" s="28"/>
      </tp>
      <tp t="e">
        <v>#N/A</v>
        <stp/>
        <stp>BDH|9345779194181121943</stp>
        <tr r="L63" s="10"/>
      </tp>
      <tp t="e">
        <v>#N/A</v>
        <stp/>
        <stp>BDH|1771019508669259790</stp>
        <tr r="N59" s="13"/>
      </tp>
      <tp t="e">
        <v>#N/A</v>
        <stp/>
        <stp>BDH|2117901665811560342</stp>
        <tr r="M65" s="12"/>
      </tp>
      <tp t="e">
        <v>#N/A</v>
        <stp/>
        <stp>BDH|8386763006917753718</stp>
        <tr r="J77" s="17"/>
      </tp>
      <tp t="e">
        <v>#N/A</v>
        <stp/>
        <stp>BDH|9976235519733598633</stp>
        <tr r="K22" s="11"/>
      </tp>
      <tp t="e">
        <v>#N/A</v>
        <stp/>
        <stp>BDH|2759130137336201949</stp>
        <tr r="Z93" s="17"/>
      </tp>
      <tp t="e">
        <v>#N/A</v>
        <stp/>
        <stp>BDH|9101469506686226462</stp>
        <tr r="O88" s="12"/>
      </tp>
      <tp t="e">
        <v>#N/A</v>
        <stp/>
        <stp>BDH|3926081466119356319</stp>
        <tr r="C44" s="21"/>
      </tp>
      <tp t="e">
        <v>#N/A</v>
        <stp/>
        <stp>BDH|6766048002089039043</stp>
        <tr r="J6" s="2"/>
        <tr r="I6" s="5"/>
        <tr r="I6" s="9"/>
        <tr r="K12" s="8"/>
        <tr r="J10" s="29"/>
        <tr r="J19" s="29"/>
        <tr r="J25" s="29"/>
      </tp>
      <tp t="e">
        <v>#N/A</v>
        <stp/>
        <stp>BDH|6005523306274462859</stp>
        <tr r="H32" s="21"/>
      </tp>
      <tp t="e">
        <v>#N/A</v>
        <stp/>
        <stp>BDH|4944508557172868935</stp>
        <tr r="R9" s="12"/>
      </tp>
      <tp t="e">
        <v>#N/A</v>
        <stp/>
        <stp>BDH|7347333645786676969</stp>
        <tr r="Z32" s="17"/>
      </tp>
      <tp t="e">
        <v>#N/A</v>
        <stp/>
        <stp>BDH|24704245897436653</stp>
        <tr r="R11" s="17"/>
      </tp>
      <tp t="e">
        <v>#N/A</v>
        <stp/>
        <stp>BDH|19774673971500356</stp>
        <tr r="Y125" s="18"/>
      </tp>
      <tp t="e">
        <v>#N/A</v>
        <stp/>
        <stp>BDH|35011440310487674</stp>
        <tr r="F78" s="24"/>
      </tp>
      <tp t="e">
        <v>#N/A</v>
        <stp/>
        <stp>BDH|92400709165301398</stp>
        <tr r="K71" s="24"/>
      </tp>
      <tp t="e">
        <v>#N/A</v>
        <stp/>
        <stp>BDH|26778549412965367</stp>
        <tr r="J27" s="24"/>
      </tp>
      <tp t="e">
        <v>#N/A</v>
        <stp/>
        <stp>BDH|25668636392255583</stp>
        <tr r="C25" s="10"/>
        <tr r="E31" s="13"/>
      </tp>
      <tp t="e">
        <v>#N/A</v>
        <stp/>
        <stp>BDH|25345651774871057</stp>
        <tr r="P31" s="26"/>
        <tr r="M14" s="9"/>
      </tp>
      <tp t="e">
        <v>#N/A</v>
        <stp/>
        <stp>BDH|55811575005519894</stp>
        <tr r="N8" s="28"/>
      </tp>
      <tp t="e">
        <v>#N/A</v>
        <stp/>
        <stp>BDH|52998954478518618</stp>
        <tr r="P130" s="18"/>
      </tp>
      <tp t="e">
        <v>#N/A</v>
        <stp/>
        <stp>BDH|7819411684324044776</stp>
        <tr r="Y44" s="13"/>
      </tp>
      <tp t="e">
        <v>#N/A</v>
        <stp/>
        <stp>BDH|1671078789271381015</stp>
        <tr r="Y8" s="24"/>
      </tp>
      <tp t="e">
        <v>#N/A</v>
        <stp/>
        <stp>BDH|7914854100380321754</stp>
        <tr r="J9" s="26"/>
      </tp>
      <tp t="e">
        <v>#N/A</v>
        <stp/>
        <stp>BDH|6728782465968885781</stp>
        <tr r="R43" s="29"/>
      </tp>
      <tp t="e">
        <v>#N/A</v>
        <stp/>
        <stp>BDH|9554056673401975703</stp>
        <tr r="H40" s="18"/>
      </tp>
      <tp t="e">
        <v>#N/A</v>
        <stp/>
        <stp>BDH|1886658308147753887</stp>
        <tr r="N13" s="30"/>
      </tp>
      <tp t="e">
        <v>#N/A</v>
        <stp/>
        <stp>BDH|4184674883977862570</stp>
        <tr r="W87" s="18"/>
      </tp>
      <tp t="e">
        <v>#N/A</v>
        <stp/>
        <stp>BDH|6044637989873510358</stp>
        <tr r="P13" s="21"/>
      </tp>
      <tp t="e">
        <v>#N/A</v>
        <stp/>
        <stp>BDH|9734792062051373153</stp>
        <tr r="M64" s="21"/>
        <tr r="J31" s="6"/>
      </tp>
      <tp t="e">
        <v>#N/A</v>
        <stp/>
        <stp>BDH|9768372898678255302</stp>
        <tr r="U20" s="2"/>
        <tr r="U18" s="4"/>
        <tr r="U58" s="10"/>
        <tr r="U50" s="11"/>
        <tr r="U19" s="7"/>
        <tr r="W65" s="13"/>
      </tp>
      <tp t="e">
        <v>#N/A</v>
        <stp/>
        <stp>BDH|6574188945832651947</stp>
        <tr r="E16" s="14"/>
      </tp>
      <tp t="e">
        <v>#N/A</v>
        <stp/>
        <stp>BDH|9709351115410816351</stp>
        <tr r="K64" s="13"/>
      </tp>
      <tp t="e">
        <v>#N/A</v>
        <stp/>
        <stp>BDH|9539436742663979270</stp>
        <tr r="E11" s="17"/>
      </tp>
      <tp t="e">
        <v>#N/A</v>
        <stp/>
        <stp>BDH|9261890058498074492</stp>
        <tr r="J44" s="22"/>
      </tp>
      <tp t="e">
        <v>#N/A</v>
        <stp/>
        <stp>BDH|3177261426339929220</stp>
        <tr r="J23" s="13"/>
      </tp>
      <tp t="e">
        <v>#N/A</v>
        <stp/>
        <stp>BDH|1717171098302267303</stp>
        <tr r="O43" s="18"/>
      </tp>
      <tp t="e">
        <v>#N/A</v>
        <stp/>
        <stp>BDH|9838004120430620347</stp>
        <tr r="T42" s="10"/>
        <tr r="T34" s="11"/>
      </tp>
      <tp t="e">
        <v>#N/A</v>
        <stp/>
        <stp>BDH|5232859166485975620</stp>
        <tr r="K54" s="12"/>
      </tp>
      <tp t="e">
        <v>#N/A</v>
        <stp/>
        <stp>BDH|3686218057308891422</stp>
        <tr r="S84" s="12"/>
      </tp>
      <tp t="e">
        <v>#N/A</v>
        <stp/>
        <stp>BDH|5026869070376970457</stp>
        <tr r="D22" s="17"/>
      </tp>
      <tp t="e">
        <v>#N/A</v>
        <stp/>
        <stp>BDH|2041989479771961527</stp>
        <tr r="Q33" s="12"/>
      </tp>
      <tp t="e">
        <v>#N/A</v>
        <stp/>
        <stp>BDH|9184796670692456366</stp>
        <tr r="K31" s="9"/>
      </tp>
      <tp t="e">
        <v>#N/A</v>
        <stp/>
        <stp>BDH|8972119971254200217</stp>
        <tr r="G17" s="14"/>
      </tp>
      <tp t="e">
        <v>#N/A</v>
        <stp/>
        <stp>BDH|6530469528590823896</stp>
        <tr r="X8" s="17"/>
      </tp>
      <tp t="e">
        <v>#N/A</v>
        <stp/>
        <stp>BDH|7748012248703395873</stp>
        <tr r="J32" s="26"/>
      </tp>
      <tp t="e">
        <v>#N/A</v>
        <stp/>
        <stp>BDH|1095382329521976923</stp>
        <tr r="O26" s="17"/>
      </tp>
      <tp t="e">
        <v>#N/A</v>
        <stp/>
        <stp>BDH|1116117603570099890</stp>
        <tr r="D53" s="10"/>
        <tr r="D45" s="11"/>
        <tr r="D16" s="7"/>
      </tp>
      <tp t="e">
        <v>#N/A</v>
        <stp/>
        <stp>BDH|8976162644236923389</stp>
        <tr r="C61" s="11"/>
      </tp>
      <tp t="e">
        <v>#N/A</v>
        <stp/>
        <stp>BDH|8335480172481521269</stp>
        <tr r="J9" s="13"/>
      </tp>
      <tp t="e">
        <v>#N/A</v>
        <stp/>
        <stp>BDH|6290754878337311963</stp>
        <tr r="F36" s="22"/>
      </tp>
      <tp t="e">
        <v>#N/A</v>
        <stp/>
        <stp>BDH|6006838736791967466</stp>
        <tr r="Q60" s="12"/>
      </tp>
      <tp t="e">
        <v>#N/A</v>
        <stp/>
        <stp>BDH|7704779372769042684</stp>
        <tr r="H49" s="22"/>
      </tp>
      <tp t="e">
        <v>#N/A</v>
        <stp/>
        <stp>BDH|7188480274238777403</stp>
        <tr r="Z8" s="22"/>
      </tp>
      <tp t="e">
        <v>#N/A</v>
        <stp/>
        <stp>BDH|3141804247456902145</stp>
        <tr r="Q10" s="2"/>
        <tr r="P11" s="5"/>
        <tr r="P55" s="6"/>
        <tr r="Q33" s="29"/>
        <tr r="Q42" s="29"/>
      </tp>
      <tp t="e">
        <v>#N/A</v>
        <stp/>
        <stp>BDH|4020477647959285595</stp>
        <tr r="T108" s="18"/>
      </tp>
      <tp t="e">
        <v>#N/A</v>
        <stp/>
        <stp>BDH|7964402229000900925</stp>
        <tr r="J18" s="20"/>
      </tp>
      <tp t="e">
        <v>#N/A</v>
        <stp/>
        <stp>BDH|1833647104048009737</stp>
        <tr r="W34" s="14"/>
      </tp>
      <tp t="e">
        <v>#N/A</v>
        <stp/>
        <stp>BDH|9470041971553285588</stp>
        <tr r="X44" s="13"/>
      </tp>
      <tp t="e">
        <v>#N/A</v>
        <stp/>
        <stp>BDH|1437624314567820912</stp>
        <tr r="J10" s="24"/>
      </tp>
      <tp t="e">
        <v>#N/A</v>
        <stp/>
        <stp>BDH|5193455857849923514</stp>
        <tr r="N49" s="18"/>
      </tp>
      <tp t="e">
        <v>#N/A</v>
        <stp/>
        <stp>BDH|3317793085277514314</stp>
        <tr r="Q8" s="22"/>
      </tp>
      <tp t="e">
        <v>#N/A</v>
        <stp/>
        <stp>BDH|6271294200618786478</stp>
        <tr r="P9" s="3"/>
        <tr r="N51" s="10"/>
        <tr r="N43" s="11"/>
        <tr r="N14" s="7"/>
      </tp>
      <tp t="e">
        <v>#N/A</v>
        <stp/>
        <stp>BDH|8058324723276875721</stp>
        <tr r="X28" s="25"/>
        <tr r="X14" s="27"/>
      </tp>
      <tp t="e">
        <v>#N/A</v>
        <stp/>
        <stp>BDH|5048921745373851346</stp>
        <tr r="I38" s="12"/>
      </tp>
      <tp t="e">
        <v>#N/A</v>
        <stp/>
        <stp>BDH|9396798815235728235</stp>
        <tr r="AA27" s="34"/>
      </tp>
      <tp t="e">
        <v>#N/A</v>
        <stp/>
        <stp>BDH|4586003399336759309</stp>
        <tr r="M7" s="34"/>
      </tp>
      <tp t="e">
        <v>#N/A</v>
        <stp/>
        <stp>BDH|1876831047454356140</stp>
        <tr r="N12" s="22"/>
      </tp>
      <tp t="e">
        <v>#N/A</v>
        <stp/>
        <stp>BDH|9212073500736628780</stp>
        <tr r="J43" s="29"/>
      </tp>
      <tp t="e">
        <v>#N/A</v>
        <stp/>
        <stp>BDH|8378641955094816710</stp>
        <tr r="R54" s="24"/>
      </tp>
      <tp t="e">
        <v>#N/A</v>
        <stp/>
        <stp>BDH|3236211180654007582</stp>
        <tr r="J8" s="10"/>
      </tp>
      <tp t="e">
        <v>#N/A</v>
        <stp/>
        <stp>BDH|1671312149889256771</stp>
        <tr r="T87" s="18"/>
      </tp>
      <tp t="e">
        <v>#N/A</v>
        <stp/>
        <stp>BDH|4684277081502226490</stp>
        <tr r="K78" s="24"/>
      </tp>
      <tp t="e">
        <v>#N/A</v>
        <stp/>
        <stp>BDH|8278139424713701092</stp>
        <tr r="R88" s="18"/>
      </tp>
      <tp t="e">
        <v>#N/A</v>
        <stp/>
        <stp>BDH|8741992754894622876</stp>
        <tr r="C65" s="18"/>
      </tp>
      <tp t="e">
        <v>#N/A</v>
        <stp/>
        <stp>BDH|3918894322832182388</stp>
        <tr r="R34" s="14"/>
      </tp>
      <tp t="e">
        <v>#N/A</v>
        <stp/>
        <stp>BDH|1583933868570758627</stp>
        <tr r="C31" s="13"/>
      </tp>
      <tp t="e">
        <v>#N/A</v>
        <stp/>
        <stp>BDH|6569818497619849600</stp>
        <tr r="P20" s="22"/>
      </tp>
      <tp t="e">
        <v>#N/A</v>
        <stp/>
        <stp>BDH|6083255638069190678</stp>
        <tr r="J73" s="10"/>
        <tr r="J65" s="11"/>
      </tp>
      <tp t="e">
        <v>#N/A</v>
        <stp/>
        <stp>BDH|5742800348305186450</stp>
        <tr r="K8" s="21"/>
      </tp>
      <tp t="e">
        <v>#N/A</v>
        <stp/>
        <stp>BDH|8289345809801336279</stp>
        <tr r="P31" s="21"/>
      </tp>
      <tp t="e">
        <v>#N/A</v>
        <stp/>
        <stp>BDH|7746425433921939945</stp>
        <tr r="K24" s="21"/>
      </tp>
      <tp t="e">
        <v>#N/A</v>
        <stp/>
        <stp>BDH|1093900556057900278</stp>
        <tr r="H28" s="26"/>
      </tp>
      <tp t="e">
        <v>#N/A</v>
        <stp/>
        <stp>BDH|5882507937928541323</stp>
        <tr r="T29" s="29"/>
        <tr r="T7" s="29"/>
      </tp>
      <tp t="e">
        <v>#N/A</v>
        <stp/>
        <stp>BDH|7162608388409485852</stp>
        <tr r="P9" s="29"/>
      </tp>
      <tp t="e">
        <v>#N/A</v>
        <stp/>
        <stp>BDH|9938650183797250852</stp>
        <tr r="Y9" s="27"/>
      </tp>
      <tp t="e">
        <v>#N/A</v>
        <stp/>
        <stp>BDH|8769861088210979081</stp>
        <tr r="T9" s="2"/>
        <tr r="V8" s="25"/>
        <tr r="S10" s="5"/>
      </tp>
      <tp t="e">
        <v>#N/A</v>
        <stp/>
        <stp>BDH|6176161691463665587</stp>
        <tr r="S18" s="22"/>
      </tp>
      <tp t="e">
        <v>#N/A</v>
        <stp/>
        <stp>BDH|5100719819958252336</stp>
        <tr r="K15" s="11"/>
      </tp>
      <tp t="e">
        <v>#N/A</v>
        <stp/>
        <stp>BDH|9311466111641910552</stp>
        <tr r="U32" s="6"/>
      </tp>
      <tp t="e">
        <v>#N/A</v>
        <stp/>
        <stp>BDH|6050233480250861430</stp>
        <tr r="Z66" s="12"/>
      </tp>
      <tp t="e">
        <v>#N/A</v>
        <stp/>
        <stp>BDH|4649987326186004107</stp>
        <tr r="T11" s="7"/>
      </tp>
      <tp t="e">
        <v>#N/A</v>
        <stp/>
        <stp>BDH|6282915828930709541</stp>
        <tr r="P37" s="26"/>
      </tp>
      <tp t="e">
        <v>#N/A</v>
        <stp/>
        <stp>BDH|2920076000228264244</stp>
        <tr r="Y49" s="18"/>
      </tp>
      <tp t="e">
        <v>#N/A</v>
        <stp/>
        <stp>BDH|7156695997774773404</stp>
        <tr r="X23" s="17"/>
      </tp>
      <tp t="e">
        <v>#N/A</v>
        <stp/>
        <stp>BDH|5925871804280341512</stp>
        <tr r="Q58" s="12"/>
      </tp>
      <tp t="e">
        <v>#N/A</v>
        <stp/>
        <stp>BDH|5840891908601922486</stp>
        <tr r="C16" s="29"/>
        <tr r="C39" s="29"/>
      </tp>
      <tp t="e">
        <v>#N/A</v>
        <stp/>
        <stp>BDH|2454088434470742974</stp>
        <tr r="F14" s="29"/>
        <tr r="F23" s="29"/>
        <tr r="F37" s="29"/>
      </tp>
      <tp t="e">
        <v>#N/A</v>
        <stp/>
        <stp>BDH|9785192159802888773</stp>
        <tr r="T30" s="17"/>
      </tp>
      <tp t="e">
        <v>#N/A</v>
        <stp/>
        <stp>BDH|5000499594153773327</stp>
        <tr r="R35" s="21"/>
      </tp>
      <tp t="e">
        <v>#N/A</v>
        <stp/>
        <stp>BDH|9323817489798409979</stp>
        <tr r="G78" s="18"/>
      </tp>
      <tp t="e">
        <v>#N/A</v>
        <stp/>
        <stp>BDH|8561784586839265616</stp>
        <tr r="F27" s="10"/>
        <tr r="H33" s="13"/>
      </tp>
      <tp t="e">
        <v>#N/A</v>
        <stp/>
        <stp>BDH|9632943788822115234</stp>
        <tr r="R8" s="18"/>
      </tp>
      <tp t="e">
        <v>#N/A</v>
        <stp/>
        <stp>BDH|9493718526031296595</stp>
        <tr r="N26" s="13"/>
      </tp>
      <tp t="e">
        <v>#N/A</v>
        <stp/>
        <stp>BDH|1115620145873703895</stp>
        <tr r="D41" s="24"/>
      </tp>
      <tp t="e">
        <v>#N/A</v>
        <stp/>
        <stp>BDH|9732301840110651699</stp>
        <tr r="I31" s="22"/>
      </tp>
      <tp t="e">
        <v>#N/A</v>
        <stp/>
        <stp>BDH|9366338767995988161</stp>
        <tr r="T40" s="24"/>
      </tp>
      <tp t="e">
        <v>#N/A</v>
        <stp/>
        <stp>BDH|5892926264352481034</stp>
        <tr r="X17" s="21"/>
      </tp>
      <tp t="e">
        <v>#N/A</v>
        <stp/>
        <stp>BDH|1127899627063525039</stp>
        <tr r="E48" s="18"/>
      </tp>
      <tp t="e">
        <v>#N/A</v>
        <stp/>
        <stp>BDH|8632795200175045263</stp>
        <tr r="F46" s="21"/>
      </tp>
      <tp t="e">
        <v>#N/A</v>
        <stp/>
        <stp>BDH|8994043567867172126</stp>
        <tr r="N62" s="12"/>
      </tp>
      <tp t="e">
        <v>#N/A</v>
        <stp/>
        <stp>BDH|2229704442329844012</stp>
        <tr r="T17" s="12"/>
      </tp>
      <tp t="e">
        <v>#N/A</v>
        <stp/>
        <stp>BDH|6615616109861752908</stp>
        <tr r="M19" s="30"/>
      </tp>
      <tp t="e">
        <v>#N/A</v>
        <stp/>
        <stp>BDH|9210642763125500497</stp>
        <tr r="K9" s="24"/>
      </tp>
      <tp t="e">
        <v>#N/A</v>
        <stp/>
        <stp>BDH|2386281224973758910</stp>
        <tr r="Y23" s="25"/>
        <tr r="W20" s="11"/>
      </tp>
      <tp t="e">
        <v>#N/A</v>
        <stp/>
        <stp>BDH|9608430221496861156</stp>
        <tr r="N27" s="34"/>
      </tp>
      <tp t="e">
        <v>#N/A</v>
        <stp/>
        <stp>BDH|9634807258935729908</stp>
        <tr r="F29" s="17"/>
      </tp>
      <tp t="e">
        <v>#N/A</v>
        <stp/>
        <stp>BDH|5451186734048723768</stp>
        <tr r="H15" s="26"/>
      </tp>
      <tp t="e">
        <v>#N/A</v>
        <stp/>
        <stp>BDH|6483187453699346354</stp>
        <tr r="Z7" s="17"/>
      </tp>
      <tp t="e">
        <v>#N/A</v>
        <stp/>
        <stp>BDH|4104640128881314971</stp>
        <tr r="V8" s="27"/>
      </tp>
      <tp t="e">
        <v>#N/A</v>
        <stp/>
        <stp>BDH|8413897103289543128</stp>
        <tr r="U11" s="6"/>
      </tp>
      <tp t="e">
        <v>#N/A</v>
        <stp/>
        <stp>BDH|6028099996240632701</stp>
        <tr r="J38" s="24"/>
      </tp>
      <tp t="e">
        <v>#N/A</v>
        <stp/>
        <stp>BDH|8820355160242582716</stp>
        <tr r="Y56" s="17"/>
      </tp>
      <tp t="e">
        <v>#N/A</v>
        <stp/>
        <stp>BDH|2175778939869596735</stp>
        <tr r="G34" s="12"/>
      </tp>
      <tp t="e">
        <v>#N/A</v>
        <stp/>
        <stp>BDH|2631052650028982734</stp>
        <tr r="C74" s="18"/>
      </tp>
      <tp t="e">
        <v>#N/A</v>
        <stp/>
        <stp>BDH|8293111012459994918</stp>
        <tr r="H30" s="22"/>
      </tp>
      <tp t="e">
        <v>#N/A</v>
        <stp/>
        <stp>BDH|3242782583940618463</stp>
        <tr r="E27" s="7"/>
      </tp>
      <tp t="e">
        <v>#N/A</v>
        <stp/>
        <stp>BDH|2009520991743993532</stp>
        <tr r="J8" s="17"/>
      </tp>
      <tp t="e">
        <v>#N/A</v>
        <stp/>
        <stp>BDH|2686924999529160353</stp>
        <tr r="G25" s="26"/>
      </tp>
      <tp t="e">
        <v>#N/A</v>
        <stp/>
        <stp>BDH|1671864929406480543</stp>
        <tr r="G15" s="9"/>
      </tp>
      <tp t="e">
        <v>#N/A</v>
        <stp/>
        <stp>BDH|3610322049799780530</stp>
        <tr r="W28" s="12"/>
      </tp>
      <tp t="e">
        <v>#N/A</v>
        <stp/>
        <stp>BDH|4028122727269596694</stp>
        <tr r="X25" s="7"/>
      </tp>
      <tp t="e">
        <v>#N/A</v>
        <stp/>
        <stp>BDH|7558973119993420463</stp>
        <tr r="D28" s="12"/>
      </tp>
      <tp t="e">
        <v>#N/A</v>
        <stp/>
        <stp>BDH|7378630094303436399</stp>
        <tr r="H13" s="22"/>
      </tp>
      <tp t="e">
        <v>#N/A</v>
        <stp/>
        <stp>BDH|2642868229677080773</stp>
        <tr r="G25" s="9"/>
      </tp>
      <tp t="e">
        <v>#N/A</v>
        <stp/>
        <stp>BDH|2964933400131302275</stp>
        <tr r="V67" s="17"/>
        <tr r="S8" s="5"/>
        <tr r="S8" s="9"/>
      </tp>
      <tp t="e">
        <v>#N/A</v>
        <stp/>
        <stp>BDH|9827780369223619310</stp>
        <tr r="M13" s="30"/>
      </tp>
      <tp t="e">
        <v>#N/A</v>
        <stp/>
        <stp>BDH|5683910548121396120</stp>
        <tr r="F49" s="21"/>
      </tp>
      <tp t="e">
        <v>#N/A</v>
        <stp/>
        <stp>BDH|8436954598482534220</stp>
        <tr r="X26" s="34"/>
      </tp>
      <tp t="e">
        <v>#N/A</v>
        <stp/>
        <stp>BDH|4462721645697967847</stp>
        <tr r="T12" s="13"/>
      </tp>
      <tp t="e">
        <v>#N/A</v>
        <stp/>
        <stp>BDH|9459829325799987241</stp>
        <tr r="U47" s="18"/>
      </tp>
      <tp t="e">
        <v>#N/A</v>
        <stp/>
        <stp>BDH|6002467429310672871</stp>
        <tr r="F50" s="4"/>
      </tp>
      <tp t="e">
        <v>#N/A</v>
        <stp/>
        <stp>BDH|7380504396355886635</stp>
        <tr r="N34" s="9"/>
      </tp>
      <tp t="e">
        <v>#N/A</v>
        <stp/>
        <stp>BDH|6309703307110368996</stp>
        <tr r="R25" s="9"/>
      </tp>
      <tp t="e">
        <v>#N/A</v>
        <stp/>
        <stp>BDH|9742303130255008497</stp>
        <tr r="F27" s="17"/>
      </tp>
      <tp t="e">
        <v>#N/A</v>
        <stp/>
        <stp>BDH|7858069555399790323</stp>
        <tr r="X89" s="17"/>
        <tr r="X34" s="25"/>
      </tp>
      <tp t="e">
        <v>#N/A</v>
        <stp/>
        <stp>BDH|8495618968121118124</stp>
        <tr r="P60" s="12"/>
      </tp>
      <tp t="e">
        <v>#N/A</v>
        <stp/>
        <stp>BDH|7634568393155472698</stp>
        <tr r="H7" s="24"/>
      </tp>
      <tp t="e">
        <v>#N/A</v>
        <stp/>
        <stp>BDH|9284640572372986236</stp>
        <tr r="O62" s="17"/>
      </tp>
      <tp t="e">
        <v>#N/A</v>
        <stp/>
        <stp>BDH|2058599880566584124</stp>
        <tr r="V21" s="6"/>
      </tp>
      <tp t="e">
        <v>#N/A</v>
        <stp/>
        <stp>BDH|1017461301428868517</stp>
        <tr r="X39" s="12"/>
      </tp>
      <tp t="e">
        <v>#N/A</v>
        <stp/>
        <stp>BDH|1372796200889691725</stp>
        <tr r="X61" s="24"/>
      </tp>
      <tp t="e">
        <v>#N/A</v>
        <stp/>
        <stp>BDH|6562708090866902622</stp>
        <tr r="P61" s="18"/>
      </tp>
      <tp t="e">
        <v>#N/A</v>
        <stp/>
        <stp>BDH|5337863002510029593</stp>
        <tr r="Y12" s="3"/>
        <tr r="W55" s="10"/>
        <tr r="W47" s="11"/>
        <tr r="W7" s="7"/>
      </tp>
      <tp t="e">
        <v>#N/A</v>
        <stp/>
        <stp>BDH|9661984691502138300</stp>
        <tr r="V11" s="12"/>
      </tp>
      <tp t="e">
        <v>#N/A</v>
        <stp/>
        <stp>BDH|4223887945558365822</stp>
        <tr r="Y15" s="11"/>
      </tp>
      <tp t="e">
        <v>#N/A</v>
        <stp/>
        <stp>BDH|4552620972495218894</stp>
        <tr r="D29" s="4"/>
      </tp>
      <tp t="e">
        <v>#N/A</v>
        <stp/>
        <stp>BDH|4429973500917956249</stp>
        <tr r="E16" s="29"/>
        <tr r="E39" s="29"/>
      </tp>
      <tp t="e">
        <v>#N/A</v>
        <stp/>
        <stp>BDH|2928367284421146042</stp>
        <tr r="O16" s="14"/>
      </tp>
      <tp t="e">
        <v>#N/A</v>
        <stp/>
        <stp>BDH|9404591165443457126</stp>
        <tr r="V8" s="4"/>
      </tp>
      <tp t="e">
        <v>#N/A</v>
        <stp/>
        <stp>BDH|6987834954362769170</stp>
        <tr r="M26" s="29"/>
      </tp>
      <tp t="e">
        <v>#N/A</v>
        <stp/>
        <stp>BDH|8955279223604374404</stp>
        <tr r="Y26" s="12"/>
      </tp>
      <tp t="e">
        <v>#N/A</v>
        <stp/>
        <stp>BDH|1391530241309737181</stp>
        <tr r="O81" s="17"/>
        <tr r="O20" s="3"/>
        <tr r="M6" s="7"/>
      </tp>
      <tp t="e">
        <v>#N/A</v>
        <stp/>
        <stp>BDH|4031932952130892071</stp>
        <tr r="N35" s="10"/>
        <tr r="N27" s="11"/>
      </tp>
      <tp t="e">
        <v>#N/A</v>
        <stp/>
        <stp>BDH|5940845645962021360</stp>
        <tr r="J11" s="18"/>
      </tp>
      <tp t="e">
        <v>#N/A</v>
        <stp/>
        <stp>BDH|2665318988952955388</stp>
        <tr r="M70" s="17"/>
      </tp>
      <tp t="e">
        <v>#N/A</v>
        <stp/>
        <stp>BDH|6734790128983868803</stp>
        <tr r="N12" s="13"/>
      </tp>
      <tp t="e">
        <v>#N/A</v>
        <stp/>
        <stp>BDH|9784225443540016787</stp>
        <tr r="M123" s="18"/>
      </tp>
      <tp t="e">
        <v>#N/A</v>
        <stp/>
        <stp>BDH|5272510161817448985</stp>
        <tr r="J36" s="18"/>
      </tp>
      <tp t="e">
        <v>#N/A</v>
        <stp/>
        <stp>BDH|6651316410285919911</stp>
        <tr r="P71" s="18"/>
      </tp>
      <tp t="e">
        <v>#N/A</v>
        <stp/>
        <stp>BDH|9891087478543325548</stp>
        <tr r="Z13" s="20"/>
      </tp>
      <tp t="e">
        <v>#N/A</v>
        <stp/>
        <stp>BDH|5591571377867243885</stp>
        <tr r="O69" s="10"/>
      </tp>
      <tp t="e">
        <v>#N/A</v>
        <stp/>
        <stp>BDH|9839225931502461204</stp>
        <tr r="H62" s="21"/>
      </tp>
      <tp t="e">
        <v>#N/A</v>
        <stp/>
        <stp>BDH|2936369936808576234</stp>
        <tr r="M35" s="34"/>
      </tp>
      <tp t="e">
        <v>#N/A</v>
        <stp/>
        <stp>BDH|4903543614360474824</stp>
        <tr r="Z56" s="13"/>
      </tp>
      <tp t="e">
        <v>#N/A</v>
        <stp/>
        <stp>BDH|1419274093405869775</stp>
        <tr r="N24" s="6"/>
      </tp>
      <tp t="e">
        <v>#N/A</v>
        <stp/>
        <stp>BDH|3001053731109957125</stp>
        <tr r="Y131" s="18"/>
      </tp>
      <tp t="e">
        <v>#N/A</v>
        <stp/>
        <stp>BDH|6653905326174924161</stp>
        <tr r="Z44" s="17"/>
      </tp>
      <tp t="e">
        <v>#N/A</v>
        <stp/>
        <stp>BDH|8432602419385703250</stp>
        <tr r="C45" s="12"/>
      </tp>
      <tp t="e">
        <v>#N/A</v>
        <stp/>
        <stp>BDH|1196722763708768088</stp>
        <tr r="I33" s="10"/>
        <tr r="I25" s="11"/>
      </tp>
      <tp t="e">
        <v>#N/A</v>
        <stp/>
        <stp>BDH|6523693893593676266</stp>
        <tr r="O34" s="26"/>
      </tp>
      <tp t="e">
        <v>#N/A</v>
        <stp/>
        <stp>BDH|5881188993015434086</stp>
        <tr r="C13" s="18"/>
      </tp>
      <tp t="e">
        <v>#N/A</v>
        <stp/>
        <stp>BDH|4265381853312600800</stp>
        <tr r="O21" s="4"/>
      </tp>
      <tp t="e">
        <v>#N/A</v>
        <stp/>
        <stp>BDH|2855044401579038320</stp>
        <tr r="O9" s="2"/>
        <tr r="Q8" s="25"/>
        <tr r="N10" s="5"/>
      </tp>
      <tp t="e">
        <v>#N/A</v>
        <stp/>
        <stp>BDH|9115558650985844433</stp>
        <tr r="U39" s="24"/>
      </tp>
      <tp t="e">
        <v>#N/A</v>
        <stp/>
        <stp>BDH|7173939616092994520</stp>
        <tr r="O129" s="18"/>
      </tp>
      <tp t="e">
        <v>#N/A</v>
        <stp/>
        <stp>BDH|7923247797615230176</stp>
        <tr r="V23" s="13"/>
      </tp>
      <tp t="e">
        <v>#N/A</v>
        <stp/>
        <stp>BDH|5905653953568878687</stp>
        <tr r="N107" s="18"/>
      </tp>
      <tp t="e">
        <v>#N/A</v>
        <stp/>
        <stp>BDH|9744562920533973572</stp>
        <tr r="N8" s="18"/>
      </tp>
      <tp t="e">
        <v>#N/A</v>
        <stp/>
        <stp>BDH|2704286582397617742</stp>
        <tr r="AA9" s="30"/>
      </tp>
      <tp t="e">
        <v>#N/A</v>
        <stp/>
        <stp>BDH|4794707500778863306</stp>
        <tr r="I29" s="24"/>
      </tp>
      <tp t="e">
        <v>#N/A</v>
        <stp/>
        <stp>BDH|1326940438765341639</stp>
        <tr r="W86" s="12"/>
      </tp>
      <tp t="e">
        <v>#N/A</v>
        <stp/>
        <stp>BDH|1872045558639981527</stp>
        <tr r="Z36" s="21"/>
      </tp>
      <tp t="e">
        <v>#N/A</v>
        <stp/>
        <stp>BDH|2317591292184128268</stp>
        <tr r="C54" s="18"/>
      </tp>
      <tp t="e">
        <v>#N/A</v>
        <stp/>
        <stp>BDH|3593484484156675101</stp>
        <tr r="K45" s="12"/>
      </tp>
      <tp t="e">
        <v>#N/A</v>
        <stp/>
        <stp>BDH|8461701534473613798</stp>
        <tr r="Y133" s="18"/>
      </tp>
      <tp t="e">
        <v>#N/A</v>
        <stp/>
        <stp>BDH|9758198329656118497</stp>
        <tr r="H16" s="14"/>
      </tp>
      <tp t="e">
        <v>#N/A</v>
        <stp/>
        <stp>BDH|3324286626333798853</stp>
        <tr r="I61" s="12"/>
      </tp>
      <tp t="e">
        <v>#N/A</v>
        <stp/>
        <stp>BDH|2511010588520000238</stp>
        <tr r="N44" s="21"/>
      </tp>
      <tp t="e">
        <v>#N/A</v>
        <stp/>
        <stp>BDH|5134913313962977752</stp>
        <tr r="D13" s="11"/>
      </tp>
      <tp t="e">
        <v>#N/A</v>
        <stp/>
        <stp>BDH|2790311448104928984</stp>
        <tr r="C24" s="18"/>
      </tp>
      <tp t="e">
        <v>#N/A</v>
        <stp/>
        <stp>BDH|8039839112279675080</stp>
        <tr r="N99" s="18"/>
        <tr r="N8" s="20"/>
      </tp>
      <tp t="e">
        <v>#N/A</v>
        <stp/>
        <stp>BDH|4066136300899456483</stp>
        <tr r="L13" s="24"/>
      </tp>
      <tp t="e">
        <v>#N/A</v>
        <stp/>
        <stp>BDH|1935898090998400083</stp>
        <tr r="V7" s="21"/>
      </tp>
      <tp t="e">
        <v>#N/A</v>
        <stp/>
        <stp>BDH|4410088580824143015</stp>
        <tr r="X12" s="10"/>
      </tp>
      <tp t="e">
        <v>#N/A</v>
        <stp/>
        <stp>BDH|3320964338217965682</stp>
        <tr r="P18" s="22"/>
      </tp>
      <tp t="e">
        <v>#N/A</v>
        <stp/>
        <stp>BDH|3530698691613685776</stp>
        <tr r="R86" s="18"/>
      </tp>
      <tp t="e">
        <v>#N/A</v>
        <stp/>
        <stp>BDH|9117303017413864023</stp>
        <tr r="P86" s="17"/>
      </tp>
      <tp t="e">
        <v>#N/A</v>
        <stp/>
        <stp>BDH|4498173195300394493</stp>
        <tr r="H124" s="18"/>
      </tp>
      <tp t="e">
        <v>#N/A</v>
        <stp/>
        <stp>BDH|1316985565701500771</stp>
        <tr r="T89" s="24"/>
      </tp>
      <tp t="e">
        <v>#N/A</v>
        <stp/>
        <stp>BDH|5372650012738174292</stp>
        <tr r="O33" s="9"/>
      </tp>
      <tp t="e">
        <v>#N/A</v>
        <stp/>
        <stp>BDH|8943383457080258687</stp>
        <tr r="V7" s="2"/>
        <tr r="U7" s="5"/>
        <tr r="U7" s="9"/>
        <tr r="X14" s="3"/>
      </tp>
      <tp t="e">
        <v>#N/A</v>
        <stp/>
        <stp>BDH|5711848510876608294</stp>
        <tr r="M60" s="12"/>
      </tp>
      <tp t="e">
        <v>#N/A</v>
        <stp/>
        <stp>BDH|2607240331972788986</stp>
        <tr r="R138" s="18"/>
      </tp>
      <tp t="e">
        <v>#N/A</v>
        <stp/>
        <stp>BDH|3340845720667889639</stp>
        <tr r="Q124" s="18"/>
      </tp>
      <tp t="e">
        <v>#N/A</v>
        <stp/>
        <stp>BDH|9801941893200129128</stp>
        <tr r="H55" s="12"/>
      </tp>
      <tp t="e">
        <v>#N/A</v>
        <stp/>
        <stp>BDH|9332202871677692387</stp>
        <tr r="P42" s="22"/>
      </tp>
      <tp t="e">
        <v>#N/A</v>
        <stp/>
        <stp>BDH|6974071694802738514</stp>
        <tr r="H46" s="34"/>
      </tp>
      <tp t="e">
        <v>#N/A</v>
        <stp/>
        <stp>BDH|3413567682784490280</stp>
        <tr r="J46" s="4"/>
        <tr r="J23" s="10"/>
        <tr r="L37" s="13"/>
      </tp>
      <tp t="e">
        <v>#N/A</v>
        <stp/>
        <stp>BDH|4052309405537124880</stp>
        <tr r="D31" s="13"/>
      </tp>
      <tp t="e">
        <v>#N/A</v>
        <stp/>
        <stp>BDH|4078985626394539379</stp>
        <tr r="F6" s="19"/>
        <tr r="F35" s="17"/>
        <tr r="F16" s="3"/>
      </tp>
      <tp t="e">
        <v>#N/A</v>
        <stp/>
        <stp>BDH|7976895179801383168</stp>
        <tr r="U34" s="9"/>
      </tp>
      <tp t="e">
        <v>#N/A</v>
        <stp/>
        <stp>BDH|5638859024205910223</stp>
        <tr r="I43" s="18"/>
      </tp>
      <tp t="e">
        <v>#N/A</v>
        <stp/>
        <stp>BDH|8419769169365738405</stp>
        <tr r="M7" s="6"/>
      </tp>
      <tp t="e">
        <v>#N/A</v>
        <stp/>
        <stp>BDH|3848153641658342638</stp>
        <tr r="Y39" s="12"/>
      </tp>
      <tp t="e">
        <v>#N/A</v>
        <stp/>
        <stp>BDH|6711078766369845121</stp>
        <tr r="C6" s="2"/>
        <tr r="D12" s="8"/>
        <tr r="C10" s="29"/>
        <tr r="C19" s="29"/>
        <tr r="C25" s="29"/>
      </tp>
      <tp t="e">
        <v>#N/A</v>
        <stp/>
        <stp>BDH|7965311184902044604</stp>
        <tr r="D27" s="17"/>
      </tp>
      <tp t="e">
        <v>#N/A</v>
        <stp/>
        <stp>BDH|2373038681585911745</stp>
        <tr r="Q17" s="11"/>
      </tp>
      <tp t="e">
        <v>#N/A</v>
        <stp/>
        <stp>BDH|3292846442144890316</stp>
        <tr r="U17" s="4"/>
        <tr r="W10" s="3"/>
        <tr r="U56" s="10"/>
        <tr r="U48" s="11"/>
        <tr r="U17" s="7"/>
        <tr r="W54" s="13"/>
      </tp>
      <tp t="e">
        <v>#N/A</v>
        <stp/>
        <stp>BDH|4747666391210579386</stp>
        <tr r="AA54" s="18"/>
      </tp>
      <tp t="e">
        <v>#N/A</v>
        <stp/>
        <stp>BDH|9977523028485927373</stp>
        <tr r="O9" s="17"/>
      </tp>
      <tp t="e">
        <v>#N/A</v>
        <stp/>
        <stp>BDH|9623753968643245342</stp>
        <tr r="J45" s="12"/>
      </tp>
      <tp t="e">
        <v>#N/A</v>
        <stp/>
        <stp>BDH|8909241970235467045</stp>
        <tr r="AA15" s="14"/>
      </tp>
      <tp t="e">
        <v>#N/A</v>
        <stp/>
        <stp>BDH|9825703705471406745</stp>
        <tr r="M66" s="12"/>
      </tp>
      <tp t="e">
        <v>#N/A</v>
        <stp/>
        <stp>BDH|1402519900898059484</stp>
        <tr r="J49" s="4"/>
      </tp>
      <tp t="e">
        <v>#N/A</v>
        <stp/>
        <stp>BDH|4944838834005790246</stp>
        <tr r="Q21" s="27"/>
      </tp>
      <tp t="e">
        <v>#N/A</v>
        <stp/>
        <stp>BDH|7736206306414958957</stp>
        <tr r="E9" s="6"/>
      </tp>
      <tp t="e">
        <v>#N/A</v>
        <stp/>
        <stp>BDH|1241830902435832461</stp>
        <tr r="Q11" s="21"/>
      </tp>
      <tp t="e">
        <v>#N/A</v>
        <stp/>
        <stp>BDH|9945114615541821082</stp>
        <tr r="P36" s="18"/>
      </tp>
      <tp t="e">
        <v>#N/A</v>
        <stp/>
        <stp>BDH|7445847336754864037</stp>
        <tr r="R118" s="18"/>
      </tp>
      <tp t="e">
        <v>#N/A</v>
        <stp/>
        <stp>BDH|8887812413250789905</stp>
        <tr r="F35" s="34"/>
      </tp>
      <tp t="e">
        <v>#N/A</v>
        <stp/>
        <stp>BDH|6284472688502536058</stp>
        <tr r="X71" s="24"/>
      </tp>
      <tp t="e">
        <v>#N/A</v>
        <stp/>
        <stp>BDH|6225497537508247133</stp>
        <tr r="F20" s="5"/>
      </tp>
      <tp t="e">
        <v>#N/A</v>
        <stp/>
        <stp>BDH|9018902092474740585</stp>
        <tr r="X60" s="12"/>
      </tp>
      <tp t="e">
        <v>#N/A</v>
        <stp/>
        <stp>BDH|2494986684068668330</stp>
        <tr r="M44" s="12"/>
      </tp>
      <tp t="e">
        <v>#N/A</v>
        <stp/>
        <stp>BDH|1085568569002401868</stp>
        <tr r="Y59" s="18"/>
      </tp>
      <tp t="e">
        <v>#N/A</v>
        <stp/>
        <stp>BDH|2837923103801242267</stp>
        <tr r="Q36" s="10"/>
        <tr r="Q48" s="10"/>
        <tr r="Q28" s="11"/>
        <tr r="Q40" s="11"/>
      </tp>
      <tp t="e">
        <v>#N/A</v>
        <stp/>
        <stp>BDH|7609952827803007790</stp>
        <tr r="M57" s="24"/>
      </tp>
      <tp t="e">
        <v>#N/A</v>
        <stp/>
        <stp>BDH|1707788465379584129</stp>
        <tr r="Y67" s="24"/>
      </tp>
      <tp t="e">
        <v>#N/A</v>
        <stp/>
        <stp>BDH|2994890118161642236</stp>
        <tr r="S43" s="34"/>
      </tp>
      <tp t="e">
        <v>#N/A</v>
        <stp/>
        <stp>BDH|2857333060098790715</stp>
        <tr r="M38" s="6"/>
      </tp>
      <tp t="e">
        <v>#N/A</v>
        <stp/>
        <stp>BDH|1987544205724218870</stp>
        <tr r="K96" s="18"/>
      </tp>
      <tp t="e">
        <v>#N/A</v>
        <stp/>
        <stp>BDH|9191318719940568314</stp>
        <tr r="T27" s="14"/>
      </tp>
      <tp t="e">
        <v>#N/A</v>
        <stp/>
        <stp>BDH|5390319555843976832</stp>
        <tr r="G86" s="18"/>
      </tp>
      <tp t="e">
        <v>#N/A</v>
        <stp/>
        <stp>BDH|5820241886581098672</stp>
        <tr r="T29" s="21"/>
      </tp>
      <tp t="e">
        <v>#N/A</v>
        <stp/>
        <stp>BDH|9949355881112558858</stp>
        <tr r="Z11" s="13"/>
      </tp>
      <tp t="e">
        <v>#N/A</v>
        <stp/>
        <stp>BDH|1661520275989510293</stp>
        <tr r="E37" s="10"/>
        <tr r="E29" s="11"/>
        <tr r="G41" s="13"/>
      </tp>
      <tp t="e">
        <v>#N/A</v>
        <stp/>
        <stp>BDH|5032990743350297055</stp>
        <tr r="T56" s="24"/>
      </tp>
      <tp t="e">
        <v>#N/A</v>
        <stp/>
        <stp>BDH|9169452103035804028</stp>
        <tr r="L80" s="12"/>
      </tp>
      <tp t="e">
        <v>#N/A</v>
        <stp/>
        <stp>BDH|7396843658591703353</stp>
        <tr r="Y12" s="7"/>
      </tp>
      <tp t="e">
        <v>#N/A</v>
        <stp/>
        <stp>BDH|1538296757629048768</stp>
        <tr r="P142" s="18"/>
      </tp>
      <tp t="e">
        <v>#N/A</v>
        <stp/>
        <stp>BDH|4696628878315091814</stp>
        <tr r="W34" s="24"/>
      </tp>
      <tp t="e">
        <v>#N/A</v>
        <stp/>
        <stp>BDH|1910858900640509141</stp>
        <tr r="O48" s="6"/>
      </tp>
      <tp t="e">
        <v>#N/A</v>
        <stp/>
        <stp>BDH|3951374793818571950</stp>
        <tr r="T83" s="17"/>
      </tp>
      <tp t="e">
        <v>#N/A</v>
        <stp/>
        <stp>BDH|7620873523346651399</stp>
        <tr r="O18" s="17"/>
      </tp>
      <tp t="e">
        <v>#N/A</v>
        <stp/>
        <stp>BDH|8874945871696624868</stp>
        <tr r="M32" s="24"/>
      </tp>
      <tp t="e">
        <v>#N/A</v>
        <stp/>
        <stp>BDH|9608657930282682683</stp>
        <tr r="H67" s="10"/>
      </tp>
      <tp t="e">
        <v>#N/A</v>
        <stp/>
        <stp>BDH|1455677433055522971</stp>
        <tr r="L80" s="18"/>
      </tp>
      <tp t="e">
        <v>#N/A</v>
        <stp/>
        <stp>BDH|1425477355271011947</stp>
        <tr r="D47" s="22"/>
      </tp>
      <tp t="e">
        <v>#N/A</v>
        <stp/>
        <stp>BDH|8512450382108671466</stp>
        <tr r="N13" s="26"/>
      </tp>
      <tp t="e">
        <v>#N/A</v>
        <stp/>
        <stp>BDH|9206604591527952985</stp>
        <tr r="H37" s="10"/>
        <tr r="H29" s="11"/>
        <tr r="J41" s="13"/>
      </tp>
      <tp t="e">
        <v>#N/A</v>
        <stp/>
        <stp>BDH|3706778703158614478</stp>
        <tr r="D15" s="17"/>
        <tr r="D18" s="28"/>
      </tp>
      <tp t="e">
        <v>#N/A</v>
        <stp/>
        <stp>BDH|9021871831538315277</stp>
        <tr r="G8" s="2"/>
      </tp>
      <tp t="e">
        <v>#N/A</v>
        <stp/>
        <stp>BDH|3500254326738128351</stp>
        <tr r="R9" s="10"/>
      </tp>
      <tp t="e">
        <v>#N/A</v>
        <stp/>
        <stp>BDH|5934502648215619952</stp>
        <tr r="D34" s="22"/>
      </tp>
      <tp t="e">
        <v>#N/A</v>
        <stp/>
        <stp>BDH|7550874951186541447</stp>
        <tr r="K69" s="12"/>
      </tp>
      <tp t="e">
        <v>#N/A</v>
        <stp/>
        <stp>BDH|9433846553708396428</stp>
        <tr r="G9" s="13"/>
      </tp>
      <tp t="e">
        <v>#N/A</v>
        <stp/>
        <stp>BDH|6049413987194476602</stp>
        <tr r="U41" s="24"/>
      </tp>
      <tp t="e">
        <v>#N/A</v>
        <stp/>
        <stp>BDH|5213944570280679322</stp>
        <tr r="O18" s="29"/>
        <tr r="O41" s="29"/>
      </tp>
      <tp t="e">
        <v>#N/A</v>
        <stp/>
        <stp>BDH|2145171827400576964</stp>
        <tr r="I59" s="17"/>
      </tp>
      <tp t="e">
        <v>#N/A</v>
        <stp/>
        <stp>BDH|4736942640083705264</stp>
        <tr r="Y30" s="34"/>
      </tp>
      <tp t="e">
        <v>#N/A</v>
        <stp/>
        <stp>BDH|5032571893743771217</stp>
        <tr r="P7" s="28"/>
      </tp>
      <tp t="e">
        <v>#N/A</v>
        <stp/>
        <stp>BDH|6640633496688503944</stp>
        <tr r="W84" s="24"/>
      </tp>
      <tp t="e">
        <v>#N/A</v>
        <stp/>
        <stp>BDH|6978282294465278052</stp>
        <tr r="U52" s="12"/>
      </tp>
      <tp t="e">
        <v>#N/A</v>
        <stp/>
        <stp>BDH|7454845218382865421</stp>
        <tr r="M63" s="21"/>
        <tr r="K23" s="7"/>
      </tp>
      <tp t="e">
        <v>#N/A</v>
        <stp/>
        <stp>BDH|3197879289753870857</stp>
        <tr r="L16" s="23"/>
      </tp>
      <tp t="e">
        <v>#N/A</v>
        <stp/>
        <stp>BDH|9507352636017270662</stp>
        <tr r="Y41" s="18"/>
      </tp>
      <tp t="e">
        <v>#N/A</v>
        <stp/>
        <stp>BDH|4188225514898429710</stp>
        <tr r="D43" s="29"/>
      </tp>
      <tp t="e">
        <v>#N/A</v>
        <stp/>
        <stp>BDH|8653366206103220066</stp>
        <tr r="D125" s="18"/>
      </tp>
      <tp t="e">
        <v>#N/A</v>
        <stp/>
        <stp>BDH|3853394351154016928</stp>
        <tr r="L15" s="20"/>
      </tp>
      <tp t="e">
        <v>#N/A</v>
        <stp/>
        <stp>BDH|2136214984314291444</stp>
        <tr r="C33" s="6"/>
      </tp>
      <tp t="e">
        <v>#N/A</v>
        <stp/>
        <stp>BDH|8676769078065228585</stp>
        <tr r="C76" s="17"/>
        <tr r="C19" s="3"/>
      </tp>
      <tp t="e">
        <v>#N/A</v>
        <stp/>
        <stp>BDH|7051809277499671936</stp>
        <tr r="Q16" s="2"/>
        <tr r="Q32" s="4"/>
        <tr r="Q62" s="10"/>
        <tr r="S19" s="13"/>
      </tp>
      <tp t="e">
        <v>#N/A</v>
        <stp/>
        <stp>BDH|7112199045093611991</stp>
        <tr r="T123" s="18"/>
      </tp>
      <tp t="e">
        <v>#N/A</v>
        <stp/>
        <stp>BDH|1856834383578888127</stp>
        <tr r="L71" s="18"/>
      </tp>
      <tp t="e">
        <v>#N/A</v>
        <stp/>
        <stp>BDH|9520736562542034268</stp>
        <tr r="K55" s="18"/>
      </tp>
      <tp t="e">
        <v>#N/A</v>
        <stp/>
        <stp>BDH|4278600507793624918</stp>
        <tr r="Q29" s="34"/>
      </tp>
      <tp t="e">
        <v>#N/A</v>
        <stp/>
        <stp>BDH|6606958744097718423</stp>
        <tr r="I99" s="18"/>
        <tr r="I8" s="20"/>
      </tp>
      <tp t="e">
        <v>#N/A</v>
        <stp/>
        <stp>BDH|9406709857777649470</stp>
        <tr r="L29" s="21"/>
      </tp>
      <tp t="e">
        <v>#N/A</v>
        <stp/>
        <stp>BDH|6519727596944759440</stp>
        <tr r="R71" s="24"/>
      </tp>
      <tp t="e">
        <v>#N/A</v>
        <stp/>
        <stp>BDH|8894724904067913056</stp>
        <tr r="T32" s="26"/>
      </tp>
      <tp t="e">
        <v>#N/A</v>
        <stp/>
        <stp>BDH|3801029953146847836</stp>
        <tr r="M28" s="17"/>
      </tp>
      <tp t="e">
        <v>#N/A</v>
        <stp/>
        <stp>BDH|2782887014607072492</stp>
        <tr r="R12" s="11"/>
      </tp>
      <tp t="e">
        <v>#N/A</v>
        <stp/>
        <stp>BDH|7600060147063456819</stp>
        <tr r="W18" s="29"/>
        <tr r="W41" s="29"/>
      </tp>
      <tp t="e">
        <v>#N/A</v>
        <stp/>
        <stp>BDH|4815998361940082327</stp>
        <tr r="AA75" s="24"/>
      </tp>
      <tp t="e">
        <v>#N/A</v>
        <stp/>
        <stp>BDH|1839195685327222749</stp>
        <tr r="T19" s="22"/>
      </tp>
      <tp t="e">
        <v>#N/A</v>
        <stp/>
        <stp>BDH|9816640098058677617</stp>
        <tr r="X31" s="34"/>
      </tp>
      <tp t="e">
        <v>#N/A</v>
        <stp/>
        <stp>BDH|6703338245271696842</stp>
        <tr r="D120" s="18"/>
      </tp>
      <tp t="e">
        <v>#N/A</v>
        <stp/>
        <stp>BDH|5697839365437006435</stp>
        <tr r="Q28" s="17"/>
      </tp>
      <tp t="e">
        <v>#N/A</v>
        <stp/>
        <stp>BDH|9674828993093695327</stp>
        <tr r="P7" s="24"/>
      </tp>
      <tp t="e">
        <v>#N/A</v>
        <stp/>
        <stp>BDH|4109559640958668517</stp>
        <tr r="D79" s="18"/>
      </tp>
      <tp t="e">
        <v>#N/A</v>
        <stp/>
        <stp>BDH|4675827654680217116</stp>
        <tr r="N21" s="18"/>
      </tp>
      <tp t="e">
        <v>#N/A</v>
        <stp/>
        <stp>BDH|5228801439754175292</stp>
        <tr r="F39" s="24"/>
      </tp>
      <tp t="e">
        <v>#N/A</v>
        <stp/>
        <stp>BDH|7164343785993780745</stp>
        <tr r="M88" s="12"/>
      </tp>
      <tp t="e">
        <v>#N/A</v>
        <stp/>
        <stp>BDH|6293168183103263466</stp>
        <tr r="P23" s="5"/>
        <tr r="P23" s="9"/>
      </tp>
      <tp t="e">
        <v>#N/A</v>
        <stp/>
        <stp>BDH|6655003354563513842</stp>
        <tr r="X79" s="18"/>
      </tp>
      <tp t="e">
        <v>#N/A</v>
        <stp/>
        <stp>BDH|3984085977124251879</stp>
        <tr r="Q82" s="24"/>
      </tp>
      <tp t="e">
        <v>#N/A</v>
        <stp/>
        <stp>BDH|8704319517761583375</stp>
        <tr r="F59" s="17"/>
      </tp>
      <tp t="e">
        <v>#N/A</v>
        <stp/>
        <stp>BDH|7755044507677626816</stp>
        <tr r="G100" s="18"/>
        <tr r="G9" s="20"/>
      </tp>
      <tp t="e">
        <v>#N/A</v>
        <stp/>
        <stp>BDH|6265347076313296918</stp>
        <tr r="W119" s="18"/>
      </tp>
      <tp t="e">
        <v>#N/A</v>
        <stp/>
        <stp>BDH|4283922465625770619</stp>
        <tr r="M15" s="29"/>
        <tr r="M38" s="29"/>
      </tp>
      <tp t="e">
        <v>#N/A</v>
        <stp/>
        <stp>BDH|6127534394725439710</stp>
        <tr r="K11" s="6"/>
      </tp>
      <tp t="e">
        <v>#N/A</v>
        <stp/>
        <stp>BDH|3793981319750334369</stp>
        <tr r="F47" s="13"/>
      </tp>
      <tp t="e">
        <v>#N/A</v>
        <stp/>
        <stp>BDH|5281898729434439352</stp>
        <tr r="H24" s="13"/>
      </tp>
      <tp t="e">
        <v>#N/A</v>
        <stp/>
        <stp>BDH|6029662031522535913</stp>
        <tr r="T50" s="12"/>
      </tp>
      <tp t="e">
        <v>#N/A</v>
        <stp/>
        <stp>BDH|7683885685488057789</stp>
        <tr r="R25" s="26"/>
      </tp>
      <tp t="e">
        <v>#N/A</v>
        <stp/>
        <stp>BDH|1494911770304367359</stp>
        <tr r="O40" s="10"/>
        <tr r="O32" s="11"/>
      </tp>
      <tp t="e">
        <v>#N/A</v>
        <stp/>
        <stp>BDH|6529703092464591418</stp>
        <tr r="M82" s="12"/>
      </tp>
      <tp t="e">
        <v>#N/A</v>
        <stp/>
        <stp>BDH|1512943031594703743</stp>
        <tr r="R18" s="6"/>
      </tp>
      <tp t="e">
        <v>#N/A</v>
        <stp/>
        <stp>BDH|7653022996172845496</stp>
        <tr r="G24" s="5"/>
      </tp>
      <tp t="e">
        <v>#N/A</v>
        <stp/>
        <stp>BDH|7758903543144430630</stp>
        <tr r="H29" s="29"/>
        <tr r="H7" s="29"/>
      </tp>
      <tp t="e">
        <v>#N/A</v>
        <stp/>
        <stp>BDH|3667825312153750120</stp>
        <tr r="J50" s="24"/>
      </tp>
      <tp t="e">
        <v>#N/A</v>
        <stp/>
        <stp>BDH|2198698086480417492</stp>
        <tr r="F21" s="22"/>
      </tp>
      <tp t="e">
        <v>#N/A</v>
        <stp/>
        <stp>BDH|3079987225257629786</stp>
        <tr r="H35" s="18"/>
      </tp>
      <tp t="e">
        <v>#N/A</v>
        <stp/>
        <stp>BDH|9179664931544527002</stp>
        <tr r="V21" s="3"/>
      </tp>
      <tp t="e">
        <v>#N/A</v>
        <stp/>
        <stp>BDH|1778801399511915944</stp>
        <tr r="R17" s="9"/>
      </tp>
      <tp t="e">
        <v>#N/A</v>
        <stp/>
        <stp>BDH|1378921171063746444</stp>
        <tr r="T30" s="12"/>
      </tp>
      <tp t="e">
        <v>#N/A</v>
        <stp/>
        <stp>BDH|7401230597665593166</stp>
        <tr r="H27" s="6"/>
      </tp>
      <tp t="e">
        <v>#N/A</v>
        <stp/>
        <stp>BDH|7534146880853107534</stp>
        <tr r="H26" s="25"/>
        <tr r="H12" s="27"/>
      </tp>
      <tp t="e">
        <v>#N/A</v>
        <stp/>
        <stp>BDH|6838559397172133081</stp>
        <tr r="Y73" s="17"/>
      </tp>
      <tp t="e">
        <v>#N/A</v>
        <stp/>
        <stp>BDH|7682169061780585876</stp>
        <tr r="G14" s="17"/>
        <tr r="G17" s="28"/>
      </tp>
      <tp t="e">
        <v>#N/A</v>
        <stp/>
        <stp>BDH|8191533612706763240</stp>
        <tr r="U47" s="6"/>
      </tp>
      <tp t="e">
        <v>#N/A</v>
        <stp/>
        <stp>BDH|8523579066454222756</stp>
        <tr r="S33" s="21"/>
      </tp>
      <tp t="e">
        <v>#N/A</v>
        <stp/>
        <stp>BDH|1073588786431485598</stp>
        <tr r="T79" s="18"/>
      </tp>
      <tp t="e">
        <v>#N/A</v>
        <stp/>
        <stp>BDH|5354697213853301991</stp>
        <tr r="W25" s="9"/>
      </tp>
      <tp t="e">
        <v>#N/A</v>
        <stp/>
        <stp>BDH|9306099069325444244</stp>
        <tr r="Y63" s="13"/>
      </tp>
      <tp t="e">
        <v>#N/A</v>
        <stp/>
        <stp>BDH|5281722912309429251</stp>
        <tr r="L50" s="12"/>
      </tp>
      <tp t="e">
        <v>#N/A</v>
        <stp/>
        <stp>BDH|8890630629681143501</stp>
        <tr r="F34" s="6"/>
      </tp>
      <tp t="e">
        <v>#N/A</v>
        <stp/>
        <stp>BDH|5352023028306368999</stp>
        <tr r="N15" s="13"/>
      </tp>
      <tp t="e">
        <v>#N/A</v>
        <stp/>
        <stp>BDH|9238286829267027608</stp>
        <tr r="K32" s="10"/>
        <tr r="K24" s="11"/>
      </tp>
      <tp t="e">
        <v>#N/A</v>
        <stp/>
        <stp>BDH|9170639846334687719</stp>
        <tr r="N21" s="3"/>
      </tp>
      <tp t="e">
        <v>#N/A</v>
        <stp/>
        <stp>BDH|4010862421975339375</stp>
        <tr r="C37" s="10"/>
        <tr r="C29" s="11"/>
        <tr r="E41" s="13"/>
      </tp>
      <tp t="e">
        <v>#N/A</v>
        <stp/>
        <stp>BDH|6490577231540726866</stp>
        <tr r="S16" s="17"/>
        <tr r="S19" s="28"/>
      </tp>
      <tp t="e">
        <v>#N/A</v>
        <stp/>
        <stp>BDH|5377766785875640753</stp>
        <tr r="V15" s="13"/>
      </tp>
      <tp t="e">
        <v>#N/A</v>
        <stp/>
        <stp>BDH|9119032441222563759</stp>
        <tr r="K31" s="5"/>
      </tp>
      <tp t="e">
        <v>#N/A</v>
        <stp/>
        <stp>BDH|2503806937916943785</stp>
        <tr r="O57" s="12"/>
      </tp>
      <tp t="e">
        <v>#N/A</v>
        <stp/>
        <stp>BDH|7607160662509471163</stp>
        <tr r="X38" s="34"/>
      </tp>
      <tp t="e">
        <v>#N/A</v>
        <stp/>
        <stp>BDH|9762946308918816038</stp>
        <tr r="Q27" s="18"/>
      </tp>
      <tp t="e">
        <v>#N/A</v>
        <stp/>
        <stp>BDH|5745791499131333247</stp>
        <tr r="W39" s="22"/>
      </tp>
      <tp t="e">
        <v>#N/A</v>
        <stp/>
        <stp>BDH|6477264115304774907</stp>
        <tr r="S74" s="10"/>
        <tr r="S66" s="11"/>
      </tp>
      <tp t="e">
        <v>#N/A</v>
        <stp/>
        <stp>BDH|6316475445637343925</stp>
        <tr r="H20" s="27"/>
      </tp>
      <tp t="e">
        <v>#N/A</v>
        <stp/>
        <stp>BDH|4527261315136530933</stp>
        <tr r="N11" s="14"/>
      </tp>
      <tp t="e">
        <v>#N/A</v>
        <stp/>
        <stp>BDH|6934421710563854830</stp>
        <tr r="Q38" s="22"/>
      </tp>
      <tp t="e">
        <v>#N/A</v>
        <stp/>
        <stp>BDH|4857261568748384059</stp>
        <tr r="P127" s="18"/>
      </tp>
      <tp t="e">
        <v>#N/A</v>
        <stp/>
        <stp>BDH|2538654990453749675</stp>
        <tr r="M14" s="6"/>
      </tp>
      <tp t="e">
        <v>#N/A</v>
        <stp/>
        <stp>BDH|9323672001000173742</stp>
        <tr r="E18" s="18"/>
      </tp>
      <tp t="e">
        <v>#N/A</v>
        <stp/>
        <stp>BDH|6503808208877425197</stp>
        <tr r="V52" s="21"/>
      </tp>
      <tp t="e">
        <v>#N/A</v>
        <stp/>
        <stp>BDH|6028973560434735503</stp>
        <tr r="G106" s="18"/>
      </tp>
      <tp t="e">
        <v>#N/A</v>
        <stp/>
        <stp>BDH|7365824630763265737</stp>
        <tr r="Q111" s="18"/>
      </tp>
      <tp t="e">
        <v>#N/A</v>
        <stp/>
        <stp>BDH|9435958553084481967</stp>
        <tr r="U21" s="9"/>
      </tp>
      <tp t="e">
        <v>#N/A</v>
        <stp/>
        <stp>BDH|6341269182885308142</stp>
        <tr r="U31" s="26"/>
        <tr r="R14" s="9"/>
      </tp>
      <tp t="e">
        <v>#N/A</v>
        <stp/>
        <stp>BDH|5228710188886340489</stp>
        <tr r="T37" s="34"/>
      </tp>
      <tp t="e">
        <v>#N/A</v>
        <stp/>
        <stp>BDH|8192364630889236951</stp>
        <tr r="Z98" s="18"/>
        <tr r="Z7" s="20"/>
      </tp>
      <tp t="e">
        <v>#N/A</v>
        <stp/>
        <stp>BDH|9242716623393054702</stp>
        <tr r="E40" s="17"/>
      </tp>
      <tp t="e">
        <v>#N/A</v>
        <stp/>
        <stp>BDH|3595895348354356373</stp>
        <tr r="F44" s="34"/>
      </tp>
      <tp t="e">
        <v>#N/A</v>
        <stp/>
        <stp>BDH|4394032053141016832</stp>
        <tr r="Q23" s="5"/>
        <tr r="Q23" s="9"/>
      </tp>
      <tp t="e">
        <v>#N/A</v>
        <stp/>
        <stp>BDH|6611513783927352476</stp>
        <tr r="G30" s="25"/>
        <tr r="G16" s="27"/>
      </tp>
      <tp t="e">
        <v>#N/A</v>
        <stp/>
        <stp>BDH|8930939848225411861</stp>
        <tr r="F26" s="10"/>
        <tr r="H32" s="13"/>
      </tp>
      <tp t="e">
        <v>#N/A</v>
        <stp/>
        <stp>BDH|2684800240595628304</stp>
        <tr r="E6" s="19"/>
        <tr r="E35" s="17"/>
        <tr r="E16" s="3"/>
      </tp>
      <tp t="e">
        <v>#N/A</v>
        <stp/>
        <stp>BDH|7036632689558985937</stp>
        <tr r="T23" s="6"/>
      </tp>
      <tp t="e">
        <v>#N/A</v>
        <stp/>
        <stp>BDH|8557209004720640275</stp>
        <tr r="L70" s="17"/>
      </tp>
      <tp t="e">
        <v>#N/A</v>
        <stp/>
        <stp>BDH|8621803284543284301</stp>
        <tr r="I15" s="17"/>
        <tr r="I18" s="28"/>
      </tp>
      <tp t="e">
        <v>#N/A</v>
        <stp/>
        <stp>BDH|2380327486084450537</stp>
        <tr r="H115" s="18"/>
      </tp>
      <tp t="e">
        <v>#N/A</v>
        <stp/>
        <stp>BDH|8094766431850230458</stp>
        <tr r="F17" s="21"/>
      </tp>
      <tp t="e">
        <v>#N/A</v>
        <stp/>
        <stp>BDH|4817272597121890607</stp>
        <tr r="L26" s="7"/>
      </tp>
      <tp t="e">
        <v>#N/A</v>
        <stp/>
        <stp>BDH|6373502783695751679</stp>
        <tr r="H43" s="21"/>
      </tp>
      <tp t="e">
        <v>#N/A</v>
        <stp/>
        <stp>BDH|8528174595130589821</stp>
        <tr r="Q35" s="25"/>
      </tp>
      <tp t="e">
        <v>#N/A</v>
        <stp/>
        <stp>BDH|8898790577721250145</stp>
        <tr r="T14" s="11"/>
      </tp>
      <tp t="e">
        <v>#N/A</v>
        <stp/>
        <stp>BDH|6199031690320329708</stp>
        <tr r="F17" s="20"/>
      </tp>
      <tp t="e">
        <v>#N/A</v>
        <stp/>
        <stp>BDH|7428962550371432271</stp>
        <tr r="H46" s="21"/>
      </tp>
      <tp t="e">
        <v>#N/A</v>
        <stp/>
        <stp>BDH|6485719037528546260</stp>
        <tr r="O8" s="21"/>
      </tp>
      <tp t="e">
        <v>#N/A</v>
        <stp/>
        <stp>BDH|4560830605214348013</stp>
        <tr r="R17" s="13"/>
      </tp>
      <tp t="e">
        <v>#N/A</v>
        <stp/>
        <stp>BDH|5025649066849437475</stp>
        <tr r="Q20" s="22"/>
      </tp>
      <tp t="e">
        <v>#N/A</v>
        <stp/>
        <stp>BDH|3464643328507954800</stp>
        <tr r="J27" s="26"/>
      </tp>
      <tp t="e">
        <v>#N/A</v>
        <stp/>
        <stp>BDH|8009403454374776522</stp>
        <tr r="N81" s="17"/>
        <tr r="N20" s="3"/>
        <tr r="L6" s="7"/>
      </tp>
      <tp t="e">
        <v>#N/A</v>
        <stp/>
        <stp>BDH|2512216049179802542</stp>
        <tr r="U27" s="7"/>
      </tp>
      <tp t="e">
        <v>#N/A</v>
        <stp/>
        <stp>BDH|2760246996186261763</stp>
        <tr r="D57" s="13"/>
      </tp>
      <tp t="e">
        <v>#N/A</v>
        <stp/>
        <stp>BDH|8673258343392787460</stp>
        <tr r="S13" s="18"/>
      </tp>
      <tp t="e">
        <v>#N/A</v>
        <stp/>
        <stp>BDH|7759999124715383187</stp>
        <tr r="J43" s="13"/>
      </tp>
      <tp t="e">
        <v>#N/A</v>
        <stp/>
        <stp>BDH|1632436604214355935</stp>
        <tr r="G89" s="17"/>
        <tr r="G34" s="25"/>
      </tp>
      <tp t="e">
        <v>#N/A</v>
        <stp/>
        <stp>BDH|5256262514276269834</stp>
        <tr r="S43" s="17"/>
      </tp>
      <tp t="e">
        <v>#N/A</v>
        <stp/>
        <stp>BDH|1219236784133237062</stp>
        <tr r="Z17" s="12"/>
      </tp>
      <tp t="e">
        <v>#N/A</v>
        <stp/>
        <stp>BDH|9180340221887468710</stp>
        <tr r="I12" s="14"/>
      </tp>
      <tp t="e">
        <v>#N/A</v>
        <stp/>
        <stp>BDH|4777264552459098228</stp>
        <tr r="K69" s="10"/>
      </tp>
      <tp t="e">
        <v>#N/A</v>
        <stp/>
        <stp>BDH|4307959510986405239</stp>
        <tr r="E124" s="18"/>
      </tp>
      <tp t="e">
        <v>#N/A</v>
        <stp/>
        <stp>BDH|7675671501981950882</stp>
        <tr r="Y93" s="18"/>
      </tp>
      <tp t="e">
        <v>#N/A</v>
        <stp/>
        <stp>BDH|1281213447687144841</stp>
        <tr r="W10" s="4"/>
        <tr r="V6" s="16"/>
        <tr r="Y6" s="3"/>
        <tr r="W6" s="11"/>
      </tp>
      <tp t="e">
        <v>#N/A</v>
        <stp/>
        <stp>BDH|2435269575626468922</stp>
        <tr r="Q33" s="5"/>
      </tp>
      <tp t="e">
        <v>#N/A</v>
        <stp/>
        <stp>BDH|9358721446616137479</stp>
        <tr r="D11" s="22"/>
      </tp>
      <tp t="e">
        <v>#N/A</v>
        <stp/>
        <stp>BDH|9797049262763448448</stp>
        <tr r="S61" s="13"/>
      </tp>
      <tp t="e">
        <v>#N/A</v>
        <stp/>
        <stp>BDH|2628916730216641608</stp>
        <tr r="R22" s="10"/>
      </tp>
      <tp t="e">
        <v>#N/A</v>
        <stp/>
        <stp>BDH|9080575758146965777</stp>
        <tr r="S16" s="21"/>
      </tp>
      <tp t="e">
        <v>#N/A</v>
        <stp/>
        <stp>BDH|4490866230112638550</stp>
        <tr r="X9" s="24"/>
      </tp>
      <tp t="e">
        <v>#N/A</v>
        <stp/>
        <stp>BDH|7795335372758778301</stp>
        <tr r="P54" s="24"/>
      </tp>
      <tp t="e">
        <v>#N/A</v>
        <stp/>
        <stp>BDH|2194021154537136870</stp>
        <tr r="Y7" s="34"/>
      </tp>
      <tp t="e">
        <v>#N/A</v>
        <stp/>
        <stp>BDH|7561157141389521321</stp>
        <tr r="T17" s="21"/>
      </tp>
      <tp t="e">
        <v>#N/A</v>
        <stp/>
        <stp>BDH|2773782506405600891</stp>
        <tr r="I42" s="24"/>
      </tp>
      <tp t="e">
        <v>#N/A</v>
        <stp/>
        <stp>BDH|5663922381048514465</stp>
        <tr r="L15" s="22"/>
      </tp>
      <tp t="e">
        <v>#N/A</v>
        <stp/>
        <stp>BDH|2888650688845314101</stp>
        <tr r="X9" s="18"/>
      </tp>
      <tp t="e">
        <v>#N/A</v>
        <stp/>
        <stp>BDH|2771964934871536168</stp>
        <tr r="I48" s="24"/>
      </tp>
      <tp t="e">
        <v>#N/A</v>
        <stp/>
        <stp>BDH|2013424060729650124</stp>
        <tr r="S39" s="4"/>
        <tr r="S66" s="10"/>
      </tp>
      <tp t="e">
        <v>#N/A</v>
        <stp/>
        <stp>BDH|4568480898119120826</stp>
        <tr r="Y34" s="10"/>
        <tr r="Y26" s="11"/>
      </tp>
      <tp t="e">
        <v>#N/A</v>
        <stp/>
        <stp>BDH|4982350299676286015</stp>
        <tr r="G47" s="21"/>
      </tp>
      <tp t="e">
        <v>#N/A</v>
        <stp/>
        <stp>BDH|9164377042312547475</stp>
        <tr r="H36" s="12"/>
      </tp>
      <tp t="e">
        <v>#N/A</v>
        <stp/>
        <stp>BDH|9433618530821069536</stp>
        <tr r="K25" s="3"/>
      </tp>
      <tp t="e">
        <v>#N/A</v>
        <stp/>
        <stp>BDH|3517375896063558273</stp>
        <tr r="E31" s="5"/>
      </tp>
      <tp t="e">
        <v>#N/A</v>
        <stp/>
        <stp>BDH|6113417006642805882</stp>
        <tr r="D17" s="20"/>
      </tp>
      <tp t="e">
        <v>#N/A</v>
        <stp/>
        <stp>BDH|5546024780252427752</stp>
        <tr r="R67" s="17"/>
        <tr r="O8" s="5"/>
        <tr r="O8" s="9"/>
      </tp>
      <tp t="e">
        <v>#N/A</v>
        <stp/>
        <stp>BDH|1802645299670498678</stp>
        <tr r="O22" s="22"/>
      </tp>
      <tp t="e">
        <v>#N/A</v>
        <stp/>
        <stp>BDH|3089833115182772078</stp>
        <tr r="M45" s="4"/>
        <tr r="M31" s="10"/>
        <tr r="M23" s="11"/>
        <tr r="O30" s="13"/>
      </tp>
      <tp t="e">
        <v>#N/A</v>
        <stp/>
        <stp>BDH|8610903841614285939</stp>
        <tr r="H17" s="17"/>
        <tr r="H20" s="28"/>
      </tp>
      <tp t="e">
        <v>#N/A</v>
        <stp/>
        <stp>BDH|2306012393125159663</stp>
        <tr r="K41" s="17"/>
        <tr r="K9" s="25"/>
      </tp>
      <tp t="e">
        <v>#N/A</v>
        <stp/>
        <stp>BDH|3357205506401728843</stp>
        <tr r="X126" s="18"/>
      </tp>
      <tp t="e">
        <v>#N/A</v>
        <stp/>
        <stp>BDH|5345366236115370860</stp>
        <tr r="L14" s="23"/>
      </tp>
      <tp t="e">
        <v>#N/A</v>
        <stp/>
        <stp>BDH|7245656349595173897</stp>
        <tr r="F58" s="12"/>
      </tp>
      <tp t="e">
        <v>#N/A</v>
        <stp/>
        <stp>BDH|7249734960669018770</stp>
        <tr r="F21" s="3"/>
      </tp>
      <tp t="e">
        <v>#N/A</v>
        <stp/>
        <stp>BDH|5637736483190621261</stp>
        <tr r="E19" s="5"/>
        <tr r="E46" s="6"/>
      </tp>
      <tp t="e">
        <v>#N/A</v>
        <stp/>
        <stp>BDH|2344953374503714735</stp>
        <tr r="V38" s="22"/>
      </tp>
      <tp t="e">
        <v>#N/A</v>
        <stp/>
        <stp>BDH|9014313740835105363</stp>
        <tr r="R23" s="23"/>
      </tp>
      <tp t="e">
        <v>#N/A</v>
        <stp/>
        <stp>BDH|5045168780836546259</stp>
        <tr r="M23" s="26"/>
      </tp>
      <tp t="e">
        <v>#N/A</v>
        <stp/>
        <stp>BDH|1617831120535646658</stp>
        <tr r="X28" s="18"/>
      </tp>
      <tp t="e">
        <v>#N/A</v>
        <stp/>
        <stp>BDH|5359316882517492127</stp>
        <tr r="Y81" s="17"/>
        <tr r="Y20" s="3"/>
        <tr r="W6" s="7"/>
      </tp>
      <tp t="e">
        <v>#N/A</v>
        <stp/>
        <stp>BDH|8158440331170685744</stp>
        <tr r="S21" s="11"/>
      </tp>
      <tp t="e">
        <v>#N/A</v>
        <stp/>
        <stp>BDH|7034449052008837682</stp>
        <tr r="K16" s="29"/>
        <tr r="K39" s="29"/>
      </tp>
      <tp t="e">
        <v>#N/A</v>
        <stp/>
        <stp>BDH|5469569684169846981</stp>
        <tr r="T54" s="24"/>
      </tp>
      <tp t="e">
        <v>#N/A</v>
        <stp/>
        <stp>BDH|6070649173567363827</stp>
        <tr r="AA10" s="22"/>
      </tp>
      <tp t="e">
        <v>#N/A</v>
        <stp/>
        <stp>BDH|9872274668953757665</stp>
        <tr r="H26" s="34"/>
      </tp>
      <tp t="e">
        <v>#N/A</v>
        <stp/>
        <stp>BDH|1496532176538309344</stp>
        <tr r="D108" s="18"/>
      </tp>
      <tp t="e">
        <v>#N/A</v>
        <stp/>
        <stp>BDH|1081154640275174924</stp>
        <tr r="Y40" s="18"/>
      </tp>
      <tp t="e">
        <v>#N/A</v>
        <stp/>
        <stp>BDH|6203324699793990767</stp>
        <tr r="E29" s="24"/>
      </tp>
      <tp t="e">
        <v>#N/A</v>
        <stp/>
        <stp>BDH|4541998544791960070</stp>
        <tr r="R26" s="14"/>
      </tp>
      <tp t="e">
        <v>#N/A</v>
        <stp/>
        <stp>BDH|3446599599063113430</stp>
        <tr r="F28" s="10"/>
        <tr r="H34" s="13"/>
      </tp>
      <tp t="e">
        <v>#N/A</v>
        <stp/>
        <stp>BDH|4372778192332881088</stp>
        <tr r="J45" s="22"/>
      </tp>
      <tp t="e">
        <v>#N/A</v>
        <stp/>
        <stp>BDH|4890661276715860865</stp>
        <tr r="J56" s="12"/>
      </tp>
      <tp t="e">
        <v>#N/A</v>
        <stp/>
        <stp>BDH|1246541335837479816</stp>
        <tr r="E14" s="12"/>
      </tp>
      <tp t="e">
        <v>#N/A</v>
        <stp/>
        <stp>BDH|9848601063002503389</stp>
        <tr r="O20" s="17"/>
      </tp>
      <tp t="e">
        <v>#N/A</v>
        <stp/>
        <stp>BDH|8060826302551633909</stp>
        <tr r="D49" s="6"/>
      </tp>
      <tp t="e">
        <v>#N/A</v>
        <stp/>
        <stp>BDH|2744920547615092244</stp>
        <tr r="F90" s="17"/>
      </tp>
      <tp t="e">
        <v>#N/A</v>
        <stp/>
        <stp>BDH|3443668856199659147</stp>
        <tr r="N37" s="18"/>
      </tp>
      <tp t="e">
        <v>#N/A</v>
        <stp/>
        <stp>BDH|7741402592425157729</stp>
        <tr r="S54" s="21"/>
      </tp>
      <tp t="e">
        <v>#N/A</v>
        <stp/>
        <stp>BDH|4287947232130798659</stp>
        <tr r="V74" s="10"/>
        <tr r="V66" s="11"/>
      </tp>
      <tp t="e">
        <v>#N/A</v>
        <stp/>
        <stp>BDH|7036871550732926096</stp>
        <tr r="E35" s="12"/>
      </tp>
      <tp t="e">
        <v>#N/A</v>
        <stp/>
        <stp>BDH|8908693775077369614</stp>
        <tr r="Z54" s="21"/>
      </tp>
      <tp t="e">
        <v>#N/A</v>
        <stp/>
        <stp>BDH|5130915745690137032</stp>
        <tr r="D8" s="18"/>
      </tp>
      <tp t="e">
        <v>#N/A</v>
        <stp/>
        <stp>BDH|9923423954227148797</stp>
        <tr r="L18" s="23"/>
      </tp>
      <tp t="e">
        <v>#N/A</v>
        <stp/>
        <stp>BDH|3074292471749706782</stp>
        <tr r="H16" s="11"/>
      </tp>
      <tp t="e">
        <v>#N/A</v>
        <stp/>
        <stp>BDH|9212863516199569106</stp>
        <tr r="J35" s="25"/>
      </tp>
      <tp t="e">
        <v>#N/A</v>
        <stp/>
        <stp>BDH|3637027455088059662</stp>
        <tr r="R19" s="10"/>
      </tp>
      <tp t="e">
        <v>#N/A</v>
        <stp/>
        <stp>BDH|2470911321008648951</stp>
        <tr r="M28" s="4"/>
      </tp>
      <tp t="e">
        <v>#N/A</v>
        <stp/>
        <stp>BDH|5075581898751263054</stp>
        <tr r="N84" s="12"/>
      </tp>
      <tp t="e">
        <v>#N/A</v>
        <stp/>
        <stp>BDH|9070008449361767498</stp>
        <tr r="K58" s="13"/>
      </tp>
      <tp t="e">
        <v>#N/A</v>
        <stp/>
        <stp>BDH|9701846492853445328</stp>
        <tr r="R68" s="17"/>
      </tp>
      <tp t="e">
        <v>#N/A</v>
        <stp/>
        <stp>BDH|7501978723862421620</stp>
        <tr r="Q15" s="22"/>
      </tp>
      <tp t="e">
        <v>#N/A</v>
        <stp/>
        <stp>BDH|5720602025431230875</stp>
        <tr r="P42" s="21"/>
      </tp>
      <tp t="e">
        <v>#N/A</v>
        <stp/>
        <stp>BDH|3468868689428816349</stp>
        <tr r="S20" s="2"/>
        <tr r="S18" s="4"/>
        <tr r="S58" s="10"/>
        <tr r="S50" s="11"/>
        <tr r="S19" s="7"/>
        <tr r="U65" s="13"/>
      </tp>
      <tp t="e">
        <v>#N/A</v>
        <stp/>
        <stp>BDH|6917298720937559927</stp>
        <tr r="AA30" s="12"/>
      </tp>
      <tp t="e">
        <v>#N/A</v>
        <stp/>
        <stp>BDH|5197739823268672007</stp>
        <tr r="J20" s="2"/>
        <tr r="J18" s="4"/>
        <tr r="J58" s="10"/>
        <tr r="J50" s="11"/>
        <tr r="J19" s="7"/>
        <tr r="L65" s="13"/>
      </tp>
      <tp t="e">
        <v>#N/A</v>
        <stp/>
        <stp>BDH|5013702723751111950</stp>
        <tr r="E41" s="17"/>
        <tr r="E9" s="25"/>
      </tp>
      <tp t="e">
        <v>#N/A</v>
        <stp/>
        <stp>BDH|2822952947187406095</stp>
        <tr r="U30" s="10"/>
        <tr r="W36" s="13"/>
      </tp>
      <tp t="e">
        <v>#N/A</v>
        <stp/>
        <stp>BDH|1382062696727410708</stp>
        <tr r="G45" s="21"/>
      </tp>
      <tp t="e">
        <v>#N/A</v>
        <stp/>
        <stp>BDH|7901262585816494397</stp>
        <tr r="R46" s="12"/>
      </tp>
      <tp t="e">
        <v>#N/A</v>
        <stp/>
        <stp>BDH|9756641030111279566</stp>
        <tr r="T9" s="23"/>
      </tp>
      <tp t="e">
        <v>#N/A</v>
        <stp/>
        <stp>BDH|3181628196450776454</stp>
        <tr r="X8" s="22"/>
      </tp>
      <tp t="e">
        <v>#N/A</v>
        <stp/>
        <stp>BDH|8940699520895320140</stp>
        <tr r="S85" s="18"/>
      </tp>
      <tp t="e">
        <v>#N/A</v>
        <stp/>
        <stp>BDH|8923781007582596548</stp>
        <tr r="X11" s="12"/>
      </tp>
      <tp t="e">
        <v>#N/A</v>
        <stp/>
        <stp>BDH|6611486969204562854</stp>
        <tr r="J18" s="12"/>
      </tp>
      <tp t="e">
        <v>#N/A</v>
        <stp/>
        <stp>BDH|6037000786754257237</stp>
        <tr r="D49" s="12"/>
      </tp>
      <tp t="e">
        <v>#N/A</v>
        <stp/>
        <stp>BDH|2706416135594492903</stp>
        <tr r="N28" s="26"/>
      </tp>
      <tp t="e">
        <v>#N/A</v>
        <stp/>
        <stp>BDH|1470229386250456332</stp>
        <tr r="R18" s="13"/>
      </tp>
      <tp t="e">
        <v>#N/A</v>
        <stp/>
        <stp>BDH|6291576880276625544</stp>
        <tr r="W8" s="27"/>
      </tp>
      <tp t="e">
        <v>#N/A</v>
        <stp/>
        <stp>BDH|3088151006623436906</stp>
        <tr r="P45" s="17"/>
      </tp>
      <tp t="e">
        <v>#N/A</v>
        <stp/>
        <stp>BDH|6840385704688429578</stp>
        <tr r="Y87" s="18"/>
      </tp>
      <tp t="e">
        <v>#N/A</v>
        <stp/>
        <stp>BDH|2832284660887360944</stp>
        <tr r="AA120" s="18"/>
      </tp>
      <tp t="e">
        <v>#N/A</v>
        <stp/>
        <stp>BDH|9321232472682692632</stp>
        <tr r="AA30" s="24"/>
      </tp>
      <tp t="e">
        <v>#N/A</v>
        <stp/>
        <stp>BDH|4085626746489613756</stp>
        <tr r="U21" s="2"/>
      </tp>
      <tp t="e">
        <v>#N/A</v>
        <stp/>
        <stp>BDH|8116080747114959009</stp>
        <tr r="L24" s="22"/>
      </tp>
      <tp t="e">
        <v>#N/A</v>
        <stp/>
        <stp>BDH|9898677853817990520</stp>
        <tr r="D48" s="18"/>
      </tp>
      <tp t="e">
        <v>#N/A</v>
        <stp/>
        <stp>BDH|4510618069779264587</stp>
        <tr r="U13" s="5"/>
      </tp>
      <tp t="e">
        <v>#N/A</v>
        <stp/>
        <stp>BDH|8000484350252817379</stp>
        <tr r="AA17" s="21"/>
      </tp>
      <tp t="e">
        <v>#N/A</v>
        <stp/>
        <stp>BDH|6604664219659880064</stp>
        <tr r="K8" s="22"/>
      </tp>
      <tp t="e">
        <v>#N/A</v>
        <stp/>
        <stp>BDH|9230608262974689514</stp>
        <tr r="Q22" s="27"/>
      </tp>
      <tp t="e">
        <v>#N/A</v>
        <stp/>
        <stp>BDH|4864955929555625265</stp>
        <tr r="G18" s="17"/>
      </tp>
      <tp t="e">
        <v>#N/A</v>
        <stp/>
        <stp>BDH|9162743865710256066</stp>
        <tr r="R20" s="2"/>
        <tr r="R18" s="4"/>
        <tr r="R58" s="10"/>
        <tr r="R50" s="11"/>
        <tr r="R19" s="7"/>
        <tr r="T65" s="13"/>
      </tp>
      <tp t="e">
        <v>#N/A</v>
        <stp/>
        <stp>BDH|7076251423119669640</stp>
        <tr r="K23" s="22"/>
      </tp>
      <tp t="e">
        <v>#N/A</v>
        <stp/>
        <stp>BDH|9510900571067606861</stp>
        <tr r="U13" s="20"/>
      </tp>
      <tp t="e">
        <v>#N/A</v>
        <stp/>
        <stp>BDH|8708170825673071012</stp>
        <tr r="H33" s="6"/>
      </tp>
      <tp t="e">
        <v>#N/A</v>
        <stp/>
        <stp>BDH|5461010430857652978</stp>
        <tr r="W75" s="12"/>
      </tp>
      <tp t="e">
        <v>#N/A</v>
        <stp/>
        <stp>BDH|5739490292049197998</stp>
        <tr r="I87" s="18"/>
      </tp>
      <tp t="e">
        <v>#N/A</v>
        <stp/>
        <stp>BDH|9900387733167736610</stp>
        <tr r="X39" s="17"/>
      </tp>
      <tp t="e">
        <v>#N/A</v>
        <stp/>
        <stp>BDH|4007475595238151977</stp>
        <tr r="J47" s="10"/>
        <tr r="J39" s="11"/>
      </tp>
      <tp t="e">
        <v>#N/A</v>
        <stp/>
        <stp>BDH|3672754106168057412</stp>
        <tr r="S21" s="6"/>
      </tp>
      <tp t="e">
        <v>#N/A</v>
        <stp/>
        <stp>BDH|9357491536090868607</stp>
        <tr r="M42" s="10"/>
        <tr r="M34" s="11"/>
      </tp>
      <tp t="e">
        <v>#N/A</v>
        <stp/>
        <stp>BDH|8029363712870894285</stp>
        <tr r="F58" s="21"/>
        <tr r="F37" s="25"/>
        <tr r="D31" s="4"/>
        <tr r="D54" s="11"/>
      </tp>
      <tp t="e">
        <v>#N/A</v>
        <stp/>
        <stp>BDH|6092919124675151007</stp>
        <tr r="I35" s="21"/>
      </tp>
      <tp t="e">
        <v>#N/A</v>
        <stp/>
        <stp>BDH|2717646971543144872</stp>
        <tr r="T17" s="4"/>
        <tr r="V10" s="3"/>
        <tr r="T56" s="10"/>
        <tr r="T48" s="11"/>
        <tr r="T17" s="7"/>
        <tr r="V54" s="13"/>
      </tp>
      <tp t="e">
        <v>#N/A</v>
        <stp/>
        <stp>BDH|3477762597285515042</stp>
        <tr r="W38" s="24"/>
      </tp>
      <tp t="e">
        <v>#N/A</v>
        <stp/>
        <stp>BDH|7613310091503339613</stp>
        <tr r="C45" s="18"/>
      </tp>
      <tp t="e">
        <v>#N/A</v>
        <stp/>
        <stp>BDH|1300153270468271707</stp>
        <tr r="G101" s="18"/>
      </tp>
      <tp t="e">
        <v>#N/A</v>
        <stp/>
        <stp>BDH|5186913210726469303</stp>
        <tr r="E79" s="24"/>
      </tp>
      <tp t="e">
        <v>#N/A</v>
        <stp/>
        <stp>BDH|4790204886190731627</stp>
        <tr r="N19" s="12"/>
      </tp>
      <tp t="e">
        <v>#N/A</v>
        <stp/>
        <stp>BDH|4570193963493212899</stp>
        <tr r="V8" s="14"/>
      </tp>
      <tp t="e">
        <v>#N/A</v>
        <stp/>
        <stp>BDH|4574554359998531481</stp>
        <tr r="Y140" s="18"/>
      </tp>
      <tp t="e">
        <v>#N/A</v>
        <stp/>
        <stp>BDH|8521061851924051164</stp>
        <tr r="F82" s="17"/>
      </tp>
      <tp t="e">
        <v>#N/A</v>
        <stp/>
        <stp>BDH|4948995034657288125</stp>
        <tr r="Q12" s="10"/>
      </tp>
      <tp t="e">
        <v>#N/A</v>
        <stp/>
        <stp>BDH|3612828682108457360</stp>
        <tr r="S15" s="21"/>
      </tp>
      <tp t="e">
        <v>#N/A</v>
        <stp/>
        <stp>BDH|3279152713853394839</stp>
        <tr r="G16" s="18"/>
      </tp>
      <tp t="e">
        <v>#N/A</v>
        <stp/>
        <stp>BDH|2782647960529334345</stp>
        <tr r="W24" s="4"/>
        <tr r="W57" s="11"/>
      </tp>
      <tp t="e">
        <v>#N/A</v>
        <stp/>
        <stp>BDH|5865641223088836138</stp>
        <tr r="N17" s="23"/>
      </tp>
      <tp t="e">
        <v>#N/A</v>
        <stp/>
        <stp>BDH|4606819212611382428</stp>
        <tr r="Z88" s="17"/>
      </tp>
      <tp t="e">
        <v>#N/A</v>
        <stp/>
        <stp>BDH|1345529122416706806</stp>
        <tr r="X29" s="18"/>
      </tp>
      <tp t="e">
        <v>#N/A</v>
        <stp/>
        <stp>BDH|9699739584776202878</stp>
        <tr r="T19" s="12"/>
      </tp>
      <tp t="e">
        <v>#N/A</v>
        <stp/>
        <stp>BDH|1736810255865240151</stp>
        <tr r="K50" s="21"/>
      </tp>
      <tp t="e">
        <v>#N/A</v>
        <stp/>
        <stp>BDH|9297568661516365433</stp>
        <tr r="V42" s="21"/>
      </tp>
      <tp t="e">
        <v>#N/A</v>
        <stp/>
        <stp>BDH|7021406163115576833</stp>
        <tr r="K27" s="22"/>
      </tp>
      <tp t="e">
        <v>#N/A</v>
        <stp/>
        <stp>BDH|8349900590981458129</stp>
        <tr r="J14" s="4"/>
      </tp>
      <tp t="e">
        <v>#N/A</v>
        <stp/>
        <stp>BDH|1870686905277613863</stp>
        <tr r="Z29" s="34"/>
      </tp>
      <tp t="e">
        <v>#N/A</v>
        <stp/>
        <stp>BDH|6499946775121984197</stp>
        <tr r="I126" s="18"/>
      </tp>
      <tp t="e">
        <v>#N/A</v>
        <stp/>
        <stp>BDH|8837124079696448025</stp>
        <tr r="F35" s="25"/>
      </tp>
      <tp t="e">
        <v>#N/A</v>
        <stp/>
        <stp>BDH|6005484081661953357</stp>
        <tr r="T31" s="17"/>
      </tp>
      <tp t="e">
        <v>#N/A</v>
        <stp/>
        <stp>BDH|2302353784227486639</stp>
        <tr r="F19" s="18"/>
      </tp>
      <tp t="e">
        <v>#N/A</v>
        <stp/>
        <stp>BDH|8779347826113608263</stp>
        <tr r="R66" s="12"/>
      </tp>
      <tp t="e">
        <v>#N/A</v>
        <stp/>
        <stp>BDH|7792176867739056128</stp>
        <tr r="C91" s="24"/>
      </tp>
      <tp t="e">
        <v>#N/A</v>
        <stp/>
        <stp>BDH|5730233103009171633</stp>
        <tr r="K41" s="34"/>
      </tp>
      <tp t="e">
        <v>#N/A</v>
        <stp/>
        <stp>BDH|1884408980513920643</stp>
        <tr r="G20" s="23"/>
      </tp>
      <tp t="e">
        <v>#N/A</v>
        <stp/>
        <stp>BDH|4833866327323816540</stp>
        <tr r="D70" s="12"/>
      </tp>
      <tp t="e">
        <v>#N/A</v>
        <stp/>
        <stp>BDH|4952886050416739733</stp>
        <tr r="R49" s="21"/>
      </tp>
      <tp t="e">
        <v>#N/A</v>
        <stp/>
        <stp>BDH|3575781158559827087</stp>
        <tr r="AA72" s="18"/>
      </tp>
      <tp t="e">
        <v>#N/A</v>
        <stp/>
        <stp>BDH|1207206412133191948</stp>
        <tr r="H43" s="10"/>
        <tr r="H35" s="11"/>
      </tp>
      <tp t="e">
        <v>#N/A</v>
        <stp/>
        <stp>BDH|4508624641216413871</stp>
        <tr r="I44" s="12"/>
      </tp>
      <tp t="e">
        <v>#N/A</v>
        <stp/>
        <stp>BDH|9494775231491596427</stp>
        <tr r="N20" s="12"/>
      </tp>
      <tp t="e">
        <v>#N/A</v>
        <stp/>
        <stp>BDH|9966583935632999583</stp>
        <tr r="U29" s="4"/>
      </tp>
      <tp t="e">
        <v>#N/A</v>
        <stp/>
        <stp>BDH|9130079916714112445</stp>
        <tr r="H20" s="17"/>
      </tp>
      <tp t="e">
        <v>#N/A</v>
        <stp/>
        <stp>BDH|9185822049298697598</stp>
        <tr r="G9" s="6"/>
      </tp>
      <tp t="e">
        <v>#N/A</v>
        <stp/>
        <stp>BDH|8859089760566174046</stp>
        <tr r="J23" s="24"/>
      </tp>
      <tp t="e">
        <v>#N/A</v>
        <stp/>
        <stp>BDH|5836030093823534783</stp>
        <tr r="N19" s="20"/>
      </tp>
      <tp t="e">
        <v>#N/A</v>
        <stp/>
        <stp>BDH|9437423318036231299</stp>
        <tr r="U15" s="25"/>
      </tp>
      <tp t="e">
        <v>#N/A</v>
        <stp/>
        <stp>BDH|5524069243771140842</stp>
        <tr r="E49" s="18"/>
      </tp>
      <tp t="e">
        <v>#N/A</v>
        <stp/>
        <stp>BDH|1132698059629657325</stp>
        <tr r="C27" s="34"/>
      </tp>
      <tp t="e">
        <v>#N/A</v>
        <stp/>
        <stp>BDH|5606418644084429927</stp>
        <tr r="F10" s="2"/>
        <tr r="E11" s="5"/>
        <tr r="E55" s="6"/>
        <tr r="F33" s="29"/>
        <tr r="F42" s="29"/>
      </tp>
      <tp t="e">
        <v>#N/A</v>
        <stp/>
        <stp>BDH|6238030366728584073</stp>
        <tr r="U43" s="21"/>
      </tp>
      <tp t="e">
        <v>#N/A</v>
        <stp/>
        <stp>BDH|1824624735004315899</stp>
        <tr r="R15" s="10"/>
      </tp>
      <tp t="e">
        <v>#N/A</v>
        <stp/>
        <stp>BDH|3359044921320553969</stp>
        <tr r="L114" s="18"/>
      </tp>
      <tp t="e">
        <v>#N/A</v>
        <stp/>
        <stp>BDH|29784569620138404</stp>
        <tr r="W14" s="2"/>
        <tr r="W11" s="10"/>
      </tp>
      <tp t="e">
        <v>#N/A</v>
        <stp/>
        <stp>BDH|93022008466287364</stp>
        <tr r="Q26" s="18"/>
      </tp>
      <tp t="e">
        <v>#N/A</v>
        <stp/>
        <stp>BDH|8767226340415935266</stp>
        <tr r="N16" s="21"/>
      </tp>
      <tp t="e">
        <v>#N/A</v>
        <stp/>
        <stp>BDH|9209682972625572472</stp>
        <tr r="T18" s="24"/>
      </tp>
      <tp t="e">
        <v>#N/A</v>
        <stp/>
        <stp>BDH|9099889697032522303</stp>
        <tr r="T27" s="12"/>
      </tp>
      <tp t="e">
        <v>#N/A</v>
        <stp/>
        <stp>BDH|8140581795384202946</stp>
        <tr r="D77" s="17"/>
      </tp>
      <tp t="e">
        <v>#N/A</v>
        <stp/>
        <stp>BDH|6788899537430460473</stp>
        <tr r="Q62" s="18"/>
      </tp>
      <tp t="e">
        <v>#N/A</v>
        <stp/>
        <stp>BDH|3303678403389597582</stp>
        <tr r="O78" s="24"/>
      </tp>
      <tp t="e">
        <v>#N/A</v>
        <stp/>
        <stp>BDH|4321766085644882629</stp>
        <tr r="Z48" s="17"/>
      </tp>
      <tp t="e">
        <v>#N/A</v>
        <stp/>
        <stp>BDH|7234427686235458781</stp>
        <tr r="H40" s="12"/>
      </tp>
      <tp t="e">
        <v>#N/A</v>
        <stp/>
        <stp>BDH|1833113415169436127</stp>
        <tr r="D32" s="5"/>
      </tp>
      <tp t="e">
        <v>#N/A</v>
        <stp/>
        <stp>BDH|1927867331622629124</stp>
        <tr r="K18" s="18"/>
      </tp>
      <tp t="e">
        <v>#N/A</v>
        <stp/>
        <stp>BDH|6935172299043436496</stp>
        <tr r="AA66" s="12"/>
      </tp>
      <tp t="e">
        <v>#N/A</v>
        <stp/>
        <stp>BDH|5074664335539955007</stp>
        <tr r="I49" s="12"/>
      </tp>
      <tp t="e">
        <v>#N/A</v>
        <stp/>
        <stp>BDH|1173971648202796739</stp>
        <tr r="T124" s="18"/>
      </tp>
      <tp t="e">
        <v>#N/A</v>
        <stp/>
        <stp>BDH|1537477653168268197</stp>
        <tr r="R43" s="24"/>
      </tp>
      <tp t="e">
        <v>#N/A</v>
        <stp/>
        <stp>BDH|9032822094840573199</stp>
        <tr r="P75" s="12"/>
      </tp>
      <tp t="e">
        <v>#N/A</v>
        <stp/>
        <stp>BDH|9171495234331652603</stp>
        <tr r="AA54" s="12"/>
      </tp>
      <tp t="e">
        <v>#N/A</v>
        <stp/>
        <stp>BDH|2666217956019867530</stp>
        <tr r="J17" s="6"/>
      </tp>
      <tp t="e">
        <v>#N/A</v>
        <stp/>
        <stp>BDH|8460728421533951748</stp>
        <tr r="G35" s="34"/>
      </tp>
      <tp t="e">
        <v>#N/A</v>
        <stp/>
        <stp>BDH|7911775204758859180</stp>
        <tr r="Q19" s="24"/>
      </tp>
      <tp t="e">
        <v>#N/A</v>
        <stp/>
        <stp>BDH|2668641492100295489</stp>
        <tr r="U29" s="17"/>
      </tp>
      <tp t="e">
        <v>#N/A</v>
        <stp/>
        <stp>BDH|3890735209539066487</stp>
        <tr r="W82" s="12"/>
      </tp>
      <tp t="e">
        <v>#N/A</v>
        <stp/>
        <stp>BDH|4961847204722276719</stp>
        <tr r="T25" s="18"/>
      </tp>
      <tp t="e">
        <v>#N/A</v>
        <stp/>
        <stp>BDH|5084123988365863085</stp>
        <tr r="I67" s="24"/>
      </tp>
      <tp t="e">
        <v>#N/A</v>
        <stp/>
        <stp>BDH|4072997510850513563</stp>
        <tr r="I32" s="21"/>
      </tp>
      <tp t="e">
        <v>#N/A</v>
        <stp/>
        <stp>BDH|6697027432054800843</stp>
        <tr r="F11" s="22"/>
      </tp>
      <tp t="e">
        <v>#N/A</v>
        <stp/>
        <stp>BDH|2380085420578334126</stp>
        <tr r="H10" s="26"/>
      </tp>
      <tp t="e">
        <v>#N/A</v>
        <stp/>
        <stp>BDH|8326089107128272940</stp>
        <tr r="K86" s="12"/>
      </tp>
      <tp t="e">
        <v>#N/A</v>
        <stp/>
        <stp>BDH|8638498405475935091</stp>
        <tr r="T82" s="24"/>
      </tp>
      <tp t="e">
        <v>#N/A</v>
        <stp/>
        <stp>BDH|4786404410650857850</stp>
        <tr r="N37" s="21"/>
        <tr r="N24" s="3"/>
      </tp>
      <tp t="e">
        <v>#N/A</v>
        <stp/>
        <stp>BDH|1362489576788643313</stp>
        <tr r="AA37" s="12"/>
      </tp>
      <tp t="e">
        <v>#N/A</v>
        <stp/>
        <stp>BDH|9152150009788440939</stp>
        <tr r="C22" s="14"/>
      </tp>
      <tp t="e">
        <v>#N/A</v>
        <stp/>
        <stp>BDH|3264008848986911898</stp>
        <tr r="Y17" s="10"/>
      </tp>
      <tp t="e">
        <v>#N/A</v>
        <stp/>
        <stp>BDH|1905898455771645495</stp>
        <tr r="E8" s="11"/>
      </tp>
      <tp t="e">
        <v>#N/A</v>
        <stp/>
        <stp>BDH|9378996476806465821</stp>
        <tr r="G42" s="10"/>
        <tr r="G34" s="11"/>
      </tp>
      <tp t="e">
        <v>#N/A</v>
        <stp/>
        <stp>BDH|1545849427846420497</stp>
        <tr r="N141" s="18"/>
      </tp>
      <tp t="e">
        <v>#N/A</v>
        <stp/>
        <stp>BDH|4051955618160026563</stp>
        <tr r="AA21" s="24"/>
      </tp>
      <tp t="e">
        <v>#N/A</v>
        <stp/>
        <stp>BDH|2015184692707463454</stp>
        <tr r="D11" s="3"/>
      </tp>
      <tp t="e">
        <v>#N/A</v>
        <stp/>
        <stp>BDH|6921630386183049277</stp>
        <tr r="Q32" s="22"/>
      </tp>
      <tp t="e">
        <v>#N/A</v>
        <stp/>
        <stp>BDH|9764564204232853766</stp>
        <tr r="S15" s="12"/>
      </tp>
      <tp t="e">
        <v>#N/A</v>
        <stp/>
        <stp>BDH|7760720612339919156</stp>
        <tr r="AA74" s="17"/>
      </tp>
      <tp t="e">
        <v>#N/A</v>
        <stp/>
        <stp>BDH|1617981930134043657</stp>
        <tr r="N66" s="24"/>
      </tp>
      <tp t="e">
        <v>#N/A</v>
        <stp/>
        <stp>BDH|1316166483658438990</stp>
        <tr r="G14" s="29"/>
        <tr r="G23" s="29"/>
        <tr r="G37" s="29"/>
      </tp>
      <tp t="e">
        <v>#N/A</v>
        <stp/>
        <stp>BDH|7314396859679919115</stp>
        <tr r="Y28" s="14"/>
      </tp>
      <tp t="e">
        <v>#N/A</v>
        <stp/>
        <stp>BDH|6712430407068915314</stp>
        <tr r="D34" s="24"/>
      </tp>
      <tp t="e">
        <v>#N/A</v>
        <stp/>
        <stp>BDH|2701095586735711647</stp>
        <tr r="G60" s="12"/>
      </tp>
      <tp t="e">
        <v>#N/A</v>
        <stp/>
        <stp>BDH|4292028757710949856</stp>
        <tr r="R122" s="18"/>
      </tp>
      <tp t="e">
        <v>#N/A</v>
        <stp/>
        <stp>BDH|7218675703310423891</stp>
        <tr r="H72" s="12"/>
      </tp>
      <tp t="e">
        <v>#N/A</v>
        <stp/>
        <stp>BDH|2038751581117659391</stp>
        <tr r="V68" s="24"/>
      </tp>
      <tp t="e">
        <v>#N/A</v>
        <stp/>
        <stp>BDH|9740190532550700206</stp>
        <tr r="I19" s="30"/>
      </tp>
      <tp t="e">
        <v>#N/A</v>
        <stp/>
        <stp>BDH|9798978967047866840</stp>
        <tr r="G12" s="17"/>
      </tp>
      <tp t="e">
        <v>#N/A</v>
        <stp/>
        <stp>BDH|1277889062016268011</stp>
        <tr r="W118" s="18"/>
      </tp>
      <tp t="e">
        <v>#N/A</v>
        <stp/>
        <stp>BDH|5165942733016848059</stp>
        <tr r="L46" s="12"/>
      </tp>
      <tp t="e">
        <v>#N/A</v>
        <stp/>
        <stp>BDH|8589641464325654486</stp>
        <tr r="Q51" s="6"/>
        <tr r="S6" s="8"/>
      </tp>
      <tp t="e">
        <v>#N/A</v>
        <stp/>
        <stp>BDH|9276371256295056388</stp>
        <tr r="O25" s="26"/>
      </tp>
      <tp t="e">
        <v>#N/A</v>
        <stp/>
        <stp>BDH|8105630968284691573</stp>
        <tr r="AA16" s="26"/>
      </tp>
      <tp t="e">
        <v>#N/A</v>
        <stp/>
        <stp>BDH|4153858151178938877</stp>
        <tr r="F38" s="17"/>
      </tp>
      <tp t="e">
        <v>#N/A</v>
        <stp/>
        <stp>BDH|7783388016419790557</stp>
        <tr r="C31" s="9"/>
      </tp>
      <tp t="e">
        <v>#N/A</v>
        <stp/>
        <stp>BDH|5066856113980946541</stp>
        <tr r="C8" s="22"/>
      </tp>
      <tp t="e">
        <v>#N/A</v>
        <stp/>
        <stp>BDH|9156422741823163387</stp>
        <tr r="C23" s="12"/>
      </tp>
      <tp t="e">
        <v>#N/A</v>
        <stp/>
        <stp>BDH|2814929436881728033</stp>
        <tr r="Y18" s="20"/>
      </tp>
      <tp t="e">
        <v>#N/A</v>
        <stp/>
        <stp>BDH|9733926696500827033</stp>
        <tr r="U67" s="18"/>
      </tp>
      <tp t="e">
        <v>#N/A</v>
        <stp/>
        <stp>BDH|1819803767356175067</stp>
        <tr r="L31" s="9"/>
      </tp>
      <tp t="e">
        <v>#N/A</v>
        <stp/>
        <stp>BDH|5705061747201961975</stp>
        <tr r="P29" s="34"/>
      </tp>
      <tp t="e">
        <v>#N/A</v>
        <stp/>
        <stp>BDH|9356291082699844386</stp>
        <tr r="X47" s="22"/>
      </tp>
      <tp t="e">
        <v>#N/A</v>
        <stp/>
        <stp>BDH|7707815269677272757</stp>
        <tr r="C11" s="18"/>
      </tp>
      <tp t="e">
        <v>#N/A</v>
        <stp/>
        <stp>BDH|6444882799498947645</stp>
        <tr r="C28" s="12"/>
      </tp>
      <tp t="e">
        <v>#N/A</v>
        <stp/>
        <stp>BDH|1997771611826444836</stp>
        <tr r="R32" s="25"/>
        <tr r="R18" s="27"/>
      </tp>
      <tp t="e">
        <v>#N/A</v>
        <stp/>
        <stp>BDH|7277187982186434140</stp>
        <tr r="AA61" s="18"/>
      </tp>
      <tp t="e">
        <v>#N/A</v>
        <stp/>
        <stp>BDH|4973538885319689916</stp>
        <tr r="E43" s="24"/>
      </tp>
      <tp t="e">
        <v>#N/A</v>
        <stp/>
        <stp>BDH|7222391841329652047</stp>
        <tr r="W37" s="10"/>
        <tr r="W29" s="11"/>
        <tr r="Y41" s="13"/>
      </tp>
      <tp t="e">
        <v>#N/A</v>
        <stp/>
        <stp>BDH|2435570246792821853</stp>
        <tr r="V9" s="11"/>
      </tp>
      <tp t="e">
        <v>#N/A</v>
        <stp/>
        <stp>BDH|4779477862078223786</stp>
        <tr r="P34" s="29"/>
      </tp>
      <tp t="e">
        <v>#N/A</v>
        <stp/>
        <stp>BDH|5770123012074945864</stp>
        <tr r="G42" s="34"/>
      </tp>
      <tp t="e">
        <v>#N/A</v>
        <stp/>
        <stp>BDH|9482686689967527982</stp>
        <tr r="T8" s="17"/>
      </tp>
      <tp t="e">
        <v>#N/A</v>
        <stp/>
        <stp>BDH|1029477432409431695</stp>
        <tr r="O61" s="18"/>
      </tp>
      <tp t="e">
        <v>#N/A</v>
        <stp/>
        <stp>BDH|9629198312720285072</stp>
        <tr r="T19" s="26"/>
      </tp>
      <tp t="e">
        <v>#N/A</v>
        <stp/>
        <stp>BDH|5940623374009574426</stp>
        <tr r="O82" s="12"/>
      </tp>
      <tp t="e">
        <v>#N/A</v>
        <stp/>
        <stp>BDH|9563749174574947448</stp>
        <tr r="H20" s="2"/>
        <tr r="H18" s="4"/>
        <tr r="H58" s="10"/>
        <tr r="H50" s="11"/>
        <tr r="H19" s="7"/>
        <tr r="J65" s="13"/>
      </tp>
      <tp t="e">
        <v>#N/A</v>
        <stp/>
        <stp>BDH|8104094026395047665</stp>
        <tr r="AA8" s="28"/>
      </tp>
      <tp t="e">
        <v>#N/A</v>
        <stp/>
        <stp>BDH|7095480187452405034</stp>
        <tr r="P74" s="12"/>
      </tp>
      <tp t="e">
        <v>#N/A</v>
        <stp/>
        <stp>BDH|5294785590366075421</stp>
        <tr r="K8" s="17"/>
      </tp>
      <tp t="e">
        <v>#N/A</v>
        <stp/>
        <stp>BDH|5886830616413773622</stp>
        <tr r="Z38" s="34"/>
      </tp>
      <tp t="e">
        <v>#N/A</v>
        <stp/>
        <stp>BDH|2500469429628526575</stp>
        <tr r="E9" s="10"/>
      </tp>
      <tp t="e">
        <v>#N/A</v>
        <stp/>
        <stp>BDH|2781452075759926167</stp>
        <tr r="J8" s="4"/>
      </tp>
      <tp t="e">
        <v>#N/A</v>
        <stp/>
        <stp>BDH|7938756482890078162</stp>
        <tr r="Q15" s="10"/>
      </tp>
      <tp t="e">
        <v>#N/A</v>
        <stp/>
        <stp>BDH|9644368599692960884</stp>
        <tr r="X73" s="18"/>
      </tp>
      <tp t="e">
        <v>#N/A</v>
        <stp/>
        <stp>BDH|1093960526865090683</stp>
        <tr r="S32" s="5"/>
      </tp>
      <tp t="e">
        <v>#N/A</v>
        <stp/>
        <stp>BDH|4823762685614193625</stp>
        <tr r="V23" s="23"/>
      </tp>
      <tp t="e">
        <v>#N/A</v>
        <stp/>
        <stp>BDH|6993936853944348728</stp>
        <tr r="D20" s="22"/>
      </tp>
      <tp t="e">
        <v>#N/A</v>
        <stp/>
        <stp>BDH|2256890375180164478</stp>
        <tr r="P19" s="9"/>
      </tp>
      <tp t="e">
        <v>#N/A</v>
        <stp/>
        <stp>BDH|7848210673043090827</stp>
        <tr r="K35" s="14"/>
      </tp>
      <tp t="e">
        <v>#N/A</v>
        <stp/>
        <stp>BDH|4086395230868910589</stp>
        <tr r="L17" s="18"/>
      </tp>
      <tp t="e">
        <v>#N/A</v>
        <stp/>
        <stp>BDH|2205541939625194863</stp>
        <tr r="K28" s="18"/>
      </tp>
      <tp t="e">
        <v>#N/A</v>
        <stp/>
        <stp>BDH|4159088083293426661</stp>
        <tr r="C13" s="24"/>
      </tp>
      <tp t="e">
        <v>#N/A</v>
        <stp/>
        <stp>BDH|5268168562969936278</stp>
        <tr r="X27" s="24"/>
      </tp>
      <tp t="e">
        <v>#N/A</v>
        <stp/>
        <stp>BDH|4498582133159518224</stp>
        <tr r="N36" s="21"/>
      </tp>
      <tp t="e">
        <v>#N/A</v>
        <stp/>
        <stp>BDH|8177730505983802571</stp>
        <tr r="Z16" s="17"/>
        <tr r="Z19" s="28"/>
      </tp>
      <tp t="e">
        <v>#N/A</v>
        <stp/>
        <stp>BDH|9522978924678977374</stp>
        <tr r="X31" s="17"/>
      </tp>
      <tp t="e">
        <v>#N/A</v>
        <stp/>
        <stp>BDH|5502990364345598654</stp>
        <tr r="G38" s="6"/>
      </tp>
      <tp t="e">
        <v>#N/A</v>
        <stp/>
        <stp>BDH|6526795156004050933</stp>
        <tr r="U85" s="18"/>
      </tp>
      <tp t="e">
        <v>#N/A</v>
        <stp/>
        <stp>BDH|3647467298701614674</stp>
        <tr r="C35" s="13"/>
      </tp>
      <tp t="e">
        <v>#N/A</v>
        <stp/>
        <stp>BDH|6016657016100307896</stp>
        <tr r="Q72" s="12"/>
      </tp>
      <tp t="e">
        <v>#N/A</v>
        <stp/>
        <stp>BDH|6932196529029054500</stp>
        <tr r="I23" s="23"/>
      </tp>
      <tp t="e">
        <v>#N/A</v>
        <stp/>
        <stp>BDH|2060606983800894522</stp>
        <tr r="AA71" s="24"/>
      </tp>
      <tp t="e">
        <v>#N/A</v>
        <stp/>
        <stp>BDH|6410550015909528289</stp>
        <tr r="N60" s="12"/>
      </tp>
      <tp t="e">
        <v>#N/A</v>
        <stp/>
        <stp>BDH|6744833526221863431</stp>
        <tr r="K35" s="22"/>
      </tp>
      <tp t="e">
        <v>#N/A</v>
        <stp/>
        <stp>BDH|2406190033831627818</stp>
        <tr r="O12" s="12"/>
      </tp>
      <tp t="e">
        <v>#N/A</v>
        <stp/>
        <stp>BDH|3665066819763216824</stp>
        <tr r="O44" s="18"/>
      </tp>
      <tp t="e">
        <v>#N/A</v>
        <stp/>
        <stp>BDH|4210125196395942067</stp>
        <tr r="H136" s="18"/>
      </tp>
      <tp t="e">
        <v>#N/A</v>
        <stp/>
        <stp>BDH|5245367918196673832</stp>
        <tr r="M81" s="24"/>
      </tp>
      <tp t="e">
        <v>#N/A</v>
        <stp/>
        <stp>BDH|4665682133160309872</stp>
        <tr r="S10" s="14"/>
      </tp>
      <tp t="e">
        <v>#N/A</v>
        <stp/>
        <stp>BDH|6016028577191860948</stp>
        <tr r="K46" s="12"/>
      </tp>
      <tp t="e">
        <v>#N/A</v>
        <stp/>
        <stp>BDH|8498487142246708705</stp>
        <tr r="L25" s="26"/>
      </tp>
      <tp t="e">
        <v>#N/A</v>
        <stp/>
        <stp>BDH|9420781069158935958</stp>
        <tr r="H83" s="12"/>
      </tp>
      <tp t="e">
        <v>#N/A</v>
        <stp/>
        <stp>BDH|8406188354351167405</stp>
        <tr r="H9" s="24"/>
      </tp>
      <tp t="e">
        <v>#N/A</v>
        <stp/>
        <stp>BDH|7611750925992861976</stp>
        <tr r="W12" s="18"/>
      </tp>
      <tp t="e">
        <v>#N/A</v>
        <stp/>
        <stp>BDH|3591048545936844854</stp>
        <tr r="N32" s="26"/>
      </tp>
      <tp t="e">
        <v>#N/A</v>
        <stp/>
        <stp>BDH|7686804219676200142</stp>
        <tr r="Q56" s="6"/>
      </tp>
      <tp t="e">
        <v>#N/A</v>
        <stp/>
        <stp>BDH|3902524490181643749</stp>
        <tr r="R16" s="18"/>
      </tp>
      <tp t="e">
        <v>#N/A</v>
        <stp/>
        <stp>BDH|8938915136618791301</stp>
        <tr r="G25" s="25"/>
        <tr r="G10" s="27"/>
      </tp>
      <tp t="e">
        <v>#N/A</v>
        <stp/>
        <stp>BDH|7392810533672065782</stp>
        <tr r="I7" s="23"/>
      </tp>
      <tp t="e">
        <v>#N/A</v>
        <stp/>
        <stp>BDH|1231071448805475906</stp>
        <tr r="H6" s="2"/>
        <tr r="G6" s="5"/>
        <tr r="G6" s="9"/>
        <tr r="I12" s="8"/>
        <tr r="H10" s="29"/>
        <tr r="H19" s="29"/>
        <tr r="H25" s="29"/>
      </tp>
      <tp t="e">
        <v>#N/A</v>
        <stp/>
        <stp>BDH|9044758148644729733</stp>
        <tr r="Y16" s="14"/>
      </tp>
      <tp t="e">
        <v>#N/A</v>
        <stp/>
        <stp>BDH|2185557699114133357</stp>
        <tr r="V21" s="14"/>
      </tp>
      <tp t="e">
        <v>#N/A</v>
        <stp/>
        <stp>BDH|2675636129976362964</stp>
        <tr r="G41" s="24"/>
      </tp>
      <tp t="e">
        <v>#N/A</v>
        <stp/>
        <stp>BDH|7393610875147710893</stp>
        <tr r="H34" s="34"/>
      </tp>
      <tp t="e">
        <v>#N/A</v>
        <stp/>
        <stp>BDH|9981843058679423483</stp>
        <tr r="F42" s="18"/>
      </tp>
      <tp t="e">
        <v>#N/A</v>
        <stp/>
        <stp>BDH|9829237934917688608</stp>
        <tr r="V30" s="12"/>
      </tp>
      <tp t="e">
        <v>#N/A</v>
        <stp/>
        <stp>BDH|1676660219847650865</stp>
        <tr r="R44" s="13"/>
      </tp>
      <tp t="e">
        <v>#N/A</v>
        <stp/>
        <stp>BDH|1653889133887089443</stp>
        <tr r="X35" s="34"/>
      </tp>
      <tp t="e">
        <v>#N/A</v>
        <stp/>
        <stp>BDH|5570160852191802909</stp>
        <tr r="D81" s="18"/>
      </tp>
      <tp t="e">
        <v>#N/A</v>
        <stp/>
        <stp>BDH|9610252879103538610</stp>
        <tr r="S26" s="21"/>
      </tp>
      <tp t="e">
        <v>#N/A</v>
        <stp/>
        <stp>BDH|1161313741458768786</stp>
        <tr r="T77" s="12"/>
      </tp>
      <tp t="e">
        <v>#N/A</v>
        <stp/>
        <stp>BDH|8848507055507233614</stp>
        <tr r="T28" s="14"/>
      </tp>
      <tp t="e">
        <v>#N/A</v>
        <stp/>
        <stp>BDH|4068334328679750522</stp>
        <tr r="Y17" s="20"/>
      </tp>
      <tp t="e">
        <v>#N/A</v>
        <stp/>
        <stp>BDH|8906692133993981740</stp>
        <tr r="L49" s="6"/>
      </tp>
      <tp t="e">
        <v>#N/A</v>
        <stp/>
        <stp>BDH|5771847508144229070</stp>
        <tr r="Z35" s="34"/>
      </tp>
      <tp t="e">
        <v>#N/A</v>
        <stp/>
        <stp>BDH|1135896611753519226</stp>
        <tr r="W30" s="25"/>
        <tr r="W16" s="27"/>
      </tp>
      <tp t="e">
        <v>#N/A</v>
        <stp/>
        <stp>BDH|9875235152592635511</stp>
        <tr r="Y28" s="10"/>
        <tr r="AA34" s="13"/>
      </tp>
      <tp t="e">
        <v>#N/A</v>
        <stp/>
        <stp>BDH|6130092535478456474</stp>
        <tr r="V9" s="24"/>
      </tp>
      <tp t="e">
        <v>#N/A</v>
        <stp/>
        <stp>BDH|1030750199743673547</stp>
        <tr r="T47" s="17"/>
      </tp>
      <tp t="e">
        <v>#N/A</v>
        <stp/>
        <stp>BDH|2510812410112956030</stp>
        <tr r="O40" s="17"/>
      </tp>
      <tp t="e">
        <v>#N/A</v>
        <stp/>
        <stp>BDH|8723981789683961314</stp>
        <tr r="P20" s="20"/>
      </tp>
      <tp t="e">
        <v>#N/A</v>
        <stp/>
        <stp>BDH|8443061149944197143</stp>
        <tr r="N25" s="18"/>
      </tp>
      <tp t="e">
        <v>#N/A</v>
        <stp/>
        <stp>BDH|2284189862249452520</stp>
        <tr r="AA57" s="18"/>
      </tp>
      <tp t="e">
        <v>#N/A</v>
        <stp/>
        <stp>BDH|2967805023384495500</stp>
        <tr r="J21" s="2"/>
      </tp>
      <tp t="e">
        <v>#N/A</v>
        <stp/>
        <stp>BDH|4786860891538677483</stp>
        <tr r="U10" s="18"/>
      </tp>
      <tp t="e">
        <v>#N/A</v>
        <stp/>
        <stp>BDH|1336347250937167983</stp>
        <tr r="T103" s="18"/>
      </tp>
      <tp t="e">
        <v>#N/A</v>
        <stp/>
        <stp>BDH|8855239368524484199</stp>
        <tr r="N18" s="26"/>
      </tp>
      <tp t="e">
        <v>#N/A</v>
        <stp/>
        <stp>BDH|4812356610296196924</stp>
        <tr r="K12" s="6"/>
      </tp>
      <tp t="e">
        <v>#N/A</v>
        <stp/>
        <stp>BDH|2872904654954307311</stp>
        <tr r="L13" s="8"/>
      </tp>
      <tp t="e">
        <v>#N/A</v>
        <stp/>
        <stp>BDH|4099373908736405856</stp>
        <tr r="V23" s="24"/>
      </tp>
      <tp t="e">
        <v>#N/A</v>
        <stp/>
        <stp>BDH|6636948068087042744</stp>
        <tr r="H36" s="34"/>
      </tp>
      <tp t="e">
        <v>#N/A</v>
        <stp/>
        <stp>BDH|8469818818389437175</stp>
        <tr r="L59" s="18"/>
      </tp>
      <tp t="e">
        <v>#N/A</v>
        <stp/>
        <stp>BDH|4680278630894879875</stp>
        <tr r="Z47" s="24"/>
      </tp>
      <tp t="e">
        <v>#N/A</v>
        <stp/>
        <stp>BDH|1906872468434842208</stp>
        <tr r="R56" s="11"/>
      </tp>
      <tp t="e">
        <v>#N/A</v>
        <stp/>
        <stp>BDH|8290295211020628224</stp>
        <tr r="W22" s="6"/>
      </tp>
      <tp t="e">
        <v>#N/A</v>
        <stp/>
        <stp>BDH|8474083564213198475</stp>
        <tr r="X9" s="17"/>
      </tp>
      <tp t="e">
        <v>#N/A</v>
        <stp/>
        <stp>BDH|5566528498999542949</stp>
        <tr r="F41" s="34"/>
      </tp>
      <tp t="e">
        <v>#N/A</v>
        <stp/>
        <stp>BDH|7696703982542914332</stp>
        <tr r="Y7" s="8"/>
      </tp>
      <tp t="e">
        <v>#N/A</v>
        <stp/>
        <stp>BDH|6491459063035884847</stp>
        <tr r="R80" s="12"/>
      </tp>
      <tp t="e">
        <v>#N/A</v>
        <stp/>
        <stp>BDH|7841891114645858239</stp>
        <tr r="L47" s="21"/>
      </tp>
      <tp t="e">
        <v>#N/A</v>
        <stp/>
        <stp>BDH|1996524880010402512</stp>
        <tr r="U88" s="17"/>
      </tp>
      <tp t="e">
        <v>#N/A</v>
        <stp/>
        <stp>BDH|9101354060830964534</stp>
        <tr r="Z91" s="18"/>
      </tp>
      <tp t="e">
        <v>#N/A</v>
        <stp/>
        <stp>BDH|5796685147659626719</stp>
        <tr r="O126" s="18"/>
      </tp>
      <tp t="e">
        <v>#N/A</v>
        <stp/>
        <stp>BDH|2167308698458328959</stp>
        <tr r="Y88" s="24"/>
      </tp>
      <tp t="e">
        <v>#N/A</v>
        <stp/>
        <stp>BDH|4499579198848618929</stp>
        <tr r="V30" s="25"/>
        <tr r="V16" s="27"/>
      </tp>
      <tp t="e">
        <v>#N/A</v>
        <stp/>
        <stp>BDH|7887818121963585721</stp>
        <tr r="H13" s="29"/>
        <tr r="H22" s="29"/>
        <tr r="H36" s="29"/>
      </tp>
      <tp t="e">
        <v>#N/A</v>
        <stp/>
        <stp>BDH|8474509814317698294</stp>
        <tr r="H24" s="4"/>
        <tr r="H57" s="11"/>
      </tp>
      <tp t="e">
        <v>#N/A</v>
        <stp/>
        <stp>BDH|9430412114981716499</stp>
        <tr r="T64" s="21"/>
        <tr r="Q31" s="6"/>
      </tp>
      <tp t="e">
        <v>#N/A</v>
        <stp/>
        <stp>BDH|7343488938679586092</stp>
        <tr r="E41" s="12"/>
      </tp>
      <tp t="e">
        <v>#N/A</v>
        <stp/>
        <stp>BDH|9745048340710592491</stp>
        <tr r="Q87" s="24"/>
      </tp>
      <tp t="e">
        <v>#N/A</v>
        <stp/>
        <stp>BDH|6199127156818859320</stp>
        <tr r="R19" s="26"/>
      </tp>
      <tp t="e">
        <v>#N/A</v>
        <stp/>
        <stp>BDH|8548247328127310650</stp>
        <tr r="I16" s="11"/>
      </tp>
      <tp t="e">
        <v>#N/A</v>
        <stp/>
        <stp>BDH|9802129024416289536</stp>
        <tr r="Z26" s="25"/>
        <tr r="Z12" s="27"/>
      </tp>
      <tp t="e">
        <v>#N/A</v>
        <stp/>
        <stp>BDH|2738484184221375670</stp>
        <tr r="H19" s="30"/>
      </tp>
      <tp t="e">
        <v>#N/A</v>
        <stp/>
        <stp>BDH|6159733318419147043</stp>
        <tr r="W60" s="24"/>
      </tp>
      <tp t="e">
        <v>#N/A</v>
        <stp/>
        <stp>BDH|5547666621498406093</stp>
        <tr r="G63" s="13"/>
      </tp>
      <tp t="e">
        <v>#N/A</v>
        <stp/>
        <stp>BDH|4029886011466156270</stp>
        <tr r="S27" s="24"/>
      </tp>
      <tp t="e">
        <v>#N/A</v>
        <stp/>
        <stp>BDH|1866891049075705100</stp>
        <tr r="L28" s="4"/>
      </tp>
      <tp t="e">
        <v>#N/A</v>
        <stp/>
        <stp>BDH|2942848231327210719</stp>
        <tr r="K90" s="12"/>
      </tp>
      <tp t="e">
        <v>#N/A</v>
        <stp/>
        <stp>BDH|9278291601182494019</stp>
        <tr r="F24" s="21"/>
      </tp>
      <tp t="e">
        <v>#N/A</v>
        <stp/>
        <stp>BDH|7554461258897091842</stp>
        <tr r="O35" s="10"/>
        <tr r="O27" s="11"/>
      </tp>
      <tp t="e">
        <v>#N/A</v>
        <stp/>
        <stp>BDH|5298350525404435998</stp>
        <tr r="N22" s="17"/>
      </tp>
      <tp t="e">
        <v>#N/A</v>
        <stp/>
        <stp>BDH|9526319313500811206</stp>
        <tr r="J18" s="26"/>
      </tp>
      <tp t="e">
        <v>#N/A</v>
        <stp/>
        <stp>BDH|8500332473220986531</stp>
        <tr r="I40" s="34"/>
      </tp>
      <tp t="e">
        <v>#N/A</v>
        <stp/>
        <stp>BDH|1690627980771848735</stp>
        <tr r="L65" s="21"/>
      </tp>
      <tp t="e">
        <v>#N/A</v>
        <stp/>
        <stp>BDH|2906233994895331520</stp>
        <tr r="D43" s="24"/>
      </tp>
      <tp t="e">
        <v>#N/A</v>
        <stp/>
        <stp>BDH|2315565569068385004</stp>
        <tr r="W44" s="13"/>
      </tp>
      <tp t="e">
        <v>#N/A</v>
        <stp/>
        <stp>BDH|1368811666903840532</stp>
        <tr r="Z41" s="17"/>
        <tr r="Z9" s="25"/>
      </tp>
      <tp t="e">
        <v>#N/A</v>
        <stp/>
        <stp>BDH|2473258395888980827</stp>
        <tr r="G26" s="12"/>
      </tp>
      <tp t="e">
        <v>#N/A</v>
        <stp/>
        <stp>BDH|9883497037515826213</stp>
        <tr r="W108" s="18"/>
      </tp>
      <tp t="e">
        <v>#N/A</v>
        <stp/>
        <stp>BDH|7542188754889198376</stp>
        <tr r="V9" s="34"/>
      </tp>
      <tp t="e">
        <v>#N/A</v>
        <stp/>
        <stp>BDH|9352450086438893473</stp>
        <tr r="O68" s="18"/>
      </tp>
      <tp t="e">
        <v>#N/A</v>
        <stp/>
        <stp>BDH|7845142607519260669</stp>
        <tr r="I49" s="13"/>
      </tp>
      <tp t="e">
        <v>#N/A</v>
        <stp/>
        <stp>BDH|9136285214916620542</stp>
        <tr r="S23" s="22"/>
      </tp>
      <tp t="e">
        <v>#N/A</v>
        <stp/>
        <stp>BDH|2077995907107857599</stp>
        <tr r="W87" s="17"/>
      </tp>
      <tp t="e">
        <v>#N/A</v>
        <stp/>
        <stp>BDH|2757585194944619327</stp>
        <tr r="O17" s="29"/>
        <tr r="O40" s="29"/>
      </tp>
      <tp t="e">
        <v>#N/A</v>
        <stp/>
        <stp>BDH|4637823770450982222</stp>
        <tr r="T22" s="24"/>
      </tp>
      <tp t="e">
        <v>#N/A</v>
        <stp/>
        <stp>BDH|6941776875717278853</stp>
        <tr r="H45" s="12"/>
      </tp>
      <tp t="e">
        <v>#N/A</v>
        <stp/>
        <stp>BDH|9027266479005701045</stp>
        <tr r="S9" s="34"/>
      </tp>
      <tp t="e">
        <v>#N/A</v>
        <stp/>
        <stp>BDH|9129239440962669485</stp>
        <tr r="H33" s="17"/>
      </tp>
      <tp t="e">
        <v>#N/A</v>
        <stp/>
        <stp>BDH|3096934926256185786</stp>
        <tr r="J31" s="29"/>
      </tp>
      <tp t="e">
        <v>#N/A</v>
        <stp/>
        <stp>BDH|7101069969871090929</stp>
        <tr r="N41" s="34"/>
      </tp>
      <tp t="e">
        <v>#N/A</v>
        <stp/>
        <stp>BDH|9919264014411747204</stp>
        <tr r="J11" s="21"/>
      </tp>
      <tp t="e">
        <v>#N/A</v>
        <stp/>
        <stp>BDH|4355835718333509713</stp>
        <tr r="O53" s="10"/>
        <tr r="O45" s="11"/>
        <tr r="O16" s="7"/>
      </tp>
      <tp t="e">
        <v>#N/A</v>
        <stp/>
        <stp>BDH|4935877518365247180</stp>
        <tr r="J10" s="13"/>
      </tp>
      <tp t="e">
        <v>#N/A</v>
        <stp/>
        <stp>BDH|8435596363690706250</stp>
        <tr r="T19" s="30"/>
      </tp>
      <tp t="e">
        <v>#N/A</v>
        <stp/>
        <stp>BDH|8358738546935266780</stp>
        <tr r="Q58" s="17"/>
      </tp>
      <tp t="e">
        <v>#N/A</v>
        <stp/>
        <stp>BDH|2241124583566638494</stp>
        <tr r="V37" s="34"/>
      </tp>
      <tp t="e">
        <v>#N/A</v>
        <stp/>
        <stp>BDH|3882886164696130299</stp>
        <tr r="L26" s="29"/>
      </tp>
      <tp t="e">
        <v>#N/A</v>
        <stp/>
        <stp>BDH|9846361484723352852</stp>
        <tr r="P7" s="23"/>
      </tp>
      <tp t="e">
        <v>#N/A</v>
        <stp/>
        <stp>BDH|6636224341529848013</stp>
        <tr r="E22" s="30"/>
        <tr r="E24" s="23"/>
      </tp>
      <tp t="e">
        <v>#N/A</v>
        <stp/>
        <stp>BDH|7373764209799706070</stp>
        <tr r="X46" s="13"/>
      </tp>
      <tp t="e">
        <v>#N/A</v>
        <stp/>
        <stp>BDH|5644883419277858234</stp>
        <tr r="J83" s="24"/>
      </tp>
      <tp t="e">
        <v>#N/A</v>
        <stp/>
        <stp>BDH|3615885161453515767</stp>
        <tr r="O34" s="22"/>
      </tp>
      <tp t="e">
        <v>#N/A</v>
        <stp/>
        <stp>BDH|7497534692575965708</stp>
        <tr r="M34" s="10"/>
        <tr r="M26" s="11"/>
      </tp>
      <tp t="e">
        <v>#N/A</v>
        <stp/>
        <stp>BDH|5621212436014558983</stp>
        <tr r="H120" s="18"/>
      </tp>
      <tp t="e">
        <v>#N/A</v>
        <stp/>
        <stp>BDH|8846981685299126983</stp>
        <tr r="T60" s="18"/>
      </tp>
      <tp t="e">
        <v>#N/A</v>
        <stp/>
        <stp>BDH|1443076305931873924</stp>
        <tr r="X20" s="14"/>
      </tp>
      <tp t="e">
        <v>#N/A</v>
        <stp/>
        <stp>BDH|1762703959289355319</stp>
        <tr r="H9" s="30"/>
      </tp>
      <tp t="e">
        <v>#N/A</v>
        <stp/>
        <stp>BDH|7156384448159980043</stp>
        <tr r="E17" s="24"/>
      </tp>
      <tp t="e">
        <v>#N/A</v>
        <stp/>
        <stp>BDH|2274721928149384774</stp>
        <tr r="S120" s="18"/>
      </tp>
      <tp t="e">
        <v>#N/A</v>
        <stp/>
        <stp>BDH|4113724984322841039</stp>
        <tr r="E35" s="4"/>
      </tp>
      <tp t="e">
        <v>#N/A</v>
        <stp/>
        <stp>BDH|6929213132277085960</stp>
        <tr r="N12" s="10"/>
      </tp>
      <tp t="e">
        <v>#N/A</v>
        <stp/>
        <stp>BDH|2229532826649281594</stp>
        <tr r="P45" s="22"/>
      </tp>
      <tp t="e">
        <v>#N/A</v>
        <stp/>
        <stp>BDH|3039273118041038839</stp>
        <tr r="X22" s="22"/>
      </tp>
      <tp t="e">
        <v>#N/A</v>
        <stp/>
        <stp>BDH|3805302116981664947</stp>
        <tr r="H69" s="18"/>
      </tp>
      <tp t="e">
        <v>#N/A</v>
        <stp/>
        <stp>BDH|9825227038937917670</stp>
        <tr r="E70" s="17"/>
      </tp>
      <tp t="e">
        <v>#N/A</v>
        <stp/>
        <stp>BDH|8760569227203990539</stp>
        <tr r="I28" s="26"/>
      </tp>
      <tp t="e">
        <v>#N/A</v>
        <stp/>
        <stp>BDH|9238410442312581285</stp>
        <tr r="E31" s="26"/>
      </tp>
      <tp t="e">
        <v>#N/A</v>
        <stp/>
        <stp>BDH|8947611705191210638</stp>
        <tr r="T18" s="18"/>
      </tp>
      <tp t="e">
        <v>#N/A</v>
        <stp/>
        <stp>BDH|9238075947953759795</stp>
        <tr r="J19" s="9"/>
      </tp>
      <tp t="e">
        <v>#N/A</v>
        <stp/>
        <stp>BDH|8619795637332689721</stp>
        <tr r="K10" s="14"/>
      </tp>
      <tp t="e">
        <v>#N/A</v>
        <stp/>
        <stp>BDH|5004954308610041518</stp>
        <tr r="V7" s="30"/>
      </tp>
      <tp t="e">
        <v>#N/A</v>
        <stp/>
        <stp>BDH|5959002904769816580</stp>
        <tr r="W64" s="17"/>
      </tp>
      <tp t="e">
        <v>#N/A</v>
        <stp/>
        <stp>BDH|3692849255095976236</stp>
        <tr r="U79" s="24"/>
      </tp>
      <tp t="e">
        <v>#N/A</v>
        <stp/>
        <stp>BDH|2372164699214843795</stp>
        <tr r="D73" s="10"/>
        <tr r="D65" s="11"/>
      </tp>
      <tp t="e">
        <v>#N/A</v>
        <stp/>
        <stp>BDH|8592654114177968109</stp>
        <tr r="T17" s="20"/>
      </tp>
      <tp t="e">
        <v>#N/A</v>
        <stp/>
        <stp>BDH|1702892770085435272</stp>
        <tr r="I24" s="24"/>
      </tp>
      <tp t="e">
        <v>#N/A</v>
        <stp/>
        <stp>BDH|3225270384556571692</stp>
        <tr r="D25" s="4"/>
        <tr r="D65" s="10"/>
      </tp>
      <tp t="e">
        <v>#N/A</v>
        <stp/>
        <stp>BDH|4907981618350637523</stp>
        <tr r="R32" s="22"/>
      </tp>
      <tp t="e">
        <v>#N/A</v>
        <stp/>
        <stp>BDH|6374686750665406925</stp>
        <tr r="C19" s="6"/>
      </tp>
      <tp t="e">
        <v>#N/A</v>
        <stp/>
        <stp>BDH|8568592940079905986</stp>
        <tr r="K41" s="18"/>
      </tp>
      <tp t="e">
        <v>#N/A</v>
        <stp/>
        <stp>BDH|1209432163319626391</stp>
        <tr r="W11" s="24"/>
      </tp>
      <tp t="e">
        <v>#N/A</v>
        <stp/>
        <stp>BDH|2042814120212944353</stp>
        <tr r="P10" s="18"/>
      </tp>
      <tp t="e">
        <v>#N/A</v>
        <stp/>
        <stp>BDH|9101724730573818765</stp>
        <tr r="M16" s="6"/>
      </tp>
      <tp t="e">
        <v>#N/A</v>
        <stp/>
        <stp>BDH|9323511993614462886</stp>
        <tr r="P15" s="25"/>
      </tp>
      <tp t="e">
        <v>#N/A</v>
        <stp/>
        <stp>BDH|9911180448364129155</stp>
        <tr r="C12" s="25"/>
      </tp>
      <tp t="e">
        <v>#N/A</v>
        <stp/>
        <stp>BDH|4875583082403946360</stp>
        <tr r="J35" s="26"/>
      </tp>
      <tp t="e">
        <v>#N/A</v>
        <stp/>
        <stp>BDH|2455282286514111564</stp>
        <tr r="H9" s="18"/>
      </tp>
      <tp t="e">
        <v>#N/A</v>
        <stp/>
        <stp>BDH|4830703561605627923</stp>
        <tr r="C38" s="34"/>
      </tp>
      <tp t="e">
        <v>#N/A</v>
        <stp/>
        <stp>BDH|9344041234295914671</stp>
        <tr r="J26" s="22"/>
      </tp>
      <tp t="e">
        <v>#N/A</v>
        <stp/>
        <stp>BDH|9592794531613966794</stp>
        <tr r="X31" s="25"/>
        <tr r="U14" s="5"/>
        <tr r="X17" s="27"/>
      </tp>
      <tp t="e">
        <v>#N/A</v>
        <stp/>
        <stp>BDH|2985629914514196834</stp>
        <tr r="J8" s="18"/>
      </tp>
      <tp t="e">
        <v>#N/A</v>
        <stp/>
        <stp>BDH|2415589152308586369</stp>
        <tr r="V22" s="18"/>
      </tp>
      <tp t="e">
        <v>#N/A</v>
        <stp/>
        <stp>BDH|9908542505831612431</stp>
        <tr r="R14" s="20"/>
      </tp>
      <tp t="e">
        <v>#N/A</v>
        <stp/>
        <stp>BDH|5335079412008903527</stp>
        <tr r="H70" s="18"/>
      </tp>
      <tp t="e">
        <v>#N/A</v>
        <stp/>
        <stp>BDH|6867887058944324666</stp>
        <tr r="L62" s="13"/>
      </tp>
      <tp t="e">
        <v>#N/A</v>
        <stp/>
        <stp>BDH|1903106563077221858</stp>
        <tr r="AA7" s="21"/>
      </tp>
      <tp t="e">
        <v>#N/A</v>
        <stp/>
        <stp>BDH|2051908539408738936</stp>
        <tr r="J48" s="17"/>
      </tp>
      <tp t="e">
        <v>#N/A</v>
        <stp/>
        <stp>BDH|2633548681094810266</stp>
        <tr r="M46" s="4"/>
        <tr r="M23" s="10"/>
        <tr r="O37" s="13"/>
      </tp>
      <tp t="e">
        <v>#N/A</v>
        <stp/>
        <stp>BDH|7084484782780460231</stp>
        <tr r="I19" s="25"/>
      </tp>
      <tp t="e">
        <v>#N/A</v>
        <stp/>
        <stp>BDH|4023388137265465860</stp>
        <tr r="D26" s="25"/>
        <tr r="D12" s="27"/>
      </tp>
      <tp t="e">
        <v>#N/A</v>
        <stp/>
        <stp>BDH|3626818115887650499</stp>
        <tr r="S11" s="21"/>
      </tp>
      <tp t="e">
        <v>#N/A</v>
        <stp/>
        <stp>BDH|3298512201987154816</stp>
        <tr r="O41" s="21"/>
      </tp>
      <tp t="e">
        <v>#N/A</v>
        <stp/>
        <stp>BDH|7694697839888379370</stp>
        <tr r="Q78" s="24"/>
      </tp>
      <tp t="e">
        <v>#N/A</v>
        <stp/>
        <stp>BDH|7313375452511478907</stp>
        <tr r="P22" s="18"/>
      </tp>
      <tp t="e">
        <v>#N/A</v>
        <stp/>
        <stp>BDH|4022722433010367906</stp>
        <tr r="C67" s="17"/>
      </tp>
      <tp t="e">
        <v>#N/A</v>
        <stp/>
        <stp>BDH|4615462970309173737</stp>
        <tr r="F44" s="12"/>
      </tp>
      <tp t="e">
        <v>#N/A</v>
        <stp/>
        <stp>BDH|6570705827218681268</stp>
        <tr r="Q36" s="4"/>
      </tp>
      <tp t="e">
        <v>#N/A</v>
        <stp/>
        <stp>BDH|8845054572132828453</stp>
        <tr r="W37" s="21"/>
        <tr r="W24" s="3"/>
      </tp>
      <tp t="e">
        <v>#N/A</v>
        <stp/>
        <stp>BDH|7161963013083077560</stp>
        <tr r="O45" s="24"/>
      </tp>
      <tp t="e">
        <v>#N/A</v>
        <stp/>
        <stp>BDH|2504451494576707011</stp>
        <tr r="M7" s="17"/>
      </tp>
      <tp t="e">
        <v>#N/A</v>
        <stp/>
        <stp>BDH|9755674872186447741</stp>
        <tr r="U55" s="18"/>
      </tp>
      <tp t="e">
        <v>#N/A</v>
        <stp/>
        <stp>BDH|6877387550859588075</stp>
        <tr r="R43" s="4"/>
      </tp>
      <tp t="e">
        <v>#N/A</v>
        <stp/>
        <stp>BDH|4509354980205778354</stp>
        <tr r="R21" s="2"/>
      </tp>
      <tp t="e">
        <v>#N/A</v>
        <stp/>
        <stp>BDH|8080104275993499438</stp>
        <tr r="AA79" s="18"/>
      </tp>
      <tp t="e">
        <v>#N/A</v>
        <stp/>
        <stp>BDH|2401942837349117844</stp>
        <tr r="P106" s="18"/>
      </tp>
      <tp t="e">
        <v>#N/A</v>
        <stp/>
        <stp>BDH|9362569177126405449</stp>
        <tr r="H26" s="24"/>
      </tp>
      <tp t="e">
        <v>#N/A</v>
        <stp/>
        <stp>BDH|9627456350170122100</stp>
        <tr r="U35" s="14"/>
      </tp>
      <tp t="e">
        <v>#N/A</v>
        <stp/>
        <stp>BDH|4778244487753560435</stp>
        <tr r="S10" s="2"/>
        <tr r="R11" s="5"/>
        <tr r="R55" s="6"/>
        <tr r="S33" s="29"/>
        <tr r="S42" s="29"/>
      </tp>
      <tp t="e">
        <v>#N/A</v>
        <stp/>
        <stp>BDH|3611070731449477064</stp>
        <tr r="R50" s="21"/>
      </tp>
      <tp t="e">
        <v>#N/A</v>
        <stp/>
        <stp>BDH|5935456288704032467</stp>
        <tr r="O47" s="34"/>
      </tp>
      <tp t="e">
        <v>#N/A</v>
        <stp/>
        <stp>BDH|4221277162271590808</stp>
        <tr r="U14" s="29"/>
        <tr r="U23" s="29"/>
        <tr r="U37" s="29"/>
      </tp>
      <tp t="e">
        <v>#N/A</v>
        <stp/>
        <stp>BDH|8759192038125372678</stp>
        <tr r="Q46" s="21"/>
      </tp>
      <tp t="e">
        <v>#N/A</v>
        <stp/>
        <stp>BDH|7194963917665739357</stp>
        <tr r="O6" s="2"/>
        <tr r="N6" s="5"/>
        <tr r="N6" s="9"/>
        <tr r="P12" s="8"/>
        <tr r="O10" s="29"/>
        <tr r="O19" s="29"/>
        <tr r="O25" s="29"/>
      </tp>
      <tp t="e">
        <v>#N/A</v>
        <stp/>
        <stp>BDH|3843947524850944134</stp>
        <tr r="C43" s="34"/>
      </tp>
      <tp t="e">
        <v>#N/A</v>
        <stp/>
        <stp>BDH|2087740050859287042</stp>
        <tr r="U35" s="18"/>
      </tp>
      <tp t="e">
        <v>#N/A</v>
        <stp/>
        <stp>BDH|1194314070678120433</stp>
        <tr r="I33" s="6"/>
      </tp>
      <tp t="e">
        <v>#N/A</v>
        <stp/>
        <stp>BDH|4085854774687766546</stp>
        <tr r="X88" s="12"/>
      </tp>
      <tp t="e">
        <v>#N/A</v>
        <stp/>
        <stp>BDH|9396960399351741191</stp>
        <tr r="F73" s="17"/>
      </tp>
      <tp t="e">
        <v>#N/A</v>
        <stp/>
        <stp>BDH|1264900348683883607</stp>
        <tr r="Z59" s="18"/>
      </tp>
      <tp t="e">
        <v>#N/A</v>
        <stp/>
        <stp>BDH|6038519779719872425</stp>
        <tr r="N14" s="8"/>
      </tp>
      <tp t="e">
        <v>#N/A</v>
        <stp/>
        <stp>BDH|3677802873813421630</stp>
        <tr r="Y32" s="21"/>
      </tp>
      <tp t="e">
        <v>#N/A</v>
        <stp/>
        <stp>BDH|2822320630793987812</stp>
        <tr r="I13" s="26"/>
      </tp>
      <tp t="e">
        <v>#N/A</v>
        <stp/>
        <stp>BDH|3275922440835038221</stp>
        <tr r="J40" s="10"/>
        <tr r="J32" s="11"/>
      </tp>
      <tp t="e">
        <v>#N/A</v>
        <stp/>
        <stp>BDH|5207068546308668062</stp>
        <tr r="H18" s="24"/>
      </tp>
      <tp t="e">
        <v>#N/A</v>
        <stp/>
        <stp>BDH|6910858047220885302</stp>
        <tr r="V43" s="12"/>
      </tp>
      <tp t="e">
        <v>#N/A</v>
        <stp/>
        <stp>BDH|9372460769750740285</stp>
        <tr r="O52" s="12"/>
      </tp>
      <tp t="e">
        <v>#N/A</v>
        <stp/>
        <stp>BDH|2453617181866631319</stp>
        <tr r="C68" s="10"/>
      </tp>
      <tp t="e">
        <v>#N/A</v>
        <stp/>
        <stp>BDH|7133257783057426306</stp>
        <tr r="X24" s="17"/>
      </tp>
      <tp t="e">
        <v>#N/A</v>
        <stp/>
        <stp>BDH|9425402777686638565</stp>
        <tr r="M28" s="34"/>
      </tp>
      <tp t="e">
        <v>#N/A</v>
        <stp/>
        <stp>BDH|2397065242017296866</stp>
        <tr r="E17" s="18"/>
      </tp>
      <tp t="e">
        <v>#N/A</v>
        <stp/>
        <stp>BDH|5237924171836491464</stp>
        <tr r="V41" s="10"/>
        <tr r="V33" s="11"/>
      </tp>
      <tp t="e">
        <v>#N/A</v>
        <stp/>
        <stp>BDH|9777533946768709961</stp>
        <tr r="T7" s="2"/>
        <tr r="S7" s="5"/>
        <tr r="S7" s="9"/>
        <tr r="V14" s="3"/>
      </tp>
      <tp t="e">
        <v>#N/A</v>
        <stp/>
        <stp>BDH|3047248325082563878</stp>
        <tr r="S22" s="14"/>
      </tp>
      <tp t="e">
        <v>#N/A</v>
        <stp/>
        <stp>BDH|1753711291232107453</stp>
        <tr r="R88" s="24"/>
      </tp>
      <tp t="e">
        <v>#N/A</v>
        <stp/>
        <stp>BDH|7056586689305320617</stp>
        <tr r="W18" s="20"/>
      </tp>
      <tp t="e">
        <v>#N/A</v>
        <stp/>
        <stp>BDH|4165276273260549833</stp>
        <tr r="W33" s="24"/>
      </tp>
      <tp t="e">
        <v>#N/A</v>
        <stp/>
        <stp>BDH|5225176863243023851</stp>
        <tr r="C68" s="17"/>
      </tp>
      <tp t="e">
        <v>#N/A</v>
        <stp/>
        <stp>BDH|2566158209988378294</stp>
        <tr r="P15" s="24"/>
      </tp>
      <tp t="e">
        <v>#N/A</v>
        <stp/>
        <stp>BDH|4822736389403173103</stp>
        <tr r="G55" s="13"/>
      </tp>
      <tp t="e">
        <v>#N/A</v>
        <stp/>
        <stp>BDH|5726666450478208704</stp>
        <tr r="W26" s="10"/>
        <tr r="Y32" s="13"/>
      </tp>
      <tp t="e">
        <v>#N/A</v>
        <stp/>
        <stp>BDH|8331874782702712326</stp>
        <tr r="AA26" s="21"/>
      </tp>
      <tp t="e">
        <v>#N/A</v>
        <stp/>
        <stp>BDH|6843891956696645420</stp>
        <tr r="V30" s="22"/>
      </tp>
      <tp t="e">
        <v>#N/A</v>
        <stp/>
        <stp>BDH|4180707732160491940</stp>
        <tr r="M30" s="26"/>
      </tp>
      <tp t="e">
        <v>#N/A</v>
        <stp/>
        <stp>BDH|5029360083162423526</stp>
        <tr r="T21" s="5"/>
      </tp>
      <tp t="e">
        <v>#N/A</v>
        <stp/>
        <stp>BDH|2269920246654624235</stp>
        <tr r="Z9" s="3"/>
        <tr r="X51" s="10"/>
        <tr r="X43" s="11"/>
        <tr r="X14" s="7"/>
      </tp>
      <tp t="e">
        <v>#N/A</v>
        <stp/>
        <stp>BDH|4313943834262328534</stp>
        <tr r="M21" s="9"/>
      </tp>
      <tp t="e">
        <v>#N/A</v>
        <stp/>
        <stp>BDH|5372536943398043500</stp>
        <tr r="I72" s="17"/>
      </tp>
      <tp t="e">
        <v>#N/A</v>
        <stp/>
        <stp>BDH|4275939015907446235</stp>
        <tr r="G46" s="12"/>
      </tp>
      <tp t="e">
        <v>#N/A</v>
        <stp/>
        <stp>BDH|6660152527574585820</stp>
        <tr r="S15" s="24"/>
      </tp>
      <tp t="e">
        <v>#N/A</v>
        <stp/>
        <stp>BDH|6228536954987730817</stp>
        <tr r="F19" s="30"/>
      </tp>
      <tp t="e">
        <v>#N/A</v>
        <stp/>
        <stp>BDH|1544937537852421061</stp>
        <tr r="G84" s="12"/>
      </tp>
      <tp t="e">
        <v>#N/A</v>
        <stp/>
        <stp>BDH|3792551219756953812</stp>
        <tr r="T86" s="17"/>
      </tp>
      <tp t="e">
        <v>#N/A</v>
        <stp/>
        <stp>BDH|9647690719840218775</stp>
        <tr r="S9" s="17"/>
      </tp>
      <tp t="e">
        <v>#N/A</v>
        <stp/>
        <stp>BDH|5496926941690009141</stp>
        <tr r="T44" s="17"/>
      </tp>
      <tp t="e">
        <v>#N/A</v>
        <stp/>
        <stp>BDH|7176808122767055307</stp>
        <tr r="K36" s="34"/>
      </tp>
      <tp t="e">
        <v>#N/A</v>
        <stp/>
        <stp>BDH|6778943038982137794</stp>
        <tr r="J10" s="18"/>
      </tp>
      <tp t="e">
        <v>#N/A</v>
        <stp/>
        <stp>BDH|6401797602990454886</stp>
        <tr r="H61" s="11"/>
      </tp>
      <tp t="e">
        <v>#N/A</v>
        <stp/>
        <stp>BDH|5030192242928924116</stp>
        <tr r="S13" s="13"/>
      </tp>
      <tp t="e">
        <v>#N/A</v>
        <stp/>
        <stp>BDH|8188535133640228705</stp>
        <tr r="P13" s="7"/>
      </tp>
      <tp t="e">
        <v>#N/A</v>
        <stp/>
        <stp>BDH|4809082691032395617</stp>
        <tr r="R32" s="10"/>
        <tr r="R24" s="11"/>
      </tp>
      <tp t="e">
        <v>#N/A</v>
        <stp/>
        <stp>BDH|2688987335907031689</stp>
        <tr r="J25" s="18"/>
      </tp>
      <tp t="e">
        <v>#N/A</v>
        <stp/>
        <stp>BDH|1494150512308107015</stp>
        <tr r="P19" s="25"/>
      </tp>
      <tp t="e">
        <v>#N/A</v>
        <stp/>
        <stp>BDH|7591803116663746477</stp>
        <tr r="T25" s="26"/>
      </tp>
      <tp t="e">
        <v>#N/A</v>
        <stp/>
        <stp>BDH|9388555035463963590</stp>
        <tr r="G34" s="14"/>
      </tp>
      <tp t="e">
        <v>#N/A</v>
        <stp/>
        <stp>BDH|1695080998749276876</stp>
        <tr r="L26" s="17"/>
      </tp>
      <tp t="e">
        <v>#N/A</v>
        <stp/>
        <stp>BDH|9499089348531330548</stp>
        <tr r="R56" s="17"/>
      </tp>
      <tp t="e">
        <v>#N/A</v>
        <stp/>
        <stp>BDH|7058664932952291960</stp>
        <tr r="U8" s="27"/>
      </tp>
      <tp t="e">
        <v>#N/A</v>
        <stp/>
        <stp>BDH|8666243055800487634</stp>
        <tr r="G47" s="18"/>
      </tp>
      <tp t="e">
        <v>#N/A</v>
        <stp/>
        <stp>BDH|8668164554930190553</stp>
        <tr r="X23" s="2"/>
        <tr r="Z18" s="21"/>
        <tr r="Z23" s="3"/>
      </tp>
      <tp t="e">
        <v>#N/A</v>
        <stp/>
        <stp>BDH|2582347737622091960</stp>
        <tr r="X30" s="17"/>
      </tp>
      <tp t="e">
        <v>#N/A</v>
        <stp/>
        <stp>BDH|9409175969583835423</stp>
        <tr r="D42" s="6"/>
      </tp>
      <tp t="e">
        <v>#N/A</v>
        <stp/>
        <stp>BDH|5230515180275419475</stp>
        <tr r="X57" s="10"/>
        <tr r="X49" s="11"/>
        <tr r="X18" s="7"/>
        <tr r="Z57" s="13"/>
      </tp>
      <tp t="e">
        <v>#N/A</v>
        <stp/>
        <stp>BDH|6968323464769745386</stp>
        <tr r="T24" s="29"/>
      </tp>
      <tp t="e">
        <v>#N/A</v>
        <stp/>
        <stp>BDH|8600880034723900934</stp>
        <tr r="W8" s="14"/>
      </tp>
      <tp t="e">
        <v>#N/A</v>
        <stp/>
        <stp>BDH|3541821221080144072</stp>
        <tr r="S22" s="6"/>
      </tp>
      <tp t="e">
        <v>#N/A</v>
        <stp/>
        <stp>BDH|8263098693891827907</stp>
        <tr r="X47" s="10"/>
        <tr r="X39" s="11"/>
      </tp>
      <tp t="e">
        <v>#N/A</v>
        <stp/>
        <stp>BDH|9844481813356351306</stp>
        <tr r="Y47" s="22"/>
      </tp>
      <tp t="e">
        <v>#N/A</v>
        <stp/>
        <stp>BDH|5183649143876256848</stp>
        <tr r="C75" s="12"/>
      </tp>
      <tp t="e">
        <v>#N/A</v>
        <stp/>
        <stp>BDH|1925025998552665350</stp>
        <tr r="D15" s="22"/>
      </tp>
      <tp t="e">
        <v>#N/A</v>
        <stp/>
        <stp>BDH|5378810370634179731</stp>
        <tr r="H20" s="10"/>
      </tp>
      <tp t="e">
        <v>#N/A</v>
        <stp/>
        <stp>BDH|5853254635604823903</stp>
        <tr r="K19" s="17"/>
      </tp>
      <tp t="e">
        <v>#N/A</v>
        <stp/>
        <stp>BDH|3493048081154786661</stp>
        <tr r="H31" s="9"/>
      </tp>
      <tp t="e">
        <v>#N/A</v>
        <stp/>
        <stp>BDH|4730258665220468936</stp>
        <tr r="Q59" s="18"/>
      </tp>
      <tp t="e">
        <v>#N/A</v>
        <stp/>
        <stp>BDH|3721930776840444466</stp>
        <tr r="E87" s="12"/>
      </tp>
      <tp t="e">
        <v>#N/A</v>
        <stp/>
        <stp>BDH|9218650424546454279</stp>
        <tr r="L18" s="9"/>
      </tp>
      <tp t="e">
        <v>#N/A</v>
        <stp/>
        <stp>BDH|2363873352873658500</stp>
        <tr r="W54" s="24"/>
      </tp>
      <tp t="e">
        <v>#N/A</v>
        <stp/>
        <stp>BDH|4410884138836778032</stp>
        <tr r="G8" s="27"/>
      </tp>
      <tp t="e">
        <v>#N/A</v>
        <stp/>
        <stp>BDH|5312299292730950711</stp>
        <tr r="H47" s="13"/>
      </tp>
      <tp t="e">
        <v>#N/A</v>
        <stp/>
        <stp>BDH|9020879836778214336</stp>
        <tr r="G17" s="23"/>
      </tp>
      <tp t="e">
        <v>#N/A</v>
        <stp/>
        <stp>BDH|3240618505549231540</stp>
        <tr r="C39" s="22"/>
      </tp>
      <tp t="e">
        <v>#N/A</v>
        <stp/>
        <stp>BDH|6335649585209051820</stp>
        <tr r="F30" s="17"/>
      </tp>
      <tp t="e">
        <v>#N/A</v>
        <stp/>
        <stp>BDH|9494858088595091590</stp>
        <tr r="Y51" s="17"/>
        <tr r="Y17" s="3"/>
      </tp>
      <tp t="e">
        <v>#N/A</v>
        <stp/>
        <stp>BDH|9627271311940748372</stp>
        <tr r="V43" s="34"/>
      </tp>
      <tp t="e">
        <v>#N/A</v>
        <stp/>
        <stp>BDH|1204224656029534638</stp>
        <tr r="U18" s="22"/>
      </tp>
      <tp t="e">
        <v>#N/A</v>
        <stp/>
        <stp>BDH|3432017632350490930</stp>
        <tr r="R39" s="17"/>
      </tp>
      <tp t="e">
        <v>#N/A</v>
        <stp/>
        <stp>BDH|2967278515861897931</stp>
        <tr r="S58" s="17"/>
      </tp>
      <tp t="e">
        <v>#N/A</v>
        <stp/>
        <stp>BDH|2734968876726231351</stp>
        <tr r="T44" s="21"/>
      </tp>
      <tp t="e">
        <v>#N/A</v>
        <stp/>
        <stp>BDH|4639676774234284871</stp>
        <tr r="F22" s="11"/>
      </tp>
      <tp t="e">
        <v>#N/A</v>
        <stp/>
        <stp>BDH|5519660868359360595</stp>
        <tr r="W25" s="21"/>
      </tp>
      <tp t="e">
        <v>#N/A</v>
        <stp/>
        <stp>BDH|6733843287536206974</stp>
        <tr r="U32" s="26"/>
      </tp>
      <tp t="e">
        <v>#N/A</v>
        <stp/>
        <stp>BDH|2807106673208937536</stp>
        <tr r="AA26" s="26"/>
      </tp>
      <tp t="e">
        <v>#N/A</v>
        <stp/>
        <stp>BDH|6434456272314473861</stp>
        <tr r="N39" s="34"/>
      </tp>
      <tp t="e">
        <v>#N/A</v>
        <stp/>
        <stp>BDH|6884457889304357769</stp>
        <tr r="S24" s="22"/>
      </tp>
      <tp t="e">
        <v>#N/A</v>
        <stp/>
        <stp>BDH|6518127502329219767</stp>
        <tr r="X9" s="14"/>
      </tp>
      <tp t="e">
        <v>#N/A</v>
        <stp/>
        <stp>BDH|3062228341388585476</stp>
        <tr r="S28" s="18"/>
      </tp>
      <tp t="e">
        <v>#N/A</v>
        <stp/>
        <stp>BDH|8649779832961709457</stp>
        <tr r="Y26" s="17"/>
      </tp>
      <tp t="e">
        <v>#N/A</v>
        <stp/>
        <stp>BDH|9334088806698890846</stp>
        <tr r="M41" s="34"/>
      </tp>
      <tp t="e">
        <v>#N/A</v>
        <stp/>
        <stp>BDH|8847145448454437014</stp>
        <tr r="G57" s="17"/>
      </tp>
      <tp t="e">
        <v>#N/A</v>
        <stp/>
        <stp>BDH|3925795454089027157</stp>
        <tr r="R8" s="13"/>
      </tp>
      <tp t="e">
        <v>#N/A</v>
        <stp/>
        <stp>BDH|9596113778944427294</stp>
        <tr r="W84" s="18"/>
      </tp>
      <tp t="e">
        <v>#N/A</v>
        <stp/>
        <stp>BDH|4050380285225913353</stp>
        <tr r="T89" s="18"/>
      </tp>
      <tp t="e">
        <v>#N/A</v>
        <stp/>
        <stp>BDH|5947653497566219587</stp>
        <tr r="U34" s="29"/>
      </tp>
      <tp t="e">
        <v>#N/A</v>
        <stp/>
        <stp>BDH|2538680682051901477</stp>
        <tr r="R46" s="17"/>
      </tp>
      <tp t="e">
        <v>#N/A</v>
        <stp/>
        <stp>BDH|7461448641839038702</stp>
        <tr r="I61" s="21"/>
      </tp>
      <tp t="e">
        <v>#N/A</v>
        <stp/>
        <stp>BDH|8658223797548513275</stp>
        <tr r="H40" s="21"/>
      </tp>
      <tp t="e">
        <v>#N/A</v>
        <stp/>
        <stp>BDH|2946920958287355015</stp>
        <tr r="X6" s="19"/>
        <tr r="X35" s="17"/>
        <tr r="X16" s="3"/>
      </tp>
      <tp t="e">
        <v>#N/A</v>
        <stp/>
        <stp>BDH|5237697189046421470</stp>
        <tr r="K43" s="24"/>
      </tp>
      <tp t="e">
        <v>#N/A</v>
        <stp/>
        <stp>BDH|1192939950046430275</stp>
        <tr r="Q70" s="10"/>
        <tr r="Q62" s="11"/>
        <tr r="Q20" s="7"/>
      </tp>
      <tp t="e">
        <v>#N/A</v>
        <stp/>
        <stp>BDH|8924384425988481811</stp>
        <tr r="X76" s="17"/>
        <tr r="X19" s="3"/>
      </tp>
      <tp t="e">
        <v>#N/A</v>
        <stp/>
        <stp>BDH|7325431921278210026</stp>
        <tr r="K56" s="6"/>
      </tp>
      <tp t="e">
        <v>#N/A</v>
        <stp/>
        <stp>BDH|4353439270508811691</stp>
        <tr r="I67" s="10"/>
      </tp>
      <tp t="e">
        <v>#N/A</v>
        <stp/>
        <stp>BDH|5226431217460062978</stp>
        <tr r="R25" s="22"/>
      </tp>
      <tp t="e">
        <v>#N/A</v>
        <stp/>
        <stp>BDH|9134212687768166279</stp>
        <tr r="M8" s="10"/>
      </tp>
      <tp t="e">
        <v>#N/A</v>
        <stp/>
        <stp>BDH|4330567883323299357</stp>
        <tr r="AA14" s="23"/>
      </tp>
      <tp t="e">
        <v>#N/A</v>
        <stp/>
        <stp>BDH|7950477153146436989</stp>
        <tr r="P11" s="3"/>
        <tr r="N50" s="10"/>
        <tr r="N42" s="11"/>
        <tr r="N8" s="7"/>
      </tp>
      <tp t="e">
        <v>#N/A</v>
        <stp/>
        <stp>BDH|6449946657071296242</stp>
        <tr r="U15" s="14"/>
      </tp>
      <tp t="e">
        <v>#N/A</v>
        <stp/>
        <stp>BDH|8156217954103634539</stp>
        <tr r="F47" s="17"/>
      </tp>
      <tp t="e">
        <v>#N/A</v>
        <stp/>
        <stp>BDH|6844127542609944309</stp>
        <tr r="O24" s="18"/>
      </tp>
      <tp t="e">
        <v>#N/A</v>
        <stp/>
        <stp>BDH|4531818675867097502</stp>
        <tr r="Z52" s="21"/>
      </tp>
      <tp t="e">
        <v>#N/A</v>
        <stp/>
        <stp>BDH|5011894949609780963</stp>
        <tr r="D20" s="10"/>
      </tp>
      <tp t="e">
        <v>#N/A</v>
        <stp/>
        <stp>BDH|1896842374022082598</stp>
        <tr r="M76" s="24"/>
      </tp>
      <tp t="e">
        <v>#N/A</v>
        <stp/>
        <stp>BDH|6431961082708268638</stp>
        <tr r="W16" s="11"/>
      </tp>
      <tp t="e">
        <v>#N/A</v>
        <stp/>
        <stp>BDH|9643218646867587156</stp>
        <tr r="G62" s="24"/>
      </tp>
      <tp t="e">
        <v>#N/A</v>
        <stp/>
        <stp>BDH|2092626881294403167</stp>
        <tr r="P45" s="4"/>
        <tr r="P31" s="10"/>
        <tr r="P23" s="11"/>
        <tr r="R30" s="13"/>
      </tp>
      <tp t="e">
        <v>#N/A</v>
        <stp/>
        <stp>BDH|1692871966194043267</stp>
        <tr r="Z32" s="21"/>
      </tp>
      <tp t="e">
        <v>#N/A</v>
        <stp/>
        <stp>BDH|9564340303952213114</stp>
        <tr r="M52" s="6"/>
        <tr r="O9" s="8"/>
      </tp>
      <tp t="e">
        <v>#N/A</v>
        <stp/>
        <stp>BDH|7202234351811152803</stp>
        <tr r="W9" s="26"/>
      </tp>
      <tp t="e">
        <v>#N/A</v>
        <stp/>
        <stp>BDH|5509974107626669329</stp>
        <tr r="U29" s="24"/>
      </tp>
      <tp t="e">
        <v>#N/A</v>
        <stp/>
        <stp>BDH|9036680937924961171</stp>
        <tr r="C14" s="10"/>
      </tp>
      <tp t="e">
        <v>#N/A</v>
        <stp/>
        <stp>BDH|1382342408313761893</stp>
        <tr r="Q9" s="34"/>
      </tp>
      <tp t="e">
        <v>#N/A</v>
        <stp/>
        <stp>BDH|3775957330324077438</stp>
        <tr r="L121" s="18"/>
      </tp>
      <tp t="e">
        <v>#N/A</v>
        <stp/>
        <stp>BDH|9127126744550486525</stp>
        <tr r="G83" s="17"/>
      </tp>
      <tp t="e">
        <v>#N/A</v>
        <stp/>
        <stp>BDH|5811532887322444398</stp>
        <tr r="N135" s="18"/>
      </tp>
      <tp t="e">
        <v>#N/A</v>
        <stp/>
        <stp>BDH|6299893907736825151</stp>
        <tr r="Q31" s="25"/>
        <tr r="N14" s="5"/>
        <tr r="Q17" s="27"/>
      </tp>
      <tp t="e">
        <v>#N/A</v>
        <stp/>
        <stp>BDH|5935856035434884307</stp>
        <tr r="E22" s="18"/>
      </tp>
      <tp t="e">
        <v>#N/A</v>
        <stp/>
        <stp>BDH|2418763788546810238</stp>
        <tr r="T13" s="11"/>
      </tp>
      <tp t="e">
        <v>#N/A</v>
        <stp/>
        <stp>BDH|1165750283401443657</stp>
        <tr r="X26" s="25"/>
        <tr r="X12" s="27"/>
      </tp>
      <tp t="e">
        <v>#N/A</v>
        <stp/>
        <stp>BDH|5382582904790856919</stp>
        <tr r="F87" s="18"/>
      </tp>
      <tp t="e">
        <v>#N/A</v>
        <stp/>
        <stp>BDH|1134753900996593971</stp>
        <tr r="L142" s="18"/>
      </tp>
      <tp t="e">
        <v>#N/A</v>
        <stp/>
        <stp>BDH|8718001243555628046</stp>
        <tr r="R86" s="17"/>
      </tp>
      <tp t="e">
        <v>#N/A</v>
        <stp/>
        <stp>BDH|5502783998206198429</stp>
        <tr r="W18" s="5"/>
        <tr r="W41" s="6"/>
      </tp>
      <tp t="e">
        <v>#N/A</v>
        <stp/>
        <stp>BDH|5189141900984581969</stp>
        <tr r="L8" s="24"/>
      </tp>
      <tp t="e">
        <v>#N/A</v>
        <stp/>
        <stp>BDH|4918791957267171805</stp>
        <tr r="Q80" s="18"/>
      </tp>
      <tp t="e">
        <v>#N/A</v>
        <stp/>
        <stp>BDH|9737678760574370459</stp>
        <tr r="N60" s="17"/>
      </tp>
      <tp t="e">
        <v>#N/A</v>
        <stp/>
        <stp>BDH|6066853274947550729</stp>
        <tr r="E47" s="13"/>
      </tp>
      <tp t="e">
        <v>#N/A</v>
        <stp/>
        <stp>BDH|8483672691778552618</stp>
        <tr r="W24" s="12"/>
      </tp>
      <tp t="e">
        <v>#N/A</v>
        <stp/>
        <stp>BDH|1211871905208019863</stp>
        <tr r="V10" s="34"/>
      </tp>
      <tp t="e">
        <v>#N/A</v>
        <stp/>
        <stp>BDH|9016375762896085334</stp>
        <tr r="E26" s="6"/>
      </tp>
      <tp t="e">
        <v>#N/A</v>
        <stp/>
        <stp>BDH|1546065094900409158</stp>
        <tr r="W17" s="29"/>
        <tr r="W40" s="29"/>
      </tp>
      <tp t="e">
        <v>#N/A</v>
        <stp/>
        <stp>BDH|3088321191639570908</stp>
        <tr r="W59" s="13"/>
      </tp>
      <tp t="e">
        <v>#N/A</v>
        <stp/>
        <stp>BDH|6388778624533377952</stp>
        <tr r="M53" s="24"/>
      </tp>
      <tp t="e">
        <v>#N/A</v>
        <stp/>
        <stp>BDH|8020537883564074864</stp>
        <tr r="F28" s="17"/>
      </tp>
      <tp t="e">
        <v>#N/A</v>
        <stp/>
        <stp>BDH|6737522140238219610</stp>
        <tr r="P42" s="4"/>
      </tp>
      <tp t="e">
        <v>#N/A</v>
        <stp/>
        <stp>BDH|8814667380727818802</stp>
        <tr r="Y115" s="18"/>
      </tp>
      <tp t="e">
        <v>#N/A</v>
        <stp/>
        <stp>BDH|9122025040912027659</stp>
        <tr r="I13" s="10"/>
      </tp>
      <tp t="e">
        <v>#N/A</v>
        <stp/>
        <stp>BDH|7723676080009543934</stp>
        <tr r="W27" s="24"/>
      </tp>
      <tp t="e">
        <v>#N/A</v>
        <stp/>
        <stp>BDH|3749747074368104204</stp>
        <tr r="F8" s="8"/>
      </tp>
      <tp t="e">
        <v>#N/A</v>
        <stp/>
        <stp>BDH|4167369412059592660</stp>
        <tr r="P9" s="27"/>
      </tp>
      <tp t="e">
        <v>#N/A</v>
        <stp/>
        <stp>BDH|7320965113691717776</stp>
        <tr r="X31" s="24"/>
      </tp>
      <tp t="e">
        <v>#N/A</v>
        <stp/>
        <stp>BDH|7353121517519107718</stp>
        <tr r="S24" s="2"/>
      </tp>
      <tp t="e">
        <v>#N/A</v>
        <stp/>
        <stp>BDH|1695017131443411842</stp>
        <tr r="J83" s="17"/>
      </tp>
      <tp t="e">
        <v>#N/A</v>
        <stp/>
        <stp>BDH|4997881539406807064</stp>
        <tr r="O53" s="18"/>
      </tp>
      <tp t="e">
        <v>#N/A</v>
        <stp/>
        <stp>BDH|9093431913751223445</stp>
        <tr r="T13" s="8"/>
      </tp>
      <tp t="e">
        <v>#N/A</v>
        <stp/>
        <stp>BDH|9685396951056849001</stp>
        <tr r="X33" s="17"/>
      </tp>
      <tp t="e">
        <v>#N/A</v>
        <stp/>
        <stp>BDH|4767959062526339452</stp>
        <tr r="F21" s="18"/>
      </tp>
      <tp t="e">
        <v>#N/A</v>
        <stp/>
        <stp>BDH|8237102855513462659</stp>
        <tr r="U9" s="17"/>
      </tp>
      <tp t="e">
        <v>#N/A</v>
        <stp/>
        <stp>BDH|8784774293459678635</stp>
        <tr r="Z7" s="34"/>
      </tp>
      <tp t="e">
        <v>#N/A</v>
        <stp/>
        <stp>BDH|3883299621383765919</stp>
        <tr r="O72" s="10"/>
        <tr r="O64" s="11"/>
      </tp>
      <tp t="e">
        <v>#N/A</v>
        <stp/>
        <stp>BDH|1259655716198047779</stp>
        <tr r="K31" s="22"/>
      </tp>
      <tp t="e">
        <v>#N/A</v>
        <stp/>
        <stp>BDH|7408430337931120874</stp>
        <tr r="Q59" s="13"/>
      </tp>
      <tp t="e">
        <v>#N/A</v>
        <stp/>
        <stp>BDH|3483700343841992887</stp>
        <tr r="V15" s="25"/>
      </tp>
      <tp t="e">
        <v>#N/A</v>
        <stp/>
        <stp>BDH|3187381769967197877</stp>
        <tr r="W43" s="6"/>
      </tp>
      <tp t="e">
        <v>#N/A</v>
        <stp/>
        <stp>BDH|8639123250765700059</stp>
        <tr r="M11" s="29"/>
      </tp>
      <tp t="e">
        <v>#N/A</v>
        <stp/>
        <stp>BDH|2076963842006194033</stp>
        <tr r="V9" s="14"/>
      </tp>
      <tp t="e">
        <v>#N/A</v>
        <stp/>
        <stp>BDH|4586000597133494711</stp>
        <tr r="P49" s="22"/>
      </tp>
      <tp t="e">
        <v>#N/A</v>
        <stp/>
        <stp>BDH|8064324272727611215</stp>
        <tr r="L35" s="25"/>
      </tp>
      <tp t="e">
        <v>#N/A</v>
        <stp/>
        <stp>BDH|6380953170834744566</stp>
        <tr r="S26" s="14"/>
      </tp>
      <tp t="e">
        <v>#N/A</v>
        <stp/>
        <stp>BDH|7875843401262319496</stp>
        <tr r="S22" s="21"/>
      </tp>
      <tp t="e">
        <v>#N/A</v>
        <stp/>
        <stp>BDH|2330809627706560768</stp>
        <tr r="R21" s="24"/>
      </tp>
      <tp t="e">
        <v>#N/A</v>
        <stp/>
        <stp>BDH|9413453233132780528</stp>
        <tr r="X43" s="10"/>
        <tr r="X35" s="11"/>
      </tp>
      <tp t="e">
        <v>#N/A</v>
        <stp/>
        <stp>BDH|3615813797239602213</stp>
        <tr r="C29" s="12"/>
      </tp>
      <tp t="e">
        <v>#N/A</v>
        <stp/>
        <stp>BDH|8894393552513194454</stp>
        <tr r="Y17" s="4"/>
        <tr r="AA10" s="3"/>
        <tr r="Y56" s="10"/>
        <tr r="Y48" s="11"/>
        <tr r="Y17" s="7"/>
        <tr r="AA54" s="13"/>
      </tp>
      <tp t="e">
        <v>#N/A</v>
        <stp/>
        <stp>BDH|9595718420213575666</stp>
        <tr r="Q33" s="22"/>
      </tp>
      <tp t="e">
        <v>#N/A</v>
        <stp/>
        <stp>BDH|6607267520519719606</stp>
        <tr r="W43" s="10"/>
        <tr r="W35" s="11"/>
      </tp>
      <tp t="e">
        <v>#N/A</v>
        <stp/>
        <stp>BDH|6244993255687108485</stp>
        <tr r="R101" s="18"/>
      </tp>
      <tp t="e">
        <v>#N/A</v>
        <stp/>
        <stp>BDH|1697810900211392136</stp>
        <tr r="P20" s="5"/>
      </tp>
      <tp t="e">
        <v>#N/A</v>
        <stp/>
        <stp>BDH|7247352099913839718</stp>
        <tr r="T6" s="19"/>
        <tr r="T35" s="17"/>
        <tr r="T16" s="3"/>
      </tp>
      <tp t="e">
        <v>#N/A</v>
        <stp/>
        <stp>BDH|8505032876362471432</stp>
        <tr r="T24" s="6"/>
      </tp>
      <tp t="e">
        <v>#N/A</v>
        <stp/>
        <stp>BDH|4911531998187060651</stp>
        <tr r="L28" s="10"/>
        <tr r="N34" s="13"/>
      </tp>
      <tp t="e">
        <v>#N/A</v>
        <stp/>
        <stp>BDH|8892704150484789787</stp>
        <tr r="Z28" s="26"/>
      </tp>
      <tp t="e">
        <v>#N/A</v>
        <stp/>
        <stp>BDH|5410002932809497654</stp>
        <tr r="Q49" s="21"/>
      </tp>
      <tp t="e">
        <v>#N/A</v>
        <stp/>
        <stp>BDH|3475050637621395821</stp>
        <tr r="P27" s="25"/>
        <tr r="P13" s="27"/>
      </tp>
      <tp t="e">
        <v>#N/A</v>
        <stp/>
        <stp>BDH|6967054058242789841</stp>
        <tr r="J111" s="18"/>
      </tp>
      <tp t="e">
        <v>#N/A</v>
        <stp/>
        <stp>BDH|7508256692273547608</stp>
        <tr r="D27" s="18"/>
      </tp>
      <tp t="e">
        <v>#N/A</v>
        <stp/>
        <stp>BDH|9370429950901496026</stp>
        <tr r="D25" s="25"/>
        <tr r="D10" s="27"/>
      </tp>
      <tp t="e">
        <v>#N/A</v>
        <stp/>
        <stp>BDH|8991137492688818172</stp>
        <tr r="R24" s="4"/>
        <tr r="R57" s="11"/>
      </tp>
      <tp t="e">
        <v>#N/A</v>
        <stp/>
        <stp>BDH|9412921350918363424</stp>
        <tr r="S27" s="18"/>
      </tp>
      <tp t="e">
        <v>#N/A</v>
        <stp/>
        <stp>BDH|9771447339692493594</stp>
        <tr r="T16" s="29"/>
        <tr r="T39" s="29"/>
      </tp>
      <tp t="e">
        <v>#N/A</v>
        <stp/>
        <stp>BDH|8721116180521954989</stp>
        <tr r="H28" s="25"/>
        <tr r="H14" s="27"/>
      </tp>
      <tp t="e">
        <v>#N/A</v>
        <stp/>
        <stp>BDH|6785563395867565469</stp>
        <tr r="L32" s="6"/>
      </tp>
      <tp t="e">
        <v>#N/A</v>
        <stp/>
        <stp>BDH|1121940341547034238</stp>
        <tr r="T37" s="10"/>
        <tr r="T29" s="11"/>
        <tr r="V41" s="13"/>
      </tp>
      <tp t="e">
        <v>#N/A</v>
        <stp/>
        <stp>BDH|4430080804338883574</stp>
        <tr r="R17" s="12"/>
      </tp>
      <tp t="e">
        <v>#N/A</v>
        <stp/>
        <stp>BDH|4630928940755753546</stp>
        <tr r="O44" s="34"/>
      </tp>
      <tp t="e">
        <v>#N/A</v>
        <stp/>
        <stp>BDH|4365633316879138301</stp>
        <tr r="X27" s="22"/>
      </tp>
      <tp t="e">
        <v>#N/A</v>
        <stp/>
        <stp>BDH|9456578170467532514</stp>
        <tr r="V69" s="10"/>
      </tp>
      <tp t="e">
        <v>#N/A</v>
        <stp/>
        <stp>BDH|8576781429176076201</stp>
        <tr r="O18" s="6"/>
      </tp>
      <tp t="e">
        <v>#N/A</v>
        <stp/>
        <stp>BDH|1694344754899041720</stp>
        <tr r="F7" s="6"/>
      </tp>
      <tp t="e">
        <v>#N/A</v>
        <stp/>
        <stp>BDH|3710501213227016903</stp>
        <tr r="W19" s="12"/>
      </tp>
      <tp t="e">
        <v>#N/A</v>
        <stp/>
        <stp>BDH|9713623862592575260</stp>
        <tr r="G60" s="18"/>
      </tp>
      <tp t="e">
        <v>#N/A</v>
        <stp/>
        <stp>BDH|4955908660130983244</stp>
        <tr r="Q113" s="18"/>
      </tp>
      <tp t="e">
        <v>#N/A</v>
        <stp/>
        <stp>BDH|1646772842999089277</stp>
        <tr r="G7" s="17"/>
      </tp>
      <tp t="e">
        <v>#N/A</v>
        <stp/>
        <stp>BDH|2275758960139166328</stp>
        <tr r="R17" s="24"/>
      </tp>
      <tp t="e">
        <v>#N/A</v>
        <stp/>
        <stp>BDH|2659744682787462303</stp>
        <tr r="J29" s="18"/>
      </tp>
      <tp t="e">
        <v>#N/A</v>
        <stp/>
        <stp>BDH|7840346470659056382</stp>
        <tr r="Q32" s="9"/>
      </tp>
      <tp t="e">
        <v>#N/A</v>
        <stp/>
        <stp>BDH|1201146910101303914</stp>
        <tr r="R18" s="2"/>
        <tr r="R53" s="4"/>
        <tr r="R46" s="10"/>
        <tr r="R38" s="11"/>
        <tr r="T51" s="13"/>
      </tp>
      <tp t="e">
        <v>#N/A</v>
        <stp/>
        <stp>BDH|8431145345014311022</stp>
        <tr r="Z25" s="34"/>
      </tp>
      <tp t="e">
        <v>#N/A</v>
        <stp/>
        <stp>BDH|7039836844756757442</stp>
        <tr r="Y8" s="2"/>
      </tp>
      <tp t="e">
        <v>#N/A</v>
        <stp/>
        <stp>BDH|5413396123025849826</stp>
        <tr r="P25" s="25"/>
        <tr r="P10" s="27"/>
      </tp>
      <tp t="e">
        <v>#N/A</v>
        <stp/>
        <stp>BDH|1242829451022086751</stp>
        <tr r="T86" s="12"/>
      </tp>
      <tp t="e">
        <v>#N/A</v>
        <stp/>
        <stp>BDH|6647361985122836690</stp>
        <tr r="W26" s="6"/>
      </tp>
      <tp t="e">
        <v>#N/A</v>
        <stp/>
        <stp>BDH|5440204809097917907</stp>
        <tr r="I11" s="30"/>
      </tp>
      <tp t="e">
        <v>#N/A</v>
        <stp/>
        <stp>BDH|2911648759279591154</stp>
        <tr r="Q30" s="12"/>
      </tp>
      <tp t="e">
        <v>#N/A</v>
        <stp/>
        <stp>BDH|3619651676813390827</stp>
        <tr r="S12" s="17"/>
      </tp>
      <tp t="e">
        <v>#N/A</v>
        <stp/>
        <stp>BDH|5759209126454783826</stp>
        <tr r="N7" s="10"/>
      </tp>
      <tp t="e">
        <v>#N/A</v>
        <stp/>
        <stp>BDH|8435148836922734157</stp>
        <tr r="Y12" s="11"/>
      </tp>
      <tp t="e">
        <v>#N/A</v>
        <stp/>
        <stp>BDH|2659723880810047403</stp>
        <tr r="W16" s="21"/>
      </tp>
      <tp t="e">
        <v>#N/A</v>
        <stp/>
        <stp>BDH|1660706244728489326</stp>
        <tr r="Y58" s="18"/>
      </tp>
      <tp t="e">
        <v>#N/A</v>
        <stp/>
        <stp>BDH|2460629653110748862</stp>
        <tr r="Y29" s="34"/>
      </tp>
      <tp t="e">
        <v>#N/A</v>
        <stp/>
        <stp>BDH|4333059813229670577</stp>
        <tr r="K33" s="24"/>
      </tp>
      <tp t="e">
        <v>#N/A</v>
        <stp/>
        <stp>BDH|9070139579532682488</stp>
        <tr r="T55" s="17"/>
      </tp>
      <tp t="e">
        <v>#N/A</v>
        <stp/>
        <stp>BDH|4234681490320694283</stp>
        <tr r="J54" s="18"/>
      </tp>
      <tp t="e">
        <v>#N/A</v>
        <stp/>
        <stp>BDH|1689183989971680051</stp>
        <tr r="I106" s="18"/>
      </tp>
      <tp t="e">
        <v>#N/A</v>
        <stp/>
        <stp>BDH|9598543301793535615</stp>
        <tr r="E15" s="22"/>
      </tp>
      <tp t="e">
        <v>#N/A</v>
        <stp/>
        <stp>BDH|9558445512062082773</stp>
        <tr r="W8" s="8"/>
      </tp>
      <tp t="e">
        <v>#N/A</v>
        <stp/>
        <stp>BDH|1802911676966337081</stp>
        <tr r="R27" s="12"/>
      </tp>
      <tp t="e">
        <v>#N/A</v>
        <stp/>
        <stp>BDH|1695718750713442978</stp>
        <tr r="M50" s="17"/>
      </tp>
      <tp t="e">
        <v>#N/A</v>
        <stp/>
        <stp>BDH|5095298069048190052</stp>
        <tr r="S42" s="4"/>
      </tp>
      <tp t="e">
        <v>#N/A</v>
        <stp/>
        <stp>BDH|7119771113270995881</stp>
        <tr r="C23" s="30"/>
        <tr r="C25" s="23"/>
      </tp>
      <tp t="e">
        <v>#N/A</v>
        <stp/>
        <stp>BDH|4573613777758161468</stp>
        <tr r="L35" s="10"/>
        <tr r="L27" s="11"/>
      </tp>
      <tp t="e">
        <v>#N/A</v>
        <stp/>
        <stp>BDH|4742610311319727349</stp>
        <tr r="H55" s="24"/>
      </tp>
      <tp t="e">
        <v>#N/A</v>
        <stp/>
        <stp>BDH|3924833111043890074</stp>
        <tr r="O8" s="8"/>
      </tp>
      <tp t="e">
        <v>#N/A</v>
        <stp/>
        <stp>BDH|7343938950455116755</stp>
        <tr r="N43" s="29"/>
      </tp>
      <tp t="e">
        <v>#N/A</v>
        <stp/>
        <stp>BDH|2862299293703565331</stp>
        <tr r="C56" s="17"/>
      </tp>
      <tp t="e">
        <v>#N/A</v>
        <stp/>
        <stp>BDH|3414923303452587140</stp>
        <tr r="Y28" s="4"/>
      </tp>
      <tp t="e">
        <v>#N/A</v>
        <stp/>
        <stp>BDH|1235844756845091048</stp>
        <tr r="E77" s="12"/>
      </tp>
      <tp t="e">
        <v>#N/A</v>
        <stp/>
        <stp>BDH|8663483739871214712</stp>
        <tr r="Q31" s="9"/>
      </tp>
      <tp t="e">
        <v>#N/A</v>
        <stp/>
        <stp>BDH|8744879328753475883</stp>
        <tr r="M46" s="22"/>
      </tp>
      <tp t="e">
        <v>#N/A</v>
        <stp/>
        <stp>BDH|9955128173600453680</stp>
        <tr r="D42" s="18"/>
      </tp>
      <tp t="e">
        <v>#N/A</v>
        <stp/>
        <stp>BDH|9098415217491792440</stp>
        <tr r="Q112" s="18"/>
      </tp>
      <tp t="e">
        <v>#N/A</v>
        <stp/>
        <stp>BDH|1227925344391400455</stp>
        <tr r="I129" s="18"/>
      </tp>
      <tp t="e">
        <v>#N/A</v>
        <stp/>
        <stp>BDH|9128249010165726679</stp>
        <tr r="U31" s="34"/>
      </tp>
      <tp t="e">
        <v>#N/A</v>
        <stp/>
        <stp>BDH|8690125562167243119</stp>
        <tr r="E80" s="24"/>
      </tp>
      <tp t="e">
        <v>#N/A</v>
        <stp/>
        <stp>BDH|7260924278554919446</stp>
        <tr r="J10" s="23"/>
      </tp>
      <tp t="e">
        <v>#N/A</v>
        <stp/>
        <stp>BDH|4929703214308183399</stp>
        <tr r="O69" s="18"/>
      </tp>
      <tp t="e">
        <v>#N/A</v>
        <stp/>
        <stp>BDH|4885641785782850148</stp>
        <tr r="N90" s="24"/>
      </tp>
      <tp t="e">
        <v>#N/A</v>
        <stp/>
        <stp>BDH|1879397580346578511</stp>
        <tr r="V43" s="4"/>
      </tp>
      <tp t="e">
        <v>#N/A</v>
        <stp/>
        <stp>BDH|9041540741412557350</stp>
        <tr r="L62" s="17"/>
      </tp>
      <tp t="e">
        <v>#N/A</v>
        <stp/>
        <stp>BDH|2434020283635128612</stp>
        <tr r="Q24" s="6"/>
      </tp>
      <tp t="e">
        <v>#N/A</v>
        <stp/>
        <stp>BDH|5052826539172658582</stp>
        <tr r="H38" s="6"/>
      </tp>
      <tp t="e">
        <v>#N/A</v>
        <stp/>
        <stp>BDH|8399032124072486156</stp>
        <tr r="O63" s="13"/>
      </tp>
      <tp t="e">
        <v>#N/A</v>
        <stp/>
        <stp>BDH|8305432176011044332</stp>
        <tr r="G12" s="18"/>
      </tp>
      <tp t="e">
        <v>#N/A</v>
        <stp/>
        <stp>BDH|8806392610357029447</stp>
        <tr r="S11" s="7"/>
      </tp>
      <tp t="e">
        <v>#N/A</v>
        <stp/>
        <stp>BDH|4362665064785517812</stp>
        <tr r="W23" s="30"/>
        <tr r="W25" s="23"/>
      </tp>
      <tp t="e">
        <v>#N/A</v>
        <stp/>
        <stp>BDH|3607451415686054935</stp>
        <tr r="M46" s="18"/>
      </tp>
      <tp t="e">
        <v>#N/A</v>
        <stp/>
        <stp>BDH|7363120580195076247</stp>
        <tr r="Q81" s="17"/>
        <tr r="Q20" s="3"/>
        <tr r="O6" s="7"/>
      </tp>
      <tp t="e">
        <v>#N/A</v>
        <stp/>
        <stp>BDH|1768968193261229958</stp>
        <tr r="M79" s="24"/>
      </tp>
      <tp t="e">
        <v>#N/A</v>
        <stp/>
        <stp>BDH|1834602112928876779</stp>
        <tr r="W27" s="10"/>
        <tr r="Y33" s="13"/>
      </tp>
      <tp t="e">
        <v>#N/A</v>
        <stp/>
        <stp>BDH|8324212878817949365</stp>
        <tr r="F26" s="26"/>
      </tp>
      <tp t="e">
        <v>#N/A</v>
        <stp/>
        <stp>BDH|4495757587960460278</stp>
        <tr r="S19" s="6"/>
      </tp>
      <tp t="e">
        <v>#N/A</v>
        <stp/>
        <stp>BDH|2334844766855157053</stp>
        <tr r="Q24" s="5"/>
      </tp>
      <tp t="e">
        <v>#N/A</v>
        <stp/>
        <stp>BDH|7397883409637622117</stp>
        <tr r="N67" s="12"/>
      </tp>
      <tp t="e">
        <v>#N/A</v>
        <stp/>
        <stp>BDH|3790044889455916761</stp>
        <tr r="T63" s="21"/>
        <tr r="R23" s="7"/>
      </tp>
      <tp t="e">
        <v>#N/A</v>
        <stp/>
        <stp>BDH|6212010331685678918</stp>
        <tr r="S63" s="13"/>
      </tp>
      <tp t="e">
        <v>#N/A</v>
        <stp/>
        <stp>BDH|4191100730359120650</stp>
        <tr r="N13" s="24"/>
      </tp>
      <tp t="e">
        <v>#N/A</v>
        <stp/>
        <stp>BDH|2485034780997352418</stp>
        <tr r="U16" s="26"/>
      </tp>
      <tp t="e">
        <v>#N/A</v>
        <stp/>
        <stp>BDH|8043085823792992174</stp>
        <tr r="T84" s="17"/>
      </tp>
      <tp t="e">
        <v>#N/A</v>
        <stp/>
        <stp>BDH|6368506744819705753</stp>
        <tr r="S68" s="18"/>
      </tp>
      <tp t="e">
        <v>#N/A</v>
        <stp/>
        <stp>BDH|8093128119268917978</stp>
        <tr r="J34" s="18"/>
      </tp>
      <tp t="e">
        <v>#N/A</v>
        <stp/>
        <stp>BDH|9425104762701681653</stp>
        <tr r="E34" s="24"/>
      </tp>
      <tp t="e">
        <v>#N/A</v>
        <stp/>
        <stp>BDH|8597655965745055404</stp>
        <tr r="S10" s="28"/>
      </tp>
      <tp t="e">
        <v>#N/A</v>
        <stp/>
        <stp>BDH|1036548176178719201</stp>
        <tr r="I60" s="17"/>
      </tp>
      <tp t="e">
        <v>#N/A</v>
        <stp/>
        <stp>BDH|6376912816150581746</stp>
        <tr r="R16" s="23"/>
      </tp>
      <tp t="e">
        <v>#N/A</v>
        <stp/>
        <stp>BDH|8636630116973770510</stp>
        <tr r="K19" s="6"/>
      </tp>
      <tp t="e">
        <v>#N/A</v>
        <stp/>
        <stp>BDH|6690214482014020103</stp>
        <tr r="N61" s="11"/>
      </tp>
      <tp t="e">
        <v>#N/A</v>
        <stp/>
        <stp>BDH|3343249359069995428</stp>
        <tr r="T29" s="17"/>
      </tp>
      <tp t="e">
        <v>#N/A</v>
        <stp/>
        <stp>BDH|7183790960716420992</stp>
        <tr r="S20" s="12"/>
      </tp>
      <tp t="e">
        <v>#N/A</v>
        <stp/>
        <stp>BDH|27169376503153174</stp>
        <tr r="Y31" s="17"/>
      </tp>
      <tp t="e">
        <v>#N/A</v>
        <stp/>
        <stp>BDH|96316044294159730</stp>
        <tr r="G11" s="29"/>
      </tp>
      <tp t="e">
        <v>#N/A</v>
        <stp/>
        <stp>BDH|85355755576585478</stp>
        <tr r="X14" s="28"/>
      </tp>
      <tp t="e">
        <v>#N/A</v>
        <stp/>
        <stp>BDH|32771897293738949</stp>
        <tr r="F8" s="4"/>
      </tp>
      <tp t="e">
        <v>#N/A</v>
        <stp/>
        <stp>BDH|42628868475280165</stp>
        <tr r="G59" s="24"/>
      </tp>
      <tp t="e">
        <v>#N/A</v>
        <stp/>
        <stp>BDH|64412217558893932</stp>
        <tr r="U43" s="24"/>
      </tp>
      <tp t="e">
        <v>#N/A</v>
        <stp/>
        <stp>BDH|8741311813158668893</stp>
        <tr r="F77" s="18"/>
      </tp>
      <tp t="e">
        <v>#N/A</v>
        <stp/>
        <stp>BDH|2322619179631247838</stp>
        <tr r="J17" s="24"/>
      </tp>
      <tp t="e">
        <v>#N/A</v>
        <stp/>
        <stp>BDH|3776343340506926802</stp>
        <tr r="E122" s="18"/>
      </tp>
      <tp t="e">
        <v>#N/A</v>
        <stp/>
        <stp>BDH|3460677900046997909</stp>
        <tr r="P21" s="3"/>
      </tp>
      <tp t="e">
        <v>#N/A</v>
        <stp/>
        <stp>BDH|5898838264767346662</stp>
        <tr r="E24" s="17"/>
      </tp>
      <tp t="e">
        <v>#N/A</v>
        <stp/>
        <stp>BDH|8147286527673570110</stp>
        <tr r="H23" s="25"/>
        <tr r="F20" s="11"/>
      </tp>
      <tp t="e">
        <v>#N/A</v>
        <stp/>
        <stp>BDH|6718456949888194405</stp>
        <tr r="M26" s="6"/>
      </tp>
      <tp t="e">
        <v>#N/A</v>
        <stp/>
        <stp>BDH|8061674558548561903</stp>
        <tr r="Z9" s="17"/>
      </tp>
      <tp t="e">
        <v>#N/A</v>
        <stp/>
        <stp>BDH|5917837977467604717</stp>
        <tr r="K59" s="24"/>
      </tp>
      <tp t="e">
        <v>#N/A</v>
        <stp/>
        <stp>BDH|1002025326691910877</stp>
        <tr r="F28" s="12"/>
      </tp>
      <tp t="e">
        <v>#N/A</v>
        <stp/>
        <stp>BDH|9102364728992418018</stp>
        <tr r="K38" s="4"/>
        <tr r="K58" s="11"/>
        <tr r="M13" s="23"/>
      </tp>
      <tp t="e">
        <v>#N/A</v>
        <stp/>
        <stp>BDH|9043281523513246030</stp>
        <tr r="V13" s="25"/>
      </tp>
      <tp t="e">
        <v>#N/A</v>
        <stp/>
        <stp>BDH|1950712192602552750</stp>
        <tr r="U25" s="22"/>
      </tp>
      <tp t="e">
        <v>#N/A</v>
        <stp/>
        <stp>BDH|6786084894807325222</stp>
        <tr r="H60" s="13"/>
      </tp>
      <tp t="e">
        <v>#N/A</v>
        <stp/>
        <stp>BDH|6791198986503678644</stp>
        <tr r="L15" s="4"/>
      </tp>
      <tp t="e">
        <v>#N/A</v>
        <stp/>
        <stp>BDH|5401768534579543290</stp>
        <tr r="O15" s="17"/>
        <tr r="O18" s="28"/>
      </tp>
      <tp t="e">
        <v>#N/A</v>
        <stp/>
        <stp>BDH|6771569985334812565</stp>
        <tr r="G13" s="29"/>
        <tr r="G22" s="29"/>
        <tr r="G36" s="29"/>
      </tp>
      <tp t="e">
        <v>#N/A</v>
        <stp/>
        <stp>BDH|8213013010454170789</stp>
        <tr r="M15" s="11"/>
      </tp>
      <tp t="e">
        <v>#N/A</v>
        <stp/>
        <stp>BDH|8855446068158636889</stp>
        <tr r="N22" s="11"/>
      </tp>
      <tp t="e">
        <v>#N/A</v>
        <stp/>
        <stp>BDH|8969568043113378050</stp>
        <tr r="D33" s="14"/>
      </tp>
      <tp t="e">
        <v>#N/A</v>
        <stp/>
        <stp>BDH|9237189718710171392</stp>
        <tr r="F57" s="24"/>
      </tp>
      <tp t="e">
        <v>#N/A</v>
        <stp/>
        <stp>BDH|5644427389962073175</stp>
        <tr r="N50" s="18"/>
      </tp>
      <tp t="e">
        <v>#N/A</v>
        <stp/>
        <stp>BDH|7187611946069564697</stp>
        <tr r="V20" s="9"/>
      </tp>
      <tp t="e">
        <v>#N/A</v>
        <stp/>
        <stp>BDH|2699645098434310331</stp>
        <tr r="O53" s="24"/>
      </tp>
      <tp t="e">
        <v>#N/A</v>
        <stp/>
        <stp>BDH|6786806902065778183</stp>
        <tr r="U24" s="18"/>
      </tp>
      <tp t="e">
        <v>#N/A</v>
        <stp/>
        <stp>BDH|2511744610588932629</stp>
        <tr r="C56" s="18"/>
      </tp>
      <tp t="e">
        <v>#N/A</v>
        <stp/>
        <stp>BDH|3032815068800219715</stp>
        <tr r="N41" s="24"/>
      </tp>
      <tp t="e">
        <v>#N/A</v>
        <stp/>
        <stp>BDH|3091961378544361376</stp>
        <tr r="V39" s="24"/>
      </tp>
      <tp t="e">
        <v>#N/A</v>
        <stp/>
        <stp>BDH|1557880146813156405</stp>
        <tr r="F38" s="34"/>
      </tp>
      <tp t="e">
        <v>#N/A</v>
        <stp/>
        <stp>BDH|3049443615008387483</stp>
        <tr r="I50" s="4"/>
      </tp>
      <tp t="e">
        <v>#N/A</v>
        <stp/>
        <stp>BDH|8637388425333218035</stp>
        <tr r="Y11" s="21"/>
      </tp>
      <tp t="e">
        <v>#N/A</v>
        <stp/>
        <stp>BDH|8844360519746848658</stp>
        <tr r="R52" s="4"/>
        <tr r="T8" s="3"/>
        <tr r="R44" s="10"/>
        <tr r="R36" s="11"/>
        <tr r="T40" s="13"/>
      </tp>
      <tp t="e">
        <v>#N/A</v>
        <stp/>
        <stp>BDH|4327374873089813359</stp>
        <tr r="R25" s="34"/>
      </tp>
      <tp t="e">
        <v>#N/A</v>
        <stp/>
        <stp>BDH|4330310628336897987</stp>
        <tr r="AA57" s="17"/>
      </tp>
      <tp t="e">
        <v>#N/A</v>
        <stp/>
        <stp>BDH|4620772575619630794</stp>
        <tr r="R73" s="24"/>
      </tp>
      <tp t="e">
        <v>#N/A</v>
        <stp/>
        <stp>BDH|5606132518126725910</stp>
        <tr r="F74" s="17"/>
      </tp>
      <tp t="e">
        <v>#N/A</v>
        <stp/>
        <stp>BDH|5690967471829972830</stp>
        <tr r="J15" s="4"/>
      </tp>
      <tp t="e">
        <v>#N/A</v>
        <stp/>
        <stp>BDH|2500707086596811103</stp>
        <tr r="M11" s="28"/>
      </tp>
      <tp t="e">
        <v>#N/A</v>
        <stp/>
        <stp>BDH|4223953427143257696</stp>
        <tr r="W27" s="34"/>
      </tp>
      <tp t="e">
        <v>#N/A</v>
        <stp/>
        <stp>BDH|8533960378715158912</stp>
        <tr r="S48" s="22"/>
      </tp>
      <tp t="e">
        <v>#N/A</v>
        <stp/>
        <stp>BDH|2118220428800890885</stp>
        <tr r="J33" s="14"/>
      </tp>
      <tp t="e">
        <v>#N/A</v>
        <stp/>
        <stp>BDH|2379593304139085458</stp>
        <tr r="I63" s="13"/>
      </tp>
      <tp t="e">
        <v>#N/A</v>
        <stp/>
        <stp>BDH|8087208412549118880</stp>
        <tr r="S65" s="17"/>
      </tp>
      <tp t="e">
        <v>#N/A</v>
        <stp/>
        <stp>BDH|6961734155256316876</stp>
        <tr r="E21" s="18"/>
      </tp>
      <tp t="e">
        <v>#N/A</v>
        <stp/>
        <stp>BDH|9717235143045961055</stp>
        <tr r="D39" s="26"/>
      </tp>
      <tp t="e">
        <v>#N/A</v>
        <stp/>
        <stp>BDH|5368774400400933863</stp>
        <tr r="Z40" s="12"/>
      </tp>
      <tp t="e">
        <v>#N/A</v>
        <stp/>
        <stp>BDH|3771585777242594960</stp>
        <tr r="K57" s="24"/>
      </tp>
      <tp t="e">
        <v>#N/A</v>
        <stp/>
        <stp>BDH|5203782225422160859</stp>
        <tr r="W36" s="10"/>
        <tr r="W48" s="10"/>
        <tr r="W28" s="11"/>
        <tr r="W40" s="11"/>
      </tp>
      <tp t="e">
        <v>#N/A</v>
        <stp/>
        <stp>BDH|7376589582092427265</stp>
        <tr r="G94" s="18"/>
      </tp>
      <tp t="e">
        <v>#N/A</v>
        <stp/>
        <stp>BDH|3355779939478313553</stp>
        <tr r="J70" s="24"/>
      </tp>
      <tp t="e">
        <v>#N/A</v>
        <stp/>
        <stp>BDH|6801945167833202020</stp>
        <tr r="T34" s="29"/>
      </tp>
      <tp t="e">
        <v>#N/A</v>
        <stp/>
        <stp>BDH|9684165516030568387</stp>
        <tr r="T32" s="14"/>
      </tp>
      <tp t="e">
        <v>#N/A</v>
        <stp/>
        <stp>BDH|8955269631672642131</stp>
        <tr r="I13" s="5"/>
      </tp>
      <tp t="e">
        <v>#N/A</v>
        <stp/>
        <stp>BDH|4786952468759476855</stp>
        <tr r="F60" s="18"/>
      </tp>
      <tp t="e">
        <v>#N/A</v>
        <stp/>
        <stp>BDH|8292842580325972741</stp>
        <tr r="K29" s="17"/>
      </tp>
      <tp t="e">
        <v>#N/A</v>
        <stp/>
        <stp>BDH|6779192950061785923</stp>
        <tr r="X51" s="6"/>
        <tr r="Z6" s="8"/>
      </tp>
      <tp t="e">
        <v>#N/A</v>
        <stp/>
        <stp>BDH|4276235778428136304</stp>
        <tr r="F29" s="24"/>
      </tp>
      <tp t="e">
        <v>#N/A</v>
        <stp/>
        <stp>BDH|3458093590973369368</stp>
        <tr r="P58" s="12"/>
      </tp>
      <tp t="e">
        <v>#N/A</v>
        <stp/>
        <stp>BDH|1593924014103287094</stp>
        <tr r="E32" s="17"/>
      </tp>
      <tp t="e">
        <v>#N/A</v>
        <stp/>
        <stp>BDH|7736170454961521898</stp>
        <tr r="Q39" s="34"/>
      </tp>
      <tp t="e">
        <v>#N/A</v>
        <stp/>
        <stp>BDH|9818104957432504521</stp>
        <tr r="H20" s="25"/>
      </tp>
      <tp t="e">
        <v>#N/A</v>
        <stp/>
        <stp>BDH|8213565149537471416</stp>
        <tr r="C51" s="24"/>
      </tp>
      <tp t="e">
        <v>#N/A</v>
        <stp/>
        <stp>BDH|3116326736250516984</stp>
        <tr r="Q22" s="14"/>
      </tp>
      <tp t="e">
        <v>#N/A</v>
        <stp/>
        <stp>BDH|1301992601942282010</stp>
        <tr r="S25" s="17"/>
      </tp>
      <tp t="e">
        <v>#N/A</v>
        <stp/>
        <stp>BDH|8666612416687945205</stp>
        <tr r="Z9" s="27"/>
      </tp>
      <tp t="e">
        <v>#N/A</v>
        <stp/>
        <stp>BDH|2145601168219031116</stp>
        <tr r="O61" s="24"/>
      </tp>
      <tp t="e">
        <v>#N/A</v>
        <stp/>
        <stp>BDH|2515836514643961235</stp>
        <tr r="J38" s="12"/>
      </tp>
      <tp t="e">
        <v>#N/A</v>
        <stp/>
        <stp>BDH|5148770869709185769</stp>
        <tr r="N49" s="17"/>
      </tp>
      <tp t="e">
        <v>#N/A</v>
        <stp/>
        <stp>BDH|2885116000108149109</stp>
        <tr r="N43" s="4"/>
      </tp>
      <tp t="e">
        <v>#N/A</v>
        <stp/>
        <stp>BDH|1084372067247897905</stp>
        <tr r="I25" s="4"/>
        <tr r="I65" s="10"/>
      </tp>
      <tp t="e">
        <v>#N/A</v>
        <stp/>
        <stp>BDH|7475896950581444114</stp>
        <tr r="T29" s="10"/>
        <tr r="V35" s="13"/>
      </tp>
      <tp t="e">
        <v>#N/A</v>
        <stp/>
        <stp>BDH|6629656789385635743</stp>
        <tr r="H18" s="13"/>
      </tp>
      <tp t="e">
        <v>#N/A</v>
        <stp/>
        <stp>BDH|8981445836624057139</stp>
        <tr r="D10" s="17"/>
      </tp>
      <tp t="e">
        <v>#N/A</v>
        <stp/>
        <stp>BDH|5003850874074019497</stp>
        <tr r="G43" s="18"/>
      </tp>
      <tp t="e">
        <v>#N/A</v>
        <stp/>
        <stp>BDH|8619204130025767695</stp>
        <tr r="C7" s="2"/>
        <tr r="E14" s="3"/>
      </tp>
      <tp t="e">
        <v>#N/A</v>
        <stp/>
        <stp>BDH|9622344221544239696</stp>
        <tr r="S14" s="8"/>
      </tp>
      <tp t="e">
        <v>#N/A</v>
        <stp/>
        <stp>BDH|2660641009168781646</stp>
        <tr r="X15" s="14"/>
      </tp>
      <tp t="e">
        <v>#N/A</v>
        <stp/>
        <stp>BDH|6647720919242169848</stp>
        <tr r="R13" s="7"/>
      </tp>
      <tp t="e">
        <v>#N/A</v>
        <stp/>
        <stp>BDH|5010296325427098841</stp>
        <tr r="Q48" s="18"/>
      </tp>
      <tp t="e">
        <v>#N/A</v>
        <stp/>
        <stp>BDH|6710960949461086000</stp>
        <tr r="W14" s="4"/>
      </tp>
      <tp t="e">
        <v>#N/A</v>
        <stp/>
        <stp>BDH|6484536888686662712</stp>
        <tr r="G62" s="12"/>
      </tp>
      <tp t="e">
        <v>#N/A</v>
        <stp/>
        <stp>BDH|5939849822542397749</stp>
        <tr r="J57" s="24"/>
      </tp>
      <tp t="e">
        <v>#N/A</v>
        <stp/>
        <stp>BDH|4757508685251377297</stp>
        <tr r="W24" s="17"/>
      </tp>
      <tp t="e">
        <v>#N/A</v>
        <stp/>
        <stp>BDH|8388923535688826040</stp>
        <tr r="T28" s="10"/>
        <tr r="V34" s="13"/>
      </tp>
      <tp t="e">
        <v>#N/A</v>
        <stp/>
        <stp>BDH|2318810210920920135</stp>
        <tr r="I30" s="5"/>
        <tr r="I30" s="9"/>
      </tp>
      <tp t="e">
        <v>#N/A</v>
        <stp/>
        <stp>BDH|2801968325705376606</stp>
        <tr r="G27" s="22"/>
      </tp>
      <tp t="e">
        <v>#N/A</v>
        <stp/>
        <stp>BDH|9576623735544860229</stp>
        <tr r="H21" s="14"/>
      </tp>
      <tp t="e">
        <v>#N/A</v>
        <stp/>
        <stp>BDH|2794727296801390781</stp>
        <tr r="D16" s="24"/>
      </tp>
      <tp t="e">
        <v>#N/A</v>
        <stp/>
        <stp>BDH|4614685171808356747</stp>
        <tr r="L63" s="13"/>
      </tp>
      <tp t="e">
        <v>#N/A</v>
        <stp/>
        <stp>BDH|6839998361832955118</stp>
        <tr r="C51" s="18"/>
      </tp>
      <tp t="e">
        <v>#N/A</v>
        <stp/>
        <stp>BDH|1436990332684320549</stp>
        <tr r="E26" s="26"/>
      </tp>
      <tp t="e">
        <v>#N/A</v>
        <stp/>
        <stp>BDH|6341731390096107484</stp>
        <tr r="Z35" s="18"/>
      </tp>
      <tp t="e">
        <v>#N/A</v>
        <stp/>
        <stp>BDH|3458154885067459795</stp>
        <tr r="E102" s="18"/>
      </tp>
      <tp t="e">
        <v>#N/A</v>
        <stp/>
        <stp>BDH|7986749436780405967</stp>
        <tr r="R12" s="24"/>
      </tp>
      <tp t="e">
        <v>#N/A</v>
        <stp/>
        <stp>BDH|6239087271029522277</stp>
        <tr r="V56" s="11"/>
      </tp>
      <tp t="e">
        <v>#N/A</v>
        <stp/>
        <stp>BDH|7400252566091837860</stp>
        <tr r="AA31" s="17"/>
      </tp>
      <tp t="e">
        <v>#N/A</v>
        <stp/>
        <stp>BDH|3842770187373133504</stp>
        <tr r="F54" s="17"/>
      </tp>
      <tp t="e">
        <v>#N/A</v>
        <stp/>
        <stp>BDH|3971000268347910815</stp>
        <tr r="I79" s="24"/>
      </tp>
      <tp t="e">
        <v>#N/A</v>
        <stp/>
        <stp>BDH|1934858122637096674</stp>
        <tr r="H24" s="2"/>
      </tp>
      <tp t="e">
        <v>#N/A</v>
        <stp/>
        <stp>BDH|3212118950109294481</stp>
        <tr r="E76" s="24"/>
      </tp>
      <tp t="e">
        <v>#N/A</v>
        <stp/>
        <stp>BDH|3870833222611376236</stp>
        <tr r="V31" s="26"/>
        <tr r="S14" s="9"/>
      </tp>
      <tp t="e">
        <v>#N/A</v>
        <stp/>
        <stp>BDH|9417347041530044484</stp>
        <tr r="L27" s="22"/>
      </tp>
      <tp t="e">
        <v>#N/A</v>
        <stp/>
        <stp>BDH|9057115004354946655</stp>
        <tr r="T42" s="21"/>
      </tp>
      <tp t="e">
        <v>#N/A</v>
        <stp/>
        <stp>BDH|2021820625232724090</stp>
        <tr r="X29" s="24"/>
      </tp>
      <tp t="e">
        <v>#N/A</v>
        <stp/>
        <stp>BDH|4901464754798373711</stp>
        <tr r="U27" s="18"/>
      </tp>
      <tp t="e">
        <v>#N/A</v>
        <stp/>
        <stp>BDH|1922990218297140401</stp>
        <tr r="T24" s="9"/>
      </tp>
      <tp t="e">
        <v>#N/A</v>
        <stp/>
        <stp>BDH|6053390177299199169</stp>
        <tr r="J46" s="21"/>
      </tp>
      <tp t="e">
        <v>#N/A</v>
        <stp/>
        <stp>BDH|6644956068311507277</stp>
        <tr r="R39" s="10"/>
        <tr r="R31" s="11"/>
      </tp>
      <tp t="e">
        <v>#N/A</v>
        <stp/>
        <stp>BDH|1811046020260064955</stp>
        <tr r="U12" s="21"/>
      </tp>
      <tp t="e">
        <v>#N/A</v>
        <stp/>
        <stp>BDH|1722643299705294117</stp>
        <tr r="V28" s="17"/>
      </tp>
      <tp t="e">
        <v>#N/A</v>
        <stp/>
        <stp>BDH|7904042433319307749</stp>
        <tr r="J79" s="24"/>
      </tp>
      <tp t="e">
        <v>#N/A</v>
        <stp/>
        <stp>BDH|3899330265478168466</stp>
        <tr r="I7" s="30"/>
      </tp>
      <tp t="e">
        <v>#N/A</v>
        <stp/>
        <stp>BDH|9038089643704520372</stp>
        <tr r="N91" s="17"/>
        <tr r="N7" s="27"/>
      </tp>
      <tp t="e">
        <v>#N/A</v>
        <stp/>
        <stp>BDH|9664582984159786740</stp>
        <tr r="W10" s="24"/>
      </tp>
      <tp t="e">
        <v>#N/A</v>
        <stp/>
        <stp>BDH|8373729289749875492</stp>
        <tr r="O13" s="25"/>
      </tp>
      <tp t="e">
        <v>#N/A</v>
        <stp/>
        <stp>BDH|8976623227060791621</stp>
        <tr r="R71" s="10"/>
        <tr r="R63" s="11"/>
      </tp>
      <tp t="e">
        <v>#N/A</v>
        <stp/>
        <stp>BDH|5127368244091833925</stp>
        <tr r="F15" s="4"/>
      </tp>
      <tp t="e">
        <v>#N/A</v>
        <stp/>
        <stp>BDH|8970508293708210616</stp>
        <tr r="W9" s="12"/>
      </tp>
      <tp t="e">
        <v>#N/A</v>
        <stp/>
        <stp>BDH|4787032126605275994</stp>
        <tr r="T42" s="4"/>
      </tp>
      <tp t="e">
        <v>#N/A</v>
        <stp/>
        <stp>BDH|7881618910583788973</stp>
        <tr r="Y72" s="18"/>
      </tp>
      <tp t="e">
        <v>#N/A</v>
        <stp/>
        <stp>BDH|6889058367492531816</stp>
        <tr r="Y9" s="18"/>
      </tp>
      <tp t="e">
        <v>#N/A</v>
        <stp/>
        <stp>BDH|8638393663062534572</stp>
        <tr r="C21" s="22"/>
      </tp>
      <tp t="e">
        <v>#N/A</v>
        <stp/>
        <stp>BDH|3116792180205088368</stp>
        <tr r="F81" s="12"/>
      </tp>
      <tp t="e">
        <v>#N/A</v>
        <stp/>
        <stp>BDH|7880883643266418799</stp>
        <tr r="U55" s="13"/>
      </tp>
      <tp t="e">
        <v>#N/A</v>
        <stp/>
        <stp>BDH|9609404796469762797</stp>
        <tr r="M74" s="17"/>
      </tp>
      <tp t="e">
        <v>#N/A</v>
        <stp/>
        <stp>BDH|5511351305308309482</stp>
        <tr r="N8" s="26"/>
        <tr r="K10" s="9"/>
      </tp>
      <tp t="e">
        <v>#N/A</v>
        <stp/>
        <stp>BDH|6951865943565314514</stp>
        <tr r="V35" s="25"/>
      </tp>
      <tp t="e">
        <v>#N/A</v>
        <stp/>
        <stp>BDH|4667986351363625172</stp>
        <tr r="V35" s="4"/>
      </tp>
      <tp t="e">
        <v>#N/A</v>
        <stp/>
        <stp>BDH|8700185707363570033</stp>
        <tr r="D13" s="10"/>
      </tp>
      <tp t="e">
        <v>#N/A</v>
        <stp/>
        <stp>BDH|7898527185892038217</stp>
        <tr r="Z50" s="21"/>
      </tp>
      <tp t="e">
        <v>#N/A</v>
        <stp/>
        <stp>BDH|4988127282652698515</stp>
        <tr r="L29" s="12"/>
      </tp>
      <tp t="e">
        <v>#N/A</v>
        <stp/>
        <stp>BDH|7308491986340511177</stp>
        <tr r="T41" s="18"/>
      </tp>
      <tp t="e">
        <v>#N/A</v>
        <stp/>
        <stp>BDH|8902731725064305325</stp>
        <tr r="K74" s="18"/>
      </tp>
      <tp t="e">
        <v>#N/A</v>
        <stp/>
        <stp>BDH|4761887171441356034</stp>
        <tr r="U9" s="13"/>
      </tp>
      <tp t="e">
        <v>#N/A</v>
        <stp/>
        <stp>BDH|9912218876984417246</stp>
        <tr r="Y92" s="17"/>
        <tr r="Y13" s="28"/>
      </tp>
      <tp t="e">
        <v>#N/A</v>
        <stp/>
        <stp>BDH|3702885657671258541</stp>
        <tr r="S70" s="17"/>
      </tp>
      <tp t="e">
        <v>#N/A</v>
        <stp/>
        <stp>BDH|8197210524761904338</stp>
        <tr r="E65" s="21"/>
      </tp>
      <tp t="e">
        <v>#N/A</v>
        <stp/>
        <stp>BDH|7345510381639869952</stp>
        <tr r="Z9" s="21"/>
      </tp>
      <tp t="e">
        <v>#N/A</v>
        <stp/>
        <stp>BDH|6152924759880063049</stp>
        <tr r="W38" s="22"/>
      </tp>
      <tp t="e">
        <v>#N/A</v>
        <stp/>
        <stp>BDH|6031225439154789929</stp>
        <tr r="S64" s="13"/>
      </tp>
      <tp t="e">
        <v>#N/A</v>
        <stp/>
        <stp>BDH|1200931558854684318</stp>
        <tr r="W69" s="10"/>
      </tp>
      <tp t="e">
        <v>#N/A</v>
        <stp/>
        <stp>BDH|8910222267942475464</stp>
        <tr r="S21" s="9"/>
      </tp>
      <tp t="e">
        <v>#N/A</v>
        <stp/>
        <stp>BDH|1963141984171367348</stp>
        <tr r="H34" s="21"/>
      </tp>
      <tp t="e">
        <v>#N/A</v>
        <stp/>
        <stp>BDH|2418072992971951064</stp>
        <tr r="Z66" s="18"/>
      </tp>
      <tp t="e">
        <v>#N/A</v>
        <stp/>
        <stp>BDH|7425499983648945992</stp>
        <tr r="X12" s="11"/>
      </tp>
      <tp t="e">
        <v>#N/A</v>
        <stp/>
        <stp>BDH|9921541564647486737</stp>
        <tr r="L10" s="4"/>
        <tr r="K6" s="16"/>
        <tr r="N6" s="3"/>
        <tr r="L6" s="11"/>
      </tp>
      <tp t="e">
        <v>#N/A</v>
        <stp/>
        <stp>BDH|7983000282295535003</stp>
        <tr r="U28" s="17"/>
      </tp>
      <tp t="e">
        <v>#N/A</v>
        <stp/>
        <stp>BDH|3950336404318555258</stp>
        <tr r="R56" s="13"/>
      </tp>
      <tp t="e">
        <v>#N/A</v>
        <stp/>
        <stp>BDH|9028890497820141213</stp>
        <tr r="M17" s="23"/>
      </tp>
      <tp t="e">
        <v>#N/A</v>
        <stp/>
        <stp>BDH|3233619009596010943</stp>
        <tr r="F31" s="9"/>
      </tp>
      <tp t="e">
        <v>#N/A</v>
        <stp/>
        <stp>BDH|6596661459666502912</stp>
        <tr r="U92" s="17"/>
        <tr r="U13" s="28"/>
      </tp>
      <tp t="e">
        <v>#N/A</v>
        <stp/>
        <stp>BDH|2628884160085499343</stp>
        <tr r="W73" s="18"/>
      </tp>
      <tp t="e">
        <v>#N/A</v>
        <stp/>
        <stp>BDH|2234372639679290101</stp>
        <tr r="H47" s="6"/>
      </tp>
      <tp t="e">
        <v>#N/A</v>
        <stp/>
        <stp>BDH|3831885264923824422</stp>
        <tr r="S140" s="18"/>
      </tp>
      <tp t="e">
        <v>#N/A</v>
        <stp/>
        <stp>BDH|3368510181823434793</stp>
        <tr r="N35" s="14"/>
      </tp>
      <tp t="e">
        <v>#N/A</v>
        <stp/>
        <stp>BDH|7348988134465609269</stp>
        <tr r="D31" s="9"/>
      </tp>
      <tp t="e">
        <v>#N/A</v>
        <stp/>
        <stp>BDH|6984968389799959403</stp>
        <tr r="H27" s="22"/>
      </tp>
      <tp t="e">
        <v>#N/A</v>
        <stp/>
        <stp>BDH|4436837049350710266</stp>
        <tr r="T18" s="17"/>
      </tp>
      <tp t="e">
        <v>#N/A</v>
        <stp/>
        <stp>BDH|7192419397766064681</stp>
        <tr r="W24" s="6"/>
      </tp>
      <tp t="e">
        <v>#N/A</v>
        <stp/>
        <stp>BDH|4682778877328867615</stp>
        <tr r="I18" s="25"/>
      </tp>
      <tp t="e">
        <v>#N/A</v>
        <stp/>
        <stp>BDH|1336503681427926145</stp>
        <tr r="H32" s="24"/>
      </tp>
      <tp t="e">
        <v>#N/A</v>
        <stp/>
        <stp>BDH|4396598800089013253</stp>
        <tr r="X55" s="17"/>
      </tp>
      <tp t="e">
        <v>#N/A</v>
        <stp/>
        <stp>BDH|5265998177801502065</stp>
        <tr r="Q25" s="34"/>
      </tp>
      <tp t="e">
        <v>#N/A</v>
        <stp/>
        <stp>BDH|3446817418530376013</stp>
        <tr r="V8" s="26"/>
        <tr r="S10" s="9"/>
      </tp>
      <tp t="e">
        <v>#N/A</v>
        <stp/>
        <stp>BDH|9092087231727238748</stp>
        <tr r="Q59" s="12"/>
      </tp>
      <tp t="e">
        <v>#N/A</v>
        <stp/>
        <stp>BDH|8145789964654760758</stp>
        <tr r="H47" s="24"/>
      </tp>
      <tp t="e">
        <v>#N/A</v>
        <stp/>
        <stp>BDH|2354537948651544824</stp>
        <tr r="J17" s="12"/>
      </tp>
      <tp t="e">
        <v>#N/A</v>
        <stp/>
        <stp>BDH|6937486468589779710</stp>
        <tr r="Z18" s="24"/>
      </tp>
      <tp t="e">
        <v>#N/A</v>
        <stp/>
        <stp>BDH|7526590998894321581</stp>
        <tr r="O38" s="12"/>
      </tp>
      <tp t="e">
        <v>#N/A</v>
        <stp/>
        <stp>BDH|1843838091953784924</stp>
        <tr r="L89" s="18"/>
      </tp>
      <tp t="e">
        <v>#N/A</v>
        <stp/>
        <stp>BDH|9585270460453958440</stp>
        <tr r="R42" s="10"/>
        <tr r="R34" s="11"/>
      </tp>
      <tp t="e">
        <v>#N/A</v>
        <stp/>
        <stp>BDH|2279907536905902720</stp>
        <tr r="J37" s="12"/>
      </tp>
      <tp t="e">
        <v>#N/A</v>
        <stp/>
        <stp>BDH|8735002856744988376</stp>
        <tr r="K18" s="20"/>
      </tp>
      <tp t="e">
        <v>#N/A</v>
        <stp/>
        <stp>BDH|4351146794683470589</stp>
        <tr r="G20" s="24"/>
      </tp>
      <tp t="e">
        <v>#N/A</v>
        <stp/>
        <stp>BDH|8846400002890645633</stp>
        <tr r="R22" s="6"/>
      </tp>
      <tp t="e">
        <v>#N/A</v>
        <stp/>
        <stp>BDH|8233099402290278245</stp>
        <tr r="Y54" s="21"/>
      </tp>
      <tp t="e">
        <v>#N/A</v>
        <stp/>
        <stp>BDH|5804530540148082643</stp>
        <tr r="D23" s="12"/>
      </tp>
      <tp t="e">
        <v>#N/A</v>
        <stp/>
        <stp>BDH|7383447484375547492</stp>
        <tr r="L23" s="17"/>
      </tp>
      <tp t="e">
        <v>#N/A</v>
        <stp/>
        <stp>BDH|7528171210398923548</stp>
        <tr r="J76" s="17"/>
        <tr r="J19" s="3"/>
      </tp>
      <tp t="e">
        <v>#N/A</v>
        <stp/>
        <stp>BDH|7277908546520211091</stp>
        <tr r="G23" s="26"/>
      </tp>
      <tp t="e">
        <v>#N/A</v>
        <stp/>
        <stp>BDH|8425041341816744095</stp>
        <tr r="G97" s="18"/>
        <tr r="G6" s="20"/>
      </tp>
      <tp t="e">
        <v>#N/A</v>
        <stp/>
        <stp>BDH|7433953876264182790</stp>
        <tr r="AA25" s="13"/>
      </tp>
      <tp t="e">
        <v>#N/A</v>
        <stp/>
        <stp>BDH|1176182182855739734</stp>
        <tr r="H26" s="29"/>
      </tp>
      <tp t="e">
        <v>#N/A</v>
        <stp/>
        <stp>BDH|1010189496750055317</stp>
        <tr r="J13" s="26"/>
      </tp>
      <tp t="e">
        <v>#N/A</v>
        <stp/>
        <stp>BDH|2815238165525652974</stp>
        <tr r="S30" s="5"/>
        <tr r="S30" s="9"/>
      </tp>
      <tp t="e">
        <v>#N/A</v>
        <stp/>
        <stp>BDH|4357600509059119149</stp>
        <tr r="N109" s="18"/>
      </tp>
      <tp t="e">
        <v>#N/A</v>
        <stp/>
        <stp>BDH|7707738539418678146</stp>
        <tr r="P57" s="10"/>
        <tr r="P49" s="11"/>
        <tr r="P18" s="7"/>
        <tr r="R57" s="13"/>
      </tp>
      <tp t="e">
        <v>#N/A</v>
        <stp/>
        <stp>BDH|2513692645448394252</stp>
        <tr r="W87" s="24"/>
      </tp>
      <tp t="e">
        <v>#N/A</v>
        <stp/>
        <stp>BDH|9783787246845402528</stp>
        <tr r="M19" s="20"/>
      </tp>
      <tp t="e">
        <v>#N/A</v>
        <stp/>
        <stp>BDH|2002793116248496647</stp>
        <tr r="J50" s="13"/>
      </tp>
      <tp t="e">
        <v>#N/A</v>
        <stp/>
        <stp>BDH|5849024497963668540</stp>
        <tr r="C8" s="14"/>
      </tp>
      <tp t="e">
        <v>#N/A</v>
        <stp/>
        <stp>BDH|7685095232686542870</stp>
        <tr r="U14" s="2"/>
        <tr r="U11" s="10"/>
      </tp>
      <tp t="e">
        <v>#N/A</v>
        <stp/>
        <stp>BDH|5388901198426743936</stp>
        <tr r="C98" s="18"/>
        <tr r="C7" s="20"/>
      </tp>
      <tp t="e">
        <v>#N/A</v>
        <stp/>
        <stp>BDH|5714373799833345650</stp>
        <tr r="E25" s="12"/>
      </tp>
      <tp t="e">
        <v>#N/A</v>
        <stp/>
        <stp>BDH|1995838564061265439</stp>
        <tr r="Z37" s="34"/>
      </tp>
      <tp t="e">
        <v>#N/A</v>
        <stp/>
        <stp>BDH|7556823256756553685</stp>
        <tr r="G74" s="18"/>
      </tp>
      <tp t="e">
        <v>#N/A</v>
        <stp/>
        <stp>BDH|7719275876948840029</stp>
        <tr r="S21" s="2"/>
      </tp>
      <tp t="e">
        <v>#N/A</v>
        <stp/>
        <stp>BDH|2422041524162001882</stp>
        <tr r="F19" s="10"/>
      </tp>
      <tp t="e">
        <v>#N/A</v>
        <stp/>
        <stp>BDH|2534195334518361277</stp>
        <tr r="U8" s="4"/>
      </tp>
      <tp t="e">
        <v>#N/A</v>
        <stp/>
        <stp>BDH|6954503932149122367</stp>
        <tr r="T138" s="18"/>
      </tp>
      <tp t="e">
        <v>#N/A</v>
        <stp/>
        <stp>BDH|1206596574690169922</stp>
        <tr r="O20" s="29"/>
      </tp>
      <tp t="e">
        <v>#N/A</v>
        <stp/>
        <stp>BDH|3579573798306613302</stp>
        <tr r="N86" s="24"/>
      </tp>
      <tp t="e">
        <v>#N/A</v>
        <stp/>
        <stp>BDH|4646666739303214877</stp>
        <tr r="C121" s="18"/>
      </tp>
      <tp t="e">
        <v>#N/A</v>
        <stp/>
        <stp>BDH|1905081285416821500</stp>
        <tr r="T36" s="34"/>
      </tp>
      <tp t="e">
        <v>#N/A</v>
        <stp/>
        <stp>BDH|5817142680212543452</stp>
        <tr r="M22" s="7"/>
      </tp>
      <tp t="e">
        <v>#N/A</v>
        <stp/>
        <stp>BDH|1481190167538429428</stp>
        <tr r="Y21" s="11"/>
      </tp>
      <tp t="e">
        <v>#N/A</v>
        <stp/>
        <stp>BDH|2344586956568518040</stp>
        <tr r="V115" s="18"/>
      </tp>
      <tp t="e">
        <v>#N/A</v>
        <stp/>
        <stp>BDH|7031176229168458667</stp>
        <tr r="V22" s="30"/>
        <tr r="V24" s="23"/>
      </tp>
      <tp t="e">
        <v>#N/A</v>
        <stp/>
        <stp>BDH|7887655021390567951</stp>
        <tr r="J69" s="12"/>
      </tp>
      <tp t="e">
        <v>#N/A</v>
        <stp/>
        <stp>BDH|1710498121054290918</stp>
        <tr r="R13" s="22"/>
      </tp>
      <tp t="e">
        <v>#N/A</v>
        <stp/>
        <stp>BDH|8615594762060490157</stp>
        <tr r="T64" s="18"/>
      </tp>
      <tp t="e">
        <v>#N/A</v>
        <stp/>
        <stp>BDH|6784823130140069797</stp>
        <tr r="W41" s="22"/>
      </tp>
      <tp t="e">
        <v>#N/A</v>
        <stp/>
        <stp>BDH|2668384617952522803</stp>
        <tr r="M18" s="13"/>
      </tp>
      <tp t="e">
        <v>#N/A</v>
        <stp/>
        <stp>BDH|4376890042541469309</stp>
        <tr r="J16" s="2"/>
        <tr r="J32" s="4"/>
        <tr r="J62" s="10"/>
        <tr r="L19" s="13"/>
      </tp>
      <tp t="e">
        <v>#N/A</v>
        <stp/>
        <stp>BDH|8668035928772203238</stp>
        <tr r="M8" s="22"/>
      </tp>
      <tp t="e">
        <v>#N/A</v>
        <stp/>
        <stp>BDH|6948878335700607714</stp>
        <tr r="E43" s="4"/>
      </tp>
      <tp t="e">
        <v>#N/A</v>
        <stp/>
        <stp>BDH|1748029898773433157</stp>
        <tr r="D9" s="2"/>
        <tr r="F8" s="25"/>
        <tr r="C10" s="5"/>
      </tp>
      <tp t="e">
        <v>#N/A</v>
        <stp/>
        <stp>BDH|6179482017350395911</stp>
        <tr r="D8" s="11"/>
      </tp>
      <tp t="e">
        <v>#N/A</v>
        <stp/>
        <stp>BDH|5302933360923427399</stp>
        <tr r="Y17" s="11"/>
      </tp>
      <tp t="e">
        <v>#N/A</v>
        <stp/>
        <stp>BDH|1461512099840841798</stp>
        <tr r="J53" s="24"/>
      </tp>
      <tp t="e">
        <v>#N/A</v>
        <stp/>
        <stp>BDH|4161107117808302689</stp>
        <tr r="Y19" s="17"/>
      </tp>
      <tp t="e">
        <v>#N/A</v>
        <stp/>
        <stp>BDH|8039282111626579710</stp>
        <tr r="S31" s="24"/>
      </tp>
      <tp t="e">
        <v>#N/A</v>
        <stp/>
        <stp>BDH|9066016909731421215</stp>
        <tr r="R45" s="21"/>
      </tp>
      <tp t="e">
        <v>#N/A</v>
        <stp/>
        <stp>BDH|5239891070933413329</stp>
        <tr r="E12" s="3"/>
        <tr r="C55" s="10"/>
        <tr r="C47" s="11"/>
        <tr r="C7" s="7"/>
      </tp>
      <tp t="e">
        <v>#N/A</v>
        <stp/>
        <stp>BDH|7861522212009242075</stp>
        <tr r="E44" s="13"/>
      </tp>
      <tp t="e">
        <v>#N/A</v>
        <stp/>
        <stp>BDH|7314818948947554620</stp>
        <tr r="U23" s="30"/>
        <tr r="U25" s="23"/>
      </tp>
      <tp t="e">
        <v>#N/A</v>
        <stp/>
        <stp>BDH|5303085630125719910</stp>
        <tr r="R27" s="17"/>
      </tp>
      <tp t="e">
        <v>#N/A</v>
        <stp/>
        <stp>BDH|4682907534484687096</stp>
        <tr r="H11" s="22"/>
      </tp>
      <tp t="e">
        <v>#N/A</v>
        <stp/>
        <stp>BDH|8211136022004868564</stp>
        <tr r="S41" s="21"/>
      </tp>
      <tp t="e">
        <v>#N/A</v>
        <stp/>
        <stp>BDH|2980551770838271232</stp>
        <tr r="W34" s="26"/>
      </tp>
      <tp t="e">
        <v>#N/A</v>
        <stp/>
        <stp>BDH|8916497149594568611</stp>
        <tr r="AA113" s="18"/>
      </tp>
      <tp t="e">
        <v>#N/A</v>
        <stp/>
        <stp>BDH|5533409132818221084</stp>
        <tr r="D31" s="22"/>
      </tp>
      <tp t="e">
        <v>#N/A</v>
        <stp/>
        <stp>BDH|7803954614632629724</stp>
        <tr r="E111" s="18"/>
      </tp>
      <tp t="e">
        <v>#N/A</v>
        <stp/>
        <stp>BDH|3596680091632713469</stp>
        <tr r="X42" s="4"/>
      </tp>
      <tp t="e">
        <v>#N/A</v>
        <stp/>
        <stp>BDH|9033293867691510660</stp>
        <tr r="J25" s="12"/>
      </tp>
      <tp t="e">
        <v>#N/A</v>
        <stp/>
        <stp>BDH|7408610859197425954</stp>
        <tr r="H25" s="13"/>
      </tp>
      <tp t="e">
        <v>#N/A</v>
        <stp/>
        <stp>BDH|7967735196287773461</stp>
        <tr r="AA59" s="13"/>
      </tp>
      <tp t="e">
        <v>#N/A</v>
        <stp/>
        <stp>BDH|3159855205599879845</stp>
        <tr r="G52" s="21"/>
      </tp>
      <tp t="e">
        <v>#N/A</v>
        <stp/>
        <stp>BDH|6594485353465786846</stp>
        <tr r="H12" s="25"/>
      </tp>
      <tp t="e">
        <v>#N/A</v>
        <stp/>
        <stp>BDH|4743881563626415654</stp>
        <tr r="V52" s="10"/>
        <tr r="V44" s="11"/>
        <tr r="V15" s="7"/>
      </tp>
      <tp t="e">
        <v>#N/A</v>
        <stp/>
        <stp>BDH|3769097888993370289</stp>
        <tr r="M19" s="24"/>
      </tp>
      <tp t="e">
        <v>#N/A</v>
        <stp/>
        <stp>BDH|9316495242951560202</stp>
        <tr r="V81" s="17"/>
        <tr r="V20" s="3"/>
        <tr r="T6" s="7"/>
      </tp>
      <tp t="e">
        <v>#N/A</v>
        <stp/>
        <stp>BDH|5639196272808263122</stp>
        <tr r="C72" s="18"/>
      </tp>
      <tp t="e">
        <v>#N/A</v>
        <stp/>
        <stp>BDH|2711580682803973696</stp>
        <tr r="S69" s="18"/>
      </tp>
      <tp t="e">
        <v>#N/A</v>
        <stp/>
        <stp>BDH|2490799922858385518</stp>
        <tr r="H72" s="10"/>
        <tr r="H64" s="11"/>
      </tp>
      <tp t="e">
        <v>#N/A</v>
        <stp/>
        <stp>BDH|5773753959995304856</stp>
        <tr r="J14" s="21"/>
      </tp>
      <tp t="e">
        <v>#N/A</v>
        <stp/>
        <stp>BDH|3711255782883821055</stp>
        <tr r="I34" s="34"/>
      </tp>
      <tp t="e">
        <v>#N/A</v>
        <stp/>
        <stp>BDH|9830785052366613799</stp>
        <tr r="Y21" s="22"/>
      </tp>
      <tp t="e">
        <v>#N/A</v>
        <stp/>
        <stp>BDH|7463512787604974468</stp>
        <tr r="X13" s="10"/>
      </tp>
      <tp t="e">
        <v>#N/A</v>
        <stp/>
        <stp>BDH|9926409524453436643</stp>
        <tr r="R13" s="2"/>
      </tp>
      <tp t="e">
        <v>#N/A</v>
        <stp/>
        <stp>BDH|7838931442146396674</stp>
        <tr r="M7" s="4"/>
      </tp>
      <tp t="e">
        <v>#N/A</v>
        <stp/>
        <stp>BDH|9802958632831399817</stp>
        <tr r="Q19" s="11"/>
      </tp>
      <tp t="e">
        <v>#N/A</v>
        <stp/>
        <stp>BDH|9165415443792364123</stp>
        <tr r="C8" s="12"/>
      </tp>
      <tp t="e">
        <v>#N/A</v>
        <stp/>
        <stp>BDH|8040200840075207105</stp>
        <tr r="K7" s="10"/>
      </tp>
      <tp t="e">
        <v>#N/A</v>
        <stp/>
        <stp>BDH|5871894577596024645</stp>
        <tr r="Y15" s="18"/>
      </tp>
      <tp t="e">
        <v>#N/A</v>
        <stp/>
        <stp>BDH|4813376190716956245</stp>
        <tr r="Q21" s="18"/>
      </tp>
      <tp t="e">
        <v>#N/A</v>
        <stp/>
        <stp>BDH|8903291451776746342</stp>
        <tr r="M12" s="26"/>
      </tp>
      <tp t="e">
        <v>#N/A</v>
        <stp/>
        <stp>BDH|9205386527623801170</stp>
        <tr r="T30" s="29"/>
        <tr r="T8" s="29"/>
      </tp>
      <tp t="e">
        <v>#N/A</v>
        <stp/>
        <stp>BDH|2366634496577151051</stp>
        <tr r="R23" s="24"/>
      </tp>
      <tp t="e">
        <v>#N/A</v>
        <stp/>
        <stp>BDH|4985508149388778757</stp>
        <tr r="K32" s="9"/>
      </tp>
      <tp t="e">
        <v>#N/A</v>
        <stp/>
        <stp>BDH|3416120885198553847</stp>
        <tr r="K70" s="12"/>
      </tp>
      <tp t="e">
        <v>#N/A</v>
        <stp/>
        <stp>BDH|3997895092888849082</stp>
        <tr r="H11" s="7"/>
      </tp>
      <tp t="e">
        <v>#N/A</v>
        <stp/>
        <stp>BDH|4624610555629464440</stp>
        <tr r="G58" s="21"/>
        <tr r="G37" s="25"/>
        <tr r="E31" s="4"/>
        <tr r="E54" s="11"/>
      </tp>
      <tp t="e">
        <v>#N/A</v>
        <stp/>
        <stp>BDH|9417654707310717533</stp>
        <tr r="Q74" s="18"/>
      </tp>
      <tp t="e">
        <v>#N/A</v>
        <stp/>
        <stp>BDH|1945970148953606529</stp>
        <tr r="Y10" s="11"/>
      </tp>
      <tp t="e">
        <v>#N/A</v>
        <stp/>
        <stp>BDH|8412163890802768878</stp>
        <tr r="P33" s="14"/>
      </tp>
      <tp t="e">
        <v>#N/A</v>
        <stp/>
        <stp>BDH|8049097167653803741</stp>
        <tr r="K32" s="22"/>
      </tp>
      <tp t="e">
        <v>#N/A</v>
        <stp/>
        <stp>BDH|4650925393577730921</stp>
        <tr r="F56" s="6"/>
      </tp>
      <tp t="e">
        <v>#N/A</v>
        <stp/>
        <stp>BDH|1811038179538792472</stp>
        <tr r="E45" s="4"/>
        <tr r="E31" s="10"/>
        <tr r="E23" s="11"/>
        <tr r="G30" s="13"/>
      </tp>
      <tp t="e">
        <v>#N/A</v>
        <stp/>
        <stp>BDH|3332365715729755253</stp>
        <tr r="N34" s="5"/>
        <tr r="O32" s="29"/>
      </tp>
      <tp t="e">
        <v>#N/A</v>
        <stp/>
        <stp>BDH|2458106551015736907</stp>
        <tr r="F32" s="5"/>
      </tp>
      <tp t="e">
        <v>#N/A</v>
        <stp/>
        <stp>BDH|5080578513362385952</stp>
        <tr r="E46" s="18"/>
      </tp>
      <tp t="e">
        <v>#N/A</v>
        <stp/>
        <stp>BDH|9026901180344215608</stp>
        <tr r="Z103" s="18"/>
      </tp>
      <tp t="e">
        <v>#N/A</v>
        <stp/>
        <stp>BDH|5408063611469583746</stp>
        <tr r="D19" s="18"/>
      </tp>
      <tp t="e">
        <v>#N/A</v>
        <stp/>
        <stp>BDH|9267979090624316740</stp>
        <tr r="R15" s="5"/>
      </tp>
      <tp t="e">
        <v>#N/A</v>
        <stp/>
        <stp>BDH|4442688909998766008</stp>
        <tr r="O27" s="12"/>
      </tp>
      <tp t="e">
        <v>#N/A</v>
        <stp/>
        <stp>BDH|2661184694954020482</stp>
        <tr r="C19" s="22"/>
      </tp>
      <tp t="e">
        <v>#N/A</v>
        <stp/>
        <stp>BDH|9285762840149411921</stp>
        <tr r="W12" s="14"/>
      </tp>
      <tp t="e">
        <v>#N/A</v>
        <stp/>
        <stp>BDH|7651658072719040534</stp>
        <tr r="K20" s="5"/>
      </tp>
      <tp t="e">
        <v>#N/A</v>
        <stp/>
        <stp>BDH|1707117473339182466</stp>
        <tr r="K39" s="10"/>
        <tr r="K31" s="11"/>
      </tp>
      <tp t="e">
        <v>#N/A</v>
        <stp/>
        <stp>BDH|9388946915359028202</stp>
        <tr r="Q44" s="34"/>
      </tp>
      <tp t="e">
        <v>#N/A</v>
        <stp/>
        <stp>BDH|8702987832801740986</stp>
        <tr r="Y83" s="12"/>
      </tp>
      <tp t="e">
        <v>#N/A</v>
        <stp/>
        <stp>BDH|6030028701519901582</stp>
        <tr r="G38" s="10"/>
        <tr r="G30" s="11"/>
        <tr r="I42" s="13"/>
      </tp>
      <tp t="e">
        <v>#N/A</v>
        <stp/>
        <stp>BDH|1462226077777529969</stp>
        <tr r="I18" s="14"/>
      </tp>
      <tp t="e">
        <v>#N/A</v>
        <stp/>
        <stp>BDH|1697832538304720485</stp>
        <tr r="T93" s="17"/>
      </tp>
      <tp t="e">
        <v>#N/A</v>
        <stp/>
        <stp>BDH|5869917579917151632</stp>
        <tr r="L40" s="10"/>
        <tr r="L32" s="11"/>
      </tp>
      <tp t="e">
        <v>#N/A</v>
        <stp/>
        <stp>BDH|5323633199644989420</stp>
        <tr r="O12" s="26"/>
      </tp>
      <tp t="e">
        <v>#N/A</v>
        <stp/>
        <stp>BDH|5276908373581765043</stp>
        <tr r="E42" s="17"/>
      </tp>
      <tp t="e">
        <v>#N/A</v>
        <stp/>
        <stp>BDH|7110082883974057180</stp>
        <tr r="C13" s="6"/>
      </tp>
      <tp t="e">
        <v>#N/A</v>
        <stp/>
        <stp>BDH|4116254685043781743</stp>
        <tr r="J9" s="17"/>
      </tp>
      <tp t="e">
        <v>#N/A</v>
        <stp/>
        <stp>BDH|9884188722285748578</stp>
        <tr r="J14" s="10"/>
      </tp>
      <tp t="e">
        <v>#N/A</v>
        <stp/>
        <stp>BDH|2246819802126274615</stp>
        <tr r="W37" s="18"/>
      </tp>
      <tp t="e">
        <v>#N/A</v>
        <stp/>
        <stp>BDH|4309949094358888683</stp>
        <tr r="S60" s="13"/>
      </tp>
      <tp t="e">
        <v>#N/A</v>
        <stp/>
        <stp>BDH|8013277367214103225</stp>
        <tr r="U40" s="34"/>
      </tp>
      <tp t="e">
        <v>#N/A</v>
        <stp/>
        <stp>BDH|8286683671634051789</stp>
        <tr r="O21" s="9"/>
      </tp>
      <tp t="e">
        <v>#N/A</v>
        <stp/>
        <stp>BDH|5608433573064264874</stp>
        <tr r="F13" s="10"/>
      </tp>
      <tp t="e">
        <v>#N/A</v>
        <stp/>
        <stp>BDH|8839239838282783171</stp>
        <tr r="Y9" s="17"/>
      </tp>
      <tp t="e">
        <v>#N/A</v>
        <stp/>
        <stp>BDH|7049043901058252542</stp>
        <tr r="F11" s="14"/>
      </tp>
      <tp t="e">
        <v>#N/A</v>
        <stp/>
        <stp>BDH|9254083848484336321</stp>
        <tr r="H53" s="10"/>
        <tr r="H45" s="11"/>
        <tr r="H16" s="7"/>
      </tp>
      <tp t="e">
        <v>#N/A</v>
        <stp/>
        <stp>BDH|1575372028742901801</stp>
        <tr r="P90" s="12"/>
      </tp>
      <tp t="e">
        <v>#N/A</v>
        <stp/>
        <stp>BDH|9113432772594124427</stp>
        <tr r="I41" s="17"/>
        <tr r="I9" s="25"/>
      </tp>
      <tp t="e">
        <v>#N/A</v>
        <stp/>
        <stp>BDH|5915608048159737459</stp>
        <tr r="E66" s="18"/>
      </tp>
      <tp t="e">
        <v>#N/A</v>
        <stp/>
        <stp>BDH|8304760959406862670</stp>
        <tr r="G15" s="10"/>
      </tp>
      <tp t="e">
        <v>#N/A</v>
        <stp/>
        <stp>BDH|2424314573064627831</stp>
        <tr r="R9" s="17"/>
      </tp>
      <tp t="e">
        <v>#N/A</v>
        <stp/>
        <stp>BDH|1191879025364575551</stp>
        <tr r="S36" s="18"/>
      </tp>
      <tp t="e">
        <v>#N/A</v>
        <stp/>
        <stp>BDH|1029644335887339918</stp>
        <tr r="Y54" s="24"/>
      </tp>
      <tp t="e">
        <v>#N/A</v>
        <stp/>
        <stp>BDH|9725063817637245576</stp>
        <tr r="L40" s="21"/>
      </tp>
      <tp t="e">
        <v>#N/A</v>
        <stp/>
        <stp>BDH|6182822826841118777</stp>
        <tr r="F12" s="17"/>
      </tp>
      <tp t="e">
        <v>#N/A</v>
        <stp/>
        <stp>BDH|3249951630485249661</stp>
        <tr r="M23" s="6"/>
      </tp>
      <tp t="e">
        <v>#N/A</v>
        <stp/>
        <stp>BDH|7590304336818754577</stp>
        <tr r="Q16" s="26"/>
      </tp>
      <tp t="e">
        <v>#N/A</v>
        <stp/>
        <stp>BDH|9284506659957831403</stp>
        <tr r="W51" s="6"/>
        <tr r="Y6" s="8"/>
      </tp>
      <tp t="e">
        <v>#N/A</v>
        <stp/>
        <stp>BDH|2128802220407554576</stp>
        <tr r="S19" s="24"/>
      </tp>
      <tp t="e">
        <v>#N/A</v>
        <stp/>
        <stp>BDH|5443152280682731454</stp>
        <tr r="U39" s="12"/>
      </tp>
      <tp t="e">
        <v>#N/A</v>
        <stp/>
        <stp>BDH|5626413282447637400</stp>
        <tr r="K53" s="24"/>
      </tp>
      <tp t="e">
        <v>#N/A</v>
        <stp/>
        <stp>BDH|5658713684607543752</stp>
        <tr r="O88" s="24"/>
      </tp>
      <tp t="e">
        <v>#N/A</v>
        <stp/>
        <stp>BDH|2987888545576096275</stp>
        <tr r="N82" s="24"/>
      </tp>
      <tp t="e">
        <v>#N/A</v>
        <stp/>
        <stp>BDH|5482222800579561400</stp>
        <tr r="N48" s="18"/>
      </tp>
      <tp t="e">
        <v>#N/A</v>
        <stp/>
        <stp>BDH|8255092865635801158</stp>
        <tr r="F39" s="22"/>
      </tp>
      <tp t="e">
        <v>#N/A</v>
        <stp/>
        <stp>BDH|8367199236360618094</stp>
        <tr r="J64" s="10"/>
      </tp>
      <tp t="e">
        <v>#N/A</v>
        <stp/>
        <stp>BDH|8865490313814942382</stp>
        <tr r="W83" s="12"/>
      </tp>
      <tp t="e">
        <v>#N/A</v>
        <stp/>
        <stp>BDH|1079519499695285298</stp>
        <tr r="L37" s="24"/>
      </tp>
      <tp t="e">
        <v>#N/A</v>
        <stp/>
        <stp>BDH|4716538187546967591</stp>
        <tr r="H13" s="9"/>
      </tp>
      <tp t="e">
        <v>#N/A</v>
        <stp/>
        <stp>BDH|9507835410193273978</stp>
        <tr r="W50" s="18"/>
      </tp>
      <tp t="e">
        <v>#N/A</v>
        <stp/>
        <stp>BDH|3188570534706956981</stp>
        <tr r="K52" s="6"/>
        <tr r="M9" s="8"/>
      </tp>
      <tp t="e">
        <v>#N/A</v>
        <stp/>
        <stp>BDH|4715605933522194962</stp>
        <tr r="C31" s="21"/>
      </tp>
      <tp t="e">
        <v>#N/A</v>
        <stp/>
        <stp>BDH|7622403207160351918</stp>
        <tr r="X63" s="18"/>
      </tp>
      <tp t="e">
        <v>#N/A</v>
        <stp/>
        <stp>BDH|1026067693857244544</stp>
        <tr r="P63" s="17"/>
      </tp>
      <tp t="e">
        <v>#N/A</v>
        <stp/>
        <stp>BDH|7387928236200360778</stp>
        <tr r="J9" s="18"/>
      </tp>
      <tp t="e">
        <v>#N/A</v>
        <stp/>
        <stp>BDH|8232502050162645078</stp>
        <tr r="L10" s="10"/>
      </tp>
      <tp t="e">
        <v>#N/A</v>
        <stp/>
        <stp>BDH|8549612151124387551</stp>
        <tr r="H23" s="26"/>
      </tp>
      <tp t="e">
        <v>#N/A</v>
        <stp/>
        <stp>BDH|2798370307653691828</stp>
        <tr r="O37" s="26"/>
      </tp>
      <tp t="e">
        <v>#N/A</v>
        <stp/>
        <stp>BDH|1187124155936208944</stp>
        <tr r="T19" s="17"/>
      </tp>
      <tp t="e">
        <v>#N/A</v>
        <stp/>
        <stp>BDH|6660896516365933000</stp>
        <tr r="G95" s="18"/>
      </tp>
      <tp t="e">
        <v>#N/A</v>
        <stp/>
        <stp>BDH|1139504732678653554</stp>
        <tr r="W40" s="34"/>
      </tp>
      <tp t="e">
        <v>#N/A</v>
        <stp/>
        <stp>BDH|6245869110542737738</stp>
        <tr r="M17" s="17"/>
        <tr r="M20" s="28"/>
      </tp>
      <tp t="e">
        <v>#N/A</v>
        <stp/>
        <stp>BDH|7039906795429778424</stp>
        <tr r="M7" s="23"/>
      </tp>
      <tp t="e">
        <v>#N/A</v>
        <stp/>
        <stp>BDH|4430844798586989918</stp>
        <tr r="G75" s="24"/>
      </tp>
      <tp t="e">
        <v>#N/A</v>
        <stp/>
        <stp>BDH|5326281538607364901</stp>
        <tr r="S59" s="12"/>
      </tp>
      <tp t="e">
        <v>#N/A</v>
        <stp/>
        <stp>BDH|8420707739226465094</stp>
        <tr r="L20" s="29"/>
      </tp>
      <tp t="e">
        <v>#N/A</v>
        <stp/>
        <stp>BDH|3820213192003849131</stp>
        <tr r="P61" s="13"/>
      </tp>
      <tp t="e">
        <v>#N/A</v>
        <stp/>
        <stp>BDH|3662453233119874784</stp>
        <tr r="Z13" s="18"/>
      </tp>
      <tp t="e">
        <v>#N/A</v>
        <stp/>
        <stp>BDH|4899291298184876119</stp>
        <tr r="N26" s="24"/>
      </tp>
      <tp t="e">
        <v>#N/A</v>
        <stp/>
        <stp>BDH|6922152629338241770</stp>
        <tr r="N33" s="22"/>
      </tp>
      <tp t="e">
        <v>#N/A</v>
        <stp/>
        <stp>BDH|4503872275917552629</stp>
        <tr r="L30" s="26"/>
      </tp>
      <tp t="e">
        <v>#N/A</v>
        <stp/>
        <stp>BDH|7620778927158496025</stp>
        <tr r="AA7" s="24"/>
      </tp>
      <tp t="e">
        <v>#N/A</v>
        <stp/>
        <stp>BDH|1824985826621758112</stp>
        <tr r="J68" s="10"/>
      </tp>
      <tp t="e">
        <v>#N/A</v>
        <stp/>
        <stp>BDH|2364977933323269152</stp>
        <tr r="H52" s="17"/>
        <tr r="H10" s="25"/>
      </tp>
      <tp t="e">
        <v>#N/A</v>
        <stp/>
        <stp>BDH|9478803849836468993</stp>
        <tr r="AA75" s="18"/>
        <tr r="AA64" s="12"/>
      </tp>
      <tp t="e">
        <v>#N/A</v>
        <stp/>
        <stp>BDH|2591804123754323650</stp>
        <tr r="L8" s="34"/>
      </tp>
      <tp t="e">
        <v>#N/A</v>
        <stp/>
        <stp>BDH|5065849835824079018</stp>
        <tr r="Q26" s="6"/>
      </tp>
      <tp t="e">
        <v>#N/A</v>
        <stp/>
        <stp>BDH|9670222601472334369</stp>
        <tr r="T37" s="24"/>
      </tp>
      <tp t="e">
        <v>#N/A</v>
        <stp/>
        <stp>BDH|9547658512763153735</stp>
        <tr r="I133" s="18"/>
      </tp>
      <tp t="e">
        <v>#N/A</v>
        <stp/>
        <stp>BDH|9366487266089980843</stp>
        <tr r="T71" s="24"/>
      </tp>
      <tp t="e">
        <v>#N/A</v>
        <stp/>
        <stp>BDH|9860786411290291531</stp>
        <tr r="R33" s="24"/>
      </tp>
      <tp t="e">
        <v>#N/A</v>
        <stp/>
        <stp>BDH|1733544594402680516</stp>
        <tr r="G111" s="18"/>
      </tp>
      <tp t="e">
        <v>#N/A</v>
        <stp/>
        <stp>BDH|7916129288222114626</stp>
        <tr r="P31" s="34"/>
      </tp>
      <tp t="e">
        <v>#N/A</v>
        <stp/>
        <stp>BDH|7358902069904865625</stp>
        <tr r="Z13" s="30"/>
      </tp>
      <tp t="e">
        <v>#N/A</v>
        <stp/>
        <stp>BDH|4310875818890819740</stp>
        <tr r="Y28" s="17"/>
      </tp>
      <tp t="e">
        <v>#N/A</v>
        <stp/>
        <stp>BDH|7423256850773970988</stp>
        <tr r="L18" s="20"/>
      </tp>
      <tp t="e">
        <v>#N/A</v>
        <stp/>
        <stp>BDH|3172901455042511719</stp>
        <tr r="W24" s="18"/>
      </tp>
      <tp t="e">
        <v>#N/A</v>
        <stp/>
        <stp>BDH|3136654201488544709</stp>
        <tr r="F28" s="21"/>
      </tp>
      <tp t="e">
        <v>#N/A</v>
        <stp/>
        <stp>BDH|4239527863328375511</stp>
        <tr r="Y54" s="12"/>
      </tp>
      <tp t="e">
        <v>#N/A</v>
        <stp/>
        <stp>BDH|7616668379444142898</stp>
        <tr r="N58" s="21"/>
        <tr r="N37" s="25"/>
        <tr r="L31" s="4"/>
        <tr r="L54" s="11"/>
      </tp>
      <tp t="e">
        <v>#N/A</v>
        <stp/>
        <stp>BDH|2797637650898727325</stp>
        <tr r="U32" s="12"/>
      </tp>
      <tp t="e">
        <v>#N/A</v>
        <stp/>
        <stp>BDH|9058497206645855260</stp>
        <tr r="P8" s="14"/>
      </tp>
      <tp t="e">
        <v>#N/A</v>
        <stp/>
        <stp>BDH|7905690084882089150</stp>
        <tr r="G8" s="26"/>
        <tr r="D10" s="9"/>
      </tp>
      <tp t="e">
        <v>#N/A</v>
        <stp/>
        <stp>BDH|2375806520147561576</stp>
        <tr r="X11" s="21"/>
      </tp>
      <tp t="e">
        <v>#N/A</v>
        <stp/>
        <stp>BDH|2206737593672565467</stp>
        <tr r="Q91" s="24"/>
      </tp>
      <tp t="e">
        <v>#N/A</v>
        <stp/>
        <stp>BDH|2131419556670766909</stp>
        <tr r="F94" s="18"/>
      </tp>
      <tp t="e">
        <v>#N/A</v>
        <stp/>
        <stp>BDH|8297492760912837222</stp>
        <tr r="M47" s="34"/>
      </tp>
      <tp t="e">
        <v>#N/A</v>
        <stp/>
        <stp>BDH|8688038805290828293</stp>
        <tr r="U23" s="24"/>
      </tp>
      <tp t="e">
        <v>#N/A</v>
        <stp/>
        <stp>BDH|3077605939504125896</stp>
        <tr r="O66" s="18"/>
      </tp>
      <tp t="e">
        <v>#N/A</v>
        <stp/>
        <stp>BDH|3244032991829498955</stp>
        <tr r="S21" s="5"/>
      </tp>
      <tp t="e">
        <v>#N/A</v>
        <stp/>
        <stp>BDH|4170044722794351853</stp>
        <tr r="P24" s="10"/>
      </tp>
      <tp t="e">
        <v>#N/A</v>
        <stp/>
        <stp>BDH|1401572280422248400</stp>
        <tr r="V32" s="24"/>
      </tp>
      <tp t="e">
        <v>#N/A</v>
        <stp/>
        <stp>BDH|8499010102395496726</stp>
        <tr r="F15" s="21"/>
      </tp>
      <tp t="e">
        <v>#N/A</v>
        <stp/>
        <stp>BDH|9591785724947182199</stp>
        <tr r="F24" s="22"/>
      </tp>
      <tp t="e">
        <v>#N/A</v>
        <stp/>
        <stp>BDH|9593828144496638942</stp>
        <tr r="G54" s="18"/>
      </tp>
      <tp t="e">
        <v>#N/A</v>
        <stp/>
        <stp>BDH|1226598308986502877</stp>
        <tr r="U47" s="34"/>
      </tp>
      <tp t="e">
        <v>#N/A</v>
        <stp/>
        <stp>BDH|3774864195088154041</stp>
        <tr r="E17" s="22"/>
      </tp>
      <tp t="e">
        <v>#N/A</v>
        <stp/>
        <stp>BDH|9544120123240114041</stp>
        <tr r="AA20" s="25"/>
      </tp>
      <tp t="e">
        <v>#N/A</v>
        <stp/>
        <stp>BDH|9563056580799605271</stp>
        <tr r="W38" s="18"/>
      </tp>
      <tp t="e">
        <v>#N/A</v>
        <stp/>
        <stp>BDH|1539975507765121755</stp>
        <tr r="V47" s="24"/>
      </tp>
      <tp t="e">
        <v>#N/A</v>
        <stp/>
        <stp>BDH|3089734828458278486</stp>
        <tr r="N42" s="18"/>
      </tp>
      <tp t="e">
        <v>#N/A</v>
        <stp/>
        <stp>BDH|7695342599686936137</stp>
        <tr r="Q13" s="20"/>
      </tp>
      <tp t="e">
        <v>#N/A</v>
        <stp/>
        <stp>BDH|6125476787599699960</stp>
        <tr r="G31" s="24"/>
      </tp>
      <tp t="e">
        <v>#N/A</v>
        <stp/>
        <stp>BDH|8351135790009095311</stp>
        <tr r="L90" s="17"/>
      </tp>
      <tp t="e">
        <v>#N/A</v>
        <stp/>
        <stp>BDH|2237698089601629757</stp>
        <tr r="J28" s="12"/>
      </tp>
      <tp t="e">
        <v>#N/A</v>
        <stp/>
        <stp>BDH|9865491011980413657</stp>
        <tr r="W14" s="11"/>
      </tp>
      <tp t="e">
        <v>#N/A</v>
        <stp/>
        <stp>BDH|6438871702894140015</stp>
        <tr r="Y62" s="17"/>
      </tp>
      <tp t="e">
        <v>#N/A</v>
        <stp/>
        <stp>BDH|6925063085002999623</stp>
        <tr r="G27" s="26"/>
      </tp>
      <tp t="e">
        <v>#N/A</v>
        <stp/>
        <stp>BDH|6732033712934369944</stp>
        <tr r="U29" s="10"/>
        <tr r="W35" s="13"/>
      </tp>
      <tp t="e">
        <v>#N/A</v>
        <stp/>
        <stp>BDH|9931098982088481379</stp>
        <tr r="Q25" s="25"/>
        <tr r="Q10" s="27"/>
      </tp>
      <tp t="e">
        <v>#N/A</v>
        <stp/>
        <stp>BDH|7663626694480292237</stp>
        <tr r="O15" s="25"/>
      </tp>
      <tp t="e">
        <v>#N/A</v>
        <stp/>
        <stp>BDH|3051358885726164401</stp>
        <tr r="J35" s="18"/>
      </tp>
      <tp t="e">
        <v>#N/A</v>
        <stp/>
        <stp>BDH|6684870623736138021</stp>
        <tr r="D30" s="5"/>
        <tr r="D30" s="9"/>
      </tp>
      <tp t="e">
        <v>#N/A</v>
        <stp/>
        <stp>BDH|4347162791264498213</stp>
        <tr r="G40" s="17"/>
      </tp>
      <tp t="e">
        <v>#N/A</v>
        <stp/>
        <stp>BDH|3885915236195644686</stp>
        <tr r="C74" s="10"/>
        <tr r="C66" s="11"/>
      </tp>
      <tp t="e">
        <v>#N/A</v>
        <stp/>
        <stp>BDH|3756840966803558469</stp>
        <tr r="O8" s="22"/>
      </tp>
      <tp t="e">
        <v>#N/A</v>
        <stp/>
        <stp>BDH|8166162571200920495</stp>
        <tr r="C39" s="17"/>
      </tp>
      <tp t="e">
        <v>#N/A</v>
        <stp/>
        <stp>BDH|7335902468347538581</stp>
        <tr r="W56" s="6"/>
      </tp>
      <tp t="e">
        <v>#N/A</v>
        <stp/>
        <stp>BDH|1864494513489332775</stp>
        <tr r="F18" s="12"/>
      </tp>
      <tp t="e">
        <v>#N/A</v>
        <stp/>
        <stp>BDH|4453962215522403451</stp>
        <tr r="I22" s="18"/>
      </tp>
      <tp t="e">
        <v>#N/A</v>
        <stp/>
        <stp>BDH|2390457490636595352</stp>
        <tr r="I33" s="14"/>
      </tp>
      <tp t="e">
        <v>#N/A</v>
        <stp/>
        <stp>BDH|1293108013393151864</stp>
        <tr r="Y42" s="4"/>
      </tp>
      <tp t="e">
        <v>#N/A</v>
        <stp/>
        <stp>BDH|1334994304785841706</stp>
        <tr r="W62" s="12"/>
      </tp>
      <tp t="e">
        <v>#N/A</v>
        <stp/>
        <stp>BDH|2136113926509679267</stp>
        <tr r="U13" s="18"/>
      </tp>
      <tp t="e">
        <v>#N/A</v>
        <stp/>
        <stp>BDH|1610549553142285955</stp>
        <tr r="D35" s="4"/>
      </tp>
      <tp t="e">
        <v>#N/A</v>
        <stp/>
        <stp>BDH|7705210372918161038</stp>
        <tr r="Q33" s="14"/>
      </tp>
      <tp t="e">
        <v>#N/A</v>
        <stp/>
        <stp>BDH|6277750290020856295</stp>
        <tr r="F28" s="4"/>
      </tp>
      <tp t="e">
        <v>#N/A</v>
        <stp/>
        <stp>BDH|1338650321268133705</stp>
        <tr r="P21" s="21"/>
      </tp>
      <tp t="e">
        <v>#N/A</v>
        <stp/>
        <stp>BDH|4899252402388849415</stp>
        <tr r="C84" s="18"/>
      </tp>
      <tp t="e">
        <v>#N/A</v>
        <stp/>
        <stp>BDH|7601449710309008142</stp>
        <tr r="C8" s="21"/>
      </tp>
      <tp t="e">
        <v>#N/A</v>
        <stp/>
        <stp>BDH|1406676615329558558</stp>
        <tr r="K14" s="2"/>
        <tr r="K11" s="10"/>
      </tp>
      <tp t="e">
        <v>#N/A</v>
        <stp/>
        <stp>BDH|6460908520267548070</stp>
        <tr r="Y18" s="10"/>
        <tr r="AA16" s="13"/>
        <tr r="AA27" s="13"/>
      </tp>
      <tp t="e">
        <v>#N/A</v>
        <stp/>
        <stp>BDH|4093721287560245112</stp>
        <tr r="E54" s="24"/>
      </tp>
      <tp t="e">
        <v>#N/A</v>
        <stp/>
        <stp>BDH|3201882537773289196</stp>
        <tr r="I10" s="14"/>
      </tp>
      <tp t="e">
        <v>#N/A</v>
        <stp/>
        <stp>BDH|5406405703258154308</stp>
        <tr r="K13" s="6"/>
      </tp>
      <tp t="e">
        <v>#N/A</v>
        <stp/>
        <stp>BDH|9397360901379092929</stp>
        <tr r="F133" s="18"/>
      </tp>
      <tp t="e">
        <v>#N/A</v>
        <stp/>
        <stp>BDH|2705098448128425446</stp>
        <tr r="N17" s="10"/>
      </tp>
      <tp t="e">
        <v>#N/A</v>
        <stp/>
        <stp>BDH|3387290668469377476</stp>
        <tr r="M32" s="9"/>
      </tp>
      <tp t="e">
        <v>#N/A</v>
        <stp/>
        <stp>BDH|1273921145780551669</stp>
        <tr r="S49" s="18"/>
      </tp>
      <tp t="e">
        <v>#N/A</v>
        <stp/>
        <stp>BDH|4671814547004370658</stp>
        <tr r="U42" s="34"/>
      </tp>
      <tp t="e">
        <v>#N/A</v>
        <stp/>
        <stp>BDH|5992751493640090198</stp>
        <tr r="T83" s="18"/>
      </tp>
      <tp t="e">
        <v>#N/A</v>
        <stp/>
        <stp>BDH|8773558775641753163</stp>
        <tr r="G67" s="24"/>
      </tp>
      <tp t="e">
        <v>#N/A</v>
        <stp/>
        <stp>BDH|1542091268249391410</stp>
        <tr r="J30" s="12"/>
      </tp>
      <tp t="e">
        <v>#N/A</v>
        <stp/>
        <stp>BDH|8261629991294337940</stp>
        <tr r="H16" s="6"/>
      </tp>
      <tp t="e">
        <v>#N/A</v>
        <stp/>
        <stp>BDH|3992464288671754460</stp>
        <tr r="X23" s="25"/>
        <tr r="V20" s="11"/>
      </tp>
      <tp t="e">
        <v>#N/A</v>
        <stp/>
        <stp>BDH|1022001279178713492</stp>
        <tr r="W52" s="4"/>
        <tr r="Y8" s="3"/>
        <tr r="W44" s="10"/>
        <tr r="W36" s="11"/>
        <tr r="Y40" s="13"/>
      </tp>
      <tp t="e">
        <v>#N/A</v>
        <stp/>
        <stp>BDH|7305878315706472229</stp>
        <tr r="U45" s="21"/>
      </tp>
      <tp t="e">
        <v>#N/A</v>
        <stp/>
        <stp>BDH|1663423144602013973</stp>
        <tr r="C25" s="21"/>
      </tp>
      <tp t="e">
        <v>#N/A</v>
        <stp/>
        <stp>BDH|6665432492340737175</stp>
        <tr r="P89" s="18"/>
      </tp>
      <tp t="e">
        <v>#N/A</v>
        <stp/>
        <stp>BDH|4180363349590866918</stp>
        <tr r="P34" s="14"/>
      </tp>
      <tp t="e">
        <v>#N/A</v>
        <stp/>
        <stp>BDH|5435990332416958312</stp>
        <tr r="AA90" s="18"/>
      </tp>
      <tp t="e">
        <v>#N/A</v>
        <stp/>
        <stp>BDH|9340570766081607134</stp>
        <tr r="Y71" s="17"/>
      </tp>
      <tp t="e">
        <v>#N/A</v>
        <stp/>
        <stp>BDH|3669069350445184963</stp>
        <tr r="Q71" s="24"/>
      </tp>
      <tp t="e">
        <v>#N/A</v>
        <stp/>
        <stp>BDH|6166726533419407137</stp>
        <tr r="V19" s="25"/>
      </tp>
      <tp t="e">
        <v>#N/A</v>
        <stp/>
        <stp>BDH|4166129287937448071</stp>
        <tr r="T111" s="18"/>
      </tp>
      <tp t="e">
        <v>#N/A</v>
        <stp/>
        <stp>BDH|5847887389069898669</stp>
        <tr r="U64" s="13"/>
      </tp>
      <tp t="e">
        <v>#N/A</v>
        <stp/>
        <stp>BDH|5264800860793773224</stp>
        <tr r="C44" s="22"/>
      </tp>
      <tp t="e">
        <v>#N/A</v>
        <stp/>
        <stp>BDH|7078348047603099945</stp>
        <tr r="U19" s="6"/>
      </tp>
      <tp t="e">
        <v>#N/A</v>
        <stp/>
        <stp>BDH|4937839601990520695</stp>
        <tr r="L52" s="24"/>
      </tp>
      <tp t="e">
        <v>#N/A</v>
        <stp/>
        <stp>BDH|5264701631493601827</stp>
        <tr r="U50" s="18"/>
      </tp>
      <tp t="e">
        <v>#N/A</v>
        <stp/>
        <stp>BDH|9290842980833111005</stp>
        <tr r="E73" s="17"/>
      </tp>
      <tp t="e">
        <v>#N/A</v>
        <stp/>
        <stp>BDH|1427462193190639604</stp>
        <tr r="C32" s="25"/>
        <tr r="C18" s="27"/>
      </tp>
      <tp t="e">
        <v>#N/A</v>
        <stp/>
        <stp>BDH|5612017294852494401</stp>
        <tr r="Z55" s="12"/>
      </tp>
      <tp t="e">
        <v>#N/A</v>
        <stp/>
        <stp>BDH|4340687598170520116</stp>
        <tr r="U80" s="12"/>
      </tp>
      <tp t="e">
        <v>#N/A</v>
        <stp/>
        <stp>BDH|1325254957568319454</stp>
        <tr r="P73" s="18"/>
      </tp>
      <tp t="e">
        <v>#N/A</v>
        <stp/>
        <stp>BDH|3862083285043627241</stp>
        <tr r="J12" s="10"/>
      </tp>
      <tp t="e">
        <v>#N/A</v>
        <stp/>
        <stp>BDH|2472638335525736820</stp>
        <tr r="S139" s="18"/>
      </tp>
      <tp t="e">
        <v>#N/A</v>
        <stp/>
        <stp>BDH|9198538824844181008</stp>
        <tr r="C40" s="12"/>
      </tp>
      <tp t="e">
        <v>#N/A</v>
        <stp/>
        <stp>BDH|5785846334557811383</stp>
        <tr r="K52" s="21"/>
      </tp>
      <tp t="e">
        <v>#N/A</v>
        <stp/>
        <stp>BDH|3648779993797322061</stp>
        <tr r="O18" s="26"/>
      </tp>
      <tp t="e">
        <v>#N/A</v>
        <stp/>
        <stp>BDH|9599647417703231732</stp>
        <tr r="Q23" s="2"/>
        <tr r="S18" s="21"/>
        <tr r="S23" s="3"/>
      </tp>
      <tp t="e">
        <v>#N/A</v>
        <stp/>
        <stp>BDH|7275026096605091115</stp>
        <tr r="P34" s="26"/>
      </tp>
      <tp t="e">
        <v>#N/A</v>
        <stp/>
        <stp>BDH|8597436666055526526</stp>
        <tr r="F53" s="12"/>
      </tp>
      <tp t="e">
        <v>#N/A</v>
        <stp/>
        <stp>BDH|3339879556400115444</stp>
        <tr r="F14" s="20"/>
      </tp>
      <tp t="e">
        <v>#N/A</v>
        <stp/>
        <stp>BDH|6019969572652722047</stp>
        <tr r="T21" s="2"/>
      </tp>
      <tp t="e">
        <v>#N/A</v>
        <stp/>
        <stp>BDH|1477629896485403130</stp>
        <tr r="M28" s="14"/>
      </tp>
      <tp t="e">
        <v>#N/A</v>
        <stp/>
        <stp>BDH|8532839489706012486</stp>
        <tr r="Q15" s="13"/>
      </tp>
      <tp t="e">
        <v>#N/A</v>
        <stp/>
        <stp>BDH|5218010382827125076</stp>
        <tr r="D22" s="4"/>
      </tp>
      <tp t="e">
        <v>#N/A</v>
        <stp/>
        <stp>BDH|5746790288621282136</stp>
        <tr r="X74" s="10"/>
        <tr r="X66" s="11"/>
      </tp>
      <tp t="e">
        <v>#N/A</v>
        <stp/>
        <stp>BDH|3035733580802223466</stp>
        <tr r="G20" s="25"/>
      </tp>
      <tp t="e">
        <v>#N/A</v>
        <stp/>
        <stp>BDH|8385390729515447606</stp>
        <tr r="S44" s="6"/>
      </tp>
      <tp t="e">
        <v>#N/A</v>
        <stp/>
        <stp>BDH|9694645205674101115</stp>
        <tr r="M113" s="18"/>
      </tp>
      <tp t="e">
        <v>#N/A</v>
        <stp/>
        <stp>BDH|9329660446825105455</stp>
        <tr r="S21" s="30"/>
      </tp>
      <tp t="e">
        <v>#N/A</v>
        <stp/>
        <stp>BDH|1261944859343879408</stp>
        <tr r="U7" s="10"/>
      </tp>
      <tp t="e">
        <v>#N/A</v>
        <stp/>
        <stp>BDH|9959959986620632288</stp>
        <tr r="H47" s="18"/>
      </tp>
      <tp t="e">
        <v>#N/A</v>
        <stp/>
        <stp>BDH|2145434892285071045</stp>
        <tr r="T24" s="4"/>
        <tr r="T57" s="11"/>
      </tp>
      <tp t="e">
        <v>#N/A</v>
        <stp/>
        <stp>BDH|5316808511524080264</stp>
        <tr r="Q17" s="29"/>
        <tr r="Q40" s="29"/>
      </tp>
      <tp t="e">
        <v>#N/A</v>
        <stp/>
        <stp>BDH|4901805587727844926</stp>
        <tr r="W29" s="18"/>
      </tp>
      <tp t="e">
        <v>#N/A</v>
        <stp/>
        <stp>BDH|6122837142366647622</stp>
        <tr r="C11" s="28"/>
      </tp>
      <tp t="e">
        <v>#N/A</v>
        <stp/>
        <stp>BDH|8308428641903042145</stp>
        <tr r="Z28" s="34"/>
      </tp>
      <tp t="e">
        <v>#N/A</v>
        <stp/>
        <stp>BDH|5298844347576083550</stp>
        <tr r="I8" s="11"/>
      </tp>
      <tp t="e">
        <v>#N/A</v>
        <stp/>
        <stp>BDH|4750234666728060263</stp>
        <tr r="Y17" s="24"/>
      </tp>
      <tp t="e">
        <v>#N/A</v>
        <stp/>
        <stp>BDH|8087223821695592727</stp>
        <tr r="AA35" s="18"/>
      </tp>
      <tp t="e">
        <v>#N/A</v>
        <stp/>
        <stp>BDH|8256660302603492769</stp>
        <tr r="G102" s="18"/>
      </tp>
      <tp t="e">
        <v>#N/A</v>
        <stp/>
        <stp>BDH|5131816177033142322</stp>
        <tr r="V13" s="10"/>
      </tp>
      <tp t="e">
        <v>#N/A</v>
        <stp/>
        <stp>BDH|7383923215851995499</stp>
        <tr r="W81" s="17"/>
        <tr r="W20" s="3"/>
        <tr r="U6" s="7"/>
      </tp>
      <tp t="e">
        <v>#N/A</v>
        <stp/>
        <stp>BDH|8080369287390237973</stp>
        <tr r="K19" s="9"/>
      </tp>
      <tp t="e">
        <v>#N/A</v>
        <stp/>
        <stp>BDH|4595895566914948473</stp>
        <tr r="L112" s="18"/>
      </tp>
      <tp t="e">
        <v>#N/A</v>
        <stp/>
        <stp>BDH|4325147795901206749</stp>
        <tr r="C8" s="28"/>
      </tp>
      <tp t="e">
        <v>#N/A</v>
        <stp/>
        <stp>BDH|4171906971871752139</stp>
        <tr r="AA121" s="18"/>
      </tp>
      <tp t="e">
        <v>#N/A</v>
        <stp/>
        <stp>BDH|1901689407404681941</stp>
        <tr r="T49" s="4"/>
      </tp>
      <tp t="e">
        <v>#N/A</v>
        <stp/>
        <stp>BDH|8717911856199432706</stp>
        <tr r="P124" s="18"/>
      </tp>
      <tp t="e">
        <v>#N/A</v>
        <stp/>
        <stp>BDH|2768801941642703655</stp>
        <tr r="T38" s="17"/>
      </tp>
      <tp t="e">
        <v>#N/A</v>
        <stp/>
        <stp>BDH|7743301449472912834</stp>
        <tr r="R70" s="12"/>
      </tp>
      <tp t="e">
        <v>#N/A</v>
        <stp/>
        <stp>BDH|3339216119513823976</stp>
        <tr r="C37" s="13"/>
      </tp>
      <tp t="e">
        <v>#N/A</v>
        <stp/>
        <stp>BDH|9350497414147915135</stp>
        <tr r="J18" s="22"/>
      </tp>
      <tp t="e">
        <v>#N/A</v>
        <stp/>
        <stp>BDH|6968849520974826213</stp>
        <tr r="G64" s="17"/>
      </tp>
      <tp t="e">
        <v>#N/A</v>
        <stp/>
        <stp>BDH|7428104455111610831</stp>
        <tr r="K89" s="12"/>
      </tp>
      <tp t="e">
        <v>#N/A</v>
        <stp/>
        <stp>BDH|1426019816349163369</stp>
        <tr r="AA85" s="12"/>
      </tp>
      <tp t="e">
        <v>#N/A</v>
        <stp/>
        <stp>BDH|9788246922613585009</stp>
        <tr r="R68" s="18"/>
      </tp>
      <tp t="e">
        <v>#N/A</v>
        <stp/>
        <stp>BDH|9722522247627063569</stp>
        <tr r="X30" s="22"/>
      </tp>
      <tp t="e">
        <v>#N/A</v>
        <stp/>
        <stp>BDH|3720121750054785963</stp>
        <tr r="D69" s="12"/>
      </tp>
      <tp t="e">
        <v>#N/A</v>
        <stp/>
        <stp>BDH|5688911116401403616</stp>
        <tr r="Q122" s="18"/>
      </tp>
      <tp t="e">
        <v>#N/A</v>
        <stp/>
        <stp>BDH|6057862130170686744</stp>
        <tr r="G90" s="12"/>
      </tp>
      <tp t="e">
        <v>#N/A</v>
        <stp/>
        <stp>BDH|4010730186756458759</stp>
        <tr r="Y73" s="10"/>
        <tr r="Y65" s="11"/>
      </tp>
      <tp t="e">
        <v>#N/A</v>
        <stp/>
        <stp>BDH|8793141723628628926</stp>
        <tr r="V49" s="18"/>
      </tp>
      <tp t="e">
        <v>#N/A</v>
        <stp/>
        <stp>BDH|3365840946252317768</stp>
        <tr r="R6" s="6"/>
      </tp>
      <tp t="e">
        <v>#N/A</v>
        <stp/>
        <stp>BDH|9874364218689196831</stp>
        <tr r="O21" s="22"/>
      </tp>
      <tp t="e">
        <v>#N/A</v>
        <stp/>
        <stp>BDH|1660683846851877847</stp>
        <tr r="O25" s="34"/>
      </tp>
      <tp t="e">
        <v>#N/A</v>
        <stp/>
        <stp>BDH|3602488278528459264</stp>
        <tr r="R53" s="12"/>
      </tp>
      <tp t="e">
        <v>#N/A</v>
        <stp/>
        <stp>BDH|2021467720807211903</stp>
        <tr r="U109" s="18"/>
      </tp>
      <tp t="e">
        <v>#N/A</v>
        <stp/>
        <stp>BDH|2542235295024372749</stp>
        <tr r="Z53" s="17"/>
      </tp>
      <tp t="e">
        <v>#N/A</v>
        <stp/>
        <stp>BDH|1755976491989508205</stp>
        <tr r="AA27" s="26"/>
      </tp>
      <tp t="e">
        <v>#N/A</v>
        <stp/>
        <stp>BDH|5475801460962611360</stp>
        <tr r="J30" s="29"/>
        <tr r="J8" s="29"/>
      </tp>
      <tp t="e">
        <v>#N/A</v>
        <stp/>
        <stp>BDH|9456735961190564279</stp>
        <tr r="X82" s="24"/>
      </tp>
      <tp t="e">
        <v>#N/A</v>
        <stp/>
        <stp>BDH|5098485447576910926</stp>
        <tr r="M11" s="3"/>
        <tr r="K50" s="10"/>
        <tr r="K42" s="11"/>
        <tr r="K8" s="7"/>
      </tp>
      <tp t="e">
        <v>#N/A</v>
        <stp/>
        <stp>BDH|5310389789347168373</stp>
        <tr r="X7" s="34"/>
      </tp>
      <tp t="e">
        <v>#N/A</v>
        <stp/>
        <stp>BDH|9533762475674331705</stp>
        <tr r="L47" s="13"/>
      </tp>
      <tp t="e">
        <v>#N/A</v>
        <stp/>
        <stp>BDH|2273287098262478134</stp>
        <tr r="U34" s="5"/>
        <tr r="V32" s="29"/>
      </tp>
      <tp t="e">
        <v>#N/A</v>
        <stp/>
        <stp>BDH|1356212390059534924</stp>
        <tr r="X66" s="24"/>
      </tp>
      <tp t="e">
        <v>#N/A</v>
        <stp/>
        <stp>BDH|1682359373289355666</stp>
        <tr r="O58" s="13"/>
      </tp>
      <tp t="e">
        <v>#N/A</v>
        <stp/>
        <stp>BDH|4628911650246556474</stp>
        <tr r="Z61" s="18"/>
      </tp>
      <tp t="e">
        <v>#N/A</v>
        <stp/>
        <stp>BDH|9444295808607932694</stp>
        <tr r="X31" s="22"/>
      </tp>
      <tp t="e">
        <v>#N/A</v>
        <stp/>
        <stp>BDH|6453277942692555812</stp>
        <tr r="E22" s="10"/>
      </tp>
      <tp t="e">
        <v>#N/A</v>
        <stp/>
        <stp>BDH|1552574305448007626</stp>
        <tr r="N24" s="21"/>
      </tp>
      <tp t="e">
        <v>#N/A</v>
        <stp/>
        <stp>BDH|2946497617545540870</stp>
        <tr r="C39" s="10"/>
        <tr r="C31" s="11"/>
      </tp>
      <tp t="e">
        <v>#N/A</v>
        <stp/>
        <stp>BDH|3032764683806495044</stp>
        <tr r="O8" s="6"/>
      </tp>
      <tp t="e">
        <v>#N/A</v>
        <stp/>
        <stp>BDH|3604952656233910693</stp>
        <tr r="Y122" s="18"/>
      </tp>
      <tp t="e">
        <v>#N/A</v>
        <stp/>
        <stp>BDH|7559676695461602345</stp>
        <tr r="N11" s="13"/>
      </tp>
      <tp t="e">
        <v>#N/A</v>
        <stp/>
        <stp>BDH|8447470720691672507</stp>
        <tr r="J141" s="18"/>
      </tp>
      <tp t="e">
        <v>#N/A</v>
        <stp/>
        <stp>BDH|3168322493110191349</stp>
        <tr r="D18" s="2"/>
        <tr r="D53" s="4"/>
        <tr r="D46" s="10"/>
        <tr r="D38" s="11"/>
        <tr r="F51" s="13"/>
      </tp>
      <tp t="e">
        <v>#N/A</v>
        <stp/>
        <stp>BDH|7606779701672122849</stp>
        <tr r="Y31" s="26"/>
        <tr r="V14" s="9"/>
      </tp>
      <tp t="e">
        <v>#N/A</v>
        <stp/>
        <stp>BDH|2527943203044024577</stp>
        <tr r="Y119" s="18"/>
      </tp>
      <tp t="e">
        <v>#N/A</v>
        <stp/>
        <stp>BDH|8791874299421844249</stp>
        <tr r="W36" s="34"/>
      </tp>
      <tp t="e">
        <v>#N/A</v>
        <stp/>
        <stp>BDH|4180341783847109226</stp>
        <tr r="F23" s="24"/>
      </tp>
      <tp t="e">
        <v>#N/A</v>
        <stp/>
        <stp>BDH|3842786686006464072</stp>
        <tr r="S17" s="9"/>
      </tp>
      <tp t="e">
        <v>#N/A</v>
        <stp/>
        <stp>BDH|5546232891585067123</stp>
        <tr r="X29" s="29"/>
        <tr r="X7" s="29"/>
      </tp>
      <tp t="e">
        <v>#N/A</v>
        <stp/>
        <stp>BDH|8587026106823277167</stp>
        <tr r="Y60" s="18"/>
      </tp>
      <tp t="e">
        <v>#N/A</v>
        <stp/>
        <stp>BDH|8014400750376181543</stp>
        <tr r="V60" s="12"/>
      </tp>
      <tp t="e">
        <v>#N/A</v>
        <stp/>
        <stp>BDH|2729813140266283212</stp>
        <tr r="W82" s="18"/>
      </tp>
      <tp t="e">
        <v>#N/A</v>
        <stp/>
        <stp>BDH|2256731143179384245</stp>
        <tr r="N65" s="18"/>
      </tp>
      <tp t="e">
        <v>#N/A</v>
        <stp/>
        <stp>BDH|8616547452303445119</stp>
        <tr r="I9" s="10"/>
      </tp>
      <tp t="e">
        <v>#N/A</v>
        <stp/>
        <stp>BDH|2106329450088288649</stp>
        <tr r="P52" s="24"/>
      </tp>
      <tp t="e">
        <v>#N/A</v>
        <stp/>
        <stp>BDH|4812963797788942659</stp>
        <tr r="AA25" s="17"/>
      </tp>
      <tp t="e">
        <v>#N/A</v>
        <stp/>
        <stp>BDH|5149293452668988062</stp>
        <tr r="AA33" s="12"/>
      </tp>
      <tp t="e">
        <v>#N/A</v>
        <stp/>
        <stp>BDH|8692366511583337373</stp>
        <tr r="D38" s="10"/>
        <tr r="D30" s="11"/>
        <tr r="F42" s="13"/>
      </tp>
      <tp t="e">
        <v>#N/A</v>
        <stp/>
        <stp>BDH|9958245744975402083</stp>
        <tr r="W59" s="12"/>
      </tp>
      <tp t="e">
        <v>#N/A</v>
        <stp/>
        <stp>BDH|2576498374309826252</stp>
        <tr r="R36" s="12"/>
      </tp>
      <tp t="e">
        <v>#N/A</v>
        <stp/>
        <stp>BDH|9289628227840379710</stp>
        <tr r="C74" s="24"/>
      </tp>
      <tp t="e">
        <v>#N/A</v>
        <stp/>
        <stp>BDH|3113839634331416375</stp>
        <tr r="O123" s="18"/>
      </tp>
      <tp t="e">
        <v>#N/A</v>
        <stp/>
        <stp>BDH|5398564703772254810</stp>
        <tr r="I16" s="17"/>
        <tr r="I19" s="28"/>
      </tp>
      <tp t="e">
        <v>#N/A</v>
        <stp/>
        <stp>BDH|9056303519348539999</stp>
        <tr r="N32" s="5"/>
      </tp>
      <tp t="e">
        <v>#N/A</v>
        <stp/>
        <stp>BDH|1441552078440952959</stp>
        <tr r="X136" s="18"/>
      </tp>
      <tp t="e">
        <v>#N/A</v>
        <stp/>
        <stp>BDH|4191276186414728027</stp>
        <tr r="G8" s="6"/>
      </tp>
      <tp t="e">
        <v>#N/A</v>
        <stp/>
        <stp>BDH|2501347337900168826</stp>
        <tr r="F13" s="8"/>
      </tp>
      <tp t="e">
        <v>#N/A</v>
        <stp/>
        <stp>BDH|2121705800837711830</stp>
        <tr r="X37" s="10"/>
        <tr r="X29" s="11"/>
        <tr r="Z41" s="13"/>
      </tp>
      <tp t="e">
        <v>#N/A</v>
        <stp/>
        <stp>BDH|86364853459902888</stp>
        <tr r="AA73" s="18"/>
      </tp>
      <tp t="e">
        <v>#N/A</v>
        <stp/>
        <stp>BDH|46341261061195340</stp>
        <tr r="M49" s="24"/>
      </tp>
      <tp t="e">
        <v>#N/A</v>
        <stp/>
        <stp>BDH|29404440064679373</stp>
        <tr r="AA81" s="12"/>
      </tp>
      <tp t="e">
        <v>#N/A</v>
        <stp/>
        <stp>BDH|76551472686927314</stp>
        <tr r="Y33" s="17"/>
      </tp>
      <tp t="e">
        <v>#N/A</v>
        <stp/>
        <stp>BDH|22216428233686427</stp>
        <tr r="Y29" s="29"/>
        <tr r="Y7" s="29"/>
      </tp>
      <tp t="e">
        <v>#N/A</v>
        <stp/>
        <stp>BDH|14093595159792702</stp>
        <tr r="P18" s="13"/>
      </tp>
      <tp t="e">
        <v>#N/A</v>
        <stp/>
        <stp>BDH|7753806028006341066</stp>
        <tr r="X29" s="17"/>
      </tp>
      <tp t="e">
        <v>#N/A</v>
        <stp/>
        <stp>BDH|1704106196044942622</stp>
        <tr r="S13" s="8"/>
      </tp>
      <tp t="e">
        <v>#N/A</v>
        <stp/>
        <stp>BDH|5866805829034361086</stp>
        <tr r="L32" s="17"/>
      </tp>
      <tp t="e">
        <v>#N/A</v>
        <stp/>
        <stp>BDH|2970861404949985885</stp>
        <tr r="P73" s="10"/>
        <tr r="P65" s="11"/>
      </tp>
      <tp t="e">
        <v>#N/A</v>
        <stp/>
        <stp>BDH|8519654498475656946</stp>
        <tr r="F71" s="12"/>
      </tp>
      <tp t="e">
        <v>#N/A</v>
        <stp/>
        <stp>BDH|2484551936049595684</stp>
        <tr r="Q61" s="18"/>
      </tp>
      <tp t="e">
        <v>#N/A</v>
        <stp/>
        <stp>BDH|6868256116776224831</stp>
        <tr r="C10" s="17"/>
      </tp>
      <tp t="e">
        <v>#N/A</v>
        <stp/>
        <stp>BDH|4361896725883562609</stp>
        <tr r="O8" s="28"/>
      </tp>
      <tp t="e">
        <v>#N/A</v>
        <stp/>
        <stp>BDH|8907745252399517800</stp>
        <tr r="Y37" s="34"/>
      </tp>
      <tp t="e">
        <v>#N/A</v>
        <stp/>
        <stp>BDH|6243333320709365580</stp>
        <tr r="AA8" s="22"/>
      </tp>
      <tp t="e">
        <v>#N/A</v>
        <stp/>
        <stp>BDH|7374615683612836031</stp>
        <tr r="T26" s="34"/>
      </tp>
      <tp t="e">
        <v>#N/A</v>
        <stp/>
        <stp>BDH|6100317251248875334</stp>
        <tr r="J35" s="12"/>
      </tp>
      <tp t="e">
        <v>#N/A</v>
        <stp/>
        <stp>BDH|4229789264947460902</stp>
        <tr r="U35" s="21"/>
      </tp>
      <tp t="e">
        <v>#N/A</v>
        <stp/>
        <stp>BDH|3306387103433538879</stp>
        <tr r="I27" s="6"/>
      </tp>
      <tp t="e">
        <v>#N/A</v>
        <stp/>
        <stp>BDH|4730799895245353424</stp>
        <tr r="J28" s="14"/>
      </tp>
      <tp t="e">
        <v>#N/A</v>
        <stp/>
        <stp>BDH|9143765158230338069</stp>
        <tr r="V27" s="24"/>
      </tp>
      <tp t="e">
        <v>#N/A</v>
        <stp/>
        <stp>BDH|4143350469699238359</stp>
        <tr r="S7" s="34"/>
      </tp>
      <tp t="e">
        <v>#N/A</v>
        <stp/>
        <stp>BDH|1032254014849831034</stp>
        <tr r="P23" s="6"/>
      </tp>
      <tp t="e">
        <v>#N/A</v>
        <stp/>
        <stp>BDH|9637186407352649159</stp>
        <tr r="U9" s="18"/>
      </tp>
      <tp t="e">
        <v>#N/A</v>
        <stp/>
        <stp>BDH|8297002572834284086</stp>
        <tr r="M60" s="17"/>
      </tp>
      <tp t="e">
        <v>#N/A</v>
        <stp/>
        <stp>BDH|1998576683102469534</stp>
        <tr r="Y49" s="12"/>
      </tp>
      <tp t="e">
        <v>#N/A</v>
        <stp/>
        <stp>BDH|9889452261266218646</stp>
        <tr r="T25" s="4"/>
        <tr r="T65" s="10"/>
      </tp>
      <tp t="e">
        <v>#N/A</v>
        <stp/>
        <stp>BDH|2889334376998750511</stp>
        <tr r="I91" s="18"/>
      </tp>
      <tp t="e">
        <v>#N/A</v>
        <stp/>
        <stp>BDH|1782953459826727071</stp>
        <tr r="Q37" s="26"/>
      </tp>
      <tp t="e">
        <v>#N/A</v>
        <stp/>
        <stp>BDH|8372600022255958230</stp>
        <tr r="Q47" s="17"/>
      </tp>
      <tp t="e">
        <v>#N/A</v>
        <stp/>
        <stp>BDH|2971265098311955357</stp>
        <tr r="Q25" s="9"/>
      </tp>
      <tp t="e">
        <v>#N/A</v>
        <stp/>
        <stp>BDH|9955360002931184077</stp>
        <tr r="AA18" s="24"/>
      </tp>
      <tp t="e">
        <v>#N/A</v>
        <stp/>
        <stp>BDH|7452087395256269305</stp>
        <tr r="V44" s="12"/>
      </tp>
      <tp t="e">
        <v>#N/A</v>
        <stp/>
        <stp>BDH|8850332829907049598</stp>
        <tr r="Z29" s="18"/>
      </tp>
      <tp t="e">
        <v>#N/A</v>
        <stp/>
        <stp>BDH|5957818304626488031</stp>
        <tr r="J23" s="12"/>
      </tp>
      <tp t="e">
        <v>#N/A</v>
        <stp/>
        <stp>BDH|1017681377189763235</stp>
        <tr r="S15" s="22"/>
      </tp>
      <tp t="e">
        <v>#N/A</v>
        <stp/>
        <stp>BDH|2937528297776017378</stp>
        <tr r="K7" s="28"/>
      </tp>
      <tp t="e">
        <v>#N/A</v>
        <stp/>
        <stp>BDH|1503931256403321582</stp>
        <tr r="G32" s="14"/>
      </tp>
      <tp t="e">
        <v>#N/A</v>
        <stp/>
        <stp>BDH|2647511819498157541</stp>
        <tr r="C36" s="21"/>
      </tp>
      <tp t="e">
        <v>#N/A</v>
        <stp/>
        <stp>BDH|6814473393917175769</stp>
        <tr r="M14" s="13"/>
      </tp>
      <tp t="e">
        <v>#N/A</v>
        <stp/>
        <stp>BDH|8106877929618561112</stp>
        <tr r="K42" s="24"/>
      </tp>
      <tp t="e">
        <v>#N/A</v>
        <stp/>
        <stp>BDH|5366992478928888811</stp>
        <tr r="Q81" s="24"/>
      </tp>
      <tp t="e">
        <v>#N/A</v>
        <stp/>
        <stp>BDH|3829835543716604254</stp>
        <tr r="Z8" s="18"/>
      </tp>
      <tp t="e">
        <v>#N/A</v>
        <stp/>
        <stp>BDH|9716588823710089571</stp>
        <tr r="K44" s="6"/>
      </tp>
      <tp t="e">
        <v>#N/A</v>
        <stp/>
        <stp>BDH|9464187062355361063</stp>
        <tr r="AA25" s="18"/>
      </tp>
      <tp t="e">
        <v>#N/A</v>
        <stp/>
        <stp>BDH|6663439586440890105</stp>
        <tr r="X32" s="26"/>
      </tp>
      <tp t="e">
        <v>#N/A</v>
        <stp/>
        <stp>BDH|8609838138621798910</stp>
        <tr r="AA45" s="17"/>
      </tp>
      <tp t="e">
        <v>#N/A</v>
        <stp/>
        <stp>BDH|7518611265488357497</stp>
        <tr r="W8" s="23"/>
      </tp>
      <tp t="e">
        <v>#N/A</v>
        <stp/>
        <stp>BDH|1464185568304810977</stp>
        <tr r="K20" s="17"/>
      </tp>
      <tp t="e">
        <v>#N/A</v>
        <stp/>
        <stp>BDH|5350269609439762506</stp>
        <tr r="V35" s="26"/>
      </tp>
      <tp t="e">
        <v>#N/A</v>
        <stp/>
        <stp>BDH|7554701779855320945</stp>
        <tr r="R9" s="13"/>
      </tp>
      <tp t="e">
        <v>#N/A</v>
        <stp/>
        <stp>BDH|6842289589616266106</stp>
        <tr r="W48" s="22"/>
      </tp>
      <tp t="e">
        <v>#N/A</v>
        <stp/>
        <stp>BDH|1815952739822922262</stp>
        <tr r="F38" s="26"/>
      </tp>
      <tp t="e">
        <v>#N/A</v>
        <stp/>
        <stp>BDH|7897935924501243666</stp>
        <tr r="P38" s="25"/>
      </tp>
      <tp t="e">
        <v>#N/A</v>
        <stp/>
        <stp>BDH|2181962960467421187</stp>
        <tr r="M37" s="34"/>
      </tp>
      <tp t="e">
        <v>#N/A</v>
        <stp/>
        <stp>BDH|4766894059894880649</stp>
        <tr r="Z25" s="18"/>
      </tp>
      <tp t="e">
        <v>#N/A</v>
        <stp/>
        <stp>BDH|5928440027831281939</stp>
        <tr r="Q25" s="4"/>
        <tr r="Q65" s="10"/>
      </tp>
      <tp t="e">
        <v>#N/A</v>
        <stp/>
        <stp>BDH|1321336491676399690</stp>
        <tr r="T134" s="18"/>
      </tp>
      <tp t="e">
        <v>#N/A</v>
        <stp/>
        <stp>BDH|1355690461469453349</stp>
        <tr r="G124" s="18"/>
      </tp>
      <tp t="e">
        <v>#N/A</v>
        <stp/>
        <stp>BDH|6755796943829639705</stp>
        <tr r="U72" s="12"/>
      </tp>
      <tp t="e">
        <v>#N/A</v>
        <stp/>
        <stp>BDH|7177029102059239580</stp>
        <tr r="F15" s="25"/>
      </tp>
      <tp t="e">
        <v>#N/A</v>
        <stp/>
        <stp>BDH|1746902308166290562</stp>
        <tr r="R23" s="13"/>
      </tp>
      <tp t="e">
        <v>#N/A</v>
        <stp/>
        <stp>BDH|7576226687790810639</stp>
        <tr r="Z12" s="12"/>
      </tp>
      <tp t="e">
        <v>#N/A</v>
        <stp/>
        <stp>BDH|6672091376249201335</stp>
        <tr r="X14" s="4"/>
      </tp>
      <tp t="e">
        <v>#N/A</v>
        <stp/>
        <stp>BDH|8426039899249415329</stp>
        <tr r="P18" s="25"/>
      </tp>
      <tp t="e">
        <v>#N/A</v>
        <stp/>
        <stp>BDH|1492990754746694077</stp>
        <tr r="L19" s="5"/>
        <tr r="L46" s="6"/>
      </tp>
      <tp t="e">
        <v>#N/A</v>
        <stp/>
        <stp>BDH|2743255197923997141</stp>
        <tr r="U134" s="18"/>
      </tp>
      <tp t="e">
        <v>#N/A</v>
        <stp/>
        <stp>BDH|6508016191712827653</stp>
        <tr r="Y109" s="18"/>
      </tp>
      <tp t="e">
        <v>#N/A</v>
        <stp/>
        <stp>BDH|8353723139342363530</stp>
        <tr r="K131" s="18"/>
      </tp>
      <tp t="e">
        <v>#N/A</v>
        <stp/>
        <stp>BDH|1749294010531639805</stp>
        <tr r="U81" s="12"/>
      </tp>
      <tp t="e">
        <v>#N/A</v>
        <stp/>
        <stp>BDH|1482739319318369457</stp>
        <tr r="G70" s="17"/>
      </tp>
      <tp t="e">
        <v>#N/A</v>
        <stp/>
        <stp>BDH|2347826133614231685</stp>
        <tr r="X14" s="17"/>
        <tr r="X17" s="28"/>
      </tp>
      <tp t="e">
        <v>#N/A</v>
        <stp/>
        <stp>BDH|7254564858088727431</stp>
        <tr r="O34" s="17"/>
      </tp>
      <tp t="e">
        <v>#N/A</v>
        <stp/>
        <stp>BDH|9052045909736144441</stp>
        <tr r="T58" s="12"/>
      </tp>
      <tp t="e">
        <v>#N/A</v>
        <stp/>
        <stp>BDH|7755857037985513288</stp>
        <tr r="R72" s="18"/>
      </tp>
      <tp t="e">
        <v>#N/A</v>
        <stp/>
        <stp>BDH|3041510991672019686</stp>
        <tr r="O10" s="23"/>
      </tp>
      <tp t="e">
        <v>#N/A</v>
        <stp/>
        <stp>BDH|9106147479731446501</stp>
        <tr r="S122" s="18"/>
      </tp>
      <tp t="e">
        <v>#N/A</v>
        <stp/>
        <stp>BDH|8173321337762464182</stp>
        <tr r="O13" s="10"/>
      </tp>
      <tp t="e">
        <v>#N/A</v>
        <stp/>
        <stp>BDH|1305854932650811146</stp>
        <tr r="E23" s="25"/>
        <tr r="C20" s="11"/>
      </tp>
      <tp t="e">
        <v>#N/A</v>
        <stp/>
        <stp>BDH|7113338325608986563</stp>
        <tr r="H19" s="5"/>
        <tr r="H46" s="6"/>
      </tp>
      <tp t="e">
        <v>#N/A</v>
        <stp/>
        <stp>BDH|3184497223927167924</stp>
        <tr r="AA18" s="22"/>
      </tp>
      <tp t="e">
        <v>#N/A</v>
        <stp/>
        <stp>BDH|1865642313449429436</stp>
        <tr r="W74" s="24"/>
      </tp>
      <tp t="e">
        <v>#N/A</v>
        <stp/>
        <stp>BDH|9498587039410587485</stp>
        <tr r="V11" s="29"/>
      </tp>
      <tp t="e">
        <v>#N/A</v>
        <stp/>
        <stp>BDH|7524189461029346279</stp>
        <tr r="Q30" s="26"/>
      </tp>
      <tp t="e">
        <v>#N/A</v>
        <stp/>
        <stp>BDH|3578633969568562021</stp>
        <tr r="M39" s="6"/>
      </tp>
      <tp t="e">
        <v>#N/A</v>
        <stp/>
        <stp>BDH|7359453013599416094</stp>
        <tr r="O33" s="21"/>
      </tp>
      <tp t="e">
        <v>#N/A</v>
        <stp/>
        <stp>BDH|1561848121242927218</stp>
        <tr r="N20" s="23"/>
      </tp>
      <tp t="e">
        <v>#N/A</v>
        <stp/>
        <stp>BDH|8344286260584663357</stp>
        <tr r="C8" s="27"/>
      </tp>
      <tp t="e">
        <v>#N/A</v>
        <stp/>
        <stp>BDH|4217667374687122994</stp>
        <tr r="Q79" s="24"/>
      </tp>
      <tp t="e">
        <v>#N/A</v>
        <stp/>
        <stp>BDH|5965250928027881948</stp>
        <tr r="L24" s="6"/>
      </tp>
      <tp t="e">
        <v>#N/A</v>
        <stp/>
        <stp>BDH|8165062725063883225</stp>
        <tr r="Z78" s="24"/>
      </tp>
      <tp t="e">
        <v>#N/A</v>
        <stp/>
        <stp>BDH|5943173582460583713</stp>
        <tr r="M46" s="24"/>
      </tp>
      <tp t="e">
        <v>#N/A</v>
        <stp/>
        <stp>BDH|3041908441412821711</stp>
        <tr r="L59" s="17"/>
      </tp>
      <tp t="e">
        <v>#N/A</v>
        <stp/>
        <stp>BDH|9364187849765398295</stp>
        <tr r="F7" s="8"/>
      </tp>
      <tp t="e">
        <v>#N/A</v>
        <stp/>
        <stp>BDH|3328159582124943554</stp>
        <tr r="T67" s="10"/>
      </tp>
      <tp t="e">
        <v>#N/A</v>
        <stp/>
        <stp>BDH|5784828569283311379</stp>
        <tr r="I57" s="12"/>
      </tp>
      <tp t="e">
        <v>#N/A</v>
        <stp/>
        <stp>BDH|8642725200801521596</stp>
        <tr r="R93" s="18"/>
      </tp>
      <tp t="e">
        <v>#N/A</v>
        <stp/>
        <stp>BDH|3894997128624405755</stp>
        <tr r="L50" s="17"/>
      </tp>
      <tp t="e">
        <v>#N/A</v>
        <stp/>
        <stp>BDH|4938573253127485815</stp>
        <tr r="N15" s="18"/>
      </tp>
      <tp t="e">
        <v>#N/A</v>
        <stp/>
        <stp>BDH|1493517459572220866</stp>
        <tr r="K112" s="18"/>
      </tp>
      <tp t="e">
        <v>#N/A</v>
        <stp/>
        <stp>BDH|8933143562810519426</stp>
        <tr r="E26" s="7"/>
      </tp>
      <tp t="e">
        <v>#N/A</v>
        <stp/>
        <stp>BDH|3795702288153429436</stp>
        <tr r="N48" s="13"/>
      </tp>
      <tp t="e">
        <v>#N/A</v>
        <stp/>
        <stp>BDH|9804066273241252460</stp>
        <tr r="F13" s="11"/>
      </tp>
      <tp t="e">
        <v>#N/A</v>
        <stp/>
        <stp>BDH|2934553860499646331</stp>
        <tr r="F74" s="24"/>
      </tp>
      <tp t="e">
        <v>#N/A</v>
        <stp/>
        <stp>BDH|6207577898488156956</stp>
        <tr r="J84" s="17"/>
      </tp>
      <tp t="e">
        <v>#N/A</v>
        <stp/>
        <stp>BDH|9690168431751173191</stp>
        <tr r="T61" s="18"/>
      </tp>
      <tp t="e">
        <v>#N/A</v>
        <stp/>
        <stp>BDH|7278936276454764693</stp>
        <tr r="N128" s="18"/>
      </tp>
      <tp t="e">
        <v>#N/A</v>
        <stp/>
        <stp>BDH|9944272051694358156</stp>
        <tr r="K7" s="11"/>
      </tp>
      <tp t="e">
        <v>#N/A</v>
        <stp/>
        <stp>BDH|6357330239199641463</stp>
        <tr r="K135" s="18"/>
      </tp>
      <tp t="e">
        <v>#N/A</v>
        <stp/>
        <stp>BDH|8678341729354441663</stp>
        <tr r="C34" s="29"/>
      </tp>
      <tp t="e">
        <v>#N/A</v>
        <stp/>
        <stp>BDH|3817236866498530415</stp>
        <tr r="O23" s="13"/>
      </tp>
      <tp t="e">
        <v>#N/A</v>
        <stp/>
        <stp>BDH|3094492416549294442</stp>
        <tr r="I37" s="18"/>
      </tp>
      <tp t="e">
        <v>#N/A</v>
        <stp/>
        <stp>BDH|9140436427252561693</stp>
        <tr r="Y27" s="12"/>
      </tp>
      <tp t="e">
        <v>#N/A</v>
        <stp/>
        <stp>BDH|5498487860058099452</stp>
        <tr r="R89" s="18"/>
      </tp>
      <tp t="e">
        <v>#N/A</v>
        <stp/>
        <stp>BDH|6013821735472635483</stp>
        <tr r="H15" s="24"/>
      </tp>
      <tp t="e">
        <v>#N/A</v>
        <stp/>
        <stp>BDH|9093302771395940318</stp>
        <tr r="X25" s="10"/>
        <tr r="Z31" s="13"/>
      </tp>
      <tp t="e">
        <v>#N/A</v>
        <stp/>
        <stp>BDH|4130983902865074328</stp>
        <tr r="H18" s="29"/>
        <tr r="H41" s="29"/>
      </tp>
      <tp t="e">
        <v>#N/A</v>
        <stp/>
        <stp>BDH|7185831502362198685</stp>
        <tr r="T82" s="12"/>
      </tp>
      <tp t="e">
        <v>#N/A</v>
        <stp/>
        <stp>BDH|9878794424326467180</stp>
        <tr r="R24" s="18"/>
      </tp>
      <tp t="e">
        <v>#N/A</v>
        <stp/>
        <stp>BDH|6709869874775433785</stp>
        <tr r="I38" s="24"/>
      </tp>
      <tp t="e">
        <v>#N/A</v>
        <stp/>
        <stp>BDH|8820462441057203448</stp>
        <tr r="Z39" s="34"/>
      </tp>
      <tp t="e">
        <v>#N/A</v>
        <stp/>
        <stp>BDH|7643500368328089777</stp>
        <tr r="L53" s="10"/>
        <tr r="L45" s="11"/>
        <tr r="L16" s="7"/>
      </tp>
      <tp t="e">
        <v>#N/A</v>
        <stp/>
        <stp>BDH|1235589456222225871</stp>
        <tr r="C8" s="25"/>
      </tp>
      <tp t="e">
        <v>#N/A</v>
        <stp/>
        <stp>BDH|2477077488601144039</stp>
        <tr r="G25" s="5"/>
      </tp>
      <tp t="e">
        <v>#N/A</v>
        <stp/>
        <stp>BDH|4984802772689755952</stp>
        <tr r="L32" s="12"/>
      </tp>
      <tp t="e">
        <v>#N/A</v>
        <stp/>
        <stp>BDH|3899513082950611548</stp>
        <tr r="G33" s="21"/>
      </tp>
      <tp t="e">
        <v>#N/A</v>
        <stp/>
        <stp>BDH|2280695729068220592</stp>
        <tr r="W9" s="10"/>
      </tp>
      <tp t="e">
        <v>#N/A</v>
        <stp/>
        <stp>BDH|3041992477043022578</stp>
        <tr r="K9" s="17"/>
      </tp>
      <tp t="e">
        <v>#N/A</v>
        <stp/>
        <stp>BDH|5493811190266566993</stp>
        <tr r="D14" s="10"/>
      </tp>
      <tp t="e">
        <v>#N/A</v>
        <stp/>
        <stp>BDH|3737864614591955058</stp>
        <tr r="S49" s="21"/>
      </tp>
      <tp t="e">
        <v>#N/A</v>
        <stp/>
        <stp>BDH|5819681378706213938</stp>
        <tr r="I45" s="24"/>
      </tp>
      <tp t="e">
        <v>#N/A</v>
        <stp/>
        <stp>BDH|4186546144056908810</stp>
        <tr r="K23" s="30"/>
        <tr r="K25" s="23"/>
      </tp>
      <tp t="e">
        <v>#N/A</v>
        <stp/>
        <stp>BDH|8349798435991814695</stp>
        <tr r="C12" s="17"/>
      </tp>
      <tp t="e">
        <v>#N/A</v>
        <stp/>
        <stp>BDH|6222160474559726296</stp>
        <tr r="F19" s="12"/>
      </tp>
      <tp t="e">
        <v>#N/A</v>
        <stp/>
        <stp>BDH|5870851874714446536</stp>
        <tr r="U110" s="18"/>
      </tp>
      <tp t="e">
        <v>#N/A</v>
        <stp/>
        <stp>BDH|5649410107358829267</stp>
        <tr r="M56" s="11"/>
      </tp>
      <tp t="e">
        <v>#N/A</v>
        <stp/>
        <stp>BDH|9809680728487251143</stp>
        <tr r="H39" s="17"/>
      </tp>
      <tp t="e">
        <v>#N/A</v>
        <stp/>
        <stp>BDH|3229172887347496688</stp>
        <tr r="I53" s="6"/>
        <tr r="K10" s="8"/>
      </tp>
      <tp t="e">
        <v>#N/A</v>
        <stp/>
        <stp>BDH|8632393151883926698</stp>
        <tr r="C138" s="18"/>
      </tp>
      <tp t="e">
        <v>#N/A</v>
        <stp/>
        <stp>BDH|5661116767280660980</stp>
        <tr r="D12" s="24"/>
      </tp>
      <tp t="e">
        <v>#N/A</v>
        <stp/>
        <stp>BDH|8427663981528534583</stp>
        <tr r="X135" s="18"/>
      </tp>
      <tp t="e">
        <v>#N/A</v>
        <stp/>
        <stp>BDH|8958398225452897037</stp>
        <tr r="E21" s="3"/>
      </tp>
      <tp t="e">
        <v>#N/A</v>
        <stp/>
        <stp>BDH|9670676574785857634</stp>
        <tr r="N49" s="21"/>
      </tp>
      <tp t="e">
        <v>#N/A</v>
        <stp/>
        <stp>BDH|5473984500024074322</stp>
        <tr r="X8" s="27"/>
      </tp>
      <tp t="e">
        <v>#N/A</v>
        <stp/>
        <stp>BDH|2628829756892522698</stp>
        <tr r="M20" s="25"/>
      </tp>
      <tp t="e">
        <v>#N/A</v>
        <stp/>
        <stp>BDH|1671672744340885837</stp>
        <tr r="Y48" s="24"/>
      </tp>
      <tp t="e">
        <v>#N/A</v>
        <stp/>
        <stp>BDH|8890929796970160336</stp>
        <tr r="U26" s="6"/>
      </tp>
      <tp t="e">
        <v>#N/A</v>
        <stp/>
        <stp>BDH|3791791357942104869</stp>
        <tr r="U56" s="18"/>
      </tp>
      <tp t="e">
        <v>#N/A</v>
        <stp/>
        <stp>BDH|9152422547785383790</stp>
        <tr r="X75" s="17"/>
        <tr r="U9" s="5"/>
        <tr r="U9" s="9"/>
      </tp>
      <tp t="e">
        <v>#N/A</v>
        <stp/>
        <stp>BDH|8105189493022378976</stp>
        <tr r="D48" s="13"/>
      </tp>
      <tp t="e">
        <v>#N/A</v>
        <stp/>
        <stp>BDH|8218180853810314743</stp>
        <tr r="G68" s="17"/>
      </tp>
      <tp t="e">
        <v>#N/A</v>
        <stp/>
        <stp>BDH|2246458788696939382</stp>
        <tr r="L34" s="10"/>
        <tr r="L26" s="11"/>
      </tp>
      <tp t="e">
        <v>#N/A</v>
        <stp/>
        <stp>BDH|6011685729950743983</stp>
        <tr r="H25" s="5"/>
      </tp>
      <tp t="e">
        <v>#N/A</v>
        <stp/>
        <stp>BDH|3866844337663761028</stp>
        <tr r="N29" s="6"/>
      </tp>
      <tp t="e">
        <v>#N/A</v>
        <stp/>
        <stp>BDH|3201213371769880441</stp>
        <tr r="J49" s="21"/>
      </tp>
      <tp t="e">
        <v>#N/A</v>
        <stp/>
        <stp>BDH|9259709910921996551</stp>
        <tr r="Y73" s="18"/>
      </tp>
      <tp t="e">
        <v>#N/A</v>
        <stp/>
        <stp>BDH|5816477730171183802</stp>
        <tr r="C50" s="17"/>
      </tp>
      <tp t="e">
        <v>#N/A</v>
        <stp/>
        <stp>BDH|8916706660897516522</stp>
        <tr r="L36" s="18"/>
      </tp>
      <tp t="e">
        <v>#N/A</v>
        <stp/>
        <stp>BDH|8574650847362010399</stp>
        <tr r="I11" s="22"/>
      </tp>
      <tp t="e">
        <v>#N/A</v>
        <stp/>
        <stp>BDH|5520796644968425520</stp>
        <tr r="Q16" s="12"/>
      </tp>
      <tp t="e">
        <v>#N/A</v>
        <stp/>
        <stp>BDH|7219761875488699492</stp>
        <tr r="AA11" s="30"/>
      </tp>
      <tp t="e">
        <v>#N/A</v>
        <stp/>
        <stp>BDH|6421850570177951569</stp>
        <tr r="D61" s="13"/>
      </tp>
      <tp t="e">
        <v>#N/A</v>
        <stp/>
        <stp>BDH|3294840588299756171</stp>
        <tr r="O43" s="34"/>
      </tp>
      <tp t="e">
        <v>#N/A</v>
        <stp/>
        <stp>BDH|9389370158481025520</stp>
        <tr r="G13" s="18"/>
      </tp>
      <tp t="e">
        <v>#N/A</v>
        <stp/>
        <stp>BDH|5895614095363702250</stp>
        <tr r="G43" s="13"/>
      </tp>
      <tp t="e">
        <v>#N/A</v>
        <stp/>
        <stp>BDH|4851910837840488554</stp>
        <tr r="O28" s="26"/>
      </tp>
      <tp t="e">
        <v>#N/A</v>
        <stp/>
        <stp>BDH|2959071031132429846</stp>
        <tr r="L34" s="18"/>
      </tp>
      <tp t="e">
        <v>#N/A</v>
        <stp/>
        <stp>BDH|1975257190589521866</stp>
        <tr r="H44" s="13"/>
      </tp>
      <tp t="e">
        <v>#N/A</v>
        <stp/>
        <stp>BDH|7194995569162697184</stp>
        <tr r="N53" s="6"/>
        <tr r="P10" s="8"/>
      </tp>
      <tp t="e">
        <v>#N/A</v>
        <stp/>
        <stp>BDH|3918063190633247220</stp>
        <tr r="X43" s="4"/>
      </tp>
      <tp t="e">
        <v>#N/A</v>
        <stp/>
        <stp>BDH|2667537892700007586</stp>
        <tr r="K13" s="7"/>
      </tp>
      <tp t="e">
        <v>#N/A</v>
        <stp/>
        <stp>BDH|9036197789528717382</stp>
        <tr r="W11" s="30"/>
      </tp>
      <tp t="e">
        <v>#N/A</v>
        <stp/>
        <stp>BDH|8131317967614137294</stp>
        <tr r="R26" s="12"/>
      </tp>
      <tp t="e">
        <v>#N/A</v>
        <stp/>
        <stp>BDH|2832629177900077820</stp>
        <tr r="E73" s="18"/>
      </tp>
      <tp t="e">
        <v>#N/A</v>
        <stp/>
        <stp>BDH|3107817642690419494</stp>
        <tr r="H17" s="14"/>
      </tp>
      <tp t="e">
        <v>#N/A</v>
        <stp/>
        <stp>BDH|5603613658414726971</stp>
        <tr r="U12" s="24"/>
      </tp>
      <tp t="e">
        <v>#N/A</v>
        <stp/>
        <stp>BDH|6433790092492965195</stp>
        <tr r="L26" s="22"/>
      </tp>
      <tp t="e">
        <v>#N/A</v>
        <stp/>
        <stp>BDH|9928754308433944621</stp>
        <tr r="C31" s="34"/>
      </tp>
      <tp t="e">
        <v>#N/A</v>
        <stp/>
        <stp>BDH|2065152649194614853</stp>
        <tr r="O9" s="24"/>
      </tp>
      <tp t="e">
        <v>#N/A</v>
        <stp/>
        <stp>BDH|1618807059391152616</stp>
        <tr r="U61" s="11"/>
      </tp>
      <tp t="e">
        <v>#N/A</v>
        <stp/>
        <stp>BDH|4544880227665783023</stp>
        <tr r="Z12" s="22"/>
      </tp>
      <tp t="e">
        <v>#N/A</v>
        <stp/>
        <stp>BDH|8830787528921217754</stp>
        <tr r="J31" s="18"/>
      </tp>
      <tp t="e">
        <v>#N/A</v>
        <stp/>
        <stp>BDH|9680184360772861796</stp>
        <tr r="Q86" s="24"/>
      </tp>
      <tp t="e">
        <v>#N/A</v>
        <stp/>
        <stp>BDH|2948678130024477851</stp>
        <tr r="E88" s="17"/>
      </tp>
      <tp t="e">
        <v>#N/A</v>
        <stp/>
        <stp>BDH|3118993011656266648</stp>
        <tr r="I34" s="29"/>
      </tp>
      <tp t="e">
        <v>#N/A</v>
        <stp/>
        <stp>BDH|9623187000693869098</stp>
        <tr r="H34" s="9"/>
      </tp>
      <tp t="e">
        <v>#N/A</v>
        <stp/>
        <stp>BDH|8028542358570092331</stp>
        <tr r="J17" s="14"/>
      </tp>
      <tp t="e">
        <v>#N/A</v>
        <stp/>
        <stp>BDH|1299576210007923930</stp>
        <tr r="H23" s="13"/>
      </tp>
      <tp t="e">
        <v>#N/A</v>
        <stp/>
        <stp>BDH|6349895134545594340</stp>
        <tr r="R34" s="29"/>
      </tp>
      <tp t="e">
        <v>#N/A</v>
        <stp/>
        <stp>BDH|3795664031304971965</stp>
        <tr r="T45" s="13"/>
      </tp>
      <tp t="e">
        <v>#N/A</v>
        <stp/>
        <stp>BDH|4795589372208476569</stp>
        <tr r="Q19" s="22"/>
      </tp>
      <tp t="e">
        <v>#N/A</v>
        <stp/>
        <stp>BDH|2917059033362144810</stp>
        <tr r="I73" s="10"/>
        <tr r="I65" s="11"/>
      </tp>
      <tp t="e">
        <v>#N/A</v>
        <stp/>
        <stp>BDH|9227469671919156886</stp>
        <tr r="Q54" s="12"/>
      </tp>
      <tp t="e">
        <v>#N/A</v>
        <stp/>
        <stp>BDH|7157796137548415077</stp>
        <tr r="D44" s="17"/>
      </tp>
      <tp t="e">
        <v>#N/A</v>
        <stp/>
        <stp>BDH|8930554773435524461</stp>
        <tr r="X25" s="13"/>
      </tp>
      <tp t="e">
        <v>#N/A</v>
        <stp/>
        <stp>BDH|3901056062708240605</stp>
        <tr r="V82" s="24"/>
      </tp>
      <tp t="e">
        <v>#N/A</v>
        <stp/>
        <stp>BDH|9672610119942089726</stp>
        <tr r="H66" s="17"/>
        <tr r="H18" s="3"/>
      </tp>
      <tp t="e">
        <v>#N/A</v>
        <stp/>
        <stp>BDH|5239366084004473180</stp>
        <tr r="K30" s="24"/>
      </tp>
      <tp t="e">
        <v>#N/A</v>
        <stp/>
        <stp>BDH|9334416464573362393</stp>
        <tr r="E64" s="17"/>
      </tp>
      <tp t="e">
        <v>#N/A</v>
        <stp/>
        <stp>BDH|3226749636278889444</stp>
        <tr r="O24" s="5"/>
      </tp>
      <tp t="e">
        <v>#N/A</v>
        <stp/>
        <stp>BDH|4139783189229402987</stp>
        <tr r="Y43" s="21"/>
      </tp>
      <tp t="e">
        <v>#N/A</v>
        <stp/>
        <stp>BDH|5922992234144075082</stp>
        <tr r="C85" s="12"/>
      </tp>
      <tp t="e">
        <v>#N/A</v>
        <stp/>
        <stp>BDH|5411934997069962757</stp>
        <tr r="I81" s="12"/>
      </tp>
      <tp t="e">
        <v>#N/A</v>
        <stp/>
        <stp>BDH|3688315359217687943</stp>
        <tr r="U45" s="12"/>
      </tp>
      <tp t="e">
        <v>#N/A</v>
        <stp/>
        <stp>BDH|1849806031171273073</stp>
        <tr r="L139" s="18"/>
      </tp>
      <tp t="e">
        <v>#N/A</v>
        <stp/>
        <stp>BDH|8348716774116248581</stp>
        <tr r="I12" s="21"/>
      </tp>
      <tp t="e">
        <v>#N/A</v>
        <stp/>
        <stp>BDH|6509467842529403494</stp>
        <tr r="H84" s="12"/>
      </tp>
      <tp t="e">
        <v>#N/A</v>
        <stp/>
        <stp>BDH|2560386610843471859</stp>
        <tr r="E12" s="14"/>
      </tp>
      <tp t="e">
        <v>#N/A</v>
        <stp/>
        <stp>BDH|1577596034599007542</stp>
        <tr r="V43" s="17"/>
      </tp>
      <tp t="e">
        <v>#N/A</v>
        <stp/>
        <stp>BDH|2975768780996778048</stp>
        <tr r="Q9" s="14"/>
      </tp>
      <tp t="e">
        <v>#N/A</v>
        <stp/>
        <stp>BDH|7183883967122460065</stp>
        <tr r="N31" s="24"/>
      </tp>
      <tp t="e">
        <v>#N/A</v>
        <stp/>
        <stp>BDH|3957297997531860239</stp>
        <tr r="I64" s="17"/>
      </tp>
      <tp t="e">
        <v>#N/A</v>
        <stp/>
        <stp>BDH|8229357539040797354</stp>
        <tr r="V39" s="25"/>
        <tr r="V7" s="3"/>
        <tr r="T18" s="11"/>
        <tr r="V22" s="13"/>
        <tr r="V7" s="13"/>
      </tp>
      <tp t="e">
        <v>#N/A</v>
        <stp/>
        <stp>BDH|5324501087453899006</stp>
        <tr r="J66" s="24"/>
      </tp>
      <tp t="e">
        <v>#N/A</v>
        <stp/>
        <stp>BDH|2217552408234519868</stp>
        <tr r="R21" s="11"/>
      </tp>
      <tp t="e">
        <v>#N/A</v>
        <stp/>
        <stp>BDH|3708661837838359597</stp>
        <tr r="L105" s="18"/>
      </tp>
      <tp t="e">
        <v>#N/A</v>
        <stp/>
        <stp>BDH|3566779489707713003</stp>
        <tr r="I20" s="24"/>
      </tp>
      <tp t="e">
        <v>#N/A</v>
        <stp/>
        <stp>BDH|4986329585310260409</stp>
        <tr r="O60" s="13"/>
      </tp>
      <tp t="e">
        <v>#N/A</v>
        <stp/>
        <stp>BDH|1065860355150920768</stp>
        <tr r="P48" s="18"/>
      </tp>
      <tp t="e">
        <v>#N/A</v>
        <stp/>
        <stp>BDH|9708466442684967669</stp>
        <tr r="Q36" s="34"/>
      </tp>
      <tp t="e">
        <v>#N/A</v>
        <stp/>
        <stp>BDH|8951237011199646918</stp>
        <tr r="H61" s="17"/>
      </tp>
      <tp t="e">
        <v>#N/A</v>
        <stp/>
        <stp>BDH|8807030793032766838</stp>
        <tr r="T19" s="24"/>
      </tp>
      <tp t="e">
        <v>#N/A</v>
        <stp/>
        <stp>BDH|5205351305929945472</stp>
        <tr r="C57" s="13"/>
      </tp>
      <tp t="e">
        <v>#N/A</v>
        <stp/>
        <stp>BDH|5937052067559122176</stp>
        <tr r="S32" s="21"/>
      </tp>
      <tp t="e">
        <v>#N/A</v>
        <stp/>
        <stp>BDH|4713736616138827174</stp>
        <tr r="H48" s="22"/>
      </tp>
      <tp t="e">
        <v>#N/A</v>
        <stp/>
        <stp>BDH|3938721150663151971</stp>
        <tr r="M29" s="6"/>
      </tp>
      <tp t="e">
        <v>#N/A</v>
        <stp/>
        <stp>BDH|8153501329296617237</stp>
        <tr r="P27" s="7"/>
      </tp>
      <tp t="e">
        <v>#N/A</v>
        <stp/>
        <stp>BDH|8662337117332705381</stp>
        <tr r="V28" s="14"/>
      </tp>
      <tp t="e">
        <v>#N/A</v>
        <stp/>
        <stp>BDH|2360297430040237851</stp>
        <tr r="U17" s="14"/>
      </tp>
      <tp t="e">
        <v>#N/A</v>
        <stp/>
        <stp>BDH|3755475233537773891</stp>
        <tr r="X64" s="10"/>
      </tp>
      <tp t="e">
        <v>#N/A</v>
        <stp/>
        <stp>BDH|7781858968690551220</stp>
        <tr r="P36" s="12"/>
      </tp>
      <tp t="e">
        <v>#N/A</v>
        <stp/>
        <stp>BDH|9497353011996930643</stp>
        <tr r="D35" s="22"/>
      </tp>
      <tp t="e">
        <v>#N/A</v>
        <stp/>
        <stp>BDH|3916238091282398150</stp>
        <tr r="E25" s="18"/>
      </tp>
      <tp t="e">
        <v>#N/A</v>
        <stp/>
        <stp>BDH|8910232482018411117</stp>
        <tr r="AA52" s="21"/>
      </tp>
      <tp t="e">
        <v>#N/A</v>
        <stp/>
        <stp>BDH|6759542693128802953</stp>
        <tr r="L38" s="6"/>
      </tp>
      <tp t="e">
        <v>#N/A</v>
        <stp/>
        <stp>BDH|4304564259298358727</stp>
        <tr r="P25" s="18"/>
      </tp>
      <tp t="e">
        <v>#N/A</v>
        <stp/>
        <stp>BDH|3659664691426574196</stp>
        <tr r="H108" s="18"/>
      </tp>
      <tp t="e">
        <v>#N/A</v>
        <stp/>
        <stp>BDH|9079420638277641215</stp>
        <tr r="Z25" s="3"/>
      </tp>
      <tp t="e">
        <v>#N/A</v>
        <stp/>
        <stp>BDH|5836384221637433885</stp>
        <tr r="D13" s="18"/>
      </tp>
      <tp t="e">
        <v>#N/A</v>
        <stp/>
        <stp>BDH|6935881549511427012</stp>
        <tr r="N22" s="14"/>
      </tp>
      <tp t="e">
        <v>#N/A</v>
        <stp/>
        <stp>BDH|1731111967569852445</stp>
        <tr r="F23" s="25"/>
        <tr r="D20" s="11"/>
      </tp>
      <tp t="e">
        <v>#N/A</v>
        <stp/>
        <stp>BDH|9563231114371679094</stp>
        <tr r="E32" s="21"/>
      </tp>
      <tp t="e">
        <v>#N/A</v>
        <stp/>
        <stp>BDH|9300062458194024307</stp>
        <tr r="H76" s="18"/>
      </tp>
      <tp t="e">
        <v>#N/A</v>
        <stp/>
        <stp>BDH|8935213804605199406</stp>
        <tr r="N35" s="26"/>
      </tp>
      <tp t="e">
        <v>#N/A</v>
        <stp/>
        <stp>BDH|7681963946033962224</stp>
        <tr r="S82" s="12"/>
      </tp>
      <tp t="e">
        <v>#N/A</v>
        <stp/>
        <stp>BDH|7401188622388352706</stp>
        <tr r="K30" s="22"/>
      </tp>
      <tp t="e">
        <v>#N/A</v>
        <stp/>
        <stp>BDH|6550803678102882084</stp>
        <tr r="U39" s="6"/>
      </tp>
      <tp t="e">
        <v>#N/A</v>
        <stp/>
        <stp>BDH|6436180577653197877</stp>
        <tr r="Q114" s="18"/>
      </tp>
      <tp t="e">
        <v>#N/A</v>
        <stp/>
        <stp>BDH|9297167177685933170</stp>
        <tr r="W8" s="12"/>
      </tp>
      <tp t="e">
        <v>#N/A</v>
        <stp/>
        <stp>BDH|6741906277983868057</stp>
        <tr r="Q20" s="14"/>
      </tp>
      <tp t="e">
        <v>#N/A</v>
        <stp/>
        <stp>BDH|4966336082987021351</stp>
        <tr r="S69" s="17"/>
      </tp>
      <tp t="e">
        <v>#N/A</v>
        <stp/>
        <stp>BDH|1159685652500196976</stp>
        <tr r="W17" s="9"/>
      </tp>
      <tp t="e">
        <v>#N/A</v>
        <stp/>
        <stp>BDH|2714789313716943986</stp>
        <tr r="C7" s="14"/>
      </tp>
      <tp t="e">
        <v>#N/A</v>
        <stp/>
        <stp>BDH|3839074915889248056</stp>
        <tr r="P89" s="24"/>
      </tp>
      <tp t="e">
        <v>#N/A</v>
        <stp/>
        <stp>BDH|6192935429144584239</stp>
        <tr r="R83" s="24"/>
      </tp>
      <tp t="e">
        <v>#N/A</v>
        <stp/>
        <stp>BDH|7797470608448351066</stp>
        <tr r="R51" s="18"/>
      </tp>
      <tp t="e">
        <v>#N/A</v>
        <stp/>
        <stp>BDH|2161810713514642477</stp>
        <tr r="L76" s="18"/>
      </tp>
      <tp t="e">
        <v>#N/A</v>
        <stp/>
        <stp>BDH|5705213802459654502</stp>
        <tr r="S18" s="23"/>
      </tp>
      <tp t="e">
        <v>#N/A</v>
        <stp/>
        <stp>BDH|2475364953018400773</stp>
        <tr r="K56" s="13"/>
      </tp>
      <tp t="e">
        <v>#N/A</v>
        <stp/>
        <stp>BDH|2518141626763247973</stp>
        <tr r="U25" s="13"/>
      </tp>
      <tp t="e">
        <v>#N/A</v>
        <stp/>
        <stp>BDH|6510345895207376052</stp>
        <tr r="M74" s="12"/>
      </tp>
      <tp t="e">
        <v>#N/A</v>
        <stp/>
        <stp>BDH|5085702862316597953</stp>
        <tr r="P29" s="12"/>
      </tp>
      <tp t="e">
        <v>#N/A</v>
        <stp/>
        <stp>BDH|9232064030052652300</stp>
        <tr r="N67" s="24"/>
      </tp>
      <tp t="e">
        <v>#N/A</v>
        <stp/>
        <stp>BDH|5963878278772737338</stp>
        <tr r="J69" s="10"/>
      </tp>
      <tp t="e">
        <v>#N/A</v>
        <stp/>
        <stp>BDH|3871326438301529952</stp>
        <tr r="P69" s="12"/>
      </tp>
      <tp t="e">
        <v>#N/A</v>
        <stp/>
        <stp>BDH|5136545051199333756</stp>
        <tr r="G15" s="4"/>
      </tp>
      <tp t="e">
        <v>#N/A</v>
        <stp/>
        <stp>BDH|6958379953879750284</stp>
        <tr r="T18" s="9"/>
      </tp>
      <tp t="e">
        <v>#N/A</v>
        <stp/>
        <stp>BDH|7393783613683805929</stp>
        <tr r="I71" s="10"/>
        <tr r="I63" s="11"/>
      </tp>
      <tp t="e">
        <v>#N/A</v>
        <stp/>
        <stp>BDH|4964963173055776496</stp>
        <tr r="P27" s="17"/>
      </tp>
      <tp t="e">
        <v>#N/A</v>
        <stp/>
        <stp>BDH|1545137115333926986</stp>
        <tr r="Z48" s="22"/>
      </tp>
      <tp t="e">
        <v>#N/A</v>
        <stp/>
        <stp>BDH|9566494712061803645</stp>
        <tr r="X46" s="18"/>
      </tp>
      <tp t="e">
        <v>#N/A</v>
        <stp/>
        <stp>BDH|8025044350151261746</stp>
        <tr r="S32" s="24"/>
      </tp>
      <tp t="e">
        <v>#N/A</v>
        <stp/>
        <stp>BDH|8738179470451010428</stp>
        <tr r="C72" s="10"/>
        <tr r="C64" s="11"/>
      </tp>
      <tp t="e">
        <v>#N/A</v>
        <stp/>
        <stp>BDH|8170944696321404256</stp>
        <tr r="O133" s="18"/>
      </tp>
      <tp t="e">
        <v>#N/A</v>
        <stp/>
        <stp>BDH|2366933357431554402</stp>
        <tr r="P25" s="21"/>
      </tp>
      <tp t="e">
        <v>#N/A</v>
        <stp/>
        <stp>BDH|4860547577829188487</stp>
        <tr r="T31" s="26"/>
        <tr r="Q14" s="9"/>
      </tp>
      <tp t="e">
        <v>#N/A</v>
        <stp/>
        <stp>BDH|7596923346505436475</stp>
        <tr r="O8" s="2"/>
      </tp>
      <tp t="e">
        <v>#N/A</v>
        <stp/>
        <stp>BDH|6008909534444167372</stp>
        <tr r="N72" s="17"/>
      </tp>
      <tp t="e">
        <v>#N/A</v>
        <stp/>
        <stp>BDH|9101562387628689745</stp>
        <tr r="P74" s="24"/>
      </tp>
      <tp t="e">
        <v>#N/A</v>
        <stp/>
        <stp>BDH|5641309334049522757</stp>
        <tr r="S11" s="29"/>
      </tp>
      <tp t="e">
        <v>#N/A</v>
        <stp/>
        <stp>BDH|7757619042679024763</stp>
        <tr r="F44" s="21"/>
      </tp>
      <tp t="e">
        <v>#N/A</v>
        <stp/>
        <stp>BDH|4135287338278491674</stp>
        <tr r="O9" s="27"/>
      </tp>
      <tp t="e">
        <v>#N/A</v>
        <stp/>
        <stp>BDH|6884278096324297291</stp>
        <tr r="AA38" s="26"/>
      </tp>
      <tp t="e">
        <v>#N/A</v>
        <stp/>
        <stp>BDH|9290682298015849884</stp>
        <tr r="AA65" s="24"/>
      </tp>
      <tp t="e">
        <v>#N/A</v>
        <stp/>
        <stp>BDH|6823344108586195870</stp>
        <tr r="E87" s="18"/>
      </tp>
      <tp t="e">
        <v>#N/A</v>
        <stp/>
        <stp>BDH|8062669620055248261</stp>
        <tr r="X36" s="21"/>
      </tp>
      <tp t="e">
        <v>#N/A</v>
        <stp/>
        <stp>BDH|6461422591855211570</stp>
        <tr r="I58" s="18"/>
      </tp>
      <tp t="e">
        <v>#N/A</v>
        <stp/>
        <stp>BDH|5188051191101721607</stp>
        <tr r="P66" s="18"/>
      </tp>
      <tp t="e">
        <v>#N/A</v>
        <stp/>
        <stp>BDH|4791035480861419628</stp>
        <tr r="M56" s="18"/>
      </tp>
      <tp t="e">
        <v>#N/A</v>
        <stp/>
        <stp>BDH|5123858768268737897</stp>
        <tr r="U78" s="12"/>
      </tp>
      <tp t="e">
        <v>#N/A</v>
        <stp/>
        <stp>BDH|2160561767883689948</stp>
        <tr r="Y16" s="29"/>
        <tr r="Y39" s="29"/>
      </tp>
      <tp t="e">
        <v>#N/A</v>
        <stp/>
        <stp>BDH|2298920853134275131</stp>
        <tr r="I34" s="24"/>
      </tp>
      <tp t="e">
        <v>#N/A</v>
        <stp/>
        <stp>BDH|2106605323545066808</stp>
        <tr r="O36" s="18"/>
      </tp>
      <tp t="e">
        <v>#N/A</v>
        <stp/>
        <stp>BDH|7186441487662495248</stp>
        <tr r="X32" s="5"/>
      </tp>
      <tp t="e">
        <v>#N/A</v>
        <stp/>
        <stp>BDH|6347821163310643373</stp>
        <tr r="X46" s="22"/>
      </tp>
      <tp t="e">
        <v>#N/A</v>
        <stp/>
        <stp>BDH|9737616412630050577</stp>
        <tr r="H34" s="14"/>
      </tp>
      <tp t="e">
        <v>#N/A</v>
        <stp/>
        <stp>BDH|8656119514621890282</stp>
        <tr r="F13" s="29"/>
        <tr r="F22" s="29"/>
        <tr r="F36" s="29"/>
      </tp>
      <tp t="e">
        <v>#N/A</v>
        <stp/>
        <stp>BDH|7162967256641776151</stp>
        <tr r="D25" s="10"/>
        <tr r="F31" s="13"/>
      </tp>
      <tp t="e">
        <v>#N/A</v>
        <stp/>
        <stp>BDH|4296629970136393809</stp>
        <tr r="S26" s="7"/>
      </tp>
      <tp t="e">
        <v>#N/A</v>
        <stp/>
        <stp>BDH|5183204581265567168</stp>
        <tr r="O8" s="24"/>
      </tp>
      <tp t="e">
        <v>#N/A</v>
        <stp/>
        <stp>BDH|9916748252979590999</stp>
        <tr r="C42" s="13"/>
      </tp>
      <tp t="e">
        <v>#N/A</v>
        <stp/>
        <stp>BDH|4684834995629582762</stp>
        <tr r="H30" s="34"/>
      </tp>
      <tp t="e">
        <v>#N/A</v>
        <stp/>
        <stp>BDH|6658563771176125935</stp>
        <tr r="Y20" s="10"/>
      </tp>
      <tp t="e">
        <v>#N/A</v>
        <stp/>
        <stp>BDH|2744026234853789952</stp>
        <tr r="Q30" s="17"/>
      </tp>
      <tp t="e">
        <v>#N/A</v>
        <stp/>
        <stp>BDH|7059999910530382492</stp>
        <tr r="I63" s="12"/>
      </tp>
      <tp t="e">
        <v>#N/A</v>
        <stp/>
        <stp>BDH|1335231487066728633</stp>
        <tr r="E12" s="7"/>
      </tp>
      <tp t="e">
        <v>#N/A</v>
        <stp/>
        <stp>BDH|8802047999558526233</stp>
        <tr r="O70" s="17"/>
      </tp>
      <tp t="e">
        <v>#N/A</v>
        <stp/>
        <stp>BDH|3250001885363705334</stp>
        <tr r="G13" s="13"/>
      </tp>
      <tp t="e">
        <v>#N/A</v>
        <stp/>
        <stp>BDH|6923192382542108607</stp>
        <tr r="E130" s="18"/>
      </tp>
      <tp t="e">
        <v>#N/A</v>
        <stp/>
        <stp>BDH|4560935903632103477</stp>
        <tr r="F43" s="18"/>
      </tp>
      <tp t="e">
        <v>#N/A</v>
        <stp/>
        <stp>BDH|4680434352679077748</stp>
        <tr r="S46" s="24"/>
      </tp>
      <tp t="e">
        <v>#N/A</v>
        <stp/>
        <stp>BDH|7889293725725691910</stp>
        <tr r="H74" s="12"/>
      </tp>
      <tp t="e">
        <v>#N/A</v>
        <stp/>
        <stp>BDH|9246224372391839694</stp>
        <tr r="Q24" s="9"/>
      </tp>
      <tp t="e">
        <v>#N/A</v>
        <stp/>
        <stp>BDH|5210884623631955532</stp>
        <tr r="V40" s="34"/>
      </tp>
      <tp t="e">
        <v>#N/A</v>
        <stp/>
        <stp>BDH|2502172952274451971</stp>
        <tr r="G60" s="13"/>
      </tp>
      <tp t="e">
        <v>#N/A</v>
        <stp/>
        <stp>BDH|1434715889507618295</stp>
        <tr r="Y23" s="30"/>
        <tr r="Y25" s="23"/>
      </tp>
      <tp t="e">
        <v>#N/A</v>
        <stp/>
        <stp>BDH|8900727526637802166</stp>
        <tr r="D20" s="9"/>
      </tp>
      <tp t="e">
        <v>#N/A</v>
        <stp/>
        <stp>BDH|5518789642084473988</stp>
        <tr r="P27" s="24"/>
      </tp>
      <tp t="e">
        <v>#N/A</v>
        <stp/>
        <stp>BDH|3300005654784570912</stp>
        <tr r="D33" s="9"/>
      </tp>
      <tp t="e">
        <v>#N/A</v>
        <stp/>
        <stp>BDH|1793878363255027107</stp>
        <tr r="V50" s="12"/>
      </tp>
      <tp t="e">
        <v>#N/A</v>
        <stp/>
        <stp>BDH|1052095802703870906</stp>
        <tr r="V53" s="17"/>
      </tp>
      <tp t="e">
        <v>#N/A</v>
        <stp/>
        <stp>BDH|8233364795131372818</stp>
        <tr r="J7" s="28"/>
      </tp>
      <tp t="e">
        <v>#N/A</v>
        <stp/>
        <stp>BDH|2600460731927552975</stp>
        <tr r="H58" s="6"/>
      </tp>
      <tp t="e">
        <v>#N/A</v>
        <stp/>
        <stp>BDH|4778812171883061342</stp>
        <tr r="F17" s="17"/>
        <tr r="F20" s="28"/>
      </tp>
      <tp t="e">
        <v>#N/A</v>
        <stp/>
        <stp>BDH|7090447592001159042</stp>
        <tr r="X91" s="24"/>
      </tp>
      <tp t="e">
        <v>#N/A</v>
        <stp/>
        <stp>BDH|9087733017724778002</stp>
        <tr r="N131" s="18"/>
      </tp>
      <tp t="e">
        <v>#N/A</v>
        <stp/>
        <stp>BDH|6436068234576515804</stp>
        <tr r="O6" s="6"/>
      </tp>
      <tp t="e">
        <v>#N/A</v>
        <stp/>
        <stp>BDH|5485416727410012810</stp>
        <tr r="E6" s="15"/>
        <tr r="E12" s="2"/>
        <tr r="E11" s="4"/>
        <tr r="E6" s="10"/>
      </tp>
      <tp t="e">
        <v>#N/A</v>
        <stp/>
        <stp>BDH|1081446860440391848</stp>
        <tr r="L66" s="18"/>
      </tp>
      <tp t="e">
        <v>#N/A</v>
        <stp/>
        <stp>BDH|4914977367921257180</stp>
        <tr r="Z18" s="22"/>
      </tp>
      <tp t="e">
        <v>#N/A</v>
        <stp/>
        <stp>BDH|8684760052748472952</stp>
        <tr r="F60" s="11"/>
        <tr r="H19" s="23"/>
      </tp>
      <tp t="e">
        <v>#N/A</v>
        <stp/>
        <stp>BDH|9583097044316218097</stp>
        <tr r="H91" s="17"/>
        <tr r="H7" s="27"/>
      </tp>
      <tp t="e">
        <v>#N/A</v>
        <stp/>
        <stp>BDH|4568078744222546902</stp>
        <tr r="C70" s="10"/>
        <tr r="C62" s="11"/>
        <tr r="C20" s="7"/>
      </tp>
      <tp t="e">
        <v>#N/A</v>
        <stp/>
        <stp>BDH|4031610694983543333</stp>
        <tr r="K47" s="21"/>
      </tp>
      <tp t="e">
        <v>#N/A</v>
        <stp/>
        <stp>BDH|1587318327419608269</stp>
        <tr r="M10" s="17"/>
      </tp>
      <tp t="e">
        <v>#N/A</v>
        <stp/>
        <stp>BDH|5684472795752698119</stp>
        <tr r="H65" s="21"/>
      </tp>
      <tp t="e">
        <v>#N/A</v>
        <stp/>
        <stp>BDH|8798750582509464577</stp>
        <tr r="Y42" s="21"/>
      </tp>
      <tp t="e">
        <v>#N/A</v>
        <stp/>
        <stp>BDH|4484770718708119193</stp>
        <tr r="W15" s="9"/>
      </tp>
      <tp t="e">
        <v>#N/A</v>
        <stp/>
        <stp>BDH|8599421926702732750</stp>
        <tr r="W58" s="12"/>
      </tp>
      <tp t="e">
        <v>#N/A</v>
        <stp/>
        <stp>BDH|6911463839162263879</stp>
        <tr r="X33" s="9"/>
      </tp>
      <tp t="e">
        <v>#N/A</v>
        <stp/>
        <stp>BDH|4608342399120870508</stp>
        <tr r="M9" s="3"/>
        <tr r="K51" s="10"/>
        <tr r="K43" s="11"/>
        <tr r="K14" s="7"/>
      </tp>
      <tp t="e">
        <v>#N/A</v>
        <stp/>
        <stp>BDH|5763939540072423132</stp>
        <tr r="P102" s="18"/>
      </tp>
      <tp t="e">
        <v>#N/A</v>
        <stp/>
        <stp>BDH|4133218414025466933</stp>
        <tr r="V70" s="10"/>
        <tr r="V62" s="11"/>
        <tr r="V20" s="7"/>
      </tp>
      <tp t="e">
        <v>#N/A</v>
        <stp/>
        <stp>BDH|1235935661335761072</stp>
        <tr r="N28" s="18"/>
      </tp>
      <tp t="e">
        <v>#N/A</v>
        <stp/>
        <stp>BDH|7496216744923616977</stp>
        <tr r="K40" s="21"/>
      </tp>
      <tp t="e">
        <v>#N/A</v>
        <stp/>
        <stp>BDH|4252858407120555759</stp>
        <tr r="X122" s="18"/>
      </tp>
      <tp t="e">
        <v>#N/A</v>
        <stp/>
        <stp>BDH|4347408229500284981</stp>
        <tr r="F46" s="17"/>
      </tp>
      <tp t="e">
        <v>#N/A</v>
        <stp/>
        <stp>BDH|7526503690053437312</stp>
        <tr r="O91" s="18"/>
      </tp>
      <tp t="e">
        <v>#N/A</v>
        <stp/>
        <stp>BDH|8638021879387856354</stp>
        <tr r="E52" s="4"/>
        <tr r="G8" s="3"/>
        <tr r="E44" s="10"/>
        <tr r="E36" s="11"/>
        <tr r="G40" s="13"/>
      </tp>
      <tp t="e">
        <v>#N/A</v>
        <stp/>
        <stp>BDH|6055146164403976993</stp>
        <tr r="M68" s="10"/>
      </tp>
      <tp t="e">
        <v>#N/A</v>
        <stp/>
        <stp>BDH|8854684680184343937</stp>
        <tr r="E24" s="5"/>
      </tp>
      <tp t="e">
        <v>#N/A</v>
        <stp/>
        <stp>BDH|7197113725307286873</stp>
        <tr r="F18" s="26"/>
      </tp>
      <tp t="e">
        <v>#N/A</v>
        <stp/>
        <stp>BDH|1126374591171208155</stp>
        <tr r="U19" s="25"/>
      </tp>
      <tp t="e">
        <v>#N/A</v>
        <stp/>
        <stp>BDH|1462992939910095046</stp>
        <tr r="V52" s="12"/>
      </tp>
      <tp t="e">
        <v>#N/A</v>
        <stp/>
        <stp>BDH|8976160425217827722</stp>
        <tr r="J19" s="18"/>
      </tp>
      <tp t="e">
        <v>#N/A</v>
        <stp/>
        <stp>BDH|3108484767109970377</stp>
        <tr r="R40" s="21"/>
      </tp>
      <tp t="e">
        <v>#N/A</v>
        <stp/>
        <stp>BDH|4791375666903732911</stp>
        <tr r="R61" s="18"/>
      </tp>
      <tp t="e">
        <v>#N/A</v>
        <stp/>
        <stp>BDH|1672707742361441800</stp>
        <tr r="D13" s="17"/>
        <tr r="D16" s="28"/>
      </tp>
      <tp t="e">
        <v>#N/A</v>
        <stp/>
        <stp>BDH|1866785108694063984</stp>
        <tr r="R23" s="12"/>
      </tp>
      <tp t="e">
        <v>#N/A</v>
        <stp/>
        <stp>BDH|9768539085197567841</stp>
        <tr r="Q65" s="21"/>
      </tp>
      <tp t="e">
        <v>#N/A</v>
        <stp/>
        <stp>BDH|8506163901995746757</stp>
        <tr r="O49" s="13"/>
      </tp>
      <tp t="e">
        <v>#N/A</v>
        <stp/>
        <stp>BDH|1392430612389040627</stp>
        <tr r="T12" s="11"/>
      </tp>
      <tp t="e">
        <v>#N/A</v>
        <stp/>
        <stp>BDH|9221793918400545469</stp>
        <tr r="U34" s="6"/>
      </tp>
      <tp t="e">
        <v>#N/A</v>
        <stp/>
        <stp>BDH|2995807459084518054</stp>
        <tr r="S38" s="4"/>
        <tr r="S58" s="11"/>
        <tr r="U13" s="23"/>
      </tp>
      <tp t="e">
        <v>#N/A</v>
        <stp/>
        <stp>BDH|1750929276825677159</stp>
        <tr r="O99" s="18"/>
        <tr r="O8" s="20"/>
      </tp>
      <tp t="e">
        <v>#N/A</v>
        <stp/>
        <stp>BDH|1437635675378284307</stp>
        <tr r="I47" s="10"/>
        <tr r="I39" s="11"/>
      </tp>
      <tp t="e">
        <v>#N/A</v>
        <stp/>
        <stp>BDH|2307376077174392904</stp>
        <tr r="L6" s="28"/>
      </tp>
      <tp t="e">
        <v>#N/A</v>
        <stp/>
        <stp>BDH|3585003022552105863</stp>
        <tr r="H20" s="14"/>
      </tp>
      <tp t="e">
        <v>#N/A</v>
        <stp/>
        <stp>BDH|8313558439435891079</stp>
        <tr r="X90" s="17"/>
      </tp>
      <tp t="e">
        <v>#N/A</v>
        <stp/>
        <stp>BDH|7533738827020668970</stp>
        <tr r="V22" s="10"/>
      </tp>
      <tp t="e">
        <v>#N/A</v>
        <stp/>
        <stp>BDH|6949115932668895723</stp>
        <tr r="Y25" s="4"/>
        <tr r="Y65" s="10"/>
      </tp>
      <tp t="e">
        <v>#N/A</v>
        <stp/>
        <stp>BDH|9249146605716681550</stp>
        <tr r="N72" s="18"/>
      </tp>
      <tp t="e">
        <v>#N/A</v>
        <stp/>
        <stp>BDH|8607002367792696771</stp>
        <tr r="Y14" s="8"/>
      </tp>
      <tp t="e">
        <v>#N/A</v>
        <stp/>
        <stp>BDH|3123343470035042959</stp>
        <tr r="W38" s="10"/>
        <tr r="W30" s="11"/>
        <tr r="Y42" s="13"/>
      </tp>
      <tp t="e">
        <v>#N/A</v>
        <stp/>
        <stp>BDH|9787259060911768752</stp>
        <tr r="M137" s="18"/>
      </tp>
      <tp t="e">
        <v>#N/A</v>
        <stp/>
        <stp>BDH|3672060184342308278</stp>
        <tr r="P34" s="17"/>
      </tp>
      <tp t="e">
        <v>#N/A</v>
        <stp/>
        <stp>BDH|8785431136103620745</stp>
        <tr r="X81" s="17"/>
        <tr r="X20" s="3"/>
        <tr r="V6" s="7"/>
      </tp>
      <tp t="e">
        <v>#N/A</v>
        <stp/>
        <stp>BDH|9669750190978485478</stp>
        <tr r="E88" s="18"/>
      </tp>
      <tp t="e">
        <v>#N/A</v>
        <stp/>
        <stp>BDH|7191945878407435595</stp>
        <tr r="C28" s="14"/>
      </tp>
      <tp t="e">
        <v>#N/A</v>
        <stp/>
        <stp>BDH|2021633253228751267</stp>
        <tr r="Q50" s="13"/>
      </tp>
      <tp t="e">
        <v>#N/A</v>
        <stp/>
        <stp>BDH|7791809836887613068</stp>
        <tr r="T76" s="17"/>
        <tr r="T19" s="3"/>
      </tp>
      <tp t="e">
        <v>#N/A</v>
        <stp/>
        <stp>BDH|4621729461668391674</stp>
        <tr r="V92" s="18"/>
      </tp>
      <tp t="e">
        <v>#N/A</v>
        <stp/>
        <stp>BDH|9099650345325181502</stp>
        <tr r="L28" s="25"/>
        <tr r="L14" s="27"/>
      </tp>
      <tp t="e">
        <v>#N/A</v>
        <stp/>
        <stp>BDH|9273438875867057652</stp>
        <tr r="AA47" s="34"/>
      </tp>
      <tp t="e">
        <v>#N/A</v>
        <stp/>
        <stp>BDH|3265639346919442321</stp>
        <tr r="K23" s="13"/>
      </tp>
      <tp t="e">
        <v>#N/A</v>
        <stp/>
        <stp>BDH|7647046419014944935</stp>
        <tr r="T22" s="11"/>
      </tp>
      <tp t="e">
        <v>#N/A</v>
        <stp/>
        <stp>BDH|2952986345426044250</stp>
        <tr r="K71" s="10"/>
        <tr r="K63" s="11"/>
      </tp>
      <tp t="e">
        <v>#N/A</v>
        <stp/>
        <stp>BDH|1445801972381144461</stp>
        <tr r="K83" s="12"/>
      </tp>
      <tp t="e">
        <v>#N/A</v>
        <stp/>
        <stp>BDH|9001038231951064034</stp>
        <tr r="AA16" s="22"/>
      </tp>
      <tp t="e">
        <v>#N/A</v>
        <stp/>
        <stp>BDH|1392808864733163773</stp>
        <tr r="L47" s="10"/>
        <tr r="L39" s="11"/>
      </tp>
      <tp t="e">
        <v>#N/A</v>
        <stp/>
        <stp>BDH|2369456890572435634</stp>
        <tr r="M14" s="21"/>
      </tp>
      <tp t="e">
        <v>#N/A</v>
        <stp/>
        <stp>BDH|1830588280340028718</stp>
        <tr r="N16" s="26"/>
      </tp>
      <tp t="e">
        <v>#N/A</v>
        <stp/>
        <stp>BDH|6307853882399475412</stp>
        <tr r="T122" s="18"/>
      </tp>
      <tp t="e">
        <v>#N/A</v>
        <stp/>
        <stp>BDH|9311711256313051353</stp>
        <tr r="W12" s="17"/>
      </tp>
      <tp t="e">
        <v>#N/A</v>
        <stp/>
        <stp>BDH|9402244167986084060</stp>
        <tr r="Y96" s="18"/>
      </tp>
      <tp t="e">
        <v>#N/A</v>
        <stp/>
        <stp>BDH|8213539360037795775</stp>
        <tr r="T10" s="10"/>
      </tp>
      <tp t="e">
        <v>#N/A</v>
        <stp/>
        <stp>BDH|1586900866944236106</stp>
        <tr r="F33" s="22"/>
      </tp>
      <tp t="e">
        <v>#N/A</v>
        <stp/>
        <stp>BDH|4428028181901133674</stp>
        <tr r="Y69" s="18"/>
      </tp>
      <tp t="e">
        <v>#N/A</v>
        <stp/>
        <stp>BDH|7510577900199596069</stp>
        <tr r="AA43" s="21"/>
      </tp>
      <tp t="e">
        <v>#N/A</v>
        <stp/>
        <stp>BDH|9267640257131865086</stp>
        <tr r="K52" s="4"/>
        <tr r="M8" s="3"/>
        <tr r="K44" s="10"/>
        <tr r="K36" s="11"/>
        <tr r="M40" s="13"/>
      </tp>
      <tp t="e">
        <v>#N/A</v>
        <stp/>
        <stp>BDH|3618129307381494864</stp>
        <tr r="T44" s="6"/>
      </tp>
      <tp t="e">
        <v>#N/A</v>
        <stp/>
        <stp>BDH|3981878182171508987</stp>
        <tr r="O85" s="12"/>
      </tp>
      <tp t="e">
        <v>#N/A</v>
        <stp/>
        <stp>BDH|7323942856056619668</stp>
        <tr r="P45" s="18"/>
      </tp>
      <tp t="e">
        <v>#N/A</v>
        <stp/>
        <stp>BDH|1490944024686142746</stp>
        <tr r="P12" s="7"/>
      </tp>
      <tp t="e">
        <v>#N/A</v>
        <stp/>
        <stp>BDH|2563653751428592250</stp>
        <tr r="V11" s="11"/>
      </tp>
      <tp t="e">
        <v>#N/A</v>
        <stp/>
        <stp>BDH|5082149876320137829</stp>
        <tr r="J27" s="10"/>
        <tr r="L33" s="13"/>
      </tp>
      <tp t="e">
        <v>#N/A</v>
        <stp/>
        <stp>BDH|2657109940048552421</stp>
        <tr r="D105" s="18"/>
      </tp>
      <tp t="e">
        <v>#N/A</v>
        <stp/>
        <stp>BDH|6756246783317389020</stp>
        <tr r="P16" s="24"/>
      </tp>
      <tp t="e">
        <v>#N/A</v>
        <stp/>
        <stp>BDH|7381753214298213210</stp>
        <tr r="S30" s="26"/>
      </tp>
      <tp t="e">
        <v>#N/A</v>
        <stp/>
        <stp>BDH|9504879261249738550</stp>
        <tr r="W43" s="13"/>
      </tp>
      <tp t="e">
        <v>#N/A</v>
        <stp/>
        <stp>BDH|7116703780375532659</stp>
        <tr r="F89" s="17"/>
        <tr r="F34" s="25"/>
      </tp>
      <tp t="e">
        <v>#N/A</v>
        <stp/>
        <stp>BDH|7193350179018549096</stp>
        <tr r="K21" s="6"/>
      </tp>
      <tp t="e">
        <v>#N/A</v>
        <stp/>
        <stp>BDH|8209120876525186067</stp>
        <tr r="AA9" s="27"/>
      </tp>
      <tp t="e">
        <v>#N/A</v>
        <stp/>
        <stp>BDH|5575380869813007855</stp>
        <tr r="L39" s="22"/>
      </tp>
      <tp t="e">
        <v>#N/A</v>
        <stp/>
        <stp>BDH|6696220187276302117</stp>
        <tr r="Y26" s="14"/>
      </tp>
      <tp t="e">
        <v>#N/A</v>
        <stp/>
        <stp>BDH|1792522893563105562</stp>
        <tr r="G81" s="18"/>
      </tp>
      <tp t="e">
        <v>#N/A</v>
        <stp/>
        <stp>BDH|4094193420004164893</stp>
        <tr r="H10" s="12"/>
      </tp>
      <tp t="e">
        <v>#N/A</v>
        <stp/>
        <stp>BDH|3498614101346328863</stp>
        <tr r="H26" s="7"/>
      </tp>
      <tp t="e">
        <v>#N/A</v>
        <stp/>
        <stp>BDH|2260863635937625560</stp>
        <tr r="W26" s="14"/>
      </tp>
      <tp t="e">
        <v>#N/A</v>
        <stp/>
        <stp>BDH|3018961587318881185</stp>
        <tr r="F42" s="24"/>
      </tp>
      <tp t="e">
        <v>#N/A</v>
        <stp/>
        <stp>BDH|2550757771679661012</stp>
        <tr r="Z89" s="18"/>
      </tp>
      <tp t="e">
        <v>#N/A</v>
        <stp/>
        <stp>BDH|1866952848171627657</stp>
        <tr r="W21" s="22"/>
      </tp>
      <tp t="e">
        <v>#N/A</v>
        <stp/>
        <stp>BDH|1038950233413062301</stp>
        <tr r="I25" s="2"/>
        <tr r="K60" s="21"/>
      </tp>
      <tp t="e">
        <v>#N/A</v>
        <stp/>
        <stp>BDH|4407848752626486404</stp>
        <tr r="H24" s="5"/>
      </tp>
      <tp t="e">
        <v>#N/A</v>
        <stp/>
        <stp>BDH|4267587138839347078</stp>
        <tr r="W74" s="12"/>
      </tp>
      <tp t="e">
        <v>#N/A</v>
        <stp/>
        <stp>BDH|2329364386704078652</stp>
        <tr r="C32" s="22"/>
      </tp>
      <tp t="e">
        <v>#N/A</v>
        <stp/>
        <stp>BDH|5344908651857574517</stp>
        <tr r="G16" s="6"/>
      </tp>
      <tp t="e">
        <v>#N/A</v>
        <stp/>
        <stp>BDH|5630825493138708760</stp>
        <tr r="F52" s="17"/>
        <tr r="F10" s="25"/>
      </tp>
      <tp t="e">
        <v>#N/A</v>
        <stp/>
        <stp>BDH|6996464482692992325</stp>
        <tr r="J21" s="30"/>
      </tp>
      <tp t="e">
        <v>#N/A</v>
        <stp/>
        <stp>BDH|2655878117979028901</stp>
        <tr r="H36" s="18"/>
      </tp>
      <tp t="e">
        <v>#N/A</v>
        <stp/>
        <stp>BDH|8610452807336156133</stp>
        <tr r="K20" s="22"/>
      </tp>
      <tp t="e">
        <v>#N/A</v>
        <stp/>
        <stp>BDH|2578777463260762802</stp>
        <tr r="S100" s="18"/>
        <tr r="S9" s="20"/>
      </tp>
      <tp t="e">
        <v>#N/A</v>
        <stp/>
        <stp>BDH|8572633677461469330</stp>
        <tr r="W16" s="29"/>
        <tr r="W39" s="29"/>
      </tp>
      <tp t="e">
        <v>#N/A</v>
        <stp/>
        <stp>BDH|5926780380960374145</stp>
        <tr r="L30" s="25"/>
        <tr r="L16" s="27"/>
      </tp>
      <tp t="e">
        <v>#N/A</v>
        <stp/>
        <stp>BDH|7733608396011428230</stp>
        <tr r="L29" s="18"/>
      </tp>
      <tp t="e">
        <v>#N/A</v>
        <stp/>
        <stp>BDH|1834300999080411039</stp>
        <tr r="E9" s="13"/>
      </tp>
      <tp t="e">
        <v>#N/A</v>
        <stp/>
        <stp>BDH|5791854877545559466</stp>
        <tr r="F40" s="17"/>
      </tp>
      <tp t="e">
        <v>#N/A</v>
        <stp/>
        <stp>BDH|3623439009258371495</stp>
        <tr r="K10" s="28"/>
      </tp>
      <tp t="e">
        <v>#N/A</v>
        <stp/>
        <stp>BDH|9026470860305921588</stp>
        <tr r="F23" s="12"/>
      </tp>
      <tp t="e">
        <v>#N/A</v>
        <stp/>
        <stp>BDH|8089126221406160647</stp>
        <tr r="K47" s="22"/>
      </tp>
      <tp t="e">
        <v>#N/A</v>
        <stp/>
        <stp>BDH|2274997876535862239</stp>
        <tr r="P22" s="27"/>
      </tp>
      <tp t="e">
        <v>#N/A</v>
        <stp/>
        <stp>BDH|4641725382186604671</stp>
        <tr r="W13" s="20"/>
      </tp>
      <tp t="e">
        <v>#N/A</v>
        <stp/>
        <stp>BDH|1723803123416333606</stp>
        <tr r="U62" s="13"/>
      </tp>
      <tp t="e">
        <v>#N/A</v>
        <stp/>
        <stp>BDH|5685542690051338369</stp>
        <tr r="P29" s="18"/>
      </tp>
      <tp t="e">
        <v>#N/A</v>
        <stp/>
        <stp>BDH|7574272674730549946</stp>
        <tr r="W48" s="13"/>
      </tp>
      <tp t="e">
        <v>#N/A</v>
        <stp/>
        <stp>BDH|3512558791890469424</stp>
        <tr r="C64" s="10"/>
      </tp>
      <tp t="e">
        <v>#N/A</v>
        <stp/>
        <stp>BDH|6202049511039994593</stp>
        <tr r="W18" s="23"/>
      </tp>
      <tp t="e">
        <v>#N/A</v>
        <stp/>
        <stp>BDH|2052639303856315946</stp>
        <tr r="L97" s="18"/>
        <tr r="L6" s="20"/>
      </tp>
      <tp t="e">
        <v>#N/A</v>
        <stp/>
        <stp>BDH|6004640534609570122</stp>
        <tr r="X101" s="18"/>
      </tp>
      <tp t="e">
        <v>#N/A</v>
        <stp/>
        <stp>BDH|7382782170785886946</stp>
        <tr r="P8" s="6"/>
      </tp>
      <tp t="e">
        <v>#N/A</v>
        <stp/>
        <stp>BDH|5984765247905726884</stp>
        <tr r="G24" s="2"/>
      </tp>
      <tp t="e">
        <v>#N/A</v>
        <stp/>
        <stp>BDH|8873040161311287489</stp>
        <tr r="J51" s="24"/>
      </tp>
      <tp t="e">
        <v>#N/A</v>
        <stp/>
        <stp>BDH|2532218396337382565</stp>
        <tr r="P50" s="21"/>
      </tp>
      <tp t="e">
        <v>#N/A</v>
        <stp/>
        <stp>BDH|2624041484717609671</stp>
        <tr r="W25" s="4"/>
        <tr r="W65" s="10"/>
      </tp>
      <tp t="e">
        <v>#N/A</v>
        <stp/>
        <stp>BDH|4640762683940087043</stp>
        <tr r="J30" s="24"/>
      </tp>
      <tp t="e">
        <v>#N/A</v>
        <stp/>
        <stp>BDH|5095125245913533852</stp>
        <tr r="U56" s="12"/>
      </tp>
      <tp t="e">
        <v>#N/A</v>
        <stp/>
        <stp>BDH|4121262785346325365</stp>
        <tr r="U67" s="24"/>
      </tp>
      <tp t="e">
        <v>#N/A</v>
        <stp/>
        <stp>BDH|9549733774763361162</stp>
        <tr r="Z47" s="34"/>
      </tp>
      <tp t="e">
        <v>#N/A</v>
        <stp/>
        <stp>BDH|6477182579623770853</stp>
        <tr r="AA138" s="18"/>
      </tp>
      <tp t="e">
        <v>#N/A</v>
        <stp/>
        <stp>BDH|4977136651502832940</stp>
        <tr r="Q40" s="21"/>
      </tp>
      <tp t="e">
        <v>#N/A</v>
        <stp/>
        <stp>BDH|7962785239438628092</stp>
        <tr r="E43" s="29"/>
      </tp>
      <tp t="e">
        <v>#N/A</v>
        <stp/>
        <stp>BDH|5178516462148548502</stp>
        <tr r="N26" s="26"/>
      </tp>
      <tp t="e">
        <v>#N/A</v>
        <stp/>
        <stp>BDH|8603152360811543518</stp>
        <tr r="D93" s="18"/>
      </tp>
      <tp t="e">
        <v>#N/A</v>
        <stp/>
        <stp>BDH|9503532364359506807</stp>
        <tr r="E18" s="12"/>
      </tp>
      <tp t="e">
        <v>#N/A</v>
        <stp/>
        <stp>BDH|8445290856351851544</stp>
        <tr r="S27" s="7"/>
      </tp>
      <tp t="e">
        <v>#N/A</v>
        <stp/>
        <stp>BDH|8423503352943638072</stp>
        <tr r="N25" s="7"/>
      </tp>
      <tp t="e">
        <v>#N/A</v>
        <stp/>
        <stp>BDH|3441539893686158227</stp>
        <tr r="D45" s="13"/>
      </tp>
      <tp t="e">
        <v>#N/A</v>
        <stp/>
        <stp>BDH|7927507087825173482</stp>
        <tr r="G42" s="21"/>
      </tp>
      <tp t="e">
        <v>#N/A</v>
        <stp/>
        <stp>BDH|7901734842837878873</stp>
        <tr r="V34" s="17"/>
      </tp>
      <tp t="e">
        <v>#N/A</v>
        <stp/>
        <stp>BDH|7382470821469131337</stp>
        <tr r="T31" s="34"/>
      </tp>
      <tp t="e">
        <v>#N/A</v>
        <stp/>
        <stp>BDH|9919560148795668668</stp>
        <tr r="L46" s="34"/>
      </tp>
      <tp t="e">
        <v>#N/A</v>
        <stp/>
        <stp>BDH|8627078137277524741</stp>
        <tr r="O23" s="2"/>
        <tr r="Q18" s="21"/>
        <tr r="Q23" s="3"/>
      </tp>
      <tp t="e">
        <v>#N/A</v>
        <stp/>
        <stp>BDH|1547099434410913963</stp>
        <tr r="P48" s="22"/>
      </tp>
      <tp t="e">
        <v>#N/A</v>
        <stp/>
        <stp>BDH|3240139393179037954</stp>
        <tr r="M8" s="23"/>
      </tp>
      <tp t="e">
        <v>#N/A</v>
        <stp/>
        <stp>BDH|2348755584574377268</stp>
        <tr r="M13" s="8"/>
      </tp>
      <tp t="e">
        <v>#N/A</v>
        <stp/>
        <stp>BDH|5493004235979789417</stp>
        <tr r="K11" s="17"/>
      </tp>
      <tp t="e">
        <v>#N/A</v>
        <stp/>
        <stp>BDH|6915996205694726058</stp>
        <tr r="Y126" s="18"/>
      </tp>
      <tp t="e">
        <v>#N/A</v>
        <stp/>
        <stp>BDH|4904159628369078537</stp>
        <tr r="Y89" s="24"/>
      </tp>
      <tp t="e">
        <v>#N/A</v>
        <stp/>
        <stp>BDH|4468468440007541800</stp>
        <tr r="Q42" s="10"/>
        <tr r="Q34" s="11"/>
      </tp>
      <tp t="e">
        <v>#N/A</v>
        <stp/>
        <stp>BDH|2758846904985009407</stp>
        <tr r="G17" s="29"/>
        <tr r="G40" s="29"/>
      </tp>
      <tp t="e">
        <v>#N/A</v>
        <stp/>
        <stp>BDH|9579772131912494408</stp>
        <tr r="S9" s="2"/>
        <tr r="U8" s="25"/>
        <tr r="R10" s="5"/>
      </tp>
      <tp t="e">
        <v>#N/A</v>
        <stp/>
        <stp>BDH|8363127979275979068</stp>
        <tr r="O74" s="24"/>
      </tp>
      <tp t="e">
        <v>#N/A</v>
        <stp/>
        <stp>BDH|9226098501690848254</stp>
        <tr r="X56" s="18"/>
      </tp>
      <tp t="e">
        <v>#N/A</v>
        <stp/>
        <stp>BDH|3560735250142551848</stp>
        <tr r="P73" s="17"/>
      </tp>
      <tp t="e">
        <v>#N/A</v>
        <stp/>
        <stp>BDH|5385870819795836222</stp>
        <tr r="Y70" s="10"/>
        <tr r="Y62" s="11"/>
        <tr r="Y20" s="7"/>
      </tp>
      <tp t="e">
        <v>#N/A</v>
        <stp/>
        <stp>BDH|3982869602603399390</stp>
        <tr r="I72" s="18"/>
      </tp>
      <tp t="e">
        <v>#N/A</v>
        <stp/>
        <stp>BDH|5243526285203047015</stp>
        <tr r="O9" s="10"/>
      </tp>
      <tp t="e">
        <v>#N/A</v>
        <stp/>
        <stp>BDH|1290712893871723530</stp>
        <tr r="S11" s="24"/>
      </tp>
      <tp t="e">
        <v>#N/A</v>
        <stp/>
        <stp>BDH|6575040485615578057</stp>
        <tr r="L71" s="24"/>
      </tp>
      <tp t="e">
        <v>#N/A</v>
        <stp/>
        <stp>BDH|6504159829038495691</stp>
        <tr r="X43" s="29"/>
      </tp>
      <tp t="e">
        <v>#N/A</v>
        <stp/>
        <stp>BDH|2070338783180388276</stp>
        <tr r="X12" s="21"/>
      </tp>
      <tp t="e">
        <v>#N/A</v>
        <stp/>
        <stp>BDH|4714857641725761607</stp>
        <tr r="D16" s="18"/>
      </tp>
      <tp t="e">
        <v>#N/A</v>
        <stp/>
        <stp>BDH|8214674020855842299</stp>
        <tr r="C18" s="9"/>
      </tp>
      <tp t="e">
        <v>#N/A</v>
        <stp/>
        <stp>BDH|7340350575381300947</stp>
        <tr r="V25" s="25"/>
        <tr r="V10" s="27"/>
      </tp>
      <tp t="e">
        <v>#N/A</v>
        <stp/>
        <stp>BDH|2367967435592764132</stp>
        <tr r="P9" s="2"/>
        <tr r="R8" s="25"/>
        <tr r="O10" s="5"/>
      </tp>
      <tp t="e">
        <v>#N/A</v>
        <stp/>
        <stp>BDH|9439880200368873204</stp>
        <tr r="AA87" s="12"/>
      </tp>
      <tp t="e">
        <v>#N/A</v>
        <stp/>
        <stp>BDH|8315796372175438686</stp>
        <tr r="I58" s="6"/>
      </tp>
      <tp t="e">
        <v>#N/A</v>
        <stp/>
        <stp>BDH|2458563112174105954</stp>
        <tr r="P24" s="9"/>
      </tp>
      <tp t="e">
        <v>#N/A</v>
        <stp/>
        <stp>BDH|5420590489132483149</stp>
        <tr r="P100" s="18"/>
        <tr r="P9" s="20"/>
      </tp>
      <tp t="e">
        <v>#N/A</v>
        <stp/>
        <stp>BDH|4984270248230680940</stp>
        <tr r="E73" s="10"/>
        <tr r="E65" s="11"/>
      </tp>
      <tp t="e">
        <v>#N/A</v>
        <stp/>
        <stp>BDH|1553846330220712122</stp>
        <tr r="M25" s="18"/>
      </tp>
      <tp t="e">
        <v>#N/A</v>
        <stp/>
        <stp>BDH|2463238777864228861</stp>
        <tr r="X36" s="10"/>
        <tr r="X48" s="10"/>
        <tr r="X28" s="11"/>
        <tr r="X40" s="11"/>
      </tp>
      <tp t="e">
        <v>#N/A</v>
        <stp/>
        <stp>BDH|2299845374590440629</stp>
        <tr r="Q47" s="6"/>
      </tp>
      <tp t="e">
        <v>#N/A</v>
        <stp/>
        <stp>BDH|1509356210000163854</stp>
        <tr r="E11" s="11"/>
      </tp>
      <tp t="e">
        <v>#N/A</v>
        <stp/>
        <stp>BDH|9966504431660832440</stp>
        <tr r="Z25" s="24"/>
      </tp>
      <tp t="e">
        <v>#N/A</v>
        <stp/>
        <stp>BDH|1017032832338430114</stp>
        <tr r="X65" s="12"/>
      </tp>
      <tp t="e">
        <v>#N/A</v>
        <stp/>
        <stp>BDH|9625337551462507657</stp>
        <tr r="I85" s="12"/>
      </tp>
      <tp t="e">
        <v>#N/A</v>
        <stp/>
        <stp>BDH|7937769005323672887</stp>
        <tr r="V20" s="26"/>
      </tp>
      <tp t="e">
        <v>#N/A</v>
        <stp/>
        <stp>BDH|5015082097591363689</stp>
        <tr r="F44" s="17"/>
      </tp>
      <tp t="e">
        <v>#N/A</v>
        <stp/>
        <stp>BDH|7528898868366157414</stp>
        <tr r="P24" s="18"/>
      </tp>
      <tp t="e">
        <v>#N/A</v>
        <stp/>
        <stp>BDH|7762197330748874629</stp>
        <tr r="P17" s="18"/>
      </tp>
      <tp t="e">
        <v>#N/A</v>
        <stp/>
        <stp>BDH|3891073873148875704</stp>
        <tr r="U31" s="22"/>
      </tp>
      <tp t="e">
        <v>#N/A</v>
        <stp/>
        <stp>BDH|1069918105031950293</stp>
        <tr r="V20" s="5"/>
      </tp>
      <tp t="e">
        <v>#N/A</v>
        <stp/>
        <stp>BDH|9608038614570054353</stp>
        <tr r="L31" s="17"/>
      </tp>
      <tp t="e">
        <v>#N/A</v>
        <stp/>
        <stp>BDH|7271575080006986780</stp>
        <tr r="G25" s="3"/>
      </tp>
      <tp t="e">
        <v>#N/A</v>
        <stp/>
        <stp>BDH|9439929832830676868</stp>
        <tr r="J75" s="18"/>
        <tr r="J64" s="12"/>
      </tp>
      <tp t="e">
        <v>#N/A</v>
        <stp/>
        <stp>BDH|9219096815840964334</stp>
        <tr r="R33" s="5"/>
      </tp>
      <tp t="e">
        <v>#N/A</v>
        <stp/>
        <stp>BDH|6305260823904741950</stp>
        <tr r="P22" s="14"/>
      </tp>
      <tp t="e">
        <v>#N/A</v>
        <stp/>
        <stp>BDH|9115121372811579503</stp>
        <tr r="I28" s="12"/>
      </tp>
      <tp t="e">
        <v>#N/A</v>
        <stp/>
        <stp>BDH|6029257125365385872</stp>
        <tr r="I39" s="12"/>
      </tp>
      <tp t="e">
        <v>#N/A</v>
        <stp/>
        <stp>BDH|2294784426278012481</stp>
        <tr r="R12" s="21"/>
      </tp>
      <tp t="e">
        <v>#N/A</v>
        <stp/>
        <stp>BDH|9390100719970992276</stp>
        <tr r="P19" s="6"/>
      </tp>
      <tp t="e">
        <v>#N/A</v>
        <stp/>
        <stp>BDH|7895993022661300643</stp>
        <tr r="D23" s="21"/>
      </tp>
      <tp t="e">
        <v>#N/A</v>
        <stp/>
        <stp>BDH|5934271064669874372</stp>
        <tr r="P31" s="24"/>
      </tp>
      <tp t="e">
        <v>#N/A</v>
        <stp/>
        <stp>BDH|5771662394637692669</stp>
        <tr r="S26" s="22"/>
      </tp>
      <tp t="e">
        <v>#N/A</v>
        <stp/>
        <stp>BDH|5105853893427320816</stp>
        <tr r="T84" s="24"/>
      </tp>
      <tp t="e">
        <v>#N/A</v>
        <stp/>
        <stp>BDH|7408253086440645640</stp>
        <tr r="R43" s="21"/>
      </tp>
      <tp t="e">
        <v>#N/A</v>
        <stp/>
        <stp>BDH|3462867532291599208</stp>
        <tr r="Y87" s="12"/>
      </tp>
      <tp t="e">
        <v>#N/A</v>
        <stp/>
        <stp>BDH|2633530390320838581</stp>
        <tr r="G18" s="13"/>
      </tp>
      <tp t="e">
        <v>#N/A</v>
        <stp/>
        <stp>BDH|7663389889851364613</stp>
        <tr r="K28" s="26"/>
      </tp>
      <tp t="e">
        <v>#N/A</v>
        <stp/>
        <stp>BDH|9246073432822631349</stp>
        <tr r="C22" s="12"/>
      </tp>
      <tp t="e">
        <v>#N/A</v>
        <stp/>
        <stp>BDH|4686338267023755900</stp>
        <tr r="R77" s="24"/>
      </tp>
      <tp t="e">
        <v>#N/A</v>
        <stp/>
        <stp>BDH|3333901551915562129</stp>
        <tr r="Y61" s="21"/>
      </tp>
      <tp t="e">
        <v>#N/A</v>
        <stp/>
        <stp>BDH|5321864261773921384</stp>
        <tr r="G13" s="26"/>
      </tp>
      <tp t="e">
        <v>#N/A</v>
        <stp/>
        <stp>BDH|4457826872858448858</stp>
        <tr r="H42" s="34"/>
      </tp>
      <tp t="e">
        <v>#N/A</v>
        <stp/>
        <stp>BDH|4798575207472580877</stp>
        <tr r="D16" s="2"/>
        <tr r="D32" s="4"/>
        <tr r="D62" s="10"/>
        <tr r="F19" s="13"/>
      </tp>
      <tp t="e">
        <v>#N/A</v>
        <stp/>
        <stp>BDH|7242173702529143430</stp>
        <tr r="K9" s="22"/>
      </tp>
      <tp t="e">
        <v>#N/A</v>
        <stp/>
        <stp>BDH|8623224266220567724</stp>
        <tr r="X62" s="21"/>
      </tp>
      <tp t="e">
        <v>#N/A</v>
        <stp/>
        <stp>BDH|9430368204264629553</stp>
        <tr r="O121" s="18"/>
      </tp>
      <tp t="e">
        <v>#N/A</v>
        <stp/>
        <stp>BDH|1983850902523300185</stp>
        <tr r="J21" s="6"/>
      </tp>
      <tp t="e">
        <v>#N/A</v>
        <stp/>
        <stp>BDH|3732411893920684568</stp>
        <tr r="H64" s="10"/>
      </tp>
      <tp t="e">
        <v>#N/A</v>
        <stp/>
        <stp>BDH|8866573219377388005</stp>
        <tr r="F10" s="11"/>
      </tp>
      <tp t="e">
        <v>#N/A</v>
        <stp/>
        <stp>BDH|7764000735246377949</stp>
        <tr r="X9" s="27"/>
      </tp>
      <tp t="e">
        <v>#N/A</v>
        <stp/>
        <stp>BDH|8381434136366704245</stp>
        <tr r="Y134" s="18"/>
      </tp>
      <tp t="e">
        <v>#N/A</v>
        <stp/>
        <stp>BDH|5563078261631141976</stp>
        <tr r="N33" s="18"/>
      </tp>
      <tp t="e">
        <v>#N/A</v>
        <stp/>
        <stp>BDH|3408709017079757716</stp>
        <tr r="T10" s="12"/>
      </tp>
      <tp t="e">
        <v>#N/A</v>
        <stp/>
        <stp>BDH|7952810517776393397</stp>
        <tr r="O132" s="18"/>
      </tp>
      <tp t="e">
        <v>#N/A</v>
        <stp/>
        <stp>BDH|1686145985364607742</stp>
        <tr r="Q13" s="17"/>
        <tr r="Q16" s="28"/>
      </tp>
      <tp t="e">
        <v>#N/A</v>
        <stp/>
        <stp>BDH|4178019922938411539</stp>
        <tr r="R77" s="12"/>
      </tp>
      <tp t="e">
        <v>#N/A</v>
        <stp/>
        <stp>BDH|4345335297915369011</stp>
        <tr r="O64" s="10"/>
      </tp>
      <tp t="e">
        <v>#N/A</v>
        <stp/>
        <stp>BDH|6691238085950110747</stp>
        <tr r="C87" s="12"/>
      </tp>
      <tp t="e">
        <v>#N/A</v>
        <stp/>
        <stp>BDH|7663924745906303775</stp>
        <tr r="L58" s="21"/>
        <tr r="L37" s="25"/>
        <tr r="J31" s="4"/>
        <tr r="J54" s="11"/>
      </tp>
      <tp t="e">
        <v>#N/A</v>
        <stp/>
        <stp>BDH|93636977623220419</stp>
        <tr r="Q32" s="12"/>
      </tp>
      <tp t="e">
        <v>#N/A</v>
        <stp/>
        <stp>BDH|99066105980569649</stp>
        <tr r="X124" s="18"/>
      </tp>
      <tp t="e">
        <v>#N/A</v>
        <stp/>
        <stp>BDH|27521571895153104</stp>
        <tr r="C31" s="26"/>
      </tp>
      <tp t="e">
        <v>#N/A</v>
        <stp/>
        <stp>BDH|73039440455195706</stp>
        <tr r="V17" s="29"/>
        <tr r="V40" s="29"/>
      </tp>
      <tp t="e">
        <v>#N/A</v>
        <stp/>
        <stp>BDH|15759468097822064</stp>
        <tr r="V89" s="18"/>
      </tp>
      <tp t="e">
        <v>#N/A</v>
        <stp/>
        <stp>BDH|36737445694067150</stp>
        <tr r="N25" s="34"/>
      </tp>
      <tp t="e">
        <v>#N/A</v>
        <stp/>
        <stp>BDH|72512992188448247</stp>
        <tr r="S40" s="10"/>
        <tr r="S32" s="11"/>
      </tp>
      <tp t="e">
        <v>#N/A</v>
        <stp/>
        <stp>BDH|24172962648353991</stp>
        <tr r="F49" s="13"/>
      </tp>
      <tp t="e">
        <v>#N/A</v>
        <stp/>
        <stp>BDH|59079469149162926</stp>
        <tr r="V20" s="17"/>
      </tp>
      <tp t="e">
        <v>#N/A</v>
        <stp/>
        <stp>BDH|51762947714343181</stp>
        <tr r="L17" s="9"/>
      </tp>
      <tp t="e">
        <v>#N/A</v>
        <stp/>
        <stp>BDH|77608921993255183</stp>
        <tr r="Q14" s="29"/>
        <tr r="Q23" s="29"/>
        <tr r="Q37" s="29"/>
      </tp>
      <tp t="e">
        <v>#N/A</v>
        <stp/>
        <stp>BDH|24045578174536512</stp>
        <tr r="T52" s="12"/>
      </tp>
      <tp t="e">
        <v>#N/A</v>
        <stp/>
        <stp>BDH|40698449980860402</stp>
        <tr r="L31" s="24"/>
      </tp>
      <tp t="e">
        <v>#N/A</v>
        <stp/>
        <stp>BDH|1218017410233959700</stp>
        <tr r="Q27" s="14"/>
      </tp>
      <tp t="e">
        <v>#N/A</v>
        <stp/>
        <stp>BDH|1994922302974529861</stp>
        <tr r="Q54" s="17"/>
      </tp>
      <tp t="e">
        <v>#N/A</v>
        <stp/>
        <stp>BDH|8287962464822910133</stp>
        <tr r="G61" s="24"/>
      </tp>
      <tp t="e">
        <v>#N/A</v>
        <stp/>
        <stp>BDH|6074655307376192298</stp>
        <tr r="P63" s="13"/>
      </tp>
      <tp t="e">
        <v>#N/A</v>
        <stp/>
        <stp>BDH|7424342426784945653</stp>
        <tr r="F25" s="2"/>
        <tr r="H60" s="21"/>
      </tp>
      <tp t="e">
        <v>#N/A</v>
        <stp/>
        <stp>BDH|4824263898819997250</stp>
        <tr r="I46" s="22"/>
      </tp>
      <tp t="e">
        <v>#N/A</v>
        <stp/>
        <stp>BDH|9021072499132540616</stp>
        <tr r="F38" s="22"/>
      </tp>
      <tp t="e">
        <v>#N/A</v>
        <stp/>
        <stp>BDH|8021647587912972008</stp>
        <tr r="L34" s="21"/>
      </tp>
      <tp t="e">
        <v>#N/A</v>
        <stp/>
        <stp>BDH|2064881492243009406</stp>
        <tr r="D10" s="10"/>
      </tp>
      <tp t="e">
        <v>#N/A</v>
        <stp/>
        <stp>BDH|2513300236506826014</stp>
        <tr r="H27" s="17"/>
      </tp>
      <tp t="e">
        <v>#N/A</v>
        <stp/>
        <stp>BDH|1207192132177261017</stp>
        <tr r="C21" s="17"/>
        <tr r="C15" s="3"/>
      </tp>
      <tp t="e">
        <v>#N/A</v>
        <stp/>
        <stp>BDH|5719076704209936874</stp>
        <tr r="AA72" s="17"/>
      </tp>
      <tp t="e">
        <v>#N/A</v>
        <stp/>
        <stp>BDH|8994853002427432308</stp>
        <tr r="E9" s="27"/>
      </tp>
      <tp t="e">
        <v>#N/A</v>
        <stp/>
        <stp>BDH|2805364880035469807</stp>
        <tr r="J59" s="21"/>
        <tr r="H55" s="11"/>
      </tp>
      <tp t="e">
        <v>#N/A</v>
        <stp/>
        <stp>BDH|9777553286279825961</stp>
        <tr r="S93" s="17"/>
      </tp>
      <tp t="e">
        <v>#N/A</v>
        <stp/>
        <stp>BDH|6807018324880640011</stp>
        <tr r="M13" s="2"/>
      </tp>
      <tp t="e">
        <v>#N/A</v>
        <stp/>
        <stp>BDH|5148159108123684301</stp>
        <tr r="W35" s="26"/>
      </tp>
      <tp t="e">
        <v>#N/A</v>
        <stp/>
        <stp>BDH|7622561276723830243</stp>
        <tr r="F33" s="12"/>
      </tp>
      <tp t="e">
        <v>#N/A</v>
        <stp/>
        <stp>BDH|1798095543696187766</stp>
        <tr r="J42" s="24"/>
      </tp>
      <tp t="e">
        <v>#N/A</v>
        <stp/>
        <stp>BDH|8050250694637364082</stp>
        <tr r="Q42" s="24"/>
      </tp>
      <tp t="e">
        <v>#N/A</v>
        <stp/>
        <stp>BDH|5681240301214881715</stp>
        <tr r="G14" s="11"/>
      </tp>
      <tp t="e">
        <v>#N/A</v>
        <stp/>
        <stp>BDH|6404693361446041464</stp>
        <tr r="U14" s="11"/>
      </tp>
      <tp t="e">
        <v>#N/A</v>
        <stp/>
        <stp>BDH|2405692956966146308</stp>
        <tr r="N53" s="12"/>
      </tp>
      <tp t="e">
        <v>#N/A</v>
        <stp/>
        <stp>BDH|4671233938362493339</stp>
        <tr r="Y25" s="34"/>
      </tp>
      <tp t="e">
        <v>#N/A</v>
        <stp/>
        <stp>BDH|8087091597956036345</stp>
        <tr r="L41" s="22"/>
      </tp>
      <tp t="e">
        <v>#N/A</v>
        <stp/>
        <stp>BDH|5604621139492122661</stp>
        <tr r="Q24" s="17"/>
      </tp>
      <tp t="e">
        <v>#N/A</v>
        <stp/>
        <stp>BDH|2580083563451446102</stp>
        <tr r="M15" s="14"/>
      </tp>
      <tp t="e">
        <v>#N/A</v>
        <stp/>
        <stp>BDH|9683112478533329864</stp>
        <tr r="AA12" s="25"/>
      </tp>
      <tp t="e">
        <v>#N/A</v>
        <stp/>
        <stp>BDH|5962654663998305962</stp>
        <tr r="K15" s="12"/>
      </tp>
      <tp t="e">
        <v>#N/A</v>
        <stp/>
        <stp>BDH|2383195163956140728</stp>
        <tr r="W55" s="18"/>
      </tp>
      <tp t="e">
        <v>#N/A</v>
        <stp/>
        <stp>BDH|9334690268088020589</stp>
        <tr r="H83" s="17"/>
      </tp>
      <tp t="e">
        <v>#N/A</v>
        <stp/>
        <stp>BDH|5294436778390500264</stp>
        <tr r="G44" s="18"/>
      </tp>
      <tp t="e">
        <v>#N/A</v>
        <stp/>
        <stp>BDH|7060733311353946619</stp>
        <tr r="J61" s="21"/>
      </tp>
      <tp t="e">
        <v>#N/A</v>
        <stp/>
        <stp>BDH|5666722130817964270</stp>
        <tr r="K38" s="26"/>
      </tp>
      <tp t="e">
        <v>#N/A</v>
        <stp/>
        <stp>BDH|7367498546050525331</stp>
        <tr r="E13" s="18"/>
      </tp>
      <tp t="e">
        <v>#N/A</v>
        <stp/>
        <stp>BDH|8791948528730589743</stp>
        <tr r="J130" s="18"/>
      </tp>
      <tp t="e">
        <v>#N/A</v>
        <stp/>
        <stp>BDH|7568380627957662564</stp>
        <tr r="Z19" s="18"/>
      </tp>
      <tp t="e">
        <v>#N/A</v>
        <stp/>
        <stp>BDH|4976560141981411003</stp>
        <tr r="L16" s="18"/>
      </tp>
      <tp t="e">
        <v>#N/A</v>
        <stp/>
        <stp>BDH|4918038141416882299</stp>
        <tr r="V130" s="18"/>
      </tp>
      <tp t="e">
        <v>#N/A</v>
        <stp/>
        <stp>BDH|5346309751307140095</stp>
        <tr r="X21" s="27"/>
      </tp>
      <tp t="e">
        <v>#N/A</v>
        <stp/>
        <stp>BDH|7713079227383945240</stp>
        <tr r="O43" s="22"/>
      </tp>
      <tp t="e">
        <v>#N/A</v>
        <stp/>
        <stp>BDH|9194364199595720235</stp>
        <tr r="L12" s="12"/>
      </tp>
      <tp t="e">
        <v>#N/A</v>
        <stp/>
        <stp>BDH|5186282030138442871</stp>
        <tr r="E10" s="12"/>
      </tp>
      <tp t="e">
        <v>#N/A</v>
        <stp/>
        <stp>BDH|2498377402581914424</stp>
        <tr r="L89" s="24"/>
      </tp>
      <tp t="e">
        <v>#N/A</v>
        <stp/>
        <stp>BDH|1561896587457464242</stp>
        <tr r="V32" s="18"/>
      </tp>
      <tp t="e">
        <v>#N/A</v>
        <stp/>
        <stp>BDH|8747052016064844972</stp>
        <tr r="AA32" s="21"/>
      </tp>
      <tp t="e">
        <v>#N/A</v>
        <stp/>
        <stp>BDH|7262233413125135587</stp>
        <tr r="U25" s="17"/>
      </tp>
      <tp t="e">
        <v>#N/A</v>
        <stp/>
        <stp>BDH|6936213984558219054</stp>
        <tr r="M9" s="12"/>
      </tp>
      <tp t="e">
        <v>#N/A</v>
        <stp/>
        <stp>BDH|9355361849072349840</stp>
        <tr r="O40" s="24"/>
      </tp>
      <tp t="e">
        <v>#N/A</v>
        <stp/>
        <stp>BDH|5721197033753168074</stp>
        <tr r="Y18" s="23"/>
      </tp>
      <tp t="e">
        <v>#N/A</v>
        <stp/>
        <stp>BDH|1045843838009117766</stp>
        <tr r="D30" s="34"/>
      </tp>
      <tp t="e">
        <v>#N/A</v>
        <stp/>
        <stp>BDH|5645711314906982117</stp>
        <tr r="H29" s="12"/>
      </tp>
      <tp t="e">
        <v>#N/A</v>
        <stp/>
        <stp>BDH|7243446933751819567</stp>
        <tr r="E37" s="6"/>
      </tp>
      <tp t="e">
        <v>#N/A</v>
        <stp/>
        <stp>BDH|3505127768360646023</stp>
        <tr r="I22" s="17"/>
      </tp>
      <tp t="e">
        <v>#N/A</v>
        <stp/>
        <stp>BDH|4174133889571412843</stp>
        <tr r="M35" s="14"/>
      </tp>
      <tp t="e">
        <v>#N/A</v>
        <stp/>
        <stp>BDH|3868801779108924037</stp>
        <tr r="AA59" s="18"/>
      </tp>
      <tp t="e">
        <v>#N/A</v>
        <stp/>
        <stp>BDH|8649152034969982755</stp>
        <tr r="N35" s="18"/>
      </tp>
      <tp t="e">
        <v>#N/A</v>
        <stp/>
        <stp>BDH|7222470904381353690</stp>
        <tr r="O29" s="24"/>
      </tp>
      <tp t="e">
        <v>#N/A</v>
        <stp/>
        <stp>BDH|1678970909648664453</stp>
        <tr r="D26" s="34"/>
      </tp>
      <tp t="e">
        <v>#N/A</v>
        <stp/>
        <stp>BDH|9562858054934642497</stp>
        <tr r="J45" s="21"/>
      </tp>
      <tp t="e">
        <v>#N/A</v>
        <stp/>
        <stp>BDH|5738009188579733038</stp>
        <tr r="R61" s="13"/>
      </tp>
      <tp t="e">
        <v>#N/A</v>
        <stp/>
        <stp>BDH|5069053382331901852</stp>
        <tr r="N40" s="24"/>
      </tp>
      <tp t="e">
        <v>#N/A</v>
        <stp/>
        <stp>BDH|3006772233081755283</stp>
        <tr r="H42" s="24"/>
      </tp>
      <tp t="e">
        <v>#N/A</v>
        <stp/>
        <stp>BDH|4064628269919694969</stp>
        <tr r="N44" s="22"/>
      </tp>
      <tp t="e">
        <v>#N/A</v>
        <stp/>
        <stp>BDH|7236776765564859632</stp>
        <tr r="K32" s="26"/>
      </tp>
      <tp t="e">
        <v>#N/A</v>
        <stp/>
        <stp>BDH|1255798171292895791</stp>
        <tr r="W35" s="4"/>
      </tp>
      <tp t="e">
        <v>#N/A</v>
        <stp/>
        <stp>BDH|5533080983388156143</stp>
        <tr r="V12" s="24"/>
      </tp>
      <tp t="e">
        <v>#N/A</v>
        <stp/>
        <stp>BDH|1070233058276144414</stp>
        <tr r="O23" s="6"/>
      </tp>
      <tp t="e">
        <v>#N/A</v>
        <stp/>
        <stp>BDH|8358511310708974002</stp>
        <tr r="I46" s="17"/>
      </tp>
      <tp t="e">
        <v>#N/A</v>
        <stp/>
        <stp>BDH|1927402971503314502</stp>
        <tr r="N47" s="6"/>
      </tp>
      <tp t="e">
        <v>#N/A</v>
        <stp/>
        <stp>BDH|7464133084563878901</stp>
        <tr r="L25" s="18"/>
      </tp>
      <tp t="e">
        <v>#N/A</v>
        <stp/>
        <stp>BDH|6849714017927005350</stp>
        <tr r="Y26" s="29"/>
      </tp>
      <tp t="e">
        <v>#N/A</v>
        <stp/>
        <stp>BDH|1195525008364038405</stp>
        <tr r="L16" s="2"/>
        <tr r="L32" s="4"/>
        <tr r="L62" s="10"/>
        <tr r="N19" s="13"/>
      </tp>
      <tp t="e">
        <v>#N/A</v>
        <stp/>
        <stp>BDH|3840887498907060134</stp>
        <tr r="L47" s="18"/>
      </tp>
      <tp t="e">
        <v>#N/A</v>
        <stp/>
        <stp>BDH|6606920077834089888</stp>
        <tr r="Y70" s="12"/>
      </tp>
      <tp t="e">
        <v>#N/A</v>
        <stp/>
        <stp>BDH|4497562482739907426</stp>
        <tr r="K45" s="21"/>
      </tp>
      <tp t="e">
        <v>#N/A</v>
        <stp/>
        <stp>BDH|7129054839800159071</stp>
        <tr r="F16" s="23"/>
      </tp>
      <tp t="e">
        <v>#N/A</v>
        <stp/>
        <stp>BDH|6023874253877842876</stp>
        <tr r="P14" s="12"/>
      </tp>
      <tp t="e">
        <v>#N/A</v>
        <stp/>
        <stp>BDH|6984120913963392104</stp>
        <tr r="J41" s="22"/>
      </tp>
      <tp t="e">
        <v>#N/A</v>
        <stp/>
        <stp>BDH|4692656393299883639</stp>
        <tr r="X73" s="10"/>
        <tr r="X65" s="11"/>
      </tp>
      <tp t="e">
        <v>#N/A</v>
        <stp/>
        <stp>BDH|6673757387004897976</stp>
        <tr r="F77" s="12"/>
      </tp>
      <tp t="e">
        <v>#N/A</v>
        <stp/>
        <stp>BDH|6820572632161599537</stp>
        <tr r="M64" s="18"/>
      </tp>
      <tp t="e">
        <v>#N/A</v>
        <stp/>
        <stp>BDH|3872447255200780654</stp>
        <tr r="T9" s="21"/>
      </tp>
      <tp t="e">
        <v>#N/A</v>
        <stp/>
        <stp>BDH|7418735028377117158</stp>
        <tr r="T21" s="14"/>
      </tp>
      <tp t="e">
        <v>#N/A</v>
        <stp/>
        <stp>BDH|2996394158210093006</stp>
        <tr r="C17" s="18"/>
      </tp>
      <tp t="e">
        <v>#N/A</v>
        <stp/>
        <stp>BDH|7675165524954910459</stp>
        <tr r="U26" s="12"/>
      </tp>
      <tp t="e">
        <v>#N/A</v>
        <stp/>
        <stp>BDH|1037965279918792305</stp>
        <tr r="F56" s="12"/>
      </tp>
      <tp t="e">
        <v>#N/A</v>
        <stp/>
        <stp>BDH|2709172980067808801</stp>
        <tr r="U19" s="26"/>
      </tp>
      <tp t="e">
        <v>#N/A</v>
        <stp/>
        <stp>BDH|4936604385007263964</stp>
        <tr r="Z46" s="17"/>
      </tp>
      <tp t="e">
        <v>#N/A</v>
        <stp/>
        <stp>BDH|9464164075142666990</stp>
        <tr r="E45" s="18"/>
      </tp>
      <tp t="e">
        <v>#N/A</v>
        <stp/>
        <stp>BDH|8903310086053245441</stp>
        <tr r="C35" s="34"/>
      </tp>
      <tp t="e">
        <v>#N/A</v>
        <stp/>
        <stp>BDH|2816193363799823822</stp>
        <tr r="H32" s="9"/>
      </tp>
      <tp t="e">
        <v>#N/A</v>
        <stp/>
        <stp>BDH|2508872281242244491</stp>
        <tr r="E15" s="9"/>
      </tp>
      <tp t="e">
        <v>#N/A</v>
        <stp/>
        <stp>BDH|8370187935419613700</stp>
        <tr r="X13" s="24"/>
      </tp>
      <tp t="e">
        <v>#N/A</v>
        <stp/>
        <stp>BDH|8591499011241741822</stp>
        <tr r="G30" s="22"/>
      </tp>
      <tp t="e">
        <v>#N/A</v>
        <stp/>
        <stp>BDH|5201702710764975335</stp>
        <tr r="K21" s="21"/>
      </tp>
      <tp t="e">
        <v>#N/A</v>
        <stp/>
        <stp>BDH|6751241658852594762</stp>
        <tr r="K66" s="12"/>
      </tp>
      <tp t="e">
        <v>#N/A</v>
        <stp/>
        <stp>BDH|6779259405535842578</stp>
        <tr r="S74" s="17"/>
      </tp>
      <tp t="e">
        <v>#N/A</v>
        <stp/>
        <stp>BDH|1341185252297770663</stp>
        <tr r="Q50" s="12"/>
      </tp>
      <tp t="e">
        <v>#N/A</v>
        <stp/>
        <stp>BDH|7639412549713018061</stp>
        <tr r="C110" s="18"/>
      </tp>
      <tp t="e">
        <v>#N/A</v>
        <stp/>
        <stp>BDH|1503787981159329372</stp>
        <tr r="P7" s="14"/>
      </tp>
      <tp t="e">
        <v>#N/A</v>
        <stp/>
        <stp>BDH|2637002638110505539</stp>
        <tr r="G67" s="17"/>
        <tr r="D8" s="5"/>
        <tr r="D8" s="9"/>
      </tp>
      <tp t="e">
        <v>#N/A</v>
        <stp/>
        <stp>BDH|5719041417113500398</stp>
        <tr r="O62" s="18"/>
      </tp>
      <tp t="e">
        <v>#N/A</v>
        <stp/>
        <stp>BDH|1081581711241564045</stp>
        <tr r="Q67" s="24"/>
      </tp>
      <tp t="e">
        <v>#N/A</v>
        <stp/>
        <stp>BDH|3490984375618020112</stp>
        <tr r="I11" s="3"/>
        <tr r="G50" s="10"/>
        <tr r="G42" s="11"/>
        <tr r="G8" s="7"/>
      </tp>
      <tp t="e">
        <v>#N/A</v>
        <stp/>
        <stp>BDH|9465003959390652839</stp>
        <tr r="AA20" s="22"/>
      </tp>
      <tp t="e">
        <v>#N/A</v>
        <stp/>
        <stp>BDH|6849128646764782339</stp>
        <tr r="S43" s="22"/>
      </tp>
      <tp t="e">
        <v>#N/A</v>
        <stp/>
        <stp>BDH|4554162362815034291</stp>
        <tr r="AA20" s="18"/>
      </tp>
      <tp t="e">
        <v>#N/A</v>
        <stp/>
        <stp>BDH|1195340993677934871</stp>
        <tr r="R27" s="7"/>
      </tp>
      <tp t="e">
        <v>#N/A</v>
        <stp/>
        <stp>BDH|1511328218512261556</stp>
        <tr r="X28" s="6"/>
      </tp>
      <tp t="e">
        <v>#N/A</v>
        <stp/>
        <stp>BDH|1490414511422544292</stp>
        <tr r="G12" s="25"/>
      </tp>
      <tp t="e">
        <v>#N/A</v>
        <stp/>
        <stp>BDH|6644969954939890742</stp>
        <tr r="J8" s="12"/>
      </tp>
      <tp t="e">
        <v>#N/A</v>
        <stp/>
        <stp>BDH|2707411417533038098</stp>
        <tr r="L15" s="12"/>
      </tp>
      <tp t="e">
        <v>#N/A</v>
        <stp/>
        <stp>BDH|2807491988959730364</stp>
        <tr r="R31" s="21"/>
      </tp>
      <tp t="e">
        <v>#N/A</v>
        <stp/>
        <stp>BDH|3360060723306893362</stp>
        <tr r="M58" s="13"/>
      </tp>
      <tp t="e">
        <v>#N/A</v>
        <stp/>
        <stp>BDH|3466400306970307391</stp>
        <tr r="H44" s="17"/>
      </tp>
      <tp t="e">
        <v>#N/A</v>
        <stp/>
        <stp>BDH|6935452911256370175</stp>
        <tr r="Z121" s="18"/>
      </tp>
      <tp t="e">
        <v>#N/A</v>
        <stp/>
        <stp>BDH|3104382931562861590</stp>
        <tr r="T77" s="24"/>
      </tp>
      <tp t="e">
        <v>#N/A</v>
        <stp/>
        <stp>BDH|6268259563980900646</stp>
        <tr r="N26" s="10"/>
        <tr r="P32" s="13"/>
      </tp>
      <tp t="e">
        <v>#N/A</v>
        <stp/>
        <stp>BDH|4300790986598100745</stp>
        <tr r="C17" s="23"/>
      </tp>
      <tp t="e">
        <v>#N/A</v>
        <stp/>
        <stp>BDH|6249405012395973205</stp>
        <tr r="V81" s="12"/>
      </tp>
      <tp t="e">
        <v>#N/A</v>
        <stp/>
        <stp>BDH|3206975091113842453</stp>
        <tr r="M13" s="11"/>
      </tp>
      <tp t="e">
        <v>#N/A</v>
        <stp/>
        <stp>BDH|3554288511717217378</stp>
        <tr r="Z80" s="24"/>
      </tp>
      <tp t="e">
        <v>#N/A</v>
        <stp/>
        <stp>BDH|6366195920603161220</stp>
        <tr r="T64" s="13"/>
      </tp>
      <tp t="e">
        <v>#N/A</v>
        <stp/>
        <stp>BDH|5969541298788929551</stp>
        <tr r="L68" s="17"/>
      </tp>
      <tp t="e">
        <v>#N/A</v>
        <stp/>
        <stp>BDH|4258678458996474501</stp>
        <tr r="I41" s="22"/>
      </tp>
      <tp t="e">
        <v>#N/A</v>
        <stp/>
        <stp>BDH|6281379851490971440</stp>
        <tr r="Y58" s="17"/>
      </tp>
      <tp t="e">
        <v>#N/A</v>
        <stp/>
        <stp>BDH|7653046734243878374</stp>
        <tr r="O29" s="12"/>
      </tp>
      <tp t="e">
        <v>#N/A</v>
        <stp/>
        <stp>BDH|1715909359511217859</stp>
        <tr r="F45" s="24"/>
      </tp>
      <tp t="e">
        <v>#N/A</v>
        <stp/>
        <stp>BDH|4075427255448943975</stp>
        <tr r="Y16" s="12"/>
      </tp>
      <tp t="e">
        <v>#N/A</v>
        <stp/>
        <stp>BDH|5554415859379537915</stp>
        <tr r="K7" s="6"/>
      </tp>
      <tp t="e">
        <v>#N/A</v>
        <stp/>
        <stp>BDH|3154931203498833607</stp>
        <tr r="M16" s="11"/>
      </tp>
      <tp t="e">
        <v>#N/A</v>
        <stp/>
        <stp>BDH|5537457023584963333</stp>
        <tr r="Z58" s="18"/>
      </tp>
      <tp t="e">
        <v>#N/A</v>
        <stp/>
        <stp>BDH|4503023186588960014</stp>
        <tr r="K30" s="10"/>
        <tr r="M36" s="13"/>
      </tp>
      <tp t="e">
        <v>#N/A</v>
        <stp/>
        <stp>BDH|5991864402790499904</stp>
        <tr r="O76" s="17"/>
        <tr r="O19" s="3"/>
      </tp>
      <tp t="e">
        <v>#N/A</v>
        <stp/>
        <stp>BDH|3708002788367619807</stp>
        <tr r="G17" s="11"/>
      </tp>
      <tp t="e">
        <v>#N/A</v>
        <stp/>
        <stp>BDH|2835348364294460758</stp>
        <tr r="W41" s="10"/>
        <tr r="W33" s="11"/>
      </tp>
      <tp t="e">
        <v>#N/A</v>
        <stp/>
        <stp>BDH|7695069663145980030</stp>
        <tr r="L25" s="2"/>
        <tr r="N60" s="21"/>
      </tp>
      <tp t="e">
        <v>#N/A</v>
        <stp/>
        <stp>BDH|7184914023141867923</stp>
        <tr r="V23" s="6"/>
      </tp>
      <tp t="e">
        <v>#N/A</v>
        <stp/>
        <stp>BDH|7687283160514330346</stp>
        <tr r="W21" s="18"/>
      </tp>
      <tp t="e">
        <v>#N/A</v>
        <stp/>
        <stp>BDH|4802164161922063560</stp>
        <tr r="Q14" s="4"/>
      </tp>
      <tp t="e">
        <v>#N/A</v>
        <stp/>
        <stp>BDH|6132948684614151792</stp>
        <tr r="AA33" s="18"/>
      </tp>
      <tp t="e">
        <v>#N/A</v>
        <stp/>
        <stp>BDH|1979519605162056240</stp>
        <tr r="M81" s="17"/>
        <tr r="M20" s="3"/>
        <tr r="K6" s="7"/>
      </tp>
      <tp t="e">
        <v>#N/A</v>
        <stp/>
        <stp>BDH|3314385792688791571</stp>
        <tr r="R60" s="11"/>
        <tr r="T19" s="23"/>
      </tp>
      <tp t="e">
        <v>#N/A</v>
        <stp/>
        <stp>BDH|6376081005314386640</stp>
        <tr r="Q71" s="10"/>
        <tr r="Q63" s="11"/>
      </tp>
      <tp t="e">
        <v>#N/A</v>
        <stp/>
        <stp>BDH|3928840686981538675</stp>
        <tr r="Z124" s="18"/>
      </tp>
      <tp t="e">
        <v>#N/A</v>
        <stp/>
        <stp>BDH|4985644321482346661</stp>
        <tr r="F22" s="24"/>
      </tp>
      <tp t="e">
        <v>#N/A</v>
        <stp/>
        <stp>BDH|6992657266976093432</stp>
        <tr r="Z75" s="12"/>
      </tp>
      <tp t="e">
        <v>#N/A</v>
        <stp/>
        <stp>BDH|5829807398677160789</stp>
        <tr r="I14" s="10"/>
      </tp>
      <tp t="e">
        <v>#N/A</v>
        <stp/>
        <stp>BDH|1281373575087076690</stp>
        <tr r="AA43" s="18"/>
      </tp>
      <tp t="e">
        <v>#N/A</v>
        <stp/>
        <stp>BDH|9208982726780520608</stp>
        <tr r="T67" s="12"/>
      </tp>
      <tp t="e">
        <v>#N/A</v>
        <stp/>
        <stp>BDH|3496190746353636146</stp>
        <tr r="M27" s="26"/>
      </tp>
      <tp t="e">
        <v>#N/A</v>
        <stp/>
        <stp>BDH|5385634753563265181</stp>
        <tr r="P126" s="18"/>
      </tp>
      <tp t="e">
        <v>#N/A</v>
        <stp/>
        <stp>BDH|9856787279744531958</stp>
        <tr r="E79" s="18"/>
      </tp>
      <tp t="e">
        <v>#N/A</v>
        <stp/>
        <stp>BDH|6961016426356753608</stp>
        <tr r="AA86" s="17"/>
      </tp>
      <tp t="e">
        <v>#N/A</v>
        <stp/>
        <stp>BDH|5044289023711085052</stp>
        <tr r="W13" s="7"/>
      </tp>
      <tp t="e">
        <v>#N/A</v>
        <stp/>
        <stp>BDH|4026996694864147428</stp>
        <tr r="R42" s="34"/>
      </tp>
      <tp t="e">
        <v>#N/A</v>
        <stp/>
        <stp>BDH|5593070179955576307</stp>
        <tr r="K13" s="8"/>
      </tp>
      <tp t="e">
        <v>#N/A</v>
        <stp/>
        <stp>BDH|6690195646913031475</stp>
        <tr r="X8" s="8"/>
      </tp>
      <tp t="e">
        <v>#N/A</v>
        <stp/>
        <stp>BDH|8927404984560086038</stp>
        <tr r="Z17" s="20"/>
      </tp>
      <tp t="e">
        <v>#N/A</v>
        <stp/>
        <stp>BDH|7634763221202827472</stp>
        <tr r="T95" s="18"/>
      </tp>
      <tp t="e">
        <v>#N/A</v>
        <stp/>
        <stp>BDH|7123570812326946130</stp>
        <tr r="L19" s="6"/>
      </tp>
      <tp t="e">
        <v>#N/A</v>
        <stp/>
        <stp>BDH|3050936949609593319</stp>
        <tr r="Q62" s="12"/>
      </tp>
      <tp t="e">
        <v>#N/A</v>
        <stp/>
        <stp>BDH|3828768219927063690</stp>
        <tr r="G9" s="3"/>
        <tr r="E51" s="10"/>
        <tr r="E43" s="11"/>
        <tr r="E14" s="7"/>
      </tp>
      <tp t="e">
        <v>#N/A</v>
        <stp/>
        <stp>BDH|6711192389228174382</stp>
        <tr r="H71" s="12"/>
      </tp>
      <tp t="e">
        <v>#N/A</v>
        <stp/>
        <stp>BDH|9371493965187164807</stp>
        <tr r="E47" s="22"/>
      </tp>
      <tp t="e">
        <v>#N/A</v>
        <stp/>
        <stp>BDH|9657781393212136121</stp>
        <tr r="R30" s="34"/>
      </tp>
      <tp t="e">
        <v>#N/A</v>
        <stp/>
        <stp>BDH|5515543415553961636</stp>
        <tr r="AA86" s="24"/>
      </tp>
      <tp t="e">
        <v>#N/A</v>
        <stp/>
        <stp>BDH|3117542309754717652</stp>
        <tr r="O88" s="18"/>
      </tp>
      <tp t="e">
        <v>#N/A</v>
        <stp/>
        <stp>BDH|5145192045010086439</stp>
        <tr r="AA8" s="21"/>
      </tp>
      <tp t="e">
        <v>#N/A</v>
        <stp/>
        <stp>BDH|7748750121673842551</stp>
        <tr r="F73" s="12"/>
      </tp>
      <tp t="e">
        <v>#N/A</v>
        <stp/>
        <stp>BDH|5819049310568033829</stp>
        <tr r="N100" s="18"/>
        <tr r="N9" s="20"/>
      </tp>
      <tp t="e">
        <v>#N/A</v>
        <stp/>
        <stp>BDH|2178269601936087288</stp>
        <tr r="F56" s="11"/>
      </tp>
      <tp t="e">
        <v>#N/A</v>
        <stp/>
        <stp>BDH|1520433658350258420</stp>
        <tr r="M19" s="6"/>
      </tp>
      <tp t="e">
        <v>#N/A</v>
        <stp/>
        <stp>BDH|4640367418740272245</stp>
        <tr r="AA49" s="13"/>
      </tp>
      <tp t="e">
        <v>#N/A</v>
        <stp/>
        <stp>BDH|1506161414166827314</stp>
        <tr r="AA34" s="18"/>
      </tp>
      <tp t="e">
        <v>#N/A</v>
        <stp/>
        <stp>BDH|7763609448261932088</stp>
        <tr r="T33" s="24"/>
      </tp>
      <tp t="e">
        <v>#N/A</v>
        <stp/>
        <stp>BDH|2843735028381934247</stp>
        <tr r="V53" s="18"/>
      </tp>
      <tp t="e">
        <v>#N/A</v>
        <stp/>
        <stp>BDH|6866068124495723531</stp>
        <tr r="E51" s="18"/>
      </tp>
      <tp t="e">
        <v>#N/A</v>
        <stp/>
        <stp>BDH|1497982887597668331</stp>
        <tr r="N15" s="30"/>
      </tp>
      <tp t="e">
        <v>#N/A</v>
        <stp/>
        <stp>BDH|3361151238256952398</stp>
        <tr r="R12" s="6"/>
      </tp>
      <tp t="e">
        <v>#N/A</v>
        <stp/>
        <stp>BDH|6654842409468424219</stp>
        <tr r="T8" s="22"/>
      </tp>
      <tp t="e">
        <v>#N/A</v>
        <stp/>
        <stp>BDH|5500408529345742257</stp>
        <tr r="Z50" s="12"/>
      </tp>
      <tp t="e">
        <v>#N/A</v>
        <stp/>
        <stp>BDH|2832298302614555083</stp>
        <tr r="S51" s="6"/>
        <tr r="U6" s="8"/>
      </tp>
      <tp t="e">
        <v>#N/A</v>
        <stp/>
        <stp>BDH|8717723375828737492</stp>
        <tr r="L43" s="4"/>
      </tp>
      <tp t="e">
        <v>#N/A</v>
        <stp/>
        <stp>BDH|2790179465229819838</stp>
        <tr r="C53" s="18"/>
      </tp>
      <tp t="e">
        <v>#N/A</v>
        <stp/>
        <stp>BDH|6834679324961293770</stp>
        <tr r="Z114" s="18"/>
      </tp>
      <tp t="e">
        <v>#N/A</v>
        <stp/>
        <stp>BDH|4581312649832697551</stp>
        <tr r="D17" s="24"/>
      </tp>
      <tp t="e">
        <v>#N/A</v>
        <stp/>
        <stp>BDH|1043953888977154321</stp>
        <tr r="E67" s="24"/>
      </tp>
      <tp t="e">
        <v>#N/A</v>
        <stp/>
        <stp>BDH|6894600807415645173</stp>
        <tr r="M8" s="24"/>
      </tp>
      <tp t="e">
        <v>#N/A</v>
        <stp/>
        <stp>BDH|2291732762752431592</stp>
        <tr r="AA15" s="22"/>
      </tp>
      <tp t="e">
        <v>#N/A</v>
        <stp/>
        <stp>BDH|4832400197449528448</stp>
        <tr r="P15" s="22"/>
      </tp>
      <tp t="e">
        <v>#N/A</v>
        <stp/>
        <stp>BDH|4283539907036841308</stp>
        <tr r="D10" s="34"/>
      </tp>
      <tp t="e">
        <v>#N/A</v>
        <stp/>
        <stp>BDH|9933308956608522342</stp>
        <tr r="S25" s="25"/>
        <tr r="S10" s="27"/>
      </tp>
      <tp t="e">
        <v>#N/A</v>
        <stp/>
        <stp>BDH|4748913783309809838</stp>
        <tr r="D63" s="18"/>
      </tp>
      <tp t="e">
        <v>#N/A</v>
        <stp/>
        <stp>BDH|5398728217024958318</stp>
        <tr r="K22" s="27"/>
      </tp>
      <tp t="e">
        <v>#N/A</v>
        <stp/>
        <stp>BDH|4711299474163440601</stp>
        <tr r="I34" s="9"/>
      </tp>
      <tp t="e">
        <v>#N/A</v>
        <stp/>
        <stp>BDH|6937212639180793385</stp>
        <tr r="I29" s="21"/>
      </tp>
      <tp t="e">
        <v>#N/A</v>
        <stp/>
        <stp>BDH|2831867995230786721</stp>
        <tr r="E21" s="4"/>
      </tp>
      <tp t="e">
        <v>#N/A</v>
        <stp/>
        <stp>BDH|6993127476222535661</stp>
        <tr r="K130" s="18"/>
      </tp>
      <tp t="e">
        <v>#N/A</v>
        <stp/>
        <stp>BDH|1687485019628867813</stp>
        <tr r="T47" s="34"/>
      </tp>
      <tp t="e">
        <v>#N/A</v>
        <stp/>
        <stp>BDH|1761854192141772585</stp>
        <tr r="M9" s="18"/>
      </tp>
      <tp t="e">
        <v>#N/A</v>
        <stp/>
        <stp>BDH|5785702617256905169</stp>
        <tr r="E32" s="6"/>
      </tp>
      <tp t="e">
        <v>#N/A</v>
        <stp/>
        <stp>BDH|4604323509645207605</stp>
        <tr r="M63" s="18"/>
      </tp>
      <tp t="e">
        <v>#N/A</v>
        <stp/>
        <stp>BDH|6354213058013277671</stp>
        <tr r="Q23" s="6"/>
      </tp>
      <tp t="e">
        <v>#N/A</v>
        <stp/>
        <stp>BDH|3200659629391820298</stp>
        <tr r="P17" s="29"/>
        <tr r="P40" s="29"/>
      </tp>
      <tp t="e">
        <v>#N/A</v>
        <stp/>
        <stp>BDH|3267527265580825426</stp>
        <tr r="P47" s="10"/>
        <tr r="P39" s="11"/>
      </tp>
      <tp t="e">
        <v>#N/A</v>
        <stp/>
        <stp>BDH|8142767868729058402</stp>
        <tr r="G29" s="18"/>
      </tp>
      <tp t="e">
        <v>#N/A</v>
        <stp/>
        <stp>BDH|9221603360605412895</stp>
        <tr r="Y30" s="22"/>
      </tp>
      <tp t="e">
        <v>#N/A</v>
        <stp/>
        <stp>BDH|4507616221042356691</stp>
        <tr r="U50" s="13"/>
      </tp>
      <tp t="e">
        <v>#N/A</v>
        <stp/>
        <stp>BDH|4216808599769748838</stp>
        <tr r="S90" s="18"/>
      </tp>
      <tp t="e">
        <v>#N/A</v>
        <stp/>
        <stp>BDH|8313883840159268960</stp>
        <tr r="K67" s="17"/>
        <tr r="H8" s="5"/>
        <tr r="H8" s="9"/>
      </tp>
      <tp t="e">
        <v>#N/A</v>
        <stp/>
        <stp>BDH|3132667490150094889</stp>
        <tr r="V21" s="27"/>
      </tp>
      <tp t="e">
        <v>#N/A</v>
        <stp/>
        <stp>BDH|1035684030910130069</stp>
        <tr r="Q106" s="18"/>
      </tp>
      <tp t="e">
        <v>#N/A</v>
        <stp/>
        <stp>BDH|7164261694949491183</stp>
        <tr r="G7" s="24"/>
      </tp>
      <tp t="e">
        <v>#N/A</v>
        <stp/>
        <stp>BDH|7275302489219327171</stp>
        <tr r="Q12" s="3"/>
        <tr r="O55" s="10"/>
        <tr r="O47" s="11"/>
        <tr r="O7" s="7"/>
      </tp>
      <tp t="e">
        <v>#N/A</v>
        <stp/>
        <stp>BDH|8032625802799823377</stp>
        <tr r="L8" s="23"/>
      </tp>
      <tp t="e">
        <v>#N/A</v>
        <stp/>
        <stp>BDH|8603375889142002570</stp>
        <tr r="E44" s="12"/>
      </tp>
      <tp t="e">
        <v>#N/A</v>
        <stp/>
        <stp>BDH|7879305175130235704</stp>
        <tr r="P43" s="17"/>
      </tp>
      <tp t="e">
        <v>#N/A</v>
        <stp/>
        <stp>BDH|6933574810082516441</stp>
        <tr r="C30" s="21"/>
      </tp>
      <tp t="e">
        <v>#N/A</v>
        <stp/>
        <stp>BDH|4447398122051126018</stp>
        <tr r="L20" s="18"/>
      </tp>
      <tp t="e">
        <v>#N/A</v>
        <stp/>
        <stp>BDH|3988386831927863077</stp>
        <tr r="T41" s="21"/>
      </tp>
      <tp t="e">
        <v>#N/A</v>
        <stp/>
        <stp>BDH|5949449703530392527</stp>
        <tr r="X42" s="10"/>
        <tr r="X34" s="11"/>
      </tp>
      <tp t="e">
        <v>#N/A</v>
        <stp/>
        <stp>BDH|7430296082158083105</stp>
        <tr r="N7" s="6"/>
      </tp>
      <tp t="e">
        <v>#N/A</v>
        <stp/>
        <stp>BDH|4850112419296891675</stp>
        <tr r="G23" s="6"/>
      </tp>
      <tp t="e">
        <v>#N/A</v>
        <stp/>
        <stp>BDH|3816048365066527733</stp>
        <tr r="U9" s="22"/>
      </tp>
      <tp t="e">
        <v>#N/A</v>
        <stp/>
        <stp>BDH|7715824398843317114</stp>
        <tr r="K49" s="18"/>
      </tp>
      <tp t="e">
        <v>#N/A</v>
        <stp/>
        <stp>BDH|3666286006972756704</stp>
        <tr r="E79" s="12"/>
      </tp>
      <tp t="e">
        <v>#N/A</v>
        <stp/>
        <stp>BDH|4855456144001528139</stp>
        <tr r="I30" s="10"/>
        <tr r="K36" s="13"/>
      </tp>
      <tp t="e">
        <v>#N/A</v>
        <stp/>
        <stp>BDH|5188052512927888710</stp>
        <tr r="J47" s="18"/>
      </tp>
      <tp t="e">
        <v>#N/A</v>
        <stp/>
        <stp>BDH|5250185279891927651</stp>
        <tr r="S8" s="4"/>
      </tp>
      <tp t="e">
        <v>#N/A</v>
        <stp/>
        <stp>BDH|7753945219132034958</stp>
        <tr r="P11" s="28"/>
      </tp>
      <tp t="e">
        <v>#N/A</v>
        <stp/>
        <stp>BDH|1097938038679350678</stp>
        <tr r="R26" s="26"/>
      </tp>
      <tp t="e">
        <v>#N/A</v>
        <stp/>
        <stp>BDH|7530148769477050370</stp>
        <tr r="K69" s="17"/>
      </tp>
      <tp t="e">
        <v>#N/A</v>
        <stp/>
        <stp>BDH|2015654629565629758</stp>
        <tr r="F14" s="4"/>
      </tp>
      <tp t="e">
        <v>#N/A</v>
        <stp/>
        <stp>BDH|9959509175898491770</stp>
        <tr r="Y29" s="10"/>
        <tr r="AA35" s="13"/>
      </tp>
      <tp t="e">
        <v>#N/A</v>
        <stp/>
        <stp>BDH|2574363248073393270</stp>
        <tr r="F41" s="12"/>
      </tp>
      <tp t="e">
        <v>#N/A</v>
        <stp/>
        <stp>BDH|8936206557642365928</stp>
        <tr r="V55" s="24"/>
      </tp>
      <tp t="e">
        <v>#N/A</v>
        <stp/>
        <stp>BDH|5927242074427188371</stp>
        <tr r="AA49" s="12"/>
      </tp>
      <tp t="e">
        <v>#N/A</v>
        <stp/>
        <stp>BDH|4999455012315277037</stp>
        <tr r="T26" s="13"/>
      </tp>
      <tp t="e">
        <v>#N/A</v>
        <stp/>
        <stp>BDH|8035644997732985157</stp>
        <tr r="M117" s="18"/>
      </tp>
      <tp t="e">
        <v>#N/A</v>
        <stp/>
        <stp>BDH|3084997001099335742</stp>
        <tr r="G7" s="21"/>
      </tp>
      <tp t="e">
        <v>#N/A</v>
        <stp/>
        <stp>BDH|5898377402510406265</stp>
        <tr r="E20" s="2"/>
        <tr r="E18" s="4"/>
        <tr r="E58" s="10"/>
        <tr r="E50" s="11"/>
        <tr r="E19" s="7"/>
        <tr r="G65" s="13"/>
      </tp>
      <tp t="e">
        <v>#N/A</v>
        <stp/>
        <stp>BDH|6560767924897307089</stp>
        <tr r="J43" s="6"/>
      </tp>
      <tp t="e">
        <v>#N/A</v>
        <stp/>
        <stp>BDH|4424367673731461594</stp>
        <tr r="R8" s="23"/>
      </tp>
      <tp t="e">
        <v>#N/A</v>
        <stp/>
        <stp>BDH|7615489157082182040</stp>
        <tr r="J8" s="24"/>
      </tp>
      <tp t="e">
        <v>#N/A</v>
        <stp/>
        <stp>BDH|7376384535434655741</stp>
        <tr r="E42" s="21"/>
      </tp>
      <tp t="e">
        <v>#N/A</v>
        <stp/>
        <stp>BDH|1407911051729002085</stp>
        <tr r="S64" s="17"/>
      </tp>
      <tp t="e">
        <v>#N/A</v>
        <stp/>
        <stp>BDH|5535761535652935734</stp>
        <tr r="M8" s="14"/>
      </tp>
      <tp t="e">
        <v>#N/A</v>
        <stp/>
        <stp>BDH|8876310754152474852</stp>
        <tr r="I17" s="30"/>
      </tp>
      <tp t="e">
        <v>#N/A</v>
        <stp/>
        <stp>BDH|4004782064097492648</stp>
        <tr r="L13" s="25"/>
      </tp>
      <tp t="e">
        <v>#N/A</v>
        <stp/>
        <stp>BDH|7531125748091350700</stp>
        <tr r="H44" s="12"/>
      </tp>
      <tp t="e">
        <v>#N/A</v>
        <stp/>
        <stp>BDH|5216168978720459749</stp>
        <tr r="V7" s="34"/>
      </tp>
      <tp t="e">
        <v>#N/A</v>
        <stp/>
        <stp>BDH|6896765666302097144</stp>
        <tr r="N19" s="24"/>
      </tp>
      <tp t="e">
        <v>#N/A</v>
        <stp/>
        <stp>BDH|2603579734535075599</stp>
        <tr r="W35" s="21"/>
      </tp>
      <tp t="e">
        <v>#N/A</v>
        <stp/>
        <stp>BDH|4907590959768044851</stp>
        <tr r="Y13" s="11"/>
      </tp>
      <tp t="e">
        <v>#N/A</v>
        <stp/>
        <stp>BDH|1275360439670619572</stp>
        <tr r="C25" s="17"/>
      </tp>
      <tp t="e">
        <v>#N/A</v>
        <stp/>
        <stp>BDH|2869650417522144375</stp>
        <tr r="W40" s="21"/>
      </tp>
      <tp t="e">
        <v>#N/A</v>
        <stp/>
        <stp>BDH|1741792260952132639</stp>
        <tr r="H22" s="10"/>
      </tp>
      <tp t="e">
        <v>#N/A</v>
        <stp/>
        <stp>BDH|1539657873673916766</stp>
        <tr r="N52" s="12"/>
      </tp>
      <tp t="e">
        <v>#N/A</v>
        <stp/>
        <stp>BDH|3900232054562016223</stp>
        <tr r="O65" s="17"/>
      </tp>
      <tp t="e">
        <v>#N/A</v>
        <stp/>
        <stp>BDH|8260846168627302513</stp>
        <tr r="O7" s="2"/>
        <tr r="N7" s="5"/>
        <tr r="N7" s="9"/>
        <tr r="Q14" s="3"/>
      </tp>
      <tp t="e">
        <v>#N/A</v>
        <stp/>
        <stp>BDH|9650692355269594739</stp>
        <tr r="Y24" s="21"/>
      </tp>
      <tp t="e">
        <v>#N/A</v>
        <stp/>
        <stp>BDH|2768162668235101443</stp>
        <tr r="Y21" s="10"/>
      </tp>
      <tp t="e">
        <v>#N/A</v>
        <stp/>
        <stp>BDH|3859820441482349940</stp>
        <tr r="H18" s="9"/>
      </tp>
      <tp t="e">
        <v>#N/A</v>
        <stp/>
        <stp>BDH|7144683217394765057</stp>
        <tr r="K23" s="12"/>
      </tp>
      <tp t="e">
        <v>#N/A</v>
        <stp/>
        <stp>BDH|6525419859832877193</stp>
        <tr r="P14" s="13"/>
      </tp>
      <tp t="e">
        <v>#N/A</v>
        <stp/>
        <stp>BDH|2218432654656151187</stp>
        <tr r="J61" s="24"/>
      </tp>
      <tp t="e">
        <v>#N/A</v>
        <stp/>
        <stp>BDH|5587971057489139488</stp>
        <tr r="X44" s="18"/>
      </tp>
      <tp t="e">
        <v>#N/A</v>
        <stp/>
        <stp>BDH|6450450066766821636</stp>
        <tr r="Y39" s="17"/>
      </tp>
      <tp t="e">
        <v>#N/A</v>
        <stp/>
        <stp>BDH|5436246627343845234</stp>
        <tr r="Q22" s="21"/>
      </tp>
      <tp t="e">
        <v>#N/A</v>
        <stp/>
        <stp>BDH|3055268528845458266</stp>
        <tr r="C83" s="18"/>
      </tp>
      <tp t="e">
        <v>#N/A</v>
        <stp/>
        <stp>BDH|2950825381953569539</stp>
        <tr r="E72" s="17"/>
      </tp>
      <tp t="e">
        <v>#N/A</v>
        <stp/>
        <stp>BDH|1338998441410368840</stp>
        <tr r="K83" s="24"/>
      </tp>
      <tp t="e">
        <v>#N/A</v>
        <stp/>
        <stp>BDH|3449725178526648149</stp>
        <tr r="R136" s="18"/>
      </tp>
      <tp t="e">
        <v>#N/A</v>
        <stp/>
        <stp>BDH|7116092689572472999</stp>
        <tr r="U15" s="26"/>
      </tp>
      <tp t="e">
        <v>#N/A</v>
        <stp/>
        <stp>BDH|7865064866831563414</stp>
        <tr r="G24" s="13"/>
      </tp>
      <tp t="e">
        <v>#N/A</v>
        <stp/>
        <stp>BDH|8394391871109781109</stp>
        <tr r="J15" s="12"/>
      </tp>
      <tp t="e">
        <v>#N/A</v>
        <stp/>
        <stp>BDH|4499103682038277185</stp>
        <tr r="T83" s="24"/>
      </tp>
      <tp t="e">
        <v>#N/A</v>
        <stp/>
        <stp>BDH|6203185364163693646</stp>
        <tr r="L56" s="6"/>
      </tp>
      <tp t="e">
        <v>#N/A</v>
        <stp/>
        <stp>BDH|5512351259527172049</stp>
        <tr r="V13" s="6"/>
      </tp>
      <tp t="e">
        <v>#N/A</v>
        <stp/>
        <stp>BDH|3168274240291932038</stp>
        <tr r="H98" s="18"/>
        <tr r="H7" s="20"/>
      </tp>
      <tp t="e">
        <v>#N/A</v>
        <stp/>
        <stp>BDH|2892305174502219023</stp>
        <tr r="E46" s="12"/>
      </tp>
      <tp t="e">
        <v>#N/A</v>
        <stp/>
        <stp>BDH|8707493237578586304</stp>
        <tr r="Q27" s="7"/>
      </tp>
      <tp t="e">
        <v>#N/A</v>
        <stp/>
        <stp>BDH|4876199859683109752</stp>
        <tr r="Q126" s="18"/>
      </tp>
      <tp t="e">
        <v>#N/A</v>
        <stp/>
        <stp>BDH|7120120821753694386</stp>
        <tr r="Q14" s="28"/>
      </tp>
      <tp t="e">
        <v>#N/A</v>
        <stp/>
        <stp>BDH|7082812680260514385</stp>
        <tr r="R32" s="18"/>
      </tp>
      <tp t="e">
        <v>#N/A</v>
        <stp/>
        <stp>BDH|8425458402529636193</stp>
        <tr r="I92" s="17"/>
        <tr r="I13" s="28"/>
      </tp>
      <tp t="e">
        <v>#N/A</v>
        <stp/>
        <stp>BDH|4960047300957470750</stp>
        <tr r="K30" s="25"/>
        <tr r="K16" s="27"/>
      </tp>
      <tp t="e">
        <v>#N/A</v>
        <stp/>
        <stp>BDH|1081211561169449883</stp>
        <tr r="I60" s="11"/>
        <tr r="K19" s="23"/>
      </tp>
      <tp t="e">
        <v>#N/A</v>
        <stp/>
        <stp>BDH|5350612608944125372</stp>
        <tr r="Z125" s="18"/>
      </tp>
      <tp t="e">
        <v>#N/A</v>
        <stp/>
        <stp>BDH|7374880429229726086</stp>
        <tr r="L39" s="25"/>
        <tr r="L7" s="3"/>
        <tr r="J18" s="11"/>
        <tr r="L22" s="13"/>
        <tr r="L7" s="13"/>
      </tp>
      <tp t="e">
        <v>#N/A</v>
        <stp/>
        <stp>BDH|1027799402562362059</stp>
        <tr r="M25" s="12"/>
      </tp>
      <tp t="e">
        <v>#N/A</v>
        <stp/>
        <stp>BDH|7896421757425053708</stp>
        <tr r="L38" s="4"/>
        <tr r="L58" s="11"/>
        <tr r="N13" s="23"/>
      </tp>
      <tp t="e">
        <v>#N/A</v>
        <stp/>
        <stp>BDH|4517428342027098781</stp>
        <tr r="P46" s="12"/>
      </tp>
      <tp t="e">
        <v>#N/A</v>
        <stp/>
        <stp>BDH|8634216319389247613</stp>
        <tr r="X97" s="18"/>
        <tr r="X6" s="20"/>
      </tp>
      <tp t="e">
        <v>#N/A</v>
        <stp/>
        <stp>BDH|2802466927549243967</stp>
        <tr r="I16" s="22"/>
      </tp>
      <tp t="e">
        <v>#N/A</v>
        <stp/>
        <stp>BDH|4712031559382202723</stp>
        <tr r="W90" s="24"/>
      </tp>
      <tp t="e">
        <v>#N/A</v>
        <stp/>
        <stp>BDH|3311680229487722484</stp>
        <tr r="X47" s="24"/>
      </tp>
      <tp t="e">
        <v>#N/A</v>
        <stp/>
        <stp>BDH|1117191443583301356</stp>
        <tr r="P15" s="14"/>
      </tp>
      <tp t="e">
        <v>#N/A</v>
        <stp/>
        <stp>BDH|1154293342832422139</stp>
        <tr r="Y78" s="18"/>
      </tp>
      <tp t="e">
        <v>#N/A</v>
        <stp/>
        <stp>BDH|6472534544942882167</stp>
        <tr r="M32" s="10"/>
        <tr r="M24" s="11"/>
      </tp>
      <tp t="e">
        <v>#N/A</v>
        <stp/>
        <stp>BDH|8754230239925309839</stp>
        <tr r="N41" s="10"/>
        <tr r="N33" s="11"/>
      </tp>
      <tp t="e">
        <v>#N/A</v>
        <stp/>
        <stp>BDH|3100627962292880549</stp>
        <tr r="V14" s="11"/>
      </tp>
      <tp t="e">
        <v>#N/A</v>
        <stp/>
        <stp>BDH|5739191203002453243</stp>
        <tr r="C122" s="18"/>
      </tp>
      <tp t="e">
        <v>#N/A</v>
        <stp/>
        <stp>BDH|7984530224402722649</stp>
        <tr r="Q52" s="21"/>
      </tp>
      <tp t="e">
        <v>#N/A</v>
        <stp/>
        <stp>BDH|3015778518967364611</stp>
        <tr r="Q62" s="13"/>
      </tp>
      <tp t="e">
        <v>#N/A</v>
        <stp/>
        <stp>BDH|6082499658507868445</stp>
        <tr r="P22" s="4"/>
      </tp>
      <tp t="e">
        <v>#N/A</v>
        <stp/>
        <stp>BDH|5240747379097164632</stp>
        <tr r="K17" s="10"/>
      </tp>
      <tp t="e">
        <v>#N/A</v>
        <stp/>
        <stp>BDH|6004904048677455811</stp>
        <tr r="P17" s="4"/>
        <tr r="R10" s="3"/>
        <tr r="P56" s="10"/>
        <tr r="P48" s="11"/>
        <tr r="P17" s="7"/>
        <tr r="R54" s="13"/>
      </tp>
      <tp t="e">
        <v>#N/A</v>
        <stp/>
        <stp>BDH|9910741236651621802</stp>
        <tr r="M50" s="21"/>
      </tp>
      <tp t="e">
        <v>#N/A</v>
        <stp/>
        <stp>BDH|7141209419827306763</stp>
        <tr r="L56" s="18"/>
      </tp>
      <tp t="e">
        <v>#N/A</v>
        <stp/>
        <stp>BDH|4293990903970715927</stp>
        <tr r="Y43" s="22"/>
      </tp>
      <tp t="e">
        <v>#N/A</v>
        <stp/>
        <stp>BDH|1740717945057807165</stp>
        <tr r="W18" s="10"/>
        <tr r="Y16" s="13"/>
        <tr r="Y27" s="13"/>
      </tp>
      <tp t="e">
        <v>#N/A</v>
        <stp/>
        <stp>BDH|5929738575488713956</stp>
        <tr r="G16" s="29"/>
        <tr r="G39" s="29"/>
      </tp>
      <tp t="e">
        <v>#N/A</v>
        <stp/>
        <stp>BDH|1338149805990686493</stp>
        <tr r="I17" s="17"/>
        <tr r="I20" s="28"/>
      </tp>
      <tp t="e">
        <v>#N/A</v>
        <stp/>
        <stp>BDH|3059028330140648493</stp>
        <tr r="O37" s="21"/>
        <tr r="O24" s="3"/>
      </tp>
      <tp t="e">
        <v>#N/A</v>
        <stp/>
        <stp>BDH|4485630547554865650</stp>
        <tr r="R31" s="34"/>
      </tp>
      <tp t="e">
        <v>#N/A</v>
        <stp/>
        <stp>BDH|7134299454113420752</stp>
        <tr r="C62" s="17"/>
      </tp>
      <tp t="e">
        <v>#N/A</v>
        <stp/>
        <stp>BDH|4896607465993089304</stp>
        <tr r="J25" s="25"/>
        <tr r="J10" s="27"/>
      </tp>
      <tp t="e">
        <v>#N/A</v>
        <stp/>
        <stp>BDH|1182996386775263115</stp>
        <tr r="H53" s="17"/>
      </tp>
      <tp t="e">
        <v>#N/A</v>
        <stp/>
        <stp>BDH|3879557154402291567</stp>
        <tr r="H14" s="17"/>
        <tr r="H17" s="28"/>
      </tp>
      <tp t="e">
        <v>#N/A</v>
        <stp/>
        <stp>BDH|4639261045232880402</stp>
        <tr r="M11" s="13"/>
      </tp>
      <tp t="e">
        <v>#N/A</v>
        <stp/>
        <stp>BDH|3731293572456212438</stp>
        <tr r="M24" s="10"/>
      </tp>
      <tp t="e">
        <v>#N/A</v>
        <stp/>
        <stp>BDH|7239125909585783736</stp>
        <tr r="AA9" s="28"/>
      </tp>
      <tp t="e">
        <v>#N/A</v>
        <stp/>
        <stp>BDH|3588920780310369691</stp>
        <tr r="D22" s="27"/>
      </tp>
      <tp t="e">
        <v>#N/A</v>
        <stp/>
        <stp>BDH|5000289246612444577</stp>
        <tr r="V60" s="18"/>
      </tp>
      <tp t="e">
        <v>#N/A</v>
        <stp/>
        <stp>BDH|6250331013824612492</stp>
        <tr r="I41" s="18"/>
      </tp>
      <tp t="e">
        <v>#N/A</v>
        <stp/>
        <stp>BDH|3059198872355129473</stp>
        <tr r="T97" s="18"/>
        <tr r="T6" s="20"/>
      </tp>
      <tp t="e">
        <v>#N/A</v>
        <stp/>
        <stp>BDH|4851114504440286123</stp>
        <tr r="J71" s="24"/>
      </tp>
      <tp t="e">
        <v>#N/A</v>
        <stp/>
        <stp>BDH|4126011965364869208</stp>
        <tr r="H35" s="4"/>
      </tp>
      <tp t="e">
        <v>#N/A</v>
        <stp/>
        <stp>BDH|5872830983159097851</stp>
        <tr r="J52" s="21"/>
      </tp>
      <tp t="e">
        <v>#N/A</v>
        <stp/>
        <stp>BDH|3898075390246488897</stp>
        <tr r="F28" s="25"/>
        <tr r="F14" s="27"/>
      </tp>
      <tp t="e">
        <v>#N/A</v>
        <stp/>
        <stp>BDH|7965074730654417484</stp>
        <tr r="N9" s="2"/>
        <tr r="P8" s="25"/>
        <tr r="M10" s="5"/>
      </tp>
      <tp t="e">
        <v>#N/A</v>
        <stp/>
        <stp>BDH|9318003433756607844</stp>
        <tr r="E61" s="21"/>
      </tp>
      <tp t="e">
        <v>#N/A</v>
        <stp/>
        <stp>BDH|9327935902114114016</stp>
        <tr r="Q63" s="18"/>
      </tp>
      <tp t="e">
        <v>#N/A</v>
        <stp/>
        <stp>BDH|8629555980656898798</stp>
        <tr r="I22" s="10"/>
      </tp>
      <tp t="e">
        <v>#N/A</v>
        <stp/>
        <stp>BDH|1150784188683416976</stp>
        <tr r="F57" s="12"/>
      </tp>
      <tp t="e">
        <v>#N/A</v>
        <stp/>
        <stp>BDH|6559611048921753198</stp>
        <tr r="F10" s="13"/>
      </tp>
      <tp t="e">
        <v>#N/A</v>
        <stp/>
        <stp>BDH|2798614108774594493</stp>
        <tr r="L42" s="6"/>
      </tp>
      <tp t="e">
        <v>#N/A</v>
        <stp/>
        <stp>BDH|4995892796980200162</stp>
        <tr r="T15" s="29"/>
        <tr r="T38" s="29"/>
      </tp>
      <tp t="e">
        <v>#N/A</v>
        <stp/>
        <stp>BDH|2466600085308516067</stp>
        <tr r="S19" s="30"/>
      </tp>
      <tp t="e">
        <v>#N/A</v>
        <stp/>
        <stp>BDH|2951245434321286698</stp>
        <tr r="P86" s="18"/>
      </tp>
      <tp t="e">
        <v>#N/A</v>
        <stp/>
        <stp>BDH|7890681965815615612</stp>
        <tr r="L9" s="2"/>
        <tr r="N8" s="25"/>
        <tr r="K10" s="5"/>
      </tp>
      <tp t="e">
        <v>#N/A</v>
        <stp/>
        <stp>BDH|1759688735824024484</stp>
        <tr r="O18" s="20"/>
      </tp>
      <tp t="e">
        <v>#N/A</v>
        <stp/>
        <stp>BDH|5934883682597963680</stp>
        <tr r="Q41" s="22"/>
      </tp>
      <tp t="e">
        <v>#N/A</v>
        <stp/>
        <stp>BDH|1807700951420979721</stp>
        <tr r="E22" s="22"/>
      </tp>
      <tp t="e">
        <v>#N/A</v>
        <stp/>
        <stp>BDH|1463258032104853098</stp>
        <tr r="I22" s="4"/>
      </tp>
      <tp t="e">
        <v>#N/A</v>
        <stp/>
        <stp>BDH|2719673132827707478</stp>
        <tr r="S30" s="17"/>
      </tp>
      <tp t="e">
        <v>#N/A</v>
        <stp/>
        <stp>BDH|7349277605766506766</stp>
        <tr r="D135" s="18"/>
      </tp>
      <tp t="e">
        <v>#N/A</v>
        <stp/>
        <stp>BDH|3382807801906451946</stp>
        <tr r="Q21" s="30"/>
      </tp>
      <tp t="e">
        <v>#N/A</v>
        <stp/>
        <stp>BDH|7770381489718407005</stp>
        <tr r="L58" s="12"/>
      </tp>
      <tp t="e">
        <v>#N/A</v>
        <stp/>
        <stp>BDH|4958732088137541856</stp>
        <tr r="K106" s="18"/>
      </tp>
      <tp t="e">
        <v>#N/A</v>
        <stp/>
        <stp>BDH|7085584679503162228</stp>
        <tr r="Z89" s="12"/>
      </tp>
      <tp t="e">
        <v>#N/A</v>
        <stp/>
        <stp>BDH|8826292613399578653</stp>
        <tr r="C63" s="17"/>
      </tp>
      <tp t="e">
        <v>#N/A</v>
        <stp/>
        <stp>BDH|9558933994314133911</stp>
        <tr r="S138" s="18"/>
      </tp>
      <tp t="e">
        <v>#N/A</v>
        <stp/>
        <stp>BDH|4958980731333493968</stp>
        <tr r="I29" s="12"/>
      </tp>
      <tp t="e">
        <v>#N/A</v>
        <stp/>
        <stp>BDH|8888970479212554018</stp>
        <tr r="J73" s="12"/>
      </tp>
      <tp t="e">
        <v>#N/A</v>
        <stp/>
        <stp>BDH|6745965086127361460</stp>
        <tr r="Q28" s="22"/>
      </tp>
      <tp t="e">
        <v>#N/A</v>
        <stp/>
        <stp>BDH|4421585199455245951</stp>
        <tr r="L16" s="14"/>
      </tp>
      <tp t="e">
        <v>#N/A</v>
        <stp/>
        <stp>BDH|5065643096119925790</stp>
        <tr r="F13" s="13"/>
      </tp>
      <tp t="e">
        <v>#N/A</v>
        <stp/>
        <stp>BDH|5582358975542200753</stp>
        <tr r="R45" s="34"/>
      </tp>
      <tp t="e">
        <v>#N/A</v>
        <stp/>
        <stp>BDH|6777386959336057241</stp>
        <tr r="Q68" s="18"/>
      </tp>
      <tp t="e">
        <v>#N/A</v>
        <stp/>
        <stp>BDH|7423533790839362666</stp>
        <tr r="F12" s="12"/>
      </tp>
      <tp t="e">
        <v>#N/A</v>
        <stp/>
        <stp>BDH|5123093239941083339</stp>
        <tr r="P84" s="24"/>
      </tp>
      <tp t="e">
        <v>#N/A</v>
        <stp/>
        <stp>BDH|2876150575167362799</stp>
        <tr r="S114" s="18"/>
      </tp>
      <tp t="e">
        <v>#N/A</v>
        <stp/>
        <stp>BDH|9288339357822482908</stp>
        <tr r="Y20" s="29"/>
      </tp>
      <tp t="e">
        <v>#N/A</v>
        <stp/>
        <stp>BDH|4798556515495011152</stp>
        <tr r="H79" s="24"/>
      </tp>
      <tp t="e">
        <v>#N/A</v>
        <stp/>
        <stp>BDH|7676824166864776974</stp>
        <tr r="P23" s="21"/>
      </tp>
      <tp t="e">
        <v>#N/A</v>
        <stp/>
        <stp>BDH|3155197766650884044</stp>
        <tr r="O11" s="12"/>
      </tp>
      <tp t="e">
        <v>#N/A</v>
        <stp/>
        <stp>BDH|2196084479497628640</stp>
        <tr r="S68" s="12"/>
      </tp>
      <tp t="e">
        <v>#N/A</v>
        <stp/>
        <stp>BDH|9759331232124584916</stp>
        <tr r="V41" s="18"/>
      </tp>
      <tp t="e">
        <v>#N/A</v>
        <stp/>
        <stp>BDH|3780732447376928280</stp>
        <tr r="U20" s="18"/>
      </tp>
      <tp t="e">
        <v>#N/A</v>
        <stp/>
        <stp>BDH|5326134208246875629</stp>
        <tr r="Y16" s="26"/>
      </tp>
      <tp t="e">
        <v>#N/A</v>
        <stp/>
        <stp>BDH|5727653122803037620</stp>
        <tr r="H13" s="25"/>
      </tp>
      <tp t="e">
        <v>#N/A</v>
        <stp/>
        <stp>BDH|7774447751892409042</stp>
        <tr r="T17" s="24"/>
      </tp>
      <tp t="e">
        <v>#N/A</v>
        <stp/>
        <stp>BDH|6161966725839139011</stp>
        <tr r="Z25" s="12"/>
      </tp>
      <tp t="e">
        <v>#N/A</v>
        <stp/>
        <stp>BDH|1416011562145746629</stp>
        <tr r="E42" s="18"/>
      </tp>
      <tp t="e">
        <v>#N/A</v>
        <stp/>
        <stp>BDH|9035105497443794627</stp>
        <tr r="C12" s="20"/>
      </tp>
      <tp t="e">
        <v>#N/A</v>
        <stp/>
        <stp>BDH|9155787990790830339</stp>
        <tr r="Y62" s="13"/>
      </tp>
      <tp t="e">
        <v>#N/A</v>
        <stp/>
        <stp>BDH|9011869042042357353</stp>
        <tr r="T56" s="18"/>
      </tp>
      <tp t="e">
        <v>#N/A</v>
        <stp/>
        <stp>BDH|6457147401590194320</stp>
        <tr r="E73" s="24"/>
      </tp>
      <tp t="e">
        <v>#N/A</v>
        <stp/>
        <stp>BDH|5737315870450740538</stp>
        <tr r="N85" s="17"/>
      </tp>
      <tp t="e">
        <v>#N/A</v>
        <stp/>
        <stp>BDH|7194044316486734464</stp>
        <tr r="M32" s="22"/>
      </tp>
      <tp t="e">
        <v>#N/A</v>
        <stp/>
        <stp>BDH|6979049473836533384</stp>
        <tr r="X70" s="10"/>
        <tr r="X62" s="11"/>
        <tr r="X20" s="7"/>
      </tp>
      <tp t="e">
        <v>#N/A</v>
        <stp/>
        <stp>BDH|7728578263066986693</stp>
        <tr r="C18" s="20"/>
      </tp>
      <tp t="e">
        <v>#N/A</v>
        <stp/>
        <stp>BDH|4912511219112234602</stp>
        <tr r="F11" s="12"/>
      </tp>
      <tp t="e">
        <v>#N/A</v>
        <stp/>
        <stp>BDH|8520453599334843526</stp>
        <tr r="P11" s="12"/>
      </tp>
      <tp t="e">
        <v>#N/A</v>
        <stp/>
        <stp>BDH|7100172535618036907</stp>
        <tr r="M71" s="10"/>
        <tr r="M63" s="11"/>
      </tp>
      <tp t="e">
        <v>#N/A</v>
        <stp/>
        <stp>BDH|7940166164170858406</stp>
        <tr r="H85" s="18"/>
      </tp>
      <tp t="e">
        <v>#N/A</v>
        <stp/>
        <stp>BDH|9783147050239599054</stp>
        <tr r="V39" s="17"/>
      </tp>
      <tp t="e">
        <v>#N/A</v>
        <stp/>
        <stp>BDH|6036710402370857586</stp>
        <tr r="G33" s="18"/>
      </tp>
      <tp t="e">
        <v>#N/A</v>
        <stp/>
        <stp>BDH|4550404507424268030</stp>
        <tr r="Y15" s="24"/>
      </tp>
      <tp t="e">
        <v>#N/A</v>
        <stp/>
        <stp>BDH|4743280572983681686</stp>
        <tr r="L23" s="30"/>
        <tr r="L25" s="23"/>
      </tp>
      <tp t="e">
        <v>#N/A</v>
        <stp/>
        <stp>BDH|5224453315754848091</stp>
        <tr r="F43" s="29"/>
      </tp>
      <tp t="e">
        <v>#N/A</v>
        <stp/>
        <stp>BDH|3002261515574433045</stp>
        <tr r="T15" s="26"/>
      </tp>
      <tp t="e">
        <v>#N/A</v>
        <stp/>
        <stp>BDH|5621895911428495098</stp>
        <tr r="F74" s="18"/>
      </tp>
      <tp t="e">
        <v>#N/A</v>
        <stp/>
        <stp>BDH|1011594081018274097</stp>
        <tr r="Q88" s="12"/>
      </tp>
      <tp t="e">
        <v>#N/A</v>
        <stp/>
        <stp>BDH|8458804204270168420</stp>
        <tr r="Y25" s="12"/>
      </tp>
      <tp t="e">
        <v>#N/A</v>
        <stp/>
        <stp>BDH|4868588936552163448</stp>
        <tr r="V49" s="4"/>
      </tp>
      <tp t="e">
        <v>#N/A</v>
        <stp/>
        <stp>BDH|3639588015424839709</stp>
        <tr r="L33" s="10"/>
        <tr r="L25" s="11"/>
      </tp>
      <tp t="e">
        <v>#N/A</v>
        <stp/>
        <stp>BDH|2145216172494630770</stp>
        <tr r="Z85" s="12"/>
      </tp>
      <tp t="e">
        <v>#N/A</v>
        <stp/>
        <stp>BDH|9339364535704447971</stp>
        <tr r="U46" s="18"/>
      </tp>
      <tp t="e">
        <v>#N/A</v>
        <stp/>
        <stp>BDH|2568756304493056276</stp>
        <tr r="P15" s="18"/>
      </tp>
      <tp t="e">
        <v>#N/A</v>
        <stp/>
        <stp>BDH|9213557108511836947</stp>
        <tr r="R31" s="22"/>
      </tp>
      <tp t="e">
        <v>#N/A</v>
        <stp/>
        <stp>BDH|4789423951837360642</stp>
        <tr r="U58" s="21"/>
        <tr r="U37" s="25"/>
        <tr r="S31" s="4"/>
        <tr r="S54" s="11"/>
      </tp>
      <tp t="e">
        <v>#N/A</v>
        <stp/>
        <stp>BDH|1514061559397142780</stp>
        <tr r="O30" s="34"/>
      </tp>
      <tp t="e">
        <v>#N/A</v>
        <stp/>
        <stp>BDH|3583468586169046263</stp>
        <tr r="N34" s="14"/>
      </tp>
      <tp t="e">
        <v>#N/A</v>
        <stp/>
        <stp>BDH|7280092623041941028</stp>
        <tr r="M39" s="17"/>
      </tp>
      <tp t="e">
        <v>#N/A</v>
        <stp/>
        <stp>BDH|4525121572496236042</stp>
        <tr r="H23" s="22"/>
      </tp>
      <tp t="e">
        <v>#N/A</v>
        <stp/>
        <stp>BDH|3831664630833451192</stp>
        <tr r="K48" s="22"/>
      </tp>
      <tp t="e">
        <v>#N/A</v>
        <stp/>
        <stp>BDH|8228265327904227824</stp>
        <tr r="V57" s="18"/>
      </tp>
      <tp t="e">
        <v>#N/A</v>
        <stp/>
        <stp>BDH|1961419830261372382</stp>
        <tr r="S34" s="18"/>
      </tp>
      <tp t="e">
        <v>#N/A</v>
        <stp/>
        <stp>BDH|1057877792900075467</stp>
        <tr r="N36" s="18"/>
      </tp>
      <tp t="e">
        <v>#N/A</v>
        <stp/>
        <stp>BDH|9052912362683588152</stp>
        <tr r="AA34" s="17"/>
      </tp>
      <tp t="e">
        <v>#N/A</v>
        <stp/>
        <stp>BDH|5384721115264434332</stp>
        <tr r="R11" s="21"/>
      </tp>
      <tp t="e">
        <v>#N/A</v>
        <stp/>
        <stp>BDH|6414239817956022739</stp>
        <tr r="T70" s="17"/>
      </tp>
      <tp t="e">
        <v>#N/A</v>
        <stp/>
        <stp>BDH|8223447181955582519</stp>
        <tr r="X8" s="28"/>
      </tp>
      <tp t="e">
        <v>#N/A</v>
        <stp/>
        <stp>BDH|9648695288843309074</stp>
        <tr r="X39" s="26"/>
      </tp>
      <tp t="e">
        <v>#N/A</v>
        <stp/>
        <stp>BDH|5062238392043234900</stp>
        <tr r="K28" s="4"/>
      </tp>
      <tp t="e">
        <v>#N/A</v>
        <stp/>
        <stp>BDH|3252714313113243219</stp>
        <tr r="T110" s="18"/>
      </tp>
      <tp t="e">
        <v>#N/A</v>
        <stp/>
        <stp>BDH|3679676137957577502</stp>
        <tr r="Y48" s="21"/>
      </tp>
      <tp t="e">
        <v>#N/A</v>
        <stp/>
        <stp>BDH|3128048693326767822</stp>
        <tr r="D25" s="17"/>
      </tp>
      <tp t="e">
        <v>#N/A</v>
        <stp/>
        <stp>BDH|3880871695525923301</stp>
        <tr r="P13" s="13"/>
      </tp>
      <tp t="e">
        <v>#N/A</v>
        <stp/>
        <stp>BDH|2282124401105767254</stp>
        <tr r="L33" s="14"/>
      </tp>
      <tp t="e">
        <v>#N/A</v>
        <stp/>
        <stp>BDH|9009792978339580476</stp>
        <tr r="K10" s="24"/>
      </tp>
      <tp t="e">
        <v>#N/A</v>
        <stp/>
        <stp>BDH|4462073981960469854</stp>
        <tr r="Z76" s="17"/>
        <tr r="Z19" s="3"/>
      </tp>
      <tp t="e">
        <v>#N/A</v>
        <stp/>
        <stp>BDH|9576394335298988537</stp>
        <tr r="W39" s="25"/>
        <tr r="W7" s="3"/>
        <tr r="U18" s="11"/>
        <tr r="W22" s="13"/>
        <tr r="W7" s="13"/>
      </tp>
      <tp t="e">
        <v>#N/A</v>
        <stp/>
        <stp>BDH|1683160820427370105</stp>
        <tr r="R34" s="5"/>
        <tr r="S32" s="29"/>
      </tp>
      <tp t="e">
        <v>#N/A</v>
        <stp/>
        <stp>BDH|3322066906775668254</stp>
        <tr r="F16" s="18"/>
      </tp>
      <tp t="e">
        <v>#N/A</v>
        <stp/>
        <stp>BDH|6307238960571181714</stp>
        <tr r="C42" s="4"/>
      </tp>
      <tp t="e">
        <v>#N/A</v>
        <stp/>
        <stp>BDH|2841393226227623017</stp>
        <tr r="T57" s="10"/>
        <tr r="T49" s="11"/>
        <tr r="T18" s="7"/>
        <tr r="V57" s="13"/>
      </tp>
      <tp t="e">
        <v>#N/A</v>
        <stp/>
        <stp>BDH|8495985207886204394</stp>
        <tr r="Y29" s="17"/>
      </tp>
      <tp t="e">
        <v>#N/A</v>
        <stp/>
        <stp>BDH|2770534801115194648</stp>
        <tr r="M15" s="5"/>
      </tp>
      <tp t="e">
        <v>#N/A</v>
        <stp/>
        <stp>BDH|7349746467473237126</stp>
        <tr r="R25" s="13"/>
      </tp>
      <tp t="e">
        <v>#N/A</v>
        <stp/>
        <stp>BDH|3492337321047491125</stp>
        <tr r="M67" s="17"/>
        <tr r="J8" s="5"/>
        <tr r="J8" s="9"/>
      </tp>
      <tp t="e">
        <v>#N/A</v>
        <stp/>
        <stp>BDH|3334177351583748027</stp>
        <tr r="W49" s="4"/>
      </tp>
      <tp t="e">
        <v>#N/A</v>
        <stp/>
        <stp>BDH|9857258796777200198</stp>
        <tr r="V6" s="19"/>
        <tr r="V35" s="17"/>
        <tr r="V16" s="3"/>
      </tp>
      <tp t="e">
        <v>#N/A</v>
        <stp/>
        <stp>BDH|1918504213206330796</stp>
        <tr r="R29" s="29"/>
        <tr r="R7" s="29"/>
      </tp>
      <tp t="e">
        <v>#N/A</v>
        <stp/>
        <stp>BDH|2502055402272117433</stp>
        <tr r="L24" s="12"/>
      </tp>
      <tp t="e">
        <v>#N/A</v>
        <stp/>
        <stp>BDH|7905077308211764217</stp>
        <tr r="L62" s="21"/>
      </tp>
      <tp t="e">
        <v>#N/A</v>
        <stp/>
        <stp>BDH|5368644946140458352</stp>
        <tr r="W9" s="29"/>
      </tp>
      <tp t="e">
        <v>#N/A</v>
        <stp/>
        <stp>BDH|8085189389226610375</stp>
        <tr r="V29" s="24"/>
      </tp>
      <tp t="e">
        <v>#N/A</v>
        <stp/>
        <stp>BDH|1228816173592135815</stp>
        <tr r="G122" s="18"/>
      </tp>
      <tp t="e">
        <v>#N/A</v>
        <stp/>
        <stp>BDH|3409467040483200404</stp>
        <tr r="S13" s="6"/>
      </tp>
      <tp t="e">
        <v>#N/A</v>
        <stp/>
        <stp>BDH|3790901492622404519</stp>
        <tr r="E60" s="24"/>
      </tp>
      <tp t="e">
        <v>#N/A</v>
        <stp/>
        <stp>BDH|8584356762879786059</stp>
        <tr r="Y51" s="24"/>
      </tp>
      <tp t="e">
        <v>#N/A</v>
        <stp/>
        <stp>BDH|4628504387695661871</stp>
        <tr r="V31" s="25"/>
        <tr r="S14" s="5"/>
        <tr r="V17" s="27"/>
      </tp>
      <tp t="e">
        <v>#N/A</v>
        <stp/>
        <stp>BDH|8520192996734322092</stp>
        <tr r="J20" s="10"/>
      </tp>
      <tp t="e">
        <v>#N/A</v>
        <stp/>
        <stp>BDH|2031081755844450799</stp>
        <tr r="L22" s="17"/>
      </tp>
      <tp t="e">
        <v>#N/A</v>
        <stp/>
        <stp>BDH|4482727471943290359</stp>
        <tr r="X7" s="10"/>
      </tp>
      <tp t="e">
        <v>#N/A</v>
        <stp/>
        <stp>BDH|6502330107919260839</stp>
        <tr r="X45" s="13"/>
      </tp>
      <tp t="e">
        <v>#N/A</v>
        <stp/>
        <stp>BDH|5750166351984990195</stp>
        <tr r="M17" s="29"/>
        <tr r="M40" s="29"/>
      </tp>
      <tp t="e">
        <v>#N/A</v>
        <stp/>
        <stp>BDH|3293245330766066064</stp>
        <tr r="W28" s="14"/>
      </tp>
      <tp t="e">
        <v>#N/A</v>
        <stp/>
        <stp>BDH|4018139012008077816</stp>
        <tr r="K18" s="25"/>
      </tp>
      <tp t="e">
        <v>#N/A</v>
        <stp/>
        <stp>BDH|7351359235006136527</stp>
        <tr r="I30" s="29"/>
        <tr r="I8" s="29"/>
      </tp>
      <tp t="e">
        <v>#N/A</v>
        <stp/>
        <stp>BDH|2856897750399116208</stp>
        <tr r="Z14" s="28"/>
      </tp>
      <tp t="e">
        <v>#N/A</v>
        <stp/>
        <stp>BDH|1189352099699559681</stp>
        <tr r="Z15" s="18"/>
      </tp>
      <tp t="e">
        <v>#N/A</v>
        <stp/>
        <stp>BDH|7706460262303295211</stp>
        <tr r="N89" s="24"/>
      </tp>
      <tp t="e">
        <v>#N/A</v>
        <stp/>
        <stp>BDH|2740548399662347895</stp>
        <tr r="Z9" s="24"/>
      </tp>
      <tp t="e">
        <v>#N/A</v>
        <stp/>
        <stp>BDH|1619698019227724512</stp>
        <tr r="K6" s="28"/>
      </tp>
      <tp t="e">
        <v>#N/A</v>
        <stp/>
        <stp>BDH|2230891307999853745</stp>
        <tr r="W8" s="21"/>
      </tp>
      <tp t="e">
        <v>#N/A</v>
        <stp/>
        <stp>BDH|4783099108841039160</stp>
        <tr r="H11" s="11"/>
      </tp>
      <tp t="e">
        <v>#N/A</v>
        <stp/>
        <stp>BDH|5381190713189822816</stp>
        <tr r="P42" s="17"/>
      </tp>
      <tp t="e">
        <v>#N/A</v>
        <stp/>
        <stp>BDH|8044978630855619318</stp>
        <tr r="E37" s="21"/>
        <tr r="E24" s="3"/>
      </tp>
      <tp t="e">
        <v>#N/A</v>
        <stp/>
        <stp>BDH|2616240111463399601</stp>
        <tr r="Y23" s="12"/>
      </tp>
      <tp t="e">
        <v>#N/A</v>
        <stp/>
        <stp>BDH|8050670286980453254</stp>
        <tr r="J17" s="22"/>
      </tp>
      <tp t="e">
        <v>#N/A</v>
        <stp/>
        <stp>BDH|3609380144208994837</stp>
        <tr r="G23" s="30"/>
        <tr r="G25" s="23"/>
      </tp>
      <tp t="e">
        <v>#N/A</v>
        <stp/>
        <stp>BDH|2795439855251597647</stp>
        <tr r="U17" s="11"/>
      </tp>
      <tp t="e">
        <v>#N/A</v>
        <stp/>
        <stp>BDH|4506239910405037662</stp>
        <tr r="W23" s="2"/>
        <tr r="Y18" s="21"/>
        <tr r="Y23" s="3"/>
      </tp>
      <tp t="e">
        <v>#N/A</v>
        <stp/>
        <stp>BDH|1198145400873490711</stp>
        <tr r="M16" s="23"/>
      </tp>
      <tp t="e">
        <v>#N/A</v>
        <stp/>
        <stp>BDH|1242668927512108326</stp>
        <tr r="X15" s="26"/>
      </tp>
      <tp t="e">
        <v>#N/A</v>
        <stp/>
        <stp>BDH|5271348168547957370</stp>
        <tr r="S103" s="18"/>
      </tp>
      <tp t="e">
        <v>#N/A</v>
        <stp/>
        <stp>BDH|7860597085539620729</stp>
        <tr r="Y10" s="2"/>
        <tr r="X11" s="5"/>
        <tr r="X55" s="6"/>
        <tr r="Y33" s="29"/>
        <tr r="Y42" s="29"/>
      </tp>
      <tp t="e">
        <v>#N/A</v>
        <stp/>
        <stp>BDH|7199616573710057232</stp>
        <tr r="U20" s="17"/>
      </tp>
      <tp t="e">
        <v>#N/A</v>
        <stp/>
        <stp>BDH|9109407944854691927</stp>
        <tr r="W72" s="18"/>
      </tp>
      <tp t="e">
        <v>#N/A</v>
        <stp/>
        <stp>BDH|1577876017724356872</stp>
        <tr r="T7" s="28"/>
      </tp>
      <tp t="e">
        <v>#N/A</v>
        <stp/>
        <stp>BDH|6080777201266587324</stp>
        <tr r="P32" s="6"/>
      </tp>
      <tp t="e">
        <v>#N/A</v>
        <stp/>
        <stp>BDH|7319373075404225325</stp>
        <tr r="G14" s="23"/>
      </tp>
      <tp t="e">
        <v>#N/A</v>
        <stp/>
        <stp>BDH|5838860825219879227</stp>
        <tr r="G22" s="6"/>
      </tp>
      <tp t="e">
        <v>#N/A</v>
        <stp/>
        <stp>BDH|1088693359667786164</stp>
        <tr r="O34" s="14"/>
      </tp>
      <tp t="e">
        <v>#N/A</v>
        <stp/>
        <stp>BDH|4094839575777431834</stp>
        <tr r="C48" s="18"/>
      </tp>
      <tp t="e">
        <v>#N/A</v>
        <stp/>
        <stp>BDH|2383024033891749440</stp>
        <tr r="J8" s="26"/>
        <tr r="G10" s="9"/>
      </tp>
      <tp t="e">
        <v>#N/A</v>
        <stp/>
        <stp>BDH|3838005454262959041</stp>
        <tr r="K54" s="24"/>
      </tp>
      <tp t="e">
        <v>#N/A</v>
        <stp/>
        <stp>BDH|2340656591220788918</stp>
        <tr r="F25" s="13"/>
      </tp>
      <tp t="e">
        <v>#N/A</v>
        <stp/>
        <stp>BDH|9549915816215216011</stp>
        <tr r="P10" s="28"/>
      </tp>
      <tp t="e">
        <v>#N/A</v>
        <stp/>
        <stp>BDH|6319224919412976305</stp>
        <tr r="G10" s="10"/>
      </tp>
      <tp t="e">
        <v>#N/A</v>
        <stp/>
        <stp>BDH|5231131857491439436</stp>
        <tr r="K90" s="18"/>
      </tp>
      <tp t="e">
        <v>#N/A</v>
        <stp/>
        <stp>BDH|1135122644033120371</stp>
        <tr r="Q7" s="30"/>
      </tp>
      <tp t="e">
        <v>#N/A</v>
        <stp/>
        <stp>BDH|1998552806819923923</stp>
        <tr r="R18" s="17"/>
      </tp>
      <tp t="e">
        <v>#N/A</v>
        <stp/>
        <stp>BDH|4288697968674188433</stp>
        <tr r="Y67" s="18"/>
      </tp>
      <tp t="e">
        <v>#N/A</v>
        <stp/>
        <stp>BDH|8562220187685665374</stp>
        <tr r="Q23" s="25"/>
        <tr r="O20" s="11"/>
      </tp>
      <tp t="e">
        <v>#N/A</v>
        <stp/>
        <stp>BDH|1381155213911428404</stp>
        <tr r="V54" s="24"/>
      </tp>
      <tp t="e">
        <v>#N/A</v>
        <stp/>
        <stp>BDH|4471282479271734431</stp>
        <tr r="H87" s="12"/>
      </tp>
      <tp t="e">
        <v>#N/A</v>
        <stp/>
        <stp>BDH|7143487107756827173</stp>
        <tr r="T29" s="12"/>
      </tp>
      <tp t="e">
        <v>#N/A</v>
        <stp/>
        <stp>BDH|5987242599139393367</stp>
        <tr r="C60" s="12"/>
      </tp>
      <tp t="e">
        <v>#N/A</v>
        <stp/>
        <stp>BDH|7314761801021434516</stp>
        <tr r="J31" s="9"/>
      </tp>
      <tp t="e">
        <v>#N/A</v>
        <stp/>
        <stp>BDH|1783495061717670089</stp>
        <tr r="K85" s="17"/>
      </tp>
      <tp t="e">
        <v>#N/A</v>
        <stp/>
        <stp>BDH|5775201170065250147</stp>
        <tr r="S49" s="17"/>
      </tp>
      <tp t="e">
        <v>#N/A</v>
        <stp/>
        <stp>BDH|3790116841481773318</stp>
        <tr r="U19" s="22"/>
      </tp>
      <tp t="e">
        <v>#N/A</v>
        <stp/>
        <stp>BDH|9082690390972078082</stp>
        <tr r="D45" s="4"/>
        <tr r="D31" s="10"/>
        <tr r="D23" s="11"/>
        <tr r="F30" s="13"/>
      </tp>
      <tp t="e">
        <v>#N/A</v>
        <stp/>
        <stp>BDH|5756452134712677410</stp>
        <tr r="C52" s="12"/>
      </tp>
      <tp t="e">
        <v>#N/A</v>
        <stp/>
        <stp>BDH|7486363290769033038</stp>
        <tr r="R21" s="30"/>
      </tp>
      <tp t="e">
        <v>#N/A</v>
        <stp/>
        <stp>BDH|1759068997708080474</stp>
        <tr r="V41" s="34"/>
      </tp>
      <tp t="e">
        <v>#N/A</v>
        <stp/>
        <stp>BDH|1110729953556768162</stp>
        <tr r="G38" s="24"/>
      </tp>
      <tp t="e">
        <v>#N/A</v>
        <stp/>
        <stp>BDH|8367655019379911278</stp>
        <tr r="S14" s="13"/>
      </tp>
      <tp t="e">
        <v>#N/A</v>
        <stp/>
        <stp>BDH|6368469924756017200</stp>
        <tr r="L28" s="21"/>
      </tp>
      <tp t="e">
        <v>#N/A</v>
        <stp/>
        <stp>BDH|3919498262064252115</stp>
        <tr r="J18" s="6"/>
      </tp>
      <tp t="e">
        <v>#N/A</v>
        <stp/>
        <stp>BDH|1339570086450596867</stp>
        <tr r="Z11" s="3"/>
        <tr r="X50" s="10"/>
        <tr r="X42" s="11"/>
        <tr r="X8" s="7"/>
      </tp>
      <tp t="e">
        <v>#N/A</v>
        <stp/>
        <stp>BDH|2072107496889565727</stp>
        <tr r="D137" s="18"/>
      </tp>
      <tp t="e">
        <v>#N/A</v>
        <stp/>
        <stp>BDH|4012242212933715003</stp>
        <tr r="G26" s="14"/>
      </tp>
      <tp t="e">
        <v>#N/A</v>
        <stp/>
        <stp>BDH|8193661459799638697</stp>
        <tr r="D75" s="12"/>
      </tp>
      <tp t="e">
        <v>#N/A</v>
        <stp/>
        <stp>BDH|4296391079500507466</stp>
        <tr r="V11" s="18"/>
      </tp>
      <tp t="e">
        <v>#N/A</v>
        <stp/>
        <stp>BDH|1627633277480560468</stp>
        <tr r="Q41" s="17"/>
        <tr r="Q9" s="25"/>
      </tp>
      <tp t="e">
        <v>#N/A</v>
        <stp/>
        <stp>BDH|3297769813672695304</stp>
        <tr r="O122" s="18"/>
      </tp>
      <tp t="e">
        <v>#N/A</v>
        <stp/>
        <stp>BDH|2129994694310881656</stp>
        <tr r="X57" s="17"/>
      </tp>
      <tp t="e">
        <v>#N/A</v>
        <stp/>
        <stp>BDH|3533385411407998240</stp>
        <tr r="S48" s="6"/>
      </tp>
      <tp t="e">
        <v>#N/A</v>
        <stp/>
        <stp>BDH|4512194901356894744</stp>
        <tr r="D14" s="23"/>
      </tp>
      <tp t="e">
        <v>#N/A</v>
        <stp/>
        <stp>BDH|1384144347313630371</stp>
        <tr r="G17" s="24"/>
      </tp>
      <tp t="e">
        <v>#N/A</v>
        <stp/>
        <stp>BDH|7600039635110940081</stp>
        <tr r="F19" s="22"/>
      </tp>
      <tp t="e">
        <v>#N/A</v>
        <stp/>
        <stp>BDH|9437734367004185802</stp>
        <tr r="I31" s="29"/>
      </tp>
      <tp t="e">
        <v>#N/A</v>
        <stp/>
        <stp>BDH|6818104512204232699</stp>
        <tr r="L25" s="24"/>
      </tp>
      <tp t="e">
        <v>#N/A</v>
        <stp/>
        <stp>BDH|9244947800901643513</stp>
        <tr r="R11" s="7"/>
      </tp>
      <tp t="e">
        <v>#N/A</v>
        <stp/>
        <stp>BDH|7741668820467948090</stp>
        <tr r="K15" s="21"/>
      </tp>
      <tp t="e">
        <v>#N/A</v>
        <stp/>
        <stp>BDH|3198441960215440002</stp>
        <tr r="E13" s="13"/>
      </tp>
      <tp t="e">
        <v>#N/A</v>
        <stp/>
        <stp>BDH|9595446251698562443</stp>
        <tr r="D9" s="30"/>
      </tp>
      <tp t="e">
        <v>#N/A</v>
        <stp/>
        <stp>BDH|3756469771490867492</stp>
        <tr r="I28" s="14"/>
      </tp>
      <tp t="e">
        <v>#N/A</v>
        <stp/>
        <stp>BDH|2563623967196425059</stp>
        <tr r="AA20" s="23"/>
      </tp>
      <tp t="e">
        <v>#N/A</v>
        <stp/>
        <stp>BDH|4495471355383778203</stp>
        <tr r="I114" s="18"/>
      </tp>
      <tp t="e">
        <v>#N/A</v>
        <stp/>
        <stp>BDH|4772638622022041674</stp>
        <tr r="P62" s="24"/>
      </tp>
      <tp t="e">
        <v>#N/A</v>
        <stp/>
        <stp>BDH|2006387176914683698</stp>
        <tr r="F19" s="5"/>
        <tr r="F46" s="6"/>
      </tp>
      <tp t="e">
        <v>#N/A</v>
        <stp/>
        <stp>BDH|9933706138031024809</stp>
        <tr r="J10" s="12"/>
      </tp>
      <tp t="e">
        <v>#N/A</v>
        <stp/>
        <stp>BDH|1438651827646399743</stp>
        <tr r="K42" s="21"/>
      </tp>
      <tp t="e">
        <v>#N/A</v>
        <stp/>
        <stp>BDH|8701496194430816142</stp>
        <tr r="K44" s="22"/>
      </tp>
      <tp t="e">
        <v>#N/A</v>
        <stp/>
        <stp>BDH|2865247002591951510</stp>
        <tr r="L39" s="34"/>
      </tp>
      <tp t="e">
        <v>#N/A</v>
        <stp/>
        <stp>BDH|8958254307529959741</stp>
        <tr r="F20" s="9"/>
      </tp>
      <tp t="e">
        <v>#N/A</v>
        <stp/>
        <stp>BDH|4867909510889778190</stp>
        <tr r="J86" s="12"/>
      </tp>
      <tp t="e">
        <v>#N/A</v>
        <stp/>
        <stp>BDH|9391531677929420650</stp>
        <tr r="T13" s="13"/>
      </tp>
      <tp t="e">
        <v>#N/A</v>
        <stp/>
        <stp>BDH|7936729109834342074</stp>
        <tr r="S13" s="25"/>
      </tp>
      <tp t="e">
        <v>#N/A</v>
        <stp/>
        <stp>BDH|6447424742480426264</stp>
        <tr r="C20" s="25"/>
      </tp>
      <tp t="e">
        <v>#N/A</v>
        <stp/>
        <stp>BDH|9260409358648829449</stp>
        <tr r="K7" s="21"/>
      </tp>
      <tp t="e">
        <v>#N/A</v>
        <stp/>
        <stp>BDH|9718738264869762515</stp>
        <tr r="S37" s="6"/>
      </tp>
      <tp t="e">
        <v>#N/A</v>
        <stp/>
        <stp>BDH|3243560653256378123</stp>
        <tr r="R16" s="21"/>
      </tp>
      <tp t="e">
        <v>#N/A</v>
        <stp/>
        <stp>BDH|1378542563233448566</stp>
        <tr r="L96" s="18"/>
      </tp>
      <tp t="e">
        <v>#N/A</v>
        <stp/>
        <stp>BDH|9120554270129049626</stp>
        <tr r="O53" s="6"/>
        <tr r="Q10" s="8"/>
      </tp>
      <tp t="e">
        <v>#N/A</v>
        <stp/>
        <stp>BDH|6819031239495546417</stp>
        <tr r="I44" s="34"/>
      </tp>
      <tp t="e">
        <v>#N/A</v>
        <stp/>
        <stp>BDH|1556440082560265971</stp>
        <tr r="AA40" s="17"/>
      </tp>
      <tp t="e">
        <v>#N/A</v>
        <stp/>
        <stp>BDH|7237705856983491261</stp>
        <tr r="E22" s="17"/>
      </tp>
      <tp t="e">
        <v>#N/A</v>
        <stp/>
        <stp>BDH|4807781551531206353</stp>
        <tr r="C83" s="12"/>
      </tp>
      <tp t="e">
        <v>#N/A</v>
        <stp/>
        <stp>BDH|2568399699098153423</stp>
        <tr r="R50" s="17"/>
      </tp>
      <tp t="e">
        <v>#N/A</v>
        <stp/>
        <stp>BDH|2803599321347102673</stp>
        <tr r="I9" s="29"/>
      </tp>
      <tp t="e">
        <v>#N/A</v>
        <stp/>
        <stp>BDH|3588068272331135169</stp>
        <tr r="AA57" s="12"/>
      </tp>
      <tp t="e">
        <v>#N/A</v>
        <stp/>
        <stp>BDH|7357790575386878519</stp>
        <tr r="J131" s="18"/>
      </tp>
      <tp t="e">
        <v>#N/A</v>
        <stp/>
        <stp>BDH|3135328847373329312</stp>
        <tr r="X9" s="12"/>
      </tp>
      <tp t="e">
        <v>#N/A</v>
        <stp/>
        <stp>BDH|6486007391439315202</stp>
        <tr r="G17" s="20"/>
      </tp>
      <tp t="e">
        <v>#N/A</v>
        <stp/>
        <stp>BDH|6285395665293171490</stp>
        <tr r="Z142" s="18"/>
      </tp>
      <tp t="e">
        <v>#N/A</v>
        <stp/>
        <stp>BDH|3271683128903217067</stp>
        <tr r="L41" s="34"/>
      </tp>
      <tp t="e">
        <v>#N/A</v>
        <stp/>
        <stp>BDH|9157903051606430728</stp>
        <tr r="K44" s="13"/>
      </tp>
      <tp t="e">
        <v>#N/A</v>
        <stp/>
        <stp>BDH|6262860995956047570</stp>
        <tr r="R20" s="25"/>
      </tp>
      <tp t="e">
        <v>#N/A</v>
        <stp/>
        <stp>BDH|1263118234943942489</stp>
        <tr r="AA70" s="18"/>
      </tp>
      <tp t="e">
        <v>#N/A</v>
        <stp/>
        <stp>BDH|4948512643857518685</stp>
        <tr r="AA81" s="18"/>
      </tp>
      <tp t="e">
        <v>#N/A</v>
        <stp/>
        <stp>BDH|8314714733980125864</stp>
        <tr r="X81" s="12"/>
      </tp>
      <tp t="e">
        <v>#N/A</v>
        <stp/>
        <stp>BDH|7876218171406700096</stp>
        <tr r="W13" s="26"/>
      </tp>
      <tp t="e">
        <v>#N/A</v>
        <stp/>
        <stp>BDH|7874472880949972606</stp>
        <tr r="W61" s="18"/>
      </tp>
      <tp t="e">
        <v>#N/A</v>
        <stp/>
        <stp>BDH|3302102666334382405</stp>
        <tr r="X44" s="34"/>
      </tp>
      <tp t="e">
        <v>#N/A</v>
        <stp/>
        <stp>BDH|9803992052136189747</stp>
        <tr r="K72" s="10"/>
        <tr r="K64" s="11"/>
      </tp>
      <tp t="e">
        <v>#N/A</v>
        <stp/>
        <stp>BDH|8932098694440470567</stp>
        <tr r="V55" s="17"/>
      </tp>
      <tp t="e">
        <v>#N/A</v>
        <stp/>
        <stp>BDH|6681280608520744076</stp>
        <tr r="E45" s="13"/>
      </tp>
      <tp t="e">
        <v>#N/A</v>
        <stp/>
        <stp>BDH|6873819796063840015</stp>
        <tr r="J36" s="4"/>
      </tp>
      <tp t="e">
        <v>#N/A</v>
        <stp/>
        <stp>BDH|6596684136677433097</stp>
        <tr r="Z32" s="14"/>
      </tp>
      <tp t="e">
        <v>#N/A</v>
        <stp/>
        <stp>BDH|8701914229363809418</stp>
        <tr r="L115" s="18"/>
      </tp>
      <tp t="e">
        <v>#N/A</v>
        <stp/>
        <stp>BDH|4088657647306418403</stp>
        <tr r="H63" s="12"/>
      </tp>
      <tp t="e">
        <v>#N/A</v>
        <stp/>
        <stp>BDH|6654200695370012959</stp>
        <tr r="U10" s="4"/>
        <tr r="T6" s="16"/>
        <tr r="W6" s="3"/>
        <tr r="U6" s="11"/>
      </tp>
      <tp t="e">
        <v>#N/A</v>
        <stp/>
        <stp>BDH|7720153157800061731</stp>
        <tr r="S63" s="21"/>
        <tr r="Q23" s="7"/>
      </tp>
      <tp t="e">
        <v>#N/A</v>
        <stp/>
        <stp>BDH|5515652347856050510</stp>
        <tr r="Z56" s="18"/>
      </tp>
      <tp t="e">
        <v>#N/A</v>
        <stp/>
        <stp>BDH|7471182099048588363</stp>
        <tr r="J138" s="18"/>
      </tp>
      <tp t="e">
        <v>#N/A</v>
        <stp/>
        <stp>BDH|8148831866843309113</stp>
        <tr r="J89" s="18"/>
      </tp>
      <tp t="e">
        <v>#N/A</v>
        <stp/>
        <stp>BDH|4876740242841085296</stp>
        <tr r="K65" s="24"/>
      </tp>
      <tp t="e">
        <v>#N/A</v>
        <stp/>
        <stp>BDH|4655323115462355056</stp>
        <tr r="J30" s="21"/>
      </tp>
      <tp t="e">
        <v>#N/A</v>
        <stp/>
        <stp>BDH|4011035103999759909</stp>
        <tr r="L32" s="9"/>
      </tp>
      <tp t="e">
        <v>#N/A</v>
        <stp/>
        <stp>BDH|4835145240132846732</stp>
        <tr r="E22" s="6"/>
      </tp>
      <tp t="e">
        <v>#N/A</v>
        <stp/>
        <stp>BDH|7053978984804326676</stp>
        <tr r="H32" s="17"/>
      </tp>
      <tp t="e">
        <v>#N/A</v>
        <stp/>
        <stp>BDH|9210518281378129849</stp>
        <tr r="N39" s="25"/>
        <tr r="N7" s="3"/>
        <tr r="L18" s="11"/>
        <tr r="N22" s="13"/>
        <tr r="N7" s="13"/>
      </tp>
      <tp t="e">
        <v>#N/A</v>
        <stp/>
        <stp>BDH|2365823645889394305</stp>
        <tr r="F34" s="22"/>
      </tp>
      <tp t="e">
        <v>#N/A</v>
        <stp/>
        <stp>BDH|2280478306693512116</stp>
        <tr r="G56" s="24"/>
      </tp>
      <tp t="e">
        <v>#N/A</v>
        <stp/>
        <stp>BDH|2948289314466307318</stp>
        <tr r="N30" s="17"/>
      </tp>
      <tp t="e">
        <v>#N/A</v>
        <stp/>
        <stp>BDH|2234553026013610201</stp>
        <tr r="X82" s="12"/>
      </tp>
      <tp t="e">
        <v>#N/A</v>
        <stp/>
        <stp>BDH|2663841083525430321</stp>
        <tr r="N76" s="24"/>
      </tp>
      <tp t="e">
        <v>#N/A</v>
        <stp/>
        <stp>BDH|2617314263336204516</stp>
        <tr r="L66" s="24"/>
      </tp>
      <tp t="e">
        <v>#N/A</v>
        <stp/>
        <stp>BDH|6990485008562608489</stp>
        <tr r="H14" s="28"/>
      </tp>
      <tp t="e">
        <v>#N/A</v>
        <stp/>
        <stp>BDH|2215423946461765760</stp>
        <tr r="P57" s="18"/>
      </tp>
      <tp t="e">
        <v>#N/A</v>
        <stp/>
        <stp>BDH|7509724065673036151</stp>
        <tr r="D75" s="17"/>
      </tp>
      <tp t="e">
        <v>#N/A</v>
        <stp/>
        <stp>BDH|3311099061573873249</stp>
        <tr r="M26" s="7"/>
      </tp>
      <tp t="e">
        <v>#N/A</v>
        <stp/>
        <stp>BDH|7813025838009312966</stp>
        <tr r="Y105" s="18"/>
      </tp>
      <tp t="e">
        <v>#N/A</v>
        <stp/>
        <stp>BDH|3320585813792966163</stp>
        <tr r="O82" s="18"/>
      </tp>
      <tp t="e">
        <v>#N/A</v>
        <stp/>
        <stp>BDH|1342973682393129702</stp>
        <tr r="S37" s="26"/>
      </tp>
      <tp t="e">
        <v>#N/A</v>
        <stp/>
        <stp>BDH|9876822600040845555</stp>
        <tr r="E43" s="34"/>
      </tp>
      <tp t="e">
        <v>#N/A</v>
        <stp/>
        <stp>BDH|4832956620503879823</stp>
        <tr r="W8" s="4"/>
      </tp>
      <tp t="e">
        <v>#N/A</v>
        <stp/>
        <stp>BDH|4278743504711422615</stp>
        <tr r="G25" s="22"/>
      </tp>
      <tp t="e">
        <v>#N/A</v>
        <stp/>
        <stp>BDH|6732887809412428855</stp>
        <tr r="P118" s="18"/>
      </tp>
      <tp t="e">
        <v>#N/A</v>
        <stp/>
        <stp>BDH|9522647951369512720</stp>
        <tr r="Y39" s="26"/>
      </tp>
      <tp t="e">
        <v>#N/A</v>
        <stp/>
        <stp>BDH|4161328414423280124</stp>
        <tr r="D33" s="13"/>
      </tp>
      <tp t="e">
        <v>#N/A</v>
        <stp/>
        <stp>BDH|8084589472529431791</stp>
        <tr r="Q22" s="24"/>
      </tp>
      <tp t="e">
        <v>#N/A</v>
        <stp/>
        <stp>BDH|4983438342681631193</stp>
        <tr r="P56" s="13"/>
      </tp>
      <tp t="e">
        <v>#N/A</v>
        <stp/>
        <stp>BDH|1490659375205632158</stp>
        <tr r="J80" s="24"/>
      </tp>
      <tp t="e">
        <v>#N/A</v>
        <stp/>
        <stp>BDH|7264627677863419141</stp>
        <tr r="P43" s="6"/>
      </tp>
      <tp t="e">
        <v>#N/A</v>
        <stp/>
        <stp>BDH|6404566336997426374</stp>
        <tr r="O39" s="4"/>
        <tr r="O66" s="10"/>
      </tp>
      <tp t="e">
        <v>#N/A</v>
        <stp/>
        <stp>BDH|2688054044455184719</stp>
        <tr r="H27" s="14"/>
      </tp>
      <tp t="e">
        <v>#N/A</v>
        <stp/>
        <stp>BDH|1297028426626274138</stp>
        <tr r="AA48" s="22"/>
      </tp>
      <tp t="e">
        <v>#N/A</v>
        <stp/>
        <stp>BDH|5132529123860025678</stp>
        <tr r="G47" s="13"/>
      </tp>
      <tp t="e">
        <v>#N/A</v>
        <stp/>
        <stp>BDH|8665098925377473992</stp>
        <tr r="Q58" s="13"/>
      </tp>
      <tp t="e">
        <v>#N/A</v>
        <stp/>
        <stp>BDH|7407161137651541078</stp>
        <tr r="L37" s="12"/>
      </tp>
      <tp t="e">
        <v>#N/A</v>
        <stp/>
        <stp>BDH|7776718294118533507</stp>
        <tr r="W9" s="24"/>
      </tp>
      <tp t="e">
        <v>#N/A</v>
        <stp/>
        <stp>BDH|5423715147957357561</stp>
        <tr r="R28" s="26"/>
      </tp>
      <tp t="e">
        <v>#N/A</v>
        <stp/>
        <stp>BDH|6697661651267207640</stp>
        <tr r="D97" s="18"/>
        <tr r="D6" s="20"/>
      </tp>
      <tp t="e">
        <v>#N/A</v>
        <stp/>
        <stp>BDH|2063016321056594223</stp>
        <tr r="H46" s="12"/>
      </tp>
      <tp t="e">
        <v>#N/A</v>
        <stp/>
        <stp>BDH|3884310701125912162</stp>
        <tr r="AA60" s="18"/>
      </tp>
      <tp t="e">
        <v>#N/A</v>
        <stp/>
        <stp>BDH|8148900056557423749</stp>
        <tr r="N34" s="6"/>
      </tp>
      <tp t="e">
        <v>#N/A</v>
        <stp/>
        <stp>BDH|2060931873958422036</stp>
        <tr r="I18" s="6"/>
      </tp>
      <tp t="e">
        <v>#N/A</v>
        <stp/>
        <stp>BDH|7141243577690499615</stp>
        <tr r="V84" s="17"/>
      </tp>
      <tp t="e">
        <v>#N/A</v>
        <stp/>
        <stp>BDH|6927949274434921870</stp>
        <tr r="I37" s="26"/>
      </tp>
      <tp t="e">
        <v>#N/A</v>
        <stp/>
        <stp>BDH|6408719765662047177</stp>
        <tr r="F45" s="13"/>
      </tp>
      <tp t="e">
        <v>#N/A</v>
        <stp/>
        <stp>BDH|4342868021398730240</stp>
        <tr r="R34" s="6"/>
      </tp>
      <tp t="e">
        <v>#N/A</v>
        <stp/>
        <stp>BDH|9919445593388980800</stp>
        <tr r="U16" s="25"/>
      </tp>
      <tp t="e">
        <v>#N/A</v>
        <stp/>
        <stp>BDH|8806447678767830882</stp>
        <tr r="Y26" s="13"/>
      </tp>
      <tp t="e">
        <v>#N/A</v>
        <stp/>
        <stp>BDH|6519277166907266128</stp>
        <tr r="V16" s="17"/>
        <tr r="V19" s="28"/>
      </tp>
      <tp t="e">
        <v>#N/A</v>
        <stp/>
        <stp>BDH|4400000844401217564</stp>
        <tr r="D74" s="10"/>
        <tr r="D66" s="11"/>
      </tp>
      <tp t="e">
        <v>#N/A</v>
        <stp/>
        <stp>BDH|3438436373867895385</stp>
        <tr r="W14" s="23"/>
      </tp>
      <tp t="e">
        <v>#N/A</v>
        <stp/>
        <stp>BDH|5107626166700194108</stp>
        <tr r="G55" s="12"/>
      </tp>
      <tp t="e">
        <v>#N/A</v>
        <stp/>
        <stp>BDH|5826259909867912492</stp>
        <tr r="K14" s="29"/>
        <tr r="K23" s="29"/>
        <tr r="K37" s="29"/>
      </tp>
      <tp t="e">
        <v>#N/A</v>
        <stp/>
        <stp>BDH|2234304443045263472</stp>
        <tr r="M18" s="14"/>
      </tp>
      <tp t="e">
        <v>#N/A</v>
        <stp/>
        <stp>BDH|5838149905370891053</stp>
        <tr r="R9" s="29"/>
      </tp>
      <tp t="e">
        <v>#N/A</v>
        <stp/>
        <stp>BDH|6029233671265319251</stp>
        <tr r="Q15" s="20"/>
      </tp>
      <tp t="e">
        <v>#N/A</v>
        <stp/>
        <stp>BDH|2788350540907513633</stp>
        <tr r="F11" s="24"/>
      </tp>
      <tp t="e">
        <v>#N/A</v>
        <stp/>
        <stp>BDH|2134457081283072913</stp>
        <tr r="T33" s="21"/>
      </tp>
      <tp t="e">
        <v>#N/A</v>
        <stp/>
        <stp>BDH|5608729992468192731</stp>
        <tr r="Y84" s="17"/>
      </tp>
      <tp t="e">
        <v>#N/A</v>
        <stp/>
        <stp>BDH|5593523046077397766</stp>
        <tr r="D67" s="18"/>
      </tp>
      <tp t="e">
        <v>#N/A</v>
        <stp/>
        <stp>BDH|4711093909218637856</stp>
        <tr r="S86" s="17"/>
      </tp>
      <tp t="e">
        <v>#N/A</v>
        <stp/>
        <stp>BDH|1711843230036558822</stp>
        <tr r="L108" s="18"/>
      </tp>
      <tp t="e">
        <v>#N/A</v>
        <stp/>
        <stp>BDH|7743808376079593501</stp>
        <tr r="N140" s="18"/>
      </tp>
      <tp t="e">
        <v>#N/A</v>
        <stp/>
        <stp>BDH|8421937175605402724</stp>
        <tr r="AA54" s="17"/>
      </tp>
      <tp t="e">
        <v>#N/A</v>
        <stp/>
        <stp>BDH|1512573195521492879</stp>
        <tr r="Y33" s="10"/>
        <tr r="Y25" s="11"/>
      </tp>
      <tp t="e">
        <v>#N/A</v>
        <stp/>
        <stp>BDH|8651820300957138318</stp>
        <tr r="D15" s="29"/>
        <tr r="D38" s="29"/>
      </tp>
      <tp t="e">
        <v>#N/A</v>
        <stp/>
        <stp>BDH|4745282406685809756</stp>
        <tr r="U42" s="22"/>
      </tp>
      <tp t="e">
        <v>#N/A</v>
        <stp/>
        <stp>BDH|1832766856072412582</stp>
        <tr r="Q20" s="24"/>
      </tp>
      <tp t="e">
        <v>#N/A</v>
        <stp/>
        <stp>BDH|7736284929546495562</stp>
        <tr r="S60" s="17"/>
      </tp>
      <tp t="e">
        <v>#N/A</v>
        <stp/>
        <stp>BDH|1696559005278538878</stp>
        <tr r="F93" s="18"/>
      </tp>
      <tp t="e">
        <v>#N/A</v>
        <stp/>
        <stp>BDH|5743682790476297890</stp>
        <tr r="J90" s="18"/>
      </tp>
      <tp t="e">
        <v>#N/A</v>
        <stp/>
        <stp>BDH|9024601268108913558</stp>
        <tr r="C30" s="34"/>
      </tp>
      <tp t="e">
        <v>#N/A</v>
        <stp/>
        <stp>BDH|9419228943328160307</stp>
        <tr r="I18" s="22"/>
      </tp>
      <tp t="e">
        <v>#N/A</v>
        <stp/>
        <stp>BDH|6930558804133967457</stp>
        <tr r="M38" s="10"/>
        <tr r="M30" s="11"/>
        <tr r="O42" s="13"/>
      </tp>
      <tp t="e">
        <v>#N/A</v>
        <stp/>
        <stp>BDH|4842653370894050591</stp>
        <tr r="Y99" s="18"/>
        <tr r="Y8" s="20"/>
      </tp>
      <tp t="e">
        <v>#N/A</v>
        <stp/>
        <stp>BDH|8682961711187654336</stp>
        <tr r="S15" s="17"/>
        <tr r="S18" s="28"/>
      </tp>
      <tp t="e">
        <v>#N/A</v>
        <stp/>
        <stp>BDH|9998490052719060563</stp>
        <tr r="AA83" s="18"/>
      </tp>
      <tp t="e">
        <v>#N/A</v>
        <stp/>
        <stp>BDH|1879878706025826856</stp>
        <tr r="I27" s="18"/>
      </tp>
      <tp t="e">
        <v>#N/A</v>
        <stp/>
        <stp>BDH|3484036312454657272</stp>
        <tr r="AA12" s="13"/>
      </tp>
      <tp t="e">
        <v>#N/A</v>
        <stp/>
        <stp>BDH|9674912342740882097</stp>
        <tr r="J39" s="34"/>
      </tp>
      <tp t="e">
        <v>#N/A</v>
        <stp/>
        <stp>BDH|4176145337067790516</stp>
        <tr r="P20" s="12"/>
      </tp>
      <tp t="e">
        <v>#N/A</v>
        <stp/>
        <stp>BDH|5820778478567628650</stp>
        <tr r="S56" s="18"/>
      </tp>
      <tp t="e">
        <v>#N/A</v>
        <stp/>
        <stp>BDH|2011724546475348038</stp>
        <tr r="Q23" s="22"/>
      </tp>
      <tp t="e">
        <v>#N/A</v>
        <stp/>
        <stp>BDH|5086654160516033716</stp>
        <tr r="E136" s="18"/>
      </tp>
      <tp t="e">
        <v>#N/A</v>
        <stp/>
        <stp>BDH|3898686702581510037</stp>
        <tr r="T42" s="34"/>
      </tp>
      <tp t="e">
        <v>#N/A</v>
        <stp/>
        <stp>BDH|2500924993621274729</stp>
        <tr r="P38" s="24"/>
      </tp>
      <tp t="e">
        <v>#N/A</v>
        <stp/>
        <stp>BDH|2934899582136168071</stp>
        <tr r="N16" s="29"/>
        <tr r="N39" s="29"/>
      </tp>
      <tp t="e">
        <v>#N/A</v>
        <stp/>
        <stp>BDH|8469800672265599672</stp>
        <tr r="E109" s="18"/>
      </tp>
      <tp t="e">
        <v>#N/A</v>
        <stp/>
        <stp>BDH|1146615704392659168</stp>
        <tr r="O103" s="18"/>
      </tp>
      <tp t="e">
        <v>#N/A</v>
        <stp/>
        <stp>BDH|7657328201032727260</stp>
        <tr r="R127" s="18"/>
      </tp>
      <tp t="e">
        <v>#N/A</v>
        <stp/>
        <stp>BDH|3858448153193263595</stp>
        <tr r="S14" s="4"/>
      </tp>
      <tp t="e">
        <v>#N/A</v>
        <stp/>
        <stp>BDH|4507119801523252236</stp>
        <tr r="U64" s="18"/>
      </tp>
      <tp t="e">
        <v>#N/A</v>
        <stp/>
        <stp>BDH|9544415776616705819</stp>
        <tr r="R39" s="6"/>
      </tp>
      <tp t="e">
        <v>#N/A</v>
        <stp/>
        <stp>BDH|7504063173480090440</stp>
        <tr r="X50" s="24"/>
      </tp>
      <tp t="e">
        <v>#N/A</v>
        <stp/>
        <stp>BDH|5967154717352914370</stp>
        <tr r="C82" s="17"/>
      </tp>
      <tp t="e">
        <v>#N/A</v>
        <stp/>
        <stp>BDH|5634032594768674021</stp>
        <tr r="W11" s="11"/>
      </tp>
      <tp t="e">
        <v>#N/A</v>
        <stp/>
        <stp>BDH|8560523170306069820</stp>
        <tr r="K12" s="10"/>
      </tp>
      <tp t="e">
        <v>#N/A</v>
        <stp/>
        <stp>BDH|8965130349630221941</stp>
        <tr r="W81" s="24"/>
      </tp>
      <tp t="e">
        <v>#N/A</v>
        <stp/>
        <stp>BDH|4191105361751109648</stp>
        <tr r="L35" s="18"/>
      </tp>
      <tp t="e">
        <v>#N/A</v>
        <stp/>
        <stp>BDH|5853697935514515045</stp>
        <tr r="S12" s="3"/>
        <tr r="Q55" s="10"/>
        <tr r="Q47" s="11"/>
        <tr r="Q7" s="7"/>
      </tp>
      <tp t="e">
        <v>#N/A</v>
        <stp/>
        <stp>BDH|6474338450297167338</stp>
        <tr r="P21" s="24"/>
      </tp>
      <tp t="e">
        <v>#N/A</v>
        <stp/>
        <stp>BDH|9299871099815876914</stp>
        <tr r="T16" s="2"/>
        <tr r="T32" s="4"/>
        <tr r="T62" s="10"/>
        <tr r="V19" s="13"/>
      </tp>
      <tp t="e">
        <v>#N/A</v>
        <stp/>
        <stp>BDH|4513771676009227930</stp>
        <tr r="X23" s="30"/>
        <tr r="X25" s="23"/>
      </tp>
      <tp t="e">
        <v>#N/A</v>
        <stp/>
        <stp>BDH|4547380284698981358</stp>
        <tr r="C56" s="13"/>
      </tp>
      <tp t="e">
        <v>#N/A</v>
        <stp/>
        <stp>BDH|1413625646294562302</stp>
        <tr r="V53" s="12"/>
      </tp>
      <tp t="e">
        <v>#N/A</v>
        <stp/>
        <stp>BDH|4711909948479371499</stp>
        <tr r="U12" s="7"/>
      </tp>
      <tp t="e">
        <v>#N/A</v>
        <stp/>
        <stp>BDH|8089452261326696872</stp>
        <tr r="W22" s="12"/>
      </tp>
      <tp t="e">
        <v>#N/A</v>
        <stp/>
        <stp>BDH|6064296226766350497</stp>
        <tr r="J9" s="12"/>
      </tp>
      <tp t="e">
        <v>#N/A</v>
        <stp/>
        <stp>BDH|5522536675363135070</stp>
        <tr r="U26" s="24"/>
      </tp>
      <tp t="e">
        <v>#N/A</v>
        <stp/>
        <stp>BDH|7788857581623393054</stp>
        <tr r="H17" s="20"/>
      </tp>
      <tp t="e">
        <v>#N/A</v>
        <stp/>
        <stp>BDH|4509591918435315123</stp>
        <tr r="F7" s="23"/>
      </tp>
      <tp t="e">
        <v>#N/A</v>
        <stp/>
        <stp>BDH|5067447273745137732</stp>
        <tr r="C136" s="18"/>
      </tp>
      <tp t="e">
        <v>#N/A</v>
        <stp/>
        <stp>BDH|7355343015323670215</stp>
        <tr r="U15" s="13"/>
      </tp>
      <tp t="e">
        <v>#N/A</v>
        <stp/>
        <stp>BDH|6954182348406465182</stp>
        <tr r="D59" s="11"/>
        <tr r="F15" s="23"/>
      </tp>
      <tp t="e">
        <v>#N/A</v>
        <stp/>
        <stp>BDH|8255513290168703810</stp>
        <tr r="Z84" s="17"/>
      </tp>
      <tp t="e">
        <v>#N/A</v>
        <stp/>
        <stp>BDH|3418733002330260020</stp>
        <tr r="U11" s="7"/>
      </tp>
      <tp t="e">
        <v>#N/A</v>
        <stp/>
        <stp>BDH|4847342886239809272</stp>
        <tr r="E38" s="4"/>
        <tr r="E58" s="11"/>
        <tr r="G13" s="23"/>
      </tp>
      <tp t="e">
        <v>#N/A</v>
        <stp/>
        <stp>BDH|6267094006131151390</stp>
        <tr r="C12" s="26"/>
      </tp>
      <tp t="e">
        <v>#N/A</v>
        <stp/>
        <stp>BDH|9642873621055621233</stp>
        <tr r="I69" s="10"/>
      </tp>
      <tp t="e">
        <v>#N/A</v>
        <stp/>
        <stp>BDH|1484660922082010350</stp>
        <tr r="R27" s="22"/>
      </tp>
      <tp t="e">
        <v>#N/A</v>
        <stp/>
        <stp>BDH|2705260396979205402</stp>
        <tr r="N68" s="12"/>
      </tp>
      <tp t="e">
        <v>#N/A</v>
        <stp/>
        <stp>BDH|4314352550953622553</stp>
        <tr r="G33" s="14"/>
      </tp>
      <tp t="e">
        <v>#N/A</v>
        <stp/>
        <stp>BDH|5176715720750265478</stp>
        <tr r="M34" s="21"/>
      </tp>
      <tp t="e">
        <v>#N/A</v>
        <stp/>
        <stp>BDH|9749976149271835148</stp>
        <tr r="M9" s="2"/>
        <tr r="O8" s="25"/>
        <tr r="L10" s="5"/>
      </tp>
      <tp t="e">
        <v>#N/A</v>
        <stp/>
        <stp>BDH|5296412714691637544</stp>
        <tr r="N38" s="34"/>
      </tp>
      <tp t="e">
        <v>#N/A</v>
        <stp/>
        <stp>BDH|2124087232724662189</stp>
        <tr r="W16" s="10"/>
      </tp>
      <tp t="e">
        <v>#N/A</v>
        <stp/>
        <stp>BDH|6362130963810434520</stp>
        <tr r="L17" s="6"/>
      </tp>
      <tp t="e">
        <v>#N/A</v>
        <stp/>
        <stp>BDH|5836749845735858747</stp>
        <tr r="O127" s="18"/>
      </tp>
      <tp t="e">
        <v>#N/A</v>
        <stp/>
        <stp>BDH|2867098272302662304</stp>
        <tr r="C20" s="26"/>
      </tp>
      <tp t="e">
        <v>#N/A</v>
        <stp/>
        <stp>BDH|3169379965174140675</stp>
        <tr r="F36" s="10"/>
        <tr r="F48" s="10"/>
        <tr r="F28" s="11"/>
        <tr r="F40" s="11"/>
      </tp>
      <tp t="e">
        <v>#N/A</v>
        <stp/>
        <stp>BDH|3888021607287809004</stp>
        <tr r="I60" s="18"/>
      </tp>
      <tp t="e">
        <v>#N/A</v>
        <stp/>
        <stp>BDH|5578642100182039548</stp>
        <tr r="V20" s="24"/>
      </tp>
      <tp t="e">
        <v>#N/A</v>
        <stp/>
        <stp>BDH|4216650510411588672</stp>
        <tr r="Y118" s="18"/>
      </tp>
      <tp t="e">
        <v>#N/A</v>
        <stp/>
        <stp>BDH|7747634279733880101</stp>
        <tr r="O29" s="6"/>
      </tp>
      <tp t="e">
        <v>#N/A</v>
        <stp/>
        <stp>BDH|2084065686466238874</stp>
        <tr r="U54" s="12"/>
      </tp>
      <tp t="e">
        <v>#N/A</v>
        <stp/>
        <stp>BDH|93348298222363168</stp>
        <tr r="D11" s="17"/>
      </tp>
      <tp t="e">
        <v>#N/A</v>
        <stp/>
        <stp>BDH|8817229637515746908</stp>
        <tr r="C48" s="24"/>
      </tp>
      <tp t="e">
        <v>#N/A</v>
        <stp/>
        <stp>BDH|6123403678727638754</stp>
        <tr r="W9" s="22"/>
      </tp>
      <tp t="e">
        <v>#N/A</v>
        <stp/>
        <stp>BDH|1996769791652447802</stp>
        <tr r="M10" s="28"/>
      </tp>
      <tp t="e">
        <v>#N/A</v>
        <stp/>
        <stp>BDH|1122891235937798803</stp>
        <tr r="G37" s="26"/>
      </tp>
      <tp t="e">
        <v>#N/A</v>
        <stp/>
        <stp>BDH|7223544446765344696</stp>
        <tr r="T76" s="24"/>
      </tp>
      <tp t="e">
        <v>#N/A</v>
        <stp/>
        <stp>BDH|7099218256581431494</stp>
        <tr r="G65" s="18"/>
      </tp>
      <tp t="e">
        <v>#N/A</v>
        <stp/>
        <stp>BDH|4733735676259963810</stp>
        <tr r="U70" s="10"/>
        <tr r="U62" s="11"/>
        <tr r="U20" s="7"/>
      </tp>
      <tp t="e">
        <v>#N/A</v>
        <stp/>
        <stp>BDH|4781164459965309017</stp>
        <tr r="N6" s="2"/>
        <tr r="M6" s="5"/>
        <tr r="M6" s="9"/>
        <tr r="O12" s="8"/>
        <tr r="N10" s="29"/>
        <tr r="N19" s="29"/>
        <tr r="N25" s="29"/>
      </tp>
      <tp t="e">
        <v>#N/A</v>
        <stp/>
        <stp>BDH|2956815897731408712</stp>
        <tr r="V67" s="10"/>
      </tp>
      <tp t="e">
        <v>#N/A</v>
        <stp/>
        <stp>BDH|7704265201596208685</stp>
        <tr r="D10" s="26"/>
      </tp>
      <tp t="e">
        <v>#N/A</v>
        <stp/>
        <stp>BDH|7864730769207925411</stp>
        <tr r="M48" s="13"/>
      </tp>
      <tp t="e">
        <v>#N/A</v>
        <stp/>
        <stp>BDH|4811019835257791514</stp>
        <tr r="U80" s="24"/>
      </tp>
      <tp t="e">
        <v>#N/A</v>
        <stp/>
        <stp>BDH|6251695427397444020</stp>
        <tr r="G23" s="5"/>
        <tr r="G23" s="9"/>
      </tp>
      <tp t="e">
        <v>#N/A</v>
        <stp/>
        <stp>BDH|8294174567213119999</stp>
        <tr r="U13" s="10"/>
      </tp>
      <tp t="e">
        <v>#N/A</v>
        <stp/>
        <stp>BDH|2808764245074667075</stp>
        <tr r="Q17" s="30"/>
      </tp>
      <tp t="e">
        <v>#N/A</v>
        <stp/>
        <stp>BDH|1729116924333157494</stp>
        <tr r="R8" s="26"/>
        <tr r="O10" s="9"/>
      </tp>
      <tp t="e">
        <v>#N/A</v>
        <stp/>
        <stp>BDH|7786521167544922518</stp>
        <tr r="P10" s="21"/>
      </tp>
      <tp t="e">
        <v>#N/A</v>
        <stp/>
        <stp>BDH|7674368712926918611</stp>
        <tr r="X15" s="5"/>
      </tp>
      <tp t="e">
        <v>#N/A</v>
        <stp/>
        <stp>BDH|2360525851352298580</stp>
        <tr r="W42" s="6"/>
      </tp>
      <tp t="e">
        <v>#N/A</v>
        <stp/>
        <stp>BDH|1388608618260385323</stp>
        <tr r="O24" s="21"/>
      </tp>
      <tp t="e">
        <v>#N/A</v>
        <stp/>
        <stp>BDH|1968967198643972749</stp>
        <tr r="X45" s="12"/>
      </tp>
      <tp t="e">
        <v>#N/A</v>
        <stp/>
        <stp>BDH|2834758743077012342</stp>
        <tr r="Q104" s="18"/>
      </tp>
      <tp t="e">
        <v>#N/A</v>
        <stp/>
        <stp>BDH|5704729839964089062</stp>
        <tr r="P19" s="5"/>
        <tr r="P46" s="6"/>
      </tp>
      <tp t="e">
        <v>#N/A</v>
        <stp/>
        <stp>BDH|2450491915960525275</stp>
        <tr r="H95" s="18"/>
      </tp>
      <tp t="e">
        <v>#N/A</v>
        <stp/>
        <stp>BDH|5240327928858729954</stp>
        <tr r="E58" s="13"/>
      </tp>
      <tp t="e">
        <v>#N/A</v>
        <stp/>
        <stp>BDH|3574172465669865858</stp>
        <tr r="C30" s="10"/>
        <tr r="E36" s="13"/>
      </tp>
      <tp t="e">
        <v>#N/A</v>
        <stp/>
        <stp>BDH|4983137767056711002</stp>
        <tr r="Y90" s="17"/>
      </tp>
      <tp t="e">
        <v>#N/A</v>
        <stp/>
        <stp>BDH|6883378715959513854</stp>
        <tr r="Q29" s="29"/>
        <tr r="Q7" s="29"/>
      </tp>
      <tp t="e">
        <v>#N/A</v>
        <stp/>
        <stp>BDH|6202590916722225559</stp>
        <tr r="V56" s="18"/>
      </tp>
      <tp t="e">
        <v>#N/A</v>
        <stp/>
        <stp>BDH|2361808080554939304</stp>
        <tr r="AA86" s="12"/>
      </tp>
      <tp t="e">
        <v>#N/A</v>
        <stp/>
        <stp>BDH|5104297821947343706</stp>
        <tr r="Z35" s="21"/>
      </tp>
      <tp t="e">
        <v>#N/A</v>
        <stp/>
        <stp>BDH|5954120413320704059</stp>
        <tr r="Z57" s="18"/>
      </tp>
      <tp t="e">
        <v>#N/A</v>
        <stp/>
        <stp>BDH|3211387272225090722</stp>
        <tr r="F26" s="6"/>
      </tp>
      <tp t="e">
        <v>#N/A</v>
        <stp/>
        <stp>BDH|2791482841060042740</stp>
        <tr r="L11" s="11"/>
      </tp>
      <tp t="e">
        <v>#N/A</v>
        <stp/>
        <stp>BDH|1695555288070466954</stp>
        <tr r="J17" s="30"/>
      </tp>
      <tp t="e">
        <v>#N/A</v>
        <stp/>
        <stp>BDH|1125763259262151458</stp>
        <tr r="P36" s="10"/>
        <tr r="P48" s="10"/>
        <tr r="P28" s="11"/>
        <tr r="P40" s="11"/>
      </tp>
      <tp t="e">
        <v>#N/A</v>
        <stp/>
        <stp>BDH|4688064407252991349</stp>
        <tr r="Y69" s="17"/>
      </tp>
      <tp t="e">
        <v>#N/A</v>
        <stp/>
        <stp>BDH|6329062121312938361</stp>
        <tr r="X109" s="18"/>
      </tp>
      <tp t="e">
        <v>#N/A</v>
        <stp/>
        <stp>BDH|2261594382663028927</stp>
        <tr r="L15" s="30"/>
      </tp>
      <tp t="e">
        <v>#N/A</v>
        <stp/>
        <stp>BDH|6168926635038871156</stp>
        <tr r="N83" s="12"/>
      </tp>
      <tp t="e">
        <v>#N/A</v>
        <stp/>
        <stp>BDH|4302600977118792889</stp>
        <tr r="P18" s="23"/>
      </tp>
      <tp t="e">
        <v>#N/A</v>
        <stp/>
        <stp>BDH|6194298363251774674</stp>
        <tr r="C62" s="21"/>
      </tp>
      <tp t="e">
        <v>#N/A</v>
        <stp/>
        <stp>BDH|5015802799427443663</stp>
        <tr r="Y50" s="12"/>
      </tp>
      <tp t="e">
        <v>#N/A</v>
        <stp/>
        <stp>BDH|4899104535863067063</stp>
        <tr r="J55" s="17"/>
      </tp>
      <tp t="e">
        <v>#N/A</v>
        <stp/>
        <stp>BDH|6311876891265965773</stp>
        <tr r="S77" s="12"/>
      </tp>
      <tp t="e">
        <v>#N/A</v>
        <stp/>
        <stp>BDH|8642942603021232586</stp>
        <tr r="O11" s="22"/>
      </tp>
      <tp t="e">
        <v>#N/A</v>
        <stp/>
        <stp>BDH|7125947698627364556</stp>
        <tr r="N21" s="4"/>
      </tp>
      <tp t="e">
        <v>#N/A</v>
        <stp/>
        <stp>BDH|5654035468790345651</stp>
        <tr r="V75" s="18"/>
        <tr r="V64" s="12"/>
      </tp>
      <tp t="e">
        <v>#N/A</v>
        <stp/>
        <stp>BDH|7026615350238961936</stp>
        <tr r="D47" s="6"/>
      </tp>
      <tp t="e">
        <v>#N/A</v>
        <stp/>
        <stp>BDH|9049124487480637582</stp>
        <tr r="M60" s="11"/>
        <tr r="O19" s="23"/>
      </tp>
      <tp t="e">
        <v>#N/A</v>
        <stp/>
        <stp>BDH|5114650960340615096</stp>
        <tr r="E44" s="18"/>
      </tp>
      <tp t="e">
        <v>#N/A</v>
        <stp/>
        <stp>BDH|2565465230789088988</stp>
        <tr r="X22" s="6"/>
      </tp>
      <tp t="e">
        <v>#N/A</v>
        <stp/>
        <stp>BDH|5420146670402835437</stp>
        <tr r="K45" s="18"/>
      </tp>
      <tp t="e">
        <v>#N/A</v>
        <stp/>
        <stp>BDH|9415442786466967645</stp>
        <tr r="O7" s="6"/>
      </tp>
      <tp t="e">
        <v>#N/A</v>
        <stp/>
        <stp>BDH|1699485815796586757</stp>
        <tr r="N58" s="13"/>
      </tp>
      <tp t="e">
        <v>#N/A</v>
        <stp/>
        <stp>BDH|4816443940946360749</stp>
        <tr r="C52" s="10"/>
        <tr r="C44" s="11"/>
        <tr r="C15" s="7"/>
      </tp>
      <tp t="e">
        <v>#N/A</v>
        <stp/>
        <stp>BDH|2851142852454419715</stp>
        <tr r="F51" s="18"/>
      </tp>
      <tp t="e">
        <v>#N/A</v>
        <stp/>
        <stp>BDH|6611597055195478657</stp>
        <tr r="H86" s="17"/>
      </tp>
      <tp t="e">
        <v>#N/A</v>
        <stp/>
        <stp>BDH|8032113860363316995</stp>
        <tr r="U7" s="21"/>
      </tp>
      <tp t="e">
        <v>#N/A</v>
        <stp/>
        <stp>BDH|5163752349166227541</stp>
        <tr r="Q21" s="2"/>
      </tp>
      <tp t="e">
        <v>#N/A</v>
        <stp/>
        <stp>BDH|1005391111101167720</stp>
        <tr r="Q92" s="17"/>
        <tr r="Q13" s="28"/>
      </tp>
      <tp t="e">
        <v>#N/A</v>
        <stp/>
        <stp>BDH|5133199671464715256</stp>
        <tr r="S62" s="18"/>
      </tp>
      <tp t="e">
        <v>#N/A</v>
        <stp/>
        <stp>BDH|8239761898414560729</stp>
        <tr r="G8" s="12"/>
      </tp>
      <tp t="e">
        <v>#N/A</v>
        <stp/>
        <stp>BDH|2167321291118875518</stp>
        <tr r="G59" s="11"/>
        <tr r="I15" s="23"/>
      </tp>
      <tp t="e">
        <v>#N/A</v>
        <stp/>
        <stp>BDH|7014046825483325398</stp>
        <tr r="N72" s="10"/>
        <tr r="N64" s="11"/>
      </tp>
      <tp t="e">
        <v>#N/A</v>
        <stp/>
        <stp>BDH|2985922311596731965</stp>
        <tr r="H18" s="20"/>
      </tp>
      <tp t="e">
        <v>#N/A</v>
        <stp/>
        <stp>BDH|5774656170874139583</stp>
        <tr r="S44" s="13"/>
      </tp>
      <tp t="e">
        <v>#N/A</v>
        <stp/>
        <stp>BDH|4357773927116070288</stp>
        <tr r="H25" s="2"/>
        <tr r="J60" s="21"/>
      </tp>
      <tp t="e">
        <v>#N/A</v>
        <stp/>
        <stp>BDH|2967598656125574283</stp>
        <tr r="G98" s="18"/>
        <tr r="G7" s="20"/>
      </tp>
      <tp t="e">
        <v>#N/A</v>
        <stp/>
        <stp>BDH|2931429975321319563</stp>
        <tr r="T73" s="17"/>
      </tp>
      <tp t="e">
        <v>#N/A</v>
        <stp/>
        <stp>BDH|4290425110411838530</stp>
        <tr r="I17" s="29"/>
        <tr r="I40" s="29"/>
      </tp>
      <tp t="e">
        <v>#N/A</v>
        <stp/>
        <stp>BDH|5584004459052403736</stp>
        <tr r="D30" s="25"/>
        <tr r="D16" s="27"/>
      </tp>
      <tp t="e">
        <v>#N/A</v>
        <stp/>
        <stp>BDH|8228603497831879364</stp>
        <tr r="S8" s="34"/>
      </tp>
      <tp t="e">
        <v>#N/A</v>
        <stp/>
        <stp>BDH|3118694107163391377</stp>
        <tr r="X24" s="18"/>
      </tp>
      <tp t="e">
        <v>#N/A</v>
        <stp/>
        <stp>BDH|7276645867982960030</stp>
        <tr r="Q7" s="17"/>
      </tp>
      <tp t="e">
        <v>#N/A</v>
        <stp/>
        <stp>BDH|5896124234104727623</stp>
        <tr r="S79" s="24"/>
      </tp>
      <tp t="e">
        <v>#N/A</v>
        <stp/>
        <stp>BDH|6188171299402443904</stp>
        <tr r="P74" s="18"/>
      </tp>
      <tp t="e">
        <v>#N/A</v>
        <stp/>
        <stp>BDH|6212924084993928162</stp>
        <tr r="C14" s="12"/>
      </tp>
      <tp t="e">
        <v>#N/A</v>
        <stp/>
        <stp>BDH|5672453378153608069</stp>
        <tr r="AA22" s="14"/>
      </tp>
      <tp t="e">
        <v>#N/A</v>
        <stp/>
        <stp>BDH|3043760715522872209</stp>
        <tr r="C13" s="25"/>
      </tp>
      <tp t="e">
        <v>#N/A</v>
        <stp/>
        <stp>BDH|7323236348091327509</stp>
        <tr r="H81" s="24"/>
      </tp>
      <tp t="e">
        <v>#N/A</v>
        <stp/>
        <stp>BDH|3615473958396606170</stp>
        <tr r="H31" s="29"/>
      </tp>
      <tp t="e">
        <v>#N/A</v>
        <stp/>
        <stp>BDH|9212817055195751493</stp>
        <tr r="U44" s="6"/>
      </tp>
      <tp t="e">
        <v>#N/A</v>
        <stp/>
        <stp>BDH|2889158465113239322</stp>
        <tr r="H10" s="24"/>
      </tp>
      <tp t="e">
        <v>#N/A</v>
        <stp/>
        <stp>BDH|1107513322743936037</stp>
        <tr r="J43" s="34"/>
      </tp>
      <tp t="e">
        <v>#N/A</v>
        <stp/>
        <stp>BDH|8017710081880188291</stp>
        <tr r="O62" s="12"/>
      </tp>
      <tp t="e">
        <v>#N/A</v>
        <stp/>
        <stp>BDH|2034999475828262167</stp>
        <tr r="V32" s="14"/>
      </tp>
      <tp t="e">
        <v>#N/A</v>
        <stp/>
        <stp>BDH|2173786482700700844</stp>
        <tr r="F29" s="12"/>
      </tp>
      <tp t="e">
        <v>#N/A</v>
        <stp/>
        <stp>BDH|4145278031211856179</stp>
        <tr r="N102" s="18"/>
      </tp>
      <tp t="e">
        <v>#N/A</v>
        <stp/>
        <stp>BDH|8874088948968946190</stp>
        <tr r="W6" s="15"/>
        <tr r="W12" s="2"/>
        <tr r="W11" s="4"/>
        <tr r="W6" s="10"/>
      </tp>
      <tp t="e">
        <v>#N/A</v>
        <stp/>
        <stp>BDH|7717355565337804072</stp>
        <tr r="D8" s="24"/>
      </tp>
      <tp t="e">
        <v>#N/A</v>
        <stp/>
        <stp>BDH|7704961624360939944</stp>
        <tr r="L9" s="11"/>
      </tp>
      <tp t="e">
        <v>#N/A</v>
        <stp/>
        <stp>BDH|2681781406665989592</stp>
        <tr r="X38" s="10"/>
        <tr r="X30" s="11"/>
        <tr r="Z42" s="13"/>
      </tp>
      <tp t="e">
        <v>#N/A</v>
        <stp/>
        <stp>BDH|7165946349669117653</stp>
        <tr r="Q102" s="18"/>
      </tp>
      <tp t="e">
        <v>#N/A</v>
        <stp/>
        <stp>BDH|8406324289174093278</stp>
        <tr r="U49" s="24"/>
      </tp>
      <tp t="e">
        <v>#N/A</v>
        <stp/>
        <stp>BDH|8884511107938362051</stp>
        <tr r="J47" s="24"/>
      </tp>
      <tp t="e">
        <v>#N/A</v>
        <stp/>
        <stp>BDH|5517063694170856971</stp>
        <tr r="F69" s="10"/>
      </tp>
      <tp t="e">
        <v>#N/A</v>
        <stp/>
        <stp>BDH|3840052163867405729</stp>
        <tr r="C75" s="24"/>
      </tp>
      <tp t="e">
        <v>#N/A</v>
        <stp/>
        <stp>BDH|5516493434560926792</stp>
        <tr r="J34" s="9"/>
      </tp>
      <tp t="e">
        <v>#N/A</v>
        <stp/>
        <stp>BDH|6140719354093829248</stp>
        <tr r="D40" s="34"/>
      </tp>
      <tp t="e">
        <v>#N/A</v>
        <stp/>
        <stp>BDH|6475759358112304328</stp>
        <tr r="C47" s="22"/>
      </tp>
      <tp t="e">
        <v>#N/A</v>
        <stp/>
        <stp>BDH|9048945378536411402</stp>
        <tr r="G6" s="15"/>
        <tr r="G12" s="2"/>
        <tr r="G11" s="4"/>
        <tr r="G6" s="10"/>
      </tp>
      <tp t="e">
        <v>#N/A</v>
        <stp/>
        <stp>BDH|8654474869249043600</stp>
        <tr r="C16" s="6"/>
      </tp>
      <tp t="e">
        <v>#N/A</v>
        <stp/>
        <stp>BDH|8952600120381559845</stp>
        <tr r="T11" s="9"/>
      </tp>
      <tp t="e">
        <v>#N/A</v>
        <stp/>
        <stp>BDH|6642094989989777297</stp>
        <tr r="C40" s="17"/>
      </tp>
      <tp t="e">
        <v>#N/A</v>
        <stp/>
        <stp>BDH|8560331586241145798</stp>
        <tr r="O120" s="18"/>
      </tp>
      <tp t="e">
        <v>#N/A</v>
        <stp/>
        <stp>BDH|7009083647891106762</stp>
        <tr r="Z41" s="22"/>
      </tp>
      <tp t="e">
        <v>#N/A</v>
        <stp/>
        <stp>BDH|6247550967928050881</stp>
        <tr r="F22" s="6"/>
      </tp>
      <tp t="e">
        <v>#N/A</v>
        <stp/>
        <stp>BDH|6903460002051399660</stp>
        <tr r="K28" s="21"/>
      </tp>
      <tp t="e">
        <v>#N/A</v>
        <stp/>
        <stp>BDH|5640235359960541714</stp>
        <tr r="E75" s="18"/>
        <tr r="E64" s="12"/>
      </tp>
      <tp t="e">
        <v>#N/A</v>
        <stp/>
        <stp>BDH|2180655571155925345</stp>
        <tr r="N7" s="8"/>
      </tp>
      <tp t="e">
        <v>#N/A</v>
        <stp/>
        <stp>BDH|3711615416832837304</stp>
        <tr r="I46" s="12"/>
      </tp>
      <tp t="e">
        <v>#N/A</v>
        <stp/>
        <stp>BDH|2606095161834513536</stp>
        <tr r="M36" s="22"/>
      </tp>
      <tp t="e">
        <v>#N/A</v>
        <stp/>
        <stp>BDH|9993122296381538501</stp>
        <tr r="U21" s="22"/>
      </tp>
      <tp t="e">
        <v>#N/A</v>
        <stp/>
        <stp>BDH|3966682226543692195</stp>
        <tr r="S81" s="12"/>
      </tp>
      <tp t="e">
        <v>#N/A</v>
        <stp/>
        <stp>BDH|3681397671066239440</stp>
        <tr r="T35" s="26"/>
      </tp>
      <tp t="e">
        <v>#N/A</v>
        <stp/>
        <stp>BDH|4393420164425589689</stp>
        <tr r="J49" s="12"/>
      </tp>
      <tp t="e">
        <v>#N/A</v>
        <stp/>
        <stp>BDH|2737288567514327733</stp>
        <tr r="U9" s="23"/>
      </tp>
      <tp t="e">
        <v>#N/A</v>
        <stp/>
        <stp>BDH|9993870650514600503</stp>
        <tr r="E35" s="34"/>
      </tp>
      <tp t="e">
        <v>#N/A</v>
        <stp/>
        <stp>BDH|5735457735931652697</stp>
        <tr r="W19" s="20"/>
      </tp>
      <tp t="e">
        <v>#N/A</v>
        <stp/>
        <stp>BDH|4757831316321808928</stp>
        <tr r="R29" s="24"/>
      </tp>
      <tp t="e">
        <v>#N/A</v>
        <stp/>
        <stp>BDH|3808614321750646268</stp>
        <tr r="T26" s="7"/>
      </tp>
      <tp t="e">
        <v>#N/A</v>
        <stp/>
        <stp>BDH|1985543031484077647</stp>
        <tr r="J119" s="18"/>
      </tp>
      <tp t="e">
        <v>#N/A</v>
        <stp/>
        <stp>BDH|1323457522957833541</stp>
        <tr r="V25" s="14"/>
      </tp>
      <tp t="e">
        <v>#N/A</v>
        <stp/>
        <stp>BDH|7539475234376948360</stp>
        <tr r="K7" s="23"/>
      </tp>
      <tp t="e">
        <v>#N/A</v>
        <stp/>
        <stp>BDH|6032803042997300888</stp>
        <tr r="V122" s="18"/>
      </tp>
      <tp t="e">
        <v>#N/A</v>
        <stp/>
        <stp>BDH|3009589491913079904</stp>
        <tr r="S12" s="13"/>
      </tp>
      <tp t="e">
        <v>#N/A</v>
        <stp/>
        <stp>BDH|1473585558822512688</stp>
        <tr r="Q28" s="12"/>
      </tp>
      <tp t="e">
        <v>#N/A</v>
        <stp/>
        <stp>BDH|7641292305415461577</stp>
        <tr r="D94" s="18"/>
      </tp>
      <tp t="e">
        <v>#N/A</v>
        <stp/>
        <stp>BDH|3754577633186287688</stp>
        <tr r="P29" s="21"/>
      </tp>
      <tp t="e">
        <v>#N/A</v>
        <stp/>
        <stp>BDH|9054782196665532720</stp>
        <tr r="V109" s="18"/>
      </tp>
      <tp t="e">
        <v>#N/A</v>
        <stp/>
        <stp>BDH|2873114516431626607</stp>
        <tr r="V16" s="23"/>
      </tp>
      <tp t="e">
        <v>#N/A</v>
        <stp/>
        <stp>BDH|6968055413216061465</stp>
        <tr r="X115" s="18"/>
      </tp>
      <tp t="e">
        <v>#N/A</v>
        <stp/>
        <stp>BDH|6260666908780317563</stp>
        <tr r="K31" s="29"/>
      </tp>
      <tp t="e">
        <v>#N/A</v>
        <stp/>
        <stp>BDH|4174590670907523449</stp>
        <tr r="W9" s="28"/>
      </tp>
      <tp t="e">
        <v>#N/A</v>
        <stp/>
        <stp>BDH|2044987923179177530</stp>
        <tr r="L23" s="6"/>
      </tp>
      <tp t="e">
        <v>#N/A</v>
        <stp/>
        <stp>BDH|5041377962407836240</stp>
        <tr r="F128" s="18"/>
      </tp>
      <tp t="e">
        <v>#N/A</v>
        <stp/>
        <stp>BDH|5685241468020472479</stp>
        <tr r="L14" s="10"/>
      </tp>
      <tp t="e">
        <v>#N/A</v>
        <stp/>
        <stp>BDH|4104934299635378412</stp>
        <tr r="P114" s="18"/>
      </tp>
      <tp t="e">
        <v>#N/A</v>
        <stp/>
        <stp>BDH|9220837284589421584</stp>
        <tr r="E25" s="10"/>
        <tr r="G31" s="13"/>
      </tp>
      <tp t="e">
        <v>#N/A</v>
        <stp/>
        <stp>BDH|2236865539838131454</stp>
        <tr r="K125" s="18"/>
      </tp>
      <tp t="e">
        <v>#N/A</v>
        <stp/>
        <stp>BDH|4016142561836823040</stp>
        <tr r="I12" s="18"/>
      </tp>
      <tp t="e">
        <v>#N/A</v>
        <stp/>
        <stp>BDH|7372056237031180090</stp>
        <tr r="D6" s="15"/>
        <tr r="D12" s="2"/>
        <tr r="D11" s="4"/>
        <tr r="D6" s="10"/>
      </tp>
      <tp t="e">
        <v>#N/A</v>
        <stp/>
        <stp>BDH|5115563459363108368</stp>
        <tr r="V33" s="9"/>
      </tp>
      <tp t="e">
        <v>#N/A</v>
        <stp/>
        <stp>BDH|2283538909657287537</stp>
        <tr r="J62" s="17"/>
      </tp>
      <tp t="e">
        <v>#N/A</v>
        <stp/>
        <stp>BDH|1619163765870558397</stp>
        <tr r="W85" s="18"/>
      </tp>
      <tp t="e">
        <v>#N/A</v>
        <stp/>
        <stp>BDH|8565438988440267154</stp>
        <tr r="Z15" s="26"/>
      </tp>
      <tp t="e">
        <v>#N/A</v>
        <stp/>
        <stp>BDH|9096492796713311256</stp>
        <tr r="Z39" s="25"/>
        <tr r="Z7" s="3"/>
        <tr r="X18" s="11"/>
        <tr r="Z22" s="13"/>
        <tr r="Z7" s="13"/>
      </tp>
      <tp t="e">
        <v>#N/A</v>
        <stp/>
        <stp>BDH|5114385685272789925</stp>
        <tr r="E63" s="10"/>
      </tp>
      <tp t="e">
        <v>#N/A</v>
        <stp/>
        <stp>BDH|8204901333023038489</stp>
        <tr r="AA37" s="34"/>
      </tp>
      <tp t="e">
        <v>#N/A</v>
        <stp/>
        <stp>BDH|7658299114192449362</stp>
        <tr r="Q43" s="17"/>
      </tp>
      <tp t="e">
        <v>#N/A</v>
        <stp/>
        <stp>BDH|1539419381610440883</stp>
        <tr r="K46" s="13"/>
      </tp>
      <tp t="e">
        <v>#N/A</v>
        <stp/>
        <stp>BDH|9548390715788711678</stp>
        <tr r="Z90" s="18"/>
      </tp>
      <tp t="e">
        <v>#N/A</v>
        <stp/>
        <stp>BDH|1598026560314721694</stp>
        <tr r="F16" s="21"/>
      </tp>
      <tp t="e">
        <v>#N/A</v>
        <stp/>
        <stp>BDH|7012552688307489802</stp>
        <tr r="T12" s="3"/>
        <tr r="R55" s="10"/>
        <tr r="R47" s="11"/>
        <tr r="R7" s="7"/>
      </tp>
      <tp t="e">
        <v>#N/A</v>
        <stp/>
        <stp>BDH|3199673737011830203</stp>
        <tr r="I32" s="9"/>
      </tp>
      <tp t="e">
        <v>#N/A</v>
        <stp/>
        <stp>BDH|8711765448907380938</stp>
        <tr r="V46" s="24"/>
      </tp>
      <tp t="e">
        <v>#N/A</v>
        <stp/>
        <stp>BDH|6918391310981943000</stp>
        <tr r="L84" s="12"/>
      </tp>
      <tp t="e">
        <v>#N/A</v>
        <stp/>
        <stp>BDH|4756064766712793592</stp>
        <tr r="D32" s="17"/>
      </tp>
      <tp t="e">
        <v>#N/A</v>
        <stp/>
        <stp>BDH|6160157488953445910</stp>
        <tr r="Z99" s="18"/>
        <tr r="Z8" s="20"/>
      </tp>
      <tp t="e">
        <v>#N/A</v>
        <stp/>
        <stp>BDH|7543096573327090264</stp>
        <tr r="F23" s="26"/>
      </tp>
      <tp t="e">
        <v>#N/A</v>
        <stp/>
        <stp>BDH|3892547831349649926</stp>
        <tr r="F24" s="6"/>
      </tp>
      <tp t="e">
        <v>#N/A</v>
        <stp/>
        <stp>BDH|1821228986997349968</stp>
        <tr r="J18" s="13"/>
      </tp>
      <tp t="e">
        <v>#N/A</v>
        <stp/>
        <stp>BDH|4560066414176789696</stp>
        <tr r="W36" s="4"/>
      </tp>
      <tp t="e">
        <v>#N/A</v>
        <stp/>
        <stp>BDH|8080399980363885585</stp>
        <tr r="X22" s="24"/>
      </tp>
      <tp t="e">
        <v>#N/A</v>
        <stp/>
        <stp>BDH|2574235752372980247</stp>
        <tr r="X76" s="24"/>
      </tp>
      <tp t="e">
        <v>#N/A</v>
        <stp/>
        <stp>BDH|5719617920834727082</stp>
        <tr r="E31" s="18"/>
      </tp>
      <tp t="e">
        <v>#N/A</v>
        <stp/>
        <stp>BDH|5929528330466240004</stp>
        <tr r="C10" s="21"/>
      </tp>
      <tp t="e">
        <v>#N/A</v>
        <stp/>
        <stp>BDH|7266298851716014349</stp>
        <tr r="K81" s="17"/>
        <tr r="K20" s="3"/>
        <tr r="I6" s="7"/>
      </tp>
      <tp t="e">
        <v>#N/A</v>
        <stp/>
        <stp>BDH|2246885093564627216</stp>
        <tr r="Q34" s="26"/>
      </tp>
      <tp t="e">
        <v>#N/A</v>
        <stp/>
        <stp>BDH|6571190697183418817</stp>
        <tr r="F14" s="12"/>
      </tp>
      <tp t="e">
        <v>#N/A</v>
        <stp/>
        <stp>BDH|6825477583637370814</stp>
        <tr r="S33" s="24"/>
      </tp>
      <tp t="e">
        <v>#N/A</v>
        <stp/>
        <stp>BDH|7847716912323121743</stp>
        <tr r="E27" s="12"/>
      </tp>
      <tp t="e">
        <v>#N/A</v>
        <stp/>
        <stp>BDH|1375816939839301669</stp>
        <tr r="N45" s="22"/>
      </tp>
      <tp t="e">
        <v>#N/A</v>
        <stp/>
        <stp>BDH|1941984822019583688</stp>
        <tr r="K25" s="14"/>
      </tp>
      <tp t="e">
        <v>#N/A</v>
        <stp/>
        <stp>BDH|5664657013550766791</stp>
        <tr r="AA37" s="21"/>
        <tr r="AA24" s="3"/>
      </tp>
      <tp t="e">
        <v>#N/A</v>
        <stp/>
        <stp>BDH|2765942830765459895</stp>
        <tr r="H23" s="2"/>
        <tr r="J18" s="21"/>
        <tr r="J23" s="3"/>
      </tp>
      <tp t="e">
        <v>#N/A</v>
        <stp/>
        <stp>BDH|7878755671545538777</stp>
        <tr r="N35" s="21"/>
      </tp>
      <tp t="e">
        <v>#N/A</v>
        <stp/>
        <stp>BDH|6803770935631133656</stp>
        <tr r="S57" s="12"/>
      </tp>
      <tp t="e">
        <v>#N/A</v>
        <stp/>
        <stp>BDH|4816457014400583428</stp>
        <tr r="K19" s="26"/>
      </tp>
      <tp t="e">
        <v>#N/A</v>
        <stp/>
        <stp>BDH|7402890211013327810</stp>
        <tr r="G11" s="6"/>
      </tp>
      <tp t="e">
        <v>#N/A</v>
        <stp/>
        <stp>BDH|6626440469378300964</stp>
        <tr r="I68" s="24"/>
      </tp>
      <tp t="e">
        <v>#N/A</v>
        <stp/>
        <stp>BDH|7970670725330564607</stp>
        <tr r="V7" s="6"/>
      </tp>
      <tp t="e">
        <v>#N/A</v>
        <stp/>
        <stp>BDH|8465937461767866505</stp>
        <tr r="I23" s="13"/>
      </tp>
      <tp t="e">
        <v>#N/A</v>
        <stp/>
        <stp>BDH|9703489198231888016</stp>
        <tr r="Z45" s="17"/>
      </tp>
      <tp t="e">
        <v>#N/A</v>
        <stp/>
        <stp>BDH|7276772817503962752</stp>
        <tr r="S84" s="17"/>
      </tp>
      <tp t="e">
        <v>#N/A</v>
        <stp/>
        <stp>BDH|2688263583638880551</stp>
        <tr r="F20" s="18"/>
      </tp>
      <tp t="e">
        <v>#N/A</v>
        <stp/>
        <stp>BDH|4404965020073429983</stp>
        <tr r="E11" s="24"/>
      </tp>
      <tp t="e">
        <v>#N/A</v>
        <stp/>
        <stp>BDH|6771526211453202482</stp>
        <tr r="K11" s="13"/>
      </tp>
      <tp t="e">
        <v>#N/A</v>
        <stp/>
        <stp>BDH|3847592066606120385</stp>
        <tr r="E16" s="24"/>
      </tp>
      <tp t="e">
        <v>#N/A</v>
        <stp/>
        <stp>BDH|4018942028989193334</stp>
        <tr r="Q26" s="7"/>
      </tp>
      <tp t="e">
        <v>#N/A</v>
        <stp/>
        <stp>BDH|1017750688293163822</stp>
        <tr r="Q68" s="12"/>
      </tp>
      <tp t="e">
        <v>#N/A</v>
        <stp/>
        <stp>BDH|6930179524247287766</stp>
        <tr r="S21" s="4"/>
      </tp>
      <tp t="e">
        <v>#N/A</v>
        <stp/>
        <stp>BDH|6243787143679758909</stp>
        <tr r="G30" s="29"/>
        <tr r="G8" s="29"/>
      </tp>
      <tp t="e">
        <v>#N/A</v>
        <stp/>
        <stp>BDH|6891108332124615529</stp>
        <tr r="K7" s="4"/>
      </tp>
      <tp t="e">
        <v>#N/A</v>
        <stp/>
        <stp>BDH|4957052666617697020</stp>
        <tr r="AA40" s="34"/>
      </tp>
      <tp t="e">
        <v>#N/A</v>
        <stp/>
        <stp>BDH|8317385596785239218</stp>
        <tr r="I30" s="12"/>
      </tp>
      <tp t="e">
        <v>#N/A</v>
        <stp/>
        <stp>BDH|2698885021355677873</stp>
        <tr r="P87" s="12"/>
      </tp>
      <tp t="e">
        <v>#N/A</v>
        <stp/>
        <stp>BDH|3977369119192024686</stp>
        <tr r="W89" s="18"/>
      </tp>
      <tp t="e">
        <v>#N/A</v>
        <stp/>
        <stp>BDH|1301255678899458842</stp>
        <tr r="S78" s="18"/>
      </tp>
      <tp t="e">
        <v>#N/A</v>
        <stp/>
        <stp>BDH|6002119305324894629</stp>
        <tr r="H15" s="18"/>
      </tp>
      <tp t="e">
        <v>#N/A</v>
        <stp/>
        <stp>BDH|9155438883569647990</stp>
        <tr r="J106" s="18"/>
      </tp>
      <tp t="e">
        <v>#N/A</v>
        <stp/>
        <stp>BDH|9896971365011438204</stp>
        <tr r="S21" s="17"/>
        <tr r="S15" s="3"/>
      </tp>
      <tp t="e">
        <v>#N/A</v>
        <stp/>
        <stp>BDH|9299698506378040239</stp>
        <tr r="L45" s="24"/>
      </tp>
      <tp t="e">
        <v>#N/A</v>
        <stp/>
        <stp>BDH|5523864596832254395</stp>
        <tr r="Q87" s="17"/>
      </tp>
      <tp t="e">
        <v>#N/A</v>
        <stp/>
        <stp>BDH|1272107651255482594</stp>
        <tr r="X8" s="4"/>
      </tp>
      <tp t="e">
        <v>#N/A</v>
        <stp/>
        <stp>BDH|5926858826739043347</stp>
        <tr r="T43" s="34"/>
      </tp>
      <tp t="e">
        <v>#N/A</v>
        <stp/>
        <stp>BDH|2078875724984528987</stp>
        <tr r="W47" s="34"/>
      </tp>
      <tp t="e">
        <v>#N/A</v>
        <stp/>
        <stp>BDH|4526347701785839770</stp>
        <tr r="C133" s="18"/>
      </tp>
      <tp t="e">
        <v>#N/A</v>
        <stp/>
        <stp>BDH|3007084920445639112</stp>
        <tr r="V78" s="24"/>
      </tp>
      <tp t="e">
        <v>#N/A</v>
        <stp/>
        <stp>BDH|5710514611296070283</stp>
        <tr r="V13" s="29"/>
        <tr r="V22" s="29"/>
        <tr r="V36" s="29"/>
      </tp>
      <tp t="e">
        <v>#N/A</v>
        <stp/>
        <stp>BDH|3598367375651999303</stp>
        <tr r="K17" s="23"/>
      </tp>
      <tp t="e">
        <v>#N/A</v>
        <stp/>
        <stp>BDH|7529684640025707554</stp>
        <tr r="M27" s="6"/>
      </tp>
      <tp t="e">
        <v>#N/A</v>
        <stp/>
        <stp>BDH|2447247747983188297</stp>
        <tr r="S36" s="34"/>
      </tp>
      <tp t="e">
        <v>#N/A</v>
        <stp/>
        <stp>BDH|3863502473117445304</stp>
        <tr r="Z77" s="24"/>
      </tp>
      <tp t="e">
        <v>#N/A</v>
        <stp/>
        <stp>BDH|8714549988227093746</stp>
        <tr r="I18" s="10"/>
        <tr r="K16" s="13"/>
        <tr r="K27" s="13"/>
      </tp>
      <tp t="e">
        <v>#N/A</v>
        <stp/>
        <stp>BDH|5838177481138980188</stp>
        <tr r="T15" s="9"/>
      </tp>
      <tp t="e">
        <v>#N/A</v>
        <stp/>
        <stp>BDH|2054700402787421795</stp>
        <tr r="N7" s="34"/>
      </tp>
      <tp t="e">
        <v>#N/A</v>
        <stp/>
        <stp>BDH|8826360880664409250</stp>
        <tr r="P53" s="10"/>
        <tr r="P45" s="11"/>
        <tr r="P16" s="7"/>
      </tp>
      <tp t="e">
        <v>#N/A</v>
        <stp/>
        <stp>BDH|8975621853697506924</stp>
        <tr r="Z30" s="21"/>
      </tp>
      <tp t="e">
        <v>#N/A</v>
        <stp/>
        <stp>BDH|4691995797058285953</stp>
        <tr r="U39" s="25"/>
        <tr r="U7" s="3"/>
        <tr r="S18" s="11"/>
        <tr r="U22" s="13"/>
        <tr r="U7" s="13"/>
      </tp>
      <tp t="e">
        <v>#N/A</v>
        <stp/>
        <stp>BDH|4262832072276459884</stp>
        <tr r="N7" s="11"/>
      </tp>
      <tp t="e">
        <v>#N/A</v>
        <stp/>
        <stp>BDH|6862336945171059512</stp>
        <tr r="AA63" s="17"/>
      </tp>
      <tp t="e">
        <v>#N/A</v>
        <stp/>
        <stp>BDH|3909492998783427831</stp>
        <tr r="S17" s="29"/>
        <tr r="S40" s="29"/>
      </tp>
      <tp t="e">
        <v>#N/A</v>
        <stp/>
        <stp>BDH|7216446887458811664</stp>
        <tr r="I71" s="12"/>
      </tp>
      <tp t="e">
        <v>#N/A</v>
        <stp/>
        <stp>BDH|1124653030852314381</stp>
        <tr r="C93" s="17"/>
      </tp>
      <tp t="e">
        <v>#N/A</v>
        <stp/>
        <stp>BDH|8295333135429351482</stp>
        <tr r="J35" s="4"/>
      </tp>
      <tp t="e">
        <v>#N/A</v>
        <stp/>
        <stp>BDH|3649542479954056043</stp>
        <tr r="L78" s="12"/>
      </tp>
      <tp t="e">
        <v>#N/A</v>
        <stp/>
        <stp>BDH|2596345728674433221</stp>
        <tr r="W86" s="18"/>
      </tp>
      <tp t="e">
        <v>#N/A</v>
        <stp/>
        <stp>BDH|4828050134806361454</stp>
        <tr r="W28" s="10"/>
        <tr r="Y34" s="13"/>
      </tp>
      <tp t="e">
        <v>#N/A</v>
        <stp/>
        <stp>BDH|1801044862193271139</stp>
        <tr r="R38" s="10"/>
        <tr r="R30" s="11"/>
        <tr r="T42" s="13"/>
      </tp>
      <tp t="e">
        <v>#N/A</v>
        <stp/>
        <stp>BDH|7642553556785283783</stp>
        <tr r="U22" s="10"/>
      </tp>
      <tp t="e">
        <v>#N/A</v>
        <stp/>
        <stp>BDH|4381630145167966435</stp>
        <tr r="AA91" s="17"/>
        <tr r="AA7" s="27"/>
      </tp>
      <tp t="e">
        <v>#N/A</v>
        <stp/>
        <stp>BDH|9987867243962283214</stp>
        <tr r="K47" s="6"/>
      </tp>
      <tp t="e">
        <v>#N/A</v>
        <stp/>
        <stp>BDH|7905964866869774411</stp>
        <tr r="I50" s="18"/>
      </tp>
      <tp t="e">
        <v>#N/A</v>
        <stp/>
        <stp>BDH|6791896210519345323</stp>
        <tr r="AA40" s="22"/>
      </tp>
      <tp t="e">
        <v>#N/A</v>
        <stp/>
        <stp>BDH|7367656729174549258</stp>
        <tr r="U49" s="12"/>
      </tp>
      <tp t="e">
        <v>#N/A</v>
        <stp/>
        <stp>BDH|4781774511453925476</stp>
        <tr r="N11" s="30"/>
      </tp>
      <tp t="e">
        <v>#N/A</v>
        <stp/>
        <stp>BDH|5874249622330877096</stp>
        <tr r="M8" s="27"/>
      </tp>
      <tp t="e">
        <v>#N/A</v>
        <stp/>
        <stp>BDH|3022004130477892274</stp>
        <tr r="H27" s="24"/>
      </tp>
      <tp t="e">
        <v>#N/A</v>
        <stp/>
        <stp>BDH|2057702506690073099</stp>
        <tr r="G19" s="20"/>
      </tp>
      <tp t="e">
        <v>#N/A</v>
        <stp/>
        <stp>BDH|1879585729213184077</stp>
        <tr r="K42" s="6"/>
      </tp>
      <tp t="e">
        <v>#N/A</v>
        <stp/>
        <stp>BDH|1993938079049951365</stp>
        <tr r="W47" s="13"/>
      </tp>
      <tp t="e">
        <v>#N/A</v>
        <stp/>
        <stp>BDH|9799919050272909233</stp>
        <tr r="V43" s="24"/>
      </tp>
      <tp t="e">
        <v>#N/A</v>
        <stp/>
        <stp>BDH|3431922199566270013</stp>
        <tr r="N13" s="18"/>
      </tp>
      <tp t="e">
        <v>#N/A</v>
        <stp/>
        <stp>BDH|1972924195732432667</stp>
        <tr r="N69" s="10"/>
      </tp>
      <tp t="e">
        <v>#N/A</v>
        <stp/>
        <stp>BDH|3469888403949571760</stp>
        <tr r="O32" s="24"/>
      </tp>
      <tp t="e">
        <v>#N/A</v>
        <stp/>
        <stp>BDH|7806306033111555321</stp>
        <tr r="E43" s="10"/>
        <tr r="E35" s="11"/>
      </tp>
      <tp t="e">
        <v>#N/A</v>
        <stp/>
        <stp>BDH|2826866224095730814</stp>
        <tr r="V38" s="12"/>
      </tp>
      <tp t="e">
        <v>#N/A</v>
        <stp/>
        <stp>BDH|4839802555565930984</stp>
        <tr r="R20" s="27"/>
      </tp>
      <tp t="e">
        <v>#N/A</v>
        <stp/>
        <stp>BDH|1573222168792560267</stp>
        <tr r="O47" s="6"/>
      </tp>
      <tp t="e">
        <v>#N/A</v>
        <stp/>
        <stp>BDH|7021563558675538777</stp>
        <tr r="AA132" s="18"/>
      </tp>
      <tp t="e">
        <v>#N/A</v>
        <stp/>
        <stp>BDH|6436018258317081112</stp>
        <tr r="V18" s="14"/>
      </tp>
      <tp t="e">
        <v>#N/A</v>
        <stp/>
        <stp>BDH|7986615002732497621</stp>
        <tr r="L34" s="34"/>
      </tp>
      <tp t="e">
        <v>#N/A</v>
        <stp/>
        <stp>BDH|4181559875313472097</stp>
        <tr r="K44" s="12"/>
      </tp>
      <tp t="e">
        <v>#N/A</v>
        <stp/>
        <stp>BDH|5701642480128966660</stp>
        <tr r="L25" s="25"/>
        <tr r="L10" s="27"/>
      </tp>
      <tp t="e">
        <v>#N/A</v>
        <stp/>
        <stp>BDH|5071098955276885380</stp>
        <tr r="U12" s="10"/>
      </tp>
      <tp t="e">
        <v>#N/A</v>
        <stp/>
        <stp>BDH|7836010812583673016</stp>
        <tr r="R17" s="21"/>
      </tp>
      <tp t="e">
        <v>#N/A</v>
        <stp/>
        <stp>BDH|1504867469279121370</stp>
        <tr r="Z31" s="25"/>
        <tr r="W14" s="5"/>
        <tr r="Z17" s="27"/>
      </tp>
      <tp t="e">
        <v>#N/A</v>
        <stp/>
        <stp>BDH|8731748241746931878</stp>
        <tr r="O35" s="18"/>
      </tp>
      <tp t="e">
        <v>#N/A</v>
        <stp/>
        <stp>BDH|6352507436275041092</stp>
        <tr r="D7" s="17"/>
      </tp>
      <tp t="e">
        <v>#N/A</v>
        <stp/>
        <stp>BDH|7736182984162374941</stp>
        <tr r="C8" s="10"/>
      </tp>
      <tp t="e">
        <v>#N/A</v>
        <stp/>
        <stp>BDH|5419580354296038646</stp>
        <tr r="X43" s="34"/>
      </tp>
      <tp t="e">
        <v>#N/A</v>
        <stp/>
        <stp>BDH|2732985581625513378</stp>
        <tr r="S17" s="12"/>
      </tp>
      <tp t="e">
        <v>#N/A</v>
        <stp/>
        <stp>BDH|3249242040768896821</stp>
        <tr r="Y56" s="13"/>
      </tp>
      <tp t="e">
        <v>#N/A</v>
        <stp/>
        <stp>BDH|9937907228844417395</stp>
        <tr r="P26" s="10"/>
        <tr r="R32" s="13"/>
      </tp>
      <tp t="e">
        <v>#N/A</v>
        <stp/>
        <stp>BDH|5247000808267695707</stp>
        <tr r="I8" s="14"/>
      </tp>
      <tp t="e">
        <v>#N/A</v>
        <stp/>
        <stp>BDH|7906521600656469139</stp>
        <tr r="O29" s="29"/>
        <tr r="O7" s="29"/>
      </tp>
      <tp t="e">
        <v>#N/A</v>
        <stp/>
        <stp>BDH|5478028588021341910</stp>
        <tr r="S23" s="12"/>
      </tp>
      <tp t="e">
        <v>#N/A</v>
        <stp/>
        <stp>BDH|6872404035946783268</stp>
        <tr r="U11" s="21"/>
      </tp>
      <tp t="e">
        <v>#N/A</v>
        <stp/>
        <stp>BDH|9122586226518624359</stp>
        <tr r="F83" s="18"/>
      </tp>
      <tp t="e">
        <v>#N/A</v>
        <stp/>
        <stp>BDH|8453998969103852103</stp>
        <tr r="I37" s="24"/>
      </tp>
      <tp t="e">
        <v>#N/A</v>
        <stp/>
        <stp>BDH|2696256639780673605</stp>
        <tr r="U78" s="24"/>
      </tp>
      <tp t="e">
        <v>#N/A</v>
        <stp/>
        <stp>BDH|7694700898974494864</stp>
        <tr r="E50" s="21"/>
      </tp>
      <tp t="e">
        <v>#N/A</v>
        <stp/>
        <stp>BDH|1631963672799720399</stp>
        <tr r="U23" s="2"/>
        <tr r="W18" s="21"/>
        <tr r="W23" s="3"/>
      </tp>
      <tp t="e">
        <v>#N/A</v>
        <stp/>
        <stp>BDH|9161189841281628823</stp>
        <tr r="S32" s="26"/>
      </tp>
      <tp t="e">
        <v>#N/A</v>
        <stp/>
        <stp>BDH|6847559263296507673</stp>
        <tr r="W58" s="6"/>
      </tp>
      <tp t="e">
        <v>#N/A</v>
        <stp/>
        <stp>BDH|6134943608338646278</stp>
        <tr r="R34" s="21"/>
      </tp>
      <tp t="e">
        <v>#N/A</v>
        <stp/>
        <stp>BDH|7744029749927720179</stp>
        <tr r="T89" s="17"/>
        <tr r="T34" s="25"/>
      </tp>
      <tp t="e">
        <v>#N/A</v>
        <stp/>
        <stp>BDH|2806984481851435791</stp>
        <tr r="Y13" s="30"/>
      </tp>
      <tp t="e">
        <v>#N/A</v>
        <stp/>
        <stp>BDH|3562802198881324620</stp>
        <tr r="AA66" s="24"/>
      </tp>
      <tp t="e">
        <v>#N/A</v>
        <stp/>
        <stp>BDH|7202410607947018186</stp>
        <tr r="M6" s="6"/>
      </tp>
      <tp t="e">
        <v>#N/A</v>
        <stp/>
        <stp>BDH|9712468698872069359</stp>
        <tr r="D42" s="21"/>
      </tp>
      <tp t="e">
        <v>#N/A</v>
        <stp/>
        <stp>BDH|1380257678085155434</stp>
        <tr r="D23" s="13"/>
      </tp>
      <tp t="e">
        <v>#N/A</v>
        <stp/>
        <stp>BDH|6815871161829113428</stp>
        <tr r="O22" s="4"/>
      </tp>
      <tp t="e">
        <v>#N/A</v>
        <stp/>
        <stp>BDH|1577228220941230584</stp>
        <tr r="Q22" s="7"/>
      </tp>
      <tp t="e">
        <v>#N/A</v>
        <stp/>
        <stp>BDH|1783324833326896237</stp>
        <tr r="C12" s="24"/>
      </tp>
      <tp t="e">
        <v>#N/A</v>
        <stp/>
        <stp>BDH|5112587852331131177</stp>
        <tr r="S27" s="6"/>
      </tp>
      <tp t="e">
        <v>#N/A</v>
        <stp/>
        <stp>BDH|5569499780139784567</stp>
        <tr r="P23" s="22"/>
      </tp>
      <tp t="e">
        <v>#N/A</v>
        <stp/>
        <stp>BDH|4375752044571828373</stp>
        <tr r="R105" s="18"/>
      </tp>
      <tp t="e">
        <v>#N/A</v>
        <stp/>
        <stp>BDH|2850219494078181414</stp>
        <tr r="E57" s="10"/>
        <tr r="E49" s="11"/>
        <tr r="E18" s="7"/>
        <tr r="G57" s="13"/>
      </tp>
      <tp t="e">
        <v>#N/A</v>
        <stp/>
        <stp>BDH|4589857999483795332</stp>
        <tr r="AA30" s="17"/>
      </tp>
      <tp t="e">
        <v>#N/A</v>
        <stp/>
        <stp>BDH|8145089172058276249</stp>
        <tr r="G49" s="13"/>
      </tp>
      <tp t="e">
        <v>#N/A</v>
        <stp/>
        <stp>BDH|6885482725850966516</stp>
        <tr r="J85" s="17"/>
      </tp>
      <tp t="e">
        <v>#N/A</v>
        <stp/>
        <stp>BDH|5281294162815625123</stp>
        <tr r="Z40" s="34"/>
      </tp>
      <tp t="e">
        <v>#N/A</v>
        <stp/>
        <stp>BDH|1127526346715853003</stp>
        <tr r="Z71" s="17"/>
      </tp>
      <tp t="e">
        <v>#N/A</v>
        <stp/>
        <stp>BDH|5792348344586249185</stp>
        <tr r="P27" s="12"/>
      </tp>
      <tp t="e">
        <v>#N/A</v>
        <stp/>
        <stp>BDH|1868013055050145104</stp>
        <tr r="O95" s="18"/>
      </tp>
      <tp t="e">
        <v>#N/A</v>
        <stp/>
        <stp>BDH|3413762480099954063</stp>
        <tr r="R44" s="17"/>
      </tp>
      <tp t="e">
        <v>#N/A</v>
        <stp/>
        <stp>BDH|8774156698505518020</stp>
        <tr r="Z44" s="13"/>
      </tp>
      <tp t="e">
        <v>#N/A</v>
        <stp/>
        <stp>BDH|8397260820188152599</stp>
        <tr r="K29" s="21"/>
      </tp>
      <tp t="e">
        <v>#N/A</v>
        <stp/>
        <stp>BDH|2316438057044281286</stp>
        <tr r="Z11" s="24"/>
      </tp>
      <tp t="e">
        <v>#N/A</v>
        <stp/>
        <stp>BDH|3587776919675577538</stp>
        <tr r="E25" s="14"/>
      </tp>
      <tp t="e">
        <v>#N/A</v>
        <stp/>
        <stp>BDH|5948212274645128004</stp>
        <tr r="Y33" s="14"/>
      </tp>
      <tp t="e">
        <v>#N/A</v>
        <stp/>
        <stp>BDH|7151793225747770070</stp>
        <tr r="D37" s="12"/>
      </tp>
      <tp t="e">
        <v>#N/A</v>
        <stp/>
        <stp>BDH|4008693555127966582</stp>
        <tr r="I51" s="6"/>
        <tr r="K6" s="8"/>
      </tp>
      <tp t="e">
        <v>#N/A</v>
        <stp/>
        <stp>BDH|8003190872628690309</stp>
        <tr r="V42" s="34"/>
      </tp>
      <tp t="e">
        <v>#N/A</v>
        <stp/>
        <stp>BDH|7230391948273700699</stp>
        <tr r="W18" s="2"/>
        <tr r="W53" s="4"/>
        <tr r="W46" s="10"/>
        <tr r="W38" s="11"/>
        <tr r="Y51" s="13"/>
      </tp>
      <tp t="e">
        <v>#N/A</v>
        <stp/>
        <stp>BDH|9189879240930827032</stp>
        <tr r="I27" s="7"/>
      </tp>
      <tp t="e">
        <v>#N/A</v>
        <stp/>
        <stp>BDH|1912452614837252675</stp>
        <tr r="R104" s="18"/>
      </tp>
      <tp t="e">
        <v>#N/A</v>
        <stp/>
        <stp>BDH|3424804117056680985</stp>
        <tr r="L30" s="22"/>
      </tp>
      <tp t="e">
        <v>#N/A</v>
        <stp/>
        <stp>BDH|5577353483702892961</stp>
        <tr r="V140" s="18"/>
      </tp>
      <tp t="e">
        <v>#N/A</v>
        <stp/>
        <stp>BDH|3628092975902323340</stp>
        <tr r="R65" s="12"/>
      </tp>
      <tp t="e">
        <v>#N/A</v>
        <stp/>
        <stp>BDH|1461969583624839141</stp>
        <tr r="X12" s="22"/>
      </tp>
      <tp t="e">
        <v>#N/A</v>
        <stp/>
        <stp>BDH|7096796872647633500</stp>
        <tr r="Q28" s="6"/>
      </tp>
      <tp t="e">
        <v>#N/A</v>
        <stp/>
        <stp>BDH|1248150441862886339</stp>
        <tr r="K73" s="12"/>
      </tp>
      <tp t="e">
        <v>#N/A</v>
        <stp/>
        <stp>BDH|7698960166109976422</stp>
        <tr r="M35" s="25"/>
      </tp>
      <tp t="e">
        <v>#N/A</v>
        <stp/>
        <stp>BDH|7172652222182982421</stp>
        <tr r="K9" s="10"/>
      </tp>
      <tp t="e">
        <v>#N/A</v>
        <stp/>
        <stp>BDH|7168708148606268762</stp>
        <tr r="G20" s="17"/>
      </tp>
      <tp t="e">
        <v>#N/A</v>
        <stp/>
        <stp>BDH|9529615158328509748</stp>
        <tr r="V34" s="12"/>
      </tp>
      <tp t="e">
        <v>#N/A</v>
        <stp/>
        <stp>BDH|7234932489914171740</stp>
        <tr r="W63" s="10"/>
      </tp>
      <tp t="e">
        <v>#N/A</v>
        <stp/>
        <stp>BDH|1164308049492342161</stp>
        <tr r="U10" s="14"/>
      </tp>
      <tp t="e">
        <v>#N/A</v>
        <stp/>
        <stp>BDH|9603946922366996143</stp>
        <tr r="C11" s="22"/>
      </tp>
      <tp t="e">
        <v>#N/A</v>
        <stp/>
        <stp>BDH|9990839277637096401</stp>
        <tr r="V10" s="2"/>
        <tr r="U11" s="5"/>
        <tr r="U55" s="6"/>
        <tr r="V33" s="29"/>
        <tr r="V42" s="29"/>
      </tp>
      <tp t="e">
        <v>#N/A</v>
        <stp/>
        <stp>BDH|4604540913781814448</stp>
        <tr r="E6" s="27"/>
      </tp>
      <tp t="e">
        <v>#N/A</v>
        <stp/>
        <stp>BDH|9009348019726507851</stp>
        <tr r="Z23" s="23"/>
      </tp>
      <tp t="e">
        <v>#N/A</v>
        <stp/>
        <stp>BDH|7170541436676576246</stp>
        <tr r="W24" s="2"/>
      </tp>
      <tp t="e">
        <v>#N/A</v>
        <stp/>
        <stp>BDH|8874820485524520981</stp>
        <tr r="J20" s="18"/>
      </tp>
      <tp t="e">
        <v>#N/A</v>
        <stp/>
        <stp>BDH|3377893892770804722</stp>
        <tr r="W55" s="12"/>
      </tp>
      <tp t="e">
        <v>#N/A</v>
        <stp/>
        <stp>BDH|2885248863641807257</stp>
        <tr r="W62" s="17"/>
      </tp>
      <tp t="e">
        <v>#N/A</v>
        <stp/>
        <stp>BDH|2504383855050216183</stp>
        <tr r="W30" s="29"/>
        <tr r="W8" s="29"/>
      </tp>
      <tp t="e">
        <v>#N/A</v>
        <stp/>
        <stp>BDH|7349100561345162010</stp>
        <tr r="Z33" s="24"/>
      </tp>
      <tp t="e">
        <v>#N/A</v>
        <stp/>
        <stp>BDH|3976010182746818800</stp>
        <tr r="N26" s="17"/>
      </tp>
      <tp t="e">
        <v>#N/A</v>
        <stp/>
        <stp>BDH|8634266964098714114</stp>
        <tr r="N71" s="17"/>
      </tp>
      <tp t="e">
        <v>#N/A</v>
        <stp/>
        <stp>BDH|1715880143530876863</stp>
        <tr r="P82" s="17"/>
      </tp>
      <tp t="e">
        <v>#N/A</v>
        <stp/>
        <stp>BDH|5338590942022931330</stp>
        <tr r="T100" s="18"/>
        <tr r="T9" s="20"/>
      </tp>
      <tp t="e">
        <v>#N/A</v>
        <stp/>
        <stp>BDH|5332928243775544858</stp>
        <tr r="N86" s="18"/>
      </tp>
      <tp t="e">
        <v>#N/A</v>
        <stp/>
        <stp>BDH|8222870419564903077</stp>
        <tr r="M10" s="21"/>
      </tp>
      <tp t="e">
        <v>#N/A</v>
        <stp/>
        <stp>BDH|9851490460097473972</stp>
        <tr r="H14" s="10"/>
      </tp>
      <tp t="e">
        <v>#N/A</v>
        <stp/>
        <stp>BDH|7166714951131038133</stp>
        <tr r="M120" s="18"/>
      </tp>
      <tp t="e">
        <v>#N/A</v>
        <stp/>
        <stp>BDH|5612599106276810339</stp>
        <tr r="I20" s="2"/>
        <tr r="I18" s="4"/>
        <tr r="I58" s="10"/>
        <tr r="I50" s="11"/>
        <tr r="I19" s="7"/>
        <tr r="K65" s="13"/>
      </tp>
      <tp t="e">
        <v>#N/A</v>
        <stp/>
        <stp>BDH|4031607408350946731</stp>
        <tr r="Q60" s="13"/>
      </tp>
      <tp t="e">
        <v>#N/A</v>
        <stp/>
        <stp>BDH|4247562655479371807</stp>
        <tr r="C73" s="12"/>
      </tp>
      <tp t="e">
        <v>#N/A</v>
        <stp/>
        <stp>BDH|5668456664877385562</stp>
        <tr r="O20" s="24"/>
      </tp>
      <tp t="e">
        <v>#N/A</v>
        <stp/>
        <stp>BDH|5994300007583893047</stp>
        <tr r="P21" s="18"/>
      </tp>
      <tp t="e">
        <v>#N/A</v>
        <stp/>
        <stp>BDH|1088683529038404879</stp>
        <tr r="X6" s="27"/>
      </tp>
      <tp t="e">
        <v>#N/A</v>
        <stp/>
        <stp>BDH|3608152353714406660</stp>
        <tr r="T71" s="10"/>
        <tr r="T63" s="11"/>
      </tp>
      <tp t="e">
        <v>#N/A</v>
        <stp/>
        <stp>BDH|6450265358667109392</stp>
        <tr r="C27" s="24"/>
      </tp>
      <tp t="e">
        <v>#N/A</v>
        <stp/>
        <stp>BDH|9204556536308747246</stp>
        <tr r="K21" s="18"/>
      </tp>
      <tp t="e">
        <v>#N/A</v>
        <stp/>
        <stp>BDH|5966018949540157429</stp>
        <tr r="O49" s="4"/>
      </tp>
      <tp t="e">
        <v>#N/A</v>
        <stp/>
        <stp>BDH|4619407817214358007</stp>
        <tr r="C8" s="24"/>
      </tp>
      <tp t="e">
        <v>#N/A</v>
        <stp/>
        <stp>BDH|9187759244148328714</stp>
        <tr r="X69" s="18"/>
      </tp>
      <tp t="e">
        <v>#N/A</v>
        <stp/>
        <stp>BDH|1348446548570911440</stp>
        <tr r="O59" s="17"/>
      </tp>
      <tp t="e">
        <v>#N/A</v>
        <stp/>
        <stp>BDH|6461619973430250267</stp>
        <tr r="E20" s="9"/>
      </tp>
      <tp t="e">
        <v>#N/A</v>
        <stp/>
        <stp>BDH|9684293213788845761</stp>
        <tr r="G93" s="18"/>
      </tp>
      <tp t="e">
        <v>#N/A</v>
        <stp/>
        <stp>BDH|7131001750815663254</stp>
        <tr r="I15" s="22"/>
      </tp>
      <tp t="e">
        <v>#N/A</v>
        <stp/>
        <stp>BDH|4088160952057242244</stp>
        <tr r="R25" s="10"/>
        <tr r="T31" s="13"/>
      </tp>
      <tp t="e">
        <v>#N/A</v>
        <stp/>
        <stp>BDH|2876018778943285316</stp>
        <tr r="I25" s="34"/>
      </tp>
      <tp t="e">
        <v>#N/A</v>
        <stp/>
        <stp>BDH|4691502825481103707</stp>
        <tr r="E43" s="6"/>
      </tp>
      <tp t="e">
        <v>#N/A</v>
        <stp/>
        <stp>BDH|3296299012300395582</stp>
        <tr r="AA88" s="18"/>
      </tp>
      <tp t="e">
        <v>#N/A</v>
        <stp/>
        <stp>BDH|7385701103541212406</stp>
        <tr r="L49" s="21"/>
      </tp>
      <tp t="e">
        <v>#N/A</v>
        <stp/>
        <stp>BDH|9095940701064278155</stp>
        <tr r="AA52" s="17"/>
        <tr r="AA10" s="25"/>
      </tp>
      <tp t="e">
        <v>#N/A</v>
        <stp/>
        <stp>BDH|1284186242620919132</stp>
        <tr r="D19" s="22"/>
      </tp>
      <tp t="e">
        <v>#N/A</v>
        <stp/>
        <stp>BDH|4328335252765039209</stp>
        <tr r="C30" s="17"/>
      </tp>
      <tp t="e">
        <v>#N/A</v>
        <stp/>
        <stp>BDH|8317729441786228807</stp>
        <tr r="Q11" s="18"/>
      </tp>
      <tp t="e">
        <v>#N/A</v>
        <stp/>
        <stp>BDH|8291162443819288171</stp>
        <tr r="Q73" s="10"/>
        <tr r="Q65" s="11"/>
      </tp>
      <tp t="e">
        <v>#N/A</v>
        <stp/>
        <stp>BDH|7601175746575751228</stp>
        <tr r="C35" s="14"/>
      </tp>
      <tp t="e">
        <v>#N/A</v>
        <stp/>
        <stp>BDH|8936310286412998453</stp>
        <tr r="W6" s="6"/>
      </tp>
      <tp t="e">
        <v>#N/A</v>
        <stp/>
        <stp>BDH|5904681093838663763</stp>
        <tr r="T37" s="21"/>
        <tr r="T24" s="3"/>
      </tp>
      <tp t="e">
        <v>#N/A</v>
        <stp/>
        <stp>BDH|9890196225659121677</stp>
        <tr r="S55" s="18"/>
      </tp>
      <tp t="e">
        <v>#N/A</v>
        <stp/>
        <stp>BDH|1179510646890485508</stp>
        <tr r="Y74" s="10"/>
        <tr r="Y66" s="11"/>
      </tp>
      <tp t="e">
        <v>#N/A</v>
        <stp/>
        <stp>BDH|8375647336029099136</stp>
        <tr r="O70" s="10"/>
        <tr r="O62" s="11"/>
        <tr r="O20" s="7"/>
      </tp>
      <tp t="e">
        <v>#N/A</v>
        <stp/>
        <stp>BDH|1331533446681484401</stp>
        <tr r="G68" s="12"/>
      </tp>
      <tp t="e">
        <v>#N/A</v>
        <stp/>
        <stp>BDH|4284141090618004141</stp>
        <tr r="Q64" s="21"/>
        <tr r="N31" s="6"/>
      </tp>
      <tp t="e">
        <v>#N/A</v>
        <stp/>
        <stp>BDH|6929003122323945208</stp>
        <tr r="N28" s="6"/>
      </tp>
      <tp t="e">
        <v>#N/A</v>
        <stp/>
        <stp>BDH|6885004319055038731</stp>
        <tr r="U138" s="18"/>
      </tp>
      <tp t="e">
        <v>#N/A</v>
        <stp/>
        <stp>BDH|7560024231660152140</stp>
        <tr r="M51" s="6"/>
        <tr r="O6" s="8"/>
      </tp>
      <tp t="e">
        <v>#N/A</v>
        <stp/>
        <stp>BDH|1235849002889607513</stp>
        <tr r="W59" s="17"/>
      </tp>
      <tp t="e">
        <v>#N/A</v>
        <stp/>
        <stp>BDH|6384255007871205005</stp>
        <tr r="R28" s="18"/>
      </tp>
      <tp t="e">
        <v>#N/A</v>
        <stp/>
        <stp>BDH|1686710624814266526</stp>
        <tr r="H13" s="17"/>
        <tr r="H16" s="28"/>
      </tp>
      <tp t="e">
        <v>#N/A</v>
        <stp/>
        <stp>BDH|3354723513400636071</stp>
        <tr r="Y7" s="24"/>
      </tp>
      <tp t="e">
        <v>#N/A</v>
        <stp/>
        <stp>BDH|2573836447219617242</stp>
        <tr r="T52" s="24"/>
      </tp>
      <tp t="e">
        <v>#N/A</v>
        <stp/>
        <stp>BDH|9940615331268366195</stp>
        <tr r="L19" s="11"/>
      </tp>
      <tp t="e">
        <v>#N/A</v>
        <stp/>
        <stp>BDH|2142966529384547886</stp>
        <tr r="G86" s="12"/>
      </tp>
      <tp t="e">
        <v>#N/A</v>
        <stp/>
        <stp>BDH|4938405769410616350</stp>
        <tr r="K19" s="5"/>
        <tr r="K46" s="6"/>
      </tp>
      <tp t="e">
        <v>#N/A</v>
        <stp/>
        <stp>BDH|4051735206336069066</stp>
        <tr r="W34" s="5"/>
        <tr r="X32" s="29"/>
      </tp>
      <tp t="e">
        <v>#N/A</v>
        <stp/>
        <stp>BDH|9505464377547658817</stp>
        <tr r="P87" s="24"/>
      </tp>
      <tp t="e">
        <v>#N/A</v>
        <stp/>
        <stp>BDH|2059316035532535527</stp>
        <tr r="U21" s="10"/>
      </tp>
      <tp t="e">
        <v>#N/A</v>
        <stp/>
        <stp>BDH|6162604712783568756</stp>
        <tr r="M57" s="17"/>
      </tp>
      <tp t="e">
        <v>#N/A</v>
        <stp/>
        <stp>BDH|8898463361446829949</stp>
        <tr r="S10" s="21"/>
      </tp>
      <tp t="e">
        <v>#N/A</v>
        <stp/>
        <stp>BDH|9893045399962494729</stp>
        <tr r="Y59" s="11"/>
        <tr r="AA15" s="23"/>
      </tp>
      <tp t="e">
        <v>#N/A</v>
        <stp/>
        <stp>BDH|8368746640326227865</stp>
        <tr r="J28" s="21"/>
      </tp>
      <tp t="e">
        <v>#N/A</v>
        <stp/>
        <stp>BDH|9172996458156614656</stp>
        <tr r="D25" s="18"/>
      </tp>
      <tp t="e">
        <v>#N/A</v>
        <stp/>
        <stp>BDH|6222055354384856286</stp>
        <tr r="L88" s="18"/>
      </tp>
      <tp t="e">
        <v>#N/A</v>
        <stp/>
        <stp>BDH|3353700900440024104</stp>
        <tr r="X41" s="21"/>
      </tp>
      <tp t="e">
        <v>#N/A</v>
        <stp/>
        <stp>BDH|3493587661834967178</stp>
        <tr r="Q8" s="34"/>
      </tp>
      <tp t="e">
        <v>#N/A</v>
        <stp/>
        <stp>BDH|5302718744176153544</stp>
        <tr r="U34" s="34"/>
      </tp>
      <tp t="e">
        <v>#N/A</v>
        <stp/>
        <stp>BDH|2861385871043485063</stp>
        <tr r="S21" s="10"/>
      </tp>
      <tp t="e">
        <v>#N/A</v>
        <stp/>
        <stp>BDH|8228171546721386934</stp>
        <tr r="O112" s="18"/>
      </tp>
      <tp t="e">
        <v>#N/A</v>
        <stp/>
        <stp>BDH|1998316550980254298</stp>
        <tr r="S43" s="29"/>
      </tp>
      <tp t="e">
        <v>#N/A</v>
        <stp/>
        <stp>BDH|6974329369286302027</stp>
        <tr r="R90" s="24"/>
      </tp>
      <tp t="e">
        <v>#N/A</v>
        <stp/>
        <stp>BDH|6233353601524779429</stp>
        <tr r="W17" s="10"/>
      </tp>
      <tp t="e">
        <v>#N/A</v>
        <stp/>
        <stp>BDH|5599027126385408766</stp>
        <tr r="I7" s="21"/>
      </tp>
      <tp t="e">
        <v>#N/A</v>
        <stp/>
        <stp>BDH|8488550423072231830</stp>
        <tr r="M10" s="12"/>
      </tp>
      <tp t="e">
        <v>#N/A</v>
        <stp/>
        <stp>BDH|4645556903814336002</stp>
        <tr r="O45" s="22"/>
      </tp>
      <tp t="e">
        <v>#N/A</v>
        <stp/>
        <stp>BDH|1066518312972054208</stp>
        <tr r="K17" s="24"/>
      </tp>
      <tp t="e">
        <v>#N/A</v>
        <stp/>
        <stp>BDH|2915689973582042413</stp>
        <tr r="H8" s="13"/>
      </tp>
      <tp t="e">
        <v>#N/A</v>
        <stp/>
        <stp>BDH|6643609312356303244</stp>
        <tr r="AA106" s="18"/>
      </tp>
      <tp t="e">
        <v>#N/A</v>
        <stp/>
        <stp>BDH|2286342742533527320</stp>
        <tr r="O87" s="17"/>
      </tp>
      <tp t="e">
        <v>#N/A</v>
        <stp/>
        <stp>BDH|7219471668092991274</stp>
        <tr r="H28" s="12"/>
      </tp>
      <tp t="e">
        <v>#N/A</v>
        <stp/>
        <stp>BDH|7965917298250363208</stp>
        <tr r="Q33" s="24"/>
      </tp>
      <tp t="e">
        <v>#N/A</v>
        <stp/>
        <stp>BDH|6101992687713516198</stp>
        <tr r="L26" s="21"/>
      </tp>
      <tp t="e">
        <v>#N/A</v>
        <stp/>
        <stp>BDH|5029999333448054296</stp>
        <tr r="T8" s="28"/>
      </tp>
      <tp t="e">
        <v>#N/A</v>
        <stp/>
        <stp>BDH|1622226241871232340</stp>
        <tr r="R63" s="13"/>
      </tp>
      <tp t="e">
        <v>#N/A</v>
        <stp/>
        <stp>BDH|2503804072568374079</stp>
        <tr r="C10" s="28"/>
      </tp>
      <tp t="e">
        <v>#N/A</v>
        <stp/>
        <stp>BDH|8175523676149434629</stp>
        <tr r="AA71" s="12"/>
      </tp>
      <tp t="e">
        <v>#N/A</v>
        <stp/>
        <stp>BDH|8876395070198757159</stp>
        <tr r="N101" s="18"/>
      </tp>
      <tp t="e">
        <v>#N/A</v>
        <stp/>
        <stp>BDH|2086145312324706320</stp>
        <tr r="T42" s="22"/>
      </tp>
      <tp t="e">
        <v>#N/A</v>
        <stp/>
        <stp>BDH|7414760044808116946</stp>
        <tr r="G63" s="10"/>
      </tp>
      <tp t="e">
        <v>#N/A</v>
        <stp/>
        <stp>BDH|5390505946646642700</stp>
        <tr r="T46" s="13"/>
      </tp>
      <tp t="e">
        <v>#N/A</v>
        <stp/>
        <stp>BDH|2689751183549987194</stp>
        <tr r="Z9" s="34"/>
      </tp>
      <tp t="e">
        <v>#N/A</v>
        <stp/>
        <stp>BDH|4800246146565943234</stp>
        <tr r="X17" s="14"/>
      </tp>
      <tp t="e">
        <v>#N/A</v>
        <stp/>
        <stp>BDH|8111392221504963803</stp>
        <tr r="Y46" s="13"/>
      </tp>
      <tp t="e">
        <v>#N/A</v>
        <stp/>
        <stp>BDH|8831171723369969754</stp>
        <tr r="H30" s="17"/>
      </tp>
      <tp t="e">
        <v>#N/A</v>
        <stp/>
        <stp>BDH|6812350071987531098</stp>
        <tr r="V22" s="17"/>
      </tp>
      <tp t="e">
        <v>#N/A</v>
        <stp/>
        <stp>BDH|8555374886923138559</stp>
        <tr r="L18" s="10"/>
        <tr r="N16" s="13"/>
        <tr r="N27" s="13"/>
      </tp>
      <tp t="e">
        <v>#N/A</v>
        <stp/>
        <stp>BDH|7480312374666485056</stp>
        <tr r="E23" s="6"/>
      </tp>
      <tp t="e">
        <v>#N/A</v>
        <stp/>
        <stp>BDH|6041698349477796673</stp>
        <tr r="X68" s="10"/>
      </tp>
      <tp t="e">
        <v>#N/A</v>
        <stp/>
        <stp>BDH|5777773916037520134</stp>
        <tr r="AA76" s="12"/>
      </tp>
      <tp t="e">
        <v>#N/A</v>
        <stp/>
        <stp>BDH|4972573115044821133</stp>
        <tr r="O47" s="22"/>
      </tp>
      <tp t="e">
        <v>#N/A</v>
        <stp/>
        <stp>BDH|5409166784118258147</stp>
        <tr r="O140" s="18"/>
      </tp>
      <tp t="e">
        <v>#N/A</v>
        <stp/>
        <stp>BDH|5253380430374906432</stp>
        <tr r="T57" s="12"/>
      </tp>
      <tp t="e">
        <v>#N/A</v>
        <stp/>
        <stp>BDH|5971099761316291030</stp>
        <tr r="I43" s="12"/>
      </tp>
      <tp t="e">
        <v>#N/A</v>
        <stp/>
        <stp>BDH|5106355711256138440</stp>
        <tr r="G17" s="9"/>
      </tp>
      <tp t="e">
        <v>#N/A</v>
        <stp/>
        <stp>BDH|1411598455493185791</stp>
        <tr r="G89" s="24"/>
      </tp>
      <tp t="e">
        <v>#N/A</v>
        <stp/>
        <stp>BDH|1437320611110514624</stp>
        <tr r="I26" s="12"/>
      </tp>
      <tp t="e">
        <v>#N/A</v>
        <stp/>
        <stp>BDH|7233736497308341455</stp>
        <tr r="R43" s="10"/>
        <tr r="R35" s="11"/>
      </tp>
      <tp t="e">
        <v>#N/A</v>
        <stp/>
        <stp>BDH|5128497852356337792</stp>
        <tr r="S63" s="12"/>
      </tp>
      <tp t="e">
        <v>#N/A</v>
        <stp/>
        <stp>BDH|5610026996238165134</stp>
        <tr r="T88" s="24"/>
      </tp>
      <tp t="e">
        <v>#N/A</v>
        <stp/>
        <stp>BDH|3307470557032369501</stp>
        <tr r="Q67" s="18"/>
      </tp>
      <tp t="e">
        <v>#N/A</v>
        <stp/>
        <stp>BDH|6041531967244025442</stp>
        <tr r="U10" s="11"/>
      </tp>
      <tp t="e">
        <v>#N/A</v>
        <stp/>
        <stp>BDH|5661248036537599615</stp>
        <tr r="R22" s="7"/>
      </tp>
      <tp t="e">
        <v>#N/A</v>
        <stp/>
        <stp>BDH|1066453687870433868</stp>
        <tr r="E37" s="12"/>
      </tp>
      <tp t="e">
        <v>#N/A</v>
        <stp/>
        <stp>BDH|7645523326135581078</stp>
        <tr r="Y70" s="24"/>
      </tp>
      <tp t="e">
        <v>#N/A</v>
        <stp/>
        <stp>BDH|2343203080749132425</stp>
        <tr r="K18" s="24"/>
      </tp>
      <tp t="e">
        <v>#N/A</v>
        <stp/>
        <stp>BDH|8057263095621763740</stp>
        <tr r="W31" s="24"/>
      </tp>
      <tp t="e">
        <v>#N/A</v>
        <stp/>
        <stp>BDH|6782413672087019743</stp>
        <tr r="V60" s="11"/>
        <tr r="X19" s="23"/>
      </tp>
      <tp t="e">
        <v>#N/A</v>
        <stp/>
        <stp>BDH|7572469825505704112</stp>
        <tr r="P8" s="4"/>
      </tp>
      <tp t="e">
        <v>#N/A</v>
        <stp/>
        <stp>BDH|9366823200332888697</stp>
        <tr r="E16" s="25"/>
      </tp>
      <tp t="e">
        <v>#N/A</v>
        <stp/>
        <stp>BDH|5574124713838510812</stp>
        <tr r="N43" s="17"/>
      </tp>
      <tp t="e">
        <v>#N/A</v>
        <stp/>
        <stp>BDH|3203960620179593410</stp>
        <tr r="E25" s="24"/>
      </tp>
      <tp t="e">
        <v>#N/A</v>
        <stp/>
        <stp>BDH|4288310275081066465</stp>
        <tr r="Y68" s="18"/>
      </tp>
      <tp t="e">
        <v>#N/A</v>
        <stp/>
        <stp>BDH|5344836772839125633</stp>
        <tr r="N139" s="18"/>
      </tp>
      <tp t="e">
        <v>#N/A</v>
        <stp/>
        <stp>BDH|7348088719825364619</stp>
        <tr r="I140" s="18"/>
      </tp>
      <tp t="e">
        <v>#N/A</v>
        <stp/>
        <stp>BDH|5383811994881329058</stp>
        <tr r="M43" s="18"/>
      </tp>
      <tp t="e">
        <v>#N/A</v>
        <stp/>
        <stp>BDH|1431760916394758638</stp>
        <tr r="S56" s="11"/>
      </tp>
      <tp t="e">
        <v>#N/A</v>
        <stp/>
        <stp>BDH|3639551855937470120</stp>
        <tr r="L17" s="5"/>
        <tr r="L36" s="6"/>
      </tp>
      <tp t="e">
        <v>#N/A</v>
        <stp/>
        <stp>BDH|4049859810758556003</stp>
        <tr r="V54" s="12"/>
      </tp>
      <tp t="e">
        <v>#N/A</v>
        <stp/>
        <stp>BDH|5885251949015070342</stp>
        <tr r="H8" s="2"/>
      </tp>
      <tp t="e">
        <v>#N/A</v>
        <stp/>
        <stp>BDH|7479044778126064388</stp>
        <tr r="F19" s="11"/>
      </tp>
      <tp t="e">
        <v>#N/A</v>
        <stp/>
        <stp>BDH|2833778299521075866</stp>
        <tr r="C17" s="20"/>
      </tp>
      <tp t="e">
        <v>#N/A</v>
        <stp/>
        <stp>BDH|2479409808106466587</stp>
        <tr r="R14" s="11"/>
      </tp>
      <tp t="e">
        <v>#N/A</v>
        <stp/>
        <stp>BDH|6866671538810605611</stp>
        <tr r="G18" s="25"/>
      </tp>
      <tp t="e">
        <v>#N/A</v>
        <stp/>
        <stp>BDH|9000620690392440169</stp>
        <tr r="L53" s="24"/>
      </tp>
      <tp t="e">
        <v>#N/A</v>
        <stp/>
        <stp>BDH|8512876480988536573</stp>
        <tr r="S16" s="23"/>
      </tp>
      <tp t="e">
        <v>#N/A</v>
        <stp/>
        <stp>BDH|4359621943404465777</stp>
        <tr r="V77" s="24"/>
      </tp>
      <tp t="e">
        <v>#N/A</v>
        <stp/>
        <stp>BDH|7506164436106774633</stp>
        <tr r="J15" s="11"/>
      </tp>
      <tp t="e">
        <v>#N/A</v>
        <stp/>
        <stp>BDH|5201854503510732823</stp>
        <tr r="I59" s="13"/>
      </tp>
      <tp t="e">
        <v>#N/A</v>
        <stp/>
        <stp>BDH|7452642880744559844</stp>
        <tr r="X15" s="20"/>
      </tp>
      <tp t="e">
        <v>#N/A</v>
        <stp/>
        <stp>BDH|6320404557252543001</stp>
        <tr r="G9" s="10"/>
      </tp>
      <tp t="e">
        <v>#N/A</v>
        <stp/>
        <stp>BDH|7700198209181480220</stp>
        <tr r="W51" s="12"/>
      </tp>
      <tp t="e">
        <v>#N/A</v>
        <stp/>
        <stp>BDH|9726780955288260696</stp>
        <tr r="M86" s="17"/>
      </tp>
      <tp t="e">
        <v>#N/A</v>
        <stp/>
        <stp>BDH|2309287055753795389</stp>
        <tr r="C25" s="9"/>
      </tp>
      <tp t="e">
        <v>#N/A</v>
        <stp/>
        <stp>BDH|8355933251621343037</stp>
        <tr r="T45" s="24"/>
      </tp>
      <tp t="e">
        <v>#N/A</v>
        <stp/>
        <stp>BDH|7152185642275803221</stp>
        <tr r="E22" s="12"/>
      </tp>
      <tp t="e">
        <v>#N/A</v>
        <stp/>
        <stp>BDH|3101114052061006337</stp>
        <tr r="W18" s="22"/>
      </tp>
      <tp t="e">
        <v>#N/A</v>
        <stp/>
        <stp>BDH|8754446195703524325</stp>
        <tr r="M17" s="9"/>
      </tp>
      <tp t="e">
        <v>#N/A</v>
        <stp/>
        <stp>BDH|4467279417947568503</stp>
        <tr r="J136" s="18"/>
      </tp>
      <tp t="e">
        <v>#N/A</v>
        <stp/>
        <stp>BDH|8246612380274068721</stp>
        <tr r="Y10" s="10"/>
      </tp>
      <tp t="e">
        <v>#N/A</v>
        <stp/>
        <stp>BDH|2938963404278974637</stp>
        <tr r="M26" s="34"/>
      </tp>
      <tp t="e">
        <v>#N/A</v>
        <stp/>
        <stp>BDH|2776455561507358210</stp>
        <tr r="L24" s="29"/>
      </tp>
      <tp t="e">
        <v>#N/A</v>
        <stp/>
        <stp>BDH|8629567370269511643</stp>
        <tr r="M46" s="12"/>
      </tp>
      <tp t="e">
        <v>#N/A</v>
        <stp/>
        <stp>BDH|4519445576662711016</stp>
        <tr r="G71" s="18"/>
      </tp>
      <tp t="e">
        <v>#N/A</v>
        <stp/>
        <stp>BDH|1127732123413443244</stp>
        <tr r="R114" s="18"/>
      </tp>
      <tp t="e">
        <v>#N/A</v>
        <stp/>
        <stp>BDH|7654044334534113561</stp>
        <tr r="AA47" s="18"/>
      </tp>
      <tp t="e">
        <v>#N/A</v>
        <stp/>
        <stp>BDH|6435026360114657115</stp>
        <tr r="K37" s="24"/>
      </tp>
      <tp t="e">
        <v>#N/A</v>
        <stp/>
        <stp>BDH|5585539675386235405</stp>
        <tr r="C58" s="13"/>
      </tp>
      <tp t="e">
        <v>#N/A</v>
        <stp/>
        <stp>BDH|5444111667662548560</stp>
        <tr r="H42" s="4"/>
      </tp>
      <tp t="e">
        <v>#N/A</v>
        <stp/>
        <stp>BDH|8173811123227354017</stp>
        <tr r="F24" s="12"/>
      </tp>
      <tp t="e">
        <v>#N/A</v>
        <stp/>
        <stp>BDH|1044439805188322848</stp>
        <tr r="N27" s="22"/>
      </tp>
      <tp t="e">
        <v>#N/A</v>
        <stp/>
        <stp>BDH|7514380835713131183</stp>
        <tr r="Y57" s="12"/>
      </tp>
      <tp t="e">
        <v>#N/A</v>
        <stp/>
        <stp>BDH|3834857878149560015</stp>
        <tr r="Z8" s="26"/>
        <tr r="W10" s="9"/>
      </tp>
      <tp t="e">
        <v>#N/A</v>
        <stp/>
        <stp>BDH|9970883431391905681</stp>
        <tr r="O82" s="24"/>
      </tp>
      <tp t="e">
        <v>#N/A</v>
        <stp/>
        <stp>BDH|7576080383433823978</stp>
        <tr r="D71" s="10"/>
        <tr r="D63" s="11"/>
      </tp>
      <tp t="e">
        <v>#N/A</v>
        <stp/>
        <stp>BDH|5470560890138271418</stp>
        <tr r="K12" s="24"/>
      </tp>
      <tp t="e">
        <v>#N/A</v>
        <stp/>
        <stp>BDH|5395766133383749700</stp>
        <tr r="P55" s="24"/>
      </tp>
      <tp t="e">
        <v>#N/A</v>
        <stp/>
        <stp>BDH|4189064157570100401</stp>
        <tr r="S34" s="6"/>
      </tp>
      <tp t="e">
        <v>#N/A</v>
        <stp/>
        <stp>BDH|2067359904167959390</stp>
        <tr r="W7" s="24"/>
      </tp>
      <tp t="e">
        <v>#N/A</v>
        <stp/>
        <stp>BDH|9160428691371105027</stp>
        <tr r="L57" s="10"/>
        <tr r="L49" s="11"/>
        <tr r="L18" s="7"/>
        <tr r="N57" s="13"/>
      </tp>
      <tp t="e">
        <v>#N/A</v>
        <stp/>
        <stp>BDH|2751413906237163408</stp>
        <tr r="Q81" s="18"/>
      </tp>
      <tp t="e">
        <v>#N/A</v>
        <stp/>
        <stp>BDH|5639392813773422199</stp>
        <tr r="E50" s="12"/>
      </tp>
      <tp t="e">
        <v>#N/A</v>
        <stp/>
        <stp>BDH|6926384407151787103</stp>
        <tr r="M50" s="18"/>
      </tp>
      <tp t="e">
        <v>#N/A</v>
        <stp/>
        <stp>BDH|8998097481287806280</stp>
        <tr r="L7" s="34"/>
      </tp>
      <tp t="e">
        <v>#N/A</v>
        <stp/>
        <stp>BDH|8715890648895002475</stp>
        <tr r="K59" s="11"/>
        <tr r="M15" s="23"/>
      </tp>
      <tp t="e">
        <v>#N/A</v>
        <stp/>
        <stp>BDH|5702749467478065955</stp>
        <tr r="O42" s="17"/>
      </tp>
      <tp t="e">
        <v>#N/A</v>
        <stp/>
        <stp>BDH|3748624294088583156</stp>
        <tr r="J68" s="18"/>
      </tp>
      <tp t="e">
        <v>#N/A</v>
        <stp/>
        <stp>BDH|3193537951061210701</stp>
        <tr r="C105" s="18"/>
      </tp>
      <tp t="e">
        <v>#N/A</v>
        <stp/>
        <stp>BDH|6608483473615349580</stp>
        <tr r="F35" s="22"/>
      </tp>
      <tp t="e">
        <v>#N/A</v>
        <stp/>
        <stp>BDH|7129364677685663307</stp>
        <tr r="N7" s="14"/>
      </tp>
      <tp t="e">
        <v>#N/A</v>
        <stp/>
        <stp>BDH|9515400772027794869</stp>
        <tr r="E74" s="10"/>
        <tr r="E66" s="11"/>
      </tp>
      <tp t="e">
        <v>#N/A</v>
        <stp/>
        <stp>BDH|9682939663753365031</stp>
        <tr r="U59" s="12"/>
      </tp>
      <tp t="e">
        <v>#N/A</v>
        <stp/>
        <stp>BDH|1722353827045264017</stp>
        <tr r="D17" s="23"/>
      </tp>
      <tp t="e">
        <v>#N/A</v>
        <stp/>
        <stp>BDH|6028739480994692838</stp>
        <tr r="AA69" s="24"/>
      </tp>
      <tp t="e">
        <v>#N/A</v>
        <stp/>
        <stp>BDH|2609448664816562355</stp>
        <tr r="V14" s="6"/>
      </tp>
      <tp t="e">
        <v>#N/A</v>
        <stp/>
        <stp>BDH|6582626616511209558</stp>
        <tr r="S54" s="18"/>
      </tp>
      <tp t="e">
        <v>#N/A</v>
        <stp/>
        <stp>BDH|3427962994812186413</stp>
        <tr r="U28" s="21"/>
      </tp>
      <tp t="e">
        <v>#N/A</v>
        <stp/>
        <stp>BDH|4518815696978779838</stp>
        <tr r="I20" s="20"/>
      </tp>
      <tp t="e">
        <v>#N/A</v>
        <stp/>
        <stp>BDH|1104373472647025725</stp>
        <tr r="M47" s="10"/>
        <tr r="M39" s="11"/>
      </tp>
      <tp t="e">
        <v>#N/A</v>
        <stp/>
        <stp>BDH|7595374166983580479</stp>
        <tr r="M8" s="11"/>
      </tp>
      <tp t="e">
        <v>#N/A</v>
        <stp/>
        <stp>BDH|1533394200491361690</stp>
        <tr r="W71" s="10"/>
        <tr r="W63" s="11"/>
      </tp>
      <tp t="e">
        <v>#N/A</v>
        <stp/>
        <stp>BDH|6517407125275351055</stp>
        <tr r="M61" s="12"/>
      </tp>
      <tp t="e">
        <v>#N/A</v>
        <stp/>
        <stp>BDH|4342225415396241401</stp>
        <tr r="Y65" s="18"/>
      </tp>
      <tp t="e">
        <v>#N/A</v>
        <stp/>
        <stp>BDH|8940289006499086616</stp>
        <tr r="G33" s="17"/>
      </tp>
      <tp t="e">
        <v>#N/A</v>
        <stp/>
        <stp>BDH|1813753128674263514</stp>
        <tr r="H27" s="34"/>
      </tp>
      <tp t="e">
        <v>#N/A</v>
        <stp/>
        <stp>BDH|1297500470151781736</stp>
        <tr r="N66" s="17"/>
        <tr r="N18" s="3"/>
      </tp>
      <tp t="e">
        <v>#N/A</v>
        <stp/>
        <stp>BDH|5050130480739437017</stp>
        <tr r="K11" s="22"/>
      </tp>
      <tp t="e">
        <v>#N/A</v>
        <stp/>
        <stp>BDH|9566488892850025192</stp>
        <tr r="D24" s="2"/>
      </tp>
      <tp t="e">
        <v>#N/A</v>
        <stp/>
        <stp>BDH|9772732690913140131</stp>
        <tr r="Z33" s="22"/>
      </tp>
      <tp t="e">
        <v>#N/A</v>
        <stp/>
        <stp>BDH|5275209325962087216</stp>
        <tr r="E74" s="17"/>
      </tp>
      <tp t="e">
        <v>#N/A</v>
        <stp/>
        <stp>BDH|5689745701331602637</stp>
        <tr r="X15" s="18"/>
      </tp>
      <tp t="e">
        <v>#N/A</v>
        <stp/>
        <stp>BDH|5673465394098597573</stp>
        <tr r="G16" s="26"/>
      </tp>
      <tp t="e">
        <v>#N/A</v>
        <stp/>
        <stp>BDH|8275256425085080841</stp>
        <tr r="Y8" s="8"/>
      </tp>
      <tp t="e">
        <v>#N/A</v>
        <stp/>
        <stp>BDH|1293374241604574777</stp>
        <tr r="Q22" s="17"/>
      </tp>
      <tp t="e">
        <v>#N/A</v>
        <stp/>
        <stp>BDH|9662726731620343808</stp>
        <tr r="U105" s="18"/>
      </tp>
      <tp t="e">
        <v>#N/A</v>
        <stp/>
        <stp>BDH|6052677611980580459</stp>
        <tr r="C65" s="24"/>
      </tp>
      <tp t="e">
        <v>#N/A</v>
        <stp/>
        <stp>BDH|6459911990207548468</stp>
        <tr r="W77" s="24"/>
      </tp>
      <tp t="e">
        <v>#N/A</v>
        <stp/>
        <stp>BDH|1288813935037458844</stp>
        <tr r="Y54" s="17"/>
      </tp>
      <tp t="e">
        <v>#N/A</v>
        <stp/>
        <stp>BDH|7404066022805245547</stp>
        <tr r="H39" s="34"/>
      </tp>
      <tp t="e">
        <v>#N/A</v>
        <stp/>
        <stp>BDH|3733788018183947383</stp>
        <tr r="Q35" s="10"/>
        <tr r="Q27" s="11"/>
      </tp>
      <tp t="e">
        <v>#N/A</v>
        <stp/>
        <stp>BDH|6889600090839886565</stp>
        <tr r="F30" s="5"/>
        <tr r="F30" s="9"/>
      </tp>
      <tp t="e">
        <v>#N/A</v>
        <stp/>
        <stp>BDH|9609772144589304608</stp>
        <tr r="G12" s="13"/>
      </tp>
      <tp t="e">
        <v>#N/A</v>
        <stp/>
        <stp>BDH|2491019640535684652</stp>
        <tr r="Q67" s="17"/>
        <tr r="N8" s="5"/>
        <tr r="N8" s="9"/>
      </tp>
      <tp t="e">
        <v>#N/A</v>
        <stp/>
        <stp>BDH|6505005360874159127</stp>
        <tr r="D22" s="21"/>
      </tp>
      <tp t="e">
        <v>#N/A</v>
        <stp/>
        <stp>BDH|4785232767334092141</stp>
        <tr r="D36" s="18"/>
      </tp>
      <tp t="e">
        <v>#N/A</v>
        <stp/>
        <stp>BDH|4899047439256558479</stp>
        <tr r="J16" s="14"/>
      </tp>
      <tp t="e">
        <v>#N/A</v>
        <stp/>
        <stp>BDH|2674153294056601964</stp>
        <tr r="R20" s="29"/>
      </tp>
      <tp t="e">
        <v>#N/A</v>
        <stp/>
        <stp>BDH|9914854878145076633</stp>
        <tr r="X21" s="17"/>
        <tr r="X15" s="3"/>
      </tp>
      <tp t="e">
        <v>#N/A</v>
        <stp/>
        <stp>BDH|8097176330728996792</stp>
        <tr r="V48" s="24"/>
      </tp>
      <tp t="e">
        <v>#N/A</v>
        <stp/>
        <stp>BDH|3031535726547557674</stp>
        <tr r="S21" s="18"/>
      </tp>
      <tp t="e">
        <v>#N/A</v>
        <stp/>
        <stp>BDH|4976821648609276465</stp>
        <tr r="R30" s="5"/>
        <tr r="R30" s="9"/>
      </tp>
      <tp t="e">
        <v>#N/A</v>
        <stp/>
        <stp>BDH|7352773900053466672</stp>
        <tr r="Q30" s="21"/>
      </tp>
      <tp t="e">
        <v>#N/A</v>
        <stp/>
        <stp>BDH|2143419842440334768</stp>
        <tr r="H13" s="7"/>
      </tp>
      <tp t="e">
        <v>#N/A</v>
        <stp/>
        <stp>BDH|5671170272463655523</stp>
        <tr r="D34" s="14"/>
      </tp>
      <tp t="e">
        <v>#N/A</v>
        <stp/>
        <stp>BDH|8211196798725405005</stp>
        <tr r="C33" s="14"/>
      </tp>
      <tp t="e">
        <v>#N/A</v>
        <stp/>
        <stp>BDH|7326513016375217317</stp>
        <tr r="J9" s="6"/>
      </tp>
      <tp t="e">
        <v>#N/A</v>
        <stp/>
        <stp>BDH|8776086590771802502</stp>
        <tr r="U10" s="28"/>
      </tp>
      <tp t="e">
        <v>#N/A</v>
        <stp/>
        <stp>BDH|3998446750851818622</stp>
        <tr r="R58" s="13"/>
      </tp>
      <tp t="e">
        <v>#N/A</v>
        <stp/>
        <stp>BDH|4014078232137187534</stp>
        <tr r="I65" s="17"/>
      </tp>
      <tp t="e">
        <v>#N/A</v>
        <stp/>
        <stp>BDH|4522979483884206447</stp>
        <tr r="N49" s="24"/>
      </tp>
      <tp t="e">
        <v>#N/A</v>
        <stp/>
        <stp>BDH|4741762812113143457</stp>
        <tr r="H48" s="6"/>
      </tp>
      <tp t="e">
        <v>#N/A</v>
        <stp/>
        <stp>BDH|8361209492840652605</stp>
        <tr r="U9" s="24"/>
      </tp>
      <tp t="e">
        <v>#N/A</v>
        <stp/>
        <stp>BDH|3431501029716368795</stp>
        <tr r="Q29" s="18"/>
      </tp>
      <tp t="e">
        <v>#N/A</v>
        <stp/>
        <stp>BDH|8906795927999202125</stp>
        <tr r="H22" s="17"/>
      </tp>
      <tp t="e">
        <v>#N/A</v>
        <stp/>
        <stp>BDH|3667943751259482307</stp>
        <tr r="H44" s="21"/>
      </tp>
      <tp t="e">
        <v>#N/A</v>
        <stp/>
        <stp>BDH|4654258553736075075</stp>
        <tr r="W125" s="18"/>
      </tp>
      <tp t="e">
        <v>#N/A</v>
        <stp/>
        <stp>BDH|2878771979647105008</stp>
        <tr r="AA62" s="21"/>
      </tp>
      <tp t="e">
        <v>#N/A</v>
        <stp/>
        <stp>BDH|1785419535962325172</stp>
        <tr r="J16" s="18"/>
      </tp>
      <tp t="e">
        <v>#N/A</v>
        <stp/>
        <stp>BDH|3492669422087205558</stp>
        <tr r="R71" s="12"/>
      </tp>
      <tp t="e">
        <v>#N/A</v>
        <stp/>
        <stp>BDH|9651079320638683609</stp>
        <tr r="Y32" s="24"/>
      </tp>
      <tp t="e">
        <v>#N/A</v>
        <stp/>
        <stp>BDH|6496529240797181504</stp>
        <tr r="T10" s="34"/>
      </tp>
      <tp t="e">
        <v>#N/A</v>
        <stp/>
        <stp>BDH|9549161115828624474</stp>
        <tr r="J120" s="18"/>
      </tp>
      <tp t="e">
        <v>#N/A</v>
        <stp/>
        <stp>BDH|3080906176411805990</stp>
        <tr r="Z52" s="12"/>
      </tp>
      <tp t="e">
        <v>#N/A</v>
        <stp/>
        <stp>BDH|3954659908014446472</stp>
        <tr r="X141" s="18"/>
      </tp>
      <tp t="e">
        <v>#N/A</v>
        <stp/>
        <stp>BDH|9799859794594310929</stp>
        <tr r="J50" s="18"/>
      </tp>
      <tp t="e">
        <v>#N/A</v>
        <stp/>
        <stp>BDH|6765847763385398846</stp>
        <tr r="X25" s="21"/>
      </tp>
      <tp t="e">
        <v>#N/A</v>
        <stp/>
        <stp>BDH|7262599815610878613</stp>
        <tr r="R128" s="18"/>
      </tp>
      <tp t="e">
        <v>#N/A</v>
        <stp/>
        <stp>BDH|3316344452342625248</stp>
        <tr r="J48" s="22"/>
      </tp>
      <tp t="e">
        <v>#N/A</v>
        <stp/>
        <stp>BDH|1010901376213356928</stp>
        <tr r="I21" s="27"/>
      </tp>
      <tp t="e">
        <v>#N/A</v>
        <stp/>
        <stp>BDH|2494771945623145705</stp>
        <tr r="U21" s="17"/>
        <tr r="U15" s="3"/>
      </tp>
      <tp t="e">
        <v>#N/A</v>
        <stp/>
        <stp>BDH|1290623112395149643</stp>
        <tr r="O91" s="17"/>
        <tr r="O7" s="27"/>
      </tp>
      <tp t="e">
        <v>#N/A</v>
        <stp/>
        <stp>BDH|9702424395485561428</stp>
        <tr r="P8" s="26"/>
        <tr r="M10" s="9"/>
      </tp>
      <tp t="e">
        <v>#N/A</v>
        <stp/>
        <stp>BDH|6813261993041008991</stp>
        <tr r="W9" s="23"/>
      </tp>
      <tp t="e">
        <v>#N/A</v>
        <stp/>
        <stp>BDH|2072187641682441093</stp>
        <tr r="K87" s="17"/>
      </tp>
      <tp t="e">
        <v>#N/A</v>
        <stp/>
        <stp>BDH|5757051255412089739</stp>
        <tr r="H87" s="24"/>
      </tp>
      <tp t="e">
        <v>#N/A</v>
        <stp/>
        <stp>BDH|5812306109234738727</stp>
        <tr r="J113" s="18"/>
      </tp>
      <tp t="e">
        <v>#N/A</v>
        <stp/>
        <stp>BDH|9304594380195947470</stp>
        <tr r="I91" s="24"/>
      </tp>
      <tp t="e">
        <v>#N/A</v>
        <stp/>
        <stp>BDH|7476037664260506422</stp>
        <tr r="C87" s="18"/>
      </tp>
      <tp t="e">
        <v>#N/A</v>
        <stp/>
        <stp>BDH|7221028140672755439</stp>
        <tr r="R24" s="12"/>
      </tp>
      <tp t="e">
        <v>#N/A</v>
        <stp/>
        <stp>BDH|1502673303741442313</stp>
        <tr r="K22" s="17"/>
      </tp>
      <tp t="e">
        <v>#N/A</v>
        <stp/>
        <stp>BDH|3517042939290868544</stp>
        <tr r="K8" s="27"/>
      </tp>
      <tp t="e">
        <v>#N/A</v>
        <stp/>
        <stp>BDH|4790430947850505123</stp>
        <tr r="K102" s="18"/>
      </tp>
      <tp t="e">
        <v>#N/A</v>
        <stp/>
        <stp>BDH|3647853012176775924</stp>
        <tr r="Z10" s="28"/>
      </tp>
      <tp t="e">
        <v>#N/A</v>
        <stp/>
        <stp>BDH|4315396528722671202</stp>
        <tr r="N9" s="28"/>
      </tp>
      <tp t="e">
        <v>#N/A</v>
        <stp/>
        <stp>BDH|2519545940010768627</stp>
        <tr r="N54" s="18"/>
      </tp>
      <tp t="e">
        <v>#N/A</v>
        <stp/>
        <stp>BDH|8521040355819198116</stp>
        <tr r="R20" s="23"/>
      </tp>
      <tp t="e">
        <v>#N/A</v>
        <stp/>
        <stp>BDH|5712542166717808493</stp>
        <tr r="N37" s="24"/>
      </tp>
      <tp t="e">
        <v>#N/A</v>
        <stp/>
        <stp>BDH|1645455106358715865</stp>
        <tr r="S49" s="6"/>
      </tp>
      <tp t="e">
        <v>#N/A</v>
        <stp/>
        <stp>BDH|3157567254562591428</stp>
        <tr r="K48" s="21"/>
      </tp>
      <tp t="e">
        <v>#N/A</v>
        <stp/>
        <stp>BDH|5244743965365358447</stp>
        <tr r="C26" s="13"/>
      </tp>
      <tp t="e">
        <v>#N/A</v>
        <stp/>
        <stp>BDH|5651952386650697170</stp>
        <tr r="G43" s="29"/>
      </tp>
      <tp t="e">
        <v>#N/A</v>
        <stp/>
        <stp>BDH|3907762238213699151</stp>
        <tr r="M8" s="8"/>
      </tp>
      <tp t="e">
        <v>#N/A</v>
        <stp/>
        <stp>BDH|9283823443666579622</stp>
        <tr r="M41" s="12"/>
      </tp>
      <tp t="e">
        <v>#N/A</v>
        <stp/>
        <stp>BDH|1377691261967702384</stp>
        <tr r="L11" s="9"/>
      </tp>
      <tp t="e">
        <v>#N/A</v>
        <stp/>
        <stp>BDH|2818377536602593582</stp>
        <tr r="J39" s="22"/>
      </tp>
      <tp t="e">
        <v>#N/A</v>
        <stp/>
        <stp>BDH|6773353066273380534</stp>
        <tr r="X19" s="24"/>
      </tp>
      <tp t="e">
        <v>#N/A</v>
        <stp/>
        <stp>BDH|8477843372267383554</stp>
        <tr r="S15" s="30"/>
      </tp>
      <tp t="e">
        <v>#N/A</v>
        <stp/>
        <stp>BDH|2954372348682590272</stp>
        <tr r="P32" s="5"/>
      </tp>
      <tp t="e">
        <v>#N/A</v>
        <stp/>
        <stp>BDH|7838545362101880025</stp>
        <tr r="O100" s="18"/>
        <tr r="O9" s="20"/>
      </tp>
      <tp t="e">
        <v>#N/A</v>
        <stp/>
        <stp>BDH|4741446552918267870</stp>
        <tr r="V37" s="6"/>
      </tp>
      <tp t="e">
        <v>#N/A</v>
        <stp/>
        <stp>BDH|4996043026616705581</stp>
        <tr r="I50" s="17"/>
      </tp>
      <tp t="e">
        <v>#N/A</v>
        <stp/>
        <stp>BDH|5512116160920828781</stp>
        <tr r="J19" s="5"/>
        <tr r="J46" s="6"/>
      </tp>
      <tp t="e">
        <v>#N/A</v>
        <stp/>
        <stp>BDH|4746346337525487443</stp>
        <tr r="I7" s="17"/>
      </tp>
      <tp t="e">
        <v>#N/A</v>
        <stp/>
        <stp>BDH|9676369301128526701</stp>
        <tr r="K14" s="23"/>
      </tp>
      <tp t="e">
        <v>#N/A</v>
        <stp/>
        <stp>BDH|5519601500904629274</stp>
        <tr r="Y29" s="4"/>
      </tp>
      <tp t="e">
        <v>#N/A</v>
        <stp/>
        <stp>BDH|3320830464219067109</stp>
        <tr r="I36" s="34"/>
      </tp>
      <tp t="e">
        <v>#N/A</v>
        <stp/>
        <stp>BDH|6792012820427211601</stp>
        <tr r="Z15" s="20"/>
      </tp>
      <tp t="e">
        <v>#N/A</v>
        <stp/>
        <stp>BDH|4591439559998933824</stp>
        <tr r="C48" s="6"/>
      </tp>
      <tp t="e">
        <v>#N/A</v>
        <stp/>
        <stp>BDH|1746049428810974673</stp>
        <tr r="M10" s="34"/>
      </tp>
      <tp t="e">
        <v>#N/A</v>
        <stp/>
        <stp>BDH|7210382603781912054</stp>
        <tr r="R67" s="12"/>
      </tp>
      <tp t="e">
        <v>#N/A</v>
        <stp/>
        <stp>BDH|6864018853311880774</stp>
        <tr r="R20" s="22"/>
      </tp>
      <tp t="e">
        <v>#N/A</v>
        <stp/>
        <stp>BDH|5149615045403651161</stp>
        <tr r="Z67" s="24"/>
      </tp>
      <tp t="e">
        <v>#N/A</v>
        <stp/>
        <stp>BDH|2865007248257068454</stp>
        <tr r="Z14" s="8"/>
      </tp>
      <tp t="e">
        <v>#N/A</v>
        <stp/>
        <stp>BDH|4529796448102876093</stp>
        <tr r="Y70" s="18"/>
      </tp>
      <tp t="e">
        <v>#N/A</v>
        <stp/>
        <stp>BDH|6360248394820052863</stp>
        <tr r="J20" s="27"/>
      </tp>
      <tp t="e">
        <v>#N/A</v>
        <stp/>
        <stp>BDH|1858951128766001903</stp>
        <tr r="R60" s="12"/>
      </tp>
      <tp t="e">
        <v>#N/A</v>
        <stp/>
        <stp>BDH|4465867287606131717</stp>
        <tr r="Y19" s="10"/>
      </tp>
      <tp t="e">
        <v>#N/A</v>
        <stp/>
        <stp>BDH|5971247610204076786</stp>
        <tr r="F32" s="10"/>
        <tr r="F24" s="11"/>
      </tp>
      <tp t="e">
        <v>#N/A</v>
        <stp/>
        <stp>BDH|9344908241975445433</stp>
        <tr r="Q41" s="24"/>
      </tp>
      <tp t="e">
        <v>#N/A</v>
        <stp/>
        <stp>BDH|8438664316583506947</stp>
        <tr r="W32" s="14"/>
      </tp>
      <tp t="e">
        <v>#N/A</v>
        <stp/>
        <stp>BDH|2292549762253801797</stp>
        <tr r="R73" s="10"/>
        <tr r="R65" s="11"/>
      </tp>
      <tp t="e">
        <v>#N/A</v>
        <stp/>
        <stp>BDH|2841857382416903133</stp>
        <tr r="U107" s="18"/>
      </tp>
      <tp t="e">
        <v>#N/A</v>
        <stp/>
        <stp>BDH|2242458581158290310</stp>
        <tr r="O108" s="18"/>
      </tp>
      <tp t="e">
        <v>#N/A</v>
        <stp/>
        <stp>BDH|1880082039293555499</stp>
        <tr r="T26" s="17"/>
      </tp>
      <tp t="e">
        <v>#N/A</v>
        <stp/>
        <stp>BDH|4562153257505369012</stp>
        <tr r="F142" s="18"/>
      </tp>
      <tp t="e">
        <v>#N/A</v>
        <stp/>
        <stp>BDH|9037956404301747435</stp>
        <tr r="R58" s="12"/>
      </tp>
      <tp t="e">
        <v>#N/A</v>
        <stp/>
        <stp>BDH|1144219404220694671</stp>
        <tr r="J28" s="10"/>
        <tr r="L34" s="13"/>
      </tp>
      <tp t="e">
        <v>#N/A</v>
        <stp/>
        <stp>BDH|4020074601341234011</stp>
        <tr r="U89" s="18"/>
      </tp>
      <tp t="e">
        <v>#N/A</v>
        <stp/>
        <stp>BDH|1921103105657024292</stp>
        <tr r="X59" s="21"/>
        <tr r="V55" s="11"/>
      </tp>
      <tp t="e">
        <v>#N/A</v>
        <stp/>
        <stp>BDH|2736577732067251658</stp>
        <tr r="V24" s="2"/>
      </tp>
      <tp t="e">
        <v>#N/A</v>
        <stp/>
        <stp>BDH|9656181288922627756</stp>
        <tr r="W11" s="21"/>
      </tp>
      <tp t="e">
        <v>#N/A</v>
        <stp/>
        <stp>BDH|9145033014615787841</stp>
        <tr r="H36" s="22"/>
      </tp>
      <tp t="e">
        <v>#N/A</v>
        <stp/>
        <stp>BDH|4824194660587087143</stp>
        <tr r="F91" s="24"/>
      </tp>
      <tp t="e">
        <v>#N/A</v>
        <stp/>
        <stp>BDH|9995890105947289320</stp>
        <tr r="M13" s="26"/>
      </tp>
      <tp t="e">
        <v>#N/A</v>
        <stp/>
        <stp>BDH|3490614804454720430</stp>
        <tr r="Y41" s="22"/>
      </tp>
      <tp t="e">
        <v>#N/A</v>
        <stp/>
        <stp>BDH|9111127187492087711</stp>
        <tr r="V19" s="26"/>
      </tp>
      <tp t="e">
        <v>#N/A</v>
        <stp/>
        <stp>BDH|4692281415827835569</stp>
        <tr r="U64" s="21"/>
        <tr r="R31" s="6"/>
      </tp>
      <tp t="e">
        <v>#N/A</v>
        <stp/>
        <stp>BDH|5083892968088754632</stp>
        <tr r="M43" s="6"/>
      </tp>
      <tp t="e">
        <v>#N/A</v>
        <stp/>
        <stp>BDH|8040949659567957610</stp>
        <tr r="Z132" s="18"/>
      </tp>
      <tp t="e">
        <v>#N/A</v>
        <stp/>
        <stp>BDH|7932535576873074395</stp>
        <tr r="T33" s="18"/>
      </tp>
      <tp t="e">
        <v>#N/A</v>
        <stp/>
        <stp>BDH|1597392308401113602</stp>
        <tr r="O47" s="13"/>
      </tp>
      <tp t="e">
        <v>#N/A</v>
        <stp/>
        <stp>BDH|8761912812943465657</stp>
        <tr r="AA21" s="27"/>
      </tp>
      <tp t="e">
        <v>#N/A</v>
        <stp/>
        <stp>BDH|7745532457561553339</stp>
        <tr r="N27" s="26"/>
      </tp>
      <tp t="e">
        <v>#N/A</v>
        <stp/>
        <stp>BDH|1190252901064310235</stp>
        <tr r="S17" s="18"/>
      </tp>
      <tp t="e">
        <v>#N/A</v>
        <stp/>
        <stp>BDH|7557250509928811843</stp>
        <tr r="G25" s="24"/>
      </tp>
      <tp t="e">
        <v>#N/A</v>
        <stp/>
        <stp>BDH|21858065107646112</stp>
        <tr r="M95" s="18"/>
      </tp>
      <tp t="e">
        <v>#N/A</v>
        <stp/>
        <stp>BDH|57889516777951633</stp>
        <tr r="H59" s="11"/>
        <tr r="J15" s="23"/>
      </tp>
      <tp t="e">
        <v>#N/A</v>
        <stp/>
        <stp>BDH|22252593770354365</stp>
        <tr r="T9" s="17"/>
      </tp>
      <tp t="e">
        <v>#N/A</v>
        <stp/>
        <stp>BDH|98827910824052525</stp>
        <tr r="G14" s="20"/>
      </tp>
      <tp t="e">
        <v>#N/A</v>
        <stp/>
        <stp>BDH|36648398742637571</stp>
        <tr r="R30" s="26"/>
      </tp>
      <tp t="e">
        <v>#N/A</v>
        <stp/>
        <stp>BDH|63568787763390685</stp>
        <tr r="S18" s="26"/>
      </tp>
      <tp t="e">
        <v>#N/A</v>
        <stp/>
        <stp>BDH|4490115242680427799</stp>
        <tr r="N26" s="25"/>
        <tr r="N12" s="27"/>
      </tp>
      <tp t="e">
        <v>#N/A</v>
        <stp/>
        <stp>BDH|2765039138726403128</stp>
        <tr r="G11" s="28"/>
      </tp>
      <tp t="e">
        <v>#N/A</v>
        <stp/>
        <stp>BDH|9766817320314932151</stp>
        <tr r="N9" s="21"/>
      </tp>
      <tp t="e">
        <v>#N/A</v>
        <stp/>
        <stp>BDH|7716049767927900072</stp>
        <tr r="T25" s="9"/>
      </tp>
      <tp t="e">
        <v>#N/A</v>
        <stp/>
        <stp>BDH|7889069966893721458</stp>
        <tr r="Q13" s="6"/>
      </tp>
      <tp t="e">
        <v>#N/A</v>
        <stp/>
        <stp>BDH|5695875226640985940</stp>
        <tr r="T13" s="30"/>
      </tp>
      <tp t="e">
        <v>#N/A</v>
        <stp/>
        <stp>BDH|2618303491467948940</stp>
        <tr r="G24" s="9"/>
      </tp>
      <tp t="e">
        <v>#N/A</v>
        <stp/>
        <stp>BDH|8203276024279966720</stp>
        <tr r="U71" s="24"/>
      </tp>
      <tp t="e">
        <v>#N/A</v>
        <stp/>
        <stp>BDH|6660914401531459880</stp>
        <tr r="X24" s="29"/>
      </tp>
      <tp t="e">
        <v>#N/A</v>
        <stp/>
        <stp>BDH|9828204422349306637</stp>
        <tr r="J19" s="20"/>
      </tp>
      <tp t="e">
        <v>#N/A</v>
        <stp/>
        <stp>BDH|2168949291534690081</stp>
        <tr r="Z77" s="12"/>
      </tp>
      <tp t="e">
        <v>#N/A</v>
        <stp/>
        <stp>BDH|9866120387290156663</stp>
        <tr r="Q12" s="6"/>
      </tp>
      <tp t="e">
        <v>#N/A</v>
        <stp/>
        <stp>BDH|2804015226657203176</stp>
        <tr r="AA40" s="24"/>
      </tp>
      <tp t="e">
        <v>#N/A</v>
        <stp/>
        <stp>BDH|5903010778527374397</stp>
        <tr r="Z47" s="13"/>
      </tp>
      <tp t="e">
        <v>#N/A</v>
        <stp/>
        <stp>BDH|1847420076527509334</stp>
        <tr r="S64" s="18"/>
      </tp>
      <tp t="e">
        <v>#N/A</v>
        <stp/>
        <stp>BDH|5921764006884524069</stp>
        <tr r="Q13" s="18"/>
      </tp>
      <tp t="e">
        <v>#N/A</v>
        <stp/>
        <stp>BDH|5837831996486758406</stp>
        <tr r="H70" s="17"/>
      </tp>
      <tp t="e">
        <v>#N/A</v>
        <stp/>
        <stp>BDH|2384587081890462944</stp>
        <tr r="E44" s="6"/>
      </tp>
      <tp t="e">
        <v>#N/A</v>
        <stp/>
        <stp>BDH|2742475947950451498</stp>
        <tr r="J11" s="13"/>
      </tp>
      <tp t="e">
        <v>#N/A</v>
        <stp/>
        <stp>BDH|8619825509103194568</stp>
        <tr r="P18" s="14"/>
      </tp>
      <tp t="e">
        <v>#N/A</v>
        <stp/>
        <stp>BDH|2090058898394531926</stp>
        <tr r="K35" s="10"/>
        <tr r="K27" s="11"/>
      </tp>
      <tp t="e">
        <v>#N/A</v>
        <stp/>
        <stp>BDH|6977072873413762401</stp>
        <tr r="T67" s="17"/>
        <tr r="Q8" s="5"/>
        <tr r="Q8" s="9"/>
      </tp>
      <tp t="e">
        <v>#N/A</v>
        <stp/>
        <stp>BDH|7429321349057798123</stp>
        <tr r="U6" s="27"/>
      </tp>
      <tp t="e">
        <v>#N/A</v>
        <stp/>
        <stp>BDH|5633960029050187822</stp>
        <tr r="O46" s="34"/>
      </tp>
      <tp t="e">
        <v>#N/A</v>
        <stp/>
        <stp>BDH|2799229129651471528</stp>
        <tr r="T8" s="34"/>
      </tp>
      <tp t="e">
        <v>#N/A</v>
        <stp/>
        <stp>BDH|6508572335067835158</stp>
        <tr r="W20" s="17"/>
      </tp>
      <tp t="e">
        <v>#N/A</v>
        <stp/>
        <stp>BDH|7944678181649353665</stp>
        <tr r="V8" s="22"/>
      </tp>
      <tp t="e">
        <v>#N/A</v>
        <stp/>
        <stp>BDH|6335018828707802586</stp>
        <tr r="W61" s="17"/>
      </tp>
      <tp t="e">
        <v>#N/A</v>
        <stp/>
        <stp>BDH|4596757207082928741</stp>
        <tr r="X50" s="17"/>
      </tp>
      <tp t="e">
        <v>#N/A</v>
        <stp/>
        <stp>BDH|9733185617146637949</stp>
        <tr r="Z16" s="21"/>
      </tp>
      <tp t="e">
        <v>#N/A</v>
        <stp/>
        <stp>BDH|7892331567712164675</stp>
        <tr r="H18" s="14"/>
      </tp>
      <tp t="e">
        <v>#N/A</v>
        <stp/>
        <stp>BDH|2567354278986069622</stp>
        <tr r="U62" s="12"/>
      </tp>
      <tp t="e">
        <v>#N/A</v>
        <stp/>
        <stp>BDH|9618589086621254304</stp>
        <tr r="X34" s="9"/>
      </tp>
      <tp t="e">
        <v>#N/A</v>
        <stp/>
        <stp>BDH|1757107678611099052</stp>
        <tr r="N20" s="25"/>
      </tp>
      <tp t="e">
        <v>#N/A</v>
        <stp/>
        <stp>BDH|3566216039134165069</stp>
        <tr r="H15" s="22"/>
      </tp>
      <tp t="e">
        <v>#N/A</v>
        <stp/>
        <stp>BDH|8386867315532332588</stp>
        <tr r="I59" s="21"/>
        <tr r="G55" s="11"/>
      </tp>
      <tp t="e">
        <v>#N/A</v>
        <stp/>
        <stp>BDH|8512692574199328601</stp>
        <tr r="U46" s="34"/>
      </tp>
      <tp t="e">
        <v>#N/A</v>
        <stp/>
        <stp>BDH|3680044613372388696</stp>
        <tr r="M35" s="26"/>
      </tp>
      <tp t="e">
        <v>#N/A</v>
        <stp/>
        <stp>BDH|3262108469201287324</stp>
        <tr r="I17" s="10"/>
      </tp>
      <tp t="e">
        <v>#N/A</v>
        <stp/>
        <stp>BDH|5875265676162219412</stp>
        <tr r="R18" s="29"/>
        <tr r="R41" s="29"/>
      </tp>
      <tp t="e">
        <v>#N/A</v>
        <stp/>
        <stp>BDH|1028274540659541894</stp>
        <tr r="S39" s="17"/>
      </tp>
      <tp t="e">
        <v>#N/A</v>
        <stp/>
        <stp>BDH|5299212499610983886</stp>
        <tr r="O16" s="25"/>
      </tp>
      <tp t="e">
        <v>#N/A</v>
        <stp/>
        <stp>BDH|6425574129566676176</stp>
        <tr r="S6" s="27"/>
      </tp>
      <tp t="e">
        <v>#N/A</v>
        <stp/>
        <stp>BDH|4922862876838094523</stp>
        <tr r="P35" s="25"/>
      </tp>
      <tp t="e">
        <v>#N/A</v>
        <stp/>
        <stp>BDH|1196760959967422210</stp>
        <tr r="W48" s="6"/>
      </tp>
      <tp t="e">
        <v>#N/A</v>
        <stp/>
        <stp>BDH|7561885381122365341</stp>
        <tr r="X9" s="21"/>
      </tp>
      <tp t="e">
        <v>#N/A</v>
        <stp/>
        <stp>BDH|7887246824727588664</stp>
        <tr r="N38" s="10"/>
        <tr r="N30" s="11"/>
        <tr r="P42" s="13"/>
      </tp>
      <tp t="e">
        <v>#N/A</v>
        <stp/>
        <stp>BDH|8099229982750842436</stp>
        <tr r="J129" s="18"/>
      </tp>
      <tp t="e">
        <v>#N/A</v>
        <stp/>
        <stp>BDH|3244506568705101300</stp>
        <tr r="L83" s="17"/>
      </tp>
      <tp t="e">
        <v>#N/A</v>
        <stp/>
        <stp>BDH|9873624252049336505</stp>
        <tr r="R100" s="18"/>
        <tr r="R9" s="20"/>
      </tp>
      <tp t="e">
        <v>#N/A</v>
        <stp/>
        <stp>BDH|5914584636091497489</stp>
        <tr r="P11" s="24"/>
      </tp>
      <tp t="e">
        <v>#N/A</v>
        <stp/>
        <stp>BDH|1267084265493529210</stp>
        <tr r="E13" s="24"/>
      </tp>
      <tp t="e">
        <v>#N/A</v>
        <stp/>
        <stp>BDH|3188488851025227116</stp>
        <tr r="O24" s="29"/>
      </tp>
      <tp t="e">
        <v>#N/A</v>
        <stp/>
        <stp>BDH|1648866358789254314</stp>
        <tr r="Y77" s="12"/>
      </tp>
      <tp t="e">
        <v>#N/A</v>
        <stp/>
        <stp>BDH|9953803373602351221</stp>
        <tr r="U45" s="24"/>
      </tp>
      <tp t="e">
        <v>#N/A</v>
        <stp/>
        <stp>BDH|1535905107118029691</stp>
        <tr r="T10" s="23"/>
      </tp>
      <tp t="e">
        <v>#N/A</v>
        <stp/>
        <stp>BDH|4408480743146510417</stp>
        <tr r="N20" s="22"/>
      </tp>
      <tp t="e">
        <v>#N/A</v>
        <stp/>
        <stp>BDH|4391784086385596831</stp>
        <tr r="U18" s="26"/>
      </tp>
      <tp t="e">
        <v>#N/A</v>
        <stp/>
        <stp>BDH|1951964297230668753</stp>
        <tr r="I69" s="12"/>
      </tp>
      <tp t="e">
        <v>#N/A</v>
        <stp/>
        <stp>BDH|3871734531841964084</stp>
        <tr r="U49" s="18"/>
      </tp>
      <tp t="e">
        <v>#N/A</v>
        <stp/>
        <stp>BDH|4550001119042040179</stp>
        <tr r="F25" s="5"/>
      </tp>
      <tp t="e">
        <v>#N/A</v>
        <stp/>
        <stp>BDH|8137225768948015206</stp>
        <tr r="U85" s="17"/>
      </tp>
      <tp t="e">
        <v>#N/A</v>
        <stp/>
        <stp>BDH|3731669155255707380</stp>
        <tr r="Z22" s="30"/>
        <tr r="Z24" s="23"/>
      </tp>
      <tp t="e">
        <v>#N/A</v>
        <stp/>
        <stp>BDH|8596855469101526174</stp>
        <tr r="X77" s="18"/>
      </tp>
      <tp t="e">
        <v>#N/A</v>
        <stp/>
        <stp>BDH|4507146168102453769</stp>
        <tr r="P21" s="14"/>
      </tp>
      <tp t="e">
        <v>#N/A</v>
        <stp/>
        <stp>BDH|7870779682498469627</stp>
        <tr r="F100" s="18"/>
        <tr r="F9" s="20"/>
      </tp>
      <tp t="e">
        <v>#N/A</v>
        <stp/>
        <stp>BDH|1798399540405182546</stp>
        <tr r="O44" s="6"/>
      </tp>
      <tp t="e">
        <v>#N/A</v>
        <stp/>
        <stp>BDH|7028247303085815649</stp>
        <tr r="K82" s="12"/>
      </tp>
      <tp t="e">
        <v>#N/A</v>
        <stp/>
        <stp>BDH|4607205343212885662</stp>
        <tr r="M44" s="22"/>
      </tp>
      <tp t="e">
        <v>#N/A</v>
        <stp/>
        <stp>BDH|7882382524405837570</stp>
        <tr r="C90" s="18"/>
      </tp>
      <tp t="e">
        <v>#N/A</v>
        <stp/>
        <stp>BDH|4005745461991941275</stp>
        <tr r="Z63" s="18"/>
      </tp>
      <tp t="e">
        <v>#N/A</v>
        <stp/>
        <stp>BDH|1164610019499789956</stp>
        <tr r="C53" s="24"/>
      </tp>
      <tp t="e">
        <v>#N/A</v>
        <stp/>
        <stp>BDH|7996237643796409165</stp>
        <tr r="F28" s="26"/>
      </tp>
      <tp t="e">
        <v>#N/A</v>
        <stp/>
        <stp>BDH|9071781284970533023</stp>
        <tr r="N75" s="12"/>
      </tp>
      <tp t="e">
        <v>#N/A</v>
        <stp/>
        <stp>BDH|6340016218110140108</stp>
        <tr r="D41" s="17"/>
        <tr r="D9" s="25"/>
      </tp>
      <tp t="e">
        <v>#N/A</v>
        <stp/>
        <stp>BDH|5758262375217436187</stp>
        <tr r="X37" s="12"/>
      </tp>
      <tp t="e">
        <v>#N/A</v>
        <stp/>
        <stp>BDH|5682363707192782283</stp>
        <tr r="L31" s="25"/>
        <tr r="I14" s="5"/>
        <tr r="L17" s="27"/>
      </tp>
      <tp t="e">
        <v>#N/A</v>
        <stp/>
        <stp>BDH|9565482432268710007</stp>
        <tr r="O44" s="22"/>
      </tp>
      <tp t="e">
        <v>#N/A</v>
        <stp/>
        <stp>BDH|2018885023206459873</stp>
        <tr r="J84" s="18"/>
      </tp>
      <tp t="e">
        <v>#N/A</v>
        <stp/>
        <stp>BDH|6719911583354545587</stp>
        <tr r="Z66" s="24"/>
      </tp>
      <tp t="e">
        <v>#N/A</v>
        <stp/>
        <stp>BDH|8153202608749017512</stp>
        <tr r="J91" s="24"/>
      </tp>
      <tp t="e">
        <v>#N/A</v>
        <stp/>
        <stp>BDH|7450274233870022088</stp>
        <tr r="L28" s="12"/>
      </tp>
      <tp t="e">
        <v>#N/A</v>
        <stp/>
        <stp>BDH|6338639027610885476</stp>
        <tr r="AA25" s="12"/>
      </tp>
      <tp t="e">
        <v>#N/A</v>
        <stp/>
        <stp>BDH|8842431793393940090</stp>
        <tr r="V38" s="26"/>
      </tp>
      <tp t="e">
        <v>#N/A</v>
        <stp/>
        <stp>BDH|3485371238305083036</stp>
        <tr r="V13" s="22"/>
      </tp>
      <tp t="e">
        <v>#N/A</v>
        <stp/>
        <stp>BDH|8856358711418250468</stp>
        <tr r="I47" s="13"/>
      </tp>
      <tp t="e">
        <v>#N/A</v>
        <stp/>
        <stp>BDH|3950977275962186927</stp>
        <tr r="Z14" s="17"/>
        <tr r="Z17" s="28"/>
      </tp>
      <tp t="e">
        <v>#N/A</v>
        <stp/>
        <stp>BDH|1117388842359587965</stp>
        <tr r="S61" s="17"/>
      </tp>
      <tp t="e">
        <v>#N/A</v>
        <stp/>
        <stp>BDH|1358384537870690727</stp>
        <tr r="T34" s="10"/>
        <tr r="T26" s="11"/>
      </tp>
      <tp t="e">
        <v>#N/A</v>
        <stp/>
        <stp>BDH|2790526618385599503</stp>
        <tr r="C71" s="18"/>
      </tp>
      <tp t="e">
        <v>#N/A</v>
        <stp/>
        <stp>BDH|1950418879934176085</stp>
        <tr r="N42" s="6"/>
      </tp>
      <tp t="e">
        <v>#N/A</v>
        <stp/>
        <stp>BDH|5522684240091144044</stp>
        <tr r="G8" s="11"/>
      </tp>
      <tp t="e">
        <v>#N/A</v>
        <stp/>
        <stp>BDH|3773188711551057466</stp>
        <tr r="M41" s="17"/>
        <tr r="M9" s="25"/>
      </tp>
      <tp t="e">
        <v>#N/A</v>
        <stp/>
        <stp>BDH|8363829789708159616</stp>
        <tr r="I52" s="21"/>
      </tp>
      <tp t="e">
        <v>#N/A</v>
        <stp/>
        <stp>BDH|1699015561056946773</stp>
        <tr r="G49" s="24"/>
      </tp>
      <tp t="e">
        <v>#N/A</v>
        <stp/>
        <stp>BDH|7794465289834661968</stp>
        <tr r="E91" s="24"/>
      </tp>
      <tp t="e">
        <v>#N/A</v>
        <stp/>
        <stp>BDH|9745851058446595472</stp>
        <tr r="F43" s="24"/>
      </tp>
      <tp t="e">
        <v>#N/A</v>
        <stp/>
        <stp>BDH|1893672181330767914</stp>
        <tr r="U22" s="11"/>
      </tp>
      <tp t="e">
        <v>#N/A</v>
        <stp/>
        <stp>BDH|6399777875323054392</stp>
        <tr r="D44" s="12"/>
      </tp>
      <tp t="e">
        <v>#N/A</v>
        <stp/>
        <stp>BDH|8809352927578484762</stp>
        <tr r="R20" s="20"/>
      </tp>
      <tp t="e">
        <v>#N/A</v>
        <stp/>
        <stp>BDH|9826905342553193136</stp>
        <tr r="Q10" s="10"/>
      </tp>
      <tp t="e">
        <v>#N/A</v>
        <stp/>
        <stp>BDH|4339508059621016321</stp>
        <tr r="J12" s="11"/>
      </tp>
      <tp t="e">
        <v>#N/A</v>
        <stp/>
        <stp>BDH|2547760295003891961</stp>
        <tr r="J19" s="10"/>
      </tp>
      <tp t="e">
        <v>#N/A</v>
        <stp/>
        <stp>BDH|1014791426350677218</stp>
        <tr r="E129" s="18"/>
      </tp>
      <tp t="e">
        <v>#N/A</v>
        <stp/>
        <stp>BDH|9805715934062112948</stp>
        <tr r="E13" s="22"/>
      </tp>
      <tp t="e">
        <v>#N/A</v>
        <stp/>
        <stp>BDH|5862130054645573228</stp>
        <tr r="J30" s="34"/>
      </tp>
      <tp t="e">
        <v>#N/A</v>
        <stp/>
        <stp>BDH|9314731799766880791</stp>
        <tr r="L7" s="21"/>
      </tp>
      <tp t="e">
        <v>#N/A</v>
        <stp/>
        <stp>BDH|6381479306086231293</stp>
        <tr r="AA29" s="24"/>
      </tp>
      <tp t="e">
        <v>#N/A</v>
        <stp/>
        <stp>BDH|2976555677807434169</stp>
        <tr r="Y20" s="20"/>
      </tp>
      <tp t="e">
        <v>#N/A</v>
        <stp/>
        <stp>BDH|5041399257710227558</stp>
        <tr r="L38" s="10"/>
        <tr r="L30" s="11"/>
        <tr r="N42" s="13"/>
      </tp>
      <tp t="e">
        <v>#N/A</v>
        <stp/>
        <stp>BDH|6729070535632429186</stp>
        <tr r="S20" s="24"/>
      </tp>
      <tp t="e">
        <v>#N/A</v>
        <stp/>
        <stp>BDH|8637242782551039597</stp>
        <tr r="G15" s="11"/>
      </tp>
      <tp t="e">
        <v>#N/A</v>
        <stp/>
        <stp>BDH|6543673009046639044</stp>
        <tr r="J46" s="17"/>
      </tp>
      <tp t="e">
        <v>#N/A</v>
        <stp/>
        <stp>BDH|5607834904153802805</stp>
        <tr r="D28" s="6"/>
      </tp>
      <tp t="e">
        <v>#N/A</v>
        <stp/>
        <stp>BDH|6548691523782622603</stp>
        <tr r="D31" s="5"/>
      </tp>
      <tp t="e">
        <v>#N/A</v>
        <stp/>
        <stp>BDH|1774785126493271122</stp>
        <tr r="O43" s="21"/>
      </tp>
      <tp t="e">
        <v>#N/A</v>
        <stp/>
        <stp>BDH|7908883392898291887</stp>
        <tr r="E69" s="17"/>
      </tp>
      <tp t="e">
        <v>#N/A</v>
        <stp/>
        <stp>BDH|5307849720748639188</stp>
        <tr r="C9" s="24"/>
      </tp>
      <tp t="e">
        <v>#N/A</v>
        <stp/>
        <stp>BDH|3551856981063830605</stp>
        <tr r="U24" s="24"/>
      </tp>
      <tp t="e">
        <v>#N/A</v>
        <stp/>
        <stp>BDH|9518393439006415986</stp>
        <tr r="C60" s="21"/>
      </tp>
      <tp t="e">
        <v>#N/A</v>
        <stp/>
        <stp>BDH|4609482871369313854</stp>
        <tr r="N22" s="10"/>
      </tp>
      <tp t="e">
        <v>#N/A</v>
        <stp/>
        <stp>BDH|5561175049750266606</stp>
        <tr r="Q15" s="26"/>
      </tp>
      <tp t="e">
        <v>#N/A</v>
        <stp/>
        <stp>BDH|7159188425916158446</stp>
        <tr r="K60" s="12"/>
      </tp>
      <tp t="e">
        <v>#N/A</v>
        <stp/>
        <stp>BDH|7465653259621861392</stp>
        <tr r="N87" s="18"/>
      </tp>
      <tp t="e">
        <v>#N/A</v>
        <stp/>
        <stp>BDH|4852423341941003328</stp>
        <tr r="M12" s="11"/>
      </tp>
      <tp t="e">
        <v>#N/A</v>
        <stp/>
        <stp>BDH|5419238294150861829</stp>
        <tr r="H34" s="24"/>
      </tp>
      <tp t="e">
        <v>#N/A</v>
        <stp/>
        <stp>BDH|8881024749843222980</stp>
        <tr r="X86" s="17"/>
      </tp>
      <tp t="e">
        <v>#N/A</v>
        <stp/>
        <stp>BDH|7948237059945374394</stp>
        <tr r="G17" s="6"/>
      </tp>
      <tp t="e">
        <v>#N/A</v>
        <stp/>
        <stp>BDH|3417887780155491015</stp>
        <tr r="W15" s="21"/>
      </tp>
      <tp t="e">
        <v>#N/A</v>
        <stp/>
        <stp>BDH|6026906446558826578</stp>
        <tr r="R9" s="28"/>
      </tp>
      <tp t="e">
        <v>#N/A</v>
        <stp/>
        <stp>BDH|7201088072764765262</stp>
        <tr r="G20" s="2"/>
        <tr r="G18" s="4"/>
        <tr r="G58" s="10"/>
        <tr r="G50" s="11"/>
        <tr r="G19" s="7"/>
        <tr r="I65" s="13"/>
      </tp>
      <tp t="e">
        <v>#N/A</v>
        <stp/>
        <stp>BDH|9386997176549369867</stp>
        <tr r="W9" s="21"/>
      </tp>
      <tp t="e">
        <v>#N/A</v>
        <stp/>
        <stp>BDH|2311516069252471568</stp>
        <tr r="P35" s="21"/>
      </tp>
      <tp t="e">
        <v>#N/A</v>
        <stp/>
        <stp>BDH|8155578548518573722</stp>
        <tr r="R33" s="22"/>
      </tp>
      <tp t="e">
        <v>#N/A</v>
        <stp/>
        <stp>BDH|9948526571404434978</stp>
        <tr r="S19" s="17"/>
      </tp>
      <tp t="e">
        <v>#N/A</v>
        <stp/>
        <stp>BDH|6043557853936878671</stp>
        <tr r="V71" s="18"/>
      </tp>
      <tp t="e">
        <v>#N/A</v>
        <stp/>
        <stp>BDH|5942328860446030027</stp>
        <tr r="I15" s="14"/>
      </tp>
      <tp t="e">
        <v>#N/A</v>
        <stp/>
        <stp>BDH|3184346578676631724</stp>
        <tr r="G11" s="3"/>
        <tr r="E50" s="10"/>
        <tr r="E42" s="11"/>
        <tr r="E8" s="7"/>
      </tp>
      <tp t="e">
        <v>#N/A</v>
        <stp/>
        <stp>BDH|5367147093942550982</stp>
        <tr r="K36" s="21"/>
      </tp>
      <tp t="e">
        <v>#N/A</v>
        <stp/>
        <stp>BDH|3662678301445008695</stp>
        <tr r="V7" s="10"/>
      </tp>
      <tp t="e">
        <v>#N/A</v>
        <stp/>
        <stp>BDH|4522006966471975539</stp>
        <tr r="AA32" s="26"/>
      </tp>
      <tp t="e">
        <v>#N/A</v>
        <stp/>
        <stp>BDH|2749551113050979063</stp>
        <tr r="G15" s="20"/>
      </tp>
      <tp t="e">
        <v>#N/A</v>
        <stp/>
        <stp>BDH|4852976274605656931</stp>
        <tr r="G44" s="6"/>
      </tp>
      <tp t="e">
        <v>#N/A</v>
        <stp/>
        <stp>BDH|7216248529997934682</stp>
        <tr r="T30" s="24"/>
      </tp>
      <tp t="e">
        <v>#N/A</v>
        <stp/>
        <stp>BDH|3960626327199102830</stp>
        <tr r="N64" s="18"/>
      </tp>
      <tp t="e">
        <v>#N/A</v>
        <stp/>
        <stp>BDH|3918498433095818758</stp>
        <tr r="C25" s="25"/>
        <tr r="C10" s="27"/>
      </tp>
      <tp t="e">
        <v>#N/A</v>
        <stp/>
        <stp>BDH|1802627925440714362</stp>
        <tr r="T81" s="12"/>
      </tp>
      <tp t="e">
        <v>#N/A</v>
        <stp/>
        <stp>BDH|8541243279709636201</stp>
        <tr r="U8" s="18"/>
      </tp>
      <tp t="e">
        <v>#N/A</v>
        <stp/>
        <stp>BDH|5781047727881918034</stp>
        <tr r="I73" s="24"/>
      </tp>
      <tp t="e">
        <v>#N/A</v>
        <stp/>
        <stp>BDH|3821584390559606081</stp>
        <tr r="E14" s="28"/>
      </tp>
      <tp t="e">
        <v>#N/A</v>
        <stp/>
        <stp>BDH|7992372566332095663</stp>
        <tr r="Z107" s="18"/>
      </tp>
      <tp t="e">
        <v>#N/A</v>
        <stp/>
        <stp>BDH|4167569760782087395</stp>
        <tr r="Q137" s="18"/>
      </tp>
      <tp t="e">
        <v>#N/A</v>
        <stp/>
        <stp>BDH|3980258019422359484</stp>
        <tr r="D8" s="12"/>
      </tp>
      <tp t="e">
        <v>#N/A</v>
        <stp/>
        <stp>BDH|3011624583969604298</stp>
        <tr r="C11" s="14"/>
      </tp>
      <tp t="e">
        <v>#N/A</v>
        <stp/>
        <stp>BDH|5757421056015875757</stp>
        <tr r="V137" s="18"/>
      </tp>
      <tp t="e">
        <v>#N/A</v>
        <stp/>
        <stp>BDH|7283603719407587103</stp>
        <tr r="V59" s="21"/>
        <tr r="T55" s="11"/>
      </tp>
      <tp t="e">
        <v>#N/A</v>
        <stp/>
        <stp>BDH|3952182959762113375</stp>
        <tr r="P34" s="5"/>
        <tr r="Q32" s="29"/>
      </tp>
      <tp t="e">
        <v>#N/A</v>
        <stp/>
        <stp>BDH|7300482110193416716</stp>
        <tr r="P15" s="17"/>
        <tr r="P18" s="28"/>
      </tp>
      <tp t="e">
        <v>#N/A</v>
        <stp/>
        <stp>BDH|8230675329628224205</stp>
        <tr r="E12" s="24"/>
      </tp>
      <tp t="e">
        <v>#N/A</v>
        <stp/>
        <stp>BDH|4751085251214734376</stp>
        <tr r="L43" s="34"/>
      </tp>
      <tp t="e">
        <v>#N/A</v>
        <stp/>
        <stp>BDH|4534489266507787720</stp>
        <tr r="E70" s="18"/>
      </tp>
      <tp t="e">
        <v>#N/A</v>
        <stp/>
        <stp>BDH|9000207629049648614</stp>
        <tr r="Q11" s="29"/>
      </tp>
      <tp t="e">
        <v>#N/A</v>
        <stp/>
        <stp>BDH|1009485427284815590</stp>
        <tr r="M29" s="24"/>
      </tp>
      <tp t="e">
        <v>#N/A</v>
        <stp/>
        <stp>BDH|8341052839785971880</stp>
        <tr r="M26" s="14"/>
      </tp>
      <tp t="e">
        <v>#N/A</v>
        <stp/>
        <stp>BDH|3993564687920366854</stp>
        <tr r="X35" s="14"/>
      </tp>
      <tp t="e">
        <v>#N/A</v>
        <stp/>
        <stp>BDH|1999955824464675809</stp>
        <tr r="K13" s="25"/>
      </tp>
      <tp t="e">
        <v>#N/A</v>
        <stp/>
        <stp>BDH|1492219621687220082</stp>
        <tr r="I39" s="25"/>
        <tr r="I7" s="3"/>
        <tr r="G18" s="11"/>
        <tr r="I22" s="13"/>
        <tr r="I7" s="13"/>
      </tp>
      <tp t="e">
        <v>#N/A</v>
        <stp/>
        <stp>BDH|4700024153581846603</stp>
        <tr r="Y30" s="25"/>
        <tr r="Y16" s="27"/>
      </tp>
      <tp t="e">
        <v>#N/A</v>
        <stp/>
        <stp>BDH|8483610997362893344</stp>
        <tr r="J91" s="18"/>
      </tp>
      <tp t="e">
        <v>#N/A</v>
        <stp/>
        <stp>BDH|6733028408161658159</stp>
        <tr r="I47" s="6"/>
      </tp>
      <tp t="e">
        <v>#N/A</v>
        <stp/>
        <stp>BDH|6946253012845406646</stp>
        <tr r="L106" s="18"/>
      </tp>
      <tp t="e">
        <v>#N/A</v>
        <stp/>
        <stp>BDH|3013512516887819613</stp>
        <tr r="C67" s="10"/>
      </tp>
      <tp t="e">
        <v>#N/A</v>
        <stp/>
        <stp>BDH|6591491314192003760</stp>
        <tr r="U20" s="22"/>
      </tp>
      <tp t="e">
        <v>#N/A</v>
        <stp/>
        <stp>BDH|9517116945813715987</stp>
        <tr r="F141" s="18"/>
      </tp>
      <tp t="e">
        <v>#N/A</v>
        <stp/>
        <stp>BDH|3127980107678745478</stp>
        <tr r="S7" s="30"/>
      </tp>
      <tp t="e">
        <v>#N/A</v>
        <stp/>
        <stp>BDH|4986736956533628341</stp>
        <tr r="AA94" s="18"/>
      </tp>
      <tp t="e">
        <v>#N/A</v>
        <stp/>
        <stp>BDH|3174304204771391785</stp>
        <tr r="Z72" s="12"/>
      </tp>
      <tp t="e">
        <v>#N/A</v>
        <stp/>
        <stp>BDH|7525319306336527492</stp>
        <tr r="Z48" s="24"/>
      </tp>
      <tp t="e">
        <v>#N/A</v>
        <stp/>
        <stp>BDH|1594023135601478583</stp>
        <tr r="O21" s="30"/>
      </tp>
      <tp t="e">
        <v>#N/A</v>
        <stp/>
        <stp>BDH|4911782953481440188</stp>
        <tr r="C15" s="22"/>
      </tp>
      <tp t="e">
        <v>#N/A</v>
        <stp/>
        <stp>BDH|5841871486711419238</stp>
        <tr r="E29" s="6"/>
      </tp>
      <tp t="e">
        <v>#N/A</v>
        <stp/>
        <stp>BDH|5867956219069924238</stp>
        <tr r="P48" s="6"/>
      </tp>
      <tp t="e">
        <v>#N/A</v>
        <stp/>
        <stp>BDH|1145280847974466546</stp>
        <tr r="F53" s="10"/>
        <tr r="F45" s="11"/>
        <tr r="F16" s="7"/>
      </tp>
      <tp t="e">
        <v>#N/A</v>
        <stp/>
        <stp>BDH|2714487723895466765</stp>
        <tr r="D62" s="17"/>
      </tp>
      <tp t="e">
        <v>#N/A</v>
        <stp/>
        <stp>BDH|7162570679884749766</stp>
        <tr r="V132" s="18"/>
      </tp>
      <tp t="e">
        <v>#N/A</v>
        <stp/>
        <stp>BDH|7765025101780990131</stp>
        <tr r="X21" s="14"/>
      </tp>
      <tp t="e">
        <v>#N/A</v>
        <stp/>
        <stp>BDH|9196750144538753496</stp>
        <tr r="C9" s="34"/>
      </tp>
      <tp t="e">
        <v>#N/A</v>
        <stp/>
        <stp>BDH|3078777362337894334</stp>
        <tr r="V79" s="12"/>
      </tp>
      <tp t="e">
        <v>#N/A</v>
        <stp/>
        <stp>BDH|4561359951917801378</stp>
        <tr r="P69" s="10"/>
      </tp>
      <tp t="e">
        <v>#N/A</v>
        <stp/>
        <stp>BDH|7167715903041983745</stp>
        <tr r="W13" s="6"/>
      </tp>
      <tp t="e">
        <v>#N/A</v>
        <stp/>
        <stp>BDH|2030532123330945367</stp>
        <tr r="C88" s="24"/>
      </tp>
      <tp t="e">
        <v>#N/A</v>
        <stp/>
        <stp>BDH|5913134367172137636</stp>
        <tr r="O17" s="10"/>
      </tp>
      <tp t="e">
        <v>#N/A</v>
        <stp/>
        <stp>BDH|9600893375596279670</stp>
        <tr r="Y79" s="12"/>
      </tp>
      <tp t="e">
        <v>#N/A</v>
        <stp/>
        <stp>BDH|1249054602536200184</stp>
        <tr r="Z44" s="21"/>
      </tp>
      <tp t="e">
        <v>#N/A</v>
        <stp/>
        <stp>BDH|9170195387756056000</stp>
        <tr r="O37" s="24"/>
      </tp>
      <tp t="e">
        <v>#N/A</v>
        <stp/>
        <stp>BDH|2513704143195962202</stp>
        <tr r="O8" s="12"/>
      </tp>
      <tp t="e">
        <v>#N/A</v>
        <stp/>
        <stp>BDH|9876613858055647983</stp>
        <tr r="W12" s="11"/>
      </tp>
      <tp t="e">
        <v>#N/A</v>
        <stp/>
        <stp>BDH|6374559768990916384</stp>
        <tr r="S12" s="14"/>
      </tp>
      <tp t="e">
        <v>#N/A</v>
        <stp/>
        <stp>BDH|6603373759684127265</stp>
        <tr r="D33" s="6"/>
      </tp>
      <tp t="e">
        <v>#N/A</v>
        <stp/>
        <stp>BDH|7993294669864472127</stp>
        <tr r="X14" s="10"/>
      </tp>
      <tp t="e">
        <v>#N/A</v>
        <stp/>
        <stp>BDH|1144384435325458273</stp>
        <tr r="H20" s="26"/>
      </tp>
      <tp t="e">
        <v>#N/A</v>
        <stp/>
        <stp>BDH|5911621615443497759</stp>
        <tr r="M59" s="18"/>
      </tp>
      <tp t="e">
        <v>#N/A</v>
        <stp/>
        <stp>BDH|4307123314273375192</stp>
        <tr r="Q18" s="24"/>
      </tp>
      <tp t="e">
        <v>#N/A</v>
        <stp/>
        <stp>BDH|4603112160402927713</stp>
        <tr r="O50" s="12"/>
      </tp>
      <tp t="e">
        <v>#N/A</v>
        <stp/>
        <stp>BDH|8723105083041802630</stp>
        <tr r="U71" s="18"/>
      </tp>
      <tp t="e">
        <v>#N/A</v>
        <stp/>
        <stp>BDH|7886656814796650005</stp>
        <tr r="J65" s="24"/>
      </tp>
      <tp t="e">
        <v>#N/A</v>
        <stp/>
        <stp>BDH|8599199525805656804</stp>
        <tr r="AA8" s="24"/>
      </tp>
      <tp t="e">
        <v>#N/A</v>
        <stp/>
        <stp>BDH|1072944398612244519</stp>
        <tr r="U25" s="5"/>
      </tp>
      <tp t="e">
        <v>#N/A</v>
        <stp/>
        <stp>BDH|9858908047490166217</stp>
        <tr r="I35" s="22"/>
      </tp>
      <tp t="e">
        <v>#N/A</v>
        <stp/>
        <stp>BDH|2490534070325912317</stp>
        <tr r="P9" s="22"/>
      </tp>
      <tp t="e">
        <v>#N/A</v>
        <stp/>
        <stp>BDH|4437283933913217020</stp>
        <tr r="I18" s="23"/>
      </tp>
      <tp t="e">
        <v>#N/A</v>
        <stp/>
        <stp>BDH|9149448486022478180</stp>
        <tr r="P17" s="30"/>
      </tp>
      <tp t="e">
        <v>#N/A</v>
        <stp/>
        <stp>BDH|2306172361840377397</stp>
        <tr r="V85" s="18"/>
      </tp>
      <tp t="e">
        <v>#N/A</v>
        <stp/>
        <stp>BDH|7290959199974421551</stp>
        <tr r="M125" s="18"/>
      </tp>
      <tp t="e">
        <v>#N/A</v>
        <stp/>
        <stp>BDH|1582564391912561989</stp>
        <tr r="X28" s="21"/>
      </tp>
      <tp t="e">
        <v>#N/A</v>
        <stp/>
        <stp>BDH|2707847932449899660</stp>
        <tr r="F28" s="14"/>
      </tp>
      <tp t="e">
        <v>#N/A</v>
        <stp/>
        <stp>BDH|5268702549158080847</stp>
        <tr r="G59" s="17"/>
      </tp>
      <tp t="e">
        <v>#N/A</v>
        <stp/>
        <stp>BDH|8606308589820894584</stp>
        <tr r="Q23" s="13"/>
      </tp>
      <tp t="e">
        <v>#N/A</v>
        <stp/>
        <stp>BDH|5106439724144824117</stp>
        <tr r="G17" s="5"/>
        <tr r="G36" s="6"/>
      </tp>
      <tp t="e">
        <v>#N/A</v>
        <stp/>
        <stp>BDH|7268878118291099928</stp>
        <tr r="U37" s="12"/>
      </tp>
      <tp t="e">
        <v>#N/A</v>
        <stp/>
        <stp>BDH|2141545434965868763</stp>
        <tr r="H75" s="18"/>
        <tr r="H64" s="12"/>
      </tp>
      <tp t="e">
        <v>#N/A</v>
        <stp/>
        <stp>BDH|1819227532976332040</stp>
        <tr r="U13" s="21"/>
      </tp>
      <tp t="e">
        <v>#N/A</v>
        <stp/>
        <stp>BDH|2690247978191059056</stp>
        <tr r="H103" s="18"/>
      </tp>
      <tp t="e">
        <v>#N/A</v>
        <stp/>
        <stp>BDH|1294415291769562382</stp>
        <tr r="V35" s="21"/>
      </tp>
      <tp t="e">
        <v>#N/A</v>
        <stp/>
        <stp>BDH|3915254356286217479</stp>
        <tr r="Z22" s="21"/>
      </tp>
      <tp t="e">
        <v>#N/A</v>
        <stp/>
        <stp>BDH|3708131528714381200</stp>
        <tr r="H24" s="24"/>
      </tp>
      <tp t="e">
        <v>#N/A</v>
        <stp/>
        <stp>BDH|5169490597048896681</stp>
        <tr r="Y43" s="4"/>
      </tp>
      <tp t="e">
        <v>#N/A</v>
        <stp/>
        <stp>BDH|3605833289697378233</stp>
        <tr r="O25" s="4"/>
        <tr r="O65" s="10"/>
      </tp>
      <tp t="e">
        <v>#N/A</v>
        <stp/>
        <stp>BDH|4144336500527745692</stp>
        <tr r="Q29" s="24"/>
      </tp>
      <tp t="e">
        <v>#N/A</v>
        <stp/>
        <stp>BDH|1660520113464927721</stp>
        <tr r="T19" s="6"/>
      </tp>
      <tp t="e">
        <v>#N/A</v>
        <stp/>
        <stp>BDH|1072659007734982570</stp>
        <tr r="T40" s="22"/>
      </tp>
      <tp t="e">
        <v>#N/A</v>
        <stp/>
        <stp>BDH|6135869178518170728</stp>
        <tr r="Q25" s="18"/>
      </tp>
      <tp t="e">
        <v>#N/A</v>
        <stp/>
        <stp>BDH|3303315969796475635</stp>
        <tr r="T15" s="21"/>
      </tp>
      <tp t="e">
        <v>#N/A</v>
        <stp/>
        <stp>BDH|4808400611100208771</stp>
        <tr r="H40" s="10"/>
        <tr r="H32" s="11"/>
      </tp>
      <tp t="e">
        <v>#N/A</v>
        <stp/>
        <stp>BDH|4991177607813750023</stp>
        <tr r="S16" s="2"/>
        <tr r="S32" s="4"/>
        <tr r="S62" s="10"/>
        <tr r="U19" s="13"/>
      </tp>
      <tp t="e">
        <v>#N/A</v>
        <stp/>
        <stp>BDH|8704690560727474960</stp>
        <tr r="D140" s="18"/>
      </tp>
      <tp t="e">
        <v>#N/A</v>
        <stp/>
        <stp>BDH|1994458680842406949</stp>
        <tr r="R10" s="10"/>
      </tp>
      <tp t="e">
        <v>#N/A</v>
        <stp/>
        <stp>BDH|6494649951296424590</stp>
        <tr r="U72" s="10"/>
        <tr r="U64" s="11"/>
      </tp>
      <tp t="e">
        <v>#N/A</v>
        <stp/>
        <stp>BDH|1489360858985703411</stp>
        <tr r="U50" s="4"/>
      </tp>
      <tp t="e">
        <v>#N/A</v>
        <stp/>
        <stp>BDH|4791599461870193122</stp>
        <tr r="S45" s="17"/>
      </tp>
      <tp t="e">
        <v>#N/A</v>
        <stp/>
        <stp>BDH|7371295771206067275</stp>
        <tr r="U16" s="17"/>
        <tr r="U19" s="28"/>
      </tp>
      <tp t="e">
        <v>#N/A</v>
        <stp/>
        <stp>BDH|1032800480300922750</stp>
        <tr r="S11" s="9"/>
      </tp>
      <tp t="e">
        <v>#N/A</v>
        <stp/>
        <stp>BDH|3325128482134618898</stp>
        <tr r="U51" s="24"/>
      </tp>
      <tp t="e">
        <v>#N/A</v>
        <stp/>
        <stp>BDH|3752718018954428762</stp>
        <tr r="S27" s="17"/>
      </tp>
      <tp t="e">
        <v>#N/A</v>
        <stp/>
        <stp>BDH|1707772076445945235</stp>
        <tr r="Y71" s="12"/>
      </tp>
      <tp t="e">
        <v>#N/A</v>
        <stp/>
        <stp>BDH|6085389063467134261</stp>
        <tr r="W11" s="3"/>
        <tr r="U50" s="10"/>
        <tr r="U42" s="11"/>
        <tr r="U8" s="7"/>
      </tp>
      <tp t="e">
        <v>#N/A</v>
        <stp/>
        <stp>BDH|3713680754085160360</stp>
        <tr r="E92" s="18"/>
      </tp>
      <tp t="e">
        <v>#N/A</v>
        <stp/>
        <stp>BDH|9221272489031063400</stp>
        <tr r="C9" s="22"/>
      </tp>
      <tp t="e">
        <v>#N/A</v>
        <stp/>
        <stp>BDH|5839930182744730621</stp>
        <tr r="R46" s="18"/>
      </tp>
      <tp t="e">
        <v>#N/A</v>
        <stp/>
        <stp>BDH|6263521308391144456</stp>
        <tr r="Z45" s="24"/>
      </tp>
      <tp t="e">
        <v>#N/A</v>
        <stp/>
        <stp>BDH|6427614338093075617</stp>
        <tr r="C46" s="22"/>
      </tp>
      <tp t="e">
        <v>#N/A</v>
        <stp/>
        <stp>BDH|9332896180669499623</stp>
        <tr r="G11" s="13"/>
      </tp>
      <tp t="e">
        <v>#N/A</v>
        <stp/>
        <stp>BDH|1503486362502427779</stp>
        <tr r="I25" s="12"/>
      </tp>
      <tp t="e">
        <v>#N/A</v>
        <stp/>
        <stp>BDH|8129486055756594951</stp>
        <tr r="L8" s="10"/>
      </tp>
      <tp t="e">
        <v>#N/A</v>
        <stp/>
        <stp>BDH|3288696971023544730</stp>
        <tr r="P35" s="22"/>
      </tp>
      <tp t="e">
        <v>#N/A</v>
        <stp/>
        <stp>BDH|2734833418618043508</stp>
        <tr r="Y11" s="29"/>
      </tp>
      <tp t="e">
        <v>#N/A</v>
        <stp/>
        <stp>BDH|8002260628009688742</stp>
        <tr r="Q6" s="2"/>
        <tr r="P6" s="5"/>
        <tr r="P6" s="9"/>
        <tr r="R12" s="8"/>
        <tr r="Q10" s="29"/>
        <tr r="Q19" s="29"/>
        <tr r="Q25" s="29"/>
      </tp>
      <tp t="e">
        <v>#N/A</v>
        <stp/>
        <stp>BDH|3087186821831655739</stp>
        <tr r="C27" s="14"/>
      </tp>
      <tp t="e">
        <v>#N/A</v>
        <stp/>
        <stp>BDH|7982055940256407345</stp>
        <tr r="I15" s="4"/>
      </tp>
      <tp t="e">
        <v>#N/A</v>
        <stp/>
        <stp>BDH|1158332848936514632</stp>
        <tr r="W132" s="18"/>
      </tp>
      <tp t="e">
        <v>#N/A</v>
        <stp/>
        <stp>BDH|5892031238951788184</stp>
        <tr r="O29" s="34"/>
      </tp>
      <tp t="e">
        <v>#N/A</v>
        <stp/>
        <stp>BDH|7510045545950967517</stp>
        <tr r="R49" s="17"/>
      </tp>
      <tp t="e">
        <v>#N/A</v>
        <stp/>
        <stp>BDH|4984221310375562420</stp>
        <tr r="Q15" s="5"/>
      </tp>
      <tp t="e">
        <v>#N/A</v>
        <stp/>
        <stp>BDH|2905231250903453022</stp>
        <tr r="J25" s="4"/>
        <tr r="J65" s="10"/>
      </tp>
      <tp t="e">
        <v>#N/A</v>
        <stp/>
        <stp>BDH|4085785554358430842</stp>
        <tr r="W83" s="17"/>
      </tp>
      <tp t="e">
        <v>#N/A</v>
        <stp/>
        <stp>BDH|6898816936463259811</stp>
        <tr r="Y83" s="17"/>
      </tp>
      <tp t="e">
        <v>#N/A</v>
        <stp/>
        <stp>BDH|7083829994993339394</stp>
        <tr r="E12" s="25"/>
      </tp>
      <tp t="e">
        <v>#N/A</v>
        <stp/>
        <stp>BDH|8202579667179607486</stp>
        <tr r="C20" s="17"/>
      </tp>
      <tp t="e">
        <v>#N/A</v>
        <stp/>
        <stp>BDH|5587410416843871569</stp>
        <tr r="I74" s="12"/>
      </tp>
      <tp t="e">
        <v>#N/A</v>
        <stp/>
        <stp>BDH|2969232953782558108</stp>
        <tr r="O73" s="18"/>
      </tp>
      <tp t="e">
        <v>#N/A</v>
        <stp/>
        <stp>BDH|4523775159740462027</stp>
        <tr r="E46" s="4"/>
        <tr r="E23" s="10"/>
        <tr r="G37" s="13"/>
      </tp>
      <tp t="e">
        <v>#N/A</v>
        <stp/>
        <stp>BDH|3627015644256773793</stp>
        <tr r="AA44" s="21"/>
      </tp>
      <tp t="e">
        <v>#N/A</v>
        <stp/>
        <stp>BDH|7927437992605473915</stp>
        <tr r="P68" s="24"/>
      </tp>
      <tp t="e">
        <v>#N/A</v>
        <stp/>
        <stp>BDH|7479705712142254597</stp>
        <tr r="W17" s="23"/>
      </tp>
      <tp t="e">
        <v>#N/A</v>
        <stp/>
        <stp>BDH|6941275284849512328</stp>
        <tr r="J57" s="6"/>
      </tp>
      <tp t="e">
        <v>#N/A</v>
        <stp/>
        <stp>BDH|4942943403878192326</stp>
        <tr r="I14" s="22"/>
      </tp>
      <tp t="e">
        <v>#N/A</v>
        <stp/>
        <stp>BDH|3669098055602291251</stp>
        <tr r="N13" s="8"/>
      </tp>
      <tp t="e">
        <v>#N/A</v>
        <stp/>
        <stp>BDH|4111992026089270014</stp>
        <tr r="I34" s="12"/>
      </tp>
      <tp t="e">
        <v>#N/A</v>
        <stp/>
        <stp>BDH|5072722639085437226</stp>
        <tr r="V26" s="14"/>
      </tp>
      <tp t="e">
        <v>#N/A</v>
        <stp/>
        <stp>BDH|4552205811494970500</stp>
        <tr r="O54" s="17"/>
      </tp>
      <tp t="e">
        <v>#N/A</v>
        <stp/>
        <stp>BDH|7306094479582654487</stp>
        <tr r="J10" s="4"/>
        <tr r="I6" s="16"/>
        <tr r="L6" s="3"/>
        <tr r="J6" s="11"/>
      </tp>
      <tp t="e">
        <v>#N/A</v>
        <stp/>
        <stp>BDH|4002877791452849134</stp>
        <tr r="H54" s="18"/>
      </tp>
      <tp t="e">
        <v>#N/A</v>
        <stp/>
        <stp>BDH|1731894550429221313</stp>
        <tr r="AA30" s="26"/>
      </tp>
      <tp t="e">
        <v>#N/A</v>
        <stp/>
        <stp>BDH|6636373848746068143</stp>
        <tr r="S17" s="13"/>
      </tp>
      <tp t="e">
        <v>#N/A</v>
        <stp/>
        <stp>BDH|6255735349151222276</stp>
        <tr r="X28" s="12"/>
      </tp>
      <tp t="e">
        <v>#N/A</v>
        <stp/>
        <stp>BDH|1303551994919845279</stp>
        <tr r="W33" s="18"/>
      </tp>
      <tp t="e">
        <v>#N/A</v>
        <stp/>
        <stp>BDH|9178409750829573794</stp>
        <tr r="N25" s="26"/>
      </tp>
      <tp t="e">
        <v>#N/A</v>
        <stp/>
        <stp>BDH|2719288071528413978</stp>
        <tr r="G81" s="12"/>
      </tp>
      <tp t="e">
        <v>#N/A</v>
        <stp/>
        <stp>BDH|2790727949444868398</stp>
        <tr r="Y8" s="10"/>
      </tp>
      <tp t="e">
        <v>#N/A</v>
        <stp/>
        <stp>BDH|5645531701305868314</stp>
        <tr r="O58" s="21"/>
        <tr r="O37" s="25"/>
        <tr r="M31" s="4"/>
        <tr r="M54" s="11"/>
      </tp>
      <tp t="e">
        <v>#N/A</v>
        <stp/>
        <stp>BDH|6437688270199099814</stp>
        <tr r="U43" s="4"/>
      </tp>
      <tp t="e">
        <v>#N/A</v>
        <stp/>
        <stp>BDH|2019046927992889461</stp>
        <tr r="C16" s="13"/>
        <tr r="C27" s="13"/>
      </tp>
      <tp t="e">
        <v>#N/A</v>
        <stp/>
        <stp>BDH|3025701278153504604</stp>
        <tr r="AA44" s="18"/>
      </tp>
      <tp t="e">
        <v>#N/A</v>
        <stp/>
        <stp>BDH|3079945754080920946</stp>
        <tr r="K16" s="11"/>
      </tp>
      <tp t="e">
        <v>#N/A</v>
        <stp/>
        <stp>BDH|8219278997832973760</stp>
        <tr r="U21" s="4"/>
      </tp>
      <tp t="e">
        <v>#N/A</v>
        <stp/>
        <stp>BDH|6212662618997844098</stp>
        <tr r="G59" s="12"/>
      </tp>
      <tp t="e">
        <v>#N/A</v>
        <stp/>
        <stp>BDH|2857239222676414202</stp>
        <tr r="M46" s="34"/>
      </tp>
      <tp t="e">
        <v>#N/A</v>
        <stp/>
        <stp>BDH|6349387822052134359</stp>
        <tr r="H67" s="17"/>
        <tr r="E8" s="5"/>
        <tr r="E8" s="9"/>
      </tp>
      <tp t="e">
        <v>#N/A</v>
        <stp/>
        <stp>BDH|5934214609971516096</stp>
        <tr r="T27" s="7"/>
      </tp>
      <tp t="e">
        <v>#N/A</v>
        <stp/>
        <stp>BDH|3356905661438948269</stp>
        <tr r="Z105" s="18"/>
      </tp>
      <tp t="e">
        <v>#N/A</v>
        <stp/>
        <stp>BDH|5802931362468141459</stp>
        <tr r="D11" s="11"/>
      </tp>
      <tp t="e">
        <v>#N/A</v>
        <stp/>
        <stp>BDH|1011150458855897688</stp>
        <tr r="S9" s="6"/>
      </tp>
      <tp t="e">
        <v>#N/A</v>
        <stp/>
        <stp>BDH|4784150439586429627</stp>
        <tr r="AA117" s="18"/>
      </tp>
      <tp t="e">
        <v>#N/A</v>
        <stp/>
        <stp>BDH|1488861267711119894</stp>
        <tr r="R12" s="26"/>
      </tp>
      <tp t="e">
        <v>#N/A</v>
        <stp/>
        <stp>BDH|6168096247375287101</stp>
        <tr r="C45" s="4"/>
        <tr r="C31" s="10"/>
        <tr r="C23" s="11"/>
        <tr r="E30" s="13"/>
      </tp>
      <tp t="e">
        <v>#N/A</v>
        <stp/>
        <stp>BDH|7428610013720296691</stp>
        <tr r="T68" s="10"/>
      </tp>
      <tp t="e">
        <v>#N/A</v>
        <stp/>
        <stp>BDH|3059455059766987282</stp>
        <tr r="K78" s="12"/>
      </tp>
      <tp t="e">
        <v>#N/A</v>
        <stp/>
        <stp>BDH|6334902658509687500</stp>
        <tr r="X128" s="18"/>
      </tp>
      <tp t="e">
        <v>#N/A</v>
        <stp/>
        <stp>BDH|1178973283185181391</stp>
        <tr r="O14" s="2"/>
        <tr r="O11" s="10"/>
      </tp>
      <tp t="e">
        <v>#N/A</v>
        <stp/>
        <stp>BDH|7866603376869010930</stp>
        <tr r="C72" s="12"/>
      </tp>
      <tp t="e">
        <v>#N/A</v>
        <stp/>
        <stp>BDH|8471696233019281215</stp>
        <tr r="D60" s="18"/>
      </tp>
      <tp t="e">
        <v>#N/A</v>
        <stp/>
        <stp>BDH|9843560393571944299</stp>
        <tr r="H25" s="34"/>
      </tp>
      <tp t="e">
        <v>#N/A</v>
        <stp/>
        <stp>BDH|6724939195432470287</stp>
        <tr r="V63" s="21"/>
        <tr r="T23" s="7"/>
      </tp>
      <tp t="e">
        <v>#N/A</v>
        <stp/>
        <stp>BDH|6162500358703481307</stp>
        <tr r="N62" s="18"/>
      </tp>
      <tp t="e">
        <v>#N/A</v>
        <stp/>
        <stp>BDH|8995356897180374457</stp>
        <tr r="X6" s="28"/>
      </tp>
      <tp t="e">
        <v>#N/A</v>
        <stp/>
        <stp>BDH|5092696099605461991</stp>
        <tr r="O56" s="24"/>
      </tp>
      <tp t="e">
        <v>#N/A</v>
        <stp/>
        <stp>BDH|1416006812865305381</stp>
        <tr r="N59" s="21"/>
        <tr r="L55" s="11"/>
      </tp>
      <tp t="e">
        <v>#N/A</v>
        <stp/>
        <stp>BDH|4576832215918583345</stp>
        <tr r="U58" s="18"/>
      </tp>
      <tp t="e">
        <v>#N/A</v>
        <stp/>
        <stp>BDH|5586370573854360307</stp>
        <tr r="H44" s="22"/>
      </tp>
      <tp t="e">
        <v>#N/A</v>
        <stp/>
        <stp>BDH|3506730857294047337</stp>
        <tr r="T49" s="12"/>
      </tp>
      <tp t="e">
        <v>#N/A</v>
        <stp/>
        <stp>BDH|5161506503510457641</stp>
        <tr r="F64" s="10"/>
      </tp>
      <tp t="e">
        <v>#N/A</v>
        <stp/>
        <stp>BDH|1956729669505098301</stp>
        <tr r="Z16" s="24"/>
      </tp>
      <tp t="e">
        <v>#N/A</v>
        <stp/>
        <stp>BDH|9785501638901991849</stp>
        <tr r="AA112" s="18"/>
      </tp>
      <tp t="e">
        <v>#N/A</v>
        <stp/>
        <stp>BDH|6988789619380296688</stp>
        <tr r="S79" s="18"/>
      </tp>
      <tp t="e">
        <v>#N/A</v>
        <stp/>
        <stp>BDH|8630428556477546859</stp>
        <tr r="C81" s="12"/>
      </tp>
      <tp t="e">
        <v>#N/A</v>
        <stp/>
        <stp>BDH|5447997672644800957</stp>
        <tr r="U19" s="20"/>
      </tp>
      <tp t="e">
        <v>#N/A</v>
        <stp/>
        <stp>BDH|5333284008918284933</stp>
        <tr r="R134" s="18"/>
      </tp>
      <tp t="e">
        <v>#N/A</v>
        <stp/>
        <stp>BDH|7920691627350601535</stp>
        <tr r="Y80" s="12"/>
      </tp>
      <tp t="e">
        <v>#N/A</v>
        <stp/>
        <stp>BDH|7246817174109112747</stp>
        <tr r="V128" s="18"/>
      </tp>
      <tp t="e">
        <v>#N/A</v>
        <stp/>
        <stp>BDH|1880781042602905698</stp>
        <tr r="H44" s="18"/>
      </tp>
      <tp t="e">
        <v>#N/A</v>
        <stp/>
        <stp>BDH|7147637261178571942</stp>
        <tr r="D55" s="24"/>
      </tp>
      <tp t="e">
        <v>#N/A</v>
        <stp/>
        <stp>BDH|4203998999692757072</stp>
        <tr r="F16" s="17"/>
        <tr r="F19" s="28"/>
      </tp>
      <tp t="e">
        <v>#N/A</v>
        <stp/>
        <stp>BDH|1727868302456434954</stp>
        <tr r="Q24" s="2"/>
      </tp>
      <tp t="e">
        <v>#N/A</v>
        <stp/>
        <stp>BDH|7400923097243281210</stp>
        <tr r="D12" s="12"/>
      </tp>
      <tp t="e">
        <v>#N/A</v>
        <stp/>
        <stp>BDH|1078461020808448903</stp>
        <tr r="E24" s="22"/>
      </tp>
      <tp t="e">
        <v>#N/A</v>
        <stp/>
        <stp>BDH|6784259054525188254</stp>
        <tr r="L16" s="22"/>
      </tp>
      <tp t="e">
        <v>#N/A</v>
        <stp/>
        <stp>BDH|5319040863786583336</stp>
        <tr r="M81" s="18"/>
      </tp>
      <tp t="e">
        <v>#N/A</v>
        <stp/>
        <stp>BDH|7732675402810841781</stp>
        <tr r="K8" s="18"/>
      </tp>
      <tp t="e">
        <v>#N/A</v>
        <stp/>
        <stp>BDH|7737902710880157947</stp>
        <tr r="D21" s="4"/>
      </tp>
      <tp t="e">
        <v>#N/A</v>
        <stp/>
        <stp>BDH|5266433500090372709</stp>
        <tr r="I31" s="25"/>
        <tr r="F14" s="5"/>
        <tr r="I17" s="27"/>
      </tp>
      <tp t="e">
        <v>#N/A</v>
        <stp/>
        <stp>BDH|2675217480416279878</stp>
        <tr r="X49" s="17"/>
      </tp>
      <tp t="e">
        <v>#N/A</v>
        <stp/>
        <stp>BDH|2383204395948571718</stp>
        <tr r="D32" s="10"/>
        <tr r="D24" s="11"/>
      </tp>
      <tp t="e">
        <v>#N/A</v>
        <stp/>
        <stp>BDH|4926885296251172248</stp>
        <tr r="L12" s="20"/>
      </tp>
      <tp t="e">
        <v>#N/A</v>
        <stp/>
        <stp>BDH|9847630579728398630</stp>
        <tr r="AA84" s="17"/>
      </tp>
      <tp t="e">
        <v>#N/A</v>
        <stp/>
        <stp>BDH|7563564295524399974</stp>
        <tr r="Q67" s="12"/>
      </tp>
      <tp t="e">
        <v>#N/A</v>
        <stp/>
        <stp>BDH|4312798748418327932</stp>
        <tr r="H8" s="12"/>
      </tp>
      <tp t="e">
        <v>#N/A</v>
        <stp/>
        <stp>BDH|5022840025799697051</stp>
        <tr r="S46" s="34"/>
      </tp>
      <tp t="e">
        <v>#N/A</v>
        <stp/>
        <stp>BDH|9837373125268064688</stp>
        <tr r="T20" s="12"/>
      </tp>
      <tp t="e">
        <v>#N/A</v>
        <stp/>
        <stp>BDH|7037701736496439309</stp>
        <tr r="X11" s="22"/>
      </tp>
      <tp t="e">
        <v>#N/A</v>
        <stp/>
        <stp>BDH|8903048695637227083</stp>
        <tr r="AA7" s="14"/>
      </tp>
      <tp t="e">
        <v>#N/A</v>
        <stp/>
        <stp>BDH|6787453352067120636</stp>
        <tr r="J142" s="18"/>
      </tp>
      <tp t="e">
        <v>#N/A</v>
        <stp/>
        <stp>BDH|9144194064868650082</stp>
        <tr r="E41" s="34"/>
      </tp>
      <tp t="e">
        <v>#N/A</v>
        <stp/>
        <stp>BDH|7119205417073586113</stp>
        <tr r="K11" s="7"/>
      </tp>
      <tp t="e">
        <v>#N/A</v>
        <stp/>
        <stp>BDH|3274305231460088511</stp>
        <tr r="I54" s="12"/>
      </tp>
      <tp t="e">
        <v>#N/A</v>
        <stp/>
        <stp>BDH|5482547063210836090</stp>
        <tr r="D6" s="19"/>
        <tr r="D35" s="17"/>
        <tr r="D16" s="3"/>
      </tp>
      <tp t="e">
        <v>#N/A</v>
        <stp/>
        <stp>BDH|1911187526817464316</stp>
        <tr r="Q21" s="6"/>
      </tp>
      <tp t="e">
        <v>#N/A</v>
        <stp/>
        <stp>BDH|6404360701937373420</stp>
        <tr r="D41" s="34"/>
      </tp>
      <tp t="e">
        <v>#N/A</v>
        <stp/>
        <stp>BDH|4478419970164349545</stp>
        <tr r="M25" s="26"/>
      </tp>
      <tp t="e">
        <v>#N/A</v>
        <stp/>
        <stp>BDH|3362073917830061415</stp>
        <tr r="J89" s="24"/>
      </tp>
      <tp t="e">
        <v>#N/A</v>
        <stp/>
        <stp>BDH|9141614470547304904</stp>
        <tr r="S18" s="2"/>
        <tr r="S53" s="4"/>
        <tr r="S46" s="10"/>
        <tr r="S38" s="11"/>
        <tr r="U51" s="13"/>
      </tp>
      <tp t="e">
        <v>#N/A</v>
        <stp/>
        <stp>BDH|3343575327846795471</stp>
        <tr r="AA11" s="13"/>
      </tp>
      <tp t="e">
        <v>#N/A</v>
        <stp/>
        <stp>BDH|8294282929377908999</stp>
        <tr r="G26" s="13"/>
      </tp>
      <tp t="e">
        <v>#N/A</v>
        <stp/>
        <stp>BDH|5278034259285978327</stp>
        <tr r="M89" s="24"/>
      </tp>
      <tp t="e">
        <v>#N/A</v>
        <stp/>
        <stp>BDH|9927230585065930051</stp>
        <tr r="L50" s="21"/>
      </tp>
      <tp t="e">
        <v>#N/A</v>
        <stp/>
        <stp>BDH|7487512346864325430</stp>
        <tr r="R20" s="18"/>
      </tp>
      <tp t="e">
        <v>#N/A</v>
        <stp/>
        <stp>BDH|3112369965166701669</stp>
        <tr r="F59" s="12"/>
      </tp>
      <tp t="e">
        <v>#N/A</v>
        <stp/>
        <stp>BDH|4291359124891110219</stp>
        <tr r="V43" s="21"/>
      </tp>
      <tp t="e">
        <v>#N/A</v>
        <stp/>
        <stp>BDH|4586368062660354710</stp>
        <tr r="Y38" s="18"/>
      </tp>
      <tp t="e">
        <v>#N/A</v>
        <stp/>
        <stp>BDH|7258784160668803814</stp>
        <tr r="M22" s="21"/>
      </tp>
      <tp t="e">
        <v>#N/A</v>
        <stp/>
        <stp>BDH|1426665163242349513</stp>
        <tr r="V10" s="12"/>
      </tp>
      <tp t="e">
        <v>#N/A</v>
        <stp/>
        <stp>BDH|4745128003826178546</stp>
        <tr r="Y95" s="18"/>
      </tp>
      <tp t="e">
        <v>#N/A</v>
        <stp/>
        <stp>BDH|2382251323095553139</stp>
        <tr r="R10" s="18"/>
      </tp>
      <tp t="e">
        <v>#N/A</v>
        <stp/>
        <stp>BDH|4911061179293072650</stp>
        <tr r="E90" s="18"/>
      </tp>
      <tp t="e">
        <v>#N/A</v>
        <stp/>
        <stp>BDH|2310920209239866431</stp>
        <tr r="Y45" s="17"/>
      </tp>
      <tp t="e">
        <v>#N/A</v>
        <stp/>
        <stp>BDH|4751274655307654203</stp>
        <tr r="U37" s="26"/>
      </tp>
      <tp t="e">
        <v>#N/A</v>
        <stp/>
        <stp>BDH|3205820873962297824</stp>
        <tr r="Z43" s="22"/>
      </tp>
      <tp t="e">
        <v>#N/A</v>
        <stp/>
        <stp>BDH|3112291763079009884</stp>
        <tr r="I34" s="10"/>
        <tr r="I26" s="11"/>
      </tp>
      <tp t="e">
        <v>#N/A</v>
        <stp/>
        <stp>BDH|9786888311130933645</stp>
        <tr r="C24" s="2"/>
      </tp>
      <tp t="e">
        <v>#N/A</v>
        <stp/>
        <stp>BDH|1634356467217656514</stp>
        <tr r="M89" s="18"/>
      </tp>
      <tp t="e">
        <v>#N/A</v>
        <stp/>
        <stp>BDH|9904146331215821870</stp>
        <tr r="U77" s="24"/>
      </tp>
      <tp t="e">
        <v>#N/A</v>
        <stp/>
        <stp>BDH|2670055081935040919</stp>
        <tr r="Y11" s="12"/>
      </tp>
      <tp t="e">
        <v>#N/A</v>
        <stp/>
        <stp>BDH|5344138800912120021</stp>
        <tr r="Z24" s="12"/>
      </tp>
      <tp t="e">
        <v>#N/A</v>
        <stp/>
        <stp>BDH|9487993249120088274</stp>
        <tr r="D30" s="29"/>
        <tr r="D8" s="29"/>
      </tp>
      <tp t="e">
        <v>#N/A</v>
        <stp/>
        <stp>BDH|9791019774280741860</stp>
        <tr r="D20" s="20"/>
      </tp>
      <tp t="e">
        <v>#N/A</v>
        <stp/>
        <stp>BDH|1649126123704032040</stp>
        <tr r="I32" s="14"/>
      </tp>
      <tp t="e">
        <v>#N/A</v>
        <stp/>
        <stp>BDH|7696127315399650841</stp>
        <tr r="E21" s="30"/>
      </tp>
      <tp t="e">
        <v>#N/A</v>
        <stp/>
        <stp>BDH|7599948190973411260</stp>
        <tr r="Q24" s="13"/>
      </tp>
      <tp t="e">
        <v>#N/A</v>
        <stp/>
        <stp>BDH|9057324780231797562</stp>
        <tr r="U69" s="17"/>
      </tp>
      <tp t="e">
        <v>#N/A</v>
        <stp/>
        <stp>BDH|3672475706962438303</stp>
        <tr r="L26" s="18"/>
      </tp>
      <tp t="e">
        <v>#N/A</v>
        <stp/>
        <stp>BDH|1121751772030292770</stp>
        <tr r="AA61" s="21"/>
      </tp>
      <tp t="e">
        <v>#N/A</v>
        <stp/>
        <stp>BDH|4573878145708452607</stp>
        <tr r="H8" s="10"/>
      </tp>
      <tp t="e">
        <v>#N/A</v>
        <stp/>
        <stp>BDH|8570966166878546937</stp>
        <tr r="M72" s="18"/>
      </tp>
      <tp t="e">
        <v>#N/A</v>
        <stp/>
        <stp>BDH|5985253706186966706</stp>
        <tr r="X55" s="24"/>
      </tp>
      <tp t="e">
        <v>#N/A</v>
        <stp/>
        <stp>BDH|6686430857527460651</stp>
        <tr r="S33" s="9"/>
      </tp>
      <tp t="e">
        <v>#N/A</v>
        <stp/>
        <stp>BDH|8306813130370698573</stp>
        <tr r="AA24" s="12"/>
      </tp>
      <tp t="e">
        <v>#N/A</v>
        <stp/>
        <stp>BDH|4753474643565878789</stp>
        <tr r="H7" s="21"/>
      </tp>
      <tp t="e">
        <v>#N/A</v>
        <stp/>
        <stp>BDH|3364903922248735659</stp>
        <tr r="AA45" s="34"/>
      </tp>
      <tp t="e">
        <v>#N/A</v>
        <stp/>
        <stp>BDH|4190266215370139102</stp>
        <tr r="R57" s="24"/>
      </tp>
      <tp t="e">
        <v>#N/A</v>
        <stp/>
        <stp>BDH|4411208524185764743</stp>
        <tr r="H109" s="18"/>
      </tp>
      <tp t="e">
        <v>#N/A</v>
        <stp/>
        <stp>BDH|6220135227980041357</stp>
        <tr r="J8" s="8"/>
      </tp>
      <tp t="e">
        <v>#N/A</v>
        <stp/>
        <stp>BDH|9511054688757269099</stp>
        <tr r="Y56" s="11"/>
      </tp>
      <tp t="e">
        <v>#N/A</v>
        <stp/>
        <stp>BDH|6654615752405703618</stp>
        <tr r="R52" s="21"/>
      </tp>
      <tp t="e">
        <v>#N/A</v>
        <stp/>
        <stp>BDH|1584670891471338933</stp>
        <tr r="I62" s="24"/>
      </tp>
      <tp t="e">
        <v>#N/A</v>
        <stp/>
        <stp>BDH|1380475747307518053</stp>
        <tr r="L8" s="17"/>
      </tp>
      <tp t="e">
        <v>#N/A</v>
        <stp/>
        <stp>BDH|9811866210955923343</stp>
        <tr r="G96" s="18"/>
      </tp>
      <tp t="e">
        <v>#N/A</v>
        <stp/>
        <stp>BDH|8552347120919725656</stp>
        <tr r="S57" s="6"/>
      </tp>
      <tp t="e">
        <v>#N/A</v>
        <stp/>
        <stp>BDH|5302509305267337167</stp>
        <tr r="U40" s="21"/>
      </tp>
      <tp t="e">
        <v>#N/A</v>
        <stp/>
        <stp>BDH|8149562004169215229</stp>
        <tr r="H35" s="14"/>
      </tp>
      <tp t="e">
        <v>#N/A</v>
        <stp/>
        <stp>BDH|1765031534983783749</stp>
        <tr r="C43" s="21"/>
      </tp>
      <tp t="e">
        <v>#N/A</v>
        <stp/>
        <stp>BDH|4858041523314480481</stp>
        <tr r="J26" s="10"/>
        <tr r="L32" s="13"/>
      </tp>
      <tp t="e">
        <v>#N/A</v>
        <stp/>
        <stp>BDH|4946033759834495377</stp>
        <tr r="R25" s="5"/>
      </tp>
      <tp t="e">
        <v>#N/A</v>
        <stp/>
        <stp>BDH|1372560604943699176</stp>
        <tr r="T12" s="17"/>
      </tp>
      <tp t="e">
        <v>#N/A</v>
        <stp/>
        <stp>BDH|5674597504121384789</stp>
        <tr r="V12" s="21"/>
      </tp>
      <tp t="e">
        <v>#N/A</v>
        <stp/>
        <stp>BDH|7333173642121760517</stp>
        <tr r="V36" s="22"/>
      </tp>
      <tp t="e">
        <v>#N/A</v>
        <stp/>
        <stp>BDH|7756663955395476702</stp>
        <tr r="H23" s="5"/>
        <tr r="H23" s="9"/>
      </tp>
      <tp t="e">
        <v>#N/A</v>
        <stp/>
        <stp>BDH|2136567714719202913</stp>
        <tr r="P15" s="5"/>
      </tp>
      <tp t="e">
        <v>#N/A</v>
        <stp/>
        <stp>BDH|3139869124838552767</stp>
        <tr r="I17" s="22"/>
      </tp>
      <tp t="e">
        <v>#N/A</v>
        <stp/>
        <stp>BDH|3523676481519653257</stp>
        <tr r="L69" s="12"/>
      </tp>
      <tp t="e">
        <v>#N/A</v>
        <stp/>
        <stp>BDH|2780016315235762049</stp>
        <tr r="N76" s="12"/>
      </tp>
      <tp t="e">
        <v>#N/A</v>
        <stp/>
        <stp>BDH|5797493973936933643</stp>
        <tr r="V11" s="24"/>
      </tp>
      <tp t="e">
        <v>#N/A</v>
        <stp/>
        <stp>BDH|4965129829981031027</stp>
        <tr r="X12" s="3"/>
        <tr r="V55" s="10"/>
        <tr r="V47" s="11"/>
        <tr r="V7" s="7"/>
      </tp>
      <tp t="e">
        <v>#N/A</v>
        <stp/>
        <stp>BDH|2555258828105893107</stp>
        <tr r="E28" s="14"/>
      </tp>
      <tp t="e">
        <v>#N/A</v>
        <stp/>
        <stp>BDH|2530160348840379189</stp>
        <tr r="D104" s="18"/>
      </tp>
      <tp t="e">
        <v>#N/A</v>
        <stp/>
        <stp>BDH|1146777263780405610</stp>
        <tr r="G6" s="28"/>
      </tp>
      <tp t="e">
        <v>#N/A</v>
        <stp/>
        <stp>BDH|7623612006741297639</stp>
        <tr r="N25" s="2"/>
        <tr r="P60" s="21"/>
      </tp>
      <tp t="e">
        <v>#N/A</v>
        <stp/>
        <stp>BDH|8532777184431460021</stp>
        <tr r="M25" s="9"/>
      </tp>
      <tp t="e">
        <v>#N/A</v>
        <stp/>
        <stp>BDH|5507260322226067513</stp>
        <tr r="D36" s="10"/>
        <tr r="D48" s="10"/>
        <tr r="D28" s="11"/>
        <tr r="D40" s="11"/>
      </tp>
      <tp t="e">
        <v>#N/A</v>
        <stp/>
        <stp>BDH|3009408107374245558</stp>
        <tr r="K12" s="22"/>
      </tp>
      <tp t="e">
        <v>#N/A</v>
        <stp/>
        <stp>BDH|3074721765761731504</stp>
        <tr r="K76" s="18"/>
      </tp>
      <tp t="e">
        <v>#N/A</v>
        <stp/>
        <stp>BDH|7264684207947454098</stp>
        <tr r="P77" s="12"/>
      </tp>
      <tp t="e">
        <v>#N/A</v>
        <stp/>
        <stp>BDH|2790269061742727273</stp>
        <tr r="U23" s="6"/>
      </tp>
      <tp t="e">
        <v>#N/A</v>
        <stp/>
        <stp>BDH|9556697936758809223</stp>
        <tr r="S22" s="4"/>
      </tp>
      <tp t="e">
        <v>#N/A</v>
        <stp/>
        <stp>BDH|2924468342614528088</stp>
        <tr r="G41" s="21"/>
      </tp>
      <tp t="e">
        <v>#N/A</v>
        <stp/>
        <stp>BDH|8815359367172317991</stp>
        <tr r="U35" s="34"/>
      </tp>
      <tp t="e">
        <v>#N/A</v>
        <stp/>
        <stp>BDH|7494057411777606761</stp>
        <tr r="J9" s="2"/>
        <tr r="L8" s="25"/>
        <tr r="I10" s="5"/>
      </tp>
      <tp t="e">
        <v>#N/A</v>
        <stp/>
        <stp>BDH|2330388988589437676</stp>
        <tr r="L52" s="4"/>
        <tr r="N8" s="3"/>
        <tr r="L44" s="10"/>
        <tr r="L36" s="11"/>
        <tr r="N40" s="13"/>
      </tp>
      <tp t="e">
        <v>#N/A</v>
        <stp/>
        <stp>BDH|4498520957753029117</stp>
        <tr r="R97" s="18"/>
        <tr r="R6" s="20"/>
      </tp>
      <tp t="e">
        <v>#N/A</v>
        <stp/>
        <stp>BDH|8428602291711551009</stp>
        <tr r="U51" s="12"/>
      </tp>
      <tp t="e">
        <v>#N/A</v>
        <stp/>
        <stp>BDH|7761432370704209668</stp>
        <tr r="I12" s="12"/>
      </tp>
      <tp t="e">
        <v>#N/A</v>
        <stp/>
        <stp>BDH|1275461000026082544</stp>
        <tr r="J11" s="17"/>
      </tp>
      <tp t="e">
        <v>#N/A</v>
        <stp/>
        <stp>BDH|4086510204325249275</stp>
        <tr r="M77" s="18"/>
      </tp>
      <tp t="e">
        <v>#N/A</v>
        <stp/>
        <stp>BDH|3577201281187398873</stp>
        <tr r="W25" s="24"/>
      </tp>
      <tp t="e">
        <v>#N/A</v>
        <stp/>
        <stp>BDH|1159429468482968723</stp>
        <tr r="N65" s="24"/>
      </tp>
      <tp t="e">
        <v>#N/A</v>
        <stp/>
        <stp>BDH|3499663202750234322</stp>
        <tr r="J16" s="21"/>
      </tp>
      <tp t="e">
        <v>#N/A</v>
        <stp/>
        <stp>BDH|4781360425192137155</stp>
        <tr r="O22" s="14"/>
      </tp>
      <tp t="e">
        <v>#N/A</v>
        <stp/>
        <stp>BDH|1219774221025039748</stp>
        <tr r="S13" s="17"/>
        <tr r="S16" s="28"/>
      </tp>
      <tp t="e">
        <v>#N/A</v>
        <stp/>
        <stp>BDH|8064976163180661129</stp>
        <tr r="L84" s="17"/>
      </tp>
      <tp t="e">
        <v>#N/A</v>
        <stp/>
        <stp>BDH|8861898265804530404</stp>
        <tr r="F38" s="18"/>
      </tp>
      <tp t="e">
        <v>#N/A</v>
        <stp/>
        <stp>BDH|4212336407458358947</stp>
        <tr r="H82" s="17"/>
      </tp>
      <tp t="e">
        <v>#N/A</v>
        <stp/>
        <stp>BDH|4058987893406820424</stp>
        <tr r="U30" s="17"/>
      </tp>
      <tp t="e">
        <v>#N/A</v>
        <stp/>
        <stp>BDH|9140776287591267121</stp>
        <tr r="R14" s="2"/>
        <tr r="R11" s="10"/>
      </tp>
      <tp t="e">
        <v>#N/A</v>
        <stp/>
        <stp>BDH|4226126999918891204</stp>
        <tr r="R142" s="18"/>
      </tp>
      <tp t="e">
        <v>#N/A</v>
        <stp/>
        <stp>BDH|8655300267309713274</stp>
        <tr r="J53" s="10"/>
        <tr r="J45" s="11"/>
        <tr r="J16" s="7"/>
      </tp>
      <tp t="e">
        <v>#N/A</v>
        <stp/>
        <stp>BDH|8076513789080959302</stp>
        <tr r="T50" s="17"/>
      </tp>
      <tp t="e">
        <v>#N/A</v>
        <stp/>
        <stp>BDH|8403614224722483848</stp>
        <tr r="H14" s="12"/>
      </tp>
      <tp t="e">
        <v>#N/A</v>
        <stp/>
        <stp>BDH|6962177712840839059</stp>
        <tr r="R33" s="18"/>
      </tp>
      <tp t="e">
        <v>#N/A</v>
        <stp/>
        <stp>BDH|7311798195389911678</stp>
        <tr r="L10" s="14"/>
      </tp>
      <tp t="e">
        <v>#N/A</v>
        <stp/>
        <stp>BDH|4815202526050849275</stp>
        <tr r="I8" s="12"/>
      </tp>
      <tp t="e">
        <v>#N/A</v>
        <stp/>
        <stp>BDH|3739530915936375738</stp>
        <tr r="Q40" s="22"/>
      </tp>
      <tp t="e">
        <v>#N/A</v>
        <stp/>
        <stp>BDH|7543553469424929614</stp>
        <tr r="S41" s="18"/>
      </tp>
      <tp t="e">
        <v>#N/A</v>
        <stp/>
        <stp>BDH|5845785638395844213</stp>
        <tr r="S30" s="29"/>
        <tr r="S8" s="29"/>
      </tp>
      <tp t="e">
        <v>#N/A</v>
        <stp/>
        <stp>BDH|6696625820874621033</stp>
        <tr r="H26" s="13"/>
      </tp>
      <tp t="e">
        <v>#N/A</v>
        <stp/>
        <stp>BDH|4017192438127308737</stp>
        <tr r="Y47" s="17"/>
      </tp>
      <tp t="e">
        <v>#N/A</v>
        <stp/>
        <stp>BDH|7572006704332021304</stp>
        <tr r="C62" s="24"/>
      </tp>
      <tp t="e">
        <v>#N/A</v>
        <stp/>
        <stp>BDH|3808540352916797384</stp>
        <tr r="L17" s="22"/>
      </tp>
      <tp t="e">
        <v>#N/A</v>
        <stp/>
        <stp>BDH|5176581349411531346</stp>
        <tr r="Z38" s="12"/>
      </tp>
      <tp t="e">
        <v>#N/A</v>
        <stp/>
        <stp>BDH|7237214174170564437</stp>
        <tr r="K49" s="24"/>
      </tp>
      <tp t="e">
        <v>#N/A</v>
        <stp/>
        <stp>BDH|8729364509035908801</stp>
        <tr r="C37" s="34"/>
      </tp>
      <tp t="e">
        <v>#N/A</v>
        <stp/>
        <stp>BDH|7387177011139694820</stp>
        <tr r="K45" s="17"/>
      </tp>
      <tp t="e">
        <v>#N/A</v>
        <stp/>
        <stp>BDH|9413882165136944710</stp>
        <tr r="D10" s="21"/>
      </tp>
      <tp t="e">
        <v>#N/A</v>
        <stp/>
        <stp>BDH|8553762066667538814</stp>
        <tr r="J9" s="14"/>
      </tp>
      <tp t="e">
        <v>#N/A</v>
        <stp/>
        <stp>BDH|6389561741721484010</stp>
        <tr r="P77" s="18"/>
      </tp>
      <tp t="e">
        <v>#N/A</v>
        <stp/>
        <stp>BDH|9715700894812484367</stp>
        <tr r="N32" s="9"/>
      </tp>
      <tp t="e">
        <v>#N/A</v>
        <stp/>
        <stp>BDH|8953993479242057288</stp>
        <tr r="X31" s="9"/>
      </tp>
      <tp t="e">
        <v>#N/A</v>
        <stp/>
        <stp>BDH|5440174847486485015</stp>
        <tr r="G57" s="24"/>
      </tp>
      <tp t="e">
        <v>#N/A</v>
        <stp/>
        <stp>BDH|7588839866808112701</stp>
        <tr r="Y128" s="18"/>
      </tp>
      <tp t="e">
        <v>#N/A</v>
        <stp/>
        <stp>BDH|4917438529071679547</stp>
        <tr r="S25" s="14"/>
      </tp>
      <tp t="e">
        <v>#N/A</v>
        <stp/>
        <stp>BDH|6484591700561511497</stp>
        <tr r="Z10" s="22"/>
      </tp>
      <tp t="e">
        <v>#N/A</v>
        <stp/>
        <stp>BDH|7585137542373586709</stp>
        <tr r="L33" s="21"/>
      </tp>
      <tp t="e">
        <v>#N/A</v>
        <stp/>
        <stp>BDH|3183016504071552406</stp>
        <tr r="U20" s="10"/>
      </tp>
      <tp t="e">
        <v>#N/A</v>
        <stp/>
        <stp>BDH|3064306897566585930</stp>
        <tr r="K12" s="11"/>
      </tp>
      <tp t="e">
        <v>#N/A</v>
        <stp/>
        <stp>BDH|7465696984298191797</stp>
        <tr r="C58" s="21"/>
        <tr r="C37" s="25"/>
      </tp>
      <tp t="e">
        <v>#N/A</v>
        <stp/>
        <stp>BDH|6979734560821339084</stp>
        <tr r="C8" s="2"/>
      </tp>
      <tp t="e">
        <v>#N/A</v>
        <stp/>
        <stp>BDH|2101058270680032351</stp>
        <tr r="U49" s="22"/>
      </tp>
      <tp t="e">
        <v>#N/A</v>
        <stp/>
        <stp>BDH|8510560212872451843</stp>
        <tr r="F80" s="18"/>
      </tp>
      <tp t="e">
        <v>#N/A</v>
        <stp/>
        <stp>BDH|1028130267351288176</stp>
        <tr r="C71" s="10"/>
        <tr r="C63" s="11"/>
      </tp>
      <tp t="e">
        <v>#N/A</v>
        <stp/>
        <stp>BDH|5452442612461280714</stp>
        <tr r="W39" s="34"/>
      </tp>
      <tp t="e">
        <v>#N/A</v>
        <stp/>
        <stp>BDH|7351115793569398033</stp>
        <tr r="P15" s="9"/>
      </tp>
      <tp t="e">
        <v>#N/A</v>
        <stp/>
        <stp>BDH|3427718302740315252</stp>
        <tr r="R48" s="6"/>
      </tp>
      <tp t="e">
        <v>#N/A</v>
        <stp/>
        <stp>BDH|3710183654818252981</stp>
        <tr r="W27" s="17"/>
      </tp>
      <tp t="e">
        <v>#N/A</v>
        <stp/>
        <stp>BDH|7090717002247364114</stp>
        <tr r="P10" s="10"/>
      </tp>
      <tp t="e">
        <v>#N/A</v>
        <stp/>
        <stp>BDH|7133576557408186917</stp>
        <tr r="J13" s="29"/>
        <tr r="J22" s="29"/>
        <tr r="J36" s="29"/>
      </tp>
      <tp t="e">
        <v>#N/A</v>
        <stp/>
        <stp>BDH|7903950293144885567</stp>
        <tr r="U53" s="12"/>
      </tp>
      <tp t="e">
        <v>#N/A</v>
        <stp/>
        <stp>BDH|1595425314010149236</stp>
        <tr r="L54" s="21"/>
      </tp>
      <tp t="e">
        <v>#N/A</v>
        <stp/>
        <stp>BDH|4637712665675319608</stp>
        <tr r="AA11" s="21"/>
      </tp>
      <tp t="e">
        <v>#N/A</v>
        <stp/>
        <stp>BDH|4330912692421502334</stp>
        <tr r="C47" s="34"/>
      </tp>
      <tp t="e">
        <v>#N/A</v>
        <stp/>
        <stp>BDH|8674225082695309134</stp>
        <tr r="I10" s="17"/>
      </tp>
      <tp t="e">
        <v>#N/A</v>
        <stp/>
        <stp>BDH|7236215977426402262</stp>
        <tr r="C30" s="5"/>
        <tr r="C30" s="9"/>
      </tp>
      <tp t="e">
        <v>#N/A</v>
        <stp/>
        <stp>BDH|2979462750737936201</stp>
        <tr r="G45" s="12"/>
      </tp>
      <tp t="e">
        <v>#N/A</v>
        <stp/>
        <stp>BDH|1179312230612468526</stp>
        <tr r="N27" s="21"/>
      </tp>
      <tp t="e">
        <v>#N/A</v>
        <stp/>
        <stp>BDH|3243736577722377731</stp>
        <tr r="G31" s="26"/>
        <tr r="D14" s="9"/>
      </tp>
      <tp t="e">
        <v>#N/A</v>
        <stp/>
        <stp>BDH|5381799178185614622</stp>
        <tr r="O42" s="34"/>
      </tp>
      <tp t="e">
        <v>#N/A</v>
        <stp/>
        <stp>BDH|2963180507032048701</stp>
        <tr r="Z74" s="17"/>
      </tp>
      <tp t="e">
        <v>#N/A</v>
        <stp/>
        <stp>BDH|9509753657325473854</stp>
        <tr r="U99" s="18"/>
        <tr r="U8" s="20"/>
      </tp>
      <tp t="e">
        <v>#N/A</v>
        <stp/>
        <stp>BDH|2666077387635001905</stp>
        <tr r="W31" s="29"/>
      </tp>
      <tp t="e">
        <v>#N/A</v>
        <stp/>
        <stp>BDH|9754553285256378427</stp>
        <tr r="J47" s="34"/>
      </tp>
      <tp t="e">
        <v>#N/A</v>
        <stp/>
        <stp>BDH|8939985121893607609</stp>
        <tr r="Q93" s="18"/>
      </tp>
      <tp t="e">
        <v>#N/A</v>
        <stp/>
        <stp>BDH|5604952891786255567</stp>
        <tr r="C10" s="18"/>
      </tp>
      <tp t="e">
        <v>#N/A</v>
        <stp/>
        <stp>BDH|7356242662047318201</stp>
        <tr r="D27" s="21"/>
      </tp>
      <tp t="e">
        <v>#N/A</v>
        <stp/>
        <stp>BDH|6350789874328800818</stp>
        <tr r="Q8" s="28"/>
      </tp>
      <tp t="e">
        <v>#N/A</v>
        <stp/>
        <stp>BDH|9411405990031340317</stp>
        <tr r="X6" s="6"/>
      </tp>
      <tp t="e">
        <v>#N/A</v>
        <stp/>
        <stp>BDH|7265209227017600659</stp>
        <tr r="C43" s="13"/>
      </tp>
      <tp t="e">
        <v>#N/A</v>
        <stp/>
        <stp>BDH|8257885161197520785</stp>
        <tr r="M130" s="18"/>
      </tp>
      <tp t="e">
        <v>#N/A</v>
        <stp/>
        <stp>BDH|5445366983859050179</stp>
        <tr r="P80" s="18"/>
      </tp>
      <tp t="e">
        <v>#N/A</v>
        <stp/>
        <stp>BDH|8723150415149829797</stp>
        <tr r="S72" s="12"/>
      </tp>
      <tp t="e">
        <v>#N/A</v>
        <stp/>
        <stp>BDH|3536362444426684474</stp>
        <tr r="H30" s="21"/>
      </tp>
      <tp t="e">
        <v>#N/A</v>
        <stp/>
        <stp>BDH|6060300251046282057</stp>
        <tr r="M23" s="24"/>
      </tp>
      <tp t="e">
        <v>#N/A</v>
        <stp/>
        <stp>BDH|2017233784007296932</stp>
        <tr r="O13" s="8"/>
      </tp>
      <tp t="e">
        <v>#N/A</v>
        <stp/>
        <stp>BDH|9773812855774331668</stp>
        <tr r="S66" s="17"/>
        <tr r="S18" s="3"/>
      </tp>
      <tp t="e">
        <v>#N/A</v>
        <stp/>
        <stp>BDH|5228549775877292673</stp>
        <tr r="U48" s="21"/>
      </tp>
      <tp t="e">
        <v>#N/A</v>
        <stp/>
        <stp>BDH|4085139556920666656</stp>
        <tr r="S12" s="10"/>
      </tp>
      <tp t="e">
        <v>#N/A</v>
        <stp/>
        <stp>BDH|8643851034553486650</stp>
        <tr r="M15" s="12"/>
      </tp>
      <tp t="e">
        <v>#N/A</v>
        <stp/>
        <stp>BDH|4594682860695278792</stp>
        <tr r="J65" s="12"/>
      </tp>
      <tp t="e">
        <v>#N/A</v>
        <stp/>
        <stp>BDH|7255695115727941118</stp>
        <tr r="J20" s="22"/>
      </tp>
      <tp t="e">
        <v>#N/A</v>
        <stp/>
        <stp>BDH|8599123659712043882</stp>
        <tr r="E135" s="18"/>
      </tp>
      <tp t="e">
        <v>#N/A</v>
        <stp/>
        <stp>BDH|8611871155895631640</stp>
        <tr r="M48" s="22"/>
      </tp>
      <tp t="e">
        <v>#N/A</v>
        <stp/>
        <stp>BDH|3332459810356836681</stp>
        <tr r="V87" s="17"/>
      </tp>
      <tp t="e">
        <v>#N/A</v>
        <stp/>
        <stp>BDH|3531206394829531724</stp>
        <tr r="Q9" s="18"/>
      </tp>
      <tp t="e">
        <v>#N/A</v>
        <stp/>
        <stp>BDH|4609520035564097076</stp>
        <tr r="V10" s="13"/>
      </tp>
      <tp t="e">
        <v>#N/A</v>
        <stp/>
        <stp>BDH|2118692128219083963</stp>
        <tr r="K91" s="18"/>
      </tp>
      <tp t="e">
        <v>#N/A</v>
        <stp/>
        <stp>BDH|8434665355884569945</stp>
        <tr r="J46" s="22"/>
      </tp>
      <tp t="e">
        <v>#N/A</v>
        <stp/>
        <stp>BDH|7638939283028048803</stp>
        <tr r="G34" s="10"/>
        <tr r="G26" s="11"/>
      </tp>
      <tp t="e">
        <v>#N/A</v>
        <stp/>
        <stp>BDH|4170548123240978597</stp>
        <tr r="G25" s="14"/>
      </tp>
      <tp t="e">
        <v>#N/A</v>
        <stp/>
        <stp>BDH|4513379803691500022</stp>
        <tr r="M61" s="11"/>
      </tp>
      <tp t="e">
        <v>#N/A</v>
        <stp/>
        <stp>BDH|4499056957471824685</stp>
        <tr r="D46" s="24"/>
      </tp>
      <tp t="e">
        <v>#N/A</v>
        <stp/>
        <stp>BDH|4298117534861321128</stp>
        <tr r="J23" s="21"/>
      </tp>
      <tp t="e">
        <v>#N/A</v>
        <stp/>
        <stp>BDH|4710753662667687403</stp>
        <tr r="I48" s="17"/>
      </tp>
      <tp t="e">
        <v>#N/A</v>
        <stp/>
        <stp>BDH|6594920825658719331</stp>
        <tr r="W27" s="12"/>
      </tp>
      <tp t="e">
        <v>#N/A</v>
        <stp/>
        <stp>BDH|3240276014627120169</stp>
        <tr r="S8" s="2"/>
      </tp>
      <tp t="e">
        <v>#N/A</v>
        <stp/>
        <stp>BDH|3082424064971386633</stp>
        <tr r="F104" s="18"/>
      </tp>
      <tp t="e">
        <v>#N/A</v>
        <stp/>
        <stp>BDH|8923188643408206360</stp>
        <tr r="W65" s="12"/>
      </tp>
      <tp t="e">
        <v>#N/A</v>
        <stp/>
        <stp>BDH|7988239104130872309</stp>
        <tr r="J11" s="24"/>
      </tp>
      <tp t="e">
        <v>#N/A</v>
        <stp/>
        <stp>BDH|4001705645406423762</stp>
        <tr r="O8" s="27"/>
      </tp>
      <tp t="e">
        <v>#N/A</v>
        <stp/>
        <stp>BDH|1196471536810455034</stp>
        <tr r="E128" s="18"/>
      </tp>
      <tp t="e">
        <v>#N/A</v>
        <stp/>
        <stp>BDH|8322196984356841113</stp>
        <tr r="U48" s="13"/>
      </tp>
      <tp t="e">
        <v>#N/A</v>
        <stp/>
        <stp>BDH|2972848815008663599</stp>
        <tr r="G34" s="17"/>
      </tp>
      <tp t="e">
        <v>#N/A</v>
        <stp/>
        <stp>BDH|9077464733700009824</stp>
        <tr r="X86" s="18"/>
      </tp>
      <tp t="e">
        <v>#N/A</v>
        <stp/>
        <stp>BDH|6932859101548347098</stp>
        <tr r="L132" s="18"/>
      </tp>
      <tp t="e">
        <v>#N/A</v>
        <stp/>
        <stp>BDH|9484931739803131681</stp>
        <tr r="Y17" s="13"/>
      </tp>
      <tp t="e">
        <v>#N/A</v>
        <stp/>
        <stp>BDH|2544580807694598588</stp>
        <tr r="AA59" s="17"/>
      </tp>
      <tp t="e">
        <v>#N/A</v>
        <stp/>
        <stp>BDH|4659301527655435623</stp>
        <tr r="I20" s="17"/>
      </tp>
      <tp t="e">
        <v>#N/A</v>
        <stp/>
        <stp>BDH|7126266975380463414</stp>
        <tr r="L70" s="12"/>
      </tp>
      <tp t="e">
        <v>#N/A</v>
        <stp/>
        <stp>BDH|9826066489195713271</stp>
        <tr r="O22" s="27"/>
      </tp>
      <tp t="e">
        <v>#N/A</v>
        <stp/>
        <stp>BDH|3556546505318200814</stp>
        <tr r="N10" s="22"/>
      </tp>
      <tp t="e">
        <v>#N/A</v>
        <stp/>
        <stp>BDH|1339647807276629710</stp>
        <tr r="R129" s="18"/>
      </tp>
      <tp t="e">
        <v>#N/A</v>
        <stp/>
        <stp>BDH|1405613969700926722</stp>
        <tr r="R38" s="18"/>
      </tp>
      <tp t="e">
        <v>#N/A</v>
        <stp/>
        <stp>BDH|4432805981756766450</stp>
        <tr r="N22" s="7"/>
      </tp>
      <tp t="e">
        <v>#N/A</v>
        <stp/>
        <stp>BDH|6891781996858504647</stp>
        <tr r="N45" s="21"/>
      </tp>
      <tp t="e">
        <v>#N/A</v>
        <stp/>
        <stp>BDH|7616503134477528002</stp>
        <tr r="O33" s="17"/>
      </tp>
      <tp t="e">
        <v>#N/A</v>
        <stp/>
        <stp>BDH|3610027364377550429</stp>
        <tr r="V50" s="17"/>
      </tp>
      <tp t="e">
        <v>#N/A</v>
        <stp/>
        <stp>BDH|1807795673811666632</stp>
        <tr r="H28" s="34"/>
      </tp>
      <tp t="e">
        <v>#N/A</v>
        <stp/>
        <stp>BDH|3184866619069102587</stp>
        <tr r="H47" s="22"/>
      </tp>
      <tp t="e">
        <v>#N/A</v>
        <stp/>
        <stp>BDH|6865477273421298295</stp>
        <tr r="N50" s="17"/>
      </tp>
      <tp t="e">
        <v>#N/A</v>
        <stp/>
        <stp>BDH|1387186152463638081</stp>
        <tr r="U11" s="9"/>
      </tp>
      <tp t="e">
        <v>#N/A</v>
        <stp/>
        <stp>BDH|7452391523970067090</stp>
        <tr r="X42" s="18"/>
      </tp>
      <tp t="e">
        <v>#N/A</v>
        <stp/>
        <stp>BDH|8019628794910080113</stp>
        <tr r="N78" s="24"/>
      </tp>
      <tp t="e">
        <v>#N/A</v>
        <stp/>
        <stp>BDH|8887090440792231847</stp>
        <tr r="G25" s="18"/>
      </tp>
      <tp t="e">
        <v>#N/A</v>
        <stp/>
        <stp>BDH|6108059050383644654</stp>
        <tr r="K21" s="11"/>
      </tp>
      <tp t="e">
        <v>#N/A</v>
        <stp/>
        <stp>BDH|4603573327017687271</stp>
        <tr r="Q19" s="18"/>
      </tp>
      <tp t="e">
        <v>#N/A</v>
        <stp/>
        <stp>BDH|8096366629099819604</stp>
        <tr r="O9" s="13"/>
      </tp>
      <tp t="e">
        <v>#N/A</v>
        <stp/>
        <stp>BDH|3825594527003293135</stp>
        <tr r="N19" s="17"/>
      </tp>
      <tp t="e">
        <v>#N/A</v>
        <stp/>
        <stp>BDH|2214295219185488210</stp>
        <tr r="S91" s="18"/>
      </tp>
      <tp t="e">
        <v>#N/A</v>
        <stp/>
        <stp>BDH|8004419482356772431</stp>
        <tr r="P17" s="13"/>
      </tp>
      <tp t="e">
        <v>#N/A</v>
        <stp/>
        <stp>BDH|7883160658923847699</stp>
        <tr r="Y6" s="27"/>
      </tp>
      <tp t="e">
        <v>#N/A</v>
        <stp/>
        <stp>BDH|3867723405963156196</stp>
        <tr r="D8" s="26"/>
      </tp>
      <tp t="e">
        <v>#N/A</v>
        <stp/>
        <stp>BDH|2010768123484640546</stp>
        <tr r="N10" s="12"/>
      </tp>
      <tp t="e">
        <v>#N/A</v>
        <stp/>
        <stp>BDH|9474945201441688701</stp>
        <tr r="X15" s="30"/>
      </tp>
      <tp t="e">
        <v>#N/A</v>
        <stp/>
        <stp>BDH|2835064919826105310</stp>
        <tr r="Z58" s="13"/>
      </tp>
      <tp t="e">
        <v>#N/A</v>
        <stp/>
        <stp>BDH|4144426872930625107</stp>
        <tr r="X14" s="8"/>
      </tp>
      <tp t="e">
        <v>#N/A</v>
        <stp/>
        <stp>BDH|6109467521315078322</stp>
        <tr r="E38" s="26"/>
      </tp>
      <tp t="e">
        <v>#N/A</v>
        <stp/>
        <stp>BDH|7992519816226340397</stp>
        <tr r="G8" s="23"/>
      </tp>
      <tp t="e">
        <v>#N/A</v>
        <stp/>
        <stp>BDH|5560868265518299503</stp>
        <tr r="E17" s="4"/>
        <tr r="G10" s="3"/>
        <tr r="E56" s="10"/>
        <tr r="E48" s="11"/>
        <tr r="E17" s="7"/>
        <tr r="G54" s="13"/>
      </tp>
      <tp t="e">
        <v>#N/A</v>
        <stp/>
        <stp>BDH|9730771771188015753</stp>
        <tr r="P35" s="12"/>
      </tp>
      <tp t="e">
        <v>#N/A</v>
        <stp/>
        <stp>BDH|3832428675697981125</stp>
        <tr r="T19" s="20"/>
      </tp>
      <tp t="e">
        <v>#N/A</v>
        <stp/>
        <stp>BDH|5840299614199187904</stp>
        <tr r="H64" s="17"/>
      </tp>
      <tp t="e">
        <v>#N/A</v>
        <stp/>
        <stp>BDH|4350466476047635613</stp>
        <tr r="Z28" s="25"/>
        <tr r="Z14" s="27"/>
      </tp>
      <tp t="e">
        <v>#N/A</v>
        <stp/>
        <stp>BDH|1227863813716178822</stp>
        <tr r="M24" s="24"/>
      </tp>
      <tp t="e">
        <v>#N/A</v>
        <stp/>
        <stp>BDH|5634408646535787635</stp>
        <tr r="L8" s="14"/>
      </tp>
      <tp t="e">
        <v>#N/A</v>
        <stp/>
        <stp>BDH|8812212026439871733</stp>
        <tr r="O57" s="17"/>
      </tp>
      <tp t="e">
        <v>#N/A</v>
        <stp/>
        <stp>BDH|5445056416217531560</stp>
        <tr r="L19" s="30"/>
      </tp>
      <tp t="e">
        <v>#N/A</v>
        <stp/>
        <stp>BDH|3423010940274708562</stp>
        <tr r="J20" s="17"/>
      </tp>
      <tp t="e">
        <v>#N/A</v>
        <stp/>
        <stp>BDH|2567190938664308232</stp>
        <tr r="G8" s="10"/>
      </tp>
      <tp t="e">
        <v>#N/A</v>
        <stp/>
        <stp>BDH|1006877415706576832</stp>
        <tr r="G34" s="9"/>
      </tp>
      <tp t="e">
        <v>#N/A</v>
        <stp/>
        <stp>BDH|6253221176896388311</stp>
        <tr r="K93" s="17"/>
      </tp>
      <tp t="e">
        <v>#N/A</v>
        <stp/>
        <stp>BDH|1735845686346359125</stp>
        <tr r="V42" s="10"/>
        <tr r="V34" s="11"/>
      </tp>
      <tp t="e">
        <v>#N/A</v>
        <stp/>
        <stp>BDH|1851097325993363638</stp>
        <tr r="R79" s="18"/>
      </tp>
      <tp t="e">
        <v>#N/A</v>
        <stp/>
        <stp>BDH|2555025834533347444</stp>
        <tr r="K30" s="21"/>
      </tp>
      <tp t="e">
        <v>#N/A</v>
        <stp/>
        <stp>BDH|5817310897458373197</stp>
        <tr r="P21" s="10"/>
      </tp>
      <tp t="e">
        <v>#N/A</v>
        <stp/>
        <stp>BDH|6605521527681741606</stp>
        <tr r="S26" s="24"/>
      </tp>
      <tp t="e">
        <v>#N/A</v>
        <stp/>
        <stp>BDH|7116063412617699778</stp>
        <tr r="N26" s="34"/>
      </tp>
      <tp t="e">
        <v>#N/A</v>
        <stp/>
        <stp>BDH|2882354678592886294</stp>
        <tr r="I30" s="17"/>
      </tp>
      <tp t="e">
        <v>#N/A</v>
        <stp/>
        <stp>BDH|2203668116514417728</stp>
        <tr r="Y51" s="18"/>
      </tp>
      <tp t="e">
        <v>#N/A</v>
        <stp/>
        <stp>BDH|4021292026147205595</stp>
        <tr r="X53" s="17"/>
      </tp>
      <tp t="e">
        <v>#N/A</v>
        <stp/>
        <stp>BDH|3204774029789173990</stp>
        <tr r="Q49" s="22"/>
      </tp>
      <tp t="e">
        <v>#N/A</v>
        <stp/>
        <stp>BDH|2730564049722428786</stp>
        <tr r="H8" s="6"/>
      </tp>
      <tp t="e">
        <v>#N/A</v>
        <stp/>
        <stp>BDH|5660690689145329812</stp>
        <tr r="U43" s="18"/>
      </tp>
      <tp t="e">
        <v>#N/A</v>
        <stp/>
        <stp>BDH|8582605576986267954</stp>
        <tr r="P26" s="26"/>
      </tp>
      <tp t="e">
        <v>#N/A</v>
        <stp/>
        <stp>BDH|8933296497124441179</stp>
        <tr r="M48" s="18"/>
      </tp>
      <tp t="e">
        <v>#N/A</v>
        <stp/>
        <stp>BDH|9935833719673791506</stp>
        <tr r="X20" s="18"/>
      </tp>
      <tp t="e">
        <v>#N/A</v>
        <stp/>
        <stp>BDH|2008353885957430800</stp>
        <tr r="H8" s="26"/>
        <tr r="E10" s="9"/>
      </tp>
      <tp t="e">
        <v>#N/A</v>
        <stp/>
        <stp>BDH|9453626819731349989</stp>
        <tr r="AA93" s="17"/>
      </tp>
      <tp t="e">
        <v>#N/A</v>
        <stp/>
        <stp>BDH|5291429855233687173</stp>
        <tr r="D15" s="26"/>
      </tp>
      <tp t="e">
        <v>#N/A</v>
        <stp/>
        <stp>BDH|3162730740521529738</stp>
        <tr r="N9" s="10"/>
      </tp>
      <tp t="e">
        <v>#N/A</v>
        <stp/>
        <stp>BDH|1121349930872789563</stp>
        <tr r="F31" s="21"/>
      </tp>
      <tp t="e">
        <v>#N/A</v>
        <stp/>
        <stp>BDH|7990388204953661176</stp>
        <tr r="L31" s="22"/>
      </tp>
      <tp t="e">
        <v>#N/A</v>
        <stp/>
        <stp>BDH|4021333316293098312</stp>
        <tr r="G10" s="28"/>
      </tp>
      <tp t="e">
        <v>#N/A</v>
        <stp/>
        <stp>BDH|1494518429256111699</stp>
        <tr r="H16" s="25"/>
      </tp>
      <tp t="e">
        <v>#N/A</v>
        <stp/>
        <stp>BDH|7676979987239049923</stp>
        <tr r="Y22" s="4"/>
      </tp>
      <tp t="e">
        <v>#N/A</v>
        <stp/>
        <stp>BDH|5361376503769484975</stp>
        <tr r="U89" s="12"/>
      </tp>
      <tp t="e">
        <v>#N/A</v>
        <stp/>
        <stp>BDH|7813573407046985257</stp>
        <tr r="S25" s="22"/>
      </tp>
      <tp t="e">
        <v>#N/A</v>
        <stp/>
        <stp>BDH|4470565712975652323</stp>
        <tr r="V6" s="6"/>
      </tp>
      <tp t="e">
        <v>#N/A</v>
        <stp/>
        <stp>BDH|6815745518556386034</stp>
        <tr r="W31" s="34"/>
      </tp>
      <tp t="e">
        <v>#N/A</v>
        <stp/>
        <stp>BDH|7241800053915664937</stp>
        <tr r="R14" s="21"/>
      </tp>
      <tp t="e">
        <v>#N/A</v>
        <stp/>
        <stp>BDH|8460382268073690861</stp>
        <tr r="K42" s="34"/>
      </tp>
      <tp t="e">
        <v>#N/A</v>
        <stp/>
        <stp>BDH|7922196477820265716</stp>
        <tr r="X15" s="11"/>
      </tp>
      <tp t="e">
        <v>#N/A</v>
        <stp/>
        <stp>BDH|7706779767087455770</stp>
        <tr r="F132" s="18"/>
      </tp>
      <tp t="e">
        <v>#N/A</v>
        <stp/>
        <stp>BDH|6396926364298462757</stp>
        <tr r="W29" s="21"/>
      </tp>
      <tp t="e">
        <v>#N/A</v>
        <stp/>
        <stp>BDH|4980137756983187592</stp>
        <tr r="I8" s="8"/>
      </tp>
      <tp t="e">
        <v>#N/A</v>
        <stp/>
        <stp>BDH|8142936811095152368</stp>
        <tr r="D63" s="21"/>
      </tp>
      <tp t="e">
        <v>#N/A</v>
        <stp/>
        <stp>BDH|1262444823397577648</stp>
        <tr r="T43" s="29"/>
      </tp>
      <tp t="e">
        <v>#N/A</v>
        <stp/>
        <stp>BDH|1861788402585078562</stp>
        <tr r="C80" s="24"/>
      </tp>
      <tp t="e">
        <v>#N/A</v>
        <stp/>
        <stp>BDH|8370998155155211791</stp>
        <tr r="V42" s="17"/>
      </tp>
      <tp t="e">
        <v>#N/A</v>
        <stp/>
        <stp>BDH|2556684052814301387</stp>
        <tr r="J25" s="21"/>
      </tp>
      <tp t="e">
        <v>#N/A</v>
        <stp/>
        <stp>BDH|3285308246861562350</stp>
        <tr r="D54" s="18"/>
      </tp>
      <tp t="e">
        <v>#N/A</v>
        <stp/>
        <stp>BDH|5619112564056656218</stp>
        <tr r="G9" s="2"/>
        <tr r="I8" s="25"/>
        <tr r="F10" s="5"/>
      </tp>
      <tp t="e">
        <v>#N/A</v>
        <stp/>
        <stp>BDH|8331764898867800711</stp>
        <tr r="I9" s="28"/>
      </tp>
      <tp t="e">
        <v>#N/A</v>
        <stp/>
        <stp>BDH|5715411123766370331</stp>
        <tr r="T39" s="10"/>
        <tr r="T31" s="11"/>
      </tp>
      <tp t="e">
        <v>#N/A</v>
        <stp/>
        <stp>BDH|5338251717281064147</stp>
        <tr r="K19" s="10"/>
      </tp>
      <tp t="e">
        <v>#N/A</v>
        <stp/>
        <stp>BDH|9168439094527481573</stp>
        <tr r="F34" s="21"/>
      </tp>
      <tp t="e">
        <v>#N/A</v>
        <stp/>
        <stp>BDH|7306865439372074891</stp>
        <tr r="C36" s="10"/>
        <tr r="C48" s="10"/>
        <tr r="C28" s="11"/>
        <tr r="C40" s="11"/>
      </tp>
      <tp t="e">
        <v>#N/A</v>
        <stp/>
        <stp>BDH|8849985613562707414</stp>
        <tr r="V29" s="17"/>
      </tp>
      <tp t="e">
        <v>#N/A</v>
        <stp/>
        <stp>BDH|6093101154331299532</stp>
        <tr r="J16" s="25"/>
      </tp>
      <tp t="e">
        <v>#N/A</v>
        <stp/>
        <stp>BDH|5151565966477125756</stp>
        <tr r="K62" s="12"/>
      </tp>
      <tp t="e">
        <v>#N/A</v>
        <stp/>
        <stp>BDH|9212394176189978210</stp>
        <tr r="M30" s="10"/>
        <tr r="O36" s="13"/>
      </tp>
      <tp t="e">
        <v>#N/A</v>
        <stp/>
        <stp>BDH|3977376829567040323</stp>
        <tr r="M52" s="12"/>
      </tp>
      <tp t="e">
        <v>#N/A</v>
        <stp/>
        <stp>BDH|1788642341376559329</stp>
        <tr r="V18" s="9"/>
      </tp>
      <tp t="e">
        <v>#N/A</v>
        <stp/>
        <stp>BDH|7774079315465984596</stp>
        <tr r="AA42" s="22"/>
      </tp>
      <tp t="e">
        <v>#N/A</v>
        <stp/>
        <stp>BDH|3526491074311973741</stp>
        <tr r="Q10" s="24"/>
      </tp>
      <tp t="e">
        <v>#N/A</v>
        <stp/>
        <stp>BDH|2322578635045055749</stp>
        <tr r="Q20" s="26"/>
      </tp>
      <tp t="e">
        <v>#N/A</v>
        <stp/>
        <stp>BDH|9849939342862567095</stp>
        <tr r="Q18" s="9"/>
      </tp>
      <tp t="e">
        <v>#N/A</v>
        <stp/>
        <stp>BDH|1826296672760592233</stp>
        <tr r="J63" s="18"/>
      </tp>
      <tp t="e">
        <v>#N/A</v>
        <stp/>
        <stp>BDH|4936030910284681790</stp>
        <tr r="S23" s="30"/>
        <tr r="S25" s="23"/>
      </tp>
      <tp t="e">
        <v>#N/A</v>
        <stp/>
        <stp>BDH|1999772054670737587</stp>
        <tr r="L14" s="17"/>
        <tr r="L17" s="28"/>
      </tp>
      <tp t="e">
        <v>#N/A</v>
        <stp/>
        <stp>BDH|2501183847897654696</stp>
        <tr r="T20" s="20"/>
      </tp>
      <tp t="e">
        <v>#N/A</v>
        <stp/>
        <stp>BDH|9804734762386877848</stp>
        <tr r="X27" s="10"/>
        <tr r="Z33" s="13"/>
      </tp>
      <tp t="e">
        <v>#N/A</v>
        <stp/>
        <stp>BDH|8273192712367990954</stp>
        <tr r="P7" s="2"/>
        <tr r="O7" s="5"/>
        <tr r="O7" s="9"/>
        <tr r="R14" s="3"/>
      </tp>
      <tp t="e">
        <v>#N/A</v>
        <stp/>
        <stp>BDH|8127941265917060656</stp>
        <tr r="M36" s="21"/>
      </tp>
      <tp t="e">
        <v>#N/A</v>
        <stp/>
        <stp>BDH|4501954699661896341</stp>
        <tr r="T9" s="30"/>
      </tp>
      <tp t="e">
        <v>#N/A</v>
        <stp/>
        <stp>BDH|8572668863689022756</stp>
        <tr r="T57" s="18"/>
      </tp>
      <tp t="e">
        <v>#N/A</v>
        <stp/>
        <stp>BDH|9181546770748543550</stp>
        <tr r="E26" s="34"/>
      </tp>
      <tp t="e">
        <v>#N/A</v>
        <stp/>
        <stp>BDH|2408291597236790987</stp>
        <tr r="T13" s="2"/>
      </tp>
      <tp t="e">
        <v>#N/A</v>
        <stp/>
        <stp>BDH|9554948977237607652</stp>
        <tr r="V102" s="18"/>
      </tp>
      <tp t="e">
        <v>#N/A</v>
        <stp/>
        <stp>BDH|6343261951656679178</stp>
        <tr r="C15" s="26"/>
      </tp>
      <tp t="e">
        <v>#N/A</v>
        <stp/>
        <stp>BDH|3511049341710484118</stp>
        <tr r="E59" s="13"/>
      </tp>
      <tp t="e">
        <v>#N/A</v>
        <stp/>
        <stp>BDH|4476470928486688284</stp>
        <tr r="D16" s="14"/>
      </tp>
      <tp t="e">
        <v>#N/A</v>
        <stp/>
        <stp>BDH|2274119972785012746</stp>
        <tr r="R10" s="34"/>
      </tp>
      <tp t="e">
        <v>#N/A</v>
        <stp/>
        <stp>BDH|3444072921220798703</stp>
        <tr r="J49" s="22"/>
      </tp>
      <tp t="e">
        <v>#N/A</v>
        <stp/>
        <stp>BDH|3235431014406315639</stp>
        <tr r="W11" s="28"/>
      </tp>
      <tp t="e">
        <v>#N/A</v>
        <stp/>
        <stp>BDH|6637507269531867229</stp>
        <tr r="O84" s="17"/>
      </tp>
      <tp t="e">
        <v>#N/A</v>
        <stp/>
        <stp>BDH|18154682411957398</stp>
        <tr r="N27" s="18"/>
      </tp>
      <tp t="e">
        <v>#N/A</v>
        <stp/>
        <stp>BDH|98003683213034045</stp>
        <tr r="O52" s="21"/>
      </tp>
      <tp t="e">
        <v>#N/A</v>
        <stp/>
        <stp>BDH|88028250538204653</stp>
        <tr r="X69" s="10"/>
      </tp>
      <tp t="e">
        <v>#N/A</v>
        <stp/>
        <stp>BDH|27352692853381275</stp>
        <tr r="Z140" s="18"/>
      </tp>
      <tp t="e">
        <v>#N/A</v>
        <stp/>
        <stp>BDH|55032300253365814</stp>
        <tr r="G23" s="24"/>
      </tp>
      <tp t="e">
        <v>#N/A</v>
        <stp/>
        <stp>BDH|39828891883064991</stp>
        <tr r="M38" s="25"/>
      </tp>
      <tp t="e">
        <v>#N/A</v>
        <stp/>
        <stp>BDH|33890963554239138</stp>
        <tr r="S40" s="18"/>
      </tp>
      <tp t="e">
        <v>#N/A</v>
        <stp/>
        <stp>BDH|5357096651866733169</stp>
        <tr r="Q16" s="25"/>
      </tp>
      <tp t="e">
        <v>#N/A</v>
        <stp/>
        <stp>BDH|2995746847837410147</stp>
        <tr r="V12" s="7"/>
      </tp>
      <tp t="e">
        <v>#N/A</v>
        <stp/>
        <stp>BDH|9276495740037950987</stp>
        <tr r="H51" s="24"/>
      </tp>
      <tp t="e">
        <v>#N/A</v>
        <stp/>
        <stp>BDH|2094653659104082260</stp>
        <tr r="G54" s="17"/>
      </tp>
      <tp t="e">
        <v>#N/A</v>
        <stp/>
        <stp>BDH|9952291881275239197</stp>
        <tr r="AA15" s="12"/>
      </tp>
      <tp t="e">
        <v>#N/A</v>
        <stp/>
        <stp>BDH|2902852153169313160</stp>
        <tr r="L90" s="12"/>
      </tp>
      <tp t="e">
        <v>#N/A</v>
        <stp/>
        <stp>BDH|1988502247952348575</stp>
        <tr r="I66" s="24"/>
      </tp>
      <tp t="e">
        <v>#N/A</v>
        <stp/>
        <stp>BDH|1683081098759895645</stp>
        <tr r="AA42" s="17"/>
      </tp>
      <tp t="e">
        <v>#N/A</v>
        <stp/>
        <stp>BDH|6084249960106739396</stp>
        <tr r="X9" s="2"/>
        <tr r="Z8" s="25"/>
        <tr r="W10" s="5"/>
      </tp>
      <tp t="e">
        <v>#N/A</v>
        <stp/>
        <stp>BDH|4812646245916330708</stp>
        <tr r="J54" s="12"/>
      </tp>
      <tp t="e">
        <v>#N/A</v>
        <stp/>
        <stp>BDH|8566042203268861704</stp>
        <tr r="O30" s="12"/>
      </tp>
      <tp t="e">
        <v>#N/A</v>
        <stp/>
        <stp>BDH|1500273916120902576</stp>
        <tr r="R7" s="21"/>
      </tp>
      <tp t="e">
        <v>#N/A</v>
        <stp/>
        <stp>BDH|1861792477146957057</stp>
        <tr r="D112" s="18"/>
      </tp>
      <tp t="e">
        <v>#N/A</v>
        <stp/>
        <stp>BDH|5319918838401487942</stp>
        <tr r="Q11" s="28"/>
      </tp>
      <tp t="e">
        <v>#N/A</v>
        <stp/>
        <stp>BDH|4795969647766929852</stp>
        <tr r="Q24" s="18"/>
      </tp>
      <tp t="e">
        <v>#N/A</v>
        <stp/>
        <stp>BDH|4362789402996227213</stp>
        <tr r="G22" s="14"/>
      </tp>
      <tp t="e">
        <v>#N/A</v>
        <stp/>
        <stp>BDH|2939480728745466674</stp>
        <tr r="N122" s="18"/>
      </tp>
      <tp t="e">
        <v>#N/A</v>
        <stp/>
        <stp>BDH|3706953839559441754</stp>
        <tr r="G21" s="10"/>
      </tp>
      <tp t="e">
        <v>#N/A</v>
        <stp/>
        <stp>BDH|6859438621666509152</stp>
        <tr r="P44" s="22"/>
      </tp>
      <tp t="e">
        <v>#N/A</v>
        <stp/>
        <stp>BDH|4938409572036226631</stp>
        <tr r="Y41" s="24"/>
      </tp>
      <tp t="e">
        <v>#N/A</v>
        <stp/>
        <stp>BDH|2582433451805889153</stp>
        <tr r="R21" s="3"/>
      </tp>
      <tp t="e">
        <v>#N/A</v>
        <stp/>
        <stp>BDH|5011795735584639208</stp>
        <tr r="O26" s="24"/>
      </tp>
      <tp t="e">
        <v>#N/A</v>
        <stp/>
        <stp>BDH|4421311261127981170</stp>
        <tr r="N42" s="17"/>
      </tp>
      <tp t="e">
        <v>#N/A</v>
        <stp/>
        <stp>BDH|5677192762363254659</stp>
        <tr r="D43" s="17"/>
      </tp>
      <tp t="e">
        <v>#N/A</v>
        <stp/>
        <stp>BDH|1101351179882627011</stp>
        <tr r="M8" s="28"/>
      </tp>
      <tp t="e">
        <v>#N/A</v>
        <stp/>
        <stp>BDH|1908526467135257048</stp>
        <tr r="G25" s="4"/>
        <tr r="G65" s="10"/>
      </tp>
      <tp t="e">
        <v>#N/A</v>
        <stp/>
        <stp>BDH|7447688592117029845</stp>
        <tr r="S30" s="21"/>
      </tp>
      <tp t="e">
        <v>#N/A</v>
        <stp/>
        <stp>BDH|4849911255787579838</stp>
        <tr r="AA137" s="18"/>
      </tp>
      <tp t="e">
        <v>#N/A</v>
        <stp/>
        <stp>BDH|2668639751095815362</stp>
        <tr r="K48" s="17"/>
      </tp>
      <tp t="e">
        <v>#N/A</v>
        <stp/>
        <stp>BDH|7667317049433789431</stp>
        <tr r="L65" s="24"/>
      </tp>
      <tp t="e">
        <v>#N/A</v>
        <stp/>
        <stp>BDH|8387859868168070948</stp>
        <tr r="C22" s="4"/>
      </tp>
      <tp t="e">
        <v>#N/A</v>
        <stp/>
        <stp>BDH|8547287910498711408</stp>
        <tr r="R6" s="2"/>
        <tr r="Q6" s="5"/>
        <tr r="Q6" s="9"/>
        <tr r="S12" s="8"/>
        <tr r="R10" s="29"/>
        <tr r="R19" s="29"/>
        <tr r="R25" s="29"/>
      </tp>
      <tp t="e">
        <v>#N/A</v>
        <stp/>
        <stp>BDH|8850756910818758100</stp>
        <tr r="E53" s="18"/>
      </tp>
      <tp t="e">
        <v>#N/A</v>
        <stp/>
        <stp>BDH|8884028133228432460</stp>
        <tr r="E10" s="17"/>
      </tp>
      <tp t="e">
        <v>#N/A</v>
        <stp/>
        <stp>BDH|9841767778668971643</stp>
        <tr r="J9" s="11"/>
      </tp>
      <tp t="e">
        <v>#N/A</v>
        <stp/>
        <stp>BDH|4549656861414323795</stp>
        <tr r="E46" s="17"/>
      </tp>
      <tp t="e">
        <v>#N/A</v>
        <stp/>
        <stp>BDH|7852064965646204026</stp>
        <tr r="H42" s="21"/>
      </tp>
      <tp t="e">
        <v>#N/A</v>
        <stp/>
        <stp>BDH|2173330086819977768</stp>
        <tr r="X18" s="6"/>
      </tp>
      <tp t="e">
        <v>#N/A</v>
        <stp/>
        <stp>BDH|1643167079007265705</stp>
        <tr r="N11" s="7"/>
      </tp>
      <tp t="e">
        <v>#N/A</v>
        <stp/>
        <stp>BDH|6598704646447888501</stp>
        <tr r="T31" s="5"/>
      </tp>
      <tp t="e">
        <v>#N/A</v>
        <stp/>
        <stp>BDH|1662137245005978626</stp>
        <tr r="C46" s="17"/>
      </tp>
      <tp t="e">
        <v>#N/A</v>
        <stp/>
        <stp>BDH|6489896991742420238</stp>
        <tr r="O19" s="11"/>
      </tp>
      <tp t="e">
        <v>#N/A</v>
        <stp/>
        <stp>BDH|4853211232402161015</stp>
        <tr r="M50" s="24"/>
      </tp>
      <tp t="e">
        <v>#N/A</v>
        <stp/>
        <stp>BDH|7500221985272891818</stp>
        <tr r="T43" s="18"/>
      </tp>
      <tp t="e">
        <v>#N/A</v>
        <stp/>
        <stp>BDH|1288690998290169999</stp>
        <tr r="T12" s="7"/>
      </tp>
      <tp t="e">
        <v>#N/A</v>
        <stp/>
        <stp>BDH|4811073611575571705</stp>
        <tr r="E50" s="4"/>
      </tp>
      <tp t="e">
        <v>#N/A</v>
        <stp/>
        <stp>BDH|2399148868315167750</stp>
        <tr r="R16" s="11"/>
      </tp>
      <tp t="e">
        <v>#N/A</v>
        <stp/>
        <stp>BDH|5483466624645943148</stp>
        <tr r="F34" s="12"/>
      </tp>
      <tp t="e">
        <v>#N/A</v>
        <stp/>
        <stp>BDH|4820622141572689369</stp>
        <tr r="S89" s="17"/>
        <tr r="S34" s="25"/>
      </tp>
      <tp t="e">
        <v>#N/A</v>
        <stp/>
        <stp>BDH|3343547331264461690</stp>
        <tr r="T24" s="12"/>
      </tp>
      <tp t="e">
        <v>#N/A</v>
        <stp/>
        <stp>BDH|7570183398241643984</stp>
        <tr r="I8" s="34"/>
      </tp>
      <tp t="e">
        <v>#N/A</v>
        <stp/>
        <stp>BDH|3260396953581514362</stp>
        <tr r="P17" s="24"/>
      </tp>
      <tp t="e">
        <v>#N/A</v>
        <stp/>
        <stp>BDH|4230035937280924040</stp>
        <tr r="Q25" s="5"/>
      </tp>
      <tp t="e">
        <v>#N/A</v>
        <stp/>
        <stp>BDH|1842261252587523624</stp>
        <tr r="D34" s="6"/>
      </tp>
      <tp t="e">
        <v>#N/A</v>
        <stp/>
        <stp>BDH|2996030639821819706</stp>
        <tr r="L21" s="10"/>
      </tp>
      <tp t="e">
        <v>#N/A</v>
        <stp/>
        <stp>BDH|7209671175346239799</stp>
        <tr r="C20" s="22"/>
      </tp>
      <tp t="e">
        <v>#N/A</v>
        <stp/>
        <stp>BDH|9888767897014413466</stp>
        <tr r="Q36" s="22"/>
      </tp>
      <tp t="e">
        <v>#N/A</v>
        <stp/>
        <stp>BDH|2013545442126996244</stp>
        <tr r="E16" s="26"/>
      </tp>
      <tp t="e">
        <v>#N/A</v>
        <stp/>
        <stp>BDH|7995490138690061732</stp>
        <tr r="O38" s="17"/>
      </tp>
      <tp t="e">
        <v>#N/A</v>
        <stp/>
        <stp>BDH|2841259741002128164</stp>
        <tr r="X85" s="18"/>
      </tp>
      <tp t="e">
        <v>#N/A</v>
        <stp/>
        <stp>BDH|7618596220015693225</stp>
        <tr r="N20" s="20"/>
      </tp>
      <tp t="e">
        <v>#N/A</v>
        <stp/>
        <stp>BDH|3724811214818960507</stp>
        <tr r="X79" s="12"/>
      </tp>
      <tp t="e">
        <v>#N/A</v>
        <stp/>
        <stp>BDH|2378770133966517795</stp>
        <tr r="W6" s="2"/>
        <tr r="V6" s="5"/>
        <tr r="V6" s="9"/>
        <tr r="X12" s="8"/>
        <tr r="W10" s="29"/>
        <tr r="W19" s="29"/>
        <tr r="W25" s="29"/>
      </tp>
      <tp t="e">
        <v>#N/A</v>
        <stp/>
        <stp>BDH|4732994995820102315</stp>
        <tr r="N63" s="13"/>
      </tp>
      <tp t="e">
        <v>#N/A</v>
        <stp/>
        <stp>BDH|7658396704523532058</stp>
        <tr r="M8" s="26"/>
        <tr r="J10" s="9"/>
      </tp>
      <tp t="e">
        <v>#N/A</v>
        <stp/>
        <stp>BDH|3032657196713176898</stp>
        <tr r="X34" s="34"/>
      </tp>
      <tp t="e">
        <v>#N/A</v>
        <stp/>
        <stp>BDH|8868015984122077569</stp>
        <tr r="U127" s="18"/>
      </tp>
      <tp t="e">
        <v>#N/A</v>
        <stp/>
        <stp>BDH|4588188211376798506</stp>
        <tr r="N82" s="12"/>
      </tp>
      <tp t="e">
        <v>#N/A</v>
        <stp/>
        <stp>BDH|3857345190916745801</stp>
        <tr r="Q14" s="21"/>
      </tp>
      <tp t="e">
        <v>#N/A</v>
        <stp/>
        <stp>BDH|2767848289170406550</stp>
        <tr r="Y19" s="22"/>
      </tp>
      <tp t="e">
        <v>#N/A</v>
        <stp/>
        <stp>BDH|2467726418850464311</stp>
        <tr r="T26" s="24"/>
      </tp>
      <tp t="e">
        <v>#N/A</v>
        <stp/>
        <stp>BDH|8024425294361992342</stp>
        <tr r="W101" s="18"/>
      </tp>
      <tp t="e">
        <v>#N/A</v>
        <stp/>
        <stp>BDH|6055287947977436007</stp>
        <tr r="C59" s="24"/>
      </tp>
      <tp t="e">
        <v>#N/A</v>
        <stp/>
        <stp>BDH|6467183111394217548</stp>
        <tr r="F51" s="12"/>
      </tp>
      <tp t="e">
        <v>#N/A</v>
        <stp/>
        <stp>BDH|3804719588773397899</stp>
        <tr r="Q8" s="12"/>
      </tp>
      <tp t="e">
        <v>#N/A</v>
        <stp/>
        <stp>BDH|2484821068989080256</stp>
        <tr r="Q35" s="14"/>
      </tp>
      <tp t="e">
        <v>#N/A</v>
        <stp/>
        <stp>BDH|4045455390498680683</stp>
        <tr r="V8" s="12"/>
      </tp>
      <tp t="e">
        <v>#N/A</v>
        <stp/>
        <stp>BDH|4257333770791962639</stp>
        <tr r="Q13" s="9"/>
      </tp>
      <tp t="e">
        <v>#N/A</v>
        <stp/>
        <stp>BDH|3543039470023652089</stp>
        <tr r="U30" s="5"/>
        <tr r="U30" s="9"/>
      </tp>
      <tp t="e">
        <v>#N/A</v>
        <stp/>
        <stp>BDH|5936463934423673652</stp>
        <tr r="P67" s="12"/>
      </tp>
      <tp t="e">
        <v>#N/A</v>
        <stp/>
        <stp>BDH|7078853155835980815</stp>
        <tr r="V79" s="18"/>
      </tp>
      <tp t="e">
        <v>#N/A</v>
        <stp/>
        <stp>BDH|3726428932886860574</stp>
        <tr r="Q10" s="26"/>
      </tp>
      <tp t="e">
        <v>#N/A</v>
        <stp/>
        <stp>BDH|7837007232252700156</stp>
        <tr r="R31" s="17"/>
      </tp>
      <tp t="e">
        <v>#N/A</v>
        <stp/>
        <stp>BDH|2326440033210585298</stp>
        <tr r="U25" s="25"/>
        <tr r="U10" s="27"/>
      </tp>
      <tp t="e">
        <v>#N/A</v>
        <stp/>
        <stp>BDH|7311539512621279589</stp>
        <tr r="Y110" s="18"/>
      </tp>
      <tp t="e">
        <v>#N/A</v>
        <stp/>
        <stp>BDH|4407290715734339434</stp>
        <tr r="S19" s="10"/>
      </tp>
      <tp t="e">
        <v>#N/A</v>
        <stp/>
        <stp>BDH|6201592137061520613</stp>
        <tr r="U63" s="18"/>
      </tp>
      <tp t="e">
        <v>#N/A</v>
        <stp/>
        <stp>BDH|1964032711463532460</stp>
        <tr r="G9" s="18"/>
      </tp>
      <tp t="e">
        <v>#N/A</v>
        <stp/>
        <stp>BDH|1014906722038353591</stp>
        <tr r="R14" s="28"/>
      </tp>
      <tp t="e">
        <v>#N/A</v>
        <stp/>
        <stp>BDH|5938452333314329143</stp>
        <tr r="C13" s="10"/>
      </tp>
      <tp t="e">
        <v>#N/A</v>
        <stp/>
        <stp>BDH|8034263698276159274</stp>
        <tr r="M15" s="24"/>
      </tp>
      <tp t="e">
        <v>#N/A</v>
        <stp/>
        <stp>BDH|4922263635243361117</stp>
        <tr r="H8" s="22"/>
      </tp>
      <tp t="e">
        <v>#N/A</v>
        <stp/>
        <stp>BDH|8243922845024510685</stp>
        <tr r="Z28" s="21"/>
      </tp>
      <tp t="e">
        <v>#N/A</v>
        <stp/>
        <stp>BDH|4443943494056576595</stp>
        <tr r="Z18" s="13"/>
      </tp>
      <tp t="e">
        <v>#N/A</v>
        <stp/>
        <stp>BDH|9088189655893442918</stp>
        <tr r="K37" s="34"/>
      </tp>
      <tp t="e">
        <v>#N/A</v>
        <stp/>
        <stp>BDH|4792088837369904997</stp>
        <tr r="O18" s="23"/>
      </tp>
      <tp t="e">
        <v>#N/A</v>
        <stp/>
        <stp>BDH|6763956226318849242</stp>
        <tr r="N22" s="12"/>
      </tp>
      <tp t="e">
        <v>#N/A</v>
        <stp/>
        <stp>BDH|3867510044114433110</stp>
        <tr r="Q30" s="10"/>
        <tr r="S36" s="13"/>
      </tp>
      <tp t="e">
        <v>#N/A</v>
        <stp/>
        <stp>BDH|2639341719714496378</stp>
        <tr r="I75" s="12"/>
      </tp>
      <tp t="e">
        <v>#N/A</v>
        <stp/>
        <stp>BDH|7079760047457026495</stp>
        <tr r="AA109" s="18"/>
      </tp>
      <tp t="e">
        <v>#N/A</v>
        <stp/>
        <stp>BDH|3255771373534663080</stp>
        <tr r="D82" s="12"/>
      </tp>
      <tp t="e">
        <v>#N/A</v>
        <stp/>
        <stp>BDH|5382263318465380461</stp>
        <tr r="L71" s="17"/>
      </tp>
      <tp t="e">
        <v>#N/A</v>
        <stp/>
        <stp>BDH|1529684460472203474</stp>
        <tr r="R73" s="18"/>
      </tp>
      <tp t="e">
        <v>#N/A</v>
        <stp/>
        <stp>BDH|6035305568967233325</stp>
        <tr r="X129" s="18"/>
      </tp>
      <tp t="e">
        <v>#N/A</v>
        <stp/>
        <stp>BDH|7873005805847038750</stp>
        <tr r="D6" s="8"/>
      </tp>
      <tp t="e">
        <v>#N/A</v>
        <stp/>
        <stp>BDH|4546212979630301669</stp>
        <tr r="D25" s="2"/>
        <tr r="F60" s="21"/>
      </tp>
      <tp t="e">
        <v>#N/A</v>
        <stp/>
        <stp>BDH|5151476387737886914</stp>
        <tr r="H43" s="13"/>
      </tp>
      <tp t="e">
        <v>#N/A</v>
        <stp/>
        <stp>BDH|3000588028540954310</stp>
        <tr r="K48" s="6"/>
      </tp>
      <tp t="e">
        <v>#N/A</v>
        <stp/>
        <stp>BDH|3122035688788682440</stp>
        <tr r="X125" s="18"/>
      </tp>
      <tp t="e">
        <v>#N/A</v>
        <stp/>
        <stp>BDH|8962703081012599254</stp>
        <tr r="F25" s="22"/>
      </tp>
      <tp t="e">
        <v>#N/A</v>
        <stp/>
        <stp>BDH|4589059404930509393</stp>
        <tr r="N48" s="17"/>
      </tp>
      <tp t="e">
        <v>#N/A</v>
        <stp/>
        <stp>BDH|7253256629248481822</stp>
        <tr r="J17" s="10"/>
      </tp>
      <tp t="e">
        <v>#N/A</v>
        <stp/>
        <stp>BDH|9374380785456406328</stp>
        <tr r="I45" s="4"/>
        <tr r="I31" s="10"/>
        <tr r="I23" s="11"/>
        <tr r="K30" s="13"/>
      </tp>
      <tp t="e">
        <v>#N/A</v>
        <stp/>
        <stp>BDH|2497490250391711520</stp>
        <tr r="W36" s="18"/>
      </tp>
      <tp t="e">
        <v>#N/A</v>
        <stp/>
        <stp>BDH|7058288177662404730</stp>
        <tr r="R40" s="24"/>
      </tp>
      <tp t="e">
        <v>#N/A</v>
        <stp/>
        <stp>BDH|8089986890608840786</stp>
        <tr r="K47" s="24"/>
      </tp>
      <tp t="e">
        <v>#N/A</v>
        <stp/>
        <stp>BDH|5157583100451773668</stp>
        <tr r="K49" s="13"/>
      </tp>
      <tp t="e">
        <v>#N/A</v>
        <stp/>
        <stp>BDH|5468448809722474452</stp>
        <tr r="Y124" s="18"/>
      </tp>
      <tp t="e">
        <v>#N/A</v>
        <stp/>
        <stp>BDH|5920745344101395023</stp>
        <tr r="G52" s="4"/>
        <tr r="I8" s="3"/>
        <tr r="G44" s="10"/>
        <tr r="G36" s="11"/>
        <tr r="I40" s="13"/>
      </tp>
      <tp t="e">
        <v>#N/A</v>
        <stp/>
        <stp>BDH|5738896714993694849</stp>
        <tr r="E49" s="21"/>
      </tp>
      <tp t="e">
        <v>#N/A</v>
        <stp/>
        <stp>BDH|1255224566894904675</stp>
        <tr r="H15" s="29"/>
        <tr r="H38" s="29"/>
      </tp>
      <tp t="e">
        <v>#N/A</v>
        <stp/>
        <stp>BDH|4027845085361088290</stp>
        <tr r="Z139" s="18"/>
      </tp>
      <tp t="e">
        <v>#N/A</v>
        <stp/>
        <stp>BDH|6018118508769230931</stp>
        <tr r="M26" s="13"/>
      </tp>
      <tp t="e">
        <v>#N/A</v>
        <stp/>
        <stp>BDH|5880525699838332689</stp>
        <tr r="V18" s="20"/>
      </tp>
      <tp t="e">
        <v>#N/A</v>
        <stp/>
        <stp>BDH|1680961448458310333</stp>
        <tr r="V40" s="21"/>
      </tp>
      <tp t="e">
        <v>#N/A</v>
        <stp/>
        <stp>BDH|6421267167141995442</stp>
        <tr r="N27" s="17"/>
      </tp>
      <tp t="e">
        <v>#N/A</v>
        <stp/>
        <stp>BDH|1204561209304189745</stp>
        <tr r="X18" s="9"/>
      </tp>
      <tp t="e">
        <v>#N/A</v>
        <stp/>
        <stp>BDH|5445458518703501445</stp>
        <tr r="R35" s="4"/>
      </tp>
      <tp t="e">
        <v>#N/A</v>
        <stp/>
        <stp>BDH|6685581476964643775</stp>
        <tr r="T12" s="6"/>
      </tp>
      <tp t="e">
        <v>#N/A</v>
        <stp/>
        <stp>BDH|7755093653075715036</stp>
        <tr r="S51" s="17"/>
        <tr r="S17" s="3"/>
      </tp>
      <tp t="e">
        <v>#N/A</v>
        <stp/>
        <stp>BDH|3334748191502786887</stp>
        <tr r="S56" s="17"/>
      </tp>
      <tp t="e">
        <v>#N/A</v>
        <stp/>
        <stp>BDH|3061403158173068613</stp>
        <tr r="T136" s="18"/>
      </tp>
      <tp t="e">
        <v>#N/A</v>
        <stp/>
        <stp>BDH|1769597121190704110</stp>
        <tr r="I35" s="18"/>
      </tp>
      <tp t="e">
        <v>#N/A</v>
        <stp/>
        <stp>BDH|2951910872753041836</stp>
        <tr r="F63" s="13"/>
      </tp>
      <tp t="e">
        <v>#N/A</v>
        <stp/>
        <stp>BDH|5942867613089770227</stp>
        <tr r="N30" s="22"/>
      </tp>
      <tp t="e">
        <v>#N/A</v>
        <stp/>
        <stp>BDH|5071796771183856196</stp>
        <tr r="I17" s="12"/>
      </tp>
      <tp t="e">
        <v>#N/A</v>
        <stp/>
        <stp>BDH|8554370122066935804</stp>
        <tr r="E75" s="12"/>
      </tp>
      <tp t="e">
        <v>#N/A</v>
        <stp/>
        <stp>BDH|4401093064370921590</stp>
        <tr r="M14" s="2"/>
        <tr r="M11" s="10"/>
      </tp>
      <tp t="e">
        <v>#N/A</v>
        <stp/>
        <stp>BDH|9345077908569278773</stp>
        <tr r="L86" s="12"/>
      </tp>
      <tp t="e">
        <v>#N/A</v>
        <stp/>
        <stp>BDH|3277275242984805669</stp>
        <tr r="Z17" s="14"/>
      </tp>
      <tp t="e">
        <v>#N/A</v>
        <stp/>
        <stp>BDH|3405391731203363760</stp>
        <tr r="M12" s="10"/>
      </tp>
      <tp t="e">
        <v>#N/A</v>
        <stp/>
        <stp>BDH|6341373009862289062</stp>
        <tr r="Q27" s="24"/>
      </tp>
      <tp t="e">
        <v>#N/A</v>
        <stp/>
        <stp>BDH|7049057520005574791</stp>
        <tr r="X113" s="18"/>
      </tp>
      <tp t="e">
        <v>#N/A</v>
        <stp/>
        <stp>BDH|2122009368006391536</stp>
        <tr r="E9" s="17"/>
      </tp>
      <tp t="e">
        <v>#N/A</v>
        <stp/>
        <stp>BDH|3445668688158105229</stp>
        <tr r="AA119" s="18"/>
      </tp>
      <tp t="e">
        <v>#N/A</v>
        <stp/>
        <stp>BDH|7962651918207945045</stp>
        <tr r="E90" s="12"/>
      </tp>
      <tp t="e">
        <v>#N/A</v>
        <stp/>
        <stp>BDH|3660649813956924510</stp>
        <tr r="X9" s="34"/>
      </tp>
      <tp t="e">
        <v>#N/A</v>
        <stp/>
        <stp>BDH|6186582921284962289</stp>
        <tr r="Y36" s="34"/>
      </tp>
      <tp t="e">
        <v>#N/A</v>
        <stp/>
        <stp>BDH|6305267534595960513</stp>
        <tr r="Q7" s="11"/>
      </tp>
      <tp t="e">
        <v>#N/A</v>
        <stp/>
        <stp>BDH|7960033730643258011</stp>
        <tr r="G58" s="12"/>
      </tp>
      <tp t="e">
        <v>#N/A</v>
        <stp/>
        <stp>BDH|6511488505924951183</stp>
        <tr r="I68" s="12"/>
      </tp>
      <tp t="e">
        <v>#N/A</v>
        <stp/>
        <stp>BDH|2315385664269604900</stp>
        <tr r="Y8" s="4"/>
      </tp>
      <tp t="e">
        <v>#N/A</v>
        <stp/>
        <stp>BDH|3854759064604457149</stp>
        <tr r="U21" s="11"/>
      </tp>
      <tp t="e">
        <v>#N/A</v>
        <stp/>
        <stp>BDH|4767991490145294659</stp>
        <tr r="S18" s="18"/>
      </tp>
      <tp t="e">
        <v>#N/A</v>
        <stp/>
        <stp>BDH|3208366466556846731</stp>
        <tr r="R63" s="21"/>
        <tr r="P23" s="7"/>
      </tp>
      <tp t="e">
        <v>#N/A</v>
        <stp/>
        <stp>BDH|5702770912555204193</stp>
        <tr r="Z62" s="13"/>
      </tp>
      <tp t="e">
        <v>#N/A</v>
        <stp/>
        <stp>BDH|3697146969300234307</stp>
        <tr r="Z117" s="18"/>
      </tp>
      <tp t="e">
        <v>#N/A</v>
        <stp/>
        <stp>BDH|8875842354434090615</stp>
        <tr r="Z51" s="17"/>
        <tr r="Z17" s="3"/>
      </tp>
      <tp t="e">
        <v>#N/A</v>
        <stp/>
        <stp>BDH|5845792317933912763</stp>
        <tr r="T30" s="22"/>
      </tp>
      <tp t="e">
        <v>#N/A</v>
        <stp/>
        <stp>BDH|6780582926483673564</stp>
        <tr r="Z20" s="12"/>
      </tp>
      <tp t="e">
        <v>#N/A</v>
        <stp/>
        <stp>BDH|6814284843620870729</stp>
        <tr r="N39" s="4"/>
        <tr r="N66" s="10"/>
      </tp>
      <tp t="e">
        <v>#N/A</v>
        <stp/>
        <stp>BDH|1976362874937792558</stp>
        <tr r="S15" s="29"/>
        <tr r="S38" s="29"/>
      </tp>
      <tp t="e">
        <v>#N/A</v>
        <stp/>
        <stp>BDH|4638192379601922468</stp>
        <tr r="H58" s="13"/>
      </tp>
      <tp t="e">
        <v>#N/A</v>
        <stp/>
        <stp>BDH|6603318138565052464</stp>
        <tr r="N10" s="26"/>
      </tp>
      <tp t="e">
        <v>#N/A</v>
        <stp/>
        <stp>BDH|1487119653375685796</stp>
        <tr r="F12" s="7"/>
      </tp>
      <tp t="e">
        <v>#N/A</v>
        <stp/>
        <stp>BDH|4549693821102104559</stp>
        <tr r="J28" s="17"/>
      </tp>
      <tp t="e">
        <v>#N/A</v>
        <stp/>
        <stp>BDH|3275789430274739440</stp>
        <tr r="J18" s="23"/>
      </tp>
      <tp t="e">
        <v>#N/A</v>
        <stp/>
        <stp>BDH|4002561844053479187</stp>
        <tr r="T27" s="26"/>
      </tp>
      <tp t="e">
        <v>#N/A</v>
        <stp/>
        <stp>BDH|7001540369640074330</stp>
        <tr r="X28" s="10"/>
        <tr r="Z34" s="13"/>
      </tp>
      <tp t="e">
        <v>#N/A</v>
        <stp/>
        <stp>BDH|5843242180059014126</stp>
        <tr r="C8" s="6"/>
      </tp>
      <tp t="e">
        <v>#N/A</v>
        <stp/>
        <stp>BDH|4206291931636664420</stp>
        <tr r="E10" s="14"/>
      </tp>
      <tp t="e">
        <v>#N/A</v>
        <stp/>
        <stp>BDH|9437048983232998440</stp>
        <tr r="N13" s="9"/>
      </tp>
      <tp t="e">
        <v>#N/A</v>
        <stp/>
        <stp>BDH|1021492485548609245</stp>
        <tr r="S90" s="12"/>
      </tp>
      <tp t="e">
        <v>#N/A</v>
        <stp/>
        <stp>BDH|9476158705817378890</stp>
        <tr r="T37" s="6"/>
      </tp>
      <tp t="e">
        <v>#N/A</v>
        <stp/>
        <stp>BDH|6741698413856229016</stp>
        <tr r="D10" s="8"/>
      </tp>
      <tp t="e">
        <v>#N/A</v>
        <stp/>
        <stp>BDH|9508573597077963525</stp>
        <tr r="R65" s="18"/>
      </tp>
      <tp t="e">
        <v>#N/A</v>
        <stp/>
        <stp>BDH|6657347065476117284</stp>
        <tr r="R91" s="17"/>
        <tr r="R7" s="27"/>
      </tp>
      <tp t="e">
        <v>#N/A</v>
        <stp/>
        <stp>BDH|9933924544220225334</stp>
        <tr r="U60" s="17"/>
      </tp>
      <tp t="e">
        <v>#N/A</v>
        <stp/>
        <stp>BDH|5938555348610819322</stp>
        <tr r="J56" s="6"/>
      </tp>
      <tp t="e">
        <v>#N/A</v>
        <stp/>
        <stp>BDH|5139288803860427003</stp>
        <tr r="E9" s="18"/>
      </tp>
      <tp t="e">
        <v>#N/A</v>
        <stp/>
        <stp>BDH|1213735176055134385</stp>
        <tr r="AA32" s="24"/>
      </tp>
      <tp t="e">
        <v>#N/A</v>
        <stp/>
        <stp>BDH|2007785830562731311</stp>
        <tr r="T36" s="21"/>
      </tp>
      <tp t="e">
        <v>#N/A</v>
        <stp/>
        <stp>BDH|3030196856737692779</stp>
        <tr r="T68" s="12"/>
      </tp>
      <tp t="e">
        <v>#N/A</v>
        <stp/>
        <stp>BDH|9654927209871381607</stp>
        <tr r="X21" s="18"/>
      </tp>
      <tp t="e">
        <v>#N/A</v>
        <stp/>
        <stp>BDH|1965667810599121802</stp>
        <tr r="W80" s="24"/>
      </tp>
      <tp t="e">
        <v>#N/A</v>
        <stp/>
        <stp>BDH|3862212905531319714</stp>
        <tr r="T69" s="18"/>
      </tp>
      <tp t="e">
        <v>#N/A</v>
        <stp/>
        <stp>BDH|4539571536740809521</stp>
        <tr r="Y11" s="13"/>
      </tp>
      <tp t="e">
        <v>#N/A</v>
        <stp/>
        <stp>BDH|3462479816627945629</stp>
        <tr r="R91" s="24"/>
      </tp>
      <tp t="e">
        <v>#N/A</v>
        <stp/>
        <stp>BDH|9008575597121802360</stp>
        <tr r="G19" s="18"/>
      </tp>
      <tp t="e">
        <v>#N/A</v>
        <stp/>
        <stp>BDH|4536373447923866738</stp>
        <tr r="E21" s="22"/>
      </tp>
      <tp t="e">
        <v>#N/A</v>
        <stp/>
        <stp>BDH|6637206718207863586</stp>
        <tr r="M131" s="18"/>
      </tp>
      <tp t="e">
        <v>#N/A</v>
        <stp/>
        <stp>BDH|2471757012395576683</stp>
        <tr r="L37" s="10"/>
        <tr r="L29" s="11"/>
        <tr r="N41" s="13"/>
      </tp>
      <tp t="e">
        <v>#N/A</v>
        <stp/>
        <stp>BDH|6971202825362277306</stp>
        <tr r="O72" s="17"/>
      </tp>
      <tp t="e">
        <v>#N/A</v>
        <stp/>
        <stp>BDH|1825637175125433241</stp>
        <tr r="P136" s="18"/>
      </tp>
      <tp t="e">
        <v>#N/A</v>
        <stp/>
        <stp>BDH|2136459179054550269</stp>
        <tr r="I61" s="13"/>
      </tp>
      <tp t="e">
        <v>#N/A</v>
        <stp/>
        <stp>BDH|6851337997482363916</stp>
        <tr r="N15" s="12"/>
      </tp>
      <tp t="e">
        <v>#N/A</v>
        <stp/>
        <stp>BDH|6790572145987305784</stp>
        <tr r="W44" s="18"/>
      </tp>
      <tp t="e">
        <v>#N/A</v>
        <stp/>
        <stp>BDH|8248942851400819315</stp>
        <tr r="M11" s="7"/>
      </tp>
      <tp t="e">
        <v>#N/A</v>
        <stp/>
        <stp>BDH|9831132276651093937</stp>
        <tr r="O21" s="21"/>
      </tp>
      <tp t="e">
        <v>#N/A</v>
        <stp/>
        <stp>BDH|8351556621769141189</stp>
        <tr r="D87" s="24"/>
      </tp>
      <tp t="e">
        <v>#N/A</v>
        <stp/>
        <stp>BDH|9564633689905221537</stp>
        <tr r="W41" s="17"/>
        <tr r="W9" s="25"/>
      </tp>
      <tp t="e">
        <v>#N/A</v>
        <stp/>
        <stp>BDH|7276992555675693962</stp>
        <tr r="X61" s="11"/>
      </tp>
      <tp t="e">
        <v>#N/A</v>
        <stp/>
        <stp>BDH|8128055259503489972</stp>
        <tr r="T119" s="18"/>
      </tp>
      <tp t="e">
        <v>#N/A</v>
        <stp/>
        <stp>BDH|3124259960047276784</stp>
        <tr r="S67" s="17"/>
        <tr r="P8" s="5"/>
        <tr r="P8" s="9"/>
      </tp>
      <tp t="e">
        <v>#N/A</v>
        <stp/>
        <stp>BDH|8952758804318369053</stp>
        <tr r="O74" s="18"/>
      </tp>
      <tp t="e">
        <v>#N/A</v>
        <stp/>
        <stp>BDH|4771444443656897566</stp>
        <tr r="M34" s="6"/>
      </tp>
      <tp t="e">
        <v>#N/A</v>
        <stp/>
        <stp>BDH|6638899675256423800</stp>
        <tr r="K61" s="12"/>
      </tp>
      <tp t="e">
        <v>#N/A</v>
        <stp/>
        <stp>BDH|9797385771589512352</stp>
        <tr r="F9" s="12"/>
      </tp>
      <tp t="e">
        <v>#N/A</v>
        <stp/>
        <stp>BDH|6151786763887731735</stp>
        <tr r="N74" s="10"/>
        <tr r="N66" s="11"/>
      </tp>
      <tp t="e">
        <v>#N/A</v>
        <stp/>
        <stp>BDH|2127259738790762457</stp>
        <tr r="D32" s="24"/>
      </tp>
      <tp t="e">
        <v>#N/A</v>
        <stp/>
        <stp>BDH|3126556120734972738</stp>
        <tr r="F37" s="21"/>
        <tr r="F24" s="3"/>
      </tp>
      <tp t="e">
        <v>#N/A</v>
        <stp/>
        <stp>BDH|3796896093285638052</stp>
        <tr r="Y15" s="12"/>
      </tp>
      <tp t="e">
        <v>#N/A</v>
        <stp/>
        <stp>BDH|2572491121600199325</stp>
        <tr r="I15" s="25"/>
      </tp>
      <tp t="e">
        <v>#N/A</v>
        <stp/>
        <stp>BDH|4855314612807779622</stp>
        <tr r="N8" s="13"/>
      </tp>
      <tp t="e">
        <v>#N/A</v>
        <stp/>
        <stp>BDH|5653859925581856903</stp>
        <tr r="F12" s="6"/>
      </tp>
      <tp t="e">
        <v>#N/A</v>
        <stp/>
        <stp>BDH|5860699342474532487</stp>
        <tr r="W25" s="10"/>
        <tr r="Y31" s="13"/>
      </tp>
      <tp t="e">
        <v>#N/A</v>
        <stp/>
        <stp>BDH|9406454488941541326</stp>
        <tr r="E13" s="29"/>
        <tr r="E22" s="29"/>
        <tr r="E36" s="29"/>
      </tp>
      <tp t="e">
        <v>#N/A</v>
        <stp/>
        <stp>BDH|7156691751160022379</stp>
        <tr r="T78" s="12"/>
      </tp>
      <tp t="e">
        <v>#N/A</v>
        <stp/>
        <stp>BDH|3721951868708431309</stp>
        <tr r="AA23" s="21"/>
      </tp>
      <tp t="e">
        <v>#N/A</v>
        <stp/>
        <stp>BDH|6710497452995125533</stp>
        <tr r="Y37" s="24"/>
      </tp>
      <tp t="e">
        <v>#N/A</v>
        <stp/>
        <stp>BDH|3287039542400850041</stp>
        <tr r="T38" s="24"/>
      </tp>
      <tp t="e">
        <v>#N/A</v>
        <stp/>
        <stp>BDH|1745470834355237495</stp>
        <tr r="M38" s="22"/>
      </tp>
      <tp t="e">
        <v>#N/A</v>
        <stp/>
        <stp>BDH|1572084358527944432</stp>
        <tr r="P52" s="4"/>
        <tr r="R8" s="3"/>
        <tr r="P44" s="10"/>
        <tr r="P36" s="11"/>
        <tr r="R40" s="13"/>
      </tp>
      <tp t="e">
        <v>#N/A</v>
        <stp/>
        <stp>BDH|6661655850083502193</stp>
        <tr r="I44" s="22"/>
      </tp>
      <tp t="e">
        <v>#N/A</v>
        <stp/>
        <stp>BDH|7205033479537008076</stp>
        <tr r="Y79" s="24"/>
      </tp>
      <tp t="e">
        <v>#N/A</v>
        <stp/>
        <stp>BDH|7715460255344367587</stp>
        <tr r="AA17" s="12"/>
      </tp>
      <tp t="e">
        <v>#N/A</v>
        <stp/>
        <stp>BDH|7790233258154080330</stp>
        <tr r="F19" s="6"/>
      </tp>
      <tp t="e">
        <v>#N/A</v>
        <stp/>
        <stp>BDH|5917861686314141674</stp>
        <tr r="M23" s="30"/>
        <tr r="M25" s="23"/>
      </tp>
      <tp t="e">
        <v>#N/A</v>
        <stp/>
        <stp>BDH|5568350069364427325</stp>
        <tr r="M36" s="34"/>
      </tp>
      <tp t="e">
        <v>#N/A</v>
        <stp/>
        <stp>BDH|9577323914138454482</stp>
        <tr r="G81" s="17"/>
        <tr r="G20" s="3"/>
        <tr r="E6" s="7"/>
      </tp>
      <tp t="e">
        <v>#N/A</v>
        <stp/>
        <stp>BDH|4995239274746002012</stp>
        <tr r="P41" s="12"/>
      </tp>
      <tp t="e">
        <v>#N/A</v>
        <stp/>
        <stp>BDH|9244388190833255774</stp>
        <tr r="V26" s="12"/>
      </tp>
      <tp t="e">
        <v>#N/A</v>
        <stp/>
        <stp>BDH|8964264577029751303</stp>
        <tr r="I21" s="24"/>
      </tp>
      <tp t="e">
        <v>#N/A</v>
        <stp/>
        <stp>BDH|3916175583579658440</stp>
        <tr r="C20" s="27"/>
      </tp>
      <tp t="e">
        <v>#N/A</v>
        <stp/>
        <stp>BDH|2439158563972943042</stp>
        <tr r="O11" s="28"/>
      </tp>
      <tp t="e">
        <v>#N/A</v>
        <stp/>
        <stp>BDH|6885906557788540559</stp>
        <tr r="U16" s="2"/>
        <tr r="U32" s="4"/>
        <tr r="U62" s="10"/>
        <tr r="W19" s="13"/>
      </tp>
      <tp t="e">
        <v>#N/A</v>
        <stp/>
        <stp>BDH|8156197743408759237</stp>
        <tr r="K100" s="18"/>
        <tr r="K9" s="20"/>
      </tp>
      <tp t="e">
        <v>#N/A</v>
        <stp/>
        <stp>BDH|9585932701810909716</stp>
        <tr r="N81" s="12"/>
      </tp>
      <tp t="e">
        <v>#N/A</v>
        <stp/>
        <stp>BDH|1975662273465301207</stp>
        <tr r="P13" s="22"/>
      </tp>
      <tp t="e">
        <v>#N/A</v>
        <stp/>
        <stp>BDH|2134360668353380331</stp>
        <tr r="AA12" s="20"/>
      </tp>
      <tp t="e">
        <v>#N/A</v>
        <stp/>
        <stp>BDH|4271443252944907624</stp>
        <tr r="T7" s="4"/>
      </tp>
      <tp t="e">
        <v>#N/A</v>
        <stp/>
        <stp>BDH|5481441670522725387</stp>
        <tr r="D9" s="26"/>
      </tp>
      <tp t="e">
        <v>#N/A</v>
        <stp/>
        <stp>BDH|1571819296060976740</stp>
        <tr r="AA27" s="17"/>
      </tp>
      <tp t="e">
        <v>#N/A</v>
        <stp/>
        <stp>BDH|4814771655692698336</stp>
        <tr r="E9" s="2"/>
        <tr r="G8" s="25"/>
        <tr r="D10" s="5"/>
      </tp>
      <tp t="e">
        <v>#N/A</v>
        <stp/>
        <stp>BDH|3172153953748023888</stp>
        <tr r="Y48" s="22"/>
      </tp>
      <tp t="e">
        <v>#N/A</v>
        <stp/>
        <stp>BDH|3749746436067886722</stp>
        <tr r="H10" s="14"/>
      </tp>
      <tp t="e">
        <v>#N/A</v>
        <stp/>
        <stp>BDH|2159047509821081439</stp>
        <tr r="N9" s="29"/>
      </tp>
      <tp t="e">
        <v>#N/A</v>
        <stp/>
        <stp>BDH|2415439699020849897</stp>
        <tr r="H53" s="6"/>
        <tr r="J10" s="8"/>
      </tp>
      <tp t="e">
        <v>#N/A</v>
        <stp/>
        <stp>BDH|5923553361018329919</stp>
        <tr r="U17" s="18"/>
      </tp>
      <tp t="e">
        <v>#N/A</v>
        <stp/>
        <stp>BDH|6561691472492960288</stp>
        <tr r="T139" s="18"/>
      </tp>
      <tp t="e">
        <v>#N/A</v>
        <stp/>
        <stp>BDH|2864002786654878998</stp>
        <tr r="K33" s="17"/>
      </tp>
      <tp t="e">
        <v>#N/A</v>
        <stp/>
        <stp>BDH|8875915104023699546</stp>
        <tr r="T46" s="4"/>
        <tr r="T23" s="10"/>
        <tr r="V37" s="13"/>
      </tp>
      <tp t="e">
        <v>#N/A</v>
        <stp/>
        <stp>BDH|2996051623510958795</stp>
        <tr r="E14" s="17"/>
        <tr r="E17" s="28"/>
      </tp>
      <tp t="e">
        <v>#N/A</v>
        <stp/>
        <stp>BDH|9273674494044654589</stp>
        <tr r="AA10" s="12"/>
      </tp>
      <tp t="e">
        <v>#N/A</v>
        <stp/>
        <stp>BDH|8111593115593604848</stp>
        <tr r="H33" s="9"/>
      </tp>
      <tp t="e">
        <v>#N/A</v>
        <stp/>
        <stp>BDH|1900210736272038520</stp>
        <tr r="J59" s="24"/>
      </tp>
      <tp t="e">
        <v>#N/A</v>
        <stp/>
        <stp>BDH|4445010412535305781</stp>
        <tr r="Z109" s="18"/>
      </tp>
      <tp t="e">
        <v>#N/A</v>
        <stp/>
        <stp>BDH|3170015549057233771</stp>
        <tr r="F20" s="29"/>
      </tp>
      <tp t="e">
        <v>#N/A</v>
        <stp/>
        <stp>BDH|1726224718511091419</stp>
        <tr r="K11" s="21"/>
      </tp>
      <tp t="e">
        <v>#N/A</v>
        <stp/>
        <stp>BDH|7395508444437313687</stp>
        <tr r="I11" s="12"/>
      </tp>
      <tp t="e">
        <v>#N/A</v>
        <stp/>
        <stp>BDH|2910111333965797203</stp>
        <tr r="I20" s="26"/>
      </tp>
      <tp t="e">
        <v>#N/A</v>
        <stp/>
        <stp>BDH|9760018184567709198</stp>
        <tr r="O43" s="6"/>
      </tp>
      <tp t="e">
        <v>#N/A</v>
        <stp/>
        <stp>BDH|3655585585129503023</stp>
        <tr r="V98" s="18"/>
        <tr r="V7" s="20"/>
      </tp>
      <tp t="e">
        <v>#N/A</v>
        <stp/>
        <stp>BDH|1490878589601748711</stp>
        <tr r="G75" s="18"/>
        <tr r="G64" s="12"/>
      </tp>
      <tp t="e">
        <v>#N/A</v>
        <stp/>
        <stp>BDH|4276666874230493288</stp>
        <tr r="I37" s="34"/>
      </tp>
      <tp t="e">
        <v>#N/A</v>
        <stp/>
        <stp>BDH|4578379034614237789</stp>
        <tr r="F53" s="6"/>
        <tr r="H10" s="8"/>
      </tp>
      <tp t="e">
        <v>#N/A</v>
        <stp/>
        <stp>BDH|7100228599443315858</stp>
        <tr r="O50" s="13"/>
      </tp>
      <tp t="e">
        <v>#N/A</v>
        <stp/>
        <stp>BDH|5932315545451164401</stp>
        <tr r="Y49" s="4"/>
      </tp>
      <tp t="e">
        <v>#N/A</v>
        <stp/>
        <stp>BDH|2121774697448942343</stp>
        <tr r="D54" s="24"/>
      </tp>
      <tp t="e">
        <v>#N/A</v>
        <stp/>
        <stp>BDH|2168451460263066486</stp>
        <tr r="J52" s="6"/>
        <tr r="L9" s="8"/>
      </tp>
      <tp t="e">
        <v>#N/A</v>
        <stp/>
        <stp>BDH|6250157102433128381</stp>
        <tr r="S18" s="9"/>
      </tp>
      <tp t="e">
        <v>#N/A</v>
        <stp/>
        <stp>BDH|2992436357940746466</stp>
        <tr r="M38" s="12"/>
      </tp>
      <tp t="e">
        <v>#N/A</v>
        <stp/>
        <stp>BDH|4493402043420999322</stp>
        <tr r="C22" s="18"/>
      </tp>
      <tp t="e">
        <v>#N/A</v>
        <stp/>
        <stp>BDH|6602759209252258449</stp>
        <tr r="L17" s="21"/>
      </tp>
      <tp t="e">
        <v>#N/A</v>
        <stp/>
        <stp>BDH|2386784856231382621</stp>
        <tr r="F48" s="24"/>
      </tp>
      <tp t="e">
        <v>#N/A</v>
        <stp/>
        <stp>BDH|7646547189048434536</stp>
        <tr r="U8" s="10"/>
      </tp>
      <tp t="e">
        <v>#N/A</v>
        <stp/>
        <stp>BDH|2363839572779847365</stp>
        <tr r="Y45" s="12"/>
      </tp>
      <tp t="e">
        <v>#N/A</v>
        <stp/>
        <stp>BDH|6225813921349698282</stp>
        <tr r="N12" s="24"/>
      </tp>
      <tp t="e">
        <v>#N/A</v>
        <stp/>
        <stp>BDH|6070988948969472588</stp>
        <tr r="O10" s="10"/>
      </tp>
      <tp t="e">
        <v>#N/A</v>
        <stp/>
        <stp>BDH|7691280803906716468</stp>
        <tr r="H70" s="12"/>
      </tp>
      <tp t="e">
        <v>#N/A</v>
        <stp/>
        <stp>BDH|2697587073980993786</stp>
        <tr r="Y8" s="13"/>
      </tp>
      <tp t="e">
        <v>#N/A</v>
        <stp/>
        <stp>BDH|9454188582461679646</stp>
        <tr r="T67" s="18"/>
      </tp>
      <tp t="e">
        <v>#N/A</v>
        <stp/>
        <stp>BDH|2058181265946567443</stp>
        <tr r="D10" s="22"/>
      </tp>
      <tp t="e">
        <v>#N/A</v>
        <stp/>
        <stp>BDH|3737674574217095287</stp>
        <tr r="N16" s="17"/>
        <tr r="N19" s="28"/>
      </tp>
      <tp t="e">
        <v>#N/A</v>
        <stp/>
        <stp>BDH|2580072114340977435</stp>
        <tr r="F25" s="4"/>
        <tr r="F65" s="10"/>
      </tp>
      <tp t="e">
        <v>#N/A</v>
        <stp/>
        <stp>BDH|2495664432753478380</stp>
        <tr r="G27" s="24"/>
      </tp>
      <tp t="e">
        <v>#N/A</v>
        <stp/>
        <stp>BDH|6464392629190992011</stp>
        <tr r="L19" s="20"/>
      </tp>
      <tp t="e">
        <v>#N/A</v>
        <stp/>
        <stp>BDH|6900809093058515834</stp>
        <tr r="Y60" s="17"/>
      </tp>
      <tp t="e">
        <v>#N/A</v>
        <stp/>
        <stp>BDH|4325292602623782232</stp>
        <tr r="S8" s="11"/>
      </tp>
      <tp t="e">
        <v>#N/A</v>
        <stp/>
        <stp>BDH|2620340246470099283</stp>
        <tr r="W11" s="18"/>
      </tp>
      <tp t="e">
        <v>#N/A</v>
        <stp/>
        <stp>BDH|1948549455560423604</stp>
        <tr r="R51" s="17"/>
        <tr r="R17" s="3"/>
      </tp>
      <tp t="e">
        <v>#N/A</v>
        <stp/>
        <stp>BDH|7962585358576577610</stp>
        <tr r="M10" s="22"/>
      </tp>
      <tp t="e">
        <v>#N/A</v>
        <stp/>
        <stp>BDH|8290609533693936954</stp>
        <tr r="S26" s="17"/>
      </tp>
      <tp t="e">
        <v>#N/A</v>
        <stp/>
        <stp>BDH|4134663305574941161</stp>
        <tr r="M9" s="11"/>
      </tp>
      <tp t="e">
        <v>#N/A</v>
        <stp/>
        <stp>BDH|5953766786535319877</stp>
        <tr r="M26" s="25"/>
        <tr r="M12" s="27"/>
      </tp>
      <tp t="e">
        <v>#N/A</v>
        <stp/>
        <stp>BDH|7045243952776875137</stp>
        <tr r="G13" s="22"/>
      </tp>
      <tp t="e">
        <v>#N/A</v>
        <stp/>
        <stp>BDH|5353282036781364236</stp>
        <tr r="H25" s="26"/>
      </tp>
      <tp t="e">
        <v>#N/A</v>
        <stp/>
        <stp>BDH|6472713038486823382</stp>
        <tr r="W61" s="12"/>
      </tp>
      <tp t="e">
        <v>#N/A</v>
        <stp/>
        <stp>BDH|5336887937020957981</stp>
        <tr r="H19" s="20"/>
      </tp>
      <tp t="e">
        <v>#N/A</v>
        <stp/>
        <stp>BDH|9473310378553659964</stp>
        <tr r="P15" s="10"/>
      </tp>
      <tp t="e">
        <v>#N/A</v>
        <stp/>
        <stp>BDH|3851435003010428011</stp>
        <tr r="G45" s="17"/>
      </tp>
      <tp t="e">
        <v>#N/A</v>
        <stp/>
        <stp>BDH|8504767698675733410</stp>
        <tr r="Q14" s="2"/>
        <tr r="Q11" s="10"/>
      </tp>
      <tp t="e">
        <v>#N/A</v>
        <stp/>
        <stp>BDH|8274596284562112037</stp>
        <tr r="K19" s="11"/>
      </tp>
      <tp t="e">
        <v>#N/A</v>
        <stp/>
        <stp>BDH|7878675561388679854</stp>
        <tr r="S8" s="24"/>
      </tp>
      <tp t="e">
        <v>#N/A</v>
        <stp/>
        <stp>BDH|3446063946767037791</stp>
        <tr r="Z88" s="24"/>
      </tp>
      <tp t="e">
        <v>#N/A</v>
        <stp/>
        <stp>BDH|6832325115121164234</stp>
        <tr r="P71" s="24"/>
      </tp>
      <tp t="e">
        <v>#N/A</v>
        <stp/>
        <stp>BDH|9054656332233224886</stp>
        <tr r="S90" s="24"/>
      </tp>
      <tp t="e">
        <v>#N/A</v>
        <stp/>
        <stp>BDH|1989878255768536331</stp>
        <tr r="D14" s="11"/>
      </tp>
      <tp t="e">
        <v>#N/A</v>
        <stp/>
        <stp>BDH|5648922690946881412</stp>
        <tr r="M86" s="24"/>
      </tp>
      <tp t="e">
        <v>#N/A</v>
        <stp/>
        <stp>BDH|3074572410505305594</stp>
        <tr r="I46" s="13"/>
      </tp>
      <tp t="e">
        <v>#N/A</v>
        <stp/>
        <stp>BDH|8349148285952728483</stp>
        <tr r="M31" s="29"/>
      </tp>
      <tp t="e">
        <v>#N/A</v>
        <stp/>
        <stp>BDH|6075224867494056186</stp>
        <tr r="O30" s="25"/>
        <tr r="O16" s="27"/>
      </tp>
      <tp t="e">
        <v>#N/A</v>
        <stp/>
        <stp>BDH|5587303059886362221</stp>
        <tr r="H8" s="24"/>
      </tp>
      <tp t="e">
        <v>#N/A</v>
        <stp/>
        <stp>BDH|2868282819163049545</stp>
        <tr r="K30" s="29"/>
        <tr r="K8" s="29"/>
      </tp>
      <tp t="e">
        <v>#N/A</v>
        <stp/>
        <stp>BDH|2387318801680892668</stp>
        <tr r="U44" s="17"/>
      </tp>
      <tp t="e">
        <v>#N/A</v>
        <stp/>
        <stp>BDH|1453286529003176593</stp>
        <tr r="C33" s="24"/>
      </tp>
      <tp t="e">
        <v>#N/A</v>
        <stp/>
        <stp>BDH|4541595106180015676</stp>
        <tr r="T70" s="18"/>
      </tp>
      <tp t="e">
        <v>#N/A</v>
        <stp/>
        <stp>BDH|1163410323179829962</stp>
        <tr r="X16" s="11"/>
      </tp>
      <tp t="e">
        <v>#N/A</v>
        <stp/>
        <stp>BDH|5139417210174400393</stp>
        <tr r="P26" s="22"/>
      </tp>
      <tp t="e">
        <v>#N/A</v>
        <stp/>
        <stp>BDH|1478178709714288359</stp>
        <tr r="K17" s="21"/>
      </tp>
      <tp t="e">
        <v>#N/A</v>
        <stp/>
        <stp>BDH|6622600603956846106</stp>
        <tr r="Z104" s="18"/>
      </tp>
      <tp t="e">
        <v>#N/A</v>
        <stp/>
        <stp>BDH|4504040269927301261</stp>
        <tr r="W24" s="5"/>
      </tp>
      <tp t="e">
        <v>#N/A</v>
        <stp/>
        <stp>BDH|5329079621686915617</stp>
        <tr r="Q49" s="12"/>
      </tp>
      <tp t="e">
        <v>#N/A</v>
        <stp/>
        <stp>BDH|3199407956042318794</stp>
        <tr r="P43" s="10"/>
        <tr r="P35" s="11"/>
      </tp>
      <tp t="e">
        <v>#N/A</v>
        <stp/>
        <stp>BDH|9544607858479651469</stp>
        <tr r="K44" s="34"/>
      </tp>
      <tp t="e">
        <v>#N/A</v>
        <stp/>
        <stp>BDH|4524620569452356109</stp>
        <tr r="W61" s="13"/>
      </tp>
      <tp t="e">
        <v>#N/A</v>
        <stp/>
        <stp>BDH|5511293030166608579</stp>
        <tr r="H9" s="10"/>
      </tp>
      <tp t="e">
        <v>#N/A</v>
        <stp/>
        <stp>BDH|9805959771304473451</stp>
        <tr r="O57" s="24"/>
      </tp>
      <tp t="e">
        <v>#N/A</v>
        <stp/>
        <stp>BDH|3721652539246662708</stp>
        <tr r="Z14" s="23"/>
      </tp>
      <tp t="e">
        <v>#N/A</v>
        <stp/>
        <stp>BDH|3999322523833577608</stp>
        <tr r="P90" s="18"/>
      </tp>
      <tp t="e">
        <v>#N/A</v>
        <stp/>
        <stp>BDH|2023585900880575007</stp>
        <tr r="M67" s="10"/>
      </tp>
      <tp t="e">
        <v>#N/A</v>
        <stp/>
        <stp>BDH|2442690260237912298</stp>
        <tr r="K56" s="17"/>
      </tp>
      <tp t="e">
        <v>#N/A</v>
        <stp/>
        <stp>BDH|9079620105281322998</stp>
        <tr r="N34" s="34"/>
      </tp>
      <tp t="e">
        <v>#N/A</v>
        <stp/>
        <stp>BDH|4089159267522838679</stp>
        <tr r="I25" s="14"/>
      </tp>
      <tp t="e">
        <v>#N/A</v>
        <stp/>
        <stp>BDH|1102112809703284463</stp>
        <tr r="P11" s="13"/>
      </tp>
      <tp t="e">
        <v>#N/A</v>
        <stp/>
        <stp>BDH|1547195874247585705</stp>
        <tr r="K22" s="21"/>
      </tp>
      <tp t="e">
        <v>#N/A</v>
        <stp/>
        <stp>BDH|9216444790721388284</stp>
        <tr r="H52" s="21"/>
      </tp>
      <tp t="e">
        <v>#N/A</v>
        <stp/>
        <stp>BDH|8452440087156542501</stp>
        <tr r="M20" s="29"/>
      </tp>
      <tp t="e">
        <v>#N/A</v>
        <stp/>
        <stp>BDH|3434469505465381567</stp>
        <tr r="O7" s="11"/>
      </tp>
      <tp t="e">
        <v>#N/A</v>
        <stp/>
        <stp>BDH|1891275241372967258</stp>
        <tr r="C49" s="21"/>
      </tp>
      <tp t="e">
        <v>#N/A</v>
        <stp/>
        <stp>BDH|1721706661391073640</stp>
        <tr r="G8" s="4"/>
      </tp>
      <tp t="e">
        <v>#N/A</v>
        <stp/>
        <stp>BDH|6241360360275348152</stp>
        <tr r="Q17" s="4"/>
        <tr r="S10" s="3"/>
        <tr r="Q56" s="10"/>
        <tr r="Q48" s="11"/>
        <tr r="Q17" s="7"/>
        <tr r="S54" s="13"/>
      </tp>
      <tp t="e">
        <v>#N/A</v>
        <stp/>
        <stp>BDH|3123362028030538583</stp>
        <tr r="D36" s="21"/>
      </tp>
      <tp t="e">
        <v>#N/A</v>
        <stp/>
        <stp>BDH|9392817329756120288</stp>
        <tr r="N24" s="22"/>
      </tp>
      <tp t="e">
        <v>#N/A</v>
        <stp/>
        <stp>BDH|6332543236566537165</stp>
        <tr r="L35" s="12"/>
      </tp>
      <tp t="e">
        <v>#N/A</v>
        <stp/>
        <stp>BDH|7181427435487113059</stp>
        <tr r="U10" s="21"/>
      </tp>
      <tp t="e">
        <v>#N/A</v>
        <stp/>
        <stp>BDH|5246662309755869174</stp>
        <tr r="J25" s="24"/>
      </tp>
      <tp t="e">
        <v>#N/A</v>
        <stp/>
        <stp>BDH|9218594488907366429</stp>
        <tr r="C7" s="4"/>
      </tp>
      <tp t="e">
        <v>#N/A</v>
        <stp/>
        <stp>BDH|3354660443966791037</stp>
        <tr r="E26" s="13"/>
      </tp>
      <tp t="e">
        <v>#N/A</v>
        <stp/>
        <stp>BDH|2570693280602669980</stp>
        <tr r="E118" s="18"/>
      </tp>
      <tp t="e">
        <v>#N/A</v>
        <stp/>
        <stp>BDH|6534497849628365940</stp>
        <tr r="F53" s="18"/>
      </tp>
      <tp t="e">
        <v>#N/A</v>
        <stp/>
        <stp>BDH|3041364251796536403</stp>
        <tr r="L22" s="27"/>
      </tp>
      <tp t="e">
        <v>#N/A</v>
        <stp/>
        <stp>BDH|8718887136534214095</stp>
        <tr r="N23" s="30"/>
        <tr r="N25" s="23"/>
      </tp>
      <tp t="e">
        <v>#N/A</v>
        <stp/>
        <stp>BDH|5907794270787645540</stp>
        <tr r="Y18" s="12"/>
      </tp>
      <tp t="e">
        <v>#N/A</v>
        <stp/>
        <stp>BDH|5441104411795365746</stp>
        <tr r="S34" s="29"/>
      </tp>
      <tp t="e">
        <v>#N/A</v>
        <stp/>
        <stp>BDH|3513732065702175705</stp>
        <tr r="J32" s="12"/>
      </tp>
      <tp t="e">
        <v>#N/A</v>
        <stp/>
        <stp>BDH|5362909975084113858</stp>
        <tr r="I13" s="20"/>
      </tp>
      <tp t="e">
        <v>#N/A</v>
        <stp/>
        <stp>BDH|3035931117028417425</stp>
        <tr r="N52" s="10"/>
        <tr r="N44" s="11"/>
        <tr r="N15" s="7"/>
      </tp>
      <tp t="e">
        <v>#N/A</v>
        <stp/>
        <stp>BDH|5902916740198973736</stp>
        <tr r="F46" s="18"/>
      </tp>
      <tp t="e">
        <v>#N/A</v>
        <stp/>
        <stp>BDH|3162740836171468158</stp>
        <tr r="I25" s="25"/>
        <tr r="I10" s="27"/>
      </tp>
      <tp t="e">
        <v>#N/A</v>
        <stp/>
        <stp>BDH|7597700071554277442</stp>
        <tr r="AA63" s="12"/>
      </tp>
      <tp t="e">
        <v>#N/A</v>
        <stp/>
        <stp>BDH|6393558520735472308</stp>
        <tr r="C66" s="24"/>
      </tp>
      <tp t="e">
        <v>#N/A</v>
        <stp/>
        <stp>BDH|8940194201437582965</stp>
        <tr r="Y46" s="18"/>
      </tp>
      <tp t="e">
        <v>#N/A</v>
        <stp/>
        <stp>BDH|5967280403704817488</stp>
        <tr r="J25" s="22"/>
      </tp>
      <tp t="e">
        <v>#N/A</v>
        <stp/>
        <stp>BDH|3391404001552625262</stp>
        <tr r="C27" s="22"/>
      </tp>
      <tp t="e">
        <v>#N/A</v>
        <stp/>
        <stp>BDH|9280042395214041314</stp>
        <tr r="W19" s="17"/>
      </tp>
      <tp t="e">
        <v>#N/A</v>
        <stp/>
        <stp>BDH|8614305781081586504</stp>
        <tr r="Z82" s="12"/>
      </tp>
      <tp t="e">
        <v>#N/A</v>
        <stp/>
        <stp>BDH|7562507755031519178</stp>
        <tr r="C23" s="2"/>
        <tr r="E18" s="21"/>
        <tr r="E23" s="3"/>
      </tp>
      <tp t="e">
        <v>#N/A</v>
        <stp/>
        <stp>BDH|7271367034495280504</stp>
        <tr r="Z8" s="21"/>
      </tp>
      <tp t="e">
        <v>#N/A</v>
        <stp/>
        <stp>BDH|1390101677270494028</stp>
        <tr r="R31" s="18"/>
      </tp>
      <tp t="e">
        <v>#N/A</v>
        <stp/>
        <stp>BDH|2371794479583145609</stp>
        <tr r="S24" s="6"/>
      </tp>
      <tp t="e">
        <v>#N/A</v>
        <stp/>
        <stp>BDH|6340608283737564877</stp>
        <tr r="X16" s="22"/>
      </tp>
      <tp t="e">
        <v>#N/A</v>
        <stp/>
        <stp>BDH|3630097867883357193</stp>
        <tr r="Y16" s="22"/>
      </tp>
      <tp t="e">
        <v>#N/A</v>
        <stp/>
        <stp>BDH|4499177211781011202</stp>
        <tr r="S60" s="12"/>
      </tp>
      <tp t="e">
        <v>#N/A</v>
        <stp/>
        <stp>BDH|5158234960020020609</stp>
        <tr r="X87" s="24"/>
      </tp>
      <tp t="e">
        <v>#N/A</v>
        <stp/>
        <stp>BDH|1719968694342476437</stp>
        <tr r="O18" s="25"/>
      </tp>
      <tp t="e">
        <v>#N/A</v>
        <stp/>
        <stp>BDH|4788496437821298592</stp>
        <tr r="X30" s="25"/>
        <tr r="X16" s="27"/>
      </tp>
      <tp t="e">
        <v>#N/A</v>
        <stp/>
        <stp>BDH|2491135622476450030</stp>
        <tr r="Y63" s="18"/>
      </tp>
      <tp t="e">
        <v>#N/A</v>
        <stp/>
        <stp>BDH|5612838262884089854</stp>
        <tr r="L46" s="4"/>
        <tr r="L23" s="10"/>
        <tr r="N37" s="13"/>
      </tp>
      <tp t="e">
        <v>#N/A</v>
        <stp/>
        <stp>BDH|2485194566625170780</stp>
        <tr r="Q38" s="18"/>
      </tp>
      <tp t="e">
        <v>#N/A</v>
        <stp/>
        <stp>BDH|7619899925193045980</stp>
        <tr r="L34" s="9"/>
      </tp>
      <tp t="e">
        <v>#N/A</v>
        <stp/>
        <stp>BDH|3523135731133437519</stp>
        <tr r="O21" s="27"/>
      </tp>
      <tp t="e">
        <v>#N/A</v>
        <stp/>
        <stp>BDH|2497804395767140322</stp>
        <tr r="I21" s="17"/>
        <tr r="I15" s="3"/>
      </tp>
      <tp t="e">
        <v>#N/A</v>
        <stp/>
        <stp>BDH|6509572707850035475</stp>
        <tr r="X54" s="18"/>
      </tp>
      <tp t="e">
        <v>#N/A</v>
        <stp/>
        <stp>BDH|5619504443074212758</stp>
        <tr r="E13" s="11"/>
      </tp>
      <tp t="e">
        <v>#N/A</v>
        <stp/>
        <stp>BDH|4434039313485714713</stp>
        <tr r="H52" s="24"/>
      </tp>
      <tp t="e">
        <v>#N/A</v>
        <stp/>
        <stp>BDH|4393220514782535223</stp>
        <tr r="N35" s="22"/>
      </tp>
      <tp t="e">
        <v>#N/A</v>
        <stp/>
        <stp>BDH|6590509711893175671</stp>
        <tr r="F127" s="18"/>
      </tp>
      <tp t="e">
        <v>#N/A</v>
        <stp/>
        <stp>BDH|8314228754630485826</stp>
        <tr r="Y45" s="34"/>
      </tp>
      <tp t="e">
        <v>#N/A</v>
        <stp/>
        <stp>BDH|3383194409566711379</stp>
        <tr r="L18" s="17"/>
      </tp>
      <tp t="e">
        <v>#N/A</v>
        <stp/>
        <stp>BDH|9325066366430964897</stp>
        <tr r="AA28" s="12"/>
      </tp>
      <tp t="e">
        <v>#N/A</v>
        <stp/>
        <stp>BDH|6111809693670870099</stp>
        <tr r="Y49" s="13"/>
      </tp>
      <tp t="e">
        <v>#N/A</v>
        <stp/>
        <stp>BDH|9216428275649663409</stp>
        <tr r="T11" s="22"/>
      </tp>
      <tp t="e">
        <v>#N/A</v>
        <stp/>
        <stp>BDH|4489644483494989993</stp>
        <tr r="S73" s="18"/>
      </tp>
      <tp t="e">
        <v>#N/A</v>
        <stp/>
        <stp>BDH|4252997430961096880</stp>
        <tr r="AA20" s="17"/>
      </tp>
      <tp t="e">
        <v>#N/A</v>
        <stp/>
        <stp>BDH|2161588440884315095</stp>
        <tr r="H23" s="17"/>
      </tp>
      <tp t="e">
        <v>#N/A</v>
        <stp/>
        <stp>BDH|8102012304067073870</stp>
        <tr r="O38" s="25"/>
      </tp>
      <tp t="e">
        <v>#N/A</v>
        <stp/>
        <stp>BDH|6729093694368033094</stp>
        <tr r="D30" s="12"/>
      </tp>
      <tp t="e">
        <v>#N/A</v>
        <stp/>
        <stp>BDH|4587253095241795914</stp>
        <tr r="I34" s="21"/>
      </tp>
      <tp t="e">
        <v>#N/A</v>
        <stp/>
        <stp>BDH|9937230033788304793</stp>
        <tr r="C14" s="17"/>
        <tr r="C17" s="28"/>
      </tp>
      <tp t="e">
        <v>#N/A</v>
        <stp/>
        <stp>BDH|6575702282566434805</stp>
        <tr r="R7" s="30"/>
      </tp>
      <tp t="e">
        <v>#N/A</v>
        <stp/>
        <stp>BDH|8010628181662201329</stp>
        <tr r="H97" s="18"/>
        <tr r="H6" s="20"/>
      </tp>
      <tp t="e">
        <v>#N/A</v>
        <stp/>
        <stp>BDH|5647869394450790306</stp>
        <tr r="N37" s="34"/>
      </tp>
      <tp t="e">
        <v>#N/A</v>
        <stp/>
        <stp>BDH|4012727827945406329</stp>
        <tr r="P15" s="13"/>
      </tp>
      <tp t="e">
        <v>#N/A</v>
        <stp/>
        <stp>BDH|5360588659971072319</stp>
        <tr r="Y10" s="12"/>
      </tp>
      <tp t="e">
        <v>#N/A</v>
        <stp/>
        <stp>BDH|1809242128913575525</stp>
        <tr r="H50" s="21"/>
      </tp>
      <tp t="e">
        <v>#N/A</v>
        <stp/>
        <stp>BDH|8529907844997118535</stp>
        <tr r="Y12" s="20"/>
      </tp>
      <tp t="e">
        <v>#N/A</v>
        <stp/>
        <stp>BDH|4277866402669382264</stp>
        <tr r="E33" s="24"/>
      </tp>
      <tp t="e">
        <v>#N/A</v>
        <stp/>
        <stp>BDH|5825639049138211830</stp>
        <tr r="O85" s="17"/>
      </tp>
      <tp t="e">
        <v>#N/A</v>
        <stp/>
        <stp>BDH|1225342711313280760</stp>
        <tr r="K38" s="25"/>
      </tp>
      <tp t="e">
        <v>#N/A</v>
        <stp/>
        <stp>BDH|4302017161026759379</stp>
        <tr r="R34" s="22"/>
      </tp>
      <tp t="e">
        <v>#N/A</v>
        <stp/>
        <stp>BDH|1895359003545898057</stp>
        <tr r="W52" s="21"/>
      </tp>
      <tp t="e">
        <v>#N/A</v>
        <stp/>
        <stp>BDH|3158010393124879989</stp>
        <tr r="D63" s="13"/>
      </tp>
      <tp t="e">
        <v>#N/A</v>
        <stp/>
        <stp>BDH|5089375511957667738</stp>
        <tr r="N36" s="4"/>
      </tp>
      <tp t="e">
        <v>#N/A</v>
        <stp/>
        <stp>BDH|9716367835739527729</stp>
        <tr r="O47" s="18"/>
      </tp>
      <tp t="e">
        <v>#N/A</v>
        <stp/>
        <stp>BDH|4235463026972063712</stp>
        <tr r="F82" s="24"/>
      </tp>
      <tp t="e">
        <v>#N/A</v>
        <stp/>
        <stp>BDH|2354118955477618625</stp>
        <tr r="M22" s="4"/>
      </tp>
      <tp t="e">
        <v>#N/A</v>
        <stp/>
        <stp>BDH|7429813067128246638</stp>
        <tr r="C57" s="10"/>
        <tr r="C49" s="11"/>
        <tr r="C18" s="7"/>
        <tr r="E57" s="13"/>
      </tp>
      <tp t="e">
        <v>#N/A</v>
        <stp/>
        <stp>BDH|6481375800456452440</stp>
        <tr r="K61" s="11"/>
      </tp>
      <tp t="e">
        <v>#N/A</v>
        <stp/>
        <stp>BDH|5028979690741650326</stp>
        <tr r="S39" s="6"/>
      </tp>
      <tp t="e">
        <v>#N/A</v>
        <stp/>
        <stp>BDH|2625958284126525217</stp>
        <tr r="L52" s="21"/>
      </tp>
      <tp t="e">
        <v>#N/A</v>
        <stp/>
        <stp>BDH|4133370973137656009</stp>
        <tr r="E25" s="22"/>
      </tp>
      <tp t="e">
        <v>#N/A</v>
        <stp/>
        <stp>BDH|6048507785928552431</stp>
        <tr r="S9" s="26"/>
      </tp>
      <tp t="e">
        <v>#N/A</v>
        <stp/>
        <stp>BDH|9292744285187563654</stp>
        <tr r="W13" s="22"/>
      </tp>
      <tp t="e">
        <v>#N/A</v>
        <stp/>
        <stp>BDH|8026513580826085410</stp>
        <tr r="W10" s="10"/>
      </tp>
      <tp t="e">
        <v>#N/A</v>
        <stp/>
        <stp>BDH|6984067146914843113</stp>
        <tr r="L19" s="25"/>
      </tp>
      <tp t="e">
        <v>#N/A</v>
        <stp/>
        <stp>BDH|4733972189561831317</stp>
        <tr r="G66" s="12"/>
      </tp>
      <tp t="e">
        <v>#N/A</v>
        <stp/>
        <stp>BDH|1135471968764644081</stp>
        <tr r="N47" s="13"/>
      </tp>
      <tp t="e">
        <v>#N/A</v>
        <stp/>
        <stp>BDH|3087427722524392630</stp>
        <tr r="J66" s="18"/>
      </tp>
      <tp t="e">
        <v>#N/A</v>
        <stp/>
        <stp>BDH|3232161472030466227</stp>
        <tr r="M34" s="12"/>
      </tp>
      <tp t="e">
        <v>#N/A</v>
        <stp/>
        <stp>BDH|8928543403229951375</stp>
        <tr r="M29" s="10"/>
        <tr r="O35" s="13"/>
      </tp>
      <tp t="e">
        <v>#N/A</v>
        <stp/>
        <stp>BDH|2426937312894677939</stp>
        <tr r="O90" s="24"/>
      </tp>
      <tp t="e">
        <v>#N/A</v>
        <stp/>
        <stp>BDH|8454833230042422636</stp>
        <tr r="H88" s="17"/>
      </tp>
      <tp t="e">
        <v>#N/A</v>
        <stp/>
        <stp>BDH|2703210069766619794</stp>
        <tr r="U41" s="21"/>
      </tp>
      <tp t="e">
        <v>#N/A</v>
        <stp/>
        <stp>BDH|8707971477336349744</stp>
        <tr r="K11" s="12"/>
      </tp>
      <tp t="e">
        <v>#N/A</v>
        <stp/>
        <stp>BDH|1563424276484503144</stp>
        <tr r="Z44" s="18"/>
      </tp>
      <tp t="e">
        <v>#N/A</v>
        <stp/>
        <stp>BDH|1030161534010461461</stp>
        <tr r="J26" s="17"/>
      </tp>
      <tp t="e">
        <v>#N/A</v>
        <stp/>
        <stp>BDH|1562725445722436762</stp>
        <tr r="W80" s="18"/>
      </tp>
      <tp t="e">
        <v>#N/A</v>
        <stp/>
        <stp>BDH|1651561907126036573</stp>
        <tr r="W17" s="4"/>
        <tr r="Y10" s="3"/>
        <tr r="W56" s="10"/>
        <tr r="W48" s="11"/>
        <tr r="W17" s="7"/>
        <tr r="Y54" s="13"/>
      </tp>
      <tp t="e">
        <v>#N/A</v>
        <stp/>
        <stp>BDH|1013954480466360163</stp>
        <tr r="H12" s="10"/>
      </tp>
      <tp t="e">
        <v>#N/A</v>
        <stp/>
        <stp>BDH|1387001845443707119</stp>
        <tr r="H21" s="27"/>
      </tp>
      <tp t="e">
        <v>#N/A</v>
        <stp/>
        <stp>BDH|3031403912568497968</stp>
        <tr r="U40" s="18"/>
      </tp>
      <tp t="e">
        <v>#N/A</v>
        <stp/>
        <stp>BDH|6873985752814542979</stp>
        <tr r="AA25" s="34"/>
      </tp>
      <tp t="e">
        <v>#N/A</v>
        <stp/>
        <stp>BDH|4656154954654139363</stp>
        <tr r="L10" s="2"/>
        <tr r="K11" s="5"/>
        <tr r="K55" s="6"/>
        <tr r="L33" s="29"/>
        <tr r="L42" s="29"/>
      </tp>
      <tp t="e">
        <v>#N/A</v>
        <stp/>
        <stp>BDH|2331307876692423316</stp>
        <tr r="L36" s="21"/>
      </tp>
      <tp t="e">
        <v>#N/A</v>
        <stp/>
        <stp>BDH|4622891490305835775</stp>
        <tr r="C17" s="17"/>
        <tr r="C20" s="28"/>
      </tp>
      <tp t="e">
        <v>#N/A</v>
        <stp/>
        <stp>BDH|9430144130979640563</stp>
        <tr r="V11" s="9"/>
      </tp>
      <tp t="e">
        <v>#N/A</v>
        <stp/>
        <stp>BDH|2784174446976190675</stp>
        <tr r="F20" s="2"/>
        <tr r="F18" s="4"/>
        <tr r="F58" s="10"/>
        <tr r="F50" s="11"/>
        <tr r="F19" s="7"/>
        <tr r="H65" s="13"/>
      </tp>
      <tp t="e">
        <v>#N/A</v>
        <stp/>
        <stp>BDH|3210760043831739603</stp>
        <tr r="O89" s="12"/>
      </tp>
      <tp t="e">
        <v>#N/A</v>
        <stp/>
        <stp>BDH|5681941059008826633</stp>
        <tr r="J88" s="12"/>
      </tp>
      <tp t="e">
        <v>#N/A</v>
        <stp/>
        <stp>BDH|1088156853933047168</stp>
        <tr r="N65" s="17"/>
      </tp>
      <tp t="e">
        <v>#N/A</v>
        <stp/>
        <stp>BDH|4635288313295967544</stp>
        <tr r="W15" s="30"/>
      </tp>
      <tp t="e">
        <v>#N/A</v>
        <stp/>
        <stp>BDH|1701079082288492669</stp>
        <tr r="V28" s="4"/>
      </tp>
      <tp t="e">
        <v>#N/A</v>
        <stp/>
        <stp>BDH|1290766350256661221</stp>
        <tr r="T18" s="29"/>
        <tr r="T41" s="29"/>
      </tp>
      <tp t="e">
        <v>#N/A</v>
        <stp/>
        <stp>BDH|2591981729249038743</stp>
        <tr r="F34" s="14"/>
      </tp>
      <tp t="e">
        <v>#N/A</v>
        <stp/>
        <stp>BDH|2692347661605550560</stp>
        <tr r="O97" s="18"/>
        <tr r="O6" s="20"/>
      </tp>
      <tp t="e">
        <v>#N/A</v>
        <stp/>
        <stp>BDH|3035862024949547771</stp>
        <tr r="K136" s="18"/>
      </tp>
      <tp t="e">
        <v>#N/A</v>
        <stp/>
        <stp>BDH|6204448134473795558</stp>
        <tr r="R25" s="12"/>
      </tp>
      <tp t="e">
        <v>#N/A</v>
        <stp/>
        <stp>BDH|5443554218126851019</stp>
        <tr r="C38" s="22"/>
      </tp>
      <tp t="e">
        <v>#N/A</v>
        <stp/>
        <stp>BDH|5086749901091581407</stp>
        <tr r="AA42" s="34"/>
      </tp>
      <tp t="e">
        <v>#N/A</v>
        <stp/>
        <stp>BDH|1238330346829117864</stp>
        <tr r="Y114" s="18"/>
      </tp>
      <tp t="e">
        <v>#N/A</v>
        <stp/>
        <stp>BDH|8633310746179136110</stp>
        <tr r="C83" s="24"/>
      </tp>
      <tp t="e">
        <v>#N/A</v>
        <stp/>
        <stp>BDH|7864027314030902161</stp>
        <tr r="D25" s="9"/>
      </tp>
      <tp t="e">
        <v>#N/A</v>
        <stp/>
        <stp>BDH|4505257626656221553</stp>
        <tr r="T60" s="11"/>
        <tr r="V19" s="23"/>
      </tp>
      <tp t="e">
        <v>#N/A</v>
        <stp/>
        <stp>BDH|8917845726547889229</stp>
        <tr r="Y7" s="10"/>
      </tp>
      <tp t="e">
        <v>#N/A</v>
        <stp/>
        <stp>BDH|7873193892518034022</stp>
        <tr r="V85" s="12"/>
      </tp>
      <tp t="e">
        <v>#N/A</v>
        <stp/>
        <stp>BDH|9358964766011376016</stp>
        <tr r="O90" s="17"/>
      </tp>
      <tp t="e">
        <v>#N/A</v>
        <stp/>
        <stp>BDH|1444757998549150193</stp>
        <tr r="P11" s="7"/>
      </tp>
      <tp t="e">
        <v>#N/A</v>
        <stp/>
        <stp>BDH|5558499405053180594</stp>
        <tr r="AA13" s="20"/>
      </tp>
      <tp t="e">
        <v>#N/A</v>
        <stp/>
        <stp>BDH|4088747587305556979</stp>
        <tr r="R18" s="12"/>
      </tp>
      <tp t="e">
        <v>#N/A</v>
        <stp/>
        <stp>BDH|4873479204621827629</stp>
        <tr r="Y113" s="18"/>
      </tp>
      <tp t="e">
        <v>#N/A</v>
        <stp/>
        <stp>BDH|7762734066121217011</stp>
        <tr r="L12" s="10"/>
      </tp>
      <tp t="e">
        <v>#N/A</v>
        <stp/>
        <stp>BDH|4534420262066722732</stp>
        <tr r="I34" s="6"/>
      </tp>
      <tp t="e">
        <v>#N/A</v>
        <stp/>
        <stp>BDH|6695827320668283373</stp>
        <tr r="N28" s="17"/>
      </tp>
      <tp t="e">
        <v>#N/A</v>
        <stp/>
        <stp>BDH|2221292767576552782</stp>
        <tr r="J79" s="18"/>
      </tp>
      <tp t="e">
        <v>#N/A</v>
        <stp/>
        <stp>BDH|5720799835523983534</stp>
        <tr r="X35" s="18"/>
      </tp>
      <tp t="e">
        <v>#N/A</v>
        <stp/>
        <stp>BDH|3669265839036934315</stp>
        <tr r="F17" s="9"/>
      </tp>
      <tp t="e">
        <v>#N/A</v>
        <stp/>
        <stp>BDH|4922284964012724531</stp>
        <tr r="Q76" s="17"/>
        <tr r="Q19" s="3"/>
      </tp>
      <tp t="e">
        <v>#N/A</v>
        <stp/>
        <stp>BDH|7430113804246969790</stp>
        <tr r="Y38" s="34"/>
      </tp>
      <tp t="e">
        <v>#N/A</v>
        <stp/>
        <stp>BDH|6886140198500789921</stp>
        <tr r="P24" s="29"/>
      </tp>
      <tp t="e">
        <v>#N/A</v>
        <stp/>
        <stp>BDH|2790688215372364083</stp>
        <tr r="E110" s="18"/>
      </tp>
      <tp t="e">
        <v>#N/A</v>
        <stp/>
        <stp>BDH|6448274123041515046</stp>
        <tr r="C7" s="17"/>
      </tp>
      <tp t="e">
        <v>#N/A</v>
        <stp/>
        <stp>BDH|2450639824762447368</stp>
        <tr r="N54" s="24"/>
      </tp>
      <tp t="e">
        <v>#N/A</v>
        <stp/>
        <stp>BDH|2784563970694231328</stp>
        <tr r="J34" s="17"/>
      </tp>
      <tp t="e">
        <v>#N/A</v>
        <stp/>
        <stp>BDH|5410539867319286835</stp>
        <tr r="H10" s="2"/>
        <tr r="G11" s="5"/>
        <tr r="G55" s="6"/>
        <tr r="H33" s="29"/>
        <tr r="H42" s="29"/>
      </tp>
      <tp t="e">
        <v>#N/A</v>
        <stp/>
        <stp>BDH|8762998027794861006</stp>
        <tr r="N80" s="12"/>
      </tp>
      <tp t="e">
        <v>#N/A</v>
        <stp/>
        <stp>BDH|1489456630241019005</stp>
        <tr r="T28" s="21"/>
      </tp>
      <tp t="e">
        <v>#N/A</v>
        <stp/>
        <stp>BDH|2307168954344010502</stp>
        <tr r="M73" s="24"/>
      </tp>
      <tp t="e">
        <v>#N/A</v>
        <stp/>
        <stp>BDH|3207540662853404413</stp>
        <tr r="M40" s="17"/>
      </tp>
      <tp t="e">
        <v>#N/A</v>
        <stp/>
        <stp>BDH|8911260319738745408</stp>
        <tr r="N30" s="26"/>
      </tp>
      <tp t="e">
        <v>#N/A</v>
        <stp/>
        <stp>BDH|7930893484810436011</stp>
        <tr r="T13" s="26"/>
      </tp>
      <tp t="e">
        <v>#N/A</v>
        <stp/>
        <stp>BDH|9815899704573609527</stp>
        <tr r="G10" s="2"/>
        <tr r="F11" s="5"/>
        <tr r="F55" s="6"/>
        <tr r="G33" s="29"/>
        <tr r="G42" s="29"/>
      </tp>
      <tp t="e">
        <v>#N/A</v>
        <stp/>
        <stp>BDH|2644349932084627172</stp>
        <tr r="I16" s="24"/>
      </tp>
      <tp t="e">
        <v>#N/A</v>
        <stp/>
        <stp>BDH|2379456005971032026</stp>
        <tr r="AA24" s="21"/>
      </tp>
      <tp t="e">
        <v>#N/A</v>
        <stp/>
        <stp>BDH|2428920295604000129</stp>
        <tr r="I12" s="11"/>
      </tp>
      <tp t="e">
        <v>#N/A</v>
        <stp/>
        <stp>BDH|5671068102690751240</stp>
        <tr r="L27" s="10"/>
        <tr r="N33" s="13"/>
      </tp>
      <tp t="e">
        <v>#N/A</v>
        <stp/>
        <stp>BDH|1901799918879895914</stp>
        <tr r="S81" s="24"/>
      </tp>
      <tp t="e">
        <v>#N/A</v>
        <stp/>
        <stp>BDH|1226200031526794151</stp>
        <tr r="W29" s="6"/>
      </tp>
      <tp t="e">
        <v>#N/A</v>
        <stp/>
        <stp>BDH|2623655127333121249</stp>
        <tr r="L23" s="24"/>
      </tp>
      <tp t="e">
        <v>#N/A</v>
        <stp/>
        <stp>BDH|4280765327081732750</stp>
        <tr r="C7" s="10"/>
      </tp>
      <tp t="e">
        <v>#N/A</v>
        <stp/>
        <stp>BDH|1264653258510996508</stp>
        <tr r="G24" s="17"/>
      </tp>
      <tp t="e">
        <v>#N/A</v>
        <stp/>
        <stp>BDH|4575106636388673934</stp>
        <tr r="R7" s="6"/>
      </tp>
      <tp t="e">
        <v>#N/A</v>
        <stp/>
        <stp>BDH|3130708909076794593</stp>
        <tr r="M87" s="17"/>
      </tp>
      <tp t="e">
        <v>#N/A</v>
        <stp/>
        <stp>BDH|6637726619242271590</stp>
        <tr r="G10" s="18"/>
      </tp>
      <tp t="e">
        <v>#N/A</v>
        <stp/>
        <stp>BDH|9312923360151540027</stp>
        <tr r="AA53" s="24"/>
      </tp>
      <tp t="e">
        <v>#N/A</v>
        <stp/>
        <stp>BDH|1904994096667234121</stp>
        <tr r="F38" s="10"/>
        <tr r="F30" s="11"/>
        <tr r="H42" s="13"/>
      </tp>
      <tp t="e">
        <v>#N/A</v>
        <stp/>
        <stp>BDH|2013277539137903317</stp>
        <tr r="T32" s="22"/>
      </tp>
      <tp t="e">
        <v>#N/A</v>
        <stp/>
        <stp>BDH|5311540339627066381</stp>
        <tr r="AA122" s="18"/>
      </tp>
      <tp t="e">
        <v>#N/A</v>
        <stp/>
        <stp>BDH|8113963650042737161</stp>
        <tr r="D24" s="12"/>
      </tp>
      <tp t="e">
        <v>#N/A</v>
        <stp/>
        <stp>BDH|1881384813190580405</stp>
        <tr r="O24" s="2"/>
      </tp>
      <tp t="e">
        <v>#N/A</v>
        <stp/>
        <stp>BDH|5746024110243773045</stp>
        <tr r="V26" s="25"/>
        <tr r="V12" s="27"/>
      </tp>
      <tp t="e">
        <v>#N/A</v>
        <stp/>
        <stp>BDH|1163902295242317417</stp>
        <tr r="E20" s="27"/>
      </tp>
      <tp t="e">
        <v>#N/A</v>
        <stp/>
        <stp>BDH|5959546323487140293</stp>
        <tr r="AA41" s="22"/>
      </tp>
      <tp t="e">
        <v>#N/A</v>
        <stp/>
        <stp>BDH|3119249036575250078</stp>
        <tr r="T18" s="5"/>
        <tr r="T41" s="6"/>
      </tp>
      <tp t="e">
        <v>#N/A</v>
        <stp/>
        <stp>BDH|8544577685251709361</stp>
        <tr r="C73" s="10"/>
        <tr r="C65" s="11"/>
      </tp>
      <tp t="e">
        <v>#N/A</v>
        <stp/>
        <stp>BDH|3601571231651272343</stp>
        <tr r="I9" s="26"/>
      </tp>
      <tp t="e">
        <v>#N/A</v>
        <stp/>
        <stp>BDH|2622489419729491956</stp>
        <tr r="H34" s="18"/>
      </tp>
      <tp t="e">
        <v>#N/A</v>
        <stp/>
        <stp>BDH|2639174924713776544</stp>
        <tr r="W50" s="21"/>
      </tp>
      <tp t="e">
        <v>#N/A</v>
        <stp/>
        <stp>BDH|6444361641644446214</stp>
        <tr r="Z94" s="18"/>
      </tp>
      <tp t="e">
        <v>#N/A</v>
        <stp/>
        <stp>BDH|2753362122503130742</stp>
        <tr r="I87" s="17"/>
      </tp>
      <tp t="e">
        <v>#N/A</v>
        <stp/>
        <stp>BDH|4864664424060570790</stp>
        <tr r="D52" s="21"/>
      </tp>
      <tp t="e">
        <v>#N/A</v>
        <stp/>
        <stp>BDH|2118670730722300233</stp>
        <tr r="F29" s="6"/>
      </tp>
      <tp t="e">
        <v>#N/A</v>
        <stp/>
        <stp>BDH|7115411564236424464</stp>
        <tr r="L10" s="24"/>
      </tp>
      <tp t="e">
        <v>#N/A</v>
        <stp/>
        <stp>BDH|5124385468517560020</stp>
        <tr r="E76" s="12"/>
      </tp>
      <tp t="e">
        <v>#N/A</v>
        <stp/>
        <stp>BDH|5157140422700256130</stp>
        <tr r="X20" s="10"/>
      </tp>
      <tp t="e">
        <v>#N/A</v>
        <stp/>
        <stp>BDH|1853088727552772668</stp>
        <tr r="X82" s="17"/>
      </tp>
      <tp t="e">
        <v>#N/A</v>
        <stp/>
        <stp>BDH|2483139980444957887</stp>
        <tr r="K50" s="4"/>
      </tp>
      <tp t="e">
        <v>#N/A</v>
        <stp/>
        <stp>BDH|6008386468553753711</stp>
        <tr r="D32" s="18"/>
      </tp>
      <tp t="e">
        <v>#N/A</v>
        <stp/>
        <stp>BDH|4316414256383489168</stp>
        <tr r="V54" s="21"/>
      </tp>
      <tp t="e">
        <v>#N/A</v>
        <stp/>
        <stp>BDH|2475541214433407264</stp>
        <tr r="D57" s="10"/>
        <tr r="D49" s="11"/>
        <tr r="D18" s="7"/>
        <tr r="F57" s="13"/>
      </tp>
      <tp t="e">
        <v>#N/A</v>
        <stp/>
        <stp>BDH|7693872129998808264</stp>
        <tr r="S89" s="12"/>
      </tp>
      <tp t="e">
        <v>#N/A</v>
        <stp/>
        <stp>BDH|7632664066002818280</stp>
        <tr r="U15" s="17"/>
        <tr r="U18" s="28"/>
      </tp>
      <tp t="e">
        <v>#N/A</v>
        <stp/>
        <stp>BDH|9173823108251492796</stp>
        <tr r="H11" s="17"/>
      </tp>
      <tp t="e">
        <v>#N/A</v>
        <stp/>
        <stp>BDH|8785681389363957296</stp>
        <tr r="J17" s="11"/>
      </tp>
      <tp t="e">
        <v>#N/A</v>
        <stp/>
        <stp>BDH|5114961655247385973</stp>
        <tr r="J40" s="18"/>
      </tp>
      <tp t="e">
        <v>#N/A</v>
        <stp/>
        <stp>BDH|2836948181503279790</stp>
        <tr r="W97" s="18"/>
        <tr r="W6" s="20"/>
      </tp>
      <tp t="e">
        <v>#N/A</v>
        <stp/>
        <stp>BDH|3828452379811611640</stp>
        <tr r="U36" s="4"/>
      </tp>
      <tp t="e">
        <v>#N/A</v>
        <stp/>
        <stp>BDH|5017539215261026700</stp>
        <tr r="U81" s="17"/>
        <tr r="U20" s="3"/>
        <tr r="S6" s="7"/>
      </tp>
      <tp t="e">
        <v>#N/A</v>
        <stp/>
        <stp>BDH|4299705091035776823</stp>
        <tr r="L33" s="5"/>
      </tp>
      <tp t="e">
        <v>#N/A</v>
        <stp/>
        <stp>BDH|4694048414741498347</stp>
        <tr r="N25" s="17"/>
      </tp>
      <tp t="e">
        <v>#N/A</v>
        <stp/>
        <stp>BDH|8494757149798834462</stp>
        <tr r="X14" s="11"/>
      </tp>
      <tp t="e">
        <v>#N/A</v>
        <stp/>
        <stp>BDH|8081809400592457529</stp>
        <tr r="AA10" s="13"/>
      </tp>
      <tp t="e">
        <v>#N/A</v>
        <stp/>
        <stp>BDH|9337223818234727988</stp>
        <tr r="M33" s="5"/>
      </tp>
      <tp t="e">
        <v>#N/A</v>
        <stp/>
        <stp>BDH|3076068738504057384</stp>
        <tr r="K14" s="28"/>
      </tp>
      <tp t="e">
        <v>#N/A</v>
        <stp/>
        <stp>BDH|6271782778894318577</stp>
        <tr r="J29" s="17"/>
      </tp>
      <tp t="e">
        <v>#N/A</v>
        <stp/>
        <stp>BDH|1985359567571996246</stp>
        <tr r="T14" s="17"/>
        <tr r="T17" s="28"/>
      </tp>
      <tp t="e">
        <v>#N/A</v>
        <stp/>
        <stp>BDH|5455124010085791773</stp>
        <tr r="R45" s="24"/>
      </tp>
      <tp t="e">
        <v>#N/A</v>
        <stp/>
        <stp>BDH|5555325851345215129</stp>
        <tr r="L25" s="13"/>
      </tp>
      <tp t="e">
        <v>#N/A</v>
        <stp/>
        <stp>BDH|5582443356761139204</stp>
        <tr r="U33" s="17"/>
      </tp>
      <tp t="e">
        <v>#N/A</v>
        <stp/>
        <stp>BDH|3489526865775133240</stp>
        <tr r="D18" s="26"/>
      </tp>
      <tp t="e">
        <v>#N/A</v>
        <stp/>
        <stp>BDH|5434039581563554950</stp>
        <tr r="M8" s="2"/>
      </tp>
      <tp t="e">
        <v>#N/A</v>
        <stp/>
        <stp>BDH|6787997369486735862</stp>
        <tr r="V24" s="21"/>
      </tp>
      <tp t="e">
        <v>#N/A</v>
        <stp/>
        <stp>BDH|6551590248475782556</stp>
        <tr r="M25" s="14"/>
      </tp>
      <tp t="e">
        <v>#N/A</v>
        <stp/>
        <stp>BDH|9036139121608647527</stp>
        <tr r="AA129" s="18"/>
      </tp>
      <tp t="e">
        <v>#N/A</v>
        <stp/>
        <stp>BDH|3357950682607575265</stp>
        <tr r="J14" s="23"/>
      </tp>
      <tp t="e">
        <v>#N/A</v>
        <stp/>
        <stp>BDH|7967057648511444571</stp>
        <tr r="M7" s="11"/>
      </tp>
      <tp t="e">
        <v>#N/A</v>
        <stp/>
        <stp>BDH|2866090567736095519</stp>
        <tr r="Y8" s="12"/>
      </tp>
      <tp t="e">
        <v>#N/A</v>
        <stp/>
        <stp>BDH|3086807634737692850</stp>
        <tr r="C65" s="12"/>
      </tp>
      <tp t="e">
        <v>#N/A</v>
        <stp/>
        <stp>BDH|6958113579784384358</stp>
        <tr r="F25" s="3"/>
      </tp>
      <tp t="e">
        <v>#N/A</v>
        <stp/>
        <stp>BDH|3018124792735051976</stp>
        <tr r="R7" s="2"/>
        <tr r="Q7" s="5"/>
        <tr r="Q7" s="9"/>
        <tr r="T14" s="3"/>
      </tp>
      <tp t="e">
        <v>#N/A</v>
        <stp/>
        <stp>BDH|1309351841027835681</stp>
        <tr r="AA19" s="22"/>
      </tp>
      <tp t="e">
        <v>#N/A</v>
        <stp/>
        <stp>BDH|3870583101869294846</stp>
        <tr r="T61" s="12"/>
      </tp>
      <tp t="e">
        <v>#N/A</v>
        <stp/>
        <stp>BDH|8475348150729089073</stp>
        <tr r="C35" s="21"/>
      </tp>
      <tp t="e">
        <v>#N/A</v>
        <stp/>
        <stp>BDH|4447622544296471710</stp>
        <tr r="D39" s="17"/>
      </tp>
      <tp t="e">
        <v>#N/A</v>
        <stp/>
        <stp>BDH|6476061992000618815</stp>
        <tr r="M62" s="13"/>
      </tp>
      <tp t="e">
        <v>#N/A</v>
        <stp/>
        <stp>BDH|7790134543320747578</stp>
        <tr r="C13" s="23"/>
      </tp>
      <tp t="e">
        <v>#N/A</v>
        <stp/>
        <stp>BDH|3930633849810031649</stp>
        <tr r="C27" s="10"/>
        <tr r="E33" s="13"/>
      </tp>
      <tp t="e">
        <v>#N/A</v>
        <stp/>
        <stp>BDH|4342046875061045554</stp>
        <tr r="M21" s="4"/>
      </tp>
      <tp t="e">
        <v>#N/A</v>
        <stp/>
        <stp>BDH|6934124265083822510</stp>
        <tr r="N33" s="6"/>
      </tp>
      <tp t="e">
        <v>#N/A</v>
        <stp/>
        <stp>BDH|3399500365957432056</stp>
        <tr r="J23" s="30"/>
        <tr r="J25" s="23"/>
      </tp>
      <tp t="e">
        <v>#N/A</v>
        <stp/>
        <stp>BDH|8399968774670677105</stp>
        <tr r="X37" s="34"/>
      </tp>
      <tp t="e">
        <v>#N/A</v>
        <stp/>
        <stp>BDH|1991288875315743643</stp>
        <tr r="P37" s="6"/>
      </tp>
      <tp t="e">
        <v>#N/A</v>
        <stp/>
        <stp>BDH|2284760120181642159</stp>
        <tr r="T140" s="18"/>
      </tp>
      <tp t="e">
        <v>#N/A</v>
        <stp/>
        <stp>BDH|3873208560591994167</stp>
        <tr r="S17" s="4"/>
        <tr r="U10" s="3"/>
        <tr r="S56" s="10"/>
        <tr r="S48" s="11"/>
        <tr r="S17" s="7"/>
        <tr r="U54" s="13"/>
      </tp>
      <tp t="e">
        <v>#N/A</v>
        <stp/>
        <stp>BDH|7223268233975410445</stp>
        <tr r="H89" s="24"/>
      </tp>
      <tp t="e">
        <v>#N/A</v>
        <stp/>
        <stp>BDH|7423930282044547571</stp>
        <tr r="Z91" s="24"/>
      </tp>
      <tp t="e">
        <v>#N/A</v>
        <stp/>
        <stp>BDH|4879982376428235535</stp>
        <tr r="M7" s="8"/>
      </tp>
      <tp t="e">
        <v>#N/A</v>
        <stp/>
        <stp>BDH|5259500075576354632</stp>
        <tr r="W26" s="25"/>
        <tr r="W12" s="27"/>
      </tp>
      <tp t="e">
        <v>#N/A</v>
        <stp/>
        <stp>BDH|1664724534724108662</stp>
        <tr r="D101" s="18"/>
      </tp>
      <tp t="e">
        <v>#N/A</v>
        <stp/>
        <stp>BDH|9665616386627014761</stp>
        <tr r="G58" s="6"/>
      </tp>
      <tp t="e">
        <v>#N/A</v>
        <stp/>
        <stp>BDH|4766736637011793630</stp>
        <tr r="D37" s="10"/>
        <tr r="D29" s="11"/>
        <tr r="F41" s="13"/>
      </tp>
      <tp t="e">
        <v>#N/A</v>
        <stp/>
        <stp>BDH|8269830952025080747</stp>
        <tr r="J48" s="21"/>
      </tp>
      <tp t="e">
        <v>#N/A</v>
        <stp/>
        <stp>BDH|6253940651805129816</stp>
        <tr r="AA19" s="17"/>
      </tp>
      <tp t="e">
        <v>#N/A</v>
        <stp/>
        <stp>BDH|3575418120766304400</stp>
        <tr r="D35" s="21"/>
      </tp>
      <tp t="e">
        <v>#N/A</v>
        <stp/>
        <stp>BDH|9632114225694505909</stp>
        <tr r="H29" s="34"/>
      </tp>
      <tp t="e">
        <v>#N/A</v>
        <stp/>
        <stp>BDH|1724057806332084436</stp>
        <tr r="L20" s="10"/>
      </tp>
      <tp t="e">
        <v>#N/A</v>
        <stp/>
        <stp>BDH|3229259082269244705</stp>
        <tr r="D51" s="12"/>
      </tp>
      <tp t="e">
        <v>#N/A</v>
        <stp/>
        <stp>BDH|5933964092773983133</stp>
        <tr r="Y6" s="2"/>
        <tr r="X6" s="5"/>
        <tr r="X6" s="9"/>
        <tr r="Z12" s="8"/>
        <tr r="Y10" s="29"/>
        <tr r="Y19" s="29"/>
        <tr r="Y25" s="29"/>
      </tp>
      <tp t="e">
        <v>#N/A</v>
        <stp/>
        <stp>BDH|7382987251534494898</stp>
        <tr r="N22" s="4"/>
      </tp>
      <tp t="e">
        <v>#N/A</v>
        <stp/>
        <stp>BDH|6325676274374450439</stp>
        <tr r="G13" s="8"/>
      </tp>
      <tp t="e">
        <v>#N/A</v>
        <stp/>
        <stp>BDH|7698941790548114847</stp>
        <tr r="V78" s="12"/>
      </tp>
      <tp t="e">
        <v>#N/A</v>
        <stp/>
        <stp>BDH|8586714678077940822</stp>
        <tr r="K12" s="7"/>
      </tp>
      <tp t="e">
        <v>#N/A</v>
        <stp/>
        <stp>BDH|2995893899282975675</stp>
        <tr r="D17" s="29"/>
        <tr r="D40" s="29"/>
      </tp>
      <tp t="e">
        <v>#N/A</v>
        <stp/>
        <stp>BDH|2353439530975569729</stp>
        <tr r="F126" s="18"/>
      </tp>
      <tp t="e">
        <v>#N/A</v>
        <stp/>
        <stp>BDH|5144328054070920493</stp>
        <tr r="AA23" s="12"/>
      </tp>
      <tp t="e">
        <v>#N/A</v>
        <stp/>
        <stp>BDH|4606768027045846380</stp>
        <tr r="U15" s="24"/>
      </tp>
      <tp t="e">
        <v>#N/A</v>
        <stp/>
        <stp>BDH|4418256417709641978</stp>
        <tr r="U18" s="24"/>
      </tp>
      <tp t="e">
        <v>#N/A</v>
        <stp/>
        <stp>BDH|6399337663466267260</stp>
        <tr r="G40" s="12"/>
      </tp>
      <tp t="e">
        <v>#N/A</v>
        <stp/>
        <stp>BDH|5944789768160969375</stp>
        <tr r="U46" s="4"/>
        <tr r="U23" s="10"/>
        <tr r="W37" s="13"/>
      </tp>
      <tp t="e">
        <v>#N/A</v>
        <stp/>
        <stp>BDH|4530205663650775769</stp>
        <tr r="C39" s="6"/>
      </tp>
      <tp t="e">
        <v>#N/A</v>
        <stp/>
        <stp>BDH|6160173669674193294</stp>
        <tr r="F7" s="28"/>
      </tp>
      <tp t="e">
        <v>#N/A</v>
        <stp/>
        <stp>BDH|5935358487871988855</stp>
        <tr r="P35" s="10"/>
        <tr r="P27" s="11"/>
      </tp>
      <tp t="e">
        <v>#N/A</v>
        <stp/>
        <stp>BDH|9238362385547726218</stp>
        <tr r="Z43" s="24"/>
      </tp>
      <tp t="e">
        <v>#N/A</v>
        <stp/>
        <stp>BDH|4107147118651883218</stp>
        <tr r="D34" s="5"/>
        <tr r="E32" s="29"/>
      </tp>
      <tp t="e">
        <v>#N/A</v>
        <stp/>
        <stp>BDH|5060991259679367776</stp>
        <tr r="W69" s="18"/>
      </tp>
      <tp t="e">
        <v>#N/A</v>
        <stp/>
        <stp>BDH|7540962495738620843</stp>
        <tr r="O14" s="23"/>
      </tp>
      <tp t="e">
        <v>#N/A</v>
        <stp/>
        <stp>BDH|2609620468072841704</stp>
        <tr r="Y11" s="22"/>
      </tp>
      <tp t="e">
        <v>#N/A</v>
        <stp/>
        <stp>BDH|7579080279092247520</stp>
        <tr r="R61" s="17"/>
      </tp>
      <tp t="e">
        <v>#N/A</v>
        <stp/>
        <stp>BDH|1344015845582745043</stp>
        <tr r="X17" s="20"/>
      </tp>
      <tp t="e">
        <v>#N/A</v>
        <stp/>
        <stp>BDH|2713122879225955617</stp>
        <tr r="F13" s="20"/>
      </tp>
      <tp t="e">
        <v>#N/A</v>
        <stp/>
        <stp>BDH|6279139038925460692</stp>
        <tr r="T66" s="12"/>
      </tp>
      <tp t="e">
        <v>#N/A</v>
        <stp/>
        <stp>BDH|7916506577004975632</stp>
        <tr r="Z23" s="17"/>
      </tp>
      <tp t="e">
        <v>#N/A</v>
        <stp/>
        <stp>BDH|4748554973734420517</stp>
        <tr r="Z54" s="18"/>
      </tp>
      <tp t="e">
        <v>#N/A</v>
        <stp/>
        <stp>BDH|7760002325410261244</stp>
        <tr r="K109" s="18"/>
      </tp>
      <tp t="e">
        <v>#N/A</v>
        <stp/>
        <stp>BDH|4996822964585284893</stp>
        <tr r="P38" s="10"/>
        <tr r="P30" s="11"/>
        <tr r="R42" s="13"/>
      </tp>
      <tp t="e">
        <v>#N/A</v>
        <stp/>
        <stp>BDH|2542745223189770912</stp>
        <tr r="W9" s="34"/>
      </tp>
      <tp t="e">
        <v>#N/A</v>
        <stp/>
        <stp>BDH|2094960806818511414</stp>
        <tr r="R32" s="5"/>
      </tp>
      <tp t="e">
        <v>#N/A</v>
        <stp/>
        <stp>BDH|7559953680139740837</stp>
        <tr r="I6" s="27"/>
      </tp>
      <tp t="e">
        <v>#N/A</v>
        <stp/>
        <stp>BDH|6269013824566678553</stp>
        <tr r="F25" s="25"/>
        <tr r="F10" s="27"/>
      </tp>
      <tp t="e">
        <v>#N/A</v>
        <stp/>
        <stp>BDH|2010027518763812767</stp>
        <tr r="T24" s="22"/>
      </tp>
      <tp t="e">
        <v>#N/A</v>
        <stp/>
        <stp>BDH|6389233612782328059</stp>
        <tr r="N15" s="11"/>
      </tp>
      <tp t="e">
        <v>#N/A</v>
        <stp/>
        <stp>BDH|1348502722222526301</stp>
        <tr r="W33" s="9"/>
      </tp>
      <tp t="e">
        <v>#N/A</v>
        <stp/>
        <stp>BDH|1549267651464081569</stp>
        <tr r="N77" s="12"/>
      </tp>
      <tp t="e">
        <v>#N/A</v>
        <stp/>
        <stp>BDH|6570981389495620566</stp>
        <tr r="Q100" s="18"/>
        <tr r="Q9" s="20"/>
      </tp>
      <tp t="e">
        <v>#N/A</v>
        <stp/>
        <stp>BDH|9487121627429057451</stp>
        <tr r="K31" s="24"/>
      </tp>
      <tp t="e">
        <v>#N/A</v>
        <stp/>
        <stp>BDH|6565585065796849449</stp>
        <tr r="L22" s="12"/>
      </tp>
      <tp t="e">
        <v>#N/A</v>
        <stp/>
        <stp>BDH|1056581241142846558</stp>
        <tr r="U16" s="24"/>
      </tp>
      <tp t="e">
        <v>#N/A</v>
        <stp/>
        <stp>BDH|6535119357714347140</stp>
        <tr r="E53" s="17"/>
      </tp>
      <tp t="e">
        <v>#N/A</v>
        <stp/>
        <stp>BDH|8141303990470132549</stp>
        <tr r="Q7" s="28"/>
      </tp>
      <tp t="e">
        <v>#N/A</v>
        <stp/>
        <stp>BDH|4661914286096684433</stp>
        <tr r="D43" s="6"/>
      </tp>
      <tp t="e">
        <v>#N/A</v>
        <stp/>
        <stp>BDH|1652632209872831204</stp>
        <tr r="L70" s="10"/>
        <tr r="L62" s="11"/>
        <tr r="L20" s="7"/>
      </tp>
      <tp t="e">
        <v>#N/A</v>
        <stp/>
        <stp>BDH|6674168440155563110</stp>
        <tr r="P55" s="17"/>
      </tp>
      <tp t="e">
        <v>#N/A</v>
        <stp/>
        <stp>BDH|3057079554420360146</stp>
        <tr r="C44" s="18"/>
      </tp>
      <tp t="e">
        <v>#N/A</v>
        <stp/>
        <stp>BDH|4298573684748461610</stp>
        <tr r="S59" s="11"/>
        <tr r="U15" s="23"/>
      </tp>
      <tp t="e">
        <v>#N/A</v>
        <stp/>
        <stp>BDH|1900257251302175389</stp>
        <tr r="Y69" s="10"/>
      </tp>
      <tp t="e">
        <v>#N/A</v>
        <stp/>
        <stp>BDH|7708505896839675536</stp>
        <tr r="E41" s="10"/>
        <tr r="E33" s="11"/>
      </tp>
      <tp t="e">
        <v>#N/A</v>
        <stp/>
        <stp>BDH|4488840287150050330</stp>
        <tr r="Q39" s="10"/>
        <tr r="Q31" s="11"/>
      </tp>
      <tp t="e">
        <v>#N/A</v>
        <stp/>
        <stp>BDH|2044363116760698725</stp>
        <tr r="D18" s="22"/>
      </tp>
      <tp t="e">
        <v>#N/A</v>
        <stp/>
        <stp>BDH|6452439800784047130</stp>
        <tr r="S73" s="24"/>
      </tp>
      <tp t="e">
        <v>#N/A</v>
        <stp/>
        <stp>BDH|3446092438852526543</stp>
        <tr r="AA54" s="24"/>
      </tp>
      <tp t="e">
        <v>#N/A</v>
        <stp/>
        <stp>BDH|6703122930077882495</stp>
        <tr r="X8" s="24"/>
      </tp>
      <tp t="e">
        <v>#N/A</v>
        <stp/>
        <stp>BDH|6035104624827378537</stp>
        <tr r="M35" s="18"/>
      </tp>
      <tp t="e">
        <v>#N/A</v>
        <stp/>
        <stp>BDH|1655842906676460848</stp>
        <tr r="AA83" s="17"/>
      </tp>
      <tp t="e">
        <v>#N/A</v>
        <stp/>
        <stp>BDH|6386479201935644072</stp>
        <tr r="E8" s="24"/>
      </tp>
      <tp t="e">
        <v>#N/A</v>
        <stp/>
        <stp>BDH|3808219259702015141</stp>
        <tr r="S67" s="24"/>
      </tp>
      <tp t="e">
        <v>#N/A</v>
        <stp/>
        <stp>BDH|4149200531146632428</stp>
        <tr r="V80" s="12"/>
      </tp>
      <tp t="e">
        <v>#N/A</v>
        <stp/>
        <stp>BDH|5351250656714013152</stp>
        <tr r="G36" s="34"/>
      </tp>
      <tp t="e">
        <v>#N/A</v>
        <stp/>
        <stp>BDH|5573451392687039872</stp>
        <tr r="AA44" s="34"/>
      </tp>
      <tp t="e">
        <v>#N/A</v>
        <stp/>
        <stp>BDH|4780199119365505673</stp>
        <tr r="S54" s="12"/>
      </tp>
      <tp t="e">
        <v>#N/A</v>
        <stp/>
        <stp>BDH|7888942510340915809</stp>
        <tr r="F32" s="26"/>
      </tp>
      <tp t="e">
        <v>#N/A</v>
        <stp/>
        <stp>BDH|9778290264053723984</stp>
        <tr r="U26" s="34"/>
      </tp>
      <tp t="e">
        <v>#N/A</v>
        <stp/>
        <stp>BDH|8998794189106942659</stp>
        <tr r="X12" s="25"/>
      </tp>
      <tp t="e">
        <v>#N/A</v>
        <stp/>
        <stp>BDH|1827109119272531419</stp>
        <tr r="C13" s="13"/>
      </tp>
      <tp t="e">
        <v>#N/A</v>
        <stp/>
        <stp>BDH|5489600576977045476</stp>
        <tr r="Y21" s="17"/>
        <tr r="Y15" s="3"/>
      </tp>
      <tp t="e">
        <v>#N/A</v>
        <stp/>
        <stp>BDH|8509706459325861810</stp>
        <tr r="N73" s="18"/>
      </tp>
      <tp t="e">
        <v>#N/A</v>
        <stp/>
        <stp>BDH|7261674002881282701</stp>
        <tr r="Z9" s="13"/>
      </tp>
      <tp t="e">
        <v>#N/A</v>
        <stp/>
        <stp>BDH|4633720750724402556</stp>
        <tr r="Y52" s="21"/>
      </tp>
      <tp t="e">
        <v>#N/A</v>
        <stp/>
        <stp>BDH|1589149392917538939</stp>
        <tr r="Q66" s="24"/>
      </tp>
      <tp t="e">
        <v>#N/A</v>
        <stp/>
        <stp>BDH|2126473341744031120</stp>
        <tr r="S7" s="21"/>
      </tp>
      <tp t="e">
        <v>#N/A</v>
        <stp/>
        <stp>BDH|4897770993878844510</stp>
        <tr r="V66" s="12"/>
      </tp>
      <tp t="e">
        <v>#N/A</v>
        <stp/>
        <stp>BDH|6771717424564577026</stp>
        <tr r="R74" s="17"/>
      </tp>
      <tp t="e">
        <v>#N/A</v>
        <stp/>
        <stp>BDH|1050341345745666421</stp>
        <tr r="X8" s="21"/>
      </tp>
      <tp t="e">
        <v>#N/A</v>
        <stp/>
        <stp>BDH|2675925167548103273</stp>
        <tr r="W19" s="24"/>
      </tp>
      <tp t="e">
        <v>#N/A</v>
        <stp/>
        <stp>BDH|3340427465096142003</stp>
        <tr r="M30" s="34"/>
      </tp>
      <tp t="e">
        <v>#N/A</v>
        <stp/>
        <stp>BDH|7572012192639465072</stp>
        <tr r="G9" s="30"/>
      </tp>
      <tp t="e">
        <v>#N/A</v>
        <stp/>
        <stp>BDH|4164004215442164007</stp>
        <tr r="I13" s="11"/>
      </tp>
      <tp t="e">
        <v>#N/A</v>
        <stp/>
        <stp>BDH|6502023587491089858</stp>
        <tr r="G35" s="21"/>
      </tp>
      <tp t="e">
        <v>#N/A</v>
        <stp/>
        <stp>BDH|6742092919659773950</stp>
        <tr r="N16" s="24"/>
      </tp>
      <tp t="e">
        <v>#N/A</v>
        <stp/>
        <stp>BDH|2754461716398744854</stp>
        <tr r="V49" s="17"/>
      </tp>
      <tp t="e">
        <v>#N/A</v>
        <stp/>
        <stp>BDH|8435021165390342953</stp>
        <tr r="Q127" s="18"/>
      </tp>
      <tp t="e">
        <v>#N/A</v>
        <stp/>
        <stp>BDH|1121950822159304405</stp>
        <tr r="X39" s="25"/>
        <tr r="X7" s="3"/>
        <tr r="V18" s="11"/>
        <tr r="X22" s="13"/>
        <tr r="X7" s="13"/>
      </tp>
      <tp t="e">
        <v>#N/A</v>
        <stp/>
        <stp>BDH|2571515300824051417</stp>
        <tr r="R44" s="12"/>
      </tp>
      <tp t="e">
        <v>#N/A</v>
        <stp/>
        <stp>BDH|8775671643179197476</stp>
        <tr r="S81" s="18"/>
      </tp>
      <tp t="e">
        <v>#N/A</v>
        <stp/>
        <stp>BDH|6557174405451481167</stp>
        <tr r="I74" s="17"/>
      </tp>
      <tp t="e">
        <v>#N/A</v>
        <stp/>
        <stp>BDH|8181028866949344037</stp>
        <tr r="V39" s="26"/>
      </tp>
      <tp t="e">
        <v>#N/A</v>
        <stp/>
        <stp>BDH|9581842771600253174</stp>
        <tr r="P9" s="23"/>
      </tp>
      <tp t="e">
        <v>#N/A</v>
        <stp/>
        <stp>BDH|7401138769273850432</stp>
        <tr r="L118" s="18"/>
      </tp>
      <tp t="e">
        <v>#N/A</v>
        <stp/>
        <stp>BDH|2711243002880255762</stp>
        <tr r="M18" s="5"/>
        <tr r="M41" s="6"/>
      </tp>
      <tp t="e">
        <v>#N/A</v>
        <stp/>
        <stp>BDH|6740254770781323549</stp>
        <tr r="S25" s="10"/>
        <tr r="U31" s="13"/>
      </tp>
      <tp t="e">
        <v>#N/A</v>
        <stp/>
        <stp>BDH|9321126326548299504</stp>
        <tr r="Q75" s="12"/>
      </tp>
      <tp t="e">
        <v>#N/A</v>
        <stp/>
        <stp>BDH|9000825144237006538</stp>
        <tr r="AA34" s="24"/>
      </tp>
      <tp t="e">
        <v>#N/A</v>
        <stp/>
        <stp>BDH|1331868184792305473</stp>
        <tr r="E34" s="5"/>
        <tr r="F32" s="29"/>
      </tp>
      <tp t="e">
        <v>#N/A</v>
        <stp/>
        <stp>BDH|4640799949624124426</stp>
        <tr r="V11" s="13"/>
      </tp>
      <tp t="e">
        <v>#N/A</v>
        <stp/>
        <stp>BDH|6112590505017979319</stp>
        <tr r="R24" s="29"/>
      </tp>
      <tp t="e">
        <v>#N/A</v>
        <stp/>
        <stp>BDH|3912887493913649615</stp>
        <tr r="U111" s="18"/>
      </tp>
      <tp t="e">
        <v>#N/A</v>
        <stp/>
        <stp>BDH|6869829193133461386</stp>
        <tr r="Q9" s="10"/>
      </tp>
      <tp t="e">
        <v>#N/A</v>
        <stp/>
        <stp>BDH|58130094447312527</stp>
        <tr r="Y68" s="10"/>
      </tp>
      <tp t="e">
        <v>#N/A</v>
        <stp/>
        <stp>BDH|22635416855789854</stp>
        <tr r="W44" s="17"/>
      </tp>
      <tp t="e">
        <v>#N/A</v>
        <stp/>
        <stp>BDH|61985935065881510</stp>
        <tr r="N10" s="4"/>
        <tr r="M6" s="16"/>
        <tr r="P6" s="3"/>
        <tr r="N6" s="11"/>
      </tp>
      <tp t="e">
        <v>#N/A</v>
        <stp/>
        <stp>BDH|81367431902245870</stp>
        <tr r="G130" s="18"/>
      </tp>
      <tp t="e">
        <v>#N/A</v>
        <stp/>
        <stp>BDH|88531984042488505</stp>
        <tr r="N15" s="24"/>
      </tp>
      <tp t="e">
        <v>#N/A</v>
        <stp/>
        <stp>BDH|36070635639267031</stp>
        <tr r="U42" s="17"/>
      </tp>
      <tp t="e">
        <v>#N/A</v>
        <stp/>
        <stp>BDH|44377494073644397</stp>
        <tr r="L76" s="17"/>
        <tr r="L19" s="3"/>
      </tp>
      <tp t="e">
        <v>#N/A</v>
        <stp/>
        <stp>BDH|25229590302040399</stp>
        <tr r="R74" s="10"/>
        <tr r="R66" s="11"/>
      </tp>
      <tp t="e">
        <v>#N/A</v>
        <stp/>
        <stp>BDH|86899660017274339</stp>
        <tr r="D32" s="9"/>
      </tp>
      <tp t="e">
        <v>#N/A</v>
        <stp/>
        <stp>BDH|2275087374075585018</stp>
        <tr r="U43" s="13"/>
      </tp>
      <tp t="e">
        <v>#N/A</v>
        <stp/>
        <stp>BDH|6878922820079502455</stp>
        <tr r="T8" s="18"/>
      </tp>
      <tp t="e">
        <v>#N/A</v>
        <stp/>
        <stp>BDH|9905022633549008327</stp>
        <tr r="E15" s="12"/>
      </tp>
      <tp t="e">
        <v>#N/A</v>
        <stp/>
        <stp>BDH|6195739538166045406</stp>
        <tr r="U16" s="12"/>
      </tp>
      <tp t="e">
        <v>#N/A</v>
        <stp/>
        <stp>BDH|5637745860160941410</stp>
        <tr r="W140" s="18"/>
      </tp>
      <tp t="e">
        <v>#N/A</v>
        <stp/>
        <stp>BDH|4931680038780609156</stp>
        <tr r="D16" s="6"/>
      </tp>
      <tp t="e">
        <v>#N/A</v>
        <stp/>
        <stp>BDH|3760622356623033394</stp>
        <tr r="V13" s="2"/>
      </tp>
      <tp t="e">
        <v>#N/A</v>
        <stp/>
        <stp>BDH|9679557188121827596</stp>
        <tr r="V131" s="18"/>
      </tp>
      <tp t="e">
        <v>#N/A</v>
        <stp/>
        <stp>BDH|5541812734757802925</stp>
        <tr r="D19" s="30"/>
      </tp>
      <tp t="e">
        <v>#N/A</v>
        <stp/>
        <stp>BDH|9174180321423037924</stp>
        <tr r="K21" s="24"/>
      </tp>
      <tp t="e">
        <v>#N/A</v>
        <stp/>
        <stp>BDH|6843662144130344434</stp>
        <tr r="K93" s="18"/>
      </tp>
      <tp t="e">
        <v>#N/A</v>
        <stp/>
        <stp>BDH|9439779663288960038</stp>
        <tr r="H68" s="17"/>
      </tp>
      <tp t="e">
        <v>#N/A</v>
        <stp/>
        <stp>BDH|4439685475343149627</stp>
        <tr r="H38" s="34"/>
      </tp>
      <tp t="e">
        <v>#N/A</v>
        <stp/>
        <stp>BDH|1719981091320257160</stp>
        <tr r="S67" s="12"/>
      </tp>
      <tp t="e">
        <v>#N/A</v>
        <stp/>
        <stp>BDH|9958768147073291902</stp>
        <tr r="I13" s="6"/>
      </tp>
      <tp t="e">
        <v>#N/A</v>
        <stp/>
        <stp>BDH|4415606621783951363</stp>
        <tr r="S34" s="12"/>
      </tp>
      <tp t="e">
        <v>#N/A</v>
        <stp/>
        <stp>BDH|2531737182804674982</stp>
        <tr r="AA123" s="18"/>
      </tp>
      <tp t="e">
        <v>#N/A</v>
        <stp/>
        <stp>BDH|4557602638233782204</stp>
        <tr r="U26" s="26"/>
      </tp>
      <tp t="e">
        <v>#N/A</v>
        <stp/>
        <stp>BDH|4657713520489993843</stp>
        <tr r="C100" s="18"/>
        <tr r="C9" s="20"/>
      </tp>
      <tp t="e">
        <v>#N/A</v>
        <stp/>
        <stp>BDH|8242675383761551798</stp>
        <tr r="S35" s="10"/>
        <tr r="S27" s="11"/>
      </tp>
      <tp t="e">
        <v>#N/A</v>
        <stp/>
        <stp>BDH|8081177054775061994</stp>
        <tr r="H52" s="10"/>
        <tr r="H44" s="11"/>
        <tr r="H15" s="7"/>
      </tp>
      <tp t="e">
        <v>#N/A</v>
        <stp/>
        <stp>BDH|4114402975896646185</stp>
        <tr r="X83" s="12"/>
      </tp>
      <tp t="e">
        <v>#N/A</v>
        <stp/>
        <stp>BDH|6672723150302797693</stp>
        <tr r="H22" s="4"/>
      </tp>
      <tp t="e">
        <v>#N/A</v>
        <stp/>
        <stp>BDH|1974434659071097197</stp>
        <tr r="AA14" s="13"/>
      </tp>
      <tp t="e">
        <v>#N/A</v>
        <stp/>
        <stp>BDH|7739029884259271693</stp>
        <tr r="F81" s="17"/>
        <tr r="F20" s="3"/>
        <tr r="D6" s="7"/>
      </tp>
      <tp t="e">
        <v>#N/A</v>
        <stp/>
        <stp>BDH|2898388998881505975</stp>
        <tr r="Q47" s="24"/>
      </tp>
      <tp t="e">
        <v>#N/A</v>
        <stp/>
        <stp>BDH|3471282578495984375</stp>
        <tr r="K16" s="10"/>
      </tp>
      <tp t="e">
        <v>#N/A</v>
        <stp/>
        <stp>BDH|6703331431971767781</stp>
        <tr r="X8" s="6"/>
      </tp>
      <tp t="e">
        <v>#N/A</v>
        <stp/>
        <stp>BDH|3414935952029884673</stp>
        <tr r="P16" s="29"/>
        <tr r="P39" s="29"/>
      </tp>
      <tp t="e">
        <v>#N/A</v>
        <stp/>
        <stp>BDH|9607949027353997172</stp>
        <tr r="O48" s="13"/>
      </tp>
      <tp t="e">
        <v>#N/A</v>
        <stp/>
        <stp>BDH|2905372019367914751</stp>
        <tr r="Y84" s="12"/>
      </tp>
      <tp t="e">
        <v>#N/A</v>
        <stp/>
        <stp>BDH|6402896597764456355</stp>
        <tr r="I112" s="18"/>
      </tp>
      <tp t="e">
        <v>#N/A</v>
        <stp/>
        <stp>BDH|1415064327275911677</stp>
        <tr r="O20" s="20"/>
      </tp>
      <tp t="e">
        <v>#N/A</v>
        <stp/>
        <stp>BDH|9158985580420750850</stp>
        <tr r="F61" s="24"/>
      </tp>
      <tp t="e">
        <v>#N/A</v>
        <stp/>
        <stp>BDH|7487001892837816951</stp>
        <tr r="P40" s="22"/>
      </tp>
      <tp t="e">
        <v>#N/A</v>
        <stp/>
        <stp>BDH|8145058734652821938</stp>
        <tr r="S39" s="26"/>
      </tp>
      <tp t="e">
        <v>#N/A</v>
        <stp/>
        <stp>BDH|7497355146229585995</stp>
        <tr r="U86" s="17"/>
      </tp>
      <tp t="e">
        <v>#N/A</v>
        <stp/>
        <stp>BDH|2013866263105739996</stp>
        <tr r="K24" s="2"/>
      </tp>
      <tp t="e">
        <v>#N/A</v>
        <stp/>
        <stp>BDH|4905475748622867657</stp>
        <tr r="L13" s="22"/>
      </tp>
      <tp t="e">
        <v>#N/A</v>
        <stp/>
        <stp>BDH|3032295056175459100</stp>
        <tr r="N56" s="12"/>
      </tp>
      <tp t="e">
        <v>#N/A</v>
        <stp/>
        <stp>BDH|6440310834530942637</stp>
        <tr r="U10" s="34"/>
      </tp>
      <tp t="e">
        <v>#N/A</v>
        <stp/>
        <stp>BDH|2421184626351816091</stp>
        <tr r="D35" s="13"/>
      </tp>
      <tp t="e">
        <v>#N/A</v>
        <stp/>
        <stp>BDH|2912112782479501242</stp>
        <tr r="C89" s="17"/>
        <tr r="C34" s="25"/>
      </tp>
      <tp t="e">
        <v>#N/A</v>
        <stp/>
        <stp>BDH|2135532643150359390</stp>
        <tr r="D7" s="30"/>
      </tp>
      <tp t="e">
        <v>#N/A</v>
        <stp/>
        <stp>BDH|6887207797655181855</stp>
        <tr r="N11" s="18"/>
      </tp>
      <tp t="e">
        <v>#N/A</v>
        <stp/>
        <stp>BDH|4042868159381598812</stp>
        <tr r="Z27" s="17"/>
      </tp>
      <tp t="e">
        <v>#N/A</v>
        <stp/>
        <stp>BDH|7432230877442964025</stp>
        <tr r="L24" s="4"/>
        <tr r="L57" s="11"/>
      </tp>
      <tp t="e">
        <v>#N/A</v>
        <stp/>
        <stp>BDH|3085132532210874128</stp>
        <tr r="K56" s="12"/>
      </tp>
      <tp t="e">
        <v>#N/A</v>
        <stp/>
        <stp>BDH|5763390559797529494</stp>
        <tr r="Q31" s="22"/>
      </tp>
      <tp t="e">
        <v>#N/A</v>
        <stp/>
        <stp>BDH|9841241894412508066</stp>
        <tr r="R14" s="23"/>
      </tp>
      <tp t="e">
        <v>#N/A</v>
        <stp/>
        <stp>BDH|7357218674596895456</stp>
        <tr r="Y42" s="24"/>
      </tp>
      <tp t="e">
        <v>#N/A</v>
        <stp/>
        <stp>BDH|9837495898750562470</stp>
        <tr r="U11" s="28"/>
      </tp>
      <tp t="e">
        <v>#N/A</v>
        <stp/>
        <stp>BDH|1973443784215445864</stp>
        <tr r="C15" s="23"/>
      </tp>
      <tp t="e">
        <v>#N/A</v>
        <stp/>
        <stp>BDH|5943481878326295009</stp>
        <tr r="G37" s="24"/>
      </tp>
      <tp t="e">
        <v>#N/A</v>
        <stp/>
        <stp>BDH|1530521946101204185</stp>
        <tr r="U66" s="12"/>
      </tp>
      <tp t="e">
        <v>#N/A</v>
        <stp/>
        <stp>BDH|5405042427606428180</stp>
        <tr r="T59" s="12"/>
      </tp>
      <tp t="e">
        <v>#N/A</v>
        <stp/>
        <stp>BDH|9274947336812332182</stp>
        <tr r="Y75" s="18"/>
        <tr r="Y64" s="12"/>
      </tp>
      <tp t="e">
        <v>#N/A</v>
        <stp/>
        <stp>BDH|1112889097596740620</stp>
        <tr r="U56" s="17"/>
      </tp>
      <tp t="e">
        <v>#N/A</v>
        <stp/>
        <stp>BDH|3783568641873234193</stp>
        <tr r="Q8" s="11"/>
      </tp>
      <tp t="e">
        <v>#N/A</v>
        <stp/>
        <stp>BDH|2316273812369499893</stp>
        <tr r="J77" s="24"/>
      </tp>
      <tp t="e">
        <v>#N/A</v>
        <stp/>
        <stp>BDH|7180801684856641188</stp>
        <tr r="V13" s="8"/>
      </tp>
      <tp t="e">
        <v>#N/A</v>
        <stp/>
        <stp>BDH|6894147297109002703</stp>
        <tr r="G103" s="18"/>
      </tp>
      <tp t="e">
        <v>#N/A</v>
        <stp/>
        <stp>BDH|5512340034242861769</stp>
        <tr r="L61" s="21"/>
      </tp>
      <tp t="e">
        <v>#N/A</v>
        <stp/>
        <stp>BDH|9892860215743618363</stp>
        <tr r="M14" s="29"/>
        <tr r="M23" s="29"/>
        <tr r="M37" s="29"/>
      </tp>
      <tp t="e">
        <v>#N/A</v>
        <stp/>
        <stp>BDH|9639021529803561830</stp>
        <tr r="R89" s="24"/>
      </tp>
      <tp t="e">
        <v>#N/A</v>
        <stp/>
        <stp>BDH|4872791641936396189</stp>
        <tr r="T12" s="25"/>
      </tp>
      <tp t="e">
        <v>#N/A</v>
        <stp/>
        <stp>BDH|1377764514977259080</stp>
        <tr r="H10" s="21"/>
      </tp>
      <tp t="e">
        <v>#N/A</v>
        <stp/>
        <stp>BDH|8932081979769086632</stp>
        <tr r="H50" s="17"/>
      </tp>
      <tp t="e">
        <v>#N/A</v>
        <stp/>
        <stp>BDH|5658456326805600685</stp>
        <tr r="H25" s="14"/>
      </tp>
      <tp t="e">
        <v>#N/A</v>
        <stp/>
        <stp>BDH|5946320609526236083</stp>
        <tr r="E112" s="18"/>
      </tp>
      <tp t="e">
        <v>#N/A</v>
        <stp/>
        <stp>BDH|5775830298256555211</stp>
        <tr r="K39" s="34"/>
      </tp>
      <tp t="e">
        <v>#N/A</v>
        <stp/>
        <stp>BDH|1258782045216155461</stp>
        <tr r="X41" s="24"/>
      </tp>
      <tp t="e">
        <v>#N/A</v>
        <stp/>
        <stp>BDH|7128593926085101570</stp>
        <tr r="E54" s="12"/>
      </tp>
      <tp t="e">
        <v>#N/A</v>
        <stp/>
        <stp>BDH|2538034261514931060</stp>
        <tr r="H10" s="4"/>
        <tr r="G6" s="16"/>
        <tr r="J6" s="3"/>
        <tr r="H6" s="11"/>
      </tp>
      <tp t="e">
        <v>#N/A</v>
        <stp/>
        <stp>BDH|1552086934515931784</stp>
        <tr r="C16" s="23"/>
      </tp>
      <tp t="e">
        <v>#N/A</v>
        <stp/>
        <stp>BDH|5178431207739922842</stp>
        <tr r="G63" s="12"/>
      </tp>
      <tp t="e">
        <v>#N/A</v>
        <stp/>
        <stp>BDH|4375191804256545330</stp>
        <tr r="F33" s="21"/>
      </tp>
      <tp t="e">
        <v>#N/A</v>
        <stp/>
        <stp>BDH|1452743808310030606</stp>
        <tr r="P123" s="18"/>
      </tp>
      <tp t="e">
        <v>#N/A</v>
        <stp/>
        <stp>BDH|6925426577402135750</stp>
        <tr r="Q76" s="18"/>
      </tp>
      <tp t="e">
        <v>#N/A</v>
        <stp/>
        <stp>BDH|8940055160316365877</stp>
        <tr r="R33" s="17"/>
      </tp>
      <tp t="e">
        <v>#N/A</v>
        <stp/>
        <stp>BDH|4116128825892750597</stp>
        <tr r="D10" s="2"/>
        <tr r="C11" s="5"/>
        <tr r="C55" s="6"/>
        <tr r="D33" s="29"/>
        <tr r="D42" s="29"/>
      </tp>
      <tp t="e">
        <v>#N/A</v>
        <stp/>
        <stp>BDH|1224048655381828539</stp>
        <tr r="W87" s="12"/>
      </tp>
      <tp t="e">
        <v>#N/A</v>
        <stp/>
        <stp>BDH|4395708357027937150</stp>
        <tr r="X26" s="6"/>
      </tp>
      <tp t="e">
        <v>#N/A</v>
        <stp/>
        <stp>BDH|4609853389665031124</stp>
        <tr r="R72" s="12"/>
      </tp>
      <tp t="e">
        <v>#N/A</v>
        <stp/>
        <stp>BDH|7970564967633864781</stp>
        <tr r="D78" s="18"/>
      </tp>
      <tp t="e">
        <v>#N/A</v>
        <stp/>
        <stp>BDH|6752651670096890128</stp>
        <tr r="D43" s="34"/>
      </tp>
      <tp t="e">
        <v>#N/A</v>
        <stp/>
        <stp>BDH|3830437994128186669</stp>
        <tr r="T24" s="17"/>
      </tp>
      <tp t="e">
        <v>#N/A</v>
        <stp/>
        <stp>BDH|7220445654022287488</stp>
        <tr r="H22" s="14"/>
      </tp>
      <tp t="e">
        <v>#N/A</v>
        <stp/>
        <stp>BDH|5361820760518928306</stp>
        <tr r="M39" s="22"/>
      </tp>
      <tp t="e">
        <v>#N/A</v>
        <stp/>
        <stp>BDH|3929763344688228812</stp>
        <tr r="D33" s="22"/>
      </tp>
      <tp t="e">
        <v>#N/A</v>
        <stp/>
        <stp>BDH|6865620704881480121</stp>
        <tr r="E49" s="17"/>
      </tp>
      <tp t="e">
        <v>#N/A</v>
        <stp/>
        <stp>BDH|9049472559370471824</stp>
        <tr r="I44" s="18"/>
      </tp>
      <tp t="e">
        <v>#N/A</v>
        <stp/>
        <stp>BDH|3324532568121238124</stp>
        <tr r="D70" s="17"/>
      </tp>
      <tp t="e">
        <v>#N/A</v>
        <stp/>
        <stp>BDH|1694302882543566991</stp>
        <tr r="D91" s="18"/>
      </tp>
      <tp t="e">
        <v>#N/A</v>
        <stp/>
        <stp>BDH|1218893625229406229</stp>
        <tr r="V18" s="25"/>
      </tp>
      <tp t="e">
        <v>#N/A</v>
        <stp/>
        <stp>BDH|2832583504123800449</stp>
        <tr r="E48" s="24"/>
      </tp>
      <tp t="e">
        <v>#N/A</v>
        <stp/>
        <stp>BDH|6293495621358724856</stp>
        <tr r="D93" s="17"/>
      </tp>
      <tp t="e">
        <v>#N/A</v>
        <stp/>
        <stp>BDH|7881717351357769271</stp>
        <tr r="AA47" s="17"/>
      </tp>
      <tp t="e">
        <v>#N/A</v>
        <stp/>
        <stp>BDH|9474599695241732475</stp>
        <tr r="H20" s="29"/>
      </tp>
      <tp t="e">
        <v>#N/A</v>
        <stp/>
        <stp>BDH|4949737286329623228</stp>
        <tr r="L34" s="14"/>
      </tp>
      <tp t="e">
        <v>#N/A</v>
        <stp/>
        <stp>BDH|2841442327141797543</stp>
        <tr r="Z11" s="28"/>
      </tp>
      <tp t="e">
        <v>#N/A</v>
        <stp/>
        <stp>BDH|4514357300101123699</stp>
        <tr r="O38" s="34"/>
      </tp>
      <tp t="e">
        <v>#N/A</v>
        <stp/>
        <stp>BDH|4643693153223290462</stp>
        <tr r="D10" s="12"/>
      </tp>
      <tp t="e">
        <v>#N/A</v>
        <stp/>
        <stp>BDH|8970718961769002016</stp>
        <tr r="AA35" s="14"/>
      </tp>
      <tp t="e">
        <v>#N/A</v>
        <stp/>
        <stp>BDH|2254155962674815159</stp>
        <tr r="Z29" s="17"/>
      </tp>
      <tp t="e">
        <v>#N/A</v>
        <stp/>
        <stp>BDH|5101756447181905729</stp>
        <tr r="U100" s="18"/>
        <tr r="U9" s="20"/>
      </tp>
      <tp t="e">
        <v>#N/A</v>
        <stp/>
        <stp>BDH|8615032298359579809</stp>
        <tr r="X29" s="21"/>
      </tp>
      <tp t="e">
        <v>#N/A</v>
        <stp/>
        <stp>BDH|2588843580494966618</stp>
        <tr r="T8" s="12"/>
      </tp>
      <tp t="e">
        <v>#N/A</v>
        <stp/>
        <stp>BDH|7452384818736821355</stp>
        <tr r="S16" s="24"/>
      </tp>
      <tp t="e">
        <v>#N/A</v>
        <stp/>
        <stp>BDH|4451056369417968580</stp>
        <tr r="Z38" s="18"/>
      </tp>
      <tp t="e">
        <v>#N/A</v>
        <stp/>
        <stp>BDH|5576205497426236895</stp>
        <tr r="V81" s="18"/>
      </tp>
      <tp t="e">
        <v>#N/A</v>
        <stp/>
        <stp>BDH|3712268865032595580</stp>
        <tr r="D16" s="25"/>
      </tp>
      <tp t="e">
        <v>#N/A</v>
        <stp/>
        <stp>BDH|3430833190131903372</stp>
        <tr r="AA14" s="17"/>
        <tr r="AA17" s="28"/>
      </tp>
      <tp t="e">
        <v>#N/A</v>
        <stp/>
        <stp>BDH|6322471704181961307</stp>
        <tr r="X89" s="12"/>
      </tp>
      <tp t="e">
        <v>#N/A</v>
        <stp/>
        <stp>BDH|3099661067857802403</stp>
        <tr r="O42" s="21"/>
      </tp>
      <tp t="e">
        <v>#N/A</v>
        <stp/>
        <stp>BDH|7818894970320154891</stp>
        <tr r="F32" s="17"/>
      </tp>
      <tp t="e">
        <v>#N/A</v>
        <stp/>
        <stp>BDH|2337203572500011786</stp>
        <tr r="J88" s="24"/>
      </tp>
      <tp t="e">
        <v>#N/A</v>
        <stp/>
        <stp>BDH|8249791976588740036</stp>
        <tr r="D66" s="17"/>
        <tr r="D18" s="3"/>
      </tp>
      <tp t="e">
        <v>#N/A</v>
        <stp/>
        <stp>BDH|1488719679055142447</stp>
        <tr r="P19" s="24"/>
      </tp>
      <tp t="e">
        <v>#N/A</v>
        <stp/>
        <stp>BDH|6120197915397319175</stp>
        <tr r="C80" s="12"/>
      </tp>
      <tp t="e">
        <v>#N/A</v>
        <stp/>
        <stp>BDH|7923367992795649824</stp>
        <tr r="Q24" s="29"/>
      </tp>
      <tp t="e">
        <v>#N/A</v>
        <stp/>
        <stp>BDH|9863901586340046875</stp>
        <tr r="E80" s="12"/>
      </tp>
      <tp t="e">
        <v>#N/A</v>
        <stp/>
        <stp>BDH|4771999743178586112</stp>
        <tr r="T17" s="10"/>
      </tp>
      <tp t="e">
        <v>#N/A</v>
        <stp/>
        <stp>BDH|1120594372371708240</stp>
        <tr r="U30" s="21"/>
      </tp>
      <tp t="e">
        <v>#N/A</v>
        <stp/>
        <stp>BDH|8284185726278438319</stp>
        <tr r="L57" s="6"/>
      </tp>
      <tp t="e">
        <v>#N/A</v>
        <stp/>
        <stp>BDH|3115463706631835603</stp>
        <tr r="U32" s="10"/>
        <tr r="U24" s="11"/>
      </tp>
      <tp t="e">
        <v>#N/A</v>
        <stp/>
        <stp>BDH|3617494313310253677</stp>
        <tr r="Z9" s="12"/>
      </tp>
      <tp t="e">
        <v>#N/A</v>
        <stp/>
        <stp>BDH|2727285957036570344</stp>
        <tr r="R109" s="18"/>
      </tp>
      <tp t="e">
        <v>#N/A</v>
        <stp/>
        <stp>BDH|8384504961503393884</stp>
        <tr r="X68" s="24"/>
      </tp>
      <tp t="e">
        <v>#N/A</v>
        <stp/>
        <stp>BDH|1731691997226330837</stp>
        <tr r="O117" s="18"/>
      </tp>
      <tp t="e">
        <v>#N/A</v>
        <stp/>
        <stp>BDH|9389832901091994014</stp>
        <tr r="I31" s="9"/>
      </tp>
      <tp t="e">
        <v>#N/A</v>
        <stp/>
        <stp>BDH|2545732634110286699</stp>
        <tr r="AA50" s="21"/>
      </tp>
      <tp t="e">
        <v>#N/A</v>
        <stp/>
        <stp>BDH|7051924436658957544</stp>
        <tr r="W34" s="22"/>
      </tp>
      <tp t="e">
        <v>#N/A</v>
        <stp/>
        <stp>BDH|9903497142669926025</stp>
        <tr r="J53" s="6"/>
        <tr r="L10" s="8"/>
      </tp>
      <tp t="e">
        <v>#N/A</v>
        <stp/>
        <stp>BDH|4138272569613273346</stp>
        <tr r="W128" s="18"/>
      </tp>
      <tp t="e">
        <v>#N/A</v>
        <stp/>
        <stp>BDH|9067891877776330045</stp>
        <tr r="W82" s="17"/>
      </tp>
      <tp t="e">
        <v>#N/A</v>
        <stp/>
        <stp>BDH|9185933517855987452</stp>
        <tr r="V120" s="18"/>
      </tp>
      <tp t="e">
        <v>#N/A</v>
        <stp/>
        <stp>BDH|6995314281574408941</stp>
        <tr r="Q67" s="10"/>
      </tp>
      <tp t="e">
        <v>#N/A</v>
        <stp/>
        <stp>BDH|8909946561816571101</stp>
        <tr r="J40" s="22"/>
      </tp>
      <tp t="e">
        <v>#N/A</v>
        <stp/>
        <stp>BDH|2363712229014566379</stp>
        <tr r="U22" s="30"/>
        <tr r="U24" s="23"/>
      </tp>
      <tp t="e">
        <v>#N/A</v>
        <stp/>
        <stp>BDH|9021321199184710758</stp>
        <tr r="H73" s="18"/>
      </tp>
      <tp t="e">
        <v>#N/A</v>
        <stp/>
        <stp>BDH|7378581253960475753</stp>
        <tr r="K25" s="21"/>
      </tp>
      <tp t="e">
        <v>#N/A</v>
        <stp/>
        <stp>BDH|9277085912849630172</stp>
        <tr r="P30" s="17"/>
      </tp>
      <tp t="e">
        <v>#N/A</v>
        <stp/>
        <stp>BDH|8557110600479480093</stp>
        <tr r="Y139" s="18"/>
      </tp>
      <tp t="e">
        <v>#N/A</v>
        <stp/>
        <stp>BDH|9797887654334015026</stp>
        <tr r="G66" s="17"/>
        <tr r="G18" s="3"/>
      </tp>
      <tp t="e">
        <v>#N/A</v>
        <stp/>
        <stp>BDH|6914627383459892191</stp>
        <tr r="Z45" s="34"/>
      </tp>
      <tp t="e">
        <v>#N/A</v>
        <stp/>
        <stp>BDH|6667748011689202982</stp>
        <tr r="O60" s="17"/>
      </tp>
      <tp t="e">
        <v>#N/A</v>
        <stp/>
        <stp>BDH|8328506610198878428</stp>
        <tr r="Z55" s="24"/>
      </tp>
      <tp t="e">
        <v>#N/A</v>
        <stp/>
        <stp>BDH|1995587975481979240</stp>
        <tr r="I92" s="18"/>
      </tp>
      <tp t="e">
        <v>#N/A</v>
        <stp/>
        <stp>BDH|2308121125118857958</stp>
        <tr r="R16" s="12"/>
      </tp>
      <tp t="e">
        <v>#N/A</v>
        <stp/>
        <stp>BDH|4136104433095380382</stp>
        <tr r="V23" s="2"/>
        <tr r="X18" s="21"/>
        <tr r="X23" s="3"/>
      </tp>
      <tp t="e">
        <v>#N/A</v>
        <stp/>
        <stp>BDH|4757788933118349864</stp>
        <tr r="N24" s="13"/>
      </tp>
      <tp t="e">
        <v>#N/A</v>
        <stp/>
        <stp>BDH|2403950612248971239</stp>
        <tr r="J87" s="12"/>
      </tp>
      <tp t="e">
        <v>#N/A</v>
        <stp/>
        <stp>BDH|6450379645727907667</stp>
        <tr r="L14" s="21"/>
      </tp>
      <tp t="e">
        <v>#N/A</v>
        <stp/>
        <stp>BDH|4130521609566684750</stp>
        <tr r="R67" s="10"/>
      </tp>
      <tp t="e">
        <v>#N/A</v>
        <stp/>
        <stp>BDH|6178071436942900700</stp>
        <tr r="Z52" s="24"/>
      </tp>
      <tp t="e">
        <v>#N/A</v>
        <stp/>
        <stp>BDH|5031518548404707071</stp>
        <tr r="AA28" s="17"/>
      </tp>
      <tp t="e">
        <v>#N/A</v>
        <stp/>
        <stp>BDH|6898702314504583408</stp>
        <tr r="S124" s="18"/>
      </tp>
      <tp t="e">
        <v>#N/A</v>
        <stp/>
        <stp>BDH|4858254243123571129</stp>
        <tr r="G48" s="18"/>
      </tp>
      <tp t="e">
        <v>#N/A</v>
        <stp/>
        <stp>BDH|4849172137823860596</stp>
        <tr r="G26" s="34"/>
      </tp>
      <tp t="e">
        <v>#N/A</v>
        <stp/>
        <stp>BDH|1386525481265960978</stp>
        <tr r="J63" s="13"/>
      </tp>
      <tp t="e">
        <v>#N/A</v>
        <stp/>
        <stp>BDH|1609661830672740692</stp>
        <tr r="M17" s="6"/>
      </tp>
      <tp t="e">
        <v>#N/A</v>
        <stp/>
        <stp>BDH|9243155298425975483</stp>
        <tr r="Q58" s="6"/>
      </tp>
      <tp t="e">
        <v>#N/A</v>
        <stp/>
        <stp>BDH|3426962883173829173</stp>
        <tr r="AA8" s="13"/>
      </tp>
      <tp t="e">
        <v>#N/A</v>
        <stp/>
        <stp>BDH|9131745548923467979</stp>
        <tr r="X8" s="14"/>
      </tp>
      <tp t="e">
        <v>#N/A</v>
        <stp/>
        <stp>BDH|3821119738429654899</stp>
        <tr r="R6" s="27"/>
      </tp>
      <tp t="e">
        <v>#N/A</v>
        <stp/>
        <stp>BDH|9375036951014630891</stp>
        <tr r="G22" s="17"/>
      </tp>
      <tp t="e">
        <v>#N/A</v>
        <stp/>
        <stp>BDH|5759412927673849076</stp>
        <tr r="E27" s="24"/>
      </tp>
      <tp t="e">
        <v>#N/A</v>
        <stp/>
        <stp>BDH|8876810856703016612</stp>
        <tr r="X133" s="18"/>
      </tp>
      <tp t="e">
        <v>#N/A</v>
        <stp/>
        <stp>BDH|9681532108929118521</stp>
        <tr r="P27" s="18"/>
      </tp>
      <tp t="e">
        <v>#N/A</v>
        <stp/>
        <stp>BDH|2826898578915716800</stp>
        <tr r="R56" s="12"/>
      </tp>
      <tp t="e">
        <v>#N/A</v>
        <stp/>
        <stp>BDH|9667872804659269896</stp>
        <tr r="J71" s="18"/>
      </tp>
      <tp t="e">
        <v>#N/A</v>
        <stp/>
        <stp>BDH|3728773678683256047</stp>
        <tr r="K60" s="17"/>
      </tp>
      <tp t="e">
        <v>#N/A</v>
        <stp/>
        <stp>BDH|5477151525063276584</stp>
        <tr r="T18" s="20"/>
      </tp>
      <tp t="e">
        <v>#N/A</v>
        <stp/>
        <stp>BDH|2589004563910136493</stp>
        <tr r="Q24" s="22"/>
      </tp>
      <tp t="e">
        <v>#N/A</v>
        <stp/>
        <stp>BDH|4241070344627956763</stp>
        <tr r="U132" s="18"/>
      </tp>
      <tp t="e">
        <v>#N/A</v>
        <stp/>
        <stp>BDH|2827083953711867654</stp>
        <tr r="U55" s="24"/>
      </tp>
      <tp t="e">
        <v>#N/A</v>
        <stp/>
        <stp>BDH|7318101509533400502</stp>
        <tr r="D66" s="24"/>
      </tp>
      <tp t="e">
        <v>#N/A</v>
        <stp/>
        <stp>BDH|6337341123383245482</stp>
        <tr r="W73" s="17"/>
      </tp>
      <tp t="e">
        <v>#N/A</v>
        <stp/>
        <stp>BDH|1863561562131511371</stp>
        <tr r="M53" s="6"/>
        <tr r="O10" s="8"/>
      </tp>
      <tp t="e">
        <v>#N/A</v>
        <stp/>
        <stp>BDH|1323692814747021103</stp>
        <tr r="Z20" s="22"/>
      </tp>
      <tp t="e">
        <v>#N/A</v>
        <stp/>
        <stp>BDH|6316297418100918550</stp>
        <tr r="V25" s="18"/>
      </tp>
      <tp t="e">
        <v>#N/A</v>
        <stp/>
        <stp>BDH|2698388113690796046</stp>
        <tr r="E21" s="21"/>
      </tp>
      <tp t="e">
        <v>#N/A</v>
        <stp/>
        <stp>BDH|5986435141685329061</stp>
        <tr r="E68" s="17"/>
      </tp>
      <tp t="e">
        <v>#N/A</v>
        <stp/>
        <stp>BDH|7215211165665974619</stp>
        <tr r="V15" s="26"/>
      </tp>
      <tp t="e">
        <v>#N/A</v>
        <stp/>
        <stp>BDH|2467460165388979809</stp>
        <tr r="R9" s="34"/>
      </tp>
      <tp t="e">
        <v>#N/A</v>
        <stp/>
        <stp>BDH|3032960666694874868</stp>
        <tr r="H73" s="10"/>
        <tr r="H65" s="11"/>
      </tp>
      <tp t="e">
        <v>#N/A</v>
        <stp/>
        <stp>BDH|8810860407884505423</stp>
        <tr r="H119" s="18"/>
      </tp>
      <tp t="e">
        <v>#N/A</v>
        <stp/>
        <stp>BDH|9862370884676081455</stp>
        <tr r="T61" s="11"/>
      </tp>
      <tp t="e">
        <v>#N/A</v>
        <stp/>
        <stp>BDH|2626021619471128228</stp>
        <tr r="E34" s="34"/>
      </tp>
      <tp t="e">
        <v>#N/A</v>
        <stp/>
        <stp>BDH|2494835144037591989</stp>
        <tr r="U61" s="18"/>
      </tp>
      <tp t="e">
        <v>#N/A</v>
        <stp/>
        <stp>BDH|1832658021513052627</stp>
        <tr r="M12" s="17"/>
      </tp>
      <tp t="e">
        <v>#N/A</v>
        <stp/>
        <stp>BDH|7585426660184110182</stp>
        <tr r="P22" s="11"/>
      </tp>
      <tp t="e">
        <v>#N/A</v>
        <stp/>
        <stp>BDH|3421285752985561157</stp>
        <tr r="M59" s="11"/>
        <tr r="O15" s="23"/>
      </tp>
      <tp t="e">
        <v>#N/A</v>
        <stp/>
        <stp>BDH|4206458558963171608</stp>
        <tr r="N12" s="6"/>
      </tp>
      <tp t="e">
        <v>#N/A</v>
        <stp/>
        <stp>BDH|7083536388533035956</stp>
        <tr r="G7" s="28"/>
      </tp>
      <tp t="e">
        <v>#N/A</v>
        <stp/>
        <stp>BDH|3598162809940220271</stp>
        <tr r="Q25" s="24"/>
      </tp>
      <tp t="e">
        <v>#N/A</v>
        <stp/>
        <stp>BDH|6545493717040778330</stp>
        <tr r="E38" s="24"/>
      </tp>
      <tp t="e">
        <v>#N/A</v>
        <stp/>
        <stp>BDH|2056622958312446310</stp>
        <tr r="G22" s="11"/>
      </tp>
      <tp t="e">
        <v>#N/A</v>
        <stp/>
        <stp>BDH|5125470020902993100</stp>
        <tr r="X44" s="17"/>
      </tp>
      <tp t="e">
        <v>#N/A</v>
        <stp/>
        <stp>BDH|1013526428234079250</stp>
        <tr r="P30" s="22"/>
      </tp>
      <tp t="e">
        <v>#N/A</v>
        <stp/>
        <stp>BDH|7778209939006188004</stp>
        <tr r="X32" s="21"/>
      </tp>
      <tp t="e">
        <v>#N/A</v>
        <stp/>
        <stp>BDH|1944691408852093571</stp>
        <tr r="AA21" s="22"/>
      </tp>
      <tp t="e">
        <v>#N/A</v>
        <stp/>
        <stp>BDH|2152279019934541554</stp>
        <tr r="H17" s="30"/>
      </tp>
      <tp t="e">
        <v>#N/A</v>
        <stp/>
        <stp>BDH|7519640042091530497</stp>
        <tr r="H10" s="11"/>
      </tp>
      <tp t="e">
        <v>#N/A</v>
        <stp/>
        <stp>BDH|8970526788181871442</stp>
        <tr r="E28" s="25"/>
        <tr r="E14" s="27"/>
      </tp>
      <tp t="e">
        <v>#N/A</v>
        <stp/>
        <stp>BDH|4426730204283813044</stp>
        <tr r="M9" s="28"/>
      </tp>
      <tp t="e">
        <v>#N/A</v>
        <stp/>
        <stp>BDH|2750687846501358156</stp>
        <tr r="S119" s="18"/>
      </tp>
      <tp t="e">
        <v>#N/A</v>
        <stp/>
        <stp>BDH|7565664158692560616</stp>
        <tr r="C11" s="3"/>
      </tp>
      <tp t="e">
        <v>#N/A</v>
        <stp/>
        <stp>BDH|1039962173557834823</stp>
        <tr r="L93" s="17"/>
      </tp>
      <tp t="e">
        <v>#N/A</v>
        <stp/>
        <stp>BDH|2445680212407720264</stp>
        <tr r="K36" s="22"/>
      </tp>
      <tp t="e">
        <v>#N/A</v>
        <stp/>
        <stp>BDH|9486312799937451470</stp>
        <tr r="R42" s="18"/>
      </tp>
      <tp t="e">
        <v>#N/A</v>
        <stp/>
        <stp>BDH|1822451636306618027</stp>
        <tr r="I11" s="7"/>
      </tp>
      <tp t="e">
        <v>#N/A</v>
        <stp/>
        <stp>BDH|7307302984235898900</stp>
        <tr r="W73" s="24"/>
      </tp>
      <tp t="e">
        <v>#N/A</v>
        <stp/>
        <stp>BDH|4193135537883858529</stp>
        <tr r="X22" s="17"/>
      </tp>
      <tp t="e">
        <v>#N/A</v>
        <stp/>
        <stp>BDH|5690408224813511080</stp>
        <tr r="C51" s="13"/>
      </tp>
      <tp t="e">
        <v>#N/A</v>
        <stp/>
        <stp>BDH|5502242869813264254</stp>
        <tr r="O12" s="20"/>
      </tp>
      <tp t="e">
        <v>#N/A</v>
        <stp/>
        <stp>BDH|9288127402068856051</stp>
        <tr r="Z23" s="21"/>
      </tp>
      <tp t="e">
        <v>#N/A</v>
        <stp/>
        <stp>BDH|8663677399982649516</stp>
        <tr r="N14" s="13"/>
      </tp>
      <tp t="e">
        <v>#N/A</v>
        <stp/>
        <stp>BDH|2460849478378703501</stp>
        <tr r="AA89" s="24"/>
      </tp>
      <tp t="e">
        <v>#N/A</v>
        <stp/>
        <stp>BDH|4377271659514664749</stp>
        <tr r="U63" s="21"/>
        <tr r="S23" s="7"/>
      </tp>
      <tp t="e">
        <v>#N/A</v>
        <stp/>
        <stp>BDH|8694633779368425177</stp>
        <tr r="L8" s="26"/>
        <tr r="I10" s="9"/>
      </tp>
      <tp t="e">
        <v>#N/A</v>
        <stp/>
        <stp>BDH|6991780839405148765</stp>
        <tr r="W18" s="24"/>
      </tp>
      <tp t="e">
        <v>#N/A</v>
        <stp/>
        <stp>BDH|5836028984685052817</stp>
        <tr r="J76" s="18"/>
      </tp>
      <tp t="e">
        <v>#N/A</v>
        <stp/>
        <stp>BDH|3292208010989459992</stp>
        <tr r="AA99" s="18"/>
        <tr r="AA8" s="20"/>
      </tp>
      <tp t="e">
        <v>#N/A</v>
        <stp/>
        <stp>BDH|4414666468650772428</stp>
        <tr r="I34" s="26"/>
      </tp>
      <tp t="e">
        <v>#N/A</v>
        <stp/>
        <stp>BDH|1817665642396398500</stp>
        <tr r="E30" s="22"/>
      </tp>
      <tp t="e">
        <v>#N/A</v>
        <stp/>
        <stp>BDH|1388772120624228090</stp>
        <tr r="S18" s="25"/>
      </tp>
      <tp t="e">
        <v>#N/A</v>
        <stp/>
        <stp>BDH|3169596286687164931</stp>
        <tr r="M9" s="27"/>
      </tp>
      <tp t="e">
        <v>#N/A</v>
        <stp/>
        <stp>BDH|3615420779027137703</stp>
        <tr r="C64" s="21"/>
      </tp>
      <tp t="e">
        <v>#N/A</v>
        <stp/>
        <stp>BDH|7716089610536481074</stp>
        <tr r="E44" s="21"/>
      </tp>
      <tp t="e">
        <v>#N/A</v>
        <stp/>
        <stp>BDH|9625191850694427976</stp>
        <tr r="R116" s="18"/>
      </tp>
      <tp t="e">
        <v>#N/A</v>
        <stp/>
        <stp>BDH|2915111836212620241</stp>
        <tr r="H25" s="9"/>
      </tp>
      <tp t="e">
        <v>#N/A</v>
        <stp/>
        <stp>BDH|2763460308982672439</stp>
        <tr r="W8" s="24"/>
      </tp>
      <tp t="e">
        <v>#N/A</v>
        <stp/>
        <stp>BDH|8711301959078625643</stp>
        <tr r="W12" s="13"/>
      </tp>
      <tp t="e">
        <v>#N/A</v>
        <stp/>
        <stp>BDH|2965151873306456271</stp>
        <tr r="E35" s="25"/>
      </tp>
      <tp t="e">
        <v>#N/A</v>
        <stp/>
        <stp>BDH|7046081961019654833</stp>
        <tr r="K35" s="4"/>
      </tp>
      <tp t="e">
        <v>#N/A</v>
        <stp/>
        <stp>BDH|5629481395499424137</stp>
        <tr r="D74" s="18"/>
      </tp>
      <tp t="e">
        <v>#N/A</v>
        <stp/>
        <stp>BDH|6744416589299505365</stp>
        <tr r="V62" s="12"/>
      </tp>
      <tp t="e">
        <v>#N/A</v>
        <stp/>
        <stp>BDH|9393826479062638429</stp>
        <tr r="U20" s="14"/>
      </tp>
      <tp t="e">
        <v>#N/A</v>
        <stp/>
        <stp>BDH|8697735123475241888</stp>
        <tr r="X87" s="17"/>
      </tp>
      <tp t="e">
        <v>#N/A</v>
        <stp/>
        <stp>BDH|1936542329114060281</stp>
        <tr r="O10" s="14"/>
      </tp>
      <tp t="e">
        <v>#N/A</v>
        <stp/>
        <stp>BDH|2909441852166372500</stp>
        <tr r="O45" s="4"/>
        <tr r="O31" s="10"/>
        <tr r="O23" s="11"/>
        <tr r="Q30" s="13"/>
      </tp>
      <tp t="e">
        <v>#N/A</v>
        <stp/>
        <stp>BDH|1721483003104327134</stp>
        <tr r="Q61" s="12"/>
      </tp>
      <tp t="e">
        <v>#N/A</v>
        <stp/>
        <stp>BDH|3427582614935377276</stp>
        <tr r="C7" s="21"/>
      </tp>
      <tp t="e">
        <v>#N/A</v>
        <stp/>
        <stp>BDH|1130012743715984066</stp>
        <tr r="T88" s="18"/>
      </tp>
      <tp t="e">
        <v>#N/A</v>
        <stp/>
        <stp>BDH|2937025243926739034</stp>
        <tr r="R81" s="17"/>
        <tr r="R20" s="3"/>
        <tr r="P6" s="7"/>
      </tp>
      <tp t="e">
        <v>#N/A</v>
        <stp/>
        <stp>BDH|8001055392930354182</stp>
        <tr r="Y48" s="13"/>
      </tp>
      <tp t="e">
        <v>#N/A</v>
        <stp/>
        <stp>BDH|9868789321664468894</stp>
        <tr r="X9" s="13"/>
      </tp>
      <tp t="e">
        <v>#N/A</v>
        <stp/>
        <stp>BDH|2276529173194857471</stp>
        <tr r="D36" s="4"/>
      </tp>
      <tp t="e">
        <v>#N/A</v>
        <stp/>
        <stp>BDH|6259250426027984146</stp>
        <tr r="J17" s="13"/>
      </tp>
      <tp t="e">
        <v>#N/A</v>
        <stp/>
        <stp>BDH|9477953613913757295</stp>
        <tr r="P111" s="18"/>
      </tp>
      <tp t="e">
        <v>#N/A</v>
        <stp/>
        <stp>BDH|6927432514777427468</stp>
        <tr r="H26" s="6"/>
      </tp>
      <tp t="e">
        <v>#N/A</v>
        <stp/>
        <stp>BDH|3154294062282364558</stp>
        <tr r="M49" s="13"/>
      </tp>
      <tp t="e">
        <v>#N/A</v>
        <stp/>
        <stp>BDH|1083530628345531324</stp>
        <tr r="L54" s="18"/>
      </tp>
      <tp t="e">
        <v>#N/A</v>
        <stp/>
        <stp>BDH|7586524071795300097</stp>
        <tr r="F47" s="34"/>
      </tp>
      <tp t="e">
        <v>#N/A</v>
        <stp/>
        <stp>BDH|1418092167896658102</stp>
        <tr r="R21" s="5"/>
      </tp>
      <tp t="e">
        <v>#N/A</v>
        <stp/>
        <stp>BDH|6222391571863354151</stp>
        <tr r="O60" s="12"/>
      </tp>
      <tp t="e">
        <v>#N/A</v>
        <stp/>
        <stp>BDH|1687449555627302788</stp>
        <tr r="U46" s="13"/>
      </tp>
      <tp t="e">
        <v>#N/A</v>
        <stp/>
        <stp>BDH|6817098379789774836</stp>
        <tr r="V34" s="34"/>
      </tp>
      <tp t="e">
        <v>#N/A</v>
        <stp/>
        <stp>BDH|5371792414886666544</stp>
        <tr r="I43" s="21"/>
      </tp>
      <tp t="e">
        <v>#N/A</v>
        <stp/>
        <stp>BDH|7476670748296058361</stp>
        <tr r="K9" s="21"/>
      </tp>
      <tp t="e">
        <v>#N/A</v>
        <stp/>
        <stp>BDH|4368172529770855787</stp>
        <tr r="K39" s="12"/>
      </tp>
      <tp t="e">
        <v>#N/A</v>
        <stp/>
        <stp>BDH|9733348361939857577</stp>
        <tr r="S9" s="18"/>
      </tp>
      <tp t="e">
        <v>#N/A</v>
        <stp/>
        <stp>BDH|9067555615378570587</stp>
        <tr r="R31" s="5"/>
      </tp>
      <tp t="e">
        <v>#N/A</v>
        <stp/>
        <stp>BDH|2079791166062471161</stp>
        <tr r="G17" s="21"/>
      </tp>
      <tp t="e">
        <v>#N/A</v>
        <stp/>
        <stp>BDH|4439605539364142511</stp>
        <tr r="E71" s="17"/>
      </tp>
      <tp t="e">
        <v>#N/A</v>
        <stp/>
        <stp>BDH|8576726588236119132</stp>
        <tr r="J12" s="20"/>
      </tp>
      <tp t="e">
        <v>#N/A</v>
        <stp/>
        <stp>BDH|2115355733793853125</stp>
        <tr r="Q74" s="12"/>
      </tp>
      <tp t="e">
        <v>#N/A</v>
        <stp/>
        <stp>BDH|2236085061704403023</stp>
        <tr r="J13" s="22"/>
      </tp>
      <tp t="e">
        <v>#N/A</v>
        <stp/>
        <stp>BDH|3325686516227755371</stp>
        <tr r="Y22" s="27"/>
      </tp>
      <tp t="e">
        <v>#N/A</v>
        <stp/>
        <stp>BDH|4565801297377831275</stp>
        <tr r="R21" s="10"/>
      </tp>
      <tp t="e">
        <v>#N/A</v>
        <stp/>
        <stp>BDH|4246205520743764782</stp>
        <tr r="F88" s="12"/>
      </tp>
      <tp t="e">
        <v>#N/A</v>
        <stp/>
        <stp>BDH|2053025555151978634</stp>
        <tr r="F50" s="21"/>
      </tp>
      <tp t="e">
        <v>#N/A</v>
        <stp/>
        <stp>BDH|6539889227168669418</stp>
        <tr r="D16" s="26"/>
      </tp>
      <tp t="e">
        <v>#N/A</v>
        <stp/>
        <stp>BDH|3255185648442611490</stp>
        <tr r="G26" s="10"/>
        <tr r="I32" s="13"/>
      </tp>
      <tp t="e">
        <v>#N/A</v>
        <stp/>
        <stp>BDH|5256548952275888012</stp>
        <tr r="L25" s="22"/>
      </tp>
      <tp t="e">
        <v>#N/A</v>
        <stp/>
        <stp>BDH|1335917707131029982</stp>
        <tr r="C29" s="10"/>
        <tr r="E35" s="13"/>
      </tp>
      <tp t="e">
        <v>#N/A</v>
        <stp/>
        <stp>BDH|2841084486233351983</stp>
        <tr r="M17" s="12"/>
      </tp>
      <tp t="e">
        <v>#N/A</v>
        <stp/>
        <stp>BDH|7674957948468386258</stp>
        <tr r="O43" s="12"/>
      </tp>
      <tp t="e">
        <v>#N/A</v>
        <stp/>
        <stp>BDH|2574518869940732171</stp>
        <tr r="G91" s="24"/>
      </tp>
      <tp t="e">
        <v>#N/A</v>
        <stp/>
        <stp>BDH|2525867770379745495</stp>
        <tr r="C31" s="18"/>
      </tp>
      <tp t="e">
        <v>#N/A</v>
        <stp/>
        <stp>BDH|9515950151713518690</stp>
        <tr r="R59" s="13"/>
      </tp>
      <tp t="e">
        <v>#N/A</v>
        <stp/>
        <stp>BDH|2938804700822118858</stp>
        <tr r="H38" s="22"/>
      </tp>
      <tp t="e">
        <v>#N/A</v>
        <stp/>
        <stp>BDH|5896520245182184636</stp>
        <tr r="U91" s="17"/>
        <tr r="U7" s="27"/>
      </tp>
      <tp t="e">
        <v>#N/A</v>
        <stp/>
        <stp>BDH|2508965701009842279</stp>
        <tr r="X71" s="17"/>
      </tp>
      <tp t="e">
        <v>#N/A</v>
        <stp/>
        <stp>BDH|8788734281292011584</stp>
        <tr r="D38" s="6"/>
      </tp>
      <tp t="e">
        <v>#N/A</v>
        <stp/>
        <stp>BDH|8418953948565284064</stp>
        <tr r="AA23" s="25"/>
        <tr r="Y20" s="11"/>
      </tp>
      <tp t="e">
        <v>#N/A</v>
        <stp/>
        <stp>BDH|9839359629958899011</stp>
        <tr r="H9" s="34"/>
      </tp>
      <tp t="e">
        <v>#N/A</v>
        <stp/>
        <stp>BDH|4271515371830819670</stp>
        <tr r="C29" s="4"/>
      </tp>
      <tp t="e">
        <v>#N/A</v>
        <stp/>
        <stp>BDH|2437159933606777680</stp>
        <tr r="W16" s="26"/>
      </tp>
      <tp t="e">
        <v>#N/A</v>
        <stp/>
        <stp>BDH|1921193162945958367</stp>
        <tr r="W9" s="30"/>
      </tp>
      <tp t="e">
        <v>#N/A</v>
        <stp/>
        <stp>BDH|7992018300367608038</stp>
        <tr r="R58" s="17"/>
      </tp>
      <tp t="e">
        <v>#N/A</v>
        <stp/>
        <stp>BDH|5550061653886443695</stp>
        <tr r="T71" s="18"/>
      </tp>
      <tp t="e">
        <v>#N/A</v>
        <stp/>
        <stp>BDH|9272332086115394791</stp>
        <tr r="V105" s="18"/>
      </tp>
      <tp t="e">
        <v>#N/A</v>
        <stp/>
        <stp>BDH|3819462939850855422</stp>
        <tr r="F59" s="18"/>
      </tp>
      <tp t="e">
        <v>#N/A</v>
        <stp/>
        <stp>BDH|8548303490493074188</stp>
        <tr r="O68" s="10"/>
      </tp>
      <tp t="e">
        <v>#N/A</v>
        <stp/>
        <stp>BDH|1269239713737871573</stp>
        <tr r="H24" s="21"/>
      </tp>
      <tp t="e">
        <v>#N/A</v>
        <stp/>
        <stp>BDH|9687837313561869130</stp>
        <tr r="I24" s="10"/>
      </tp>
      <tp t="e">
        <v>#N/A</v>
        <stp/>
        <stp>BDH|7272751461252923429</stp>
        <tr r="J77" s="12"/>
      </tp>
      <tp t="e">
        <v>#N/A</v>
        <stp/>
        <stp>BDH|1760791312083796461</stp>
        <tr r="L45" s="4"/>
        <tr r="L31" s="10"/>
        <tr r="L23" s="11"/>
        <tr r="N30" s="13"/>
      </tp>
      <tp t="e">
        <v>#N/A</v>
        <stp/>
        <stp>BDH|1093631016051810707</stp>
        <tr r="P56" s="6"/>
      </tp>
      <tp t="e">
        <v>#N/A</v>
        <stp/>
        <stp>BDH|9848998107036098644</stp>
        <tr r="D10" s="11"/>
      </tp>
      <tp t="e">
        <v>#N/A</v>
        <stp/>
        <stp>BDH|1877655764568215997</stp>
        <tr r="H26" s="12"/>
      </tp>
      <tp t="e">
        <v>#N/A</v>
        <stp/>
        <stp>BDH|5700453534133752137</stp>
        <tr r="AA80" s="18"/>
      </tp>
      <tp t="e">
        <v>#N/A</v>
        <stp/>
        <stp>BDH|5178627795303662925</stp>
        <tr r="R24" s="24"/>
      </tp>
      <tp t="e">
        <v>#N/A</v>
        <stp/>
        <stp>BDH|5469772869472912612</stp>
        <tr r="S33" s="12"/>
      </tp>
      <tp t="e">
        <v>#N/A</v>
        <stp/>
        <stp>BDH|3734097048920283766</stp>
        <tr r="S87" s="24"/>
      </tp>
      <tp t="e">
        <v>#N/A</v>
        <stp/>
        <stp>BDH|6086203731346297112</stp>
        <tr r="L44" s="34"/>
      </tp>
      <tp t="e">
        <v>#N/A</v>
        <stp/>
        <stp>BDH|6299323327070495710</stp>
        <tr r="I9" s="30"/>
      </tp>
      <tp t="e">
        <v>#N/A</v>
        <stp/>
        <stp>BDH|6064431470297562240</stp>
        <tr r="K29" s="34"/>
      </tp>
      <tp t="e">
        <v>#N/A</v>
        <stp/>
        <stp>BDH|6328041151300719333</stp>
        <tr r="D114" s="18"/>
      </tp>
      <tp t="e">
        <v>#N/A</v>
        <stp/>
        <stp>BDH|3943269906772901328</stp>
        <tr r="W48" s="24"/>
      </tp>
      <tp t="e">
        <v>#N/A</v>
        <stp/>
        <stp>BDH|6812539608302989181</stp>
        <tr r="H62" s="24"/>
      </tp>
      <tp t="e">
        <v>#N/A</v>
        <stp/>
        <stp>BDH|3993459676137935717</stp>
        <tr r="AA25" s="3"/>
      </tp>
      <tp t="e">
        <v>#N/A</v>
        <stp/>
        <stp>BDH|2988198777812297674</stp>
        <tr r="T88" s="12"/>
      </tp>
      <tp t="e">
        <v>#N/A</v>
        <stp/>
        <stp>BDH|8208761763760662935</stp>
        <tr r="S66" s="18"/>
      </tp>
      <tp t="e">
        <v>#N/A</v>
        <stp/>
        <stp>BDH|1333641479227425786</stp>
        <tr r="N13" s="2"/>
      </tp>
      <tp t="e">
        <v>#N/A</v>
        <stp/>
        <stp>BDH|2414760307224714106</stp>
        <tr r="W56" s="13"/>
      </tp>
      <tp t="e">
        <v>#N/A</v>
        <stp/>
        <stp>BDH|3446383122270919250</stp>
        <tr r="S61" s="12"/>
      </tp>
      <tp t="e">
        <v>#N/A</v>
        <stp/>
        <stp>BDH|4924993002064228927</stp>
        <tr r="H11" s="29"/>
      </tp>
      <tp t="e">
        <v>#N/A</v>
        <stp/>
        <stp>BDH|4632513109602405381</stp>
        <tr r="H56" s="13"/>
      </tp>
      <tp t="e">
        <v>#N/A</v>
        <stp/>
        <stp>BDH|3419301576263079402</stp>
        <tr r="P44" s="21"/>
      </tp>
      <tp t="e">
        <v>#N/A</v>
        <stp/>
        <stp>BDH|4110607142556733066</stp>
        <tr r="V17" s="20"/>
      </tp>
      <tp t="e">
        <v>#N/A</v>
        <stp/>
        <stp>BDH|8311011074549525611</stp>
        <tr r="M7" s="24"/>
      </tp>
      <tp t="e">
        <v>#N/A</v>
        <stp/>
        <stp>BDH|7110803607459540614</stp>
        <tr r="L55" s="12"/>
      </tp>
      <tp t="e">
        <v>#N/A</v>
        <stp/>
        <stp>BDH|8302648551522336978</stp>
        <tr r="L63" s="17"/>
      </tp>
      <tp t="e">
        <v>#N/A</v>
        <stp/>
        <stp>BDH|5320413170893391536</stp>
        <tr r="S11" s="30"/>
      </tp>
      <tp t="e">
        <v>#N/A</v>
        <stp/>
        <stp>BDH|7218462291328390240</stp>
        <tr r="X20" s="25"/>
      </tp>
      <tp t="e">
        <v>#N/A</v>
        <stp/>
        <stp>BDH|5165058504505109032</stp>
        <tr r="I136" s="18"/>
      </tp>
      <tp t="e">
        <v>#N/A</v>
        <stp/>
        <stp>BDH|7100755274564280300</stp>
        <tr r="R25" s="17"/>
      </tp>
      <tp t="e">
        <v>#N/A</v>
        <stp/>
        <stp>BDH|8342979579004920267</stp>
        <tr r="Z10" s="23"/>
      </tp>
      <tp t="e">
        <v>#N/A</v>
        <stp/>
        <stp>BDH|3074593260727834738</stp>
        <tr r="E19" s="20"/>
      </tp>
      <tp t="e">
        <v>#N/A</v>
        <stp/>
        <stp>BDH|2724502876689579969</stp>
        <tr r="R28" s="22"/>
      </tp>
      <tp t="e">
        <v>#N/A</v>
        <stp/>
        <stp>BDH|2187773017586065230</stp>
        <tr r="Q72" s="10"/>
        <tr r="Q64" s="11"/>
      </tp>
      <tp t="e">
        <v>#N/A</v>
        <stp/>
        <stp>BDH|3741875236679741138</stp>
        <tr r="N82" s="18"/>
      </tp>
      <tp t="e">
        <v>#N/A</v>
        <stp/>
        <stp>BDH|5604440217834536420</stp>
        <tr r="E108" s="18"/>
      </tp>
      <tp t="e">
        <v>#N/A</v>
        <stp/>
        <stp>BDH|9530974527243767109</stp>
        <tr r="H59" s="17"/>
      </tp>
      <tp t="e">
        <v>#N/A</v>
        <stp/>
        <stp>BDH|9227866557767295330</stp>
        <tr r="Q33" s="17"/>
      </tp>
      <tp t="e">
        <v>#N/A</v>
        <stp/>
        <stp>BDH|9105296543409802618</stp>
        <tr r="U35" s="4"/>
      </tp>
      <tp t="e">
        <v>#N/A</v>
        <stp/>
        <stp>BDH|1460839287561269006</stp>
        <tr r="I9" s="24"/>
      </tp>
      <tp t="e">
        <v>#N/A</v>
        <stp/>
        <stp>BDH|2297480750970951318</stp>
        <tr r="F20" s="20"/>
      </tp>
      <tp t="e">
        <v>#N/A</v>
        <stp/>
        <stp>BDH|6237066906883375537</stp>
        <tr r="I17" s="24"/>
      </tp>
      <tp t="e">
        <v>#N/A</v>
        <stp/>
        <stp>BDH|1573140392590096916</stp>
        <tr r="F25" s="12"/>
      </tp>
      <tp t="e">
        <v>#N/A</v>
        <stp/>
        <stp>BDH|9096477884823823698</stp>
        <tr r="L87" s="12"/>
      </tp>
      <tp t="e">
        <v>#N/A</v>
        <stp/>
        <stp>BDH|3078132297038381351</stp>
        <tr r="Z12" s="18"/>
      </tp>
      <tp t="e">
        <v>#N/A</v>
        <stp/>
        <stp>BDH|7530254932952968497</stp>
        <tr r="P141" s="18"/>
      </tp>
      <tp t="e">
        <v>#N/A</v>
        <stp/>
        <stp>BDH|5381074890165269944</stp>
        <tr r="Y34" s="12"/>
      </tp>
      <tp t="e">
        <v>#N/A</v>
        <stp/>
        <stp>BDH|8914822375025595295</stp>
        <tr r="E86" s="24"/>
      </tp>
      <tp t="e">
        <v>#N/A</v>
        <stp/>
        <stp>BDH|9666647822754586971</stp>
        <tr r="Y10" s="21"/>
      </tp>
      <tp t="e">
        <v>#N/A</v>
        <stp/>
        <stp>BDH|4436245460954793458</stp>
        <tr r="O6" s="15"/>
        <tr r="O12" s="2"/>
        <tr r="O11" s="4"/>
        <tr r="O6" s="10"/>
      </tp>
      <tp t="e">
        <v>#N/A</v>
        <stp/>
        <stp>BDH|3647365190439379003</stp>
        <tr r="U52" s="10"/>
        <tr r="U44" s="11"/>
        <tr r="U15" s="7"/>
      </tp>
      <tp t="e">
        <v>#N/A</v>
        <stp/>
        <stp>BDH|1883277968603697621</stp>
        <tr r="T22" s="6"/>
      </tp>
      <tp t="e">
        <v>#N/A</v>
        <stp/>
        <stp>BDH|4492488990919885071</stp>
        <tr r="L64" s="21"/>
        <tr r="I31" s="6"/>
      </tp>
      <tp t="e">
        <v>#N/A</v>
        <stp/>
        <stp>BDH|5041097968632752151</stp>
        <tr r="N11" s="24"/>
      </tp>
      <tp t="e">
        <v>#N/A</v>
        <stp/>
        <stp>BDH|8232913173315152326</stp>
        <tr r="X25" s="18"/>
      </tp>
      <tp t="e">
        <v>#N/A</v>
        <stp/>
        <stp>BDH|4279347235591771572</stp>
        <tr r="U34" s="10"/>
        <tr r="U26" s="11"/>
      </tp>
      <tp t="e">
        <v>#N/A</v>
        <stp/>
        <stp>BDH|4678226450896790503</stp>
        <tr r="R77" s="18"/>
      </tp>
      <tp t="e">
        <v>#N/A</v>
        <stp/>
        <stp>BDH|2341611928704095298</stp>
        <tr r="G82" s="24"/>
      </tp>
      <tp t="e">
        <v>#N/A</v>
        <stp/>
        <stp>BDH|5227687888043324824</stp>
        <tr r="O27" s="18"/>
      </tp>
      <tp t="e">
        <v>#N/A</v>
        <stp/>
        <stp>BDH|5726678181582485962</stp>
        <tr r="C18" s="23"/>
      </tp>
      <tp t="e">
        <v>#N/A</v>
        <stp/>
        <stp>BDH|8882159197779122980</stp>
        <tr r="Q78" s="12"/>
      </tp>
      <tp t="e">
        <v>#N/A</v>
        <stp/>
        <stp>BDH|7630940468471824911</stp>
        <tr r="O56" s="13"/>
      </tp>
      <tp t="e">
        <v>#N/A</v>
        <stp/>
        <stp>BDH|2350240321530151241</stp>
        <tr r="E120" s="18"/>
      </tp>
      <tp t="e">
        <v>#N/A</v>
        <stp/>
        <stp>BDH|6131461367015147121</stp>
        <tr r="T17" s="5"/>
        <tr r="T36" s="6"/>
      </tp>
      <tp t="e">
        <v>#N/A</v>
        <stp/>
        <stp>BDH|5641735163365276172</stp>
        <tr r="L39" s="4"/>
        <tr r="L66" s="10"/>
      </tp>
      <tp t="e">
        <v>#N/A</v>
        <stp/>
        <stp>BDH|8547605771350104965</stp>
        <tr r="V91" s="18"/>
      </tp>
      <tp t="e">
        <v>#N/A</v>
        <stp/>
        <stp>BDH|1384131246690006458</stp>
        <tr r="H90" s="24"/>
      </tp>
      <tp t="e">
        <v>#N/A</v>
        <stp/>
        <stp>BDH|6069077445223426156</stp>
        <tr r="Z61" s="12"/>
      </tp>
      <tp t="e">
        <v>#N/A</v>
        <stp/>
        <stp>BDH|9090843375995733357</stp>
        <tr r="M121" s="18"/>
      </tp>
      <tp t="e">
        <v>#N/A</v>
        <stp/>
        <stp>BDH|4366077656624048514</stp>
        <tr r="G73" s="18"/>
      </tp>
      <tp t="e">
        <v>#N/A</v>
        <stp/>
        <stp>BDH|5769338297877178817</stp>
        <tr r="K17" s="20"/>
      </tp>
      <tp t="e">
        <v>#N/A</v>
        <stp/>
        <stp>BDH|9025706720385049935</stp>
        <tr r="T15" s="5"/>
      </tp>
      <tp t="e">
        <v>#N/A</v>
        <stp/>
        <stp>BDH|5828741998799760204</stp>
        <tr r="S13" s="26"/>
      </tp>
      <tp t="e">
        <v>#N/A</v>
        <stp/>
        <stp>BDH|7059724020913370129</stp>
        <tr r="R18" s="5"/>
        <tr r="R41" s="6"/>
      </tp>
      <tp t="e">
        <v>#N/A</v>
        <stp/>
        <stp>BDH|1666470522873151412</stp>
        <tr r="K10" s="10"/>
      </tp>
      <tp t="e">
        <v>#N/A</v>
        <stp/>
        <stp>BDH|5870139718845261028</stp>
        <tr r="J13" s="30"/>
      </tp>
      <tp t="e">
        <v>#N/A</v>
        <stp/>
        <stp>BDH|2506377760065174208</stp>
        <tr r="I23" s="6"/>
      </tp>
      <tp t="e">
        <v>#N/A</v>
        <stp/>
        <stp>BDH|2838248033025524691</stp>
        <tr r="Y64" s="10"/>
      </tp>
      <tp t="e">
        <v>#N/A</v>
        <stp/>
        <stp>BDH|5401450864322025569</stp>
        <tr r="W57" s="18"/>
      </tp>
      <tp t="e">
        <v>#N/A</v>
        <stp/>
        <stp>BDH|7781685756917897326</stp>
        <tr r="O40" s="34"/>
      </tp>
      <tp t="e">
        <v>#N/A</v>
        <stp/>
        <stp>BDH|4638785839858708835</stp>
        <tr r="U52" s="24"/>
      </tp>
      <tp t="e">
        <v>#N/A</v>
        <stp/>
        <stp>BDH|9532538063253618902</stp>
        <tr r="S45" s="13"/>
      </tp>
      <tp t="e">
        <v>#N/A</v>
        <stp/>
        <stp>BDH|5805080695644682803</stp>
        <tr r="W44" s="22"/>
      </tp>
      <tp t="e">
        <v>#N/A</v>
        <stp/>
        <stp>BDH|2447008552395159247</stp>
        <tr r="P25" s="13"/>
      </tp>
      <tp t="e">
        <v>#N/A</v>
        <stp/>
        <stp>BDH|4955447836134863708</stp>
        <tr r="S72" s="10"/>
        <tr r="S64" s="11"/>
      </tp>
      <tp t="e">
        <v>#N/A</v>
        <stp/>
        <stp>BDH|4644949495315565114</stp>
        <tr r="F32" s="18"/>
      </tp>
      <tp t="e">
        <v>#N/A</v>
        <stp/>
        <stp>BDH|5554680652900446684</stp>
        <tr r="S80" s="18"/>
      </tp>
      <tp t="e">
        <v>#N/A</v>
        <stp/>
        <stp>BDH|5554605905206778549</stp>
        <tr r="H49" s="18"/>
      </tp>
      <tp t="e">
        <v>#N/A</v>
        <stp/>
        <stp>BDH|3494256531665538766</stp>
        <tr r="H23" s="6"/>
      </tp>
      <tp t="e">
        <v>#N/A</v>
        <stp/>
        <stp>BDH|8332609085941469719</stp>
        <tr r="W95" s="18"/>
      </tp>
      <tp t="e">
        <v>#N/A</v>
        <stp/>
        <stp>BDH|9060734380586534058</stp>
        <tr r="S28" s="4"/>
      </tp>
      <tp t="e">
        <v>#N/A</v>
        <stp/>
        <stp>BDH|2369105675273241779</stp>
        <tr r="E25" s="3"/>
      </tp>
      <tp t="e">
        <v>#N/A</v>
        <stp/>
        <stp>BDH|1659255703853670053</stp>
        <tr r="AA12" s="12"/>
      </tp>
      <tp t="e">
        <v>#N/A</v>
        <stp/>
        <stp>BDH|8688732361698056176</stp>
        <tr r="U42" s="10"/>
        <tr r="U34" s="11"/>
      </tp>
      <tp t="e">
        <v>#N/A</v>
        <stp/>
        <stp>BDH|1257150467272482470</stp>
        <tr r="Y31" s="29"/>
      </tp>
      <tp t="e">
        <v>#N/A</v>
        <stp/>
        <stp>BDH|3376771271201033268</stp>
        <tr r="E28" s="4"/>
      </tp>
      <tp t="e">
        <v>#N/A</v>
        <stp/>
        <stp>BDH|9790973924794627610</stp>
        <tr r="M34" s="5"/>
        <tr r="N32" s="29"/>
      </tp>
      <tp t="e">
        <v>#N/A</v>
        <stp/>
        <stp>BDH|8691726725238735551</stp>
        <tr r="D7" s="2"/>
        <tr r="C7" s="5"/>
        <tr r="C7" s="9"/>
        <tr r="F14" s="3"/>
      </tp>
      <tp t="e">
        <v>#N/A</v>
        <stp/>
        <stp>BDH|3327779619547906271</stp>
        <tr r="M30" s="29"/>
        <tr r="M8" s="29"/>
      </tp>
      <tp t="e">
        <v>#N/A</v>
        <stp/>
        <stp>BDH|5144975781915341173</stp>
        <tr r="K76" s="12"/>
      </tp>
      <tp t="e">
        <v>#N/A</v>
        <stp/>
        <stp>BDH|7082470616117448562</stp>
        <tr r="Q14" s="10"/>
      </tp>
      <tp t="e">
        <v>#N/A</v>
        <stp/>
        <stp>BDH|2380494530174142187</stp>
        <tr r="O30" s="24"/>
      </tp>
      <tp t="e">
        <v>#N/A</v>
        <stp/>
        <stp>BDH|2740411358847869455</stp>
        <tr r="T49" s="13"/>
      </tp>
      <tp t="e">
        <v>#N/A</v>
        <stp/>
        <stp>BDH|6152324087858295561</stp>
        <tr r="U42" s="21"/>
      </tp>
      <tp t="e">
        <v>#N/A</v>
        <stp/>
        <stp>BDH|1209618045646785517</stp>
        <tr r="O59" s="13"/>
      </tp>
      <tp t="e">
        <v>#N/A</v>
        <stp/>
        <stp>BDH|3899330810809209890</stp>
        <tr r="I12" s="26"/>
      </tp>
      <tp t="e">
        <v>#N/A</v>
        <stp/>
        <stp>BDH|7579167783389907793</stp>
        <tr r="G33" s="5"/>
      </tp>
      <tp t="e">
        <v>#N/A</v>
        <stp/>
        <stp>BDH|3654706863511604336</stp>
        <tr r="R39" s="24"/>
      </tp>
      <tp t="e">
        <v>#N/A</v>
        <stp/>
        <stp>BDH|9088111613828205101</stp>
        <tr r="G58" s="13"/>
      </tp>
      <tp t="e">
        <v>#N/A</v>
        <stp/>
        <stp>BDH|8265474023617325955</stp>
        <tr r="T11" s="30"/>
      </tp>
      <tp t="e">
        <v>#N/A</v>
        <stp/>
        <stp>BDH|3562714599135936843</stp>
        <tr r="D124" s="18"/>
      </tp>
      <tp t="e">
        <v>#N/A</v>
        <stp/>
        <stp>BDH|8794610956503377838</stp>
        <tr r="J24" s="22"/>
      </tp>
      <tp t="e">
        <v>#N/A</v>
        <stp/>
        <stp>BDH|4131527352251667572</stp>
        <tr r="G19" s="30"/>
      </tp>
      <tp t="e">
        <v>#N/A</v>
        <stp/>
        <stp>BDH|4320869360958275277</stp>
        <tr r="D26" s="21"/>
      </tp>
      <tp t="e">
        <v>#N/A</v>
        <stp/>
        <stp>BDH|9423202678159973554</stp>
        <tr r="O24" s="6"/>
      </tp>
      <tp t="e">
        <v>#N/A</v>
        <stp/>
        <stp>BDH|9371812927104101746</stp>
        <tr r="K13" s="18"/>
      </tp>
      <tp t="e">
        <v>#N/A</v>
        <stp/>
        <stp>BDH|4507923718015834975</stp>
        <tr r="I53" s="18"/>
      </tp>
      <tp t="e">
        <v>#N/A</v>
        <stp/>
        <stp>BDH|6756769291870752874</stp>
        <tr r="X95" s="18"/>
      </tp>
      <tp t="e">
        <v>#N/A</v>
        <stp/>
        <stp>BDH|7665513300533047171</stp>
        <tr r="J85" s="12"/>
      </tp>
      <tp t="e">
        <v>#N/A</v>
        <stp/>
        <stp>BDH|2555863052377466857</stp>
        <tr r="V46" s="22"/>
      </tp>
      <tp t="e">
        <v>#N/A</v>
        <stp/>
        <stp>BDH|7757857695341754700</stp>
        <tr r="P46" s="22"/>
      </tp>
      <tp t="e">
        <v>#N/A</v>
        <stp/>
        <stp>BDH|7909332613494035191</stp>
        <tr r="T43" s="21"/>
      </tp>
      <tp t="e">
        <v>#N/A</v>
        <stp/>
        <stp>BDH|9255553941501363951</stp>
        <tr r="P17" s="21"/>
      </tp>
      <tp t="e">
        <v>#N/A</v>
        <stp/>
        <stp>BDH|5913931426408414682</stp>
        <tr r="I11" s="14"/>
      </tp>
      <tp t="e">
        <v>#N/A</v>
        <stp/>
        <stp>BDH|7176221877860795230</stp>
        <tr r="J50" s="21"/>
      </tp>
      <tp t="e">
        <v>#N/A</v>
        <stp/>
        <stp>BDH|9692914776291783660</stp>
        <tr r="J30" s="17"/>
      </tp>
      <tp t="e">
        <v>#N/A</v>
        <stp/>
        <stp>BDH|8324722893763381518</stp>
        <tr r="O25" s="22"/>
      </tp>
      <tp t="e">
        <v>#N/A</v>
        <stp/>
        <stp>BDH|4284150496665316929</stp>
        <tr r="M6" s="19"/>
        <tr r="M35" s="17"/>
        <tr r="M16" s="3"/>
      </tp>
      <tp t="e">
        <v>#N/A</v>
        <stp/>
        <stp>BDH|3022701232097665043</stp>
        <tr r="C17" s="14"/>
      </tp>
      <tp t="e">
        <v>#N/A</v>
        <stp/>
        <stp>BDH|4147576366852946597</stp>
        <tr r="K43" s="22"/>
      </tp>
      <tp t="e">
        <v>#N/A</v>
        <stp/>
        <stp>BDH|6326362543265395452</stp>
        <tr r="V36" s="12"/>
      </tp>
      <tp t="e">
        <v>#N/A</v>
        <stp/>
        <stp>BDH|7817620512972126292</stp>
        <tr r="I43" s="4"/>
      </tp>
      <tp t="e">
        <v>#N/A</v>
        <stp/>
        <stp>BDH|1876028926355554691</stp>
        <tr r="V20" s="27"/>
      </tp>
      <tp t="e">
        <v>#N/A</v>
        <stp/>
        <stp>BDH|1174713836644787112</stp>
        <tr r="W126" s="18"/>
      </tp>
      <tp t="e">
        <v>#N/A</v>
        <stp/>
        <stp>BDH|8832890751097523259</stp>
        <tr r="G17" s="17"/>
        <tr r="G20" s="28"/>
      </tp>
      <tp t="e">
        <v>#N/A</v>
        <stp/>
        <stp>BDH|7692563323342021230</stp>
        <tr r="E63" s="18"/>
      </tp>
      <tp t="e">
        <v>#N/A</v>
        <stp/>
        <stp>BDH|7466049184466575916</stp>
        <tr r="N7" s="21"/>
      </tp>
      <tp t="e">
        <v>#N/A</v>
        <stp/>
        <stp>BDH|7966306799979777474</stp>
        <tr r="K43" s="17"/>
      </tp>
      <tp t="e">
        <v>#N/A</v>
        <stp/>
        <stp>BDH|2347360208732518388</stp>
        <tr r="P65" s="21"/>
      </tp>
      <tp t="e">
        <v>#N/A</v>
        <stp/>
        <stp>BDH|9634981028533699104</stp>
        <tr r="V45" s="17"/>
      </tp>
      <tp t="e">
        <v>#N/A</v>
        <stp/>
        <stp>BDH|4846586757030171468</stp>
        <tr r="X46" s="4"/>
        <tr r="X23" s="10"/>
        <tr r="Z37" s="13"/>
      </tp>
      <tp t="e">
        <v>#N/A</v>
        <stp/>
        <stp>BDH|2204363743155589026</stp>
        <tr r="I119" s="18"/>
      </tp>
      <tp t="e">
        <v>#N/A</v>
        <stp/>
        <stp>BDH|3997221350997399387</stp>
        <tr r="O61" s="12"/>
      </tp>
      <tp t="e">
        <v>#N/A</v>
        <stp/>
        <stp>BDH|6455559039065147597</stp>
        <tr r="H51" s="18"/>
      </tp>
      <tp t="e">
        <v>#N/A</v>
        <stp/>
        <stp>BDH|7768181697718199796</stp>
        <tr r="N44" s="6"/>
      </tp>
      <tp t="e">
        <v>#N/A</v>
        <stp/>
        <stp>BDH|3085845050839688722</stp>
        <tr r="Z71" s="24"/>
      </tp>
      <tp t="e">
        <v>#N/A</v>
        <stp/>
        <stp>BDH|2050277986421849983</stp>
        <tr r="N45" s="4"/>
        <tr r="N31" s="10"/>
        <tr r="N23" s="11"/>
        <tr r="P30" s="13"/>
      </tp>
      <tp t="e">
        <v>#N/A</v>
        <stp/>
        <stp>BDH|4712644362283977791</stp>
        <tr r="E25" s="17"/>
      </tp>
      <tp t="e">
        <v>#N/A</v>
        <stp/>
        <stp>BDH|6270696785709709187</stp>
        <tr r="U57" s="12"/>
      </tp>
      <tp t="e">
        <v>#N/A</v>
        <stp/>
        <stp>BDH|1838290926348485928</stp>
        <tr r="X47" s="21"/>
      </tp>
      <tp t="e">
        <v>#N/A</v>
        <stp/>
        <stp>BDH|7547054024651320464</stp>
        <tr r="N56" s="6"/>
      </tp>
      <tp t="e">
        <v>#N/A</v>
        <stp/>
        <stp>BDH|4193362751331589323</stp>
        <tr r="H71" s="18"/>
      </tp>
      <tp t="e">
        <v>#N/A</v>
        <stp/>
        <stp>BDH|3418614805006656372</stp>
        <tr r="V47" s="34"/>
      </tp>
      <tp t="e">
        <v>#N/A</v>
        <stp/>
        <stp>BDH|5562355824692514606</stp>
        <tr r="I36" s="4"/>
      </tp>
      <tp t="e">
        <v>#N/A</v>
        <stp/>
        <stp>BDH|9969085666998214749</stp>
        <tr r="K21" s="3"/>
      </tp>
      <tp t="e">
        <v>#N/A</v>
        <stp/>
        <stp>BDH|1072882997006878660</stp>
        <tr r="K50" s="18"/>
      </tp>
      <tp t="e">
        <v>#N/A</v>
        <stp/>
        <stp>BDH|5125728339932206397</stp>
        <tr r="D37" s="34"/>
      </tp>
      <tp t="e">
        <v>#N/A</v>
        <stp/>
        <stp>BDH|2430085057077839021</stp>
        <tr r="E63" s="17"/>
      </tp>
      <tp t="e">
        <v>#N/A</v>
        <stp/>
        <stp>BDH|8870105188692056315</stp>
        <tr r="D19" s="5"/>
        <tr r="D46" s="6"/>
      </tp>
      <tp t="e">
        <v>#N/A</v>
        <stp/>
        <stp>BDH|2331398865417837068</stp>
        <tr r="X30" s="29"/>
        <tr r="X8" s="29"/>
      </tp>
      <tp t="e">
        <v>#N/A</v>
        <stp/>
        <stp>BDH|6064967489495963277</stp>
        <tr r="K46" s="17"/>
      </tp>
      <tp t="e">
        <v>#N/A</v>
        <stp/>
        <stp>BDH|4136749953853551523</stp>
        <tr r="N67" s="17"/>
        <tr r="K8" s="5"/>
        <tr r="K8" s="9"/>
      </tp>
      <tp t="e">
        <v>#N/A</v>
        <stp/>
        <stp>BDH|1486545733160637748</stp>
        <tr r="V40" s="18"/>
      </tp>
      <tp t="e">
        <v>#N/A</v>
        <stp/>
        <stp>BDH|6204444411396508530</stp>
        <tr r="V34" s="10"/>
        <tr r="V26" s="11"/>
      </tp>
      <tp t="e">
        <v>#N/A</v>
        <stp/>
        <stp>BDH|2213577200127591019</stp>
        <tr r="D21" s="27"/>
      </tp>
      <tp t="e">
        <v>#N/A</v>
        <stp/>
        <stp>BDH|3025887097072800062</stp>
        <tr r="M74" s="10"/>
        <tr r="M66" s="11"/>
      </tp>
      <tp t="e">
        <v>#N/A</v>
        <stp/>
        <stp>BDH|3520752539335175293</stp>
        <tr r="P55" s="12"/>
      </tp>
      <tp t="e">
        <v>#N/A</v>
        <stp/>
        <stp>BDH|3720506827090505442</stp>
        <tr r="N47" s="18"/>
      </tp>
      <tp t="e">
        <v>#N/A</v>
        <stp/>
        <stp>BDH|8081011126778383250</stp>
        <tr r="G48" s="22"/>
      </tp>
      <tp t="e">
        <v>#N/A</v>
        <stp/>
        <stp>BDH|4164472051882033769</stp>
        <tr r="K23" s="26"/>
      </tp>
      <tp t="e">
        <v>#N/A</v>
        <stp/>
        <stp>BDH|6709242553203074211</stp>
        <tr r="M52" s="21"/>
      </tp>
      <tp t="e">
        <v>#N/A</v>
        <stp/>
        <stp>BDH|9860316469569554549</stp>
        <tr r="J18" s="10"/>
        <tr r="L16" s="13"/>
        <tr r="L27" s="13"/>
      </tp>
      <tp t="e">
        <v>#N/A</v>
        <stp/>
        <stp>BDH|1052467046344083511</stp>
        <tr r="X10" s="17"/>
      </tp>
      <tp t="e">
        <v>#N/A</v>
        <stp/>
        <stp>BDH|3125630749403262288</stp>
        <tr r="N10" s="21"/>
      </tp>
      <tp t="e">
        <v>#N/A</v>
        <stp/>
        <stp>BDH|2547881413348874379</stp>
        <tr r="N9" s="6"/>
      </tp>
      <tp t="e">
        <v>#N/A</v>
        <stp/>
        <stp>BDH|2166307556682084667</stp>
        <tr r="G119" s="18"/>
      </tp>
      <tp t="e">
        <v>#N/A</v>
        <stp/>
        <stp>BDH|9230505133276691966</stp>
        <tr r="V49" s="6"/>
      </tp>
      <tp t="e">
        <v>#N/A</v>
        <stp/>
        <stp>BDH|6564956708598968709</stp>
        <tr r="Y32" s="25"/>
        <tr r="Y18" s="27"/>
      </tp>
      <tp t="e">
        <v>#N/A</v>
        <stp/>
        <stp>BDH|9195856367512184538</stp>
        <tr r="C64" s="17"/>
      </tp>
      <tp t="e">
        <v>#N/A</v>
        <stp/>
        <stp>BDH|1289647249141777293</stp>
        <tr r="G35" s="4"/>
      </tp>
      <tp t="e">
        <v>#N/A</v>
        <stp/>
        <stp>BDH|4679967111088696464</stp>
        <tr r="F41" s="10"/>
        <tr r="F33" s="11"/>
      </tp>
      <tp t="e">
        <v>#N/A</v>
        <stp/>
        <stp>BDH|1081850376389728754</stp>
        <tr r="R34" s="26"/>
      </tp>
      <tp t="e">
        <v>#N/A</v>
        <stp/>
        <stp>BDH|8742708980164063366</stp>
        <tr r="H116" s="18"/>
      </tp>
      <tp t="e">
        <v>#N/A</v>
        <stp/>
        <stp>BDH|2775205432751591210</stp>
        <tr r="W50" s="13"/>
      </tp>
      <tp t="e">
        <v>#N/A</v>
        <stp/>
        <stp>BDH|7315289701681318483</stp>
        <tr r="I13" s="13"/>
      </tp>
      <tp t="e">
        <v>#N/A</v>
        <stp/>
        <stp>BDH|6747799730380727283</stp>
        <tr r="AA47" s="21"/>
      </tp>
      <tp t="e">
        <v>#N/A</v>
        <stp/>
        <stp>BDH|8794805349887727389</stp>
        <tr r="U52" s="4"/>
        <tr r="W8" s="3"/>
        <tr r="U44" s="10"/>
        <tr r="U36" s="11"/>
        <tr r="W40" s="13"/>
      </tp>
      <tp t="e">
        <v>#N/A</v>
        <stp/>
        <stp>BDH|5955248832097762395</stp>
        <tr r="G128" s="18"/>
      </tp>
      <tp t="e">
        <v>#N/A</v>
        <stp/>
        <stp>BDH|8747979472652110424</stp>
        <tr r="G57" s="6"/>
      </tp>
      <tp t="e">
        <v>#N/A</v>
        <stp/>
        <stp>BDH|5393536266373314543</stp>
        <tr r="F52" s="21"/>
      </tp>
      <tp t="e">
        <v>#N/A</v>
        <stp/>
        <stp>BDH|2152658152793311245</stp>
        <tr r="F11" s="11"/>
      </tp>
      <tp t="e">
        <v>#N/A</v>
        <stp/>
        <stp>BDH|1189671861864146504</stp>
        <tr r="T11" s="28"/>
      </tp>
      <tp t="e">
        <v>#N/A</v>
        <stp/>
        <stp>BDH|5084135374674487753</stp>
        <tr r="I14" s="8"/>
      </tp>
      <tp t="e">
        <v>#N/A</v>
        <stp/>
        <stp>BDH|4886596018913776380</stp>
        <tr r="J37" s="34"/>
      </tp>
      <tp t="e">
        <v>#N/A</v>
        <stp/>
        <stp>BDH|5174578717853761202</stp>
        <tr r="N17" s="21"/>
      </tp>
      <tp t="e">
        <v>#N/A</v>
        <stp/>
        <stp>BDH|6619031354654318744</stp>
        <tr r="Z35" s="25"/>
      </tp>
      <tp t="e">
        <v>#N/A</v>
        <stp/>
        <stp>BDH|1215742856395159670</stp>
        <tr r="Q89" s="24"/>
      </tp>
      <tp t="e">
        <v>#N/A</v>
        <stp/>
        <stp>BDH|9063985017134819516</stp>
        <tr r="O49" s="21"/>
      </tp>
      <tp t="e">
        <v>#N/A</v>
        <stp/>
        <stp>BDH|4983383872913777321</stp>
        <tr r="K27" s="18"/>
      </tp>
      <tp t="e">
        <v>#N/A</v>
        <stp/>
        <stp>BDH|6547851882723705536</stp>
        <tr r="AA39" s="17"/>
      </tp>
      <tp t="e">
        <v>#N/A</v>
        <stp/>
        <stp>BDH|1102265493048069227</stp>
        <tr r="J32" s="9"/>
      </tp>
      <tp t="e">
        <v>#N/A</v>
        <stp/>
        <stp>BDH|8028455195063462626</stp>
        <tr r="T49" s="6"/>
      </tp>
      <tp t="e">
        <v>#N/A</v>
        <stp/>
        <stp>BDH|4119355438210843425</stp>
        <tr r="E22" s="24"/>
      </tp>
      <tp t="e">
        <v>#N/A</v>
        <stp/>
        <stp>BDH|7274876925375403825</stp>
        <tr r="M36" s="18"/>
      </tp>
      <tp t="e">
        <v>#N/A</v>
        <stp/>
        <stp>BDH|4418058236422733569</stp>
        <tr r="AA28" s="26"/>
      </tp>
      <tp t="e">
        <v>#N/A</v>
        <stp/>
        <stp>BDH|5070840099647961321</stp>
        <tr r="U23" s="13"/>
      </tp>
      <tp t="e">
        <v>#N/A</v>
        <stp/>
        <stp>BDH|4128023359807969659</stp>
        <tr r="N38" s="6"/>
      </tp>
      <tp t="e">
        <v>#N/A</v>
        <stp/>
        <stp>BDH|7392139216695916291</stp>
        <tr r="Q59" s="11"/>
        <tr r="S15" s="23"/>
      </tp>
      <tp t="e">
        <v>#N/A</v>
        <stp/>
        <stp>BDH|6181146352852792066</stp>
        <tr r="L9" s="23"/>
      </tp>
      <tp t="e">
        <v>#N/A</v>
        <stp/>
        <stp>BDH|6184827275729222023</stp>
        <tr r="E6" s="28"/>
      </tp>
      <tp t="e">
        <v>#N/A</v>
        <stp/>
        <stp>BDH|1601134530216185527</stp>
        <tr r="D39" s="4"/>
        <tr r="D66" s="10"/>
      </tp>
      <tp t="e">
        <v>#N/A</v>
        <stp/>
        <stp>BDH|5463316545797370559</stp>
        <tr r="S61" s="21"/>
      </tp>
      <tp t="e">
        <v>#N/A</v>
        <stp/>
        <stp>BDH|3768456287337682852</stp>
        <tr r="T61" s="21"/>
      </tp>
      <tp t="e">
        <v>#N/A</v>
        <stp/>
        <stp>BDH|7320839193685068350</stp>
        <tr r="F53" s="17"/>
      </tp>
      <tp t="e">
        <v>#N/A</v>
        <stp/>
        <stp>BDH|4726815820458497641</stp>
        <tr r="Y86" s="24"/>
      </tp>
      <tp t="e">
        <v>#N/A</v>
        <stp/>
        <stp>BDH|2277830151906008965</stp>
        <tr r="J15" s="25"/>
      </tp>
      <tp t="e">
        <v>#N/A</v>
        <stp/>
        <stp>BDH|4560856892281694421</stp>
        <tr r="G28" s="4"/>
      </tp>
      <tp t="e">
        <v>#N/A</v>
        <stp/>
        <stp>BDH|1302673744204093762</stp>
        <tr r="O46" s="24"/>
      </tp>
      <tp t="e">
        <v>#N/A</v>
        <stp/>
        <stp>BDH|7506499726243842245</stp>
        <tr r="U82" s="17"/>
      </tp>
      <tp t="e">
        <v>#N/A</v>
        <stp/>
        <stp>BDH|7240917775130384937</stp>
        <tr r="X14" s="29"/>
        <tr r="X23" s="29"/>
        <tr r="X37" s="29"/>
      </tp>
      <tp t="e">
        <v>#N/A</v>
        <stp/>
        <stp>BDH|1616218125513419200</stp>
        <tr r="I34" s="22"/>
      </tp>
      <tp t="e">
        <v>#N/A</v>
        <stp/>
        <stp>BDH|7629413491663794972</stp>
        <tr r="F45" s="4"/>
        <tr r="F31" s="10"/>
        <tr r="F23" s="11"/>
        <tr r="H30" s="13"/>
      </tp>
      <tp t="e">
        <v>#N/A</v>
        <stp/>
        <stp>BDH|3750759454779915895</stp>
        <tr r="Z25" s="22"/>
      </tp>
      <tp t="e">
        <v>#N/A</v>
        <stp/>
        <stp>BDH|4589772045435409250</stp>
        <tr r="N41" s="17"/>
        <tr r="N9" s="25"/>
      </tp>
      <tp t="e">
        <v>#N/A</v>
        <stp/>
        <stp>BDH|7743124335707318258</stp>
        <tr r="G11" s="22"/>
      </tp>
      <tp t="e">
        <v>#N/A</v>
        <stp/>
        <stp>BDH|3407920216528714305</stp>
        <tr r="C59" s="21"/>
      </tp>
      <tp t="e">
        <v>#N/A</v>
        <stp/>
        <stp>BDH|7636404337454162475</stp>
        <tr r="T13" s="6"/>
      </tp>
      <tp t="e">
        <v>#N/A</v>
        <stp/>
        <stp>BDH|5368070341303423267</stp>
        <tr r="E64" s="18"/>
      </tp>
      <tp t="e">
        <v>#N/A</v>
        <stp/>
        <stp>BDH|1686143003661564138</stp>
        <tr r="U66" s="18"/>
      </tp>
      <tp t="e">
        <v>#N/A</v>
        <stp/>
        <stp>BDH|8693806666816130067</stp>
        <tr r="T68" s="24"/>
      </tp>
      <tp t="e">
        <v>#N/A</v>
        <stp/>
        <stp>BDH|7144866504447564813</stp>
        <tr r="W36" s="12"/>
      </tp>
      <tp t="e">
        <v>#N/A</v>
        <stp/>
        <stp>BDH|2086786254942852231</stp>
        <tr r="G66" s="24"/>
      </tp>
      <tp t="e">
        <v>#N/A</v>
        <stp/>
        <stp>BDH|8750631124838490436</stp>
        <tr r="R9" s="23"/>
      </tp>
      <tp t="e">
        <v>#N/A</v>
        <stp/>
        <stp>BDH|7588341451119726809</stp>
        <tr r="Q11" s="12"/>
      </tp>
      <tp t="e">
        <v>#N/A</v>
        <stp/>
        <stp>BDH|6666211404033066743</stp>
        <tr r="J20" s="26"/>
      </tp>
      <tp t="e">
        <v>#N/A</v>
        <stp/>
        <stp>BDH|1152074061747015002</stp>
        <tr r="V49" s="12"/>
      </tp>
      <tp t="e">
        <v>#N/A</v>
        <stp/>
        <stp>BDH|4138700436929461949</stp>
        <tr r="S52" s="4"/>
        <tr r="U8" s="3"/>
        <tr r="S44" s="10"/>
        <tr r="S36" s="11"/>
        <tr r="U40" s="13"/>
      </tp>
      <tp t="e">
        <v>#N/A</v>
        <stp/>
        <stp>BDH|9025449317889708537</stp>
        <tr r="P47" s="34"/>
      </tp>
      <tp t="e">
        <v>#N/A</v>
        <stp/>
        <stp>BDH|2540710492214822893</stp>
        <tr r="G43" s="12"/>
      </tp>
      <tp t="e">
        <v>#N/A</v>
        <stp/>
        <stp>BDH|2873205978545279257</stp>
        <tr r="O50" s="21"/>
      </tp>
      <tp t="e">
        <v>#N/A</v>
        <stp/>
        <stp>BDH|3027244056763763720</stp>
        <tr r="T30" s="25"/>
        <tr r="T16" s="27"/>
      </tp>
      <tp t="e">
        <v>#N/A</v>
        <stp/>
        <stp>BDH|6590507828155284480</stp>
        <tr r="K30" s="17"/>
      </tp>
      <tp t="e">
        <v>#N/A</v>
        <stp/>
        <stp>BDH|9527823947011458432</stp>
        <tr r="L83" s="18"/>
      </tp>
      <tp t="e">
        <v>#N/A</v>
        <stp/>
        <stp>BDH|6976793422344145745</stp>
        <tr r="E8" s="13"/>
      </tp>
      <tp t="e">
        <v>#N/A</v>
        <stp/>
        <stp>BDH|5289572301270792048</stp>
        <tr r="F55" s="17"/>
      </tp>
      <tp t="e">
        <v>#N/A</v>
        <stp/>
        <stp>BDH|3836114629261342149</stp>
        <tr r="T13" s="24"/>
      </tp>
      <tp t="e">
        <v>#N/A</v>
        <stp/>
        <stp>BDH|1140716916590290736</stp>
        <tr r="O77" s="12"/>
      </tp>
      <tp t="e">
        <v>#N/A</v>
        <stp/>
        <stp>BDH|7773627297558383066</stp>
        <tr r="R13" s="9"/>
      </tp>
      <tp t="e">
        <v>#N/A</v>
        <stp/>
        <stp>BDH|7590585301155307786</stp>
        <tr r="F67" s="10"/>
      </tp>
      <tp t="e">
        <v>#N/A</v>
        <stp/>
        <stp>BDH|1626291701462045198</stp>
        <tr r="W19" s="25"/>
      </tp>
      <tp t="e">
        <v>#N/A</v>
        <stp/>
        <stp>BDH|4022627141977470106</stp>
        <tr r="N45" s="17"/>
      </tp>
      <tp t="e">
        <v>#N/A</v>
        <stp/>
        <stp>BDH|1686611034793008743</stp>
        <tr r="L74" s="10"/>
        <tr r="L66" s="11"/>
      </tp>
      <tp t="e">
        <v>#N/A</v>
        <stp/>
        <stp>BDH|7680681279237467141</stp>
        <tr r="T15" s="10"/>
      </tp>
      <tp t="e">
        <v>#N/A</v>
        <stp/>
        <stp>BDH|5441883801618345599</stp>
        <tr r="S52" s="10"/>
        <tr r="S44" s="11"/>
        <tr r="S15" s="7"/>
      </tp>
      <tp t="e">
        <v>#N/A</v>
        <stp/>
        <stp>BDH|5083251543634181709</stp>
        <tr r="H14" s="8"/>
      </tp>
      <tp t="e">
        <v>#N/A</v>
        <stp/>
        <stp>BDH|2232955526989557034</stp>
        <tr r="L16" s="29"/>
        <tr r="L39" s="29"/>
      </tp>
      <tp t="e">
        <v>#N/A</v>
        <stp/>
        <stp>BDH|9796423583005526079</stp>
        <tr r="S136" s="18"/>
      </tp>
      <tp t="e">
        <v>#N/A</v>
        <stp/>
        <stp>BDH|5715012357419264970</stp>
        <tr r="T74" s="12"/>
      </tp>
      <tp t="e">
        <v>#N/A</v>
        <stp/>
        <stp>BDH|8839911105280153194</stp>
        <tr r="H37" s="12"/>
      </tp>
      <tp t="e">
        <v>#N/A</v>
        <stp/>
        <stp>BDH|6368373667090519325</stp>
        <tr r="AA14" s="20"/>
      </tp>
      <tp t="e">
        <v>#N/A</v>
        <stp/>
        <stp>BDH|7574001390789001710</stp>
        <tr r="C59" s="17"/>
      </tp>
      <tp t="e">
        <v>#N/A</v>
        <stp/>
        <stp>BDH|9922225605723334893</stp>
        <tr r="F24" s="9"/>
      </tp>
      <tp t="e">
        <v>#N/A</v>
        <stp/>
        <stp>BDH|5616599748146708249</stp>
        <tr r="F21" s="17"/>
        <tr r="F15" s="3"/>
      </tp>
      <tp t="e">
        <v>#N/A</v>
        <stp/>
        <stp>BDH|2736595607186543183</stp>
        <tr r="Y91" s="17"/>
        <tr r="Y7" s="27"/>
      </tp>
      <tp t="e">
        <v>#N/A</v>
        <stp/>
        <stp>BDH|5423610834550169042</stp>
        <tr r="T17" s="14"/>
      </tp>
      <tp t="e">
        <v>#N/A</v>
        <stp/>
        <stp>BDH|7171239474586394411</stp>
        <tr r="Y59" s="24"/>
      </tp>
      <tp t="e">
        <v>#N/A</v>
        <stp/>
        <stp>BDH|4750887298562132726</stp>
        <tr r="C68" s="18"/>
      </tp>
      <tp t="e">
        <v>#N/A</v>
        <stp/>
        <stp>BDH|3454045415312731062</stp>
        <tr r="Z6" s="27"/>
      </tp>
      <tp t="e">
        <v>#N/A</v>
        <stp/>
        <stp>BDH|6531477004260014225</stp>
        <tr r="T9" s="12"/>
      </tp>
      <tp t="e">
        <v>#N/A</v>
        <stp/>
        <stp>BDH|2703515820160070521</stp>
        <tr r="F73" s="10"/>
        <tr r="F65" s="11"/>
      </tp>
      <tp t="e">
        <v>#N/A</v>
        <stp/>
        <stp>BDH|4913440818235556444</stp>
        <tr r="J103" s="18"/>
      </tp>
      <tp t="e">
        <v>#N/A</v>
        <stp/>
        <stp>BDH|4570541731556724434</stp>
        <tr r="Q40" s="34"/>
      </tp>
      <tp t="e">
        <v>#N/A</v>
        <stp/>
        <stp>BDH|1035126733111102241</stp>
        <tr r="D88" s="17"/>
      </tp>
      <tp t="e">
        <v>#N/A</v>
        <stp/>
        <stp>BDH|8400805476397740017</stp>
        <tr r="I20" s="25"/>
      </tp>
      <tp t="e">
        <v>#N/A</v>
        <stp/>
        <stp>BDH|6313210273287520405</stp>
        <tr r="J140" s="18"/>
      </tp>
      <tp t="e">
        <v>#N/A</v>
        <stp/>
        <stp>BDH|7471544136348423965</stp>
        <tr r="C69" s="10"/>
      </tp>
      <tp t="e">
        <v>#N/A</v>
        <stp/>
        <stp>BDH|4523196325307901040</stp>
        <tr r="M10" s="26"/>
      </tp>
      <tp t="e">
        <v>#N/A</v>
        <stp/>
        <stp>BDH|8273843288688807025</stp>
        <tr r="Z22" s="22"/>
      </tp>
      <tp t="e">
        <v>#N/A</v>
        <stp/>
        <stp>BDH|2732210314497150675</stp>
        <tr r="F67" s="12"/>
      </tp>
      <tp t="e">
        <v>#N/A</v>
        <stp/>
        <stp>BDH|9688067995982944284</stp>
        <tr r="J24" s="29"/>
      </tp>
      <tp t="e">
        <v>#N/A</v>
        <stp/>
        <stp>BDH|6328262580784783866</stp>
        <tr r="V89" s="24"/>
      </tp>
      <tp t="e">
        <v>#N/A</v>
        <stp/>
        <stp>BDH|4521978694764066022</stp>
        <tr r="N11" s="21"/>
      </tp>
      <tp t="e">
        <v>#N/A</v>
        <stp/>
        <stp>BDH|9296842937290577207</stp>
        <tr r="F21" s="24"/>
      </tp>
      <tp t="e">
        <v>#N/A</v>
        <stp/>
        <stp>BDH|8849217732168995162</stp>
        <tr r="U43" s="12"/>
      </tp>
      <tp t="e">
        <v>#N/A</v>
        <stp/>
        <stp>BDH|5775437764891403601</stp>
        <tr r="D26" s="26"/>
      </tp>
      <tp t="e">
        <v>#N/A</v>
        <stp/>
        <stp>BDH|1502520507945336172</stp>
        <tr r="Z67" s="18"/>
      </tp>
      <tp t="e">
        <v>#N/A</v>
        <stp/>
        <stp>BDH|5468969212654759937</stp>
        <tr r="V36" s="34"/>
      </tp>
      <tp t="e">
        <v>#N/A</v>
        <stp/>
        <stp>BDH|7861369661800841239</stp>
        <tr r="X72" s="12"/>
      </tp>
      <tp t="e">
        <v>#N/A</v>
        <stp/>
        <stp>BDH|5160369073210378130</stp>
        <tr r="C94" s="18"/>
      </tp>
      <tp t="e">
        <v>#N/A</v>
        <stp/>
        <stp>BDH|3457641307985602050</stp>
        <tr r="I27" s="12"/>
      </tp>
      <tp t="e">
        <v>#N/A</v>
        <stp/>
        <stp>BDH|2614564128946506390</stp>
        <tr r="Z53" s="24"/>
      </tp>
      <tp t="e">
        <v>#N/A</v>
        <stp/>
        <stp>BDH|9528931337297192444</stp>
        <tr r="Q86" s="18"/>
      </tp>
      <tp t="e">
        <v>#N/A</v>
        <stp/>
        <stp>BDH|5334341100450792643</stp>
        <tr r="M88" s="18"/>
      </tp>
      <tp t="e">
        <v>#N/A</v>
        <stp/>
        <stp>BDH|5271375194998153742</stp>
        <tr r="O49" s="12"/>
      </tp>
      <tp t="e">
        <v>#N/A</v>
        <stp/>
        <stp>BDH|2544654531850171740</stp>
        <tr r="P7" s="4"/>
      </tp>
      <tp t="e">
        <v>#N/A</v>
        <stp/>
        <stp>BDH|4711866834946868997</stp>
        <tr r="J76" s="24"/>
      </tp>
      <tp t="e">
        <v>#N/A</v>
        <stp/>
        <stp>BDH|8383110089332733387</stp>
        <tr r="K104" s="18"/>
      </tp>
      <tp t="e">
        <v>#N/A</v>
        <stp/>
        <stp>BDH|1938478781039864432</stp>
        <tr r="O10" s="21"/>
      </tp>
      <tp t="e">
        <v>#N/A</v>
        <stp/>
        <stp>BDH|3008209955412129600</stp>
        <tr r="Q26" s="29"/>
      </tp>
      <tp t="e">
        <v>#N/A</v>
        <stp/>
        <stp>BDH|8360142915079794112</stp>
        <tr r="C45" s="17"/>
      </tp>
      <tp t="e">
        <v>#N/A</v>
        <stp/>
        <stp>BDH|6598564950941355750</stp>
        <tr r="D55" s="17"/>
      </tp>
      <tp t="e">
        <v>#N/A</v>
        <stp/>
        <stp>BDH|2588390200346196783</stp>
        <tr r="J11" s="30"/>
      </tp>
      <tp t="e">
        <v>#N/A</v>
        <stp/>
        <stp>BDH|7163719869605990351</stp>
        <tr r="T54" s="17"/>
      </tp>
      <tp t="e">
        <v>#N/A</v>
        <stp/>
        <stp>BDH|6870766443106190399</stp>
        <tr r="S17" s="20"/>
      </tp>
      <tp t="e">
        <v>#N/A</v>
        <stp/>
        <stp>BDH|4470200662232258210</stp>
        <tr r="K10" s="21"/>
      </tp>
      <tp t="e">
        <v>#N/A</v>
        <stp/>
        <stp>BDH|7669526812180161327</stp>
        <tr r="M27" s="17"/>
      </tp>
      <tp t="e">
        <v>#N/A</v>
        <stp/>
        <stp>BDH|7692703485979474127</stp>
        <tr r="G59" s="18"/>
      </tp>
      <tp t="e">
        <v>#N/A</v>
        <stp/>
        <stp>BDH|3171227381671514824</stp>
        <tr r="M23" s="22"/>
      </tp>
      <tp t="e">
        <v>#N/A</v>
        <stp/>
        <stp>BDH|3349635216172033630</stp>
        <tr r="I8" s="26"/>
        <tr r="F10" s="9"/>
      </tp>
      <tp t="e">
        <v>#N/A</v>
        <stp/>
        <stp>BDH|5654310345370654211</stp>
        <tr r="N80" s="24"/>
      </tp>
      <tp t="e">
        <v>#N/A</v>
        <stp/>
        <stp>BDH|3456008327853345253</stp>
        <tr r="E23" s="22"/>
      </tp>
      <tp t="e">
        <v>#N/A</v>
        <stp/>
        <stp>BDH|4332731232146616610</stp>
        <tr r="T38" s="22"/>
      </tp>
      <tp t="e">
        <v>#N/A</v>
        <stp/>
        <stp>BDH|3049121902556726420</stp>
        <tr r="R38" s="24"/>
      </tp>
      <tp t="e">
        <v>#N/A</v>
        <stp/>
        <stp>BDH|3944515715997196093</stp>
        <tr r="J56" s="18"/>
      </tp>
      <tp t="e">
        <v>#N/A</v>
        <stp/>
        <stp>BDH|5270511832677421400</stp>
        <tr r="Z65" s="21"/>
      </tp>
      <tp t="e">
        <v>#N/A</v>
        <stp/>
        <stp>BDH|7470439085163790803</stp>
        <tr r="AA40" s="12"/>
      </tp>
      <tp t="e">
        <v>#N/A</v>
        <stp/>
        <stp>BDH|9664760389505571391</stp>
        <tr r="Y43" s="17"/>
      </tp>
      <tp t="e">
        <v>#N/A</v>
        <stp/>
        <stp>BDH|3827465113022035481</stp>
        <tr r="G16" s="21"/>
      </tp>
      <tp t="e">
        <v>#N/A</v>
        <stp/>
        <stp>BDH|7155588306975233782</stp>
        <tr r="C75" s="18"/>
        <tr r="C64" s="12"/>
      </tp>
      <tp t="e">
        <v>#N/A</v>
        <stp/>
        <stp>BDH|6213813315759646654</stp>
        <tr r="W76" s="17"/>
        <tr r="W19" s="3"/>
      </tp>
      <tp t="e">
        <v>#N/A</v>
        <stp/>
        <stp>BDH|1855586001962269669</stp>
        <tr r="M8" s="4"/>
      </tp>
      <tp t="e">
        <v>#N/A</v>
        <stp/>
        <stp>BDH|1722282823673148286</stp>
        <tr r="U38" s="24"/>
      </tp>
      <tp t="e">
        <v>#N/A</v>
        <stp/>
        <stp>BDH|3271634472643184179</stp>
        <tr r="J27" s="7"/>
      </tp>
      <tp t="e">
        <v>#N/A</v>
        <stp/>
        <stp>BDH|3966991183122023060</stp>
        <tr r="F18" s="2"/>
        <tr r="F53" s="4"/>
        <tr r="F46" s="10"/>
        <tr r="F38" s="11"/>
        <tr r="H51" s="13"/>
      </tp>
      <tp t="e">
        <v>#N/A</v>
        <stp/>
        <stp>BDH|6572623245072118661</stp>
        <tr r="S60" s="24"/>
      </tp>
      <tp t="e">
        <v>#N/A</v>
        <stp/>
        <stp>BDH|5447040826747562061</stp>
        <tr r="C24" s="5"/>
      </tp>
      <tp t="e">
        <v>#N/A</v>
        <stp/>
        <stp>BDH|5758140546558751871</stp>
        <tr r="S92" s="18"/>
      </tp>
      <tp t="e">
        <v>#N/A</v>
        <stp/>
        <stp>BDH|2358503213220412611</stp>
        <tr r="AA31" s="26"/>
        <tr r="X14" s="9"/>
      </tp>
      <tp t="e">
        <v>#N/A</v>
        <stp/>
        <stp>BDH|2056156124825180454</stp>
        <tr r="I13" s="25"/>
      </tp>
      <tp t="e">
        <v>#N/A</v>
        <stp/>
        <stp>BDH|2533968295690234219</stp>
        <tr r="R89" s="12"/>
      </tp>
      <tp t="e">
        <v>#N/A</v>
        <stp/>
        <stp>BDH|4765739022049097830</stp>
        <tr r="K10" s="26"/>
      </tp>
      <tp t="e">
        <v>#N/A</v>
        <stp/>
        <stp>BDH|6910491433319646801</stp>
        <tr r="C56" s="24"/>
      </tp>
      <tp t="e">
        <v>#N/A</v>
        <stp/>
        <stp>BDH|8079305797970791254</stp>
        <tr r="K57" s="18"/>
      </tp>
      <tp t="e">
        <v>#N/A</v>
        <stp/>
        <stp>BDH|6673489164814695096</stp>
        <tr r="K18" s="26"/>
      </tp>
      <tp t="e">
        <v>#N/A</v>
        <stp/>
        <stp>BDH|8503942902317216649</stp>
        <tr r="E16" s="23"/>
      </tp>
      <tp t="e">
        <v>#N/A</v>
        <stp/>
        <stp>BDH|1662278696403741956</stp>
        <tr r="R57" s="10"/>
        <tr r="R49" s="11"/>
        <tr r="R18" s="7"/>
        <tr r="T57" s="13"/>
      </tp>
      <tp t="e">
        <v>#N/A</v>
        <stp/>
        <stp>BDH|6387039210985750225</stp>
        <tr r="J21" s="5"/>
      </tp>
      <tp t="e">
        <v>#N/A</v>
        <stp/>
        <stp>BDH|3449795886509988574</stp>
        <tr r="R39" s="34"/>
      </tp>
      <tp t="e">
        <v>#N/A</v>
        <stp/>
        <stp>BDH|7756305066120691223</stp>
        <tr r="K15" s="9"/>
      </tp>
      <tp t="e">
        <v>#N/A</v>
        <stp/>
        <stp>BDH|1465944730843051854</stp>
        <tr r="D31" s="21"/>
      </tp>
      <tp t="e">
        <v>#N/A</v>
        <stp/>
        <stp>BDH|9248672123759196423</stp>
        <tr r="X31" s="21"/>
      </tp>
      <tp t="e">
        <v>#N/A</v>
        <stp/>
        <stp>BDH|3210968255549402606</stp>
        <tr r="P47" s="6"/>
      </tp>
      <tp t="e">
        <v>#N/A</v>
        <stp/>
        <stp>BDH|3161322073516330168</stp>
        <tr r="U24" s="21"/>
      </tp>
      <tp t="e">
        <v>#N/A</v>
        <stp/>
        <stp>BDH|5788735841733093509</stp>
        <tr r="I23" s="21"/>
      </tp>
      <tp t="e">
        <v>#N/A</v>
        <stp/>
        <stp>BDH|1614114052003766679</stp>
        <tr r="D12" s="21"/>
      </tp>
      <tp t="e">
        <v>#N/A</v>
        <stp/>
        <stp>BDH|2147395458214792027</stp>
        <tr r="K8" s="14"/>
      </tp>
      <tp t="e">
        <v>#N/A</v>
        <stp/>
        <stp>BDH|2023815202539670308</stp>
        <tr r="C28" s="17"/>
      </tp>
      <tp t="e">
        <v>#N/A</v>
        <stp/>
        <stp>BDH|2473848190546114546</stp>
        <tr r="O8" s="23"/>
      </tp>
      <tp t="e">
        <v>#N/A</v>
        <stp/>
        <stp>BDH|2644728540094146505</stp>
        <tr r="M54" s="18"/>
      </tp>
      <tp t="e">
        <v>#N/A</v>
        <stp/>
        <stp>BDH|3545622774627489525</stp>
        <tr r="H15" s="21"/>
      </tp>
      <tp t="e">
        <v>#N/A</v>
        <stp/>
        <stp>BDH|7991484134290302032</stp>
        <tr r="J47" s="22"/>
      </tp>
      <tp t="e">
        <v>#N/A</v>
        <stp/>
        <stp>BDH|9302183060808767691</stp>
        <tr r="Q47" s="10"/>
        <tr r="Q39" s="11"/>
      </tp>
      <tp t="e">
        <v>#N/A</v>
        <stp/>
        <stp>BDH|9324888919720207051</stp>
        <tr r="D41" s="21"/>
      </tp>
      <tp t="e">
        <v>#N/A</v>
        <stp/>
        <stp>BDH|7753199522396978207</stp>
        <tr r="S71" s="12"/>
      </tp>
      <tp t="e">
        <v>#N/A</v>
        <stp/>
        <stp>BDH|2484949274028694477</stp>
        <tr r="Y82" s="17"/>
      </tp>
      <tp t="e">
        <v>#N/A</v>
        <stp/>
        <stp>BDH|3291102479564623183</stp>
        <tr r="X54" s="24"/>
      </tp>
      <tp t="e">
        <v>#N/A</v>
        <stp/>
        <stp>BDH|1535043034935350732</stp>
        <tr r="I23" s="12"/>
      </tp>
      <tp t="e">
        <v>#N/A</v>
        <stp/>
        <stp>BDH|5308195929683799514</stp>
        <tr r="J28" s="25"/>
        <tr r="J14" s="27"/>
      </tp>
      <tp t="e">
        <v>#N/A</v>
        <stp/>
        <stp>BDH|2282430725540778464</stp>
        <tr r="K10" s="34"/>
      </tp>
      <tp t="e">
        <v>#N/A</v>
        <stp/>
        <stp>BDH|78623193374153653</stp>
        <tr r="S14" s="22"/>
      </tp>
      <tp t="e">
        <v>#N/A</v>
        <stp/>
        <stp>BDH|94031851549432160</stp>
        <tr r="G41" s="34"/>
      </tp>
      <tp t="e">
        <v>#N/A</v>
        <stp/>
        <stp>BDH|98241949809381216</stp>
        <tr r="X32" s="17"/>
      </tp>
      <tp t="e">
        <v>#N/A</v>
        <stp/>
        <stp>BDH|62875863874875734</stp>
        <tr r="N15" s="20"/>
      </tp>
      <tp t="e">
        <v>#N/A</v>
        <stp/>
        <stp>BDH|91956857835341493</stp>
        <tr r="Y19" s="25"/>
      </tp>
      <tp t="e">
        <v>#N/A</v>
        <stp/>
        <stp>BDH|1252496448122902203</stp>
        <tr r="P61" s="12"/>
      </tp>
      <tp t="e">
        <v>#N/A</v>
        <stp/>
        <stp>BDH|3226571930247777387</stp>
        <tr r="P9" s="18"/>
      </tp>
      <tp t="e">
        <v>#N/A</v>
        <stp/>
        <stp>BDH|8045611339194340811</stp>
        <tr r="H13" s="24"/>
      </tp>
      <tp t="e">
        <v>#N/A</v>
        <stp/>
        <stp>BDH|2002166823630873076</stp>
        <tr r="L11" s="28"/>
      </tp>
      <tp t="e">
        <v>#N/A</v>
        <stp/>
        <stp>BDH|2349642974437820510</stp>
        <tr r="R24" s="21"/>
      </tp>
      <tp t="e">
        <v>#N/A</v>
        <stp/>
        <stp>BDH|4997626747865715216</stp>
        <tr r="M20" s="26"/>
      </tp>
      <tp t="e">
        <v>#N/A</v>
        <stp/>
        <stp>BDH|9070083383075514546</stp>
        <tr r="C52" s="21"/>
      </tp>
      <tp t="e">
        <v>#N/A</v>
        <stp/>
        <stp>BDH|4592172568921229323</stp>
        <tr r="W8" s="17"/>
      </tp>
      <tp t="e">
        <v>#N/A</v>
        <stp/>
        <stp>BDH|2919495472202838207</stp>
        <tr r="Z135" s="18"/>
      </tp>
      <tp t="e">
        <v>#N/A</v>
        <stp/>
        <stp>BDH|3086591742602754168</stp>
        <tr r="K15" s="4"/>
      </tp>
      <tp t="e">
        <v>#N/A</v>
        <stp/>
        <stp>BDH|4207697900414138702</stp>
        <tr r="L7" s="30"/>
      </tp>
      <tp t="e">
        <v>#N/A</v>
        <stp/>
        <stp>BDH|1378632907453525581</stp>
        <tr r="W33" s="14"/>
      </tp>
      <tp t="e">
        <v>#N/A</v>
        <stp/>
        <stp>BDH|4602547421856942409</stp>
        <tr r="M43" s="17"/>
      </tp>
      <tp t="e">
        <v>#N/A</v>
        <stp/>
        <stp>BDH|4755633921185638496</stp>
        <tr r="P13" s="26"/>
      </tp>
      <tp t="e">
        <v>#N/A</v>
        <stp/>
        <stp>BDH|4869933044728683038</stp>
        <tr r="AA34" s="21"/>
      </tp>
      <tp t="e">
        <v>#N/A</v>
        <stp/>
        <stp>BDH|1609005909182113247</stp>
        <tr r="C44" s="17"/>
      </tp>
      <tp t="e">
        <v>#N/A</v>
        <stp/>
        <stp>BDH|4340846209814199956</stp>
        <tr r="N57" s="18"/>
      </tp>
      <tp t="e">
        <v>#N/A</v>
        <stp/>
        <stp>BDH|8961937135124728727</stp>
        <tr r="G35" s="18"/>
      </tp>
      <tp t="e">
        <v>#N/A</v>
        <stp/>
        <stp>BDH|9083173416271995924</stp>
        <tr r="S74" s="12"/>
      </tp>
      <tp t="e">
        <v>#N/A</v>
        <stp/>
        <stp>BDH|3696595115936212023</stp>
        <tr r="W25" s="7"/>
      </tp>
      <tp t="e">
        <v>#N/A</v>
        <stp/>
        <stp>BDH|5352773923444518585</stp>
        <tr r="G138" s="18"/>
      </tp>
      <tp t="e">
        <v>#N/A</v>
        <stp/>
        <stp>BDH|4068462466001320690</stp>
        <tr r="N23" s="5"/>
        <tr r="N23" s="9"/>
      </tp>
      <tp t="e">
        <v>#N/A</v>
        <stp/>
        <stp>BDH|2064408401837962029</stp>
        <tr r="X16" s="12"/>
      </tp>
      <tp t="e">
        <v>#N/A</v>
        <stp/>
        <stp>BDH|5316251726006380291</stp>
        <tr r="W22" s="18"/>
      </tp>
      <tp t="e">
        <v>#N/A</v>
        <stp/>
        <stp>BDH|5106588066052170546</stp>
        <tr r="K83" s="18"/>
      </tp>
      <tp t="e">
        <v>#N/A</v>
        <stp/>
        <stp>BDH|6687865889746608153</stp>
        <tr r="K113" s="18"/>
      </tp>
      <tp t="e">
        <v>#N/A</v>
        <stp/>
        <stp>BDH|3386089375056684321</stp>
        <tr r="D26" s="6"/>
      </tp>
      <tp t="e">
        <v>#N/A</v>
        <stp/>
        <stp>BDH|1578304533892854246</stp>
        <tr r="N34" s="18"/>
      </tp>
      <tp t="e">
        <v>#N/A</v>
        <stp/>
        <stp>BDH|5202419909077106711</stp>
        <tr r="T14" s="28"/>
      </tp>
      <tp t="e">
        <v>#N/A</v>
        <stp/>
        <stp>BDH|8781416506004315994</stp>
        <tr r="L9" s="18"/>
      </tp>
      <tp t="e">
        <v>#N/A</v>
        <stp/>
        <stp>BDH|5820093778184591762</stp>
        <tr r="Y30" s="21"/>
      </tp>
      <tp t="e">
        <v>#N/A</v>
        <stp/>
        <stp>BDH|2240095637860178075</stp>
        <tr r="X63" s="12"/>
      </tp>
      <tp t="e">
        <v>#N/A</v>
        <stp/>
        <stp>BDH|2735229658414055077</stp>
        <tr r="X16" s="2"/>
        <tr r="X32" s="4"/>
        <tr r="X62" s="10"/>
        <tr r="Z19" s="13"/>
      </tp>
      <tp t="e">
        <v>#N/A</v>
        <stp/>
        <stp>BDH|4853093909181022429</stp>
        <tr r="T91" s="18"/>
      </tp>
      <tp t="e">
        <v>#N/A</v>
        <stp/>
        <stp>BDH|1523980274057041927</stp>
        <tr r="J61" s="13"/>
      </tp>
      <tp t="e">
        <v>#N/A</v>
        <stp/>
        <stp>BDH|9314431073228869305</stp>
        <tr r="K68" s="12"/>
      </tp>
      <tp t="e">
        <v>#N/A</v>
        <stp/>
        <stp>BDH|9945774117498417664</stp>
        <tr r="N58" s="17"/>
      </tp>
      <tp t="e">
        <v>#N/A</v>
        <stp/>
        <stp>BDH|3643617095405004897</stp>
        <tr r="O20" s="10"/>
      </tp>
      <tp t="e">
        <v>#N/A</v>
        <stp/>
        <stp>BDH|6515352007233506791</stp>
        <tr r="M28" s="25"/>
        <tr r="M14" s="27"/>
      </tp>
      <tp t="e">
        <v>#N/A</v>
        <stp/>
        <stp>BDH|3116234612556964726</stp>
        <tr r="O59" s="18"/>
      </tp>
      <tp t="e">
        <v>#N/A</v>
        <stp/>
        <stp>BDH|1855210579512292799</stp>
        <tr r="AA22" s="22"/>
      </tp>
      <tp t="e">
        <v>#N/A</v>
        <stp/>
        <stp>BDH|4908872327788039726</stp>
        <tr r="R15" s="14"/>
      </tp>
      <tp t="e">
        <v>#N/A</v>
        <stp/>
        <stp>BDH|4404567246365826175</stp>
        <tr r="C26" s="18"/>
      </tp>
      <tp t="e">
        <v>#N/A</v>
        <stp/>
        <stp>BDH|8516394977679455445</stp>
        <tr r="R58" s="21"/>
        <tr r="R37" s="25"/>
        <tr r="P31" s="4"/>
        <tr r="P54" s="11"/>
      </tp>
      <tp t="e">
        <v>#N/A</v>
        <stp/>
        <stp>BDH|1815671167598533865</stp>
        <tr r="G13" s="30"/>
      </tp>
      <tp t="e">
        <v>#N/A</v>
        <stp/>
        <stp>BDH|6820441072381200573</stp>
        <tr r="D35" s="14"/>
      </tp>
      <tp t="e">
        <v>#N/A</v>
        <stp/>
        <stp>BDH|7065099770915128437</stp>
        <tr r="P85" s="17"/>
      </tp>
      <tp t="e">
        <v>#N/A</v>
        <stp/>
        <stp>BDH|3931056507325058701</stp>
        <tr r="T118" s="18"/>
      </tp>
      <tp t="e">
        <v>#N/A</v>
        <stp/>
        <stp>BDH|9273502423137241885</stp>
        <tr r="E30" s="25"/>
        <tr r="E16" s="27"/>
      </tp>
      <tp t="e">
        <v>#N/A</v>
        <stp/>
        <stp>BDH|3880372145903871691</stp>
        <tr r="S7" s="4"/>
      </tp>
      <tp t="e">
        <v>#N/A</v>
        <stp/>
        <stp>BDH|4581787937041480052</stp>
        <tr r="D113" s="18"/>
      </tp>
      <tp t="e">
        <v>#N/A</v>
        <stp/>
        <stp>BDH|5162562807419839837</stp>
        <tr r="O10" s="12"/>
      </tp>
      <tp t="e">
        <v>#N/A</v>
        <stp/>
        <stp>BDH|4204565150342994769</stp>
        <tr r="D45" s="21"/>
      </tp>
      <tp t="e">
        <v>#N/A</v>
        <stp/>
        <stp>BDH|2087855899412074078</stp>
        <tr r="J34" s="14"/>
      </tp>
      <tp t="e">
        <v>#N/A</v>
        <stp/>
        <stp>BDH|6934694134897634595</stp>
        <tr r="I18" s="29"/>
        <tr r="I41" s="29"/>
      </tp>
      <tp t="e">
        <v>#N/A</v>
        <stp/>
        <stp>BDH|3108985358727932938</stp>
        <tr r="C57" s="17"/>
      </tp>
      <tp t="e">
        <v>#N/A</v>
        <stp/>
        <stp>BDH|8089687245898099366</stp>
        <tr r="O33" s="10"/>
        <tr r="O25" s="11"/>
      </tp>
      <tp t="e">
        <v>#N/A</v>
        <stp/>
        <stp>BDH|2437064479042240628</stp>
        <tr r="Y7" s="11"/>
      </tp>
      <tp t="e">
        <v>#N/A</v>
        <stp/>
        <stp>BDH|1750983526632794952</stp>
        <tr r="J74" s="18"/>
      </tp>
      <tp t="e">
        <v>#N/A</v>
        <stp/>
        <stp>BDH|8501128968048773632</stp>
        <tr r="E15" s="14"/>
      </tp>
      <tp t="e">
        <v>#N/A</v>
        <stp/>
        <stp>BDH|1643052917076686793</stp>
        <tr r="H56" s="6"/>
      </tp>
      <tp t="e">
        <v>#N/A</v>
        <stp/>
        <stp>BDH|9681932703049505886</stp>
        <tr r="S10" s="4"/>
        <tr r="R6" s="16"/>
        <tr r="U6" s="3"/>
        <tr r="S6" s="11"/>
      </tp>
      <tp t="e">
        <v>#N/A</v>
        <stp/>
        <stp>BDH|6622943754763993843</stp>
        <tr r="J8" s="27"/>
      </tp>
      <tp t="e">
        <v>#N/A</v>
        <stp/>
        <stp>BDH|9784825861454638296</stp>
        <tr r="N25" s="12"/>
      </tp>
      <tp t="e">
        <v>#N/A</v>
        <stp/>
        <stp>BDH|6289967026965125988</stp>
        <tr r="D36" s="12"/>
      </tp>
      <tp t="e">
        <v>#N/A</v>
        <stp/>
        <stp>BDH|6765482185953860894</stp>
        <tr r="C19" s="25"/>
      </tp>
      <tp t="e">
        <v>#N/A</v>
        <stp/>
        <stp>BDH|2056163625351369182</stp>
        <tr r="D31" s="24"/>
      </tp>
      <tp t="e">
        <v>#N/A</v>
        <stp/>
        <stp>BDH|6688651103641881006</stp>
        <tr r="S38" s="25"/>
      </tp>
      <tp t="e">
        <v>#N/A</v>
        <stp/>
        <stp>BDH|2528092936703759353</stp>
        <tr r="I14" s="6"/>
      </tp>
      <tp t="e">
        <v>#N/A</v>
        <stp/>
        <stp>BDH|2345467871257551795</stp>
        <tr r="S51" s="24"/>
      </tp>
      <tp t="e">
        <v>#N/A</v>
        <stp/>
        <stp>BDH|5886628692773459842</stp>
        <tr r="S133" s="18"/>
      </tp>
      <tp t="e">
        <v>#N/A</v>
        <stp/>
        <stp>BDH|8137995051082725764</stp>
        <tr r="J20" s="5"/>
      </tp>
      <tp t="e">
        <v>#N/A</v>
        <stp/>
        <stp>BDH|6889058246681508265</stp>
        <tr r="Z46" s="12"/>
      </tp>
      <tp t="e">
        <v>#N/A</v>
        <stp/>
        <stp>BDH|3865076310024566724</stp>
        <tr r="K24" s="18"/>
      </tp>
      <tp t="e">
        <v>#N/A</v>
        <stp/>
        <stp>BDH|1914775164424268504</stp>
        <tr r="R43" s="34"/>
      </tp>
      <tp t="e">
        <v>#N/A</v>
        <stp/>
        <stp>BDH|6620633633187647586</stp>
        <tr r="X19" s="10"/>
      </tp>
      <tp t="e">
        <v>#N/A</v>
        <stp/>
        <stp>BDH|2075673416266911202</stp>
        <tr r="K51" s="6"/>
        <tr r="M6" s="8"/>
      </tp>
      <tp t="e">
        <v>#N/A</v>
        <stp/>
        <stp>BDH|6516842492486372085</stp>
        <tr r="N47" s="10"/>
        <tr r="N39" s="11"/>
      </tp>
      <tp t="e">
        <v>#N/A</v>
        <stp/>
        <stp>BDH|5429135029923482423</stp>
        <tr r="G16" s="17"/>
        <tr r="G19" s="28"/>
      </tp>
      <tp t="e">
        <v>#N/A</v>
        <stp/>
        <stp>BDH|1049500228190990798</stp>
        <tr r="Q90" s="24"/>
      </tp>
      <tp t="e">
        <v>#N/A</v>
        <stp/>
        <stp>BDH|5333245942582950042</stp>
        <tr r="Q84" s="17"/>
      </tp>
      <tp t="e">
        <v>#N/A</v>
        <stp/>
        <stp>BDH|9616411705979849529</stp>
        <tr r="T36" s="18"/>
      </tp>
      <tp t="e">
        <v>#N/A</v>
        <stp/>
        <stp>BDH|6354525691119021284</stp>
        <tr r="C79" s="18"/>
      </tp>
      <tp t="e">
        <v>#N/A</v>
        <stp/>
        <stp>BDH|5293350999937607907</stp>
        <tr r="I65" s="12"/>
      </tp>
      <tp t="e">
        <v>#N/A</v>
        <stp/>
        <stp>BDH|7331209118212295717</stp>
        <tr r="E34" s="17"/>
      </tp>
      <tp t="e">
        <v>#N/A</v>
        <stp/>
        <stp>BDH|6774318541847854774</stp>
        <tr r="V54" s="18"/>
      </tp>
      <tp t="e">
        <v>#N/A</v>
        <stp/>
        <stp>BDH|5917331842925160619</stp>
        <tr r="O79" s="12"/>
      </tp>
      <tp t="e">
        <v>#N/A</v>
        <stp/>
        <stp>BDH|5771670251597934007</stp>
        <tr r="H42" s="10"/>
        <tr r="H34" s="11"/>
      </tp>
      <tp t="e">
        <v>#N/A</v>
        <stp/>
        <stp>BDH|3540691071266060558</stp>
        <tr r="Q15" s="21"/>
      </tp>
      <tp t="e">
        <v>#N/A</v>
        <stp/>
        <stp>BDH|6115789083788014027</stp>
        <tr r="Q73" s="24"/>
      </tp>
      <tp t="e">
        <v>#N/A</v>
        <stp/>
        <stp>BDH|4276337099076984990</stp>
        <tr r="J21" s="17"/>
        <tr r="J15" s="3"/>
      </tp>
      <tp t="e">
        <v>#N/A</v>
        <stp/>
        <stp>BDH|9641901263642985543</stp>
        <tr r="J31" s="22"/>
      </tp>
      <tp t="e">
        <v>#N/A</v>
        <stp/>
        <stp>BDH|9117389534841318969</stp>
        <tr r="Z24" s="24"/>
      </tp>
      <tp t="e">
        <v>#N/A</v>
        <stp/>
        <stp>BDH|3691680436555417246</stp>
        <tr r="U25" s="10"/>
        <tr r="W31" s="13"/>
      </tp>
      <tp t="e">
        <v>#N/A</v>
        <stp/>
        <stp>BDH|6781220746594350583</stp>
        <tr r="O58" s="18"/>
      </tp>
      <tp t="e">
        <v>#N/A</v>
        <stp/>
        <stp>BDH|1682324431569420991</stp>
        <tr r="G20" s="26"/>
      </tp>
      <tp t="e">
        <v>#N/A</v>
        <stp/>
        <stp>BDH|2442688675373252130</stp>
        <tr r="D61" s="12"/>
      </tp>
      <tp t="e">
        <v>#N/A</v>
        <stp/>
        <stp>BDH|7536729253674452083</stp>
        <tr r="AA15" s="20"/>
      </tp>
      <tp t="e">
        <v>#N/A</v>
        <stp/>
        <stp>BDH|9889232398894912729</stp>
        <tr r="P19" s="10"/>
      </tp>
      <tp t="e">
        <v>#N/A</v>
        <stp/>
        <stp>BDH|2290227600824923519</stp>
        <tr r="O74" s="10"/>
        <tr r="O66" s="11"/>
      </tp>
      <tp t="e">
        <v>#N/A</v>
        <stp/>
        <stp>BDH|9530068699052274301</stp>
        <tr r="E23" s="23"/>
      </tp>
      <tp t="e">
        <v>#N/A</v>
        <stp/>
        <stp>BDH|9157772705117231898</stp>
        <tr r="H27" s="10"/>
        <tr r="J33" s="13"/>
      </tp>
      <tp t="e">
        <v>#N/A</v>
        <stp/>
        <stp>BDH|8528699201586123941</stp>
        <tr r="K14" s="17"/>
        <tr r="K17" s="28"/>
      </tp>
      <tp t="e">
        <v>#N/A</v>
        <stp/>
        <stp>BDH|2846597749986165411</stp>
        <tr r="E68" s="24"/>
      </tp>
      <tp t="e">
        <v>#N/A</v>
        <stp/>
        <stp>BDH|9088926798611378913</stp>
        <tr r="T39" s="26"/>
      </tp>
      <tp t="e">
        <v>#N/A</v>
        <stp/>
        <stp>BDH|1845026006684101458</stp>
        <tr r="L7" s="28"/>
      </tp>
      <tp t="e">
        <v>#N/A</v>
        <stp/>
        <stp>BDH|5313221622304299095</stp>
        <tr r="J15" s="22"/>
      </tp>
      <tp t="e">
        <v>#N/A</v>
        <stp/>
        <stp>BDH|8873543405584494857</stp>
        <tr r="D9" s="22"/>
      </tp>
      <tp t="e">
        <v>#N/A</v>
        <stp/>
        <stp>BDH|1113093462751291702</stp>
        <tr r="G19" s="12"/>
      </tp>
      <tp t="e">
        <v>#N/A</v>
        <stp/>
        <stp>BDH|4393088296714218879</stp>
        <tr r="E8" s="8"/>
      </tp>
      <tp t="e">
        <v>#N/A</v>
        <stp/>
        <stp>BDH|4089635644813928476</stp>
        <tr r="C26" s="6"/>
      </tp>
      <tp t="e">
        <v>#N/A</v>
        <stp/>
        <stp>BDH|6801929524995631912</stp>
        <tr r="D31" s="29"/>
      </tp>
      <tp t="e">
        <v>#N/A</v>
        <stp/>
        <stp>BDH|9910158593986691608</stp>
        <tr r="V39" s="22"/>
      </tp>
      <tp t="e">
        <v>#N/A</v>
        <stp/>
        <stp>BDH|8937822166923283460</stp>
        <tr r="X16" s="23"/>
      </tp>
      <tp t="e">
        <v>#N/A</v>
        <stp/>
        <stp>BDH|5924236716592464517</stp>
        <tr r="Y11" s="24"/>
      </tp>
      <tp t="e">
        <v>#N/A</v>
        <stp/>
        <stp>BDH|7207792201265629452</stp>
        <tr r="AA81" s="17"/>
        <tr r="AA20" s="3"/>
        <tr r="Y6" s="7"/>
      </tp>
      <tp t="e">
        <v>#N/A</v>
        <stp/>
        <stp>BDH|6622424052621847777</stp>
        <tr r="C36" s="22"/>
      </tp>
      <tp t="e">
        <v>#N/A</v>
        <stp/>
        <stp>BDH|6809397619105108005</stp>
        <tr r="E87" s="17"/>
      </tp>
      <tp t="e">
        <v>#N/A</v>
        <stp/>
        <stp>BDH|9713185334643204901</stp>
        <tr r="J13" s="17"/>
        <tr r="J16" s="28"/>
      </tp>
      <tp t="e">
        <v>#N/A</v>
        <stp/>
        <stp>BDH|1175530978401400370</stp>
        <tr r="V42" s="4"/>
      </tp>
      <tp t="e">
        <v>#N/A</v>
        <stp/>
        <stp>BDH|4158135471980896322</stp>
        <tr r="S14" s="21"/>
      </tp>
      <tp t="e">
        <v>#N/A</v>
        <stp/>
        <stp>BDH|1449119919748498811</stp>
        <tr r="W29" s="10"/>
        <tr r="Y35" s="13"/>
      </tp>
      <tp t="e">
        <v>#N/A</v>
        <stp/>
        <stp>BDH|4960042560812569118</stp>
        <tr r="W91" s="17"/>
        <tr r="W7" s="27"/>
      </tp>
      <tp t="e">
        <v>#N/A</v>
        <stp/>
        <stp>BDH|7158324963980994304</stp>
        <tr r="X44" s="6"/>
      </tp>
      <tp t="e">
        <v>#N/A</v>
        <stp/>
        <stp>BDH|5564408141915869155</stp>
        <tr r="L56" s="11"/>
      </tp>
      <tp t="e">
        <v>#N/A</v>
        <stp/>
        <stp>BDH|4639695677530653471</stp>
        <tr r="J87" s="17"/>
      </tp>
      <tp t="e">
        <v>#N/A</v>
        <stp/>
        <stp>BDH|3088203672741288692</stp>
        <tr r="K14" s="6"/>
      </tp>
      <tp t="e">
        <v>#N/A</v>
        <stp/>
        <stp>BDH|7671125220552519780</stp>
        <tr r="N46" s="18"/>
      </tp>
      <tp t="e">
        <v>#N/A</v>
        <stp/>
        <stp>BDH|5840998178022115814</stp>
        <tr r="J16" s="29"/>
        <tr r="J39" s="29"/>
      </tp>
      <tp t="e">
        <v>#N/A</v>
        <stp/>
        <stp>BDH|3967109432733738352</stp>
        <tr r="Z43" s="21"/>
      </tp>
      <tp t="e">
        <v>#N/A</v>
        <stp/>
        <stp>BDH|8069496198826071286</stp>
        <tr r="G64" s="10"/>
      </tp>
      <tp t="e">
        <v>#N/A</v>
        <stp/>
        <stp>BDH|1900198163045841224</stp>
        <tr r="W25" s="12"/>
      </tp>
      <tp t="e">
        <v>#N/A</v>
        <stp/>
        <stp>BDH|3888150133684363440</stp>
        <tr r="Y16" s="24"/>
      </tp>
      <tp t="e">
        <v>#N/A</v>
        <stp/>
        <stp>BDH|7836825240578102228</stp>
        <tr r="G8" s="17"/>
      </tp>
      <tp t="e">
        <v>#N/A</v>
        <stp/>
        <stp>BDH|7790280823526059052</stp>
        <tr r="S74" s="24"/>
      </tp>
      <tp t="e">
        <v>#N/A</v>
        <stp/>
        <stp>BDH|5635902123436589996</stp>
        <tr r="S34" s="9"/>
      </tp>
      <tp t="e">
        <v>#N/A</v>
        <stp/>
        <stp>BDH|4102090185218508519</stp>
        <tr r="V40" s="22"/>
      </tp>
      <tp t="e">
        <v>#N/A</v>
        <stp/>
        <stp>BDH|3875820130761332809</stp>
        <tr r="K28" s="12"/>
      </tp>
      <tp t="e">
        <v>#N/A</v>
        <stp/>
        <stp>BDH|6975269318002840666</stp>
        <tr r="L13" s="2"/>
      </tp>
      <tp t="e">
        <v>#N/A</v>
        <stp/>
        <stp>BDH|3891225017509210867</stp>
        <tr r="L11" s="13"/>
      </tp>
      <tp t="e">
        <v>#N/A</v>
        <stp/>
        <stp>BDH|5930925367382189942</stp>
        <tr r="V88" s="18"/>
      </tp>
      <tp t="e">
        <v>#N/A</v>
        <stp/>
        <stp>BDH|5417544935700851248</stp>
        <tr r="L13" s="30"/>
      </tp>
      <tp t="e">
        <v>#N/A</v>
        <stp/>
        <stp>BDH|5851944546438699152</stp>
        <tr r="D76" s="17"/>
        <tr r="D19" s="3"/>
      </tp>
      <tp t="e">
        <v>#N/A</v>
        <stp/>
        <stp>BDH|3915948461588300562</stp>
        <tr r="E125" s="18"/>
      </tp>
      <tp t="e">
        <v>#N/A</v>
        <stp/>
        <stp>BDH|7910089460837917761</stp>
        <tr r="K15" s="5"/>
      </tp>
      <tp t="e">
        <v>#N/A</v>
        <stp/>
        <stp>BDH|9992211723271207979</stp>
        <tr r="N9" s="30"/>
      </tp>
      <tp t="e">
        <v>#N/A</v>
        <stp/>
        <stp>BDH|9631585224977655829</stp>
        <tr r="F63" s="17"/>
      </tp>
      <tp t="e">
        <v>#N/A</v>
        <stp/>
        <stp>BDH|9352788214987001917</stp>
        <tr r="G37" s="6"/>
      </tp>
      <tp t="e">
        <v>#N/A</v>
        <stp/>
        <stp>BDH|6629989948572191895</stp>
        <tr r="E51" s="17"/>
        <tr r="E17" s="3"/>
      </tp>
      <tp t="e">
        <v>#N/A</v>
        <stp/>
        <stp>BDH|4819388453571466298</stp>
        <tr r="O7" s="21"/>
      </tp>
      <tp t="e">
        <v>#N/A</v>
        <stp/>
        <stp>BDH|5009654795179926275</stp>
        <tr r="V30" s="24"/>
      </tp>
      <tp t="e">
        <v>#N/A</v>
        <stp/>
        <stp>BDH|8509510748571342913</stp>
        <tr r="C9" s="3"/>
      </tp>
      <tp t="e">
        <v>#N/A</v>
        <stp/>
        <stp>BDH|1295085732404793714</stp>
        <tr r="AA18" s="26"/>
      </tp>
      <tp t="e">
        <v>#N/A</v>
        <stp/>
        <stp>BDH|9708577644341271886</stp>
        <tr r="Z51" s="12"/>
      </tp>
      <tp t="e">
        <v>#N/A</v>
        <stp/>
        <stp>BDH|9666083419550023996</stp>
        <tr r="W71" s="24"/>
      </tp>
      <tp t="e">
        <v>#N/A</v>
        <stp/>
        <stp>BDH|4104646524235717481</stp>
        <tr r="S20" s="22"/>
      </tp>
      <tp t="e">
        <v>#N/A</v>
        <stp/>
        <stp>BDH|1352020168030447635</stp>
        <tr r="Q108" s="18"/>
      </tp>
      <tp t="e">
        <v>#N/A</v>
        <stp/>
        <stp>BDH|3142787848089713886</stp>
        <tr r="P103" s="18"/>
      </tp>
      <tp t="e">
        <v>#N/A</v>
        <stp/>
        <stp>BDH|2800184760351823562</stp>
        <tr r="S8" s="8"/>
      </tp>
      <tp t="e">
        <v>#N/A</v>
        <stp/>
        <stp>BDH|2352501488606714825</stp>
        <tr r="J25" s="7"/>
      </tp>
      <tp t="e">
        <v>#N/A</v>
        <stp/>
        <stp>BDH|2935964178949123485</stp>
        <tr r="F50" s="13"/>
      </tp>
      <tp t="e">
        <v>#N/A</v>
        <stp/>
        <stp>BDH|5585986967908570319</stp>
        <tr r="D21" s="21"/>
      </tp>
      <tp t="e">
        <v>#N/A</v>
        <stp/>
        <stp>BDH|9761821611687913639</stp>
        <tr r="O71" s="24"/>
      </tp>
      <tp t="e">
        <v>#N/A</v>
        <stp/>
        <stp>BDH|9151775181384192383</stp>
        <tr r="W131" s="18"/>
      </tp>
      <tp t="e">
        <v>#N/A</v>
        <stp/>
        <stp>BDH|8342537980611951579</stp>
        <tr r="R11" s="22"/>
      </tp>
      <tp t="e">
        <v>#N/A</v>
        <stp/>
        <stp>BDH|8089424796500928433</stp>
        <tr r="O53" s="17"/>
      </tp>
      <tp t="e">
        <v>#N/A</v>
        <stp/>
        <stp>BDH|5121032678863122052</stp>
        <tr r="Q131" s="18"/>
      </tp>
      <tp t="e">
        <v>#N/A</v>
        <stp/>
        <stp>BDH|2725594395836751920</stp>
        <tr r="G50" s="17"/>
      </tp>
      <tp t="e">
        <v>#N/A</v>
        <stp/>
        <stp>BDH|3887472226536542220</stp>
        <tr r="I86" s="12"/>
      </tp>
      <tp t="e">
        <v>#N/A</v>
        <stp/>
        <stp>BDH|4689878519925334951</stp>
        <tr r="E25" s="21"/>
      </tp>
      <tp t="e">
        <v>#N/A</v>
        <stp/>
        <stp>BDH|9524751699271429739</stp>
        <tr r="W18" s="6"/>
      </tp>
      <tp t="e">
        <v>#N/A</v>
        <stp/>
        <stp>BDH|3695110059637553157</stp>
        <tr r="P122" s="18"/>
      </tp>
      <tp t="e">
        <v>#N/A</v>
        <stp/>
        <stp>BDH|4114684548073685490</stp>
        <tr r="R26" s="25"/>
        <tr r="R12" s="27"/>
      </tp>
      <tp t="e">
        <v>#N/A</v>
        <stp/>
        <stp>BDH|7697217207482741693</stp>
        <tr r="X61" s="13"/>
      </tp>
      <tp t="e">
        <v>#N/A</v>
        <stp/>
        <stp>BDH|3799236950626957333</stp>
        <tr r="S28" s="6"/>
      </tp>
      <tp t="e">
        <v>#N/A</v>
        <stp/>
        <stp>BDH|7991418161602008678</stp>
        <tr r="E81" s="24"/>
      </tp>
      <tp t="e">
        <v>#N/A</v>
        <stp/>
        <stp>BDH|4393602539188417804</stp>
        <tr r="W51" s="17"/>
        <tr r="W17" s="3"/>
      </tp>
      <tp t="e">
        <v>#N/A</v>
        <stp/>
        <stp>BDH|9825434217795568879</stp>
        <tr r="M11" s="14"/>
      </tp>
      <tp t="e">
        <v>#N/A</v>
        <stp/>
        <stp>BDH|7919832525455309929</stp>
        <tr r="R45" s="12"/>
      </tp>
      <tp t="e">
        <v>#N/A</v>
        <stp/>
        <stp>BDH|2832097119991339350</stp>
        <tr r="L64" s="13"/>
      </tp>
      <tp t="e">
        <v>#N/A</v>
        <stp/>
        <stp>BDH|6912023903715024269</stp>
        <tr r="G17" s="30"/>
      </tp>
      <tp t="e">
        <v>#N/A</v>
        <stp/>
        <stp>BDH|6441190980049579772</stp>
        <tr r="T68" s="17"/>
      </tp>
      <tp t="e">
        <v>#N/A</v>
        <stp/>
        <stp>BDH|4658753372585774095</stp>
        <tr r="I86" s="24"/>
      </tp>
      <tp t="e">
        <v>#N/A</v>
        <stp/>
        <stp>BDH|9424947238622474035</stp>
        <tr r="C44" s="13"/>
      </tp>
      <tp t="e">
        <v>#N/A</v>
        <stp/>
        <stp>BDH|5097610569883182768</stp>
        <tr r="U16" s="6"/>
      </tp>
      <tp t="e">
        <v>#N/A</v>
        <stp/>
        <stp>BDH|2796139049497006125</stp>
        <tr r="Q13" s="29"/>
        <tr r="Q22" s="29"/>
        <tr r="Q36" s="29"/>
      </tp>
      <tp t="e">
        <v>#N/A</v>
        <stp/>
        <stp>BDH|7607197652673043126</stp>
        <tr r="Q13" s="30"/>
      </tp>
      <tp t="e">
        <v>#N/A</v>
        <stp/>
        <stp>BDH|5225611176013297689</stp>
        <tr r="U8" s="28"/>
      </tp>
      <tp t="e">
        <v>#N/A</v>
        <stp/>
        <stp>BDH|5690605917002864169</stp>
        <tr r="E22" s="27"/>
      </tp>
      <tp t="e">
        <v>#N/A</v>
        <stp/>
        <stp>BDH|9137523149059267074</stp>
        <tr r="R49" s="24"/>
      </tp>
      <tp t="e">
        <v>#N/A</v>
        <stp/>
        <stp>BDH|4656455004026142796</stp>
        <tr r="Q34" s="17"/>
      </tp>
      <tp t="e">
        <v>#N/A</v>
        <stp/>
        <stp>BDH|7775985571140572846</stp>
        <tr r="T25" s="10"/>
        <tr r="V31" s="13"/>
      </tp>
      <tp t="e">
        <v>#N/A</v>
        <stp/>
        <stp>BDH|4106310478311267050</stp>
        <tr r="R33" s="9"/>
      </tp>
      <tp t="e">
        <v>#N/A</v>
        <stp/>
        <stp>BDH|9895168440639559447</stp>
        <tr r="Y9" s="10"/>
      </tp>
      <tp t="e">
        <v>#N/A</v>
        <stp/>
        <stp>BDH|4463945853478964155</stp>
        <tr r="T81" s="17"/>
        <tr r="T20" s="3"/>
        <tr r="R6" s="7"/>
      </tp>
      <tp t="e">
        <v>#N/A</v>
        <stp/>
        <stp>BDH|2897416848663750098</stp>
        <tr r="P14" s="17"/>
        <tr r="P17" s="28"/>
      </tp>
      <tp t="e">
        <v>#N/A</v>
        <stp/>
        <stp>BDH|9341879678932459576</stp>
        <tr r="W21" s="2"/>
      </tp>
      <tp t="e">
        <v>#N/A</v>
        <stp/>
        <stp>BDH|8970883239055168765</stp>
        <tr r="D50" s="24"/>
      </tp>
      <tp t="e">
        <v>#N/A</v>
        <stp/>
        <stp>BDH|8276207978618044455</stp>
        <tr r="Q23" s="23"/>
      </tp>
      <tp t="e">
        <v>#N/A</v>
        <stp/>
        <stp>BDH|2816939284270787274</stp>
        <tr r="H44" s="6"/>
      </tp>
      <tp t="e">
        <v>#N/A</v>
        <stp/>
        <stp>BDH|9076883441861034569</stp>
        <tr r="X62" s="12"/>
      </tp>
      <tp t="e">
        <v>#N/A</v>
        <stp/>
        <stp>BDH|3054966868318871591</stp>
        <tr r="G61" s="13"/>
      </tp>
      <tp t="e">
        <v>#N/A</v>
        <stp/>
        <stp>BDH|2315027144806243183</stp>
        <tr r="X60" s="11"/>
        <tr r="Z19" s="23"/>
      </tp>
      <tp t="e">
        <v>#N/A</v>
        <stp/>
        <stp>BDH|1940118155253114736</stp>
        <tr r="G27" s="10"/>
        <tr r="I33" s="13"/>
      </tp>
      <tp t="e">
        <v>#N/A</v>
        <stp/>
        <stp>BDH|1588684062587062706</stp>
        <tr r="D80" s="24"/>
      </tp>
      <tp t="e">
        <v>#N/A</v>
        <stp/>
        <stp>BDH|6159579838471753065</stp>
        <tr r="F63" s="12"/>
      </tp>
      <tp t="e">
        <v>#N/A</v>
        <stp/>
        <stp>BDH|5104783221804736503</stp>
        <tr r="T59" s="11"/>
        <tr r="V15" s="23"/>
      </tp>
      <tp t="e">
        <v>#N/A</v>
        <stp/>
        <stp>BDH|1988363055407633137</stp>
        <tr r="D25" s="26"/>
      </tp>
      <tp t="e">
        <v>#N/A</v>
        <stp/>
        <stp>BDH|1061212685823335985</stp>
        <tr r="AA108" s="18"/>
      </tp>
      <tp t="e">
        <v>#N/A</v>
        <stp/>
        <stp>BDH|3178946519843528961</stp>
        <tr r="F75" s="18"/>
        <tr r="F64" s="12"/>
      </tp>
      <tp t="e">
        <v>#N/A</v>
        <stp/>
        <stp>BDH|1946841325519427338</stp>
        <tr r="C59" s="18"/>
      </tp>
      <tp t="e">
        <v>#N/A</v>
        <stp/>
        <stp>BDH|3549049505485325786</stp>
        <tr r="AA18" s="25"/>
      </tp>
      <tp t="e">
        <v>#N/A</v>
        <stp/>
        <stp>BDH|3374091300120791222</stp>
        <tr r="N14" s="6"/>
      </tp>
      <tp t="e">
        <v>#N/A</v>
        <stp/>
        <stp>BDH|4738132630581993621</stp>
        <tr r="H35" s="12"/>
      </tp>
      <tp t="e">
        <v>#N/A</v>
        <stp/>
        <stp>BDH|3373613548724598406</stp>
        <tr r="E25" s="26"/>
      </tp>
      <tp t="e">
        <v>#N/A</v>
        <stp/>
        <stp>BDH|3544704618563799750</stp>
        <tr r="U16" s="11"/>
      </tp>
      <tp t="e">
        <v>#N/A</v>
        <stp/>
        <stp>BDH|7251988382615623216</stp>
        <tr r="H71" s="24"/>
      </tp>
      <tp t="e">
        <v>#N/A</v>
        <stp/>
        <stp>BDH|4108329979147327665</stp>
        <tr r="Q13" s="5"/>
      </tp>
      <tp t="e">
        <v>#N/A</v>
        <stp/>
        <stp>BDH|1785562877412803011</stp>
        <tr r="L85" s="17"/>
      </tp>
      <tp t="e">
        <v>#N/A</v>
        <stp/>
        <stp>BDH|2960768112401145430</stp>
        <tr r="X25" s="2"/>
        <tr r="Z60" s="21"/>
      </tp>
      <tp t="e">
        <v>#N/A</v>
        <stp/>
        <stp>BDH|8076175277966655990</stp>
        <tr r="U73" s="12"/>
      </tp>
      <tp t="e">
        <v>#N/A</v>
        <stp/>
        <stp>BDH|8452439531549963701</stp>
        <tr r="M23" s="17"/>
      </tp>
      <tp t="e">
        <v>#N/A</v>
        <stp/>
        <stp>BDH|8202100786160975017</stp>
        <tr r="H41" s="22"/>
      </tp>
      <tp t="e">
        <v>#N/A</v>
        <stp/>
        <stp>BDH|2207526902704952275</stp>
        <tr r="J102" s="18"/>
      </tp>
      <tp t="e">
        <v>#N/A</v>
        <stp/>
        <stp>BDH|2039937743857445989</stp>
        <tr r="J82" s="24"/>
      </tp>
      <tp t="e">
        <v>#N/A</v>
        <stp/>
        <stp>BDH|7837600806741574173</stp>
        <tr r="Q13" s="26"/>
      </tp>
      <tp t="e">
        <v>#N/A</v>
        <stp/>
        <stp>BDH|3793000562670057499</stp>
        <tr r="N79" s="24"/>
      </tp>
      <tp t="e">
        <v>#N/A</v>
        <stp/>
        <stp>BDH|6607533839181770076</stp>
        <tr r="F83" s="17"/>
      </tp>
      <tp t="e">
        <v>#N/A</v>
        <stp/>
        <stp>BDH|7236300772643855142</stp>
        <tr r="P72" s="18"/>
      </tp>
      <tp t="e">
        <v>#N/A</v>
        <stp/>
        <stp>BDH|2365034378831319579</stp>
        <tr r="R72" s="10"/>
        <tr r="R64" s="11"/>
      </tp>
      <tp t="e">
        <v>#N/A</v>
        <stp/>
        <stp>BDH|8897443881605890090</stp>
        <tr r="W9" s="11"/>
      </tp>
      <tp t="e">
        <v>#N/A</v>
        <stp/>
        <stp>BDH|7213764618337636761</stp>
        <tr r="Q83" s="24"/>
      </tp>
      <tp t="e">
        <v>#N/A</v>
        <stp/>
        <stp>BDH|6368306201400817461</stp>
        <tr r="K43" s="13"/>
      </tp>
      <tp t="e">
        <v>#N/A</v>
        <stp/>
        <stp>BDH|3554437545864793684</stp>
        <tr r="D75" s="24"/>
      </tp>
      <tp t="e">
        <v>#N/A</v>
        <stp/>
        <stp>BDH|6966056240537941496</stp>
        <tr r="S25" s="5"/>
      </tp>
      <tp t="e">
        <v>#N/A</v>
        <stp/>
        <stp>BDH|9091952532860252290</stp>
        <tr r="U82" s="24"/>
      </tp>
      <tp t="e">
        <v>#N/A</v>
        <stp/>
        <stp>BDH|3091923299312544024</stp>
        <tr r="F15" s="12"/>
      </tp>
      <tp t="e">
        <v>#N/A</v>
        <stp/>
        <stp>BDH|7852208216586668347</stp>
        <tr r="Y7" s="30"/>
      </tp>
      <tp t="e">
        <v>#N/A</v>
        <stp/>
        <stp>BDH|5471759759833694526</stp>
        <tr r="F31" s="5"/>
      </tp>
      <tp t="e">
        <v>#N/A</v>
        <stp/>
        <stp>BDH|4468489574293323577</stp>
        <tr r="M26" s="17"/>
      </tp>
      <tp t="e">
        <v>#N/A</v>
        <stp/>
        <stp>BDH|1909566633981124715</stp>
        <tr r="F22" s="18"/>
      </tp>
      <tp t="e">
        <v>#N/A</v>
        <stp/>
        <stp>BDH|4223288208322909571</stp>
        <tr r="N18" s="5"/>
        <tr r="N41" s="6"/>
      </tp>
      <tp t="e">
        <v>#N/A</v>
        <stp/>
        <stp>BDH|5687088655166033779</stp>
        <tr r="Y18" s="24"/>
      </tp>
      <tp t="e">
        <v>#N/A</v>
        <stp/>
        <stp>BDH|2240110165597293382</stp>
        <tr r="C86" s="18"/>
      </tp>
      <tp t="e">
        <v>#N/A</v>
        <stp/>
        <stp>BDH|1650113958882035630</stp>
        <tr r="V56" s="12"/>
      </tp>
      <tp t="e">
        <v>#N/A</v>
        <stp/>
        <stp>BDH|8722335490727882404</stp>
        <tr r="Y30" s="12"/>
      </tp>
      <tp t="e">
        <v>#N/A</v>
        <stp/>
        <stp>BDH|7949413267950351407</stp>
        <tr r="E17" s="11"/>
      </tp>
      <tp t="e">
        <v>#N/A</v>
        <stp/>
        <stp>BDH|4638335379281086003</stp>
        <tr r="K91" s="24"/>
      </tp>
      <tp t="e">
        <v>#N/A</v>
        <stp/>
        <stp>BDH|1599610007697866176</stp>
        <tr r="K26" s="24"/>
      </tp>
      <tp t="e">
        <v>#N/A</v>
        <stp/>
        <stp>BDH|4494677397549834307</stp>
        <tr r="L65" s="12"/>
      </tp>
      <tp t="e">
        <v>#N/A</v>
        <stp/>
        <stp>BDH|4915241010171380726</stp>
        <tr r="V10" s="23"/>
      </tp>
      <tp t="e">
        <v>#N/A</v>
        <stp/>
        <stp>BDH|6374159999047316800</stp>
        <tr r="T18" s="2"/>
        <tr r="T53" s="4"/>
        <tr r="T46" s="10"/>
        <tr r="T38" s="11"/>
        <tr r="V51" s="13"/>
      </tp>
      <tp t="e">
        <v>#N/A</v>
        <stp/>
        <stp>BDH|6245309546108959816</stp>
        <tr r="D45" s="17"/>
      </tp>
      <tp t="e">
        <v>#N/A</v>
        <stp/>
        <stp>BDH|2074259979845182311</stp>
        <tr r="H114" s="18"/>
      </tp>
      <tp t="e">
        <v>#N/A</v>
        <stp/>
        <stp>BDH|3748311165767844079</stp>
        <tr r="J75" s="17"/>
        <tr r="G9" s="5"/>
        <tr r="G9" s="9"/>
      </tp>
      <tp t="e">
        <v>#N/A</v>
        <stp/>
        <stp>BDH|7687592721302024325</stp>
        <tr r="W92" s="17"/>
        <tr r="W13" s="28"/>
      </tp>
      <tp t="e">
        <v>#N/A</v>
        <stp/>
        <stp>BDH|5013430102930454093</stp>
        <tr r="U33" s="6"/>
      </tp>
      <tp t="e">
        <v>#N/A</v>
        <stp/>
        <stp>BDH|2001544954364989751</stp>
        <tr r="AA25" s="24"/>
      </tp>
      <tp t="e">
        <v>#N/A</v>
        <stp/>
        <stp>BDH|7765566243157893066</stp>
        <tr r="C26" s="34"/>
      </tp>
      <tp t="e">
        <v>#N/A</v>
        <stp/>
        <stp>BDH|5234640238224560566</stp>
        <tr r="E53" s="12"/>
      </tp>
      <tp t="e">
        <v>#N/A</v>
        <stp/>
        <stp>BDH|2539170529400569030</stp>
        <tr r="G21" s="18"/>
      </tp>
      <tp t="e">
        <v>#N/A</v>
        <stp/>
        <stp>BDH|5250246497076454987</stp>
        <tr r="M30" s="22"/>
      </tp>
      <tp t="e">
        <v>#N/A</v>
        <stp/>
        <stp>BDH|4279999483884607037</stp>
        <tr r="C67" s="12"/>
      </tp>
      <tp t="e">
        <v>#N/A</v>
        <stp/>
        <stp>BDH|6699974765519192180</stp>
        <tr r="H38" s="18"/>
      </tp>
      <tp t="e">
        <v>#N/A</v>
        <stp/>
        <stp>BDH|6729097217083568512</stp>
        <tr r="V59" s="24"/>
      </tp>
      <tp t="e">
        <v>#N/A</v>
        <stp/>
        <stp>BDH|2070523839142329757</stp>
        <tr r="P32" s="14"/>
      </tp>
      <tp t="e">
        <v>#N/A</v>
        <stp/>
        <stp>BDH|9933522511055715900</stp>
        <tr r="V26" s="22"/>
      </tp>
      <tp t="e">
        <v>#N/A</v>
        <stp/>
        <stp>BDH|1398413385995870924</stp>
        <tr r="Z31" s="34"/>
      </tp>
      <tp t="e">
        <v>#N/A</v>
        <stp/>
        <stp>BDH|2291182337876999799</stp>
        <tr r="M15" s="17"/>
        <tr r="M18" s="28"/>
      </tp>
      <tp t="e">
        <v>#N/A</v>
        <stp/>
        <stp>BDH|9647767748479108244</stp>
        <tr r="P9" s="21"/>
      </tp>
      <tp t="e">
        <v>#N/A</v>
        <stp/>
        <stp>BDH|5768605429667463771</stp>
        <tr r="V20" s="29"/>
      </tp>
      <tp t="e">
        <v>#N/A</v>
        <stp/>
        <stp>BDH|6148343819366962387</stp>
        <tr r="G28" s="34"/>
      </tp>
      <tp t="e">
        <v>#N/A</v>
        <stp/>
        <stp>BDH|6768156129360565430</stp>
        <tr r="R27" s="21"/>
      </tp>
      <tp t="e">
        <v>#N/A</v>
        <stp/>
        <stp>BDH|2908947107042746806</stp>
        <tr r="U98" s="18"/>
        <tr r="U7" s="20"/>
      </tp>
      <tp t="e">
        <v>#N/A</v>
        <stp/>
        <stp>BDH|4584011660340179389</stp>
        <tr r="I24" s="18"/>
      </tp>
      <tp t="e">
        <v>#N/A</v>
        <stp/>
        <stp>BDH|8258411531556970862</stp>
        <tr r="M25" s="2"/>
        <tr r="O60" s="21"/>
      </tp>
      <tp t="e">
        <v>#N/A</v>
        <stp/>
        <stp>BDH|5253438138116024549</stp>
        <tr r="W16" s="17"/>
        <tr r="W19" s="28"/>
      </tp>
      <tp t="e">
        <v>#N/A</v>
        <stp/>
        <stp>BDH|5908451388028148082</stp>
        <tr r="K15" s="25"/>
      </tp>
      <tp t="e">
        <v>#N/A</v>
        <stp/>
        <stp>BDH|8889181778397749829</stp>
        <tr r="U51" s="18"/>
      </tp>
      <tp t="e">
        <v>#N/A</v>
        <stp/>
        <stp>BDH|3130634070284603792</stp>
        <tr r="Y44" s="12"/>
      </tp>
      <tp t="e">
        <v>#N/A</v>
        <stp/>
        <stp>BDH|5559499903879243906</stp>
        <tr r="X13" s="13"/>
      </tp>
      <tp t="e">
        <v>#N/A</v>
        <stp/>
        <stp>BDH|3975610644245070514</stp>
        <tr r="V23" s="17"/>
      </tp>
      <tp t="e">
        <v>#N/A</v>
        <stp/>
        <stp>BDH|3984260709624891431</stp>
        <tr r="W32" s="18"/>
      </tp>
      <tp t="e">
        <v>#N/A</v>
        <stp/>
        <stp>BDH|9451164407098118199</stp>
        <tr r="F50" s="12"/>
      </tp>
      <tp t="e">
        <v>#N/A</v>
        <stp/>
        <stp>BDH|5051725619966192479</stp>
        <tr r="M30" s="12"/>
      </tp>
      <tp t="e">
        <v>#N/A</v>
        <stp/>
        <stp>BDH|6534412132165210598</stp>
        <tr r="Q48" s="24"/>
      </tp>
      <tp t="e">
        <v>#N/A</v>
        <stp/>
        <stp>BDH|6626680443246018308</stp>
        <tr r="T18" s="25"/>
      </tp>
      <tp t="e">
        <v>#N/A</v>
        <stp/>
        <stp>BDH|1689096482940263828</stp>
        <tr r="J51" s="12"/>
      </tp>
      <tp t="e">
        <v>#N/A</v>
        <stp/>
        <stp>BDH|6839775544977261340</stp>
        <tr r="U20" s="26"/>
      </tp>
      <tp t="e">
        <v>#N/A</v>
        <stp/>
        <stp>BDH|2559630712784933009</stp>
        <tr r="P13" s="10"/>
      </tp>
      <tp t="e">
        <v>#N/A</v>
        <stp/>
        <stp>BDH|8167519587337962332</stp>
        <tr r="W28" s="25"/>
        <tr r="W14" s="27"/>
      </tp>
      <tp t="e">
        <v>#N/A</v>
        <stp/>
        <stp>BDH|1315166561271199684</stp>
        <tr r="O32" s="14"/>
      </tp>
      <tp t="e">
        <v>#N/A</v>
        <stp/>
        <stp>BDH|9502307332580397893</stp>
        <tr r="T47" s="13"/>
      </tp>
      <tp t="e">
        <v>#N/A</v>
        <stp/>
        <stp>BDH|5046419800439574996</stp>
        <tr r="F79" s="12"/>
      </tp>
      <tp t="e">
        <v>#N/A</v>
        <stp/>
        <stp>BDH|8844548996651053477</stp>
        <tr r="D8" s="27"/>
      </tp>
      <tp t="e">
        <v>#N/A</v>
        <stp/>
        <stp>BDH|2526608928580233727</stp>
        <tr r="W64" s="21"/>
        <tr r="T31" s="6"/>
      </tp>
      <tp t="e">
        <v>#N/A</v>
        <stp/>
        <stp>BDH|4750600201252945128</stp>
        <tr r="F8" s="6"/>
      </tp>
      <tp t="e">
        <v>#N/A</v>
        <stp/>
        <stp>BDH|1143905767557292896</stp>
        <tr r="O21" s="10"/>
      </tp>
      <tp t="e">
        <v>#N/A</v>
        <stp/>
        <stp>BDH|9919375743879673660</stp>
        <tr r="H23" s="21"/>
      </tp>
      <tp t="e">
        <v>#N/A</v>
        <stp/>
        <stp>BDH|9387813139240564335</stp>
        <tr r="I40" s="24"/>
      </tp>
      <tp t="e">
        <v>#N/A</v>
        <stp/>
        <stp>BDH|3289027918826251578</stp>
        <tr r="P10" s="14"/>
      </tp>
      <tp t="e">
        <v>#N/A</v>
        <stp/>
        <stp>BDH|3589903977075942962</stp>
        <tr r="X13" s="30"/>
      </tp>
      <tp t="e">
        <v>#N/A</v>
        <stp/>
        <stp>BDH|8871339283865309769</stp>
        <tr r="L20" s="25"/>
      </tp>
      <tp t="e">
        <v>#N/A</v>
        <stp/>
        <stp>BDH|7144004720736582291</stp>
        <tr r="U8" s="14"/>
      </tp>
      <tp t="e">
        <v>#N/A</v>
        <stp/>
        <stp>BDH|9046681266049192122</stp>
        <tr r="T74" s="10"/>
        <tr r="T66" s="11"/>
      </tp>
      <tp t="e">
        <v>#N/A</v>
        <stp/>
        <stp>BDH|9389056836109958244</stp>
        <tr r="V114" s="18"/>
      </tp>
      <tp t="e">
        <v>#N/A</v>
        <stp/>
        <stp>BDH|9481704151192189864</stp>
        <tr r="D23" s="5"/>
        <tr r="D23" s="9"/>
      </tp>
      <tp t="e">
        <v>#N/A</v>
        <stp/>
        <stp>BDH|1542295176676955313</stp>
        <tr r="X65" s="17"/>
      </tp>
      <tp t="e">
        <v>#N/A</v>
        <stp/>
        <stp>BDH|5786005147800060023</stp>
        <tr r="U63" s="13"/>
      </tp>
      <tp t="e">
        <v>#N/A</v>
        <stp/>
        <stp>BDH|6800410079165156134</stp>
        <tr r="K29" s="6"/>
      </tp>
      <tp t="e">
        <v>#N/A</v>
        <stp/>
        <stp>BDH|9278617915896217969</stp>
        <tr r="G49" s="18"/>
      </tp>
      <tp t="e">
        <v>#N/A</v>
        <stp/>
        <stp>BDH|3783771655540049078</stp>
        <tr r="O59" s="24"/>
      </tp>
      <tp t="e">
        <v>#N/A</v>
        <stp/>
        <stp>BDH|1378174158886709298</stp>
        <tr r="E10" s="28"/>
      </tp>
      <tp t="e">
        <v>#N/A</v>
        <stp/>
        <stp>BDH|1671727657570540243</stp>
        <tr r="N55" s="13"/>
      </tp>
      <tp t="e">
        <v>#N/A</v>
        <stp/>
        <stp>BDH|7776374707603223675</stp>
        <tr r="F47" s="10"/>
        <tr r="F39" s="11"/>
      </tp>
      <tp t="e">
        <v>#N/A</v>
        <stp/>
        <stp>BDH|3700117388653558896</stp>
        <tr r="I30" s="25"/>
        <tr r="I16" s="27"/>
      </tp>
      <tp t="e">
        <v>#N/A</v>
        <stp/>
        <stp>BDH|7575267272863239019</stp>
        <tr r="I10" s="21"/>
      </tp>
      <tp t="e">
        <v>#N/A</v>
        <stp/>
        <stp>BDH|4490460786699157078</stp>
        <tr r="R7" s="8"/>
      </tp>
      <tp t="e">
        <v>#N/A</v>
        <stp/>
        <stp>BDH|2305665319572605685</stp>
        <tr r="C13" s="20"/>
      </tp>
      <tp t="e">
        <v>#N/A</v>
        <stp/>
        <stp>BDH|5137861405384008805</stp>
        <tr r="U14" s="22"/>
      </tp>
      <tp t="e">
        <v>#N/A</v>
        <stp/>
        <stp>BDH|7532272036207633007</stp>
        <tr r="L18" s="22"/>
      </tp>
      <tp t="e">
        <v>#N/A</v>
        <stp/>
        <stp>BDH|1874035259706954397</stp>
        <tr r="S15" s="20"/>
      </tp>
      <tp t="e">
        <v>#N/A</v>
        <stp/>
        <stp>BDH|2230839381101750258</stp>
        <tr r="M22" s="6"/>
      </tp>
      <tp t="e">
        <v>#N/A</v>
        <stp/>
        <stp>BDH|5399724647557799037</stp>
        <tr r="M17" s="4"/>
        <tr r="O10" s="3"/>
        <tr r="M56" s="10"/>
        <tr r="M48" s="11"/>
        <tr r="M17" s="7"/>
        <tr r="O54" s="13"/>
      </tp>
      <tp t="e">
        <v>#N/A</v>
        <stp/>
        <stp>BDH|2140998591983295095</stp>
        <tr r="E14" s="10"/>
      </tp>
      <tp t="e">
        <v>#N/A</v>
        <stp/>
        <stp>BDH|5677260137424130148</stp>
        <tr r="I77" s="17"/>
      </tp>
      <tp t="e">
        <v>#N/A</v>
        <stp/>
        <stp>BDH|3268707020986316132</stp>
        <tr r="AA10" s="18"/>
      </tp>
      <tp t="e">
        <v>#N/A</v>
        <stp/>
        <stp>BDH|3496141737324432413</stp>
        <tr r="Y20" s="24"/>
      </tp>
      <tp t="e">
        <v>#N/A</v>
        <stp/>
        <stp>BDH|8166538947358117066</stp>
        <tr r="F70" s="18"/>
      </tp>
      <tp t="e">
        <v>#N/A</v>
        <stp/>
        <stp>BDH|3366872216662709978</stp>
        <tr r="AA9" s="18"/>
      </tp>
      <tp t="e">
        <v>#N/A</v>
        <stp/>
        <stp>BDH|4898693136024525405</stp>
        <tr r="K40" s="24"/>
      </tp>
      <tp t="e">
        <v>#N/A</v>
        <stp/>
        <stp>BDH|4016468207653029230</stp>
        <tr r="W28" s="34"/>
      </tp>
      <tp t="e">
        <v>#N/A</v>
        <stp/>
        <stp>BDH|6973882819846368897</stp>
        <tr r="Q22" s="4"/>
      </tp>
      <tp t="e">
        <v>#N/A</v>
        <stp/>
        <stp>BDH|1189914875158314640</stp>
        <tr r="Q8" s="24"/>
      </tp>
      <tp t="e">
        <v>#N/A</v>
        <stp/>
        <stp>BDH|2220153425546982693</stp>
        <tr r="Y59" s="12"/>
      </tp>
      <tp t="e">
        <v>#N/A</v>
        <stp/>
        <stp>BDH|3452848299096975525</stp>
        <tr r="Y22" s="24"/>
      </tp>
      <tp t="e">
        <v>#N/A</v>
        <stp/>
        <stp>BDH|5836310739887443360</stp>
        <tr r="J13" s="21"/>
      </tp>
      <tp t="e">
        <v>#N/A</v>
        <stp/>
        <stp>BDH|1403568357515556526</stp>
        <tr r="Q17" s="24"/>
      </tp>
      <tp t="e">
        <v>#N/A</v>
        <stp/>
        <stp>BDH|4544321370055438418</stp>
        <tr r="X11" s="6"/>
      </tp>
      <tp t="e">
        <v>#N/A</v>
        <stp/>
        <stp>BDH|6566874667931487822</stp>
        <tr r="W10" s="28"/>
      </tp>
      <tp t="e">
        <v>#N/A</v>
        <stp/>
        <stp>BDH|6343399664400493291</stp>
        <tr r="L59" s="13"/>
      </tp>
      <tp t="e">
        <v>#N/A</v>
        <stp/>
        <stp>BDH|9350038932458881390</stp>
        <tr r="S35" s="12"/>
      </tp>
      <tp t="e">
        <v>#N/A</v>
        <stp/>
        <stp>BDH|9757647094713610424</stp>
        <tr r="R15" s="11"/>
      </tp>
      <tp t="e">
        <v>#N/A</v>
        <stp/>
        <stp>BDH|7250031235376272350</stp>
        <tr r="J44" s="34"/>
      </tp>
      <tp t="e">
        <v>#N/A</v>
        <stp/>
        <stp>BDH|6801688613027906798</stp>
        <tr r="H42" s="22"/>
      </tp>
      <tp t="e">
        <v>#N/A</v>
        <stp/>
        <stp>BDH|1857518328696294102</stp>
        <tr r="N48" s="24"/>
      </tp>
      <tp t="e">
        <v>#N/A</v>
        <stp/>
        <stp>BDH|9222639995423663419</stp>
        <tr r="T90" s="24"/>
      </tp>
      <tp t="e">
        <v>#N/A</v>
        <stp/>
        <stp>BDH|4184217642733292032</stp>
        <tr r="N13" s="25"/>
      </tp>
      <tp t="e">
        <v>#N/A</v>
        <stp/>
        <stp>BDH|4013559937026835598</stp>
        <tr r="S47" s="24"/>
      </tp>
      <tp t="e">
        <v>#N/A</v>
        <stp/>
        <stp>BDH|7718818980555675339</stp>
        <tr r="Q61" s="11"/>
      </tp>
      <tp t="e">
        <v>#N/A</v>
        <stp/>
        <stp>BDH|8489851325723555029</stp>
        <tr r="V10" s="18"/>
      </tp>
      <tp t="e">
        <v>#N/A</v>
        <stp/>
        <stp>BDH|9208115290754246424</stp>
        <tr r="M48" s="17"/>
      </tp>
      <tp t="e">
        <v>#N/A</v>
        <stp/>
        <stp>BDH|9441441153071126812</stp>
        <tr r="V27" s="18"/>
      </tp>
      <tp t="e">
        <v>#N/A</v>
        <stp/>
        <stp>BDH|7348239147921776136</stp>
        <tr r="Q37" s="6"/>
      </tp>
      <tp t="e">
        <v>#N/A</v>
        <stp/>
        <stp>BDH|5115374520420227577</stp>
        <tr r="I95" s="18"/>
      </tp>
      <tp t="e">
        <v>#N/A</v>
        <stp/>
        <stp>BDH|2507060362451047424</stp>
        <tr r="R17" s="23"/>
      </tp>
      <tp t="e">
        <v>#N/A</v>
        <stp/>
        <stp>BDH|8160804022265850681</stp>
        <tr r="G84" s="24"/>
      </tp>
      <tp t="e">
        <v>#N/A</v>
        <stp/>
        <stp>BDH|5173162023946088170</stp>
        <tr r="U33" s="12"/>
      </tp>
      <tp t="e">
        <v>#N/A</v>
        <stp/>
        <stp>BDH|7113612897288316177</stp>
        <tr r="H53" s="18"/>
      </tp>
      <tp t="e">
        <v>#N/A</v>
        <stp/>
        <stp>BDH|3590377209463987215</stp>
        <tr r="Q62" s="24"/>
      </tp>
      <tp t="e">
        <v>#N/A</v>
        <stp/>
        <stp>BDH|6730767673182142506</stp>
        <tr r="O23" s="17"/>
      </tp>
      <tp t="e">
        <v>#N/A</v>
        <stp/>
        <stp>BDH|4133852725397320817</stp>
        <tr r="Y25" s="13"/>
      </tp>
      <tp t="e">
        <v>#N/A</v>
        <stp/>
        <stp>BDH|3713680498668099549</stp>
        <tr r="E52" s="6"/>
        <tr r="G9" s="8"/>
      </tp>
      <tp t="e">
        <v>#N/A</v>
        <stp/>
        <stp>BDH|5504402312942064344</stp>
        <tr r="H135" s="18"/>
      </tp>
      <tp t="e">
        <v>#N/A</v>
        <stp/>
        <stp>BDH|9878590780985300017</stp>
        <tr r="C18" s="18"/>
      </tp>
      <tp t="e">
        <v>#N/A</v>
        <stp/>
        <stp>BDH|9482006192518170945</stp>
        <tr r="D17" s="14"/>
      </tp>
      <tp t="e">
        <v>#N/A</v>
        <stp/>
        <stp>BDH|8303143694385608468</stp>
        <tr r="V18" s="26"/>
      </tp>
      <tp t="e">
        <v>#N/A</v>
        <stp/>
        <stp>BDH|4086549547900265426</stp>
        <tr r="L26" s="12"/>
      </tp>
      <tp t="e">
        <v>#N/A</v>
        <stp/>
        <stp>BDH|4574859181673764656</stp>
        <tr r="R79" s="24"/>
      </tp>
      <tp t="e">
        <v>#N/A</v>
        <stp/>
        <stp>BDH|4793511076683118427</stp>
        <tr r="I73" s="18"/>
      </tp>
      <tp t="e">
        <v>#N/A</v>
        <stp/>
        <stp>BDH|9639821236157592442</stp>
        <tr r="N21" s="30"/>
      </tp>
      <tp t="e">
        <v>#N/A</v>
        <stp/>
        <stp>BDH|6034526338859019894</stp>
        <tr r="N21" s="17"/>
        <tr r="N15" s="3"/>
      </tp>
      <tp t="e">
        <v>#N/A</v>
        <stp/>
        <stp>BDH|6082175324973083707</stp>
        <tr r="X51" s="12"/>
      </tp>
      <tp t="e">
        <v>#N/A</v>
        <stp/>
        <stp>BDH|7292671616274086509</stp>
        <tr r="M29" s="18"/>
      </tp>
      <tp t="e">
        <v>#N/A</v>
        <stp/>
        <stp>BDH|8293681967279988079</stp>
        <tr r="N89" s="17"/>
        <tr r="N34" s="25"/>
      </tp>
      <tp t="e">
        <v>#N/A</v>
        <stp/>
        <stp>BDH|2330671702942521702</stp>
        <tr r="J20" s="9"/>
      </tp>
      <tp t="e">
        <v>#N/A</v>
        <stp/>
        <stp>BDH|3464179444615467205</stp>
        <tr r="N22" s="21"/>
      </tp>
      <tp t="e">
        <v>#N/A</v>
        <stp/>
        <stp>BDH|4700019213704665002</stp>
        <tr r="P24" s="5"/>
      </tp>
      <tp t="e">
        <v>#N/A</v>
        <stp/>
        <stp>BDH|9005487882747134389</stp>
        <tr r="M13" s="7"/>
      </tp>
      <tp t="e">
        <v>#N/A</v>
        <stp/>
        <stp>BDH|6549697752772577689</stp>
        <tr r="J62" s="21"/>
      </tp>
      <tp t="e">
        <v>#N/A</v>
        <stp/>
        <stp>BDH|8176815383489143018</stp>
        <tr r="O61" s="13"/>
      </tp>
      <tp t="e">
        <v>#N/A</v>
        <stp/>
        <stp>BDH|9101952584939409071</stp>
        <tr r="E62" s="24"/>
      </tp>
      <tp t="e">
        <v>#N/A</v>
        <stp/>
        <stp>BDH|3448712255453214319</stp>
        <tr r="C18" s="5"/>
        <tr r="C41" s="6"/>
      </tp>
      <tp t="e">
        <v>#N/A</v>
        <stp/>
        <stp>BDH|3829617582794090886</stp>
        <tr r="AA27" s="18"/>
      </tp>
      <tp t="e">
        <v>#N/A</v>
        <stp/>
        <stp>BDH|5833968551389840141</stp>
        <tr r="Q11" s="11"/>
      </tp>
      <tp t="e">
        <v>#N/A</v>
        <stp/>
        <stp>BDH|1130548719190707487</stp>
        <tr r="X53" s="18"/>
      </tp>
      <tp t="e">
        <v>#N/A</v>
        <stp/>
        <stp>BDH|1773628647695678772</stp>
        <tr r="U65" s="24"/>
      </tp>
      <tp t="e">
        <v>#N/A</v>
        <stp/>
        <stp>BDH|3141323507878266956</stp>
        <tr r="H68" s="18"/>
      </tp>
      <tp t="e">
        <v>#N/A</v>
        <stp/>
        <stp>BDH|6250022946884292779</stp>
        <tr r="U42" s="6"/>
      </tp>
      <tp t="e">
        <v>#N/A</v>
        <stp/>
        <stp>BDH|4598787154126282188</stp>
        <tr r="F137" s="18"/>
      </tp>
      <tp t="e">
        <v>#N/A</v>
        <stp/>
        <stp>BDH|4712609672391677503</stp>
        <tr r="S91" s="17"/>
        <tr r="S7" s="27"/>
      </tp>
      <tp t="e">
        <v>#N/A</v>
        <stp/>
        <stp>BDH|5277712651744594245</stp>
        <tr r="G83" s="24"/>
      </tp>
      <tp t="e">
        <v>#N/A</v>
        <stp/>
        <stp>BDH|9146405245589024178</stp>
        <tr r="S9" s="22"/>
      </tp>
      <tp t="e">
        <v>#N/A</v>
        <stp/>
        <stp>BDH|4166171424307089112</stp>
        <tr r="M71" s="18"/>
      </tp>
      <tp t="e">
        <v>#N/A</v>
        <stp/>
        <stp>BDH|2620464094607414900</stp>
        <tr r="W9" s="18"/>
      </tp>
      <tp t="e">
        <v>#N/A</v>
        <stp/>
        <stp>BDH|5638836718188933547</stp>
        <tr r="X15" s="25"/>
      </tp>
      <tp t="e">
        <v>#N/A</v>
        <stp/>
        <stp>BDH|9232231734358073156</stp>
        <tr r="N46" s="34"/>
      </tp>
      <tp t="e">
        <v>#N/A</v>
        <stp/>
        <stp>BDH|5596292723110928468</stp>
        <tr r="X18" s="12"/>
      </tp>
      <tp t="e">
        <v>#N/A</v>
        <stp/>
        <stp>BDH|3345974537680769843</stp>
        <tr r="I9" s="22"/>
      </tp>
      <tp t="e">
        <v>#N/A</v>
        <stp/>
        <stp>BDH|1394336961346091316</stp>
        <tr r="L13" s="5"/>
      </tp>
      <tp t="e">
        <v>#N/A</v>
        <stp/>
        <stp>BDH|4814497054032200674</stp>
        <tr r="D30" s="24"/>
      </tp>
      <tp t="e">
        <v>#N/A</v>
        <stp/>
        <stp>BDH|4226535080529674177</stp>
        <tr r="T73" s="18"/>
      </tp>
      <tp t="e">
        <v>#N/A</v>
        <stp/>
        <stp>BDH|5851054154373800217</stp>
        <tr r="X10" s="21"/>
      </tp>
      <tp t="e">
        <v>#N/A</v>
        <stp/>
        <stp>BDH|5131447008458855850</stp>
        <tr r="T47" s="22"/>
      </tp>
      <tp t="e">
        <v>#N/A</v>
        <stp/>
        <stp>BDH|1101550070472565017</stp>
        <tr r="D49" s="13"/>
      </tp>
      <tp t="e">
        <v>#N/A</v>
        <stp/>
        <stp>BDH|6107180759606974595</stp>
        <tr r="W88" s="17"/>
      </tp>
      <tp t="e">
        <v>#N/A</v>
        <stp/>
        <stp>BDH|7813602409414703463</stp>
        <tr r="X19" s="22"/>
      </tp>
      <tp t="e">
        <v>#N/A</v>
        <stp/>
        <stp>BDH|1243095327247865541</stp>
        <tr r="D58" s="13"/>
      </tp>
      <tp t="e">
        <v>#N/A</v>
        <stp/>
        <stp>BDH|4307713584768216241</stp>
        <tr r="M62" s="18"/>
      </tp>
      <tp t="e">
        <v>#N/A</v>
        <stp/>
        <stp>BDH|7609366138042936411</stp>
        <tr r="I75" s="17"/>
        <tr r="F9" s="5"/>
        <tr r="F9" s="9"/>
      </tp>
      <tp t="e">
        <v>#N/A</v>
        <stp/>
        <stp>BDH|4605405536523256122</stp>
        <tr r="K92" s="18"/>
      </tp>
      <tp t="e">
        <v>#N/A</v>
        <stp/>
        <stp>BDH|8999927869621275708</stp>
        <tr r="F13" s="26"/>
      </tp>
      <tp t="e">
        <v>#N/A</v>
        <stp/>
        <stp>BDH|9077016776278150761</stp>
        <tr r="Z28" s="12"/>
      </tp>
      <tp t="e">
        <v>#N/A</v>
        <stp/>
        <stp>BDH|6457356977144218744</stp>
        <tr r="K33" s="22"/>
      </tp>
      <tp t="e">
        <v>#N/A</v>
        <stp/>
        <stp>BDH|5698170303962705757</stp>
        <tr r="H60" s="11"/>
        <tr r="J19" s="23"/>
      </tp>
      <tp t="e">
        <v>#N/A</v>
        <stp/>
        <stp>BDH|8070895052311292591</stp>
        <tr r="W11" s="14"/>
      </tp>
      <tp t="e">
        <v>#N/A</v>
        <stp/>
        <stp>BDH|7502315358207498787</stp>
        <tr r="P9" s="10"/>
      </tp>
      <tp t="e">
        <v>#N/A</v>
        <stp/>
        <stp>BDH|3765507391899354755</stp>
        <tr r="D12" s="18"/>
      </tp>
      <tp t="e">
        <v>#N/A</v>
        <stp/>
        <stp>BDH|7269888307718438692</stp>
        <tr r="Q16" s="6"/>
      </tp>
      <tp t="e">
        <v>#N/A</v>
        <stp/>
        <stp>BDH|3892172931141856167</stp>
        <tr r="P92" s="18"/>
      </tp>
      <tp t="e">
        <v>#N/A</v>
        <stp/>
        <stp>BDH|2293262630662305077</stp>
        <tr r="F18" s="25"/>
      </tp>
      <tp t="e">
        <v>#N/A</v>
        <stp/>
        <stp>BDH|3371671901896676234</stp>
        <tr r="F72" s="10"/>
        <tr r="F64" s="11"/>
      </tp>
      <tp t="e">
        <v>#N/A</v>
        <stp/>
        <stp>BDH|1101827376138423719</stp>
        <tr r="AA83" s="24"/>
      </tp>
      <tp t="e">
        <v>#N/A</v>
        <stp/>
        <stp>BDH|9781337079689501584</stp>
        <tr r="W62" s="24"/>
      </tp>
      <tp t="e">
        <v>#N/A</v>
        <stp/>
        <stp>BDH|1099781598699829780</stp>
        <tr r="AA19" s="24"/>
      </tp>
      <tp t="e">
        <v>#N/A</v>
        <stp/>
        <stp>BDH|4545508707514648441</stp>
        <tr r="V25" s="5"/>
      </tp>
      <tp t="e">
        <v>#N/A</v>
        <stp/>
        <stp>BDH|4541638531459420935</stp>
        <tr r="AA30" s="25"/>
        <tr r="AA16" s="27"/>
      </tp>
      <tp t="e">
        <v>#N/A</v>
        <stp/>
        <stp>BDH|3583347810784011416</stp>
        <tr r="L25" s="14"/>
      </tp>
      <tp t="e">
        <v>#N/A</v>
        <stp/>
        <stp>BDH|6658502870540358559</stp>
        <tr r="T17" s="18"/>
      </tp>
      <tp t="e">
        <v>#N/A</v>
        <stp/>
        <stp>BDH|4666285394817221998</stp>
        <tr r="Y32" s="14"/>
      </tp>
      <tp t="e">
        <v>#N/A</v>
        <stp/>
        <stp>BDH|4962760358512302552</stp>
        <tr r="W46" s="18"/>
      </tp>
      <tp t="e">
        <v>#N/A</v>
        <stp/>
        <stp>BDH|6097331143999732963</stp>
        <tr r="K47" s="17"/>
      </tp>
      <tp t="e">
        <v>#N/A</v>
        <stp/>
        <stp>BDH|5532243977414651510</stp>
        <tr r="C75" s="17"/>
      </tp>
      <tp t="e">
        <v>#N/A</v>
        <stp/>
        <stp>BDH|8328196884062852271</stp>
        <tr r="Q44" s="21"/>
      </tp>
      <tp t="e">
        <v>#N/A</v>
        <stp/>
        <stp>BDH|8300974301746620621</stp>
        <tr r="U19" s="17"/>
      </tp>
      <tp t="e">
        <v>#N/A</v>
        <stp/>
        <stp>BDH|4093465489411709898</stp>
        <tr r="F35" s="18"/>
      </tp>
      <tp t="e">
        <v>#N/A</v>
        <stp/>
        <stp>BDH|5239308901970559774</stp>
        <tr r="V23" s="21"/>
      </tp>
      <tp t="e">
        <v>#N/A</v>
        <stp/>
        <stp>BDH|1173607995737351861</stp>
        <tr r="O9" s="18"/>
      </tp>
      <tp t="e">
        <v>#N/A</v>
        <stp/>
        <stp>BDH|3127032351257644044</stp>
        <tr r="E24" s="18"/>
      </tp>
      <tp t="e">
        <v>#N/A</v>
        <stp/>
        <stp>BDH|9171382188766070507</stp>
        <tr r="P28" s="4"/>
      </tp>
      <tp t="e">
        <v>#N/A</v>
        <stp/>
        <stp>BDH|2112550179557954653</stp>
        <tr r="L78" s="24"/>
      </tp>
      <tp t="e">
        <v>#N/A</v>
        <stp/>
        <stp>BDH|2916729862185947718</stp>
        <tr r="R140" s="18"/>
      </tp>
      <tp t="e">
        <v>#N/A</v>
        <stp/>
        <stp>BDH|9247471694435033007</stp>
        <tr r="S20" s="25"/>
      </tp>
      <tp t="e">
        <v>#N/A</v>
        <stp/>
        <stp>BDH|9167549903258580520</stp>
        <tr r="Y15" s="14"/>
      </tp>
      <tp t="e">
        <v>#N/A</v>
        <stp/>
        <stp>BDH|3371460229520851453</stp>
        <tr r="J12" s="7"/>
      </tp>
      <tp t="e">
        <v>#N/A</v>
        <stp/>
        <stp>BDH|3664814495200042330</stp>
        <tr r="U37" s="10"/>
        <tr r="U29" s="11"/>
        <tr r="W41" s="13"/>
      </tp>
      <tp t="e">
        <v>#N/A</v>
        <stp/>
        <stp>BDH|3522643479002019194</stp>
        <tr r="E8" s="2"/>
      </tp>
      <tp t="e">
        <v>#N/A</v>
        <stp/>
        <stp>BDH|5566950768038006391</stp>
        <tr r="K8" s="13"/>
      </tp>
      <tp t="e">
        <v>#N/A</v>
        <stp/>
        <stp>BDH|5245003942118393828</stp>
        <tr r="M39" s="12"/>
      </tp>
      <tp t="e">
        <v>#N/A</v>
        <stp/>
        <stp>BDH|1852500808347657274</stp>
        <tr r="G49" s="21"/>
      </tp>
      <tp t="e">
        <v>#N/A</v>
        <stp/>
        <stp>BDH|9832947108607767622</stp>
        <tr r="G54" s="24"/>
      </tp>
      <tp t="e">
        <v>#N/A</v>
        <stp/>
        <stp>BDH|8866861043214404183</stp>
        <tr r="Z47" s="18"/>
      </tp>
      <tp t="e">
        <v>#N/A</v>
        <stp/>
        <stp>BDH|9980332379499091521</stp>
        <tr r="H13" s="6"/>
      </tp>
      <tp t="e">
        <v>#N/A</v>
        <stp/>
        <stp>BDH|2943500579575614479</stp>
        <tr r="U48" s="17"/>
      </tp>
      <tp t="e">
        <v>#N/A</v>
        <stp/>
        <stp>BDH|3425728155322450265</stp>
        <tr r="P50" s="13"/>
      </tp>
      <tp t="e">
        <v>#N/A</v>
        <stp/>
        <stp>BDH|1448941549814150991</stp>
        <tr r="Y25" s="7"/>
      </tp>
      <tp t="e">
        <v>#N/A</v>
        <stp/>
        <stp>BDH|6929342714280938518</stp>
        <tr r="L20" s="9"/>
      </tp>
      <tp t="e">
        <v>#N/A</v>
        <stp/>
        <stp>BDH|5180297335145463080</stp>
        <tr r="N9" s="12"/>
      </tp>
      <tp t="e">
        <v>#N/A</v>
        <stp/>
        <stp>BDH|7556676632962043116</stp>
        <tr r="Q21" s="17"/>
        <tr r="Q15" s="3"/>
      </tp>
      <tp t="e">
        <v>#N/A</v>
        <stp/>
        <stp>BDH|4512539623705042743</stp>
        <tr r="Z13" s="17"/>
        <tr r="Z16" s="28"/>
      </tp>
      <tp t="e">
        <v>#N/A</v>
        <stp/>
        <stp>BDH|7298274257154409574</stp>
        <tr r="M43" s="4"/>
      </tp>
      <tp t="e">
        <v>#N/A</v>
        <stp/>
        <stp>BDH|9211810022913467146</stp>
        <tr r="I14" s="21"/>
      </tp>
      <tp t="e">
        <v>#N/A</v>
        <stp/>
        <stp>BDH|8019909149544178091</stp>
        <tr r="I16" s="6"/>
      </tp>
      <tp t="e">
        <v>#N/A</v>
        <stp/>
        <stp>BDH|1700340815890541226</stp>
        <tr r="F31" s="24"/>
      </tp>
      <tp t="e">
        <v>#N/A</v>
        <stp/>
        <stp>BDH|2095620557083314372</stp>
        <tr r="K84" s="12"/>
      </tp>
      <tp t="e">
        <v>#N/A</v>
        <stp/>
        <stp>BDH|8917160491929732886</stp>
        <tr r="N75" s="18"/>
        <tr r="N64" s="12"/>
      </tp>
      <tp t="e">
        <v>#N/A</v>
        <stp/>
        <stp>BDH|9040229120809402178</stp>
        <tr r="J33" s="6"/>
      </tp>
      <tp t="e">
        <v>#N/A</v>
        <stp/>
        <stp>BDH|5196658358806817154</stp>
        <tr r="L17" s="30"/>
      </tp>
      <tp t="e">
        <v>#N/A</v>
        <stp/>
        <stp>BDH|2934195883808623243</stp>
        <tr r="I18" s="5"/>
        <tr r="I41" s="6"/>
      </tp>
      <tp t="e">
        <v>#N/A</v>
        <stp/>
        <stp>BDH|4125507144923233761</stp>
        <tr r="L81" s="12"/>
      </tp>
      <tp t="e">
        <v>#N/A</v>
        <stp/>
        <stp>BDH|7681142105434576337</stp>
        <tr r="G27" s="25"/>
        <tr r="G13" s="27"/>
      </tp>
      <tp t="e">
        <v>#N/A</v>
        <stp/>
        <stp>BDH|8435285490886514481</stp>
        <tr r="W15" s="14"/>
      </tp>
      <tp t="e">
        <v>#N/A</v>
        <stp/>
        <stp>BDH|3768045904812458020</stp>
        <tr r="D25" s="14"/>
      </tp>
      <tp t="e">
        <v>#N/A</v>
        <stp/>
        <stp>BDH|5013393933285505191</stp>
        <tr r="F107" s="18"/>
      </tp>
      <tp t="e">
        <v>#N/A</v>
        <stp/>
        <stp>BDH|3068027521296462615</stp>
        <tr r="R17" s="10"/>
      </tp>
      <tp t="e">
        <v>#N/A</v>
        <stp/>
        <stp>BDH|5195551714960415020</stp>
        <tr r="F76" s="18"/>
      </tp>
      <tp t="e">
        <v>#N/A</v>
        <stp/>
        <stp>BDH|5839795396302279832</stp>
        <tr r="E12" s="6"/>
      </tp>
      <tp t="e">
        <v>#N/A</v>
        <stp/>
        <stp>BDH|2387629386059499458</stp>
        <tr r="F42" s="21"/>
      </tp>
      <tp t="e">
        <v>#N/A</v>
        <stp/>
        <stp>BDH|5125566540013874690</stp>
        <tr r="O26" s="34"/>
      </tp>
      <tp t="e">
        <v>#N/A</v>
        <stp/>
        <stp>BDH|4943579035397999444</stp>
        <tr r="C19" s="24"/>
      </tp>
      <tp t="e">
        <v>#N/A</v>
        <stp/>
        <stp>BDH|6806921917317827833</stp>
        <tr r="R54" s="12"/>
      </tp>
      <tp t="e">
        <v>#N/A</v>
        <stp/>
        <stp>BDH|6109485679195310157</stp>
        <tr r="D27" s="24"/>
      </tp>
      <tp t="e">
        <v>#N/A</v>
        <stp/>
        <stp>BDH|9873252154747886878</stp>
        <tr r="P44" s="13"/>
      </tp>
      <tp t="e">
        <v>#N/A</v>
        <stp/>
        <stp>BDH|1549132800443224222</stp>
        <tr r="N19" s="22"/>
      </tp>
      <tp t="e">
        <v>#N/A</v>
        <stp/>
        <stp>BDH|1565361045641359636</stp>
        <tr r="W16" s="6"/>
      </tp>
      <tp t="e">
        <v>#N/A</v>
        <stp/>
        <stp>BDH|1065772426503238650</stp>
        <tr r="H68" s="24"/>
      </tp>
      <tp t="e">
        <v>#N/A</v>
        <stp/>
        <stp>BDH|7803050129600414462</stp>
        <tr r="O11" s="29"/>
      </tp>
      <tp t="e">
        <v>#N/A</v>
        <stp/>
        <stp>BDH|9032214466064407852</stp>
        <tr r="Z41" s="12"/>
      </tp>
      <tp t="e">
        <v>#N/A</v>
        <stp/>
        <stp>BDH|8163964722173313107</stp>
        <tr r="L14" s="28"/>
      </tp>
      <tp t="e">
        <v>#N/A</v>
        <stp/>
        <stp>BDH|2616543209674890258</stp>
        <tr r="R25" s="18"/>
      </tp>
      <tp t="e">
        <v>#N/A</v>
        <stp/>
        <stp>BDH|1824781914447230101</stp>
        <tr r="J60" s="24"/>
      </tp>
      <tp t="e">
        <v>#N/A</v>
        <stp/>
        <stp>BDH|4091360141747539549</stp>
        <tr r="AA136" s="18"/>
      </tp>
      <tp t="e">
        <v>#N/A</v>
        <stp/>
        <stp>BDH|3092401065396073638</stp>
        <tr r="Q38" s="12"/>
      </tp>
      <tp t="e">
        <v>#N/A</v>
        <stp/>
        <stp>BDH|4316345502681202716</stp>
        <tr r="I8" s="21"/>
      </tp>
      <tp t="e">
        <v>#N/A</v>
        <stp/>
        <stp>BDH|3647175153390168653</stp>
        <tr r="K11" s="24"/>
      </tp>
      <tp t="e">
        <v>#N/A</v>
        <stp/>
        <stp>BDH|6833308921810931667</stp>
        <tr r="M85" s="12"/>
      </tp>
      <tp t="e">
        <v>#N/A</v>
        <stp/>
        <stp>BDH|7022573454184348262</stp>
        <tr r="C54" s="12"/>
      </tp>
      <tp t="e">
        <v>#N/A</v>
        <stp/>
        <stp>BDH|2212597128600324464</stp>
        <tr r="J45" s="34"/>
      </tp>
      <tp t="e">
        <v>#N/A</v>
        <stp/>
        <stp>BDH|6689026615252539426</stp>
        <tr r="M47" s="22"/>
      </tp>
      <tp t="e">
        <v>#N/A</v>
        <stp/>
        <stp>BDH|3623419459382861107</stp>
        <tr r="F39" s="4"/>
        <tr r="F66" s="10"/>
      </tp>
      <tp t="e">
        <v>#N/A</v>
        <stp/>
        <stp>BDH|6926181907276216029</stp>
        <tr r="O13" s="24"/>
      </tp>
      <tp t="e">
        <v>#N/A</v>
        <stp/>
        <stp>BDH|8705972307856369625</stp>
        <tr r="I87" s="12"/>
      </tp>
      <tp t="e">
        <v>#N/A</v>
        <stp/>
        <stp>BDH|7333026282838216677</stp>
        <tr r="F27" s="18"/>
      </tp>
      <tp t="e">
        <v>#N/A</v>
        <stp/>
        <stp>BDH|3831255019982059321</stp>
        <tr r="C76" s="18"/>
      </tp>
      <tp t="e">
        <v>#N/A</v>
        <stp/>
        <stp>BDH|1189124760083348463</stp>
        <tr r="N98" s="18"/>
        <tr r="N7" s="20"/>
      </tp>
      <tp t="e">
        <v>#N/A</v>
        <stp/>
        <stp>BDH|3237804466849629546</stp>
        <tr r="O68" s="12"/>
      </tp>
      <tp t="e">
        <v>#N/A</v>
        <stp/>
        <stp>BDH|8914640209687046828</stp>
        <tr r="V7" s="14"/>
      </tp>
      <tp t="e">
        <v>#N/A</v>
        <stp/>
        <stp>BDH|3037880489112719008</stp>
        <tr r="F62" s="18"/>
      </tp>
      <tp t="e">
        <v>#N/A</v>
        <stp/>
        <stp>BDH|7801763177463797584</stp>
        <tr r="G34" s="29"/>
      </tp>
      <tp t="e">
        <v>#N/A</v>
        <stp/>
        <stp>BDH|3981220638046030551</stp>
        <tr r="G23" s="22"/>
      </tp>
      <tp t="e">
        <v>#N/A</v>
        <stp/>
        <stp>BDH|8612061702651631828</stp>
        <tr r="P52" s="6"/>
        <tr r="R9" s="8"/>
      </tp>
      <tp t="e">
        <v>#N/A</v>
        <stp/>
        <stp>BDH|5284630835132424366</stp>
        <tr r="R19" s="12"/>
      </tp>
      <tp t="e">
        <v>#N/A</v>
        <stp/>
        <stp>BDH|6907518849164779202</stp>
        <tr r="S11" s="6"/>
      </tp>
      <tp t="e">
        <v>#N/A</v>
        <stp/>
        <stp>BDH|4798753889332850850</stp>
        <tr r="G24" s="12"/>
      </tp>
      <tp t="e">
        <v>#N/A</v>
        <stp/>
        <stp>BDH|3288380358935799137</stp>
        <tr r="X69" s="17"/>
      </tp>
      <tp t="e">
        <v>#N/A</v>
        <stp/>
        <stp>BDH|1574850897956311720</stp>
        <tr r="F112" s="18"/>
      </tp>
      <tp t="e">
        <v>#N/A</v>
        <stp/>
        <stp>BDH|2179314496479992091</stp>
        <tr r="N69" s="24"/>
      </tp>
      <tp t="e">
        <v>#N/A</v>
        <stp/>
        <stp>BDH|3615178311632000061</stp>
        <tr r="T17" s="9"/>
      </tp>
      <tp t="e">
        <v>#N/A</v>
        <stp/>
        <stp>BDH|7132606383950301872</stp>
        <tr r="Q54" s="24"/>
      </tp>
      <tp t="e">
        <v>#N/A</v>
        <stp/>
        <stp>BDH|7337309577487509570</stp>
        <tr r="V59" s="17"/>
      </tp>
      <tp t="e">
        <v>#N/A</v>
        <stp/>
        <stp>BDH|4363191929226435018</stp>
        <tr r="L45" s="13"/>
      </tp>
      <tp t="e">
        <v>#N/A</v>
        <stp/>
        <stp>BDH|7456552144973318401</stp>
        <tr r="E116" s="18"/>
      </tp>
      <tp t="e">
        <v>#N/A</v>
        <stp/>
        <stp>BDH|6394220751995319540</stp>
        <tr r="P23" s="26"/>
      </tp>
      <tp t="e">
        <v>#N/A</v>
        <stp/>
        <stp>BDH|5118364525116551300</stp>
        <tr r="H38" s="4"/>
        <tr r="H58" s="11"/>
        <tr r="J13" s="23"/>
      </tp>
      <tp t="e">
        <v>#N/A</v>
        <stp/>
        <stp>BDH|7928157037050850441</stp>
        <tr r="G75" s="12"/>
      </tp>
      <tp t="e">
        <v>#N/A</v>
        <stp/>
        <stp>BDH|8910500288316214243</stp>
        <tr r="P36" s="22"/>
      </tp>
      <tp t="e">
        <v>#N/A</v>
        <stp/>
        <stp>BDH|8024306154146201915</stp>
        <tr r="P86" s="24"/>
      </tp>
      <tp t="e">
        <v>#N/A</v>
        <stp/>
        <stp>BDH|7648511894332722834</stp>
        <tr r="R37" s="18"/>
      </tp>
      <tp t="e">
        <v>#N/A</v>
        <stp/>
        <stp>BDH|3893257041846335285</stp>
        <tr r="R17" s="4"/>
        <tr r="T10" s="3"/>
        <tr r="R56" s="10"/>
        <tr r="R48" s="11"/>
        <tr r="R17" s="7"/>
        <tr r="T54" s="13"/>
      </tp>
      <tp t="e">
        <v>#N/A</v>
        <stp/>
        <stp>BDH|5527802992727841283</stp>
        <tr r="T26" s="22"/>
      </tp>
      <tp t="e">
        <v>#N/A</v>
        <stp/>
        <stp>BDH|9563242040418068666</stp>
        <tr r="I79" s="18"/>
      </tp>
      <tp t="e">
        <v>#N/A</v>
        <stp/>
        <stp>BDH|9421257627041257933</stp>
        <tr r="J25" s="34"/>
      </tp>
      <tp t="e">
        <v>#N/A</v>
        <stp/>
        <stp>BDH|8111728762801134971</stp>
        <tr r="Y13" s="7"/>
      </tp>
      <tp t="e">
        <v>#N/A</v>
        <stp/>
        <stp>BDH|8182117686835501545</stp>
        <tr r="V90" s="17"/>
      </tp>
      <tp t="e">
        <v>#N/A</v>
        <stp/>
        <stp>BDH|8626127527369351376</stp>
        <tr r="P77" s="17"/>
      </tp>
      <tp t="e">
        <v>#N/A</v>
        <stp/>
        <stp>BDH|8233138714800301916</stp>
        <tr r="U38" s="6"/>
      </tp>
      <tp t="e">
        <v>#N/A</v>
        <stp/>
        <stp>BDH|1000367770595358122</stp>
        <tr r="Y9" s="14"/>
      </tp>
      <tp t="e">
        <v>#N/A</v>
        <stp/>
        <stp>BDH|7759785439544304620</stp>
        <tr r="W7" s="4"/>
      </tp>
      <tp t="e">
        <v>#N/A</v>
        <stp/>
        <stp>BDH|1040259594412294944</stp>
        <tr r="I70" s="12"/>
      </tp>
      <tp t="e">
        <v>#N/A</v>
        <stp/>
        <stp>BDH|2700667127127403052</stp>
        <tr r="T27" s="25"/>
        <tr r="T13" s="27"/>
      </tp>
      <tp t="e">
        <v>#N/A</v>
        <stp/>
        <stp>BDH|8399902593898107167</stp>
        <tr r="Z12" s="3"/>
        <tr r="X55" s="10"/>
        <tr r="X47" s="11"/>
        <tr r="X7" s="7"/>
      </tp>
      <tp t="e">
        <v>#N/A</v>
        <stp/>
        <stp>BDH|6943552825332770296</stp>
        <tr r="L18" s="13"/>
      </tp>
      <tp t="e">
        <v>#N/A</v>
        <stp/>
        <stp>BDH|4667138597214396962</stp>
        <tr r="E39" s="25"/>
        <tr r="E7" s="3"/>
        <tr r="C18" s="11"/>
        <tr r="E22" s="13"/>
        <tr r="E7" s="13"/>
      </tp>
      <tp t="e">
        <v>#N/A</v>
        <stp/>
        <stp>BDH|3302356302319311803</stp>
        <tr r="U9" s="28"/>
      </tp>
      <tp t="e">
        <v>#N/A</v>
        <stp/>
        <stp>BDH|4487547235537257408</stp>
        <tr r="E9" s="26"/>
      </tp>
      <tp t="e">
        <v>#N/A</v>
        <stp/>
        <stp>BDH|8294173754929312454</stp>
        <tr r="T39" s="22"/>
      </tp>
      <tp t="e">
        <v>#N/A</v>
        <stp/>
        <stp>BDH|1175372121527292621</stp>
        <tr r="K129" s="18"/>
      </tp>
      <tp t="e">
        <v>#N/A</v>
        <stp/>
        <stp>BDH|6248681848712090753</stp>
        <tr r="H27" s="21"/>
      </tp>
      <tp t="e">
        <v>#N/A</v>
        <stp/>
        <stp>BDH|7542069001017232176</stp>
        <tr r="X25" s="26"/>
      </tp>
      <tp t="e">
        <v>#N/A</v>
        <stp/>
        <stp>BDH|3223418106127613142</stp>
        <tr r="W32" s="22"/>
      </tp>
      <tp t="e">
        <v>#N/A</v>
        <stp/>
        <stp>BDH|8068214086342494140</stp>
        <tr r="K34" s="9"/>
      </tp>
      <tp t="e">
        <v>#N/A</v>
        <stp/>
        <stp>BDH|2196193334245276494</stp>
        <tr r="U25" s="3"/>
      </tp>
      <tp t="e">
        <v>#N/A</v>
        <stp/>
        <stp>BDH|2407288674175916362</stp>
        <tr r="R92" s="18"/>
      </tp>
      <tp t="e">
        <v>#N/A</v>
        <stp/>
        <stp>BDH|3090721820135770224</stp>
        <tr r="J37" s="21"/>
        <tr r="J24" s="3"/>
      </tp>
      <tp t="e">
        <v>#N/A</v>
        <stp/>
        <stp>BDH|3327207773106782101</stp>
        <tr r="U83" s="17"/>
      </tp>
      <tp t="e">
        <v>#N/A</v>
        <stp/>
        <stp>BDH|4697647066083333600</stp>
        <tr r="Y22" s="17"/>
      </tp>
      <tp t="e">
        <v>#N/A</v>
        <stp/>
        <stp>BDH|5183115252199077956</stp>
        <tr r="D21" s="22"/>
      </tp>
      <tp t="e">
        <v>#N/A</v>
        <stp/>
        <stp>BDH|6512039319755063385</stp>
        <tr r="Y19" s="26"/>
      </tp>
      <tp t="e">
        <v>#N/A</v>
        <stp/>
        <stp>BDH|6238355404472774639</stp>
        <tr r="K8" s="11"/>
      </tp>
      <tp t="e">
        <v>#N/A</v>
        <stp/>
        <stp>BDH|4015819687677209231</stp>
        <tr r="P62" s="17"/>
      </tp>
      <tp t="e">
        <v>#N/A</v>
        <stp/>
        <stp>BDH|5942119540549858872</stp>
        <tr r="Z45" s="13"/>
      </tp>
      <tp t="e">
        <v>#N/A</v>
        <stp/>
        <stp>BDH|9092286349067101971</stp>
        <tr r="R25" s="4"/>
        <tr r="R65" s="10"/>
      </tp>
      <tp t="e">
        <v>#N/A</v>
        <stp/>
        <stp>BDH|3240879080712460062</stp>
        <tr r="O31" s="5"/>
      </tp>
      <tp t="e">
        <v>#N/A</v>
        <stp/>
        <stp>BDH|5993628238692509319</stp>
        <tr r="F33" s="6"/>
      </tp>
      <tp t="e">
        <v>#N/A</v>
        <stp/>
        <stp>BDH|4550467244794823189</stp>
        <tr r="S47" s="13"/>
      </tp>
      <tp t="e">
        <v>#N/A</v>
        <stp/>
        <stp>BDH|9771658816036002931</stp>
        <tr r="U25" s="18"/>
      </tp>
      <tp t="e">
        <v>#N/A</v>
        <stp/>
        <stp>BDH|7424146971296304667</stp>
        <tr r="U19" s="12"/>
      </tp>
      <tp t="e">
        <v>#N/A</v>
        <stp/>
        <stp>BDH|1960795801321108641</stp>
        <tr r="Q9" s="26"/>
      </tp>
      <tp t="e">
        <v>#N/A</v>
        <stp/>
        <stp>BDH|8820571408134158826</stp>
        <tr r="J22" s="4"/>
      </tp>
      <tp t="e">
        <v>#N/A</v>
        <stp/>
        <stp>BDH|8179601734739095519</stp>
        <tr r="H63" s="13"/>
      </tp>
      <tp t="e">
        <v>#N/A</v>
        <stp/>
        <stp>BDH|2612751346814709469</stp>
        <tr r="C15" s="30"/>
      </tp>
      <tp t="e">
        <v>#N/A</v>
        <stp/>
        <stp>BDH|5768556032241665325</stp>
        <tr r="W48" s="18"/>
      </tp>
      <tp t="e">
        <v>#N/A</v>
        <stp/>
        <stp>BDH|2779129203883115137</stp>
        <tr r="U32" s="14"/>
      </tp>
      <tp t="e">
        <v>#N/A</v>
        <stp/>
        <stp>BDH|2908531270278601983</stp>
        <tr r="H11" s="12"/>
      </tp>
      <tp t="e">
        <v>#N/A</v>
        <stp/>
        <stp>BDH|5105298841355987743</stp>
        <tr r="T135" s="18"/>
      </tp>
      <tp t="e">
        <v>#N/A</v>
        <stp/>
        <stp>BDH|2188472690828336611</stp>
        <tr r="G19" s="9"/>
      </tp>
      <tp t="e">
        <v>#N/A</v>
        <stp/>
        <stp>BDH|6717916470201746852</stp>
        <tr r="S53" s="17"/>
      </tp>
      <tp t="e">
        <v>#N/A</v>
        <stp/>
        <stp>BDH|7923685727622061024</stp>
        <tr r="S19" s="25"/>
      </tp>
      <tp t="e">
        <v>#N/A</v>
        <stp/>
        <stp>BDH|7812487340753746536</stp>
        <tr r="H43" s="34"/>
      </tp>
      <tp t="e">
        <v>#N/A</v>
        <stp/>
        <stp>BDH|7174720000461272056</stp>
        <tr r="P76" s="12"/>
      </tp>
      <tp t="e">
        <v>#N/A</v>
        <stp/>
        <stp>BDH|2753305848493965727</stp>
        <tr r="R38" s="6"/>
      </tp>
      <tp t="e">
        <v>#N/A</v>
        <stp/>
        <stp>BDH|5632028732033095427</stp>
        <tr r="H45" s="17"/>
      </tp>
      <tp t="e">
        <v>#N/A</v>
        <stp/>
        <stp>BDH|3448204037521184268</stp>
        <tr r="E38" s="22"/>
      </tp>
      <tp t="e">
        <v>#N/A</v>
        <stp/>
        <stp>BDH|4271703627661117104</stp>
        <tr r="R11" s="14"/>
      </tp>
      <tp t="e">
        <v>#N/A</v>
        <stp/>
        <stp>BDH|4011411502649673816</stp>
        <tr r="G22" s="18"/>
      </tp>
      <tp t="e">
        <v>#N/A</v>
        <stp/>
        <stp>BDH|6308526264673420755</stp>
        <tr r="Q12" s="13"/>
      </tp>
      <tp t="e">
        <v>#N/A</v>
        <stp/>
        <stp>BDH|3988443761936956610</stp>
        <tr r="W34" s="34"/>
      </tp>
      <tp t="e">
        <v>#N/A</v>
        <stp/>
        <stp>BDH|5348106145764074525</stp>
        <tr r="F84" s="18"/>
      </tp>
      <tp t="e">
        <v>#N/A</v>
        <stp/>
        <stp>BDH|2224496161365804461</stp>
        <tr r="U73" s="24"/>
      </tp>
      <tp t="e">
        <v>#N/A</v>
        <stp/>
        <stp>BDH|6946295207133277611</stp>
        <tr r="K62" s="17"/>
      </tp>
      <tp t="e">
        <v>#N/A</v>
        <stp/>
        <stp>BDH|1181853192297166639</stp>
        <tr r="R29" s="6"/>
      </tp>
      <tp t="e">
        <v>#N/A</v>
        <stp/>
        <stp>BDH|9461416201828495448</stp>
        <tr r="V17" s="18"/>
      </tp>
      <tp t="e">
        <v>#N/A</v>
        <stp/>
        <stp>BDH|5382288886849938702</stp>
        <tr r="I128" s="18"/>
      </tp>
      <tp t="e">
        <v>#N/A</v>
        <stp/>
        <stp>BDH|4663623445513487411</stp>
        <tr r="W26" s="26"/>
      </tp>
      <tp t="e">
        <v>#N/A</v>
        <stp/>
        <stp>BDH|8558192389882817296</stp>
        <tr r="G13" s="17"/>
        <tr r="G16" s="28"/>
      </tp>
      <tp t="e">
        <v>#N/A</v>
        <stp/>
        <stp>BDH|2915786553256667708</stp>
        <tr r="C46" s="13"/>
      </tp>
      <tp t="e">
        <v>#N/A</v>
        <stp/>
        <stp>BDH|7922540848965741264</stp>
        <tr r="N27" s="12"/>
      </tp>
      <tp t="e">
        <v>#N/A</v>
        <stp/>
        <stp>BDH|7318300575253387111</stp>
        <tr r="H129" s="18"/>
      </tp>
      <tp t="e">
        <v>#N/A</v>
        <stp/>
        <stp>BDH|1206684348846359453</stp>
        <tr r="X10" s="4"/>
        <tr r="W6" s="16"/>
        <tr r="Z6" s="3"/>
        <tr r="X6" s="11"/>
      </tp>
      <tp t="e">
        <v>#N/A</v>
        <stp/>
        <stp>BDH|2493153392733277857</stp>
        <tr r="F30" s="34"/>
      </tp>
      <tp t="e">
        <v>#N/A</v>
        <stp/>
        <stp>BDH|4659583906674456488</stp>
        <tr r="X29" s="34"/>
      </tp>
      <tp t="e">
        <v>#N/A</v>
        <stp/>
        <stp>BDH|6400259228906850158</stp>
        <tr r="E65" s="17"/>
      </tp>
      <tp t="e">
        <v>#N/A</v>
        <stp/>
        <stp>BDH|7816861357008546389</stp>
        <tr r="Y31" s="34"/>
      </tp>
      <tp t="e">
        <v>#N/A</v>
        <stp/>
        <stp>BDH|9749550335406449879</stp>
        <tr r="P73" s="12"/>
      </tp>
      <tp t="e">
        <v>#N/A</v>
        <stp/>
        <stp>BDH|2095746969006134481</stp>
        <tr r="N26" s="14"/>
      </tp>
      <tp t="e">
        <v>#N/A</v>
        <stp/>
        <stp>BDH|6697581614733875064</stp>
        <tr r="Y68" s="17"/>
      </tp>
      <tp t="e">
        <v>#N/A</v>
        <stp/>
        <stp>BDH|3715213743832363623</stp>
        <tr r="S32" s="12"/>
      </tp>
      <tp t="e">
        <v>#N/A</v>
        <stp/>
        <stp>BDH|7455329931637557160</stp>
        <tr r="X72" s="17"/>
      </tp>
      <tp t="e">
        <v>#N/A</v>
        <stp/>
        <stp>BDH|7320614964103310519</stp>
        <tr r="P25" s="34"/>
      </tp>
      <tp t="e">
        <v>#N/A</v>
        <stp/>
        <stp>BDH|3493634723232711470</stp>
        <tr r="J64" s="18"/>
      </tp>
      <tp t="e">
        <v>#N/A</v>
        <stp/>
        <stp>BDH|2617243541240313550</stp>
        <tr r="R25" s="7"/>
      </tp>
      <tp t="e">
        <v>#N/A</v>
        <stp/>
        <stp>BDH|4289158675635640613</stp>
        <tr r="Z19" s="12"/>
      </tp>
      <tp t="e">
        <v>#N/A</v>
        <stp/>
        <stp>BDH|5068821498432953767</stp>
        <tr r="Y37" s="10"/>
        <tr r="Y29" s="11"/>
        <tr r="AA41" s="13"/>
      </tp>
      <tp t="e">
        <v>#N/A</v>
        <stp/>
        <stp>BDH|6325186161537684799</stp>
        <tr r="J9" s="29"/>
      </tp>
      <tp t="e">
        <v>#N/A</v>
        <stp/>
        <stp>BDH|8551854841352520710</stp>
        <tr r="S13" s="7"/>
      </tp>
      <tp t="e">
        <v>#N/A</v>
        <stp/>
        <stp>BDH|1126930812628341060</stp>
        <tr r="K27" s="6"/>
      </tp>
      <tp t="e">
        <v>#N/A</v>
        <stp/>
        <stp>BDH|2474043507004564771</stp>
        <tr r="U136" s="18"/>
      </tp>
      <tp t="e">
        <v>#N/A</v>
        <stp/>
        <stp>BDH|2950039669766295341</stp>
        <tr r="M42" s="22"/>
      </tp>
      <tp t="e">
        <v>#N/A</v>
        <stp/>
        <stp>BDH|3790507514730093663</stp>
        <tr r="K9" s="3"/>
        <tr r="I51" s="10"/>
        <tr r="I43" s="11"/>
        <tr r="I14" s="7"/>
      </tp>
      <tp t="e">
        <v>#N/A</v>
        <stp/>
        <stp>BDH|9125601259523905845</stp>
        <tr r="E114" s="18"/>
      </tp>
      <tp t="e">
        <v>#N/A</v>
        <stp/>
        <stp>BDH|5806674279124422175</stp>
        <tr r="S6" s="19"/>
        <tr r="S35" s="17"/>
        <tr r="S16" s="3"/>
      </tp>
      <tp t="e">
        <v>#N/A</v>
        <stp/>
        <stp>BDH|3512395788538354121</stp>
        <tr r="Q12" s="26"/>
      </tp>
      <tp t="e">
        <v>#N/A</v>
        <stp/>
        <stp>BDH|1079986717651338991</stp>
        <tr r="M41" s="10"/>
        <tr r="M33" s="11"/>
      </tp>
      <tp t="e">
        <v>#N/A</v>
        <stp/>
        <stp>BDH|8668955814495551477</stp>
        <tr r="S18" s="14"/>
      </tp>
      <tp t="e">
        <v>#N/A</v>
        <stp/>
        <stp>BDH|1071511657596044632</stp>
        <tr r="AA13" s="13"/>
      </tp>
      <tp t="e">
        <v>#N/A</v>
        <stp/>
        <stp>BDH|9301322660259004444</stp>
        <tr r="R30" s="25"/>
        <tr r="R16" s="27"/>
      </tp>
      <tp t="e">
        <v>#N/A</v>
        <stp/>
        <stp>BDH|2791668741208406917</stp>
        <tr r="AA27" s="21"/>
      </tp>
      <tp t="e">
        <v>#N/A</v>
        <stp/>
        <stp>BDH|1321349236869278960</stp>
        <tr r="E28" s="17"/>
      </tp>
      <tp t="e">
        <v>#N/A</v>
        <stp/>
        <stp>BDH|1690446321313534538</stp>
        <tr r="AA51" s="18"/>
      </tp>
      <tp t="e">
        <v>#N/A</v>
        <stp/>
        <stp>BDH|7007411810174311776</stp>
        <tr r="O43" s="13"/>
      </tp>
      <tp t="e">
        <v>#N/A</v>
        <stp/>
        <stp>BDH|5186818484614432053</stp>
        <tr r="G109" s="18"/>
      </tp>
      <tp t="e">
        <v>#N/A</v>
        <stp/>
        <stp>BDH|9407897647295654199</stp>
        <tr r="I14" s="23"/>
      </tp>
      <tp t="e">
        <v>#N/A</v>
        <stp/>
        <stp>BDH|3123438074851538068</stp>
        <tr r="O20" s="23"/>
      </tp>
      <tp t="e">
        <v>#N/A</v>
        <stp/>
        <stp>BDH|5568010576313158068</stp>
        <tr r="L76" s="12"/>
      </tp>
      <tp t="e">
        <v>#N/A</v>
        <stp/>
        <stp>BDH|5900695953445104279</stp>
        <tr r="V78" s="18"/>
      </tp>
      <tp t="e">
        <v>#N/A</v>
        <stp/>
        <stp>BDH|9871915303968960966</stp>
        <tr r="I44" s="6"/>
      </tp>
      <tp t="e">
        <v>#N/A</v>
        <stp/>
        <stp>BDH|3511726560300361319</stp>
        <tr r="H79" s="12"/>
      </tp>
      <tp t="e">
        <v>#N/A</v>
        <stp/>
        <stp>BDH|1487150428447511496</stp>
        <tr r="Z15" s="30"/>
      </tp>
      <tp t="e">
        <v>#N/A</v>
        <stp/>
        <stp>BDH|8264847357477172359</stp>
        <tr r="O13" s="11"/>
      </tp>
      <tp t="e">
        <v>#N/A</v>
        <stp/>
        <stp>BDH|4576803184821576410</stp>
        <tr r="G92" s="17"/>
        <tr r="G13" s="28"/>
      </tp>
      <tp t="e">
        <v>#N/A</v>
        <stp/>
        <stp>BDH|4794915993072024705</stp>
        <tr r="Z110" s="18"/>
      </tp>
      <tp t="e">
        <v>#N/A</v>
        <stp/>
        <stp>BDH|9498320982490936385</stp>
        <tr r="C24" s="17"/>
      </tp>
      <tp t="e">
        <v>#N/A</v>
        <stp/>
        <stp>BDH|4145638073590663424</stp>
        <tr r="Y9" s="13"/>
      </tp>
      <tp t="e">
        <v>#N/A</v>
        <stp/>
        <stp>BDH|2373633849511582093</stp>
        <tr r="I80" s="12"/>
      </tp>
      <tp t="e">
        <v>#N/A</v>
        <stp/>
        <stp>BDH|3048107612613577128</stp>
        <tr r="T58" s="13"/>
      </tp>
      <tp t="e">
        <v>#N/A</v>
        <stp/>
        <stp>BDH|7125757008444198582</stp>
        <tr r="X19" s="6"/>
      </tp>
      <tp t="e">
        <v>#N/A</v>
        <stp/>
        <stp>BDH|1514853902841224955</stp>
        <tr r="W48" s="17"/>
      </tp>
      <tp t="e">
        <v>#N/A</v>
        <stp/>
        <stp>BDH|4413467312893472314</stp>
        <tr r="L18" s="25"/>
      </tp>
      <tp t="e">
        <v>#N/A</v>
        <stp/>
        <stp>BDH|9112956447495174079</stp>
        <tr r="X45" s="18"/>
      </tp>
      <tp t="e">
        <v>#N/A</v>
        <stp/>
        <stp>BDH|6175994410899424695</stp>
        <tr r="S22" s="17"/>
      </tp>
      <tp t="e">
        <v>#N/A</v>
        <stp/>
        <stp>BDH|1201549202670251535</stp>
        <tr r="AA43" s="13"/>
      </tp>
      <tp t="e">
        <v>#N/A</v>
        <stp/>
        <stp>BDH|2829383304993552342</stp>
        <tr r="U15" s="30"/>
      </tp>
      <tp t="e">
        <v>#N/A</v>
        <stp/>
        <stp>BDH|3709813580600094233</stp>
        <tr r="I12" s="6"/>
      </tp>
      <tp t="e">
        <v>#N/A</v>
        <stp/>
        <stp>BDH|4416962913708197552</stp>
        <tr r="AA64" s="18"/>
      </tp>
      <tp t="e">
        <v>#N/A</v>
        <stp/>
        <stp>BDH|5487236374380246146</stp>
        <tr r="P39" s="4"/>
        <tr r="P66" s="10"/>
      </tp>
      <tp t="e">
        <v>#N/A</v>
        <stp/>
        <stp>BDH|7372748238150801220</stp>
        <tr r="V34" s="5"/>
        <tr r="W32" s="29"/>
      </tp>
      <tp t="e">
        <v>#N/A</v>
        <stp/>
        <stp>BDH|4186100175164521745</stp>
        <tr r="N68" s="17"/>
      </tp>
      <tp t="e">
        <v>#N/A</v>
        <stp/>
        <stp>BDH|9520243367124582866</stp>
        <tr r="U140" s="18"/>
      </tp>
      <tp t="e">
        <v>#N/A</v>
        <stp/>
        <stp>BDH|3774650970734171769</stp>
        <tr r="G13" s="11"/>
      </tp>
      <tp t="e">
        <v>#N/A</v>
        <stp/>
        <stp>BDH|37233283214357220</stp>
        <tr r="T48" s="22"/>
      </tp>
      <tp t="e">
        <v>#N/A</v>
        <stp/>
        <stp>BDH|54956184314796999</stp>
        <tr r="S22" s="30"/>
        <tr r="S24" s="23"/>
      </tp>
      <tp t="e">
        <v>#N/A</v>
        <stp/>
        <stp>BDH|79551057138140494</stp>
        <tr r="T24" s="21"/>
      </tp>
      <tp t="e">
        <v>#N/A</v>
        <stp/>
        <stp>BDH|98227648353092906</stp>
        <tr r="Q65" s="18"/>
      </tp>
      <tp t="e">
        <v>#N/A</v>
        <stp/>
        <stp>BDH|6284900597924987068</stp>
        <tr r="O10" s="17"/>
      </tp>
      <tp t="e">
        <v>#N/A</v>
        <stp/>
        <stp>BDH|1333197575276753322</stp>
        <tr r="U7" s="34"/>
      </tp>
      <tp t="e">
        <v>#N/A</v>
        <stp/>
        <stp>BDH|3979209221790095120</stp>
        <tr r="T16" s="11"/>
      </tp>
      <tp t="e">
        <v>#N/A</v>
        <stp/>
        <stp>BDH|7737297676580459064</stp>
        <tr r="S10" s="18"/>
      </tp>
      <tp t="e">
        <v>#N/A</v>
        <stp/>
        <stp>BDH|4998756373081172748</stp>
        <tr r="E23" s="2"/>
        <tr r="G18" s="21"/>
        <tr r="G23" s="3"/>
      </tp>
      <tp t="e">
        <v>#N/A</v>
        <stp/>
        <stp>BDH|9918361132393232853</stp>
        <tr r="N43" s="13"/>
      </tp>
      <tp t="e">
        <v>#N/A</v>
        <stp/>
        <stp>BDH|3344875629223268856</stp>
        <tr r="L16" s="12"/>
      </tp>
      <tp t="e">
        <v>#N/A</v>
        <stp/>
        <stp>BDH|2670455008596349221</stp>
        <tr r="W105" s="18"/>
      </tp>
      <tp t="e">
        <v>#N/A</v>
        <stp/>
        <stp>BDH|9095499938799359580</stp>
        <tr r="E67" s="12"/>
      </tp>
      <tp t="e">
        <v>#N/A</v>
        <stp/>
        <stp>BDH|1564372828772646065</stp>
        <tr r="M29" s="21"/>
      </tp>
      <tp t="e">
        <v>#N/A</v>
        <stp/>
        <stp>BDH|6689590631356695420</stp>
        <tr r="E18" s="29"/>
        <tr r="E41" s="29"/>
      </tp>
      <tp t="e">
        <v>#N/A</v>
        <stp/>
        <stp>BDH|6615300768776023740</stp>
        <tr r="I41" s="24"/>
      </tp>
      <tp t="e">
        <v>#N/A</v>
        <stp/>
        <stp>BDH|9193909945022657481</stp>
        <tr r="Z11" s="14"/>
      </tp>
      <tp t="e">
        <v>#N/A</v>
        <stp/>
        <stp>BDH|9609716634687958801</stp>
        <tr r="O29" s="21"/>
      </tp>
      <tp t="e">
        <v>#N/A</v>
        <stp/>
        <stp>BDH|7316180015517753236</stp>
        <tr r="E16" s="17"/>
        <tr r="E19" s="28"/>
      </tp>
      <tp t="e">
        <v>#N/A</v>
        <stp/>
        <stp>BDH|6452980882556062341</stp>
        <tr r="X18" s="18"/>
      </tp>
      <tp t="e">
        <v>#N/A</v>
        <stp/>
        <stp>BDH|1717389233747715417</stp>
        <tr r="R15" s="18"/>
      </tp>
      <tp t="e">
        <v>#N/A</v>
        <stp/>
        <stp>BDH|1496254226742805153</stp>
        <tr r="J12" s="18"/>
      </tp>
      <tp t="e">
        <v>#N/A</v>
        <stp/>
        <stp>BDH|4739687804032991284</stp>
        <tr r="D27" s="34"/>
      </tp>
      <tp t="e">
        <v>#N/A</v>
        <stp/>
        <stp>BDH|1270686920194309339</stp>
        <tr r="R32" s="9"/>
      </tp>
      <tp t="e">
        <v>#N/A</v>
        <stp/>
        <stp>BDH|9629450266861936861</stp>
        <tr r="U90" s="18"/>
      </tp>
      <tp t="e">
        <v>#N/A</v>
        <stp/>
        <stp>BDH|2213369778131311553</stp>
        <tr r="AA39" s="25"/>
        <tr r="AA7" s="3"/>
        <tr r="Y18" s="11"/>
        <tr r="AA22" s="13"/>
        <tr r="AA7" s="13"/>
      </tp>
      <tp t="e">
        <v>#N/A</v>
        <stp/>
        <stp>BDH|4217572538164198460</stp>
        <tr r="U32" s="21"/>
      </tp>
      <tp t="e">
        <v>#N/A</v>
        <stp/>
        <stp>BDH|8087975828674205570</stp>
        <tr r="Q52" s="6"/>
        <tr r="S9" s="8"/>
      </tp>
      <tp t="e">
        <v>#N/A</v>
        <stp/>
        <stp>BDH|5273392771385097604</stp>
        <tr r="R49" s="18"/>
      </tp>
      <tp t="e">
        <v>#N/A</v>
        <stp/>
        <stp>BDH|6691414956700335583</stp>
        <tr r="C38" s="6"/>
      </tp>
      <tp t="e">
        <v>#N/A</v>
        <stp/>
        <stp>BDH|3709749946605877775</stp>
        <tr r="R84" s="12"/>
      </tp>
      <tp t="e">
        <v>#N/A</v>
        <stp/>
        <stp>BDH|5416664061944926302</stp>
        <tr r="D13" s="8"/>
      </tp>
      <tp t="e">
        <v>#N/A</v>
        <stp/>
        <stp>BDH|7041384722624396033</stp>
        <tr r="P20" s="29"/>
      </tp>
      <tp t="e">
        <v>#N/A</v>
        <stp/>
        <stp>BDH|2975388020281885039</stp>
        <tr r="H15" s="17"/>
        <tr r="H18" s="28"/>
      </tp>
      <tp t="e">
        <v>#N/A</v>
        <stp/>
        <stp>BDH|5184097558472251081</stp>
        <tr r="W41" s="12"/>
      </tp>
      <tp t="e">
        <v>#N/A</v>
        <stp/>
        <stp>BDH|2546461824596986047</stp>
        <tr r="W16" s="23"/>
      </tp>
      <tp t="e">
        <v>#N/A</v>
        <stp/>
        <stp>BDH|9048831294802918843</stp>
        <tr r="P43" s="4"/>
      </tp>
      <tp t="e">
        <v>#N/A</v>
        <stp/>
        <stp>BDH|8589262111689969015</stp>
        <tr r="M72" s="12"/>
      </tp>
      <tp t="e">
        <v>#N/A</v>
        <stp/>
        <stp>BDH|1031927218932200923</stp>
        <tr r="P18" s="5"/>
        <tr r="P41" s="6"/>
      </tp>
      <tp t="e">
        <v>#N/A</v>
        <stp/>
        <stp>BDH|1148328487790744891</stp>
        <tr r="C34" s="17"/>
      </tp>
      <tp t="e">
        <v>#N/A</v>
        <stp/>
        <stp>BDH|6693773366380849553</stp>
        <tr r="J40" s="34"/>
      </tp>
      <tp t="e">
        <v>#N/A</v>
        <stp/>
        <stp>BDH|3587624218184206273</stp>
        <tr r="T24" s="5"/>
      </tp>
      <tp t="e">
        <v>#N/A</v>
        <stp/>
        <stp>BDH|6467647599058621343</stp>
        <tr r="D12" s="17"/>
      </tp>
      <tp t="e">
        <v>#N/A</v>
        <stp/>
        <stp>BDH|7644414033654807675</stp>
        <tr r="M32" s="21"/>
      </tp>
      <tp t="e">
        <v>#N/A</v>
        <stp/>
        <stp>BDH|2774296669346882248</stp>
        <tr r="Z22" s="24"/>
      </tp>
      <tp t="e">
        <v>#N/A</v>
        <stp/>
        <stp>BDH|6770506128767663422</stp>
        <tr r="I90" s="18"/>
      </tp>
      <tp t="e">
        <v>#N/A</v>
        <stp/>
        <stp>BDH|7786698991078530211</stp>
        <tr r="F43" s="13"/>
      </tp>
      <tp t="e">
        <v>#N/A</v>
        <stp/>
        <stp>BDH|9771611183990950578</stp>
        <tr r="W68" s="10"/>
      </tp>
      <tp t="e">
        <v>#N/A</v>
        <stp/>
        <stp>BDH|3445044925105831667</stp>
        <tr r="C21" s="11"/>
      </tp>
      <tp t="e">
        <v>#N/A</v>
        <stp/>
        <stp>BDH|1289056924026838708</stp>
        <tr r="C32" s="21"/>
      </tp>
      <tp t="e">
        <v>#N/A</v>
        <stp/>
        <stp>BDH|6142452659490619507</stp>
        <tr r="D118" s="18"/>
      </tp>
      <tp t="e">
        <v>#N/A</v>
        <stp/>
        <stp>BDH|9126848403804575781</stp>
        <tr r="O11" s="7"/>
      </tp>
      <tp t="e">
        <v>#N/A</v>
        <stp/>
        <stp>BDH|4881139820250966591</stp>
        <tr r="L34" s="29"/>
      </tp>
      <tp t="e">
        <v>#N/A</v>
        <stp/>
        <stp>BDH|1446968388082328029</stp>
        <tr r="J16" s="23"/>
      </tp>
      <tp t="e">
        <v>#N/A</v>
        <stp/>
        <stp>BDH|6644316541791408292</stp>
        <tr r="E67" s="10"/>
      </tp>
      <tp t="e">
        <v>#N/A</v>
        <stp/>
        <stp>BDH|4071682418470979121</stp>
        <tr r="Z61" s="17"/>
      </tp>
      <tp t="e">
        <v>#N/A</v>
        <stp/>
        <stp>BDH|4127427662064839020</stp>
        <tr r="L116" s="18"/>
      </tp>
      <tp t="e">
        <v>#N/A</v>
        <stp/>
        <stp>BDH|2612938599798195861</stp>
        <tr r="O28" s="22"/>
      </tp>
      <tp t="e">
        <v>#N/A</v>
        <stp/>
        <stp>BDH|6648268820656934220</stp>
        <tr r="Y26" s="34"/>
      </tp>
      <tp t="e">
        <v>#N/A</v>
        <stp/>
        <stp>BDH|9471582270821619815</stp>
        <tr r="L69" s="17"/>
      </tp>
      <tp t="e">
        <v>#N/A</v>
        <stp/>
        <stp>BDH|9211882369010136598</stp>
        <tr r="Z11" s="17"/>
      </tp>
      <tp t="e">
        <v>#N/A</v>
        <stp/>
        <stp>BDH|9642443494354994245</stp>
        <tr r="Y8" s="21"/>
      </tp>
      <tp t="e">
        <v>#N/A</v>
        <stp/>
        <stp>BDH|1920400141657498475</stp>
        <tr r="O10" s="18"/>
      </tp>
      <tp t="e">
        <v>#N/A</v>
        <stp/>
        <stp>BDH|3180770495007873804</stp>
        <tr r="F123" s="18"/>
      </tp>
      <tp t="e">
        <v>#N/A</v>
        <stp/>
        <stp>BDH|4608369660423903026</stp>
        <tr r="R56" s="24"/>
      </tp>
      <tp t="e">
        <v>#N/A</v>
        <stp/>
        <stp>BDH|2825901996990273077</stp>
        <tr r="C28" s="25"/>
        <tr r="C14" s="27"/>
      </tp>
      <tp t="e">
        <v>#N/A</v>
        <stp/>
        <stp>BDH|4468932629999400417</stp>
        <tr r="P22" s="17"/>
      </tp>
      <tp t="e">
        <v>#N/A</v>
        <stp/>
        <stp>BDH|2872561433361084760</stp>
        <tr r="U12" s="13"/>
      </tp>
      <tp t="e">
        <v>#N/A</v>
        <stp/>
        <stp>BDH|7511637071266412288</stp>
        <tr r="K70" s="17"/>
      </tp>
      <tp t="e">
        <v>#N/A</v>
        <stp/>
        <stp>BDH|5108579701450468286</stp>
        <tr r="K17" s="5"/>
        <tr r="K36" s="6"/>
      </tp>
      <tp t="e">
        <v>#N/A</v>
        <stp/>
        <stp>BDH|7688559945614822058</stp>
        <tr r="F16" s="12"/>
      </tp>
      <tp t="e">
        <v>#N/A</v>
        <stp/>
        <stp>BDH|6876108215487430325</stp>
        <tr r="F49" s="17"/>
      </tp>
      <tp t="e">
        <v>#N/A</v>
        <stp/>
        <stp>BDH|1367712288869113501</stp>
        <tr r="C81" s="17"/>
        <tr r="C20" s="3"/>
      </tp>
      <tp t="e">
        <v>#N/A</v>
        <stp/>
        <stp>BDH|1419629290444404890</stp>
        <tr r="AA61" s="24"/>
      </tp>
      <tp t="e">
        <v>#N/A</v>
        <stp/>
        <stp>BDH|9452877445113958449</stp>
        <tr r="E38" s="18"/>
      </tp>
      <tp t="e">
        <v>#N/A</v>
        <stp/>
        <stp>BDH|3830238470910453449</stp>
        <tr r="X41" s="17"/>
        <tr r="X9" s="25"/>
      </tp>
      <tp t="e">
        <v>#N/A</v>
        <stp/>
        <stp>BDH|3978748297058062717</stp>
        <tr r="C27" s="7"/>
      </tp>
      <tp t="e">
        <v>#N/A</v>
        <stp/>
        <stp>BDH|5655396957273296216</stp>
        <tr r="Q16" s="23"/>
      </tp>
      <tp t="e">
        <v>#N/A</v>
        <stp/>
        <stp>BDH|5404337175910865328</stp>
        <tr r="N8" s="17"/>
      </tp>
      <tp t="e">
        <v>#N/A</v>
        <stp/>
        <stp>BDH|1331086392563303923</stp>
        <tr r="O42" s="22"/>
      </tp>
      <tp t="e">
        <v>#N/A</v>
        <stp/>
        <stp>BDH|1070253703531655087</stp>
        <tr r="Q26" s="24"/>
      </tp>
      <tp t="e">
        <v>#N/A</v>
        <stp/>
        <stp>BDH|6722894345020052831</stp>
        <tr r="Y127" s="18"/>
      </tp>
      <tp t="e">
        <v>#N/A</v>
        <stp/>
        <stp>BDH|4013612309787912797</stp>
        <tr r="X60" s="13"/>
      </tp>
      <tp t="e">
        <v>#N/A</v>
        <stp/>
        <stp>BDH|5937270736681248724</stp>
        <tr r="R58" s="18"/>
      </tp>
      <tp t="e">
        <v>#N/A</v>
        <stp/>
        <stp>BDH|4834083971284174580</stp>
        <tr r="L91" s="24"/>
      </tp>
      <tp t="e">
        <v>#N/A</v>
        <stp/>
        <stp>BDH|7803386844133800142</stp>
        <tr r="L30" s="5"/>
        <tr r="L30" s="9"/>
      </tp>
      <tp t="e">
        <v>#N/A</v>
        <stp/>
        <stp>BDH|2707646388148576664</stp>
        <tr r="K46" s="21"/>
      </tp>
      <tp t="e">
        <v>#N/A</v>
        <stp/>
        <stp>BDH|8264000786966919459</stp>
        <tr r="J19" s="17"/>
      </tp>
      <tp t="e">
        <v>#N/A</v>
        <stp/>
        <stp>BDH|7429257579097359736</stp>
        <tr r="R8" s="22"/>
      </tp>
      <tp t="e">
        <v>#N/A</v>
        <stp/>
        <stp>BDH|3632668659414452653</stp>
        <tr r="Z41" s="21"/>
      </tp>
      <tp t="e">
        <v>#N/A</v>
        <stp/>
        <stp>BDH|5066372526636933009</stp>
        <tr r="X13" s="2"/>
      </tp>
      <tp t="e">
        <v>#N/A</v>
        <stp/>
        <stp>BDH|4110514287862747982</stp>
        <tr r="C19" s="11"/>
      </tp>
      <tp t="e">
        <v>#N/A</v>
        <stp/>
        <stp>BDH|7678367405181996742</stp>
        <tr r="R18" s="24"/>
      </tp>
      <tp t="e">
        <v>#N/A</v>
        <stp/>
        <stp>BDH|5108660151162637688</stp>
        <tr r="K60" s="11"/>
        <tr r="M19" s="23"/>
      </tp>
      <tp t="e">
        <v>#N/A</v>
        <stp/>
        <stp>BDH|7871860884166799352</stp>
        <tr r="R60" s="24"/>
      </tp>
      <tp t="e">
        <v>#N/A</v>
        <stp/>
        <stp>BDH|6271968392334652084</stp>
        <tr r="N8" s="34"/>
      </tp>
      <tp t="e">
        <v>#N/A</v>
        <stp/>
        <stp>BDH|9373173655446185986</stp>
        <tr r="E20" s="26"/>
      </tp>
      <tp t="e">
        <v>#N/A</v>
        <stp/>
        <stp>BDH|8761255378696489963</stp>
        <tr r="T35" s="4"/>
      </tp>
      <tp t="e">
        <v>#N/A</v>
        <stp/>
        <stp>BDH|5847474127870379131</stp>
        <tr r="Z48" s="21"/>
      </tp>
      <tp t="e">
        <v>#N/A</v>
        <stp/>
        <stp>BDH|8209478486330399693</stp>
        <tr r="N73" s="10"/>
        <tr r="N65" s="11"/>
      </tp>
      <tp t="e">
        <v>#N/A</v>
        <stp/>
        <stp>BDH|4919775371550762616</stp>
        <tr r="J12" s="25"/>
      </tp>
      <tp t="e">
        <v>#N/A</v>
        <stp/>
        <stp>BDH|3353746372835933458</stp>
        <tr r="Q84" s="24"/>
      </tp>
      <tp t="e">
        <v>#N/A</v>
        <stp/>
        <stp>BDH|5242411088453214800</stp>
        <tr r="O75" s="17"/>
        <tr r="L9" s="5"/>
        <tr r="L9" s="9"/>
      </tp>
      <tp t="e">
        <v>#N/A</v>
        <stp/>
        <stp>BDH|5950345326174528273</stp>
        <tr r="E13" s="26"/>
      </tp>
      <tp t="e">
        <v>#N/A</v>
        <stp/>
        <stp>BDH|3508786142243472123</stp>
        <tr r="L27" s="24"/>
      </tp>
      <tp t="e">
        <v>#N/A</v>
        <stp/>
        <stp>BDH|3024790728395053184</stp>
        <tr r="S8" s="6"/>
      </tp>
      <tp t="e">
        <v>#N/A</v>
        <stp/>
        <stp>BDH|7994324771769601859</stp>
        <tr r="X17" s="30"/>
      </tp>
      <tp t="e">
        <v>#N/A</v>
        <stp/>
        <stp>BDH|1430228026660185386</stp>
        <tr r="J12" s="14"/>
      </tp>
      <tp t="e">
        <v>#N/A</v>
        <stp/>
        <stp>BDH|4148403356616764194</stp>
        <tr r="K43" s="21"/>
      </tp>
      <tp t="e">
        <v>#N/A</v>
        <stp/>
        <stp>BDH|9763971463967299384</stp>
        <tr r="Z17" s="18"/>
      </tp>
      <tp t="e">
        <v>#N/A</v>
        <stp/>
        <stp>BDH|4482572557814591289</stp>
        <tr r="M51" s="24"/>
      </tp>
      <tp t="e">
        <v>#N/A</v>
        <stp/>
        <stp>BDH|7576364528131037523</stp>
        <tr r="H133" s="18"/>
      </tp>
      <tp t="e">
        <v>#N/A</v>
        <stp/>
        <stp>BDH|5909423632495408545</stp>
        <tr r="G42" s="4"/>
      </tp>
      <tp t="e">
        <v>#N/A</v>
        <stp/>
        <stp>BDH|5222904376250541985</stp>
        <tr r="E8" s="6"/>
      </tp>
      <tp t="e">
        <v>#N/A</v>
        <stp/>
        <stp>BDH|6625408916494023599</stp>
        <tr r="S61" s="18"/>
      </tp>
      <tp t="e">
        <v>#N/A</v>
        <stp/>
        <stp>BDH|8826662107995187915</stp>
        <tr r="AA124" s="18"/>
      </tp>
      <tp t="e">
        <v>#N/A</v>
        <stp/>
        <stp>BDH|1368988078468964538</stp>
        <tr r="W50" s="4"/>
      </tp>
      <tp t="e">
        <v>#N/A</v>
        <stp/>
        <stp>BDH|6685591407208746968</stp>
        <tr r="W77" s="18"/>
      </tp>
      <tp t="e">
        <v>#N/A</v>
        <stp/>
        <stp>BDH|6580271228072471678</stp>
        <tr r="Q36" s="21"/>
      </tp>
      <tp t="e">
        <v>#N/A</v>
        <stp/>
        <stp>BDH|8967949165976803390</stp>
        <tr r="Q26" s="10"/>
        <tr r="S32" s="13"/>
      </tp>
      <tp t="e">
        <v>#N/A</v>
        <stp/>
        <stp>BDH|4155898385546544015</stp>
        <tr r="Y50" s="17"/>
      </tp>
      <tp t="e">
        <v>#N/A</v>
        <stp/>
        <stp>BDH|1637338110701875042</stp>
        <tr r="R12" s="10"/>
      </tp>
      <tp t="e">
        <v>#N/A</v>
        <stp/>
        <stp>BDH|4909880829868734462</stp>
        <tr r="Y58" s="12"/>
      </tp>
      <tp t="e">
        <v>#N/A</v>
        <stp/>
        <stp>BDH|6088923516489569580</stp>
        <tr r="G28" s="25"/>
        <tr r="G14" s="27"/>
      </tp>
      <tp t="e">
        <v>#N/A</v>
        <stp/>
        <stp>BDH|2903561855867127722</stp>
        <tr r="R55" s="24"/>
      </tp>
      <tp t="e">
        <v>#N/A</v>
        <stp/>
        <stp>BDH|5322440538794354459</stp>
        <tr r="Z82" s="18"/>
      </tp>
      <tp t="e">
        <v>#N/A</v>
        <stp/>
        <stp>BDH|7877318613032331504</stp>
        <tr r="N45" s="13"/>
      </tp>
      <tp t="e">
        <v>#N/A</v>
        <stp/>
        <stp>BDH|7902019469043066084</stp>
        <tr r="I48" s="6"/>
      </tp>
      <tp t="e">
        <v>#N/A</v>
        <stp/>
        <stp>BDH|3898222676697437315</stp>
        <tr r="M14" s="22"/>
      </tp>
      <tp t="e">
        <v>#N/A</v>
        <stp/>
        <stp>BDH|4789827495641019693</stp>
        <tr r="L30" s="21"/>
      </tp>
      <tp t="e">
        <v>#N/A</v>
        <stp/>
        <stp>BDH|9721612122306412999</stp>
        <tr r="V15" s="17"/>
        <tr r="V18" s="28"/>
      </tp>
      <tp t="e">
        <v>#N/A</v>
        <stp/>
        <stp>BDH|3281515700237377392</stp>
        <tr r="H9" s="27"/>
      </tp>
      <tp t="e">
        <v>#N/A</v>
        <stp/>
        <stp>BDH|3724069659954305028</stp>
        <tr r="N29" s="29"/>
        <tr r="N7" s="29"/>
      </tp>
      <tp t="e">
        <v>#N/A</v>
        <stp/>
        <stp>BDH|9622065098272409058</stp>
        <tr r="R36" s="10"/>
        <tr r="R48" s="10"/>
        <tr r="R28" s="11"/>
        <tr r="R40" s="11"/>
      </tp>
      <tp t="e">
        <v>#N/A</v>
        <stp/>
        <stp>BDH|1295724926940812679</stp>
        <tr r="Q50" s="17"/>
      </tp>
      <tp t="e">
        <v>#N/A</v>
        <stp/>
        <stp>BDH|1910825412819101313</stp>
        <tr r="M53" s="18"/>
      </tp>
      <tp t="e">
        <v>#N/A</v>
        <stp/>
        <stp>BDH|1296888423028290127</stp>
        <tr r="R13" s="18"/>
      </tp>
      <tp t="e">
        <v>#N/A</v>
        <stp/>
        <stp>BDH|6764972901888806503</stp>
        <tr r="F25" s="14"/>
      </tp>
      <tp t="e">
        <v>#N/A</v>
        <stp/>
        <stp>BDH|4141724699399583164</stp>
        <tr r="K85" s="18"/>
      </tp>
      <tp t="e">
        <v>#N/A</v>
        <stp/>
        <stp>BDH|5630960224245493996</stp>
        <tr r="T27" s="34"/>
      </tp>
      <tp t="e">
        <v>#N/A</v>
        <stp/>
        <stp>BDH|4981625328146326490</stp>
        <tr r="AA13" s="30"/>
      </tp>
      <tp t="e">
        <v>#N/A</v>
        <stp/>
        <stp>BDH|5734747353146932308</stp>
        <tr r="P64" s="17"/>
      </tp>
      <tp t="e">
        <v>#N/A</v>
        <stp/>
        <stp>BDH|4326100208384688338</stp>
        <tr r="K36" s="4"/>
      </tp>
      <tp t="e">
        <v>#N/A</v>
        <stp/>
        <stp>BDH|6964454132260397338</stp>
        <tr r="V17" s="4"/>
        <tr r="X10" s="3"/>
        <tr r="V56" s="10"/>
        <tr r="V48" s="11"/>
        <tr r="V17" s="7"/>
        <tr r="X54" s="13"/>
      </tp>
      <tp t="e">
        <v>#N/A</v>
        <stp/>
        <stp>BDH|9185767499700994590</stp>
        <tr r="W28" s="26"/>
      </tp>
      <tp t="e">
        <v>#N/A</v>
        <stp/>
        <stp>BDH|8285861598862736953</stp>
        <tr r="J38" s="18"/>
      </tp>
      <tp t="e">
        <v>#N/A</v>
        <stp/>
        <stp>BDH|4181327848292283374</stp>
        <tr r="K89" s="18"/>
      </tp>
      <tp t="e">
        <v>#N/A</v>
        <stp/>
        <stp>BDH|6697504119081391125</stp>
        <tr r="U14" s="23"/>
      </tp>
      <tp t="e">
        <v>#N/A</v>
        <stp/>
        <stp>BDH|5448984291256777144</stp>
        <tr r="E40" s="34"/>
      </tp>
      <tp t="e">
        <v>#N/A</v>
        <stp/>
        <stp>BDH|3565401208436362305</stp>
        <tr r="W30" s="26"/>
      </tp>
      <tp t="e">
        <v>#N/A</v>
        <stp/>
        <stp>BDH|5122444815623826162</stp>
        <tr r="Y11" s="11"/>
      </tp>
      <tp t="e">
        <v>#N/A</v>
        <stp/>
        <stp>BDH|1645840476105336995</stp>
        <tr r="O12" s="11"/>
      </tp>
      <tp t="e">
        <v>#N/A</v>
        <stp/>
        <stp>BDH|1152885036531018917</stp>
        <tr r="Z21" s="17"/>
        <tr r="Z15" s="3"/>
      </tp>
      <tp t="e">
        <v>#N/A</v>
        <stp/>
        <stp>BDH|4400990389606353191</stp>
        <tr r="R85" s="18"/>
      </tp>
      <tp t="e">
        <v>#N/A</v>
        <stp/>
        <stp>BDH|3403123607767662797</stp>
        <tr r="W59" s="11"/>
        <tr r="Y15" s="23"/>
      </tp>
      <tp t="e">
        <v>#N/A</v>
        <stp/>
        <stp>BDH|1326664753263828303</stp>
        <tr r="C21" s="4"/>
      </tp>
      <tp t="e">
        <v>#N/A</v>
        <stp/>
        <stp>BDH|6811118520281167668</stp>
        <tr r="K139" s="18"/>
      </tp>
      <tp t="e">
        <v>#N/A</v>
        <stp/>
        <stp>BDH|1660452518144200271</stp>
        <tr r="X48" s="21"/>
      </tp>
      <tp t="e">
        <v>#N/A</v>
        <stp/>
        <stp>BDH|1674587872498159935</stp>
        <tr r="AA77" s="24"/>
      </tp>
      <tp t="e">
        <v>#N/A</v>
        <stp/>
        <stp>BDH|6571543228640762303</stp>
        <tr r="E89" s="17"/>
        <tr r="E34" s="25"/>
      </tp>
      <tp t="e">
        <v>#N/A</v>
        <stp/>
        <stp>BDH|6164102237935824308</stp>
        <tr r="Z73" s="18"/>
      </tp>
      <tp t="e">
        <v>#N/A</v>
        <stp/>
        <stp>BDH|6534257131022716782</stp>
        <tr r="Y50" s="13"/>
      </tp>
      <tp t="e">
        <v>#N/A</v>
        <stp/>
        <stp>BDH|3560415722231958613</stp>
        <tr r="AA39" s="12"/>
      </tp>
      <tp t="e">
        <v>#N/A</v>
        <stp/>
        <stp>BDH|3668197324552370064</stp>
        <tr r="J38" s="25"/>
      </tp>
      <tp t="e">
        <v>#N/A</v>
        <stp/>
        <stp>BDH|4722222068441140326</stp>
        <tr r="W96" s="18"/>
      </tp>
      <tp t="e">
        <v>#N/A</v>
        <stp/>
        <stp>BDH|4958167772963159328</stp>
        <tr r="O15" s="21"/>
      </tp>
      <tp t="e">
        <v>#N/A</v>
        <stp/>
        <stp>BDH|9888639657629280109</stp>
        <tr r="X25" s="12"/>
      </tp>
      <tp t="e">
        <v>#N/A</v>
        <stp/>
        <stp>BDH|1753497783328691751</stp>
        <tr r="R7" s="24"/>
      </tp>
      <tp t="e">
        <v>#N/A</v>
        <stp/>
        <stp>BDH|3888500510296024361</stp>
        <tr r="M14" s="8"/>
      </tp>
      <tp t="e">
        <v>#N/A</v>
        <stp/>
        <stp>BDH|6237428551855929068</stp>
        <tr r="C22" s="7"/>
      </tp>
      <tp t="e">
        <v>#N/A</v>
        <stp/>
        <stp>BDH|9935057156538008648</stp>
        <tr r="T20" s="27"/>
      </tp>
      <tp t="e">
        <v>#N/A</v>
        <stp/>
        <stp>BDH|2572392555471201759</stp>
        <tr r="V18" s="22"/>
      </tp>
      <tp t="e">
        <v>#N/A</v>
        <stp/>
        <stp>BDH|7956268623266165331</stp>
        <tr r="Y107" s="18"/>
      </tp>
      <tp t="e">
        <v>#N/A</v>
        <stp/>
        <stp>BDH|2429194152112575648</stp>
        <tr r="AA40" s="21"/>
      </tp>
      <tp t="e">
        <v>#N/A</v>
        <stp/>
        <stp>BDH|7162280319903933577</stp>
        <tr r="F88" s="18"/>
      </tp>
      <tp t="e">
        <v>#N/A</v>
        <stp/>
        <stp>BDH|3157469746313703285</stp>
        <tr r="I46" s="24"/>
      </tp>
      <tp t="e">
        <v>#N/A</v>
        <stp/>
        <stp>BDH|7907034678475988752</stp>
        <tr r="D72" s="10"/>
        <tr r="D64" s="11"/>
      </tp>
      <tp t="e">
        <v>#N/A</v>
        <stp/>
        <stp>BDH|6030180606847098208</stp>
        <tr r="U49" s="13"/>
      </tp>
      <tp t="e">
        <v>#N/A</v>
        <stp/>
        <stp>BDH|4696925407566460992</stp>
        <tr r="P38" s="26"/>
      </tp>
      <tp t="e">
        <v>#N/A</v>
        <stp/>
        <stp>BDH|8040199525258327110</stp>
        <tr r="J19" s="25"/>
      </tp>
      <tp t="e">
        <v>#N/A</v>
        <stp/>
        <stp>BDH|5183515571332763784</stp>
        <tr r="C6" s="19"/>
        <tr r="C35" s="17"/>
        <tr r="C16" s="3"/>
      </tp>
      <tp t="e">
        <v>#N/A</v>
        <stp/>
        <stp>BDH|4108868367449620182</stp>
        <tr r="K33" s="6"/>
      </tp>
      <tp t="e">
        <v>#N/A</v>
        <stp/>
        <stp>BDH|4678503449727266039</stp>
        <tr r="D73" s="18"/>
      </tp>
      <tp t="e">
        <v>#N/A</v>
        <stp/>
        <stp>BDH|7981892038858350658</stp>
        <tr r="F65" s="21"/>
      </tp>
      <tp t="e">
        <v>#N/A</v>
        <stp/>
        <stp>BDH|3115577968922496049</stp>
        <tr r="L29" s="6"/>
      </tp>
      <tp t="e">
        <v>#N/A</v>
        <stp/>
        <stp>BDH|2794210668793711770</stp>
        <tr r="Z69" s="24"/>
      </tp>
      <tp t="e">
        <v>#N/A</v>
        <stp/>
        <stp>BDH|5865314597538118519</stp>
        <tr r="E10" s="22"/>
      </tp>
      <tp t="e">
        <v>#N/A</v>
        <stp/>
        <stp>BDH|4189691214078208907</stp>
        <tr r="P8" s="12"/>
      </tp>
      <tp t="e">
        <v>#N/A</v>
        <stp/>
        <stp>BDH|2581378342652662591</stp>
        <tr r="L23" s="23"/>
      </tp>
      <tp t="e">
        <v>#N/A</v>
        <stp/>
        <stp>BDH|6945115522065190249</stp>
        <tr r="K13" s="30"/>
      </tp>
      <tp t="e">
        <v>#N/A</v>
        <stp/>
        <stp>BDH|7255745096749761280</stp>
        <tr r="M23" s="25"/>
        <tr r="K20" s="11"/>
      </tp>
      <tp t="e">
        <v>#N/A</v>
        <stp/>
        <stp>BDH|1753482644633767036</stp>
        <tr r="H93" s="18"/>
      </tp>
      <tp t="e">
        <v>#N/A</v>
        <stp/>
        <stp>BDH|4932255022737505141</stp>
        <tr r="T13" s="22"/>
      </tp>
      <tp t="e">
        <v>#N/A</v>
        <stp/>
        <stp>BDH|1010010672850983451</stp>
        <tr r="N33" s="17"/>
      </tp>
      <tp t="e">
        <v>#N/A</v>
        <stp/>
        <stp>BDH|5965773015583751235</stp>
        <tr r="T24" s="2"/>
      </tp>
      <tp t="e">
        <v>#N/A</v>
        <stp/>
        <stp>BDH|9363842829346018715</stp>
        <tr r="Z58" s="12"/>
      </tp>
      <tp t="e">
        <v>#N/A</v>
        <stp/>
        <stp>BDH|6648615107131732380</stp>
        <tr r="Q56" s="17"/>
      </tp>
      <tp t="e">
        <v>#N/A</v>
        <stp/>
        <stp>BDH|2053454575595965661</stp>
        <tr r="C25" s="2"/>
        <tr r="E60" s="21"/>
      </tp>
      <tp t="e">
        <v>#N/A</v>
        <stp/>
        <stp>BDH|2005586568553850074</stp>
        <tr r="I10" s="10"/>
      </tp>
      <tp t="e">
        <v>#N/A</v>
        <stp/>
        <stp>BDH|5421272551178463895</stp>
        <tr r="U24" s="5"/>
      </tp>
      <tp t="e">
        <v>#N/A</v>
        <stp/>
        <stp>BDH|5556666519058566807</stp>
        <tr r="H43" s="29"/>
      </tp>
      <tp t="e">
        <v>#N/A</v>
        <stp/>
        <stp>BDH|9990541084903228541</stp>
        <tr r="F18" s="22"/>
      </tp>
      <tp t="e">
        <v>#N/A</v>
        <stp/>
        <stp>BDH|6495825086901831573</stp>
        <tr r="U27" s="25"/>
        <tr r="U13" s="27"/>
      </tp>
      <tp t="e">
        <v>#N/A</v>
        <stp/>
        <stp>BDH|9896542128938370480</stp>
        <tr r="X21" s="11"/>
      </tp>
      <tp t="e">
        <v>#N/A</v>
        <stp/>
        <stp>BDH|7755575278245035274</stp>
        <tr r="U23" s="17"/>
      </tp>
      <tp t="e">
        <v>#N/A</v>
        <stp/>
        <stp>BDH|6796970892861429596</stp>
        <tr r="H9" s="17"/>
      </tp>
      <tp t="e">
        <v>#N/A</v>
        <stp/>
        <stp>BDH|4195669938111471242</stp>
        <tr r="M67" s="24"/>
      </tp>
      <tp t="e">
        <v>#N/A</v>
        <stp/>
        <stp>BDH|5364942508708413645</stp>
        <tr r="F81" s="18"/>
      </tp>
      <tp t="e">
        <v>#N/A</v>
        <stp/>
        <stp>BDH|7514695361431559473</stp>
        <tr r="N20" s="24"/>
      </tp>
      <tp t="e">
        <v>#N/A</v>
        <stp/>
        <stp>BDH|7332482359480841457</stp>
        <tr r="Y80" s="24"/>
      </tp>
      <tp t="e">
        <v>#N/A</v>
        <stp/>
        <stp>BDH|8070880775597725256</stp>
        <tr r="V63" s="18"/>
      </tp>
      <tp t="e">
        <v>#N/A</v>
        <stp/>
        <stp>BDH|7044356199037183823</stp>
        <tr r="L18" s="2"/>
        <tr r="L53" s="4"/>
        <tr r="L46" s="10"/>
        <tr r="L38" s="11"/>
        <tr r="N51" s="13"/>
      </tp>
      <tp t="e">
        <v>#N/A</v>
        <stp/>
        <stp>BDH|3508097002692702368</stp>
        <tr r="M64" s="13"/>
      </tp>
      <tp t="e">
        <v>#N/A</v>
        <stp/>
        <stp>BDH|9948225965866718961</stp>
        <tr r="O6" s="19"/>
        <tr r="O35" s="17"/>
        <tr r="O16" s="3"/>
      </tp>
      <tp t="e">
        <v>#N/A</v>
        <stp/>
        <stp>BDH|7476015525443989466</stp>
        <tr r="Q24" s="4"/>
        <tr r="Q57" s="11"/>
      </tp>
      <tp t="e">
        <v>#N/A</v>
        <stp/>
        <stp>BDH|6030441943770886405</stp>
        <tr r="U28" s="10"/>
        <tr r="W34" s="13"/>
      </tp>
      <tp t="e">
        <v>#N/A</v>
        <stp/>
        <stp>BDH|1248967781061286380</stp>
        <tr r="C25" s="18"/>
      </tp>
      <tp t="e">
        <v>#N/A</v>
        <stp/>
        <stp>BDH|5098295708121637485</stp>
        <tr r="T10" s="17"/>
      </tp>
      <tp t="e">
        <v>#N/A</v>
        <stp/>
        <stp>BDH|5043984534865128820</stp>
        <tr r="Q25" s="12"/>
      </tp>
      <tp t="e">
        <v>#N/A</v>
        <stp/>
        <stp>BDH|4841029857423010022</stp>
        <tr r="N12" s="18"/>
      </tp>
      <tp t="e">
        <v>#N/A</v>
        <stp/>
        <stp>BDH|5758682051920114402</stp>
        <tr r="AA16" s="24"/>
      </tp>
      <tp t="e">
        <v>#N/A</v>
        <stp/>
        <stp>BDH|8137863316844679782</stp>
        <tr r="S32" s="17"/>
      </tp>
      <tp t="e">
        <v>#N/A</v>
        <stp/>
        <stp>BDH|2014192714811016126</stp>
        <tr r="D70" s="24"/>
      </tp>
      <tp t="e">
        <v>#N/A</v>
        <stp/>
        <stp>BDH|7935589198651336853</stp>
        <tr r="U35" s="12"/>
      </tp>
      <tp t="e">
        <v>#N/A</v>
        <stp/>
        <stp>BDH|2483846751014605982</stp>
        <tr r="N105" s="18"/>
      </tp>
      <tp t="e">
        <v>#N/A</v>
        <stp/>
        <stp>BDH|2797157606247285698</stp>
        <tr r="H11" s="21"/>
      </tp>
      <tp t="e">
        <v>#N/A</v>
        <stp/>
        <stp>BDH|3651538568830489261</stp>
        <tr r="J60" s="13"/>
      </tp>
      <tp t="e">
        <v>#N/A</v>
        <stp/>
        <stp>BDH|7556219267385464485</stp>
        <tr r="S8" s="27"/>
      </tp>
      <tp t="e">
        <v>#N/A</v>
        <stp/>
        <stp>BDH|1050892606459942298</stp>
        <tr r="L51" s="17"/>
        <tr r="L17" s="3"/>
      </tp>
      <tp t="e">
        <v>#N/A</v>
        <stp/>
        <stp>BDH|5069229215983102799</stp>
        <tr r="E22" s="14"/>
      </tp>
      <tp t="e">
        <v>#N/A</v>
        <stp/>
        <stp>BDH|1802051525386456738</stp>
        <tr r="W43" s="18"/>
      </tp>
      <tp t="e">
        <v>#N/A</v>
        <stp/>
        <stp>BDH|5149275633560893622</stp>
        <tr r="Z87" s="12"/>
      </tp>
      <tp t="e">
        <v>#N/A</v>
        <stp/>
        <stp>BDH|8641871951902743586</stp>
        <tr r="O69" s="24"/>
      </tp>
      <tp t="e">
        <v>#N/A</v>
        <stp/>
        <stp>BDH|4736659678346513139</stp>
        <tr r="X43" s="18"/>
      </tp>
      <tp t="e">
        <v>#N/A</v>
        <stp/>
        <stp>BDH|1454524615593712484</stp>
        <tr r="H35" s="22"/>
      </tp>
      <tp t="e">
        <v>#N/A</v>
        <stp/>
        <stp>BDH|1537166904716836430</stp>
        <tr r="R15" s="30"/>
      </tp>
      <tp t="e">
        <v>#N/A</v>
        <stp/>
        <stp>BDH|3367350933361963002</stp>
        <tr r="AA82" s="24"/>
      </tp>
      <tp t="e">
        <v>#N/A</v>
        <stp/>
        <stp>BDH|1637100560077969335</stp>
        <tr r="C14" s="23"/>
      </tp>
      <tp t="e">
        <v>#N/A</v>
        <stp/>
        <stp>BDH|5777763685728825002</stp>
        <tr r="J10" s="14"/>
      </tp>
      <tp t="e">
        <v>#N/A</v>
        <stp/>
        <stp>BDH|4047095512261533623</stp>
        <tr r="V42" s="22"/>
      </tp>
      <tp t="e">
        <v>#N/A</v>
        <stp/>
        <stp>BDH|8322187410108566221</stp>
        <tr r="G7" s="34"/>
      </tp>
      <tp t="e">
        <v>#N/A</v>
        <stp/>
        <stp>BDH|6845670505772449024</stp>
        <tr r="I69" s="24"/>
      </tp>
      <tp t="e">
        <v>#N/A</v>
        <stp/>
        <stp>BDH|7882786069916256270</stp>
        <tr r="L32" s="10"/>
        <tr r="L24" s="11"/>
      </tp>
      <tp t="e">
        <v>#N/A</v>
        <stp/>
        <stp>BDH|7375082927652216520</stp>
        <tr r="M51" s="12"/>
      </tp>
      <tp t="e">
        <v>#N/A</v>
        <stp/>
        <stp>BDH|9308525032408630590</stp>
        <tr r="I38" s="26"/>
      </tp>
      <tp t="e">
        <v>#N/A</v>
        <stp/>
        <stp>BDH|3970738872321190057</stp>
        <tr r="P14" s="6"/>
      </tp>
      <tp t="e">
        <v>#N/A</v>
        <stp/>
        <stp>BDH|5603235829401937697</stp>
        <tr r="U12" s="14"/>
      </tp>
      <tp t="e">
        <v>#N/A</v>
        <stp/>
        <stp>BDH|5018536405156938431</stp>
        <tr r="N87" s="24"/>
      </tp>
      <tp t="e">
        <v>#N/A</v>
        <stp/>
        <stp>BDH|8902931027753724260</stp>
        <tr r="G9" s="26"/>
      </tp>
      <tp t="e">
        <v>#N/A</v>
        <stp/>
        <stp>BDH|5946814811858497615</stp>
        <tr r="N13" s="10"/>
      </tp>
      <tp t="e">
        <v>#N/A</v>
        <stp/>
        <stp>BDH|6815702834022033207</stp>
        <tr r="O47" s="21"/>
      </tp>
      <tp t="e">
        <v>#N/A</v>
        <stp/>
        <stp>BDH|6706345859536132474</stp>
        <tr r="Y15" s="4"/>
      </tp>
      <tp t="e">
        <v>#N/A</v>
        <stp/>
        <stp>BDH|9913342481063429346</stp>
        <tr r="H7" s="11"/>
      </tp>
      <tp t="e">
        <v>#N/A</v>
        <stp/>
        <stp>BDH|8115881641082449402</stp>
        <tr r="C39" s="12"/>
      </tp>
      <tp t="e">
        <v>#N/A</v>
        <stp/>
        <stp>BDH|9805871147313033448</stp>
        <tr r="V21" s="17"/>
        <tr r="V15" s="3"/>
      </tp>
      <tp t="e">
        <v>#N/A</v>
        <stp/>
        <stp>BDH|6520096170642281122</stp>
        <tr r="T75" s="17"/>
        <tr r="Q9" s="5"/>
        <tr r="Q9" s="9"/>
      </tp>
      <tp t="e">
        <v>#N/A</v>
        <stp/>
        <stp>BDH|7329107007553110799</stp>
        <tr r="G6" s="27"/>
      </tp>
      <tp t="e">
        <v>#N/A</v>
        <stp/>
        <stp>BDH|5791113665518925866</stp>
        <tr r="X15" s="13"/>
      </tp>
      <tp t="e">
        <v>#N/A</v>
        <stp/>
        <stp>BDH|1844171996602600938</stp>
        <tr r="E32" s="5"/>
      </tp>
      <tp t="e">
        <v>#N/A</v>
        <stp/>
        <stp>BDH|1747323965023993555</stp>
        <tr r="D32" s="14"/>
      </tp>
      <tp t="e">
        <v>#N/A</v>
        <stp/>
        <stp>BDH|4870048803224063230</stp>
        <tr r="H82" s="12"/>
      </tp>
      <tp t="e">
        <v>#N/A</v>
        <stp/>
        <stp>BDH|8365889277102202724</stp>
        <tr r="Q38" s="34"/>
      </tp>
      <tp t="e">
        <v>#N/A</v>
        <stp/>
        <stp>BDH|9146369336453865855</stp>
        <tr r="U68" s="17"/>
      </tp>
      <tp t="e">
        <v>#N/A</v>
        <stp/>
        <stp>BDH|4013886784985233327</stp>
        <tr r="Q82" s="12"/>
      </tp>
      <tp t="e">
        <v>#N/A</v>
        <stp/>
        <stp>BDH|3799670570541872141</stp>
        <tr r="O45" s="18"/>
      </tp>
      <tp t="e">
        <v>#N/A</v>
        <stp/>
        <stp>BDH|6076140021626943108</stp>
        <tr r="L83" s="12"/>
      </tp>
      <tp t="e">
        <v>#N/A</v>
        <stp/>
        <stp>BDH|3758485715564289040</stp>
        <tr r="J8" s="6"/>
      </tp>
      <tp t="e">
        <v>#N/A</v>
        <stp/>
        <stp>BDH|6987468235872070163</stp>
        <tr r="O75" s="18"/>
        <tr r="O64" s="12"/>
      </tp>
      <tp t="e">
        <v>#N/A</v>
        <stp/>
        <stp>BDH|4540315514986543290</stp>
        <tr r="T17" s="22"/>
      </tp>
      <tp t="e">
        <v>#N/A</v>
        <stp/>
        <stp>BDH|7938312276123378218</stp>
        <tr r="S11" s="22"/>
      </tp>
      <tp t="e">
        <v>#N/A</v>
        <stp/>
        <stp>BDH|1613784655023129268</stp>
        <tr r="U26" s="18"/>
      </tp>
      <tp t="e">
        <v>#N/A</v>
        <stp/>
        <stp>BDH|3105665909413084426</stp>
        <tr r="F81" s="24"/>
      </tp>
      <tp t="e">
        <v>#N/A</v>
        <stp/>
        <stp>BDH|9889933875201745453</stp>
        <tr r="L53" s="12"/>
      </tp>
      <tp t="e">
        <v>#N/A</v>
        <stp/>
        <stp>BDH|2349446925844942270</stp>
        <tr r="G11" s="7"/>
      </tp>
      <tp t="e">
        <v>#N/A</v>
        <stp/>
        <stp>BDH|4118585365856935391</stp>
        <tr r="Y21" s="18"/>
      </tp>
      <tp t="e">
        <v>#N/A</v>
        <stp/>
        <stp>BDH|6096632125565874538</stp>
        <tr r="K20" s="10"/>
      </tp>
      <tp t="e">
        <v>#N/A</v>
        <stp/>
        <stp>BDH|1221140555474655382</stp>
        <tr r="J17" s="23"/>
      </tp>
      <tp t="e">
        <v>#N/A</v>
        <stp/>
        <stp>BDH|9855998187868962222</stp>
        <tr r="AA96" s="18"/>
      </tp>
      <tp t="e">
        <v>#N/A</v>
        <stp/>
        <stp>BDH|2154271750032343581</stp>
        <tr r="W9" s="14"/>
      </tp>
      <tp t="e">
        <v>#N/A</v>
        <stp/>
        <stp>BDH|2106982666638025725</stp>
        <tr r="W27" s="18"/>
      </tp>
      <tp t="e">
        <v>#N/A</v>
        <stp/>
        <stp>BDH|6324233122815883172</stp>
        <tr r="V47" s="22"/>
      </tp>
      <tp t="e">
        <v>#N/A</v>
        <stp/>
        <stp>BDH|8205127138791561905</stp>
        <tr r="AA90" s="17"/>
      </tp>
      <tp t="e">
        <v>#N/A</v>
        <stp/>
        <stp>BDH|6931640848467107194</stp>
        <tr r="I41" s="21"/>
      </tp>
      <tp t="e">
        <v>#N/A</v>
        <stp/>
        <stp>BDH|5891633841876648314</stp>
        <tr r="K34" s="26"/>
      </tp>
      <tp t="e">
        <v>#N/A</v>
        <stp/>
        <stp>BDH|4746874641428920254</stp>
        <tr r="L15" s="17"/>
        <tr r="L18" s="28"/>
      </tp>
      <tp t="e">
        <v>#N/A</v>
        <stp/>
        <stp>BDH|3743129972220992734</stp>
        <tr r="X33" s="5"/>
      </tp>
      <tp t="e">
        <v>#N/A</v>
        <stp/>
        <stp>BDH|7666181692528018511</stp>
        <tr r="Q34" s="34"/>
      </tp>
      <tp t="e">
        <v>#N/A</v>
        <stp/>
        <stp>BDH|4609760108078064953</stp>
        <tr r="L43" s="12"/>
      </tp>
      <tp t="e">
        <v>#N/A</v>
        <stp/>
        <stp>BDH|6026815887126209292</stp>
        <tr r="I70" s="10"/>
        <tr r="I62" s="11"/>
        <tr r="I20" s="7"/>
      </tp>
      <tp t="e">
        <v>#N/A</v>
        <stp/>
        <stp>BDH|1867195720239862943</stp>
        <tr r="J86" s="17"/>
      </tp>
      <tp t="e">
        <v>#N/A</v>
        <stp/>
        <stp>BDH|4884081770959944840</stp>
        <tr r="F31" s="18"/>
      </tp>
      <tp t="e">
        <v>#N/A</v>
        <stp/>
        <stp>BDH|4097225602005508188</stp>
        <tr r="C88" s="18"/>
      </tp>
      <tp t="e">
        <v>#N/A</v>
        <stp/>
        <stp>BDH|2779512060515213695</stp>
        <tr r="J8" s="34"/>
      </tp>
      <tp t="e">
        <v>#N/A</v>
        <stp/>
        <stp>BDH|9512998915867663421</stp>
        <tr r="M8" s="17"/>
      </tp>
      <tp t="e">
        <v>#N/A</v>
        <stp/>
        <stp>BDH|7962542774996523119</stp>
        <tr r="Y11" s="7"/>
      </tp>
      <tp t="e">
        <v>#N/A</v>
        <stp/>
        <stp>BDH|7532753544150859612</stp>
        <tr r="K26" s="18"/>
      </tp>
      <tp t="e">
        <v>#N/A</v>
        <stp/>
        <stp>BDH|4382986433844076858</stp>
        <tr r="E36" s="18"/>
      </tp>
      <tp t="e">
        <v>#N/A</v>
        <stp/>
        <stp>BDH|6547065069946171464</stp>
        <tr r="AA55" s="24"/>
      </tp>
      <tp t="e">
        <v>#N/A</v>
        <stp/>
        <stp>BDH|3456668457092136095</stp>
        <tr r="L60" s="11"/>
        <tr r="N19" s="23"/>
      </tp>
      <tp t="e">
        <v>#N/A</v>
        <stp/>
        <stp>BDH|4156163459880303205</stp>
        <tr r="E30" s="29"/>
        <tr r="E8" s="29"/>
      </tp>
      <tp t="e">
        <v>#N/A</v>
        <stp/>
        <stp>BDH|8562694236857217851</stp>
        <tr r="L68" s="24"/>
      </tp>
      <tp t="e">
        <v>#N/A</v>
        <stp/>
        <stp>BDH|1907559568131822117</stp>
        <tr r="U19" s="9"/>
      </tp>
      <tp t="e">
        <v>#N/A</v>
        <stp/>
        <stp>BDH|2118342430992976210</stp>
        <tr r="R12" s="7"/>
      </tp>
      <tp t="e">
        <v>#N/A</v>
        <stp/>
        <stp>BDH|5725412529404593570</stp>
        <tr r="J14" s="2"/>
        <tr r="J11" s="10"/>
      </tp>
      <tp t="e">
        <v>#N/A</v>
        <stp/>
        <stp>BDH|6866048604011458516</stp>
        <tr r="S25" s="3"/>
      </tp>
      <tp t="e">
        <v>#N/A</v>
        <stp/>
        <stp>BDH|1979771881989062524</stp>
        <tr r="K13" s="17"/>
        <tr r="K16" s="28"/>
      </tp>
      <tp t="e">
        <v>#N/A</v>
        <stp/>
        <stp>BDH|5371161447312880072</stp>
        <tr r="E6" s="6"/>
      </tp>
      <tp t="e">
        <v>#N/A</v>
        <stp/>
        <stp>BDH|7927074747867082649</stp>
        <tr r="C50" s="18"/>
      </tp>
      <tp t="e">
        <v>#N/A</v>
        <stp/>
        <stp>BDH|9238891654892731456</stp>
        <tr r="R51" s="6"/>
        <tr r="T6" s="8"/>
      </tp>
      <tp t="e">
        <v>#N/A</v>
        <stp/>
        <stp>BDH|1225092642256398174</stp>
        <tr r="U62" s="24"/>
      </tp>
      <tp t="e">
        <v>#N/A</v>
        <stp/>
        <stp>BDH|1740938528759062113</stp>
        <tr r="V10" s="17"/>
      </tp>
      <tp t="e">
        <v>#N/A</v>
        <stp/>
        <stp>BDH|2273881893807463606</stp>
        <tr r="U81" s="24"/>
      </tp>
      <tp t="e">
        <v>#N/A</v>
        <stp/>
        <stp>BDH|7014186109295279113</stp>
        <tr r="H65" s="17"/>
      </tp>
      <tp t="e">
        <v>#N/A</v>
        <stp/>
        <stp>BDH|6153240267674146416</stp>
        <tr r="G31" s="22"/>
      </tp>
      <tp t="e">
        <v>#N/A</v>
        <stp/>
        <stp>BDH|8824886411636251516</stp>
        <tr r="L58" s="6"/>
      </tp>
      <tp t="e">
        <v>#N/A</v>
        <stp/>
        <stp>BDH|6293043464900724270</stp>
        <tr r="V47" s="13"/>
      </tp>
      <tp t="e">
        <v>#N/A</v>
        <stp/>
        <stp>BDH|9440581190655967274</stp>
        <tr r="R75" s="24"/>
      </tp>
      <tp t="e">
        <v>#N/A</v>
        <stp/>
        <stp>BDH|9844775712564838976</stp>
        <tr r="C101" s="18"/>
      </tp>
      <tp t="e">
        <v>#N/A</v>
        <stp/>
        <stp>BDH|5709452562834299103</stp>
        <tr r="F33" s="24"/>
      </tp>
      <tp t="e">
        <v>#N/A</v>
        <stp/>
        <stp>BDH|1150665410455011155</stp>
        <tr r="H7" s="17"/>
      </tp>
      <tp t="e">
        <v>#N/A</v>
        <stp/>
        <stp>BDH|1540947082523413157</stp>
        <tr r="K24" s="17"/>
      </tp>
      <tp t="e">
        <v>#N/A</v>
        <stp/>
        <stp>BDH|6746710515352247033</stp>
        <tr r="M30" s="25"/>
        <tr r="M16" s="27"/>
      </tp>
      <tp t="e">
        <v>#N/A</v>
        <stp/>
        <stp>BDH|2063565751920238079</stp>
        <tr r="N31" s="5"/>
      </tp>
      <tp t="e">
        <v>#N/A</v>
        <stp/>
        <stp>BDH|4145552371085751103</stp>
        <tr r="M11" s="18"/>
      </tp>
      <tp t="e">
        <v>#N/A</v>
        <stp/>
        <stp>BDH|2673592651605455585</stp>
        <tr r="AA26" s="24"/>
      </tp>
      <tp t="e">
        <v>#N/A</v>
        <stp/>
        <stp>BDH|7316077072325506716</stp>
        <tr r="E20" s="25"/>
      </tp>
      <tp t="e">
        <v>#N/A</v>
        <stp/>
        <stp>BDH|9400264460238907794</stp>
        <tr r="Y7" s="21"/>
      </tp>
      <tp t="e">
        <v>#N/A</v>
        <stp/>
        <stp>BDH|8042433002486387809</stp>
        <tr r="X132" s="18"/>
      </tp>
      <tp t="e">
        <v>#N/A</v>
        <stp/>
        <stp>BDH|2070373527421369014</stp>
        <tr r="S24" s="9"/>
      </tp>
      <tp t="e">
        <v>#N/A</v>
        <stp/>
        <stp>BDH|6605279176994409515</stp>
        <tr r="Q31" s="17"/>
      </tp>
      <tp t="e">
        <v>#N/A</v>
        <stp/>
        <stp>BDH|1646918290883491018</stp>
        <tr r="N56" s="11"/>
      </tp>
      <tp t="e">
        <v>#N/A</v>
        <stp/>
        <stp>BDH|4320044010884387363</stp>
        <tr r="W15" s="22"/>
      </tp>
      <tp t="e">
        <v>#N/A</v>
        <stp/>
        <stp>BDH|7191598854176967373</stp>
        <tr r="H24" s="9"/>
      </tp>
      <tp t="e">
        <v>#N/A</v>
        <stp/>
        <stp>BDH|9648154915843042848</stp>
        <tr r="L38" s="12"/>
      </tp>
      <tp t="e">
        <v>#N/A</v>
        <stp/>
        <stp>BDH|5727121467341664161</stp>
        <tr r="I35" s="4"/>
      </tp>
      <tp t="e">
        <v>#N/A</v>
        <stp/>
        <stp>BDH|4854201778785470663</stp>
        <tr r="E133" s="18"/>
      </tp>
      <tp t="e">
        <v>#N/A</v>
        <stp/>
        <stp>BDH|8277604097617064275</stp>
        <tr r="Z9" s="18"/>
      </tp>
      <tp t="e">
        <v>#N/A</v>
        <stp/>
        <stp>BDH|3279502252969679842</stp>
        <tr r="W75" s="17"/>
        <tr r="T9" s="5"/>
        <tr r="T9" s="9"/>
      </tp>
      <tp t="e">
        <v>#N/A</v>
        <stp/>
        <stp>BDH|1356323701566522678</stp>
        <tr r="K38" s="24"/>
      </tp>
      <tp t="e">
        <v>#N/A</v>
        <stp/>
        <stp>BDH|5556328827373714556</stp>
        <tr r="C30" s="13"/>
      </tp>
      <tp t="e">
        <v>#N/A</v>
        <stp/>
        <stp>BDH|3084582314317934272</stp>
        <tr r="K47" s="18"/>
      </tp>
      <tp t="e">
        <v>#N/A</v>
        <stp/>
        <stp>BDH|8095503817299724721</stp>
        <tr r="I40" s="12"/>
      </tp>
      <tp t="e">
        <v>#N/A</v>
        <stp/>
        <stp>BDH|2593581542227519680</stp>
        <tr r="I12" s="17"/>
      </tp>
      <tp t="e">
        <v>#N/A</v>
        <stp/>
        <stp>BDH|1705132382968788238</stp>
        <tr r="O11" s="3"/>
        <tr r="M50" s="10"/>
        <tr r="M42" s="11"/>
        <tr r="M8" s="7"/>
      </tp>
      <tp t="e">
        <v>#N/A</v>
        <stp/>
        <stp>BDH|9561701586172342628</stp>
        <tr r="H56" s="11"/>
      </tp>
      <tp t="e">
        <v>#N/A</v>
        <stp/>
        <stp>BDH|3986624438580249437</stp>
        <tr r="V64" s="18"/>
      </tp>
      <tp t="e">
        <v>#N/A</v>
        <stp/>
        <stp>BDH|3032336820802331224</stp>
        <tr r="U97" s="18"/>
        <tr r="U6" s="20"/>
      </tp>
      <tp t="e">
        <v>#N/A</v>
        <stp/>
        <stp>BDH|4738477811823619057</stp>
        <tr r="N63" s="17"/>
      </tp>
      <tp t="e">
        <v>#N/A</v>
        <stp/>
        <stp>BDH|2156641557817584459</stp>
        <tr r="I25" s="26"/>
      </tp>
      <tp t="e">
        <v>#N/A</v>
        <stp/>
        <stp>BDH|3347128009787269780</stp>
        <tr r="U23" s="21"/>
      </tp>
      <tp t="e">
        <v>#N/A</v>
        <stp/>
        <stp>BDH|1165086408874338706</stp>
        <tr r="M58" s="12"/>
      </tp>
      <tp t="e">
        <v>#N/A</v>
        <stp/>
        <stp>BDH|9877163127868272097</stp>
        <tr r="X88" s="17"/>
      </tp>
      <tp t="e">
        <v>#N/A</v>
        <stp/>
        <stp>BDH|1471242040715045029</stp>
        <tr r="U40" s="12"/>
      </tp>
      <tp t="e">
        <v>#N/A</v>
        <stp/>
        <stp>BDH|6839175908844571106</stp>
        <tr r="T30" s="21"/>
      </tp>
      <tp t="e">
        <v>#N/A</v>
        <stp/>
        <stp>BDH|6183315610224130232</stp>
        <tr r="AA9" s="34"/>
      </tp>
      <tp t="e">
        <v>#N/A</v>
        <stp/>
        <stp>BDH|7589663806655338640</stp>
        <tr r="D74" s="17"/>
      </tp>
      <tp t="e">
        <v>#N/A</v>
        <stp/>
        <stp>BDH|8935023407973612999</stp>
        <tr r="C23" s="5"/>
        <tr r="C23" s="9"/>
      </tp>
      <tp t="e">
        <v>#N/A</v>
        <stp/>
        <stp>BDH|3964513578633721041</stp>
        <tr r="F55" s="12"/>
      </tp>
      <tp t="e">
        <v>#N/A</v>
        <stp/>
        <stp>BDH|7475407313488144850</stp>
        <tr r="Z29" s="24"/>
      </tp>
      <tp t="e">
        <v>#N/A</v>
        <stp/>
        <stp>BDH|1407153004763329155</stp>
        <tr r="N8" s="2"/>
      </tp>
      <tp t="e">
        <v>#N/A</v>
        <stp/>
        <stp>BDH|5098373846133092320</stp>
        <tr r="S32" s="9"/>
      </tp>
      <tp t="e">
        <v>#N/A</v>
        <stp/>
        <stp>BDH|3135309205004714609</stp>
        <tr r="Y20" s="12"/>
      </tp>
      <tp t="e">
        <v>#N/A</v>
        <stp/>
        <stp>BDH|4034644061752432421</stp>
        <tr r="S117" s="18"/>
      </tp>
      <tp t="e">
        <v>#N/A</v>
        <stp/>
        <stp>BDH|4932045895159362683</stp>
        <tr r="P16" s="26"/>
      </tp>
      <tp t="e">
        <v>#N/A</v>
        <stp/>
        <stp>BDH|7916323218437068002</stp>
        <tr r="M85" s="18"/>
      </tp>
      <tp t="e">
        <v>#N/A</v>
        <stp/>
        <stp>BDH|9712039256807700965</stp>
        <tr r="G21" s="21"/>
      </tp>
      <tp t="e">
        <v>#N/A</v>
        <stp/>
        <stp>BDH|1696010091819303365</stp>
        <tr r="H134" s="18"/>
      </tp>
      <tp t="e">
        <v>#N/A</v>
        <stp/>
        <stp>BDH|3830737405520963643</stp>
        <tr r="R22" s="4"/>
      </tp>
      <tp t="e">
        <v>#N/A</v>
        <stp/>
        <stp>BDH|2470364641283039406</stp>
        <tr r="F9" s="30"/>
      </tp>
      <tp t="e">
        <v>#N/A</v>
        <stp/>
        <stp>BDH|7975850500659732486</stp>
        <tr r="X74" s="18"/>
      </tp>
      <tp t="e">
        <v>#N/A</v>
        <stp/>
        <stp>BDH|3172478855889662965</stp>
        <tr r="E7" s="28"/>
      </tp>
      <tp t="e">
        <v>#N/A</v>
        <stp/>
        <stp>BDH|2205931176736156857</stp>
        <tr r="U46" s="21"/>
      </tp>
      <tp t="e">
        <v>#N/A</v>
        <stp/>
        <stp>BDH|3230971209668818071</stp>
        <tr r="U14" s="12"/>
      </tp>
      <tp t="e">
        <v>#N/A</v>
        <stp/>
        <stp>BDH|1935540935317845230</stp>
        <tr r="X9" s="26"/>
      </tp>
      <tp t="e">
        <v>#N/A</v>
        <stp/>
        <stp>BDH|5502152073005533456</stp>
        <tr r="U115" s="18"/>
      </tp>
      <tp t="e">
        <v>#N/A</v>
        <stp/>
        <stp>BDH|3530768370651985092</stp>
        <tr r="N46" s="17"/>
      </tp>
      <tp t="e">
        <v>#N/A</v>
        <stp/>
        <stp>BDH|1529264901643108207</stp>
        <tr r="K13" s="21"/>
      </tp>
      <tp t="e">
        <v>#N/A</v>
        <stp/>
        <stp>BDH|1171340020193006161</stp>
        <tr r="Y35" s="22"/>
      </tp>
      <tp t="e">
        <v>#N/A</v>
        <stp/>
        <stp>BDH|7345007812050337417</stp>
        <tr r="V47" s="18"/>
      </tp>
      <tp t="e">
        <v>#N/A</v>
        <stp/>
        <stp>BDH|3679146361430310633</stp>
        <tr r="L14" s="13"/>
      </tp>
      <tp t="e">
        <v>#N/A</v>
        <stp/>
        <stp>BDH|5072701807328463804</stp>
        <tr r="D9" s="17"/>
      </tp>
      <tp t="e">
        <v>#N/A</v>
        <stp/>
        <stp>BDH|5674437264290209504</stp>
        <tr r="AA39" s="22"/>
      </tp>
      <tp t="e">
        <v>#N/A</v>
        <stp/>
        <stp>BDH|4812665194379815010</stp>
        <tr r="F7" s="21"/>
      </tp>
      <tp t="e">
        <v>#N/A</v>
        <stp/>
        <stp>BDH|8533419346693318924</stp>
        <tr r="O17" s="20"/>
      </tp>
      <tp t="e">
        <v>#N/A</v>
        <stp/>
        <stp>BDH|7184734547765748316</stp>
        <tr r="F62" s="12"/>
      </tp>
      <tp t="e">
        <v>#N/A</v>
        <stp/>
        <stp>BDH|4604341015055705139</stp>
        <tr r="AA73" s="12"/>
      </tp>
      <tp t="e">
        <v>#N/A</v>
        <stp/>
        <stp>BDH|7239660515513568178</stp>
        <tr r="D56" s="18"/>
      </tp>
      <tp t="e">
        <v>#N/A</v>
        <stp/>
        <stp>BDH|9436391075926811932</stp>
        <tr r="L46" s="17"/>
      </tp>
      <tp t="e">
        <v>#N/A</v>
        <stp/>
        <stp>BDH|4432491499279387240</stp>
        <tr r="W13" s="24"/>
      </tp>
      <tp t="e">
        <v>#N/A</v>
        <stp/>
        <stp>BDH|2487182873394906252</stp>
        <tr r="N26" s="21"/>
      </tp>
      <tp t="e">
        <v>#N/A</v>
        <stp/>
        <stp>BDH|2102222517875091678</stp>
        <tr r="D51" s="6"/>
        <tr r="F6" s="8"/>
      </tp>
      <tp t="e">
        <v>#N/A</v>
        <stp/>
        <stp>BDH|6705320561066725708</stp>
        <tr r="M85" s="17"/>
      </tp>
      <tp t="e">
        <v>#N/A</v>
        <stp/>
        <stp>BDH|2239160164022606559</stp>
        <tr r="H31" s="22"/>
      </tp>
      <tp t="e">
        <v>#N/A</v>
        <stp/>
        <stp>BDH|1996490017495754332</stp>
        <tr r="H9" s="22"/>
      </tp>
      <tp t="e">
        <v>#N/A</v>
        <stp/>
        <stp>BDH|7549969665588141241</stp>
        <tr r="J25" s="2"/>
        <tr r="L60" s="21"/>
      </tp>
      <tp t="e">
        <v>#N/A</v>
        <stp/>
        <stp>BDH|8977980105810150367</stp>
        <tr r="H52" s="4"/>
        <tr r="J8" s="3"/>
        <tr r="H44" s="10"/>
        <tr r="H36" s="11"/>
        <tr r="J40" s="13"/>
      </tp>
      <tp t="e">
        <v>#N/A</v>
        <stp/>
        <stp>BDH|6774362054916677406</stp>
        <tr r="K27" s="26"/>
      </tp>
      <tp t="e">
        <v>#N/A</v>
        <stp/>
        <stp>BDH|4469864781911741772</stp>
        <tr r="E57" s="17"/>
      </tp>
      <tp t="e">
        <v>#N/A</v>
        <stp/>
        <stp>BDH|4605463877783396671</stp>
        <tr r="Z50" s="18"/>
      </tp>
      <tp t="e">
        <v>#N/A</v>
        <stp/>
        <stp>BDH|5265218927154725301</stp>
        <tr r="X52" s="6"/>
        <tr r="Z9" s="8"/>
      </tp>
      <tp t="e">
        <v>#N/A</v>
        <stp/>
        <stp>BDH|5043777101820068051</stp>
        <tr r="AA6" s="19"/>
        <tr r="AA35" s="17"/>
        <tr r="AA16" s="3"/>
      </tp>
      <tp t="e">
        <v>#N/A</v>
        <stp/>
        <stp>BDH|7177187674015671688</stp>
        <tr r="D98" s="18"/>
        <tr r="D7" s="20"/>
      </tp>
      <tp t="e">
        <v>#N/A</v>
        <stp/>
        <stp>BDH|4226256595025729869</stp>
        <tr r="V116" s="18"/>
      </tp>
      <tp t="e">
        <v>#N/A</v>
        <stp/>
        <stp>BDH|7613699751356555080</stp>
        <tr r="X52" s="10"/>
        <tr r="X44" s="11"/>
        <tr r="X15" s="7"/>
      </tp>
      <tp t="e">
        <v>#N/A</v>
        <stp/>
        <stp>BDH|7604653110405785771</stp>
        <tr r="T15" s="18"/>
      </tp>
      <tp t="e">
        <v>#N/A</v>
        <stp/>
        <stp>BDH|8638874903022000019</stp>
        <tr r="J71" s="10"/>
        <tr r="J63" s="11"/>
      </tp>
      <tp t="e">
        <v>#N/A</v>
        <stp/>
        <stp>BDH|5165995595996599182</stp>
        <tr r="D37" s="13"/>
      </tp>
      <tp t="e">
        <v>#N/A</v>
        <stp/>
        <stp>BDH|4950305953163253385</stp>
        <tr r="F24" s="18"/>
      </tp>
      <tp t="e">
        <v>#N/A</v>
        <stp/>
        <stp>BDH|5719879182725760258</stp>
        <tr r="F45" s="17"/>
      </tp>
      <tp t="e">
        <v>#N/A</v>
        <stp/>
        <stp>BDH|8606350481822512379</stp>
        <tr r="C31" s="25"/>
        <tr r="C17" s="27"/>
      </tp>
      <tp t="e">
        <v>#N/A</v>
        <stp/>
        <stp>BDH|6160869700275388945</stp>
        <tr r="L68" s="12"/>
      </tp>
      <tp t="e">
        <v>#N/A</v>
        <stp/>
        <stp>BDH|7679652910275531767</stp>
        <tr r="P15" s="4"/>
      </tp>
      <tp t="e">
        <v>#N/A</v>
        <stp/>
        <stp>BDH|5923508929987569756</stp>
        <tr r="I27" s="24"/>
      </tp>
      <tp t="e">
        <v>#N/A</v>
        <stp/>
        <stp>BDH|5776499219863114165</stp>
        <tr r="U34" s="14"/>
      </tp>
      <tp t="e">
        <v>#N/A</v>
        <stp/>
        <stp>BDH|3799441176976730420</stp>
        <tr r="R62" s="18"/>
      </tp>
      <tp t="e">
        <v>#N/A</v>
        <stp/>
        <stp>BDH|3233772636241178426</stp>
        <tr r="N132" s="18"/>
      </tp>
      <tp t="e">
        <v>#N/A</v>
        <stp/>
        <stp>BDH|2258418682604986886</stp>
        <tr r="H15" s="9"/>
      </tp>
      <tp t="e">
        <v>#N/A</v>
        <stp/>
        <stp>BDH|7572076490458091428</stp>
        <tr r="H45" s="4"/>
        <tr r="H31" s="10"/>
        <tr r="H23" s="11"/>
        <tr r="J30" s="13"/>
      </tp>
      <tp t="e">
        <v>#N/A</v>
        <stp/>
        <stp>BDH|9055853175196473244</stp>
        <tr r="H32" s="5"/>
      </tp>
      <tp t="e">
        <v>#N/A</v>
        <stp/>
        <stp>BDH|3923287270281509540</stp>
        <tr r="Q18" s="13"/>
      </tp>
      <tp t="e">
        <v>#N/A</v>
        <stp/>
        <stp>BDH|2026362363543373665</stp>
        <tr r="N82" s="17"/>
      </tp>
      <tp t="e">
        <v>#N/A</v>
        <stp/>
        <stp>BDH|4823598535954661422</stp>
        <tr r="J81" s="18"/>
      </tp>
      <tp t="e">
        <v>#N/A</v>
        <stp/>
        <stp>BDH|2495138645674728152</stp>
        <tr r="S132" s="18"/>
      </tp>
      <tp t="e">
        <v>#N/A</v>
        <stp/>
        <stp>BDH|7428811720947596804</stp>
        <tr r="M8" s="12"/>
      </tp>
      <tp t="e">
        <v>#N/A</v>
        <stp/>
        <stp>BDH|4616210040801481137</stp>
        <tr r="K31" s="34"/>
      </tp>
      <tp t="e">
        <v>#N/A</v>
        <stp/>
        <stp>BDH|4511513412647271545</stp>
        <tr r="I14" s="20"/>
      </tp>
      <tp t="e">
        <v>#N/A</v>
        <stp/>
        <stp>BDH|5624371654481763027</stp>
        <tr r="N84" s="24"/>
      </tp>
      <tp t="e">
        <v>#N/A</v>
        <stp/>
        <stp>BDH|5580756031032436154</stp>
        <tr r="E10" s="10"/>
      </tp>
      <tp t="e">
        <v>#N/A</v>
        <stp/>
        <stp>BDH|2817965828622120979</stp>
        <tr r="K140" s="18"/>
      </tp>
      <tp t="e">
        <v>#N/A</v>
        <stp/>
        <stp>BDH|5901080071889766976</stp>
        <tr r="Z60" s="13"/>
      </tp>
      <tp t="e">
        <v>#N/A</v>
        <stp/>
        <stp>BDH|1753469857907498527</stp>
        <tr r="S64" s="21"/>
        <tr r="P31" s="6"/>
      </tp>
      <tp t="e">
        <v>#N/A</v>
        <stp/>
        <stp>BDH|3892711824420536484</stp>
        <tr r="H20" s="23"/>
      </tp>
      <tp t="e">
        <v>#N/A</v>
        <stp/>
        <stp>BDH|9159499666960660988</stp>
        <tr r="K21" s="22"/>
      </tp>
      <tp t="e">
        <v>#N/A</v>
        <stp/>
        <stp>BDH|7091473946845887091</stp>
        <tr r="X26" s="13"/>
      </tp>
      <tp t="e">
        <v>#N/A</v>
        <stp/>
        <stp>BDH|8426308647995497870</stp>
        <tr r="Z78" s="12"/>
      </tp>
      <tp t="e">
        <v>#N/A</v>
        <stp/>
        <stp>BDH|5201488660126858321</stp>
        <tr r="AA20" s="27"/>
      </tp>
      <tp t="e">
        <v>#N/A</v>
        <stp/>
        <stp>BDH|6533620053047183057</stp>
        <tr r="M21" s="30"/>
      </tp>
      <tp t="e">
        <v>#N/A</v>
        <stp/>
        <stp>BDH|1707210699659612198</stp>
        <tr r="D66" s="18"/>
      </tp>
      <tp t="e">
        <v>#N/A</v>
        <stp/>
        <stp>BDH|1154419040351990299</stp>
        <tr r="P70" s="10"/>
        <tr r="P62" s="11"/>
        <tr r="P20" s="7"/>
      </tp>
      <tp t="e">
        <v>#N/A</v>
        <stp/>
        <stp>BDH|6387200982668854694</stp>
        <tr r="M37" s="26"/>
      </tp>
      <tp t="e">
        <v>#N/A</v>
        <stp/>
        <stp>BDH|5214159565446628641</stp>
        <tr r="U39" s="34"/>
      </tp>
      <tp t="e">
        <v>#N/A</v>
        <stp/>
        <stp>BDH|7712352565573498331</stp>
        <tr r="X9" s="28"/>
      </tp>
      <tp t="e">
        <v>#N/A</v>
        <stp/>
        <stp>BDH|4926127758060370213</stp>
        <tr r="E20" s="24"/>
      </tp>
      <tp t="e">
        <v>#N/A</v>
        <stp/>
        <stp>BDH|3759456873506356433</stp>
        <tr r="C21" s="6"/>
      </tp>
      <tp t="e">
        <v>#N/A</v>
        <stp/>
        <stp>BDH|7036344593408241747</stp>
        <tr r="Q7" s="10"/>
      </tp>
      <tp t="e">
        <v>#N/A</v>
        <stp/>
        <stp>BDH|2234573616902325618</stp>
        <tr r="N24" s="24"/>
      </tp>
      <tp t="e">
        <v>#N/A</v>
        <stp/>
        <stp>BDH|9355213357919797535</stp>
        <tr r="R11" s="9"/>
      </tp>
      <tp t="e">
        <v>#N/A</v>
        <stp/>
        <stp>BDH|6448785105623807004</stp>
        <tr r="L18" s="29"/>
        <tr r="L41" s="29"/>
      </tp>
      <tp t="e">
        <v>#N/A</v>
        <stp/>
        <stp>BDH|2612291134718356990</stp>
        <tr r="M11" s="22"/>
      </tp>
      <tp t="e">
        <v>#N/A</v>
        <stp/>
        <stp>BDH|1026780466167744585</stp>
        <tr r="AA56" s="17"/>
      </tp>
      <tp t="e">
        <v>#N/A</v>
        <stp/>
        <stp>BDH|4814735569144212311</stp>
        <tr r="D7" s="23"/>
      </tp>
      <tp t="e">
        <v>#N/A</v>
        <stp/>
        <stp>BDH|3442173113357306621</stp>
        <tr r="C77" s="24"/>
      </tp>
      <tp t="e">
        <v>#N/A</v>
        <stp/>
        <stp>BDH|3991626088158024729</stp>
        <tr r="E81" s="17"/>
        <tr r="E20" s="3"/>
        <tr r="C6" s="7"/>
      </tp>
      <tp t="e">
        <v>#N/A</v>
        <stp/>
        <stp>BDH|1375054769603881668</stp>
        <tr r="Q34" s="10"/>
        <tr r="Q26" s="11"/>
      </tp>
      <tp t="e">
        <v>#N/A</v>
        <stp/>
        <stp>BDH|7814375481649829775</stp>
        <tr r="D27" s="22"/>
      </tp>
      <tp t="e">
        <v>#N/A</v>
        <stp/>
        <stp>BDH|5065535936248657921</stp>
        <tr r="P44" s="6"/>
      </tp>
      <tp t="e">
        <v>#N/A</v>
        <stp/>
        <stp>BDH|6596225414482295504</stp>
        <tr r="C9" s="11"/>
      </tp>
      <tp t="e">
        <v>#N/A</v>
        <stp/>
        <stp>BDH|7756006241698702900</stp>
        <tr r="U10" s="12"/>
      </tp>
      <tp t="e">
        <v>#N/A</v>
        <stp/>
        <stp>BDH|8954057898151406216</stp>
        <tr r="W40" s="18"/>
      </tp>
      <tp t="e">
        <v>#N/A</v>
        <stp/>
        <stp>BDH|7833554000060863045</stp>
        <tr r="J67" s="12"/>
      </tp>
      <tp t="e">
        <v>#N/A</v>
        <stp/>
        <stp>BDH|1323945758336766996</stp>
        <tr r="R8" s="21"/>
      </tp>
      <tp t="e">
        <v>#N/A</v>
        <stp/>
        <stp>BDH|1123647627757402076</stp>
        <tr r="I19" s="5"/>
        <tr r="I46" s="6"/>
      </tp>
      <tp t="e">
        <v>#N/A</v>
        <stp/>
        <stp>BDH|6830698329851948103</stp>
        <tr r="K22" s="22"/>
      </tp>
      <tp t="e">
        <v>#N/A</v>
        <stp/>
        <stp>BDH|3155573177724629767</stp>
        <tr r="U118" s="18"/>
      </tp>
      <tp t="e">
        <v>#N/A</v>
        <stp/>
        <stp>BDH|5362260992999284540</stp>
        <tr r="X53" s="12"/>
      </tp>
      <tp t="e">
        <v>#N/A</v>
        <stp/>
        <stp>BDH|9702868642136763159</stp>
        <tr r="P21" s="17"/>
        <tr r="P15" s="3"/>
      </tp>
      <tp t="e">
        <v>#N/A</v>
        <stp/>
        <stp>BDH|7212164496948134529</stp>
        <tr r="L35" s="22"/>
      </tp>
      <tp t="e">
        <v>#N/A</v>
        <stp/>
        <stp>BDH|8638654444310346856</stp>
        <tr r="P20" s="9"/>
      </tp>
      <tp t="e">
        <v>#N/A</v>
        <stp/>
        <stp>BDH|3923359093438655383</stp>
        <tr r="H14" s="11"/>
      </tp>
      <tp t="e">
        <v>#N/A</v>
        <stp/>
        <stp>BDH|7606190721404981265</stp>
        <tr r="Z49" s="24"/>
      </tp>
      <tp t="e">
        <v>#N/A</v>
        <stp/>
        <stp>BDH|5317422669806158386</stp>
        <tr r="N15" s="29"/>
        <tr r="N38" s="29"/>
      </tp>
      <tp t="e">
        <v>#N/A</v>
        <stp/>
        <stp>BDH|3294500046039327960</stp>
        <tr r="K46" s="18"/>
      </tp>
      <tp t="e">
        <v>#N/A</v>
        <stp/>
        <stp>BDH|3633259665077500221</stp>
        <tr r="G8" s="14"/>
      </tp>
      <tp t="e">
        <v>#N/A</v>
        <stp/>
        <stp>BDH|5415426926580417158</stp>
        <tr r="W33" s="17"/>
      </tp>
      <tp t="e">
        <v>#N/A</v>
        <stp/>
        <stp>BDH|1998507500965941318</stp>
        <tr r="M54" s="12"/>
      </tp>
      <tp t="e">
        <v>#N/A</v>
        <stp/>
        <stp>BDH|6994117657680650086</stp>
        <tr r="AA34" s="34"/>
      </tp>
      <tp t="e">
        <v>#N/A</v>
        <stp/>
        <stp>BDH|8541589999864165248</stp>
        <tr r="I132" s="18"/>
      </tp>
      <tp t="e">
        <v>#N/A</v>
        <stp/>
        <stp>BDH|6587520828722978172</stp>
        <tr r="V45" s="34"/>
      </tp>
      <tp t="e">
        <v>#N/A</v>
        <stp/>
        <stp>BDH|7680459721545594667</stp>
        <tr r="U38" s="4"/>
        <tr r="U58" s="11"/>
        <tr r="W13" s="23"/>
      </tp>
      <tp t="e">
        <v>#N/A</v>
        <stp/>
        <stp>BDH|4362810664351482937</stp>
        <tr r="U20" s="24"/>
      </tp>
      <tp t="e">
        <v>#N/A</v>
        <stp/>
        <stp>BDH|5583607556271724552</stp>
        <tr r="I11" s="24"/>
      </tp>
      <tp t="e">
        <v>#N/A</v>
        <stp/>
        <stp>BDH|2689286555261274686</stp>
        <tr r="S26" s="34"/>
      </tp>
      <tp t="e">
        <v>#N/A</v>
        <stp/>
        <stp>BDH|3659014684298582177</stp>
        <tr r="L19" s="12"/>
      </tp>
      <tp t="e">
        <v>#N/A</v>
        <stp/>
        <stp>BDH|9527987525868175886</stp>
        <tr r="O72" s="12"/>
      </tp>
      <tp t="e">
        <v>#N/A</v>
        <stp/>
        <stp>BDH|8920181321780889990</stp>
        <tr r="T50" s="18"/>
      </tp>
      <tp t="e">
        <v>#N/A</v>
        <stp/>
        <stp>BDH|5003673078460629689</stp>
        <tr r="U14" s="13"/>
      </tp>
      <tp t="e">
        <v>#N/A</v>
        <stp/>
        <stp>BDH|3196972492156251770</stp>
        <tr r="M13" s="5"/>
      </tp>
      <tp t="e">
        <v>#N/A</v>
        <stp/>
        <stp>BDH|8117849831296501704</stp>
        <tr r="C13" s="21"/>
      </tp>
      <tp t="e">
        <v>#N/A</v>
        <stp/>
        <stp>BDH|7662161125874525213</stp>
        <tr r="G79" s="12"/>
      </tp>
      <tp t="e">
        <v>#N/A</v>
        <stp/>
        <stp>BDH|2098293435339299881</stp>
        <tr r="D54" s="21"/>
      </tp>
      <tp t="e">
        <v>#N/A</v>
        <stp/>
        <stp>BDH|8885183764625742858</stp>
        <tr r="I62" s="21"/>
      </tp>
      <tp t="e">
        <v>#N/A</v>
        <stp/>
        <stp>BDH|3980118579146322142</stp>
        <tr r="P30" s="12"/>
      </tp>
      <tp t="e">
        <v>#N/A</v>
        <stp/>
        <stp>BDH|4372471066764228062</stp>
        <tr r="C10" s="12"/>
      </tp>
      <tp t="e">
        <v>#N/A</v>
        <stp/>
        <stp>BDH|2896188307522709365</stp>
        <tr r="K10" s="12"/>
      </tp>
      <tp t="e">
        <v>#N/A</v>
        <stp/>
        <stp>BDH|4370739879961854773</stp>
        <tr r="T16" s="14"/>
      </tp>
      <tp t="e">
        <v>#N/A</v>
        <stp/>
        <stp>BDH|7067594102203497399</stp>
        <tr r="D91" s="24"/>
      </tp>
      <tp t="e">
        <v>#N/A</v>
        <stp/>
        <stp>BDH|3579630314824387277</stp>
        <tr r="E21" s="5"/>
      </tp>
      <tp t="e">
        <v>#N/A</v>
        <stp/>
        <stp>BDH|7525566846682525663</stp>
        <tr r="C41" s="21"/>
      </tp>
      <tp t="e">
        <v>#N/A</v>
        <stp/>
        <stp>BDH|7097210061040192173</stp>
        <tr r="P87" s="18"/>
      </tp>
      <tp t="e">
        <v>#N/A</v>
        <stp/>
        <stp>BDH|4546114126775773033</stp>
        <tr r="V12" s="26"/>
      </tp>
      <tp t="e">
        <v>#N/A</v>
        <stp/>
        <stp>BDH|3841786484468679642</stp>
        <tr r="J63" s="21"/>
        <tr r="H23" s="7"/>
      </tp>
      <tp t="e">
        <v>#N/A</v>
        <stp/>
        <stp>BDH|3802211439342449224</stp>
        <tr r="Y18" s="25"/>
      </tp>
      <tp t="e">
        <v>#N/A</v>
        <stp/>
        <stp>BDH|7214675966081185449</stp>
        <tr r="N56" s="17"/>
      </tp>
      <tp t="e">
        <v>#N/A</v>
        <stp/>
        <stp>BDH|7087413455311195535</stp>
        <tr r="O39" s="25"/>
        <tr r="O7" s="3"/>
        <tr r="M18" s="11"/>
        <tr r="O22" s="13"/>
        <tr r="O7" s="13"/>
      </tp>
      <tp t="e">
        <v>#N/A</v>
        <stp/>
        <stp>BDH|3710375200826383450</stp>
        <tr r="S49" s="24"/>
      </tp>
      <tp t="e">
        <v>#N/A</v>
        <stp/>
        <stp>BDH|9213544884625732334</stp>
        <tr r="E62" s="21"/>
      </tp>
      <tp t="e">
        <v>#N/A</v>
        <stp/>
        <stp>BDH|3512065146463123625</stp>
        <tr r="S7" s="2"/>
        <tr r="R7" s="5"/>
        <tr r="R7" s="9"/>
        <tr r="U14" s="3"/>
      </tp>
      <tp t="e">
        <v>#N/A</v>
        <stp/>
        <stp>BDH|2725028912959018815</stp>
        <tr r="W62" s="21"/>
      </tp>
      <tp t="e">
        <v>#N/A</v>
        <stp/>
        <stp>BDH|9554874047657591067</stp>
        <tr r="W11" s="12"/>
      </tp>
      <tp t="e">
        <v>#N/A</v>
        <stp/>
        <stp>BDH|9365445141842242926</stp>
        <tr r="S34" s="21"/>
      </tp>
      <tp t="e">
        <v>#N/A</v>
        <stp/>
        <stp>BDH|3785558205186717269</stp>
        <tr r="P30" s="29"/>
        <tr r="P8" s="29"/>
      </tp>
      <tp t="e">
        <v>#N/A</v>
        <stp/>
        <stp>BDH|2560151514485626548</stp>
        <tr r="U22" s="12"/>
      </tp>
      <tp t="e">
        <v>#N/A</v>
        <stp/>
        <stp>BDH|2475409659604805530</stp>
        <tr r="W19" s="26"/>
      </tp>
      <tp t="e">
        <v>#N/A</v>
        <stp/>
        <stp>BDH|7651776410336490531</stp>
        <tr r="D22" s="30"/>
        <tr r="D24" s="23"/>
      </tp>
      <tp t="e">
        <v>#N/A</v>
        <stp/>
        <stp>BDH|9686981318514562752</stp>
        <tr r="F58" s="13"/>
      </tp>
      <tp t="e">
        <v>#N/A</v>
        <stp/>
        <stp>BDH|9101993232541470089</stp>
        <tr r="W43" s="12"/>
      </tp>
      <tp t="e">
        <v>#N/A</v>
        <stp/>
        <stp>BDH|9261683006575296881</stp>
        <tr r="X81" s="24"/>
      </tp>
      <tp t="e">
        <v>#N/A</v>
        <stp/>
        <stp>BDH|5045566696163228849</stp>
        <tr r="L40" s="34"/>
      </tp>
      <tp t="e">
        <v>#N/A</v>
        <stp/>
        <stp>BDH|1884081417507760561</stp>
        <tr r="K47" s="10"/>
        <tr r="K39" s="11"/>
      </tp>
      <tp t="e">
        <v>#N/A</v>
        <stp/>
        <stp>BDH|8669062477854364921</stp>
        <tr r="P63" s="10"/>
      </tp>
      <tp t="e">
        <v>#N/A</v>
        <stp/>
        <stp>BDH|7987441873874086282</stp>
        <tr r="O25" s="21"/>
      </tp>
      <tp t="e">
        <v>#N/A</v>
        <stp/>
        <stp>BDH|5634931953878770376</stp>
        <tr r="M13" s="25"/>
      </tp>
      <tp t="e">
        <v>#N/A</v>
        <stp/>
        <stp>BDH|4109152724213098663</stp>
        <tr r="U18" s="6"/>
      </tp>
      <tp t="e">
        <v>#N/A</v>
        <stp/>
        <stp>BDH|4494780277483840553</stp>
        <tr r="Y17" s="18"/>
      </tp>
      <tp t="e">
        <v>#N/A</v>
        <stp/>
        <stp>BDH|7362607053822049467</stp>
        <tr r="L12" s="21"/>
      </tp>
      <tp t="e">
        <v>#N/A</v>
        <stp/>
        <stp>BDH|3995694143272542106</stp>
        <tr r="G9" s="17"/>
      </tp>
      <tp t="e">
        <v>#N/A</v>
        <stp/>
        <stp>BDH|8295824448913712598</stp>
        <tr r="S45" s="21"/>
      </tp>
      <tp t="e">
        <v>#N/A</v>
        <stp/>
        <stp>BDH|3293157145484636024</stp>
        <tr r="X71" s="10"/>
        <tr r="X63" s="11"/>
      </tp>
      <tp t="e">
        <v>#N/A</v>
        <stp/>
        <stp>BDH|5765217803144746149</stp>
        <tr r="Z50" s="17"/>
      </tp>
      <tp t="e">
        <v>#N/A</v>
        <stp/>
        <stp>BDH|4043149942921591250</stp>
        <tr r="T70" s="12"/>
      </tp>
      <tp t="e">
        <v>#N/A</v>
        <stp/>
        <stp>BDH|7917689476413472757</stp>
        <tr r="L17" s="10"/>
      </tp>
      <tp t="e">
        <v>#N/A</v>
        <stp/>
        <stp>BDH|5050471287043015869</stp>
        <tr r="S20" s="14"/>
      </tp>
      <tp t="e">
        <v>#N/A</v>
        <stp/>
        <stp>BDH|9928249628838161329</stp>
        <tr r="O13" s="6"/>
      </tp>
      <tp t="e">
        <v>#N/A</v>
        <stp/>
        <stp>BDH|5789753321142663030</stp>
        <tr r="AA77" s="12"/>
      </tp>
      <tp t="e">
        <v>#N/A</v>
        <stp/>
        <stp>BDH|6773165069653722099</stp>
        <tr r="Q41" s="10"/>
        <tr r="Q33" s="11"/>
      </tp>
      <tp t="e">
        <v>#N/A</v>
        <stp/>
        <stp>BDH|1741038431100710043</stp>
        <tr r="Y38" s="24"/>
      </tp>
      <tp t="e">
        <v>#N/A</v>
        <stp/>
        <stp>BDH|9977311914558843128</stp>
        <tr r="O58" s="6"/>
      </tp>
      <tp t="e">
        <v>#N/A</v>
        <stp/>
        <stp>BDH|4048638332353305040</stp>
        <tr r="U7" s="8"/>
      </tp>
      <tp t="e">
        <v>#N/A</v>
        <stp/>
        <stp>BDH|6813294932216300368</stp>
        <tr r="T121" s="18"/>
      </tp>
      <tp t="e">
        <v>#N/A</v>
        <stp/>
        <stp>BDH|7118823937997729957</stp>
        <tr r="U65" s="12"/>
      </tp>
      <tp t="e">
        <v>#N/A</v>
        <stp/>
        <stp>BDH|6082960834087220964</stp>
        <tr r="G20" s="5"/>
      </tp>
      <tp t="e">
        <v>#N/A</v>
        <stp/>
        <stp>BDH|4768777841413450621</stp>
        <tr r="Z12" s="20"/>
      </tp>
      <tp t="e">
        <v>#N/A</v>
        <stp/>
        <stp>BDH|8703203119549007097</stp>
        <tr r="S23" s="25"/>
        <tr r="Q20" s="11"/>
      </tp>
      <tp t="e">
        <v>#N/A</v>
        <stp/>
        <stp>BDH|2861783898348951662</stp>
        <tr r="O73" s="17"/>
      </tp>
      <tp t="e">
        <v>#N/A</v>
        <stp/>
        <stp>BDH|2878340578155455172</stp>
        <tr r="H32" s="26"/>
      </tp>
      <tp t="e">
        <v>#N/A</v>
        <stp/>
        <stp>BDH|9185316594944069530</stp>
        <tr r="K17" s="4"/>
        <tr r="M10" s="3"/>
        <tr r="K56" s="10"/>
        <tr r="K48" s="11"/>
        <tr r="K17" s="7"/>
        <tr r="M54" s="13"/>
      </tp>
      <tp t="e">
        <v>#N/A</v>
        <stp/>
        <stp>BDH|1794450106971081638</stp>
        <tr r="V68" s="18"/>
      </tp>
      <tp t="e">
        <v>#N/A</v>
        <stp/>
        <stp>BDH|3333325264896285206</stp>
        <tr r="Q47" s="13"/>
      </tp>
      <tp t="e">
        <v>#N/A</v>
        <stp/>
        <stp>BDH|7055771191783309820</stp>
        <tr r="P78" s="18"/>
      </tp>
      <tp t="e">
        <v>#N/A</v>
        <stp/>
        <stp>BDH|6509653810213722000</stp>
        <tr r="AA51" s="12"/>
      </tp>
      <tp t="e">
        <v>#N/A</v>
        <stp/>
        <stp>BDH|3615962384238649856</stp>
        <tr r="Z75" s="18"/>
        <tr r="Z64" s="12"/>
      </tp>
      <tp t="e">
        <v>#N/A</v>
        <stp/>
        <stp>BDH|4024072912445273200</stp>
        <tr r="P70" s="24"/>
      </tp>
      <tp t="e">
        <v>#N/A</v>
        <stp/>
        <stp>BDH|8599545125425290812</stp>
        <tr r="E60" s="17"/>
      </tp>
      <tp t="e">
        <v>#N/A</v>
        <stp/>
        <stp>BDH|2367032687378272022</stp>
        <tr r="S43" s="10"/>
        <tr r="S35" s="11"/>
      </tp>
      <tp t="e">
        <v>#N/A</v>
        <stp/>
        <stp>BDH|2994393785723474868</stp>
        <tr r="N56" s="13"/>
      </tp>
      <tp t="e">
        <v>#N/A</v>
        <stp/>
        <stp>BDH|7532761733311663015</stp>
        <tr r="W28" s="4"/>
      </tp>
      <tp t="e">
        <v>#N/A</v>
        <stp/>
        <stp>BDH|9612792942098292088</stp>
        <tr r="F65" s="18"/>
      </tp>
      <tp t="e">
        <v>#N/A</v>
        <stp/>
        <stp>BDH|2642612641916446459</stp>
        <tr r="Q30" s="24"/>
      </tp>
      <tp t="e">
        <v>#N/A</v>
        <stp/>
        <stp>BDH|5513601150266752252</stp>
        <tr r="L21" s="22"/>
      </tp>
      <tp t="e">
        <v>#N/A</v>
        <stp/>
        <stp>BDH|7576733475696062341</stp>
        <tr r="R74" s="12"/>
      </tp>
      <tp t="e">
        <v>#N/A</v>
        <stp/>
        <stp>BDH|8832491606466558856</stp>
        <tr r="R47" s="21"/>
      </tp>
      <tp t="e">
        <v>#N/A</v>
        <stp/>
        <stp>BDH|6602413314752210361</stp>
        <tr r="F21" s="6"/>
      </tp>
      <tp t="e">
        <v>#N/A</v>
        <stp/>
        <stp>BDH|2616460869776902472</stp>
        <tr r="R33" s="6"/>
      </tp>
      <tp t="e">
        <v>#N/A</v>
        <stp/>
        <stp>BDH|7305736961307377356</stp>
        <tr r="E47" s="21"/>
      </tp>
      <tp t="e">
        <v>#N/A</v>
        <stp/>
        <stp>BDH|1363191324526065693</stp>
        <tr r="K42" s="4"/>
      </tp>
      <tp t="e">
        <v>#N/A</v>
        <stp/>
        <stp>BDH|9088130277244157928</stp>
        <tr r="X25" s="14"/>
      </tp>
      <tp t="e">
        <v>#N/A</v>
        <stp/>
        <stp>BDH|2354950601240192918</stp>
        <tr r="N77" s="24"/>
      </tp>
      <tp t="e">
        <v>#N/A</v>
        <stp/>
        <stp>BDH|1429856944267111831</stp>
        <tr r="V53" s="6"/>
        <tr r="X10" s="8"/>
      </tp>
      <tp t="e">
        <v>#N/A</v>
        <stp/>
        <stp>BDH|8808526830345425991</stp>
        <tr r="C55" s="18"/>
      </tp>
      <tp t="e">
        <v>#N/A</v>
        <stp/>
        <stp>BDH|9286713586157107332</stp>
        <tr r="AA35" s="26"/>
      </tp>
      <tp t="e">
        <v>#N/A</v>
        <stp/>
        <stp>BDH|9759226457748554409</stp>
        <tr r="E42" s="4"/>
      </tp>
      <tp t="e">
        <v>#N/A</v>
        <stp/>
        <stp>BDH|3584733563191143136</stp>
        <tr r="T16" s="17"/>
        <tr r="T19" s="28"/>
      </tp>
      <tp t="e">
        <v>#N/A</v>
        <stp/>
        <stp>BDH|8676150697640121228</stp>
        <tr r="Q19" s="30"/>
      </tp>
      <tp t="e">
        <v>#N/A</v>
        <stp/>
        <stp>BDH|8494853625615535565</stp>
        <tr r="K38" s="22"/>
      </tp>
      <tp t="e">
        <v>#N/A</v>
        <stp/>
        <stp>BDH|5145132839083885644</stp>
        <tr r="I62" s="17"/>
      </tp>
      <tp t="e">
        <v>#N/A</v>
        <stp/>
        <stp>BDH|5834494066740554558</stp>
        <tr r="P41" s="21"/>
      </tp>
      <tp t="e">
        <v>#N/A</v>
        <stp/>
        <stp>BDH|1268440601707543058</stp>
        <tr r="O15" s="10"/>
      </tp>
      <tp t="e">
        <v>#N/A</v>
        <stp/>
        <stp>BDH|2190871635488751334</stp>
        <tr r="V47" s="17"/>
      </tp>
      <tp t="e">
        <v>#N/A</v>
        <stp/>
        <stp>BDH|2489375641612068552</stp>
        <tr r="L21" s="30"/>
      </tp>
      <tp t="e">
        <v>#N/A</v>
        <stp/>
        <stp>BDH|1128146805704397645</stp>
        <tr r="AA51" s="24"/>
      </tp>
      <tp t="e">
        <v>#N/A</v>
        <stp/>
        <stp>BDH|3251090311858970845</stp>
        <tr r="O90" s="18"/>
      </tp>
      <tp t="e">
        <v>#N/A</v>
        <stp/>
        <stp>BDH|7388548322791519379</stp>
        <tr r="AA13" s="25"/>
      </tp>
      <tp t="e">
        <v>#N/A</v>
        <stp/>
        <stp>BDH|2776711564911225073</stp>
        <tr r="G35" s="22"/>
      </tp>
      <tp t="e">
        <v>#N/A</v>
        <stp/>
        <stp>BDH|1773728350438023927</stp>
        <tr r="X17" s="4"/>
        <tr r="Z10" s="3"/>
        <tr r="X56" s="10"/>
        <tr r="X48" s="11"/>
        <tr r="X17" s="7"/>
        <tr r="Z54" s="13"/>
      </tp>
      <tp t="e">
        <v>#N/A</v>
        <stp/>
        <stp>BDH|2020272826829555933</stp>
        <tr r="U54" s="18"/>
      </tp>
      <tp t="e">
        <v>#N/A</v>
        <stp/>
        <stp>BDH|8691178993020580207</stp>
        <tr r="S9" s="27"/>
      </tp>
      <tp t="e">
        <v>#N/A</v>
        <stp/>
        <stp>BDH|2464800381540634071</stp>
        <tr r="V34" s="22"/>
      </tp>
      <tp t="e">
        <v>#N/A</v>
        <stp/>
        <stp>BDH|4175175361440343103</stp>
        <tr r="H14" s="20"/>
      </tp>
      <tp t="e">
        <v>#N/A</v>
        <stp/>
        <stp>BDH|7838750198112829991</stp>
        <tr r="P21" s="22"/>
      </tp>
      <tp t="e">
        <v>#N/A</v>
        <stp/>
        <stp>BDH|9764978961740608439</stp>
        <tr r="U40" s="22"/>
      </tp>
      <tp t="e">
        <v>#N/A</v>
        <stp/>
        <stp>BDH|5223454995798748215</stp>
        <tr r="E35" s="18"/>
      </tp>
      <tp t="e">
        <v>#N/A</v>
        <stp/>
        <stp>BDH|6420584535163548183</stp>
        <tr r="D28" s="26"/>
      </tp>
      <tp t="e">
        <v>#N/A</v>
        <stp/>
        <stp>BDH|6336101367056857584</stp>
        <tr r="F68" s="18"/>
      </tp>
      <tp t="e">
        <v>#N/A</v>
        <stp/>
        <stp>BDH|4407326701240257512</stp>
        <tr r="D44" s="13"/>
      </tp>
      <tp t="e">
        <v>#N/A</v>
        <stp/>
        <stp>BDH|5274641430975349718</stp>
        <tr r="E27" s="34"/>
      </tp>
      <tp t="e">
        <v>#N/A</v>
        <stp/>
        <stp>BDH|2666236381258136213</stp>
        <tr r="U38" s="25"/>
      </tp>
      <tp t="e">
        <v>#N/A</v>
        <stp/>
        <stp>BDH|5630237270925393726</stp>
        <tr r="R47" s="13"/>
      </tp>
      <tp t="e">
        <v>#N/A</v>
        <stp/>
        <stp>BDH|3544163313309224863</stp>
        <tr r="K68" s="10"/>
      </tp>
      <tp t="e">
        <v>#N/A</v>
        <stp/>
        <stp>BDH|3279455006347310265</stp>
        <tr r="E39" s="34"/>
      </tp>
      <tp t="e">
        <v>#N/A</v>
        <stp/>
        <stp>BDH|9855486942169477220</stp>
        <tr r="H32" s="18"/>
      </tp>
      <tp t="e">
        <v>#N/A</v>
        <stp/>
        <stp>BDH|2469813417501515834</stp>
        <tr r="T93" s="18"/>
      </tp>
      <tp t="e">
        <v>#N/A</v>
        <stp/>
        <stp>BDH|8368574816029101776</stp>
        <tr r="P43" s="29"/>
      </tp>
      <tp t="e">
        <v>#N/A</v>
        <stp/>
        <stp>BDH|4044337935422454466</stp>
        <tr r="O29" s="4"/>
      </tp>
      <tp t="e">
        <v>#N/A</v>
        <stp/>
        <stp>BDH|2932201237479253884</stp>
        <tr r="Q31" s="24"/>
      </tp>
      <tp t="e">
        <v>#N/A</v>
        <stp/>
        <stp>BDH|2377035406312137235</stp>
        <tr r="S79" s="12"/>
      </tp>
      <tp t="e">
        <v>#N/A</v>
        <stp/>
        <stp>BDH|3641164609333804354</stp>
        <tr r="X89" s="18"/>
      </tp>
      <tp t="e">
        <v>#N/A</v>
        <stp/>
        <stp>BDH|9993066865704798996</stp>
        <tr r="O34" s="18"/>
      </tp>
      <tp t="e">
        <v>#N/A</v>
        <stp/>
        <stp>BDH|3495541504510401444</stp>
        <tr r="I48" s="13"/>
      </tp>
      <tp t="e">
        <v>#N/A</v>
        <stp/>
        <stp>BDH|5326709240085232151</stp>
        <tr r="N7" s="2"/>
        <tr r="M7" s="5"/>
        <tr r="M7" s="9"/>
        <tr r="P14" s="3"/>
      </tp>
      <tp t="e">
        <v>#N/A</v>
        <stp/>
        <stp>BDH|2166398342062822564</stp>
        <tr r="D24" s="22"/>
      </tp>
      <tp t="e">
        <v>#N/A</v>
        <stp/>
        <stp>BDH|6596560950173536723</stp>
        <tr r="K65" s="12"/>
      </tp>
      <tp t="e">
        <v>#N/A</v>
        <stp/>
        <stp>BDH|8484059902448497234</stp>
        <tr r="O46" s="17"/>
      </tp>
      <tp t="e">
        <v>#N/A</v>
        <stp/>
        <stp>BDH|2321221919090890341</stp>
        <tr r="X19" s="5"/>
        <tr r="X46" s="6"/>
      </tp>
      <tp t="e">
        <v>#N/A</v>
        <stp/>
        <stp>BDH|8112704385350345539</stp>
        <tr r="X13" s="7"/>
      </tp>
      <tp t="e">
        <v>#N/A</v>
        <stp/>
        <stp>BDH|5775752831994106767</stp>
        <tr r="J26" s="34"/>
      </tp>
      <tp t="e">
        <v>#N/A</v>
        <stp/>
        <stp>BDH|7099162983184446855</stp>
        <tr r="Q56" s="18"/>
      </tp>
      <tp t="e">
        <v>#N/A</v>
        <stp/>
        <stp>BDH|7575630425788238959</stp>
        <tr r="K17" s="22"/>
      </tp>
      <tp t="e">
        <v>#N/A</v>
        <stp/>
        <stp>BDH|6836753305494586796</stp>
        <tr r="Y57" s="24"/>
      </tp>
      <tp t="e">
        <v>#N/A</v>
        <stp/>
        <stp>BDH|8929076636698971158</stp>
        <tr r="Y55" s="17"/>
      </tp>
      <tp t="e">
        <v>#N/A</v>
        <stp/>
        <stp>BDH|8306990805314368789</stp>
        <tr r="F46" s="34"/>
      </tp>
      <tp t="e">
        <v>#N/A</v>
        <stp/>
        <stp>BDH|9475774851760016969</stp>
        <tr r="V27" s="34"/>
      </tp>
      <tp t="e">
        <v>#N/A</v>
        <stp/>
        <stp>BDH|9002006232969159176</stp>
        <tr r="M19" s="22"/>
      </tp>
      <tp t="e">
        <v>#N/A</v>
        <stp/>
        <stp>BDH|9132122562658606438</stp>
        <tr r="H8" s="11"/>
      </tp>
      <tp t="e">
        <v>#N/A</v>
        <stp/>
        <stp>BDH|5015955697637285045</stp>
        <tr r="V20" s="22"/>
      </tp>
      <tp t="e">
        <v>#N/A</v>
        <stp/>
        <stp>BDH|5481753154744123101</stp>
        <tr r="O25" s="17"/>
      </tp>
      <tp t="e">
        <v>#N/A</v>
        <stp/>
        <stp>BDH|1129426506707283034</stp>
        <tr r="Y9" s="34"/>
      </tp>
      <tp t="e">
        <v>#N/A</v>
        <stp/>
        <stp>BDH|8567942987548095327</stp>
        <tr r="V76" s="17"/>
        <tr r="V19" s="3"/>
      </tp>
      <tp t="e">
        <v>#N/A</v>
        <stp/>
        <stp>BDH|7358750065747285355</stp>
        <tr r="Q39" s="25"/>
        <tr r="Q7" s="3"/>
        <tr r="O18" s="11"/>
        <tr r="Q22" s="13"/>
        <tr r="Q7" s="13"/>
      </tp>
      <tp t="e">
        <v>#N/A</v>
        <stp/>
        <stp>BDH|3214451755540692002</stp>
        <tr r="Z57" s="12"/>
      </tp>
      <tp t="e">
        <v>#N/A</v>
        <stp/>
        <stp>BDH|9672779121819082740</stp>
        <tr r="K38" s="17"/>
      </tp>
      <tp t="e">
        <v>#N/A</v>
        <stp/>
        <stp>BDH|7395800090833623702</stp>
        <tr r="K63" s="21"/>
        <tr r="I23" s="7"/>
      </tp>
      <tp t="e">
        <v>#N/A</v>
        <stp/>
        <stp>BDH|7797418577417773133</stp>
        <tr r="V49" s="24"/>
      </tp>
      <tp t="e">
        <v>#N/A</v>
        <stp/>
        <stp>BDH|2510155001639667824</stp>
        <tr r="Z12" s="26"/>
      </tp>
      <tp t="e">
        <v>#N/A</v>
        <stp/>
        <stp>BDH|6676026436566071173</stp>
        <tr r="R18" s="25"/>
      </tp>
      <tp t="e">
        <v>#N/A</v>
        <stp/>
        <stp>BDH|1903533674438860931</stp>
        <tr r="D84" s="24"/>
      </tp>
      <tp t="e">
        <v>#N/A</v>
        <stp/>
        <stp>BDH|8886369648705778841</stp>
        <tr r="O30" s="29"/>
        <tr r="O8" s="29"/>
      </tp>
      <tp t="e">
        <v>#N/A</v>
        <stp/>
        <stp>BDH|1767475878347830753</stp>
        <tr r="P38" s="6"/>
      </tp>
      <tp t="e">
        <v>#N/A</v>
        <stp/>
        <stp>BDH|9520160693080028353</stp>
        <tr r="U16" s="23"/>
      </tp>
      <tp t="e">
        <v>#N/A</v>
        <stp/>
        <stp>BDH|7538240777009768946</stp>
        <tr r="T90" s="18"/>
      </tp>
      <tp t="e">
        <v>#N/A</v>
        <stp/>
        <stp>BDH|2636608969260229088</stp>
        <tr r="Y65" s="17"/>
      </tp>
      <tp t="e">
        <v>#N/A</v>
        <stp/>
        <stp>BDH|1245455734165515133</stp>
        <tr r="F69" s="12"/>
      </tp>
      <tp t="e">
        <v>#N/A</v>
        <stp/>
        <stp>BDH|1699046070296198266</stp>
        <tr r="P108" s="18"/>
      </tp>
      <tp t="e">
        <v>#N/A</v>
        <stp/>
        <stp>BDH|3466378419267981461</stp>
        <tr r="E49" s="4"/>
      </tp>
      <tp t="e">
        <v>#N/A</v>
        <stp/>
        <stp>BDH|7797108623215653373</stp>
        <tr r="AA92" s="18"/>
      </tp>
      <tp t="e">
        <v>#N/A</v>
        <stp/>
        <stp>BDH|4682371525301369629</stp>
        <tr r="Y78" s="24"/>
      </tp>
      <tp t="e">
        <v>#N/A</v>
        <stp/>
        <stp>BDH|2691121049562093780</stp>
        <tr r="Q69" s="18"/>
      </tp>
      <tp t="e">
        <v>#N/A</v>
        <stp/>
        <stp>BDH|4101987746379847224</stp>
        <tr r="X19" s="30"/>
      </tp>
      <tp t="e">
        <v>#N/A</v>
        <stp/>
        <stp>BDH|5934979599886769150</stp>
        <tr r="L63" s="21"/>
        <tr r="J23" s="7"/>
      </tp>
      <tp t="e">
        <v>#N/A</v>
        <stp/>
        <stp>BDH|9252673191523343720</stp>
        <tr r="J43" s="4"/>
      </tp>
      <tp t="e">
        <v>#N/A</v>
        <stp/>
        <stp>BDH|6530318403886352111</stp>
        <tr r="Z49" s="22"/>
      </tp>
      <tp t="e">
        <v>#N/A</v>
        <stp/>
        <stp>BDH|9196196570359586482</stp>
        <tr r="W15" s="20"/>
      </tp>
      <tp t="e">
        <v>#N/A</v>
        <stp/>
        <stp>BDH|3245667956472463037</stp>
        <tr r="T8" s="6"/>
      </tp>
      <tp t="e">
        <v>#N/A</v>
        <stp/>
        <stp>BDH|2714332040255158202</stp>
        <tr r="I40" s="17"/>
      </tp>
      <tp t="e">
        <v>#N/A</v>
        <stp/>
        <stp>BDH|2856338634576202681</stp>
        <tr r="Z83" s="18"/>
      </tp>
      <tp t="e">
        <v>#N/A</v>
        <stp/>
        <stp>BDH|6337271173234704559</stp>
        <tr r="L9" s="13"/>
      </tp>
      <tp t="e">
        <v>#N/A</v>
        <stp/>
        <stp>BDH|1196091669622226764</stp>
        <tr r="L68" s="18"/>
      </tp>
      <tp t="e">
        <v>#N/A</v>
        <stp/>
        <stp>BDH|9053676784974100172</stp>
        <tr r="J90" s="24"/>
      </tp>
      <tp t="e">
        <v>#N/A</v>
        <stp/>
        <stp>BDH|6276825080936429211</stp>
        <tr r="X8" s="12"/>
      </tp>
      <tp t="e">
        <v>#N/A</v>
        <stp/>
        <stp>BDH|9305564743593181921</stp>
        <tr r="I12" s="20"/>
      </tp>
      <tp t="e">
        <v>#N/A</v>
        <stp/>
        <stp>BDH|8554706582603095627</stp>
        <tr r="H92" s="17"/>
        <tr r="H13" s="28"/>
      </tp>
      <tp t="e">
        <v>#N/A</v>
        <stp/>
        <stp>BDH|6439529416518646830</stp>
        <tr r="M21" s="27"/>
      </tp>
      <tp t="e">
        <v>#N/A</v>
        <stp/>
        <stp>BDH|5506488203002349186</stp>
        <tr r="J22" s="27"/>
      </tp>
      <tp t="e">
        <v>#N/A</v>
        <stp/>
        <stp>BDH|6300621986139095323</stp>
        <tr r="N9" s="11"/>
      </tp>
      <tp t="e">
        <v>#N/A</v>
        <stp/>
        <stp>BDH|5425011061965159405</stp>
        <tr r="R117" s="18"/>
      </tp>
      <tp t="e">
        <v>#N/A</v>
        <stp/>
        <stp>BDH|7379829740661439806</stp>
        <tr r="E24" s="6"/>
      </tp>
      <tp t="e">
        <v>#N/A</v>
        <stp/>
        <stp>BDH|6362263371842557345</stp>
        <tr r="Q9" s="22"/>
      </tp>
      <tp t="e">
        <v>#N/A</v>
        <stp/>
        <stp>BDH|5505414251834657264</stp>
        <tr r="L28" s="34"/>
      </tp>
      <tp t="e">
        <v>#N/A</v>
        <stp/>
        <stp>BDH|3968459456738768882</stp>
        <tr r="E29" s="18"/>
      </tp>
      <tp t="e">
        <v>#N/A</v>
        <stp/>
        <stp>BDH|2291999155904914827</stp>
        <tr r="H55" s="13"/>
      </tp>
      <tp t="e">
        <v>#N/A</v>
        <stp/>
        <stp>BDH|2751132340572045719</stp>
        <tr r="K80" s="18"/>
      </tp>
      <tp t="e">
        <v>#N/A</v>
        <stp/>
        <stp>BDH|6345349977407201776</stp>
        <tr r="Y52" s="24"/>
      </tp>
      <tp t="e">
        <v>#N/A</v>
        <stp/>
        <stp>BDH|9911902349523309569</stp>
        <tr r="F34" s="5"/>
        <tr r="G32" s="29"/>
      </tp>
      <tp t="e">
        <v>#N/A</v>
        <stp/>
        <stp>BDH|2240533426822728553</stp>
        <tr r="U23" s="5"/>
        <tr r="U23" s="9"/>
      </tp>
      <tp t="e">
        <v>#N/A</v>
        <stp/>
        <stp>BDH|19927717847735046</stp>
        <tr r="T11" s="13"/>
      </tp>
      <tp t="e">
        <v>#N/A</v>
        <stp/>
        <stp>BDH|78817650157783525</stp>
        <tr r="X34" s="6"/>
      </tp>
      <tp t="e">
        <v>#N/A</v>
        <stp/>
        <stp>BDH|43649771766801889</stp>
        <tr r="AA35" s="25"/>
      </tp>
      <tp t="e">
        <v>#N/A</v>
        <stp/>
        <stp>BDH|50320262402776859</stp>
        <tr r="D88" s="24"/>
      </tp>
      <tp t="e">
        <v>#N/A</v>
        <stp/>
        <stp>BDH|95956506255456350</stp>
        <tr r="E18" s="23"/>
      </tp>
      <tp t="e">
        <v>#N/A</v>
        <stp/>
        <stp>BDH|47765596460090138</stp>
        <tr r="L87" s="18"/>
      </tp>
      <tp t="e">
        <v>#N/A</v>
        <stp/>
        <stp>BDH|65251468982877956</stp>
        <tr r="S44" s="34"/>
      </tp>
      <tp t="e">
        <v>#N/A</v>
        <stp/>
        <stp>BDH|95879894058135695</stp>
        <tr r="N17" s="24"/>
      </tp>
      <tp t="e">
        <v>#N/A</v>
        <stp/>
        <stp>BDH|34258322516995979</stp>
        <tr r="H30" s="25"/>
        <tr r="H16" s="27"/>
      </tp>
      <tp t="e">
        <v>#N/A</v>
        <stp/>
        <stp>BDH|6997886569709107239</stp>
        <tr r="P14" s="4"/>
      </tp>
      <tp t="e">
        <v>#N/A</v>
        <stp/>
        <stp>BDH|3031548647775180485</stp>
        <tr r="X34" s="22"/>
      </tp>
      <tp t="e">
        <v>#N/A</v>
        <stp/>
        <stp>BDH|9925362360499121647</stp>
        <tr r="L50" s="24"/>
      </tp>
      <tp t="e">
        <v>#N/A</v>
        <stp/>
        <stp>BDH|2323492075406250471</stp>
        <tr r="F25" s="26"/>
      </tp>
      <tp t="e">
        <v>#N/A</v>
        <stp/>
        <stp>BDH|2639006978610532610</stp>
        <tr r="E7" s="17"/>
      </tp>
      <tp t="e">
        <v>#N/A</v>
        <stp/>
        <stp>BDH|6923507310356410774</stp>
        <tr r="M22" s="24"/>
      </tp>
      <tp t="e">
        <v>#N/A</v>
        <stp/>
        <stp>BDH|1061459813834949350</stp>
        <tr r="V13" s="7"/>
      </tp>
      <tp t="e">
        <v>#N/A</v>
        <stp/>
        <stp>BDH|4342250559279633936</stp>
        <tr r="S27" s="21"/>
      </tp>
      <tp t="e">
        <v>#N/A</v>
        <stp/>
        <stp>BDH|7802832922396407873</stp>
        <tr r="J8" s="28"/>
      </tp>
      <tp t="e">
        <v>#N/A</v>
        <stp/>
        <stp>BDH|9721076635769781089</stp>
        <tr r="J23" s="6"/>
      </tp>
      <tp t="e">
        <v>#N/A</v>
        <stp/>
        <stp>BDH|2057703126620875445</stp>
        <tr r="J99" s="18"/>
        <tr r="J8" s="20"/>
      </tp>
      <tp t="e">
        <v>#N/A</v>
        <stp/>
        <stp>BDH|7454596647114819181</stp>
        <tr r="O50" s="18"/>
      </tp>
      <tp t="e">
        <v>#N/A</v>
        <stp/>
        <stp>BDH|3974665535736113311</stp>
        <tr r="F16" s="25"/>
      </tp>
      <tp t="e">
        <v>#N/A</v>
        <stp/>
        <stp>BDH|4833535666606704205</stp>
        <tr r="J36" s="21"/>
      </tp>
      <tp t="e">
        <v>#N/A</v>
        <stp/>
        <stp>BDH|9823909116995529715</stp>
        <tr r="N18" s="23"/>
      </tp>
      <tp t="e">
        <v>#N/A</v>
        <stp/>
        <stp>BDH|7778196425244012317</stp>
        <tr r="G46" s="18"/>
      </tp>
      <tp t="e">
        <v>#N/A</v>
        <stp/>
        <stp>BDH|4256435903811155298</stp>
        <tr r="P9" s="17"/>
      </tp>
      <tp t="e">
        <v>#N/A</v>
        <stp/>
        <stp>BDH|6016202614294712295</stp>
        <tr r="D45" s="18"/>
      </tp>
      <tp t="e">
        <v>#N/A</v>
        <stp/>
        <stp>BDH|4571771592659874023</stp>
        <tr r="E7" s="23"/>
      </tp>
      <tp t="e">
        <v>#N/A</v>
        <stp/>
        <stp>BDH|1164837018759462244</stp>
        <tr r="V43" s="10"/>
        <tr r="V35" s="11"/>
      </tp>
      <tp t="e">
        <v>#N/A</v>
        <stp/>
        <stp>BDH|6811300741812398004</stp>
        <tr r="W15" s="11"/>
      </tp>
      <tp t="e">
        <v>#N/A</v>
        <stp/>
        <stp>BDH|6631795075655720075</stp>
        <tr r="O52" s="10"/>
        <tr r="O44" s="11"/>
        <tr r="O15" s="7"/>
      </tp>
      <tp t="e">
        <v>#N/A</v>
        <stp/>
        <stp>BDH|7554039423917864174</stp>
        <tr r="M84" s="18"/>
      </tp>
      <tp t="e">
        <v>#N/A</v>
        <stp/>
        <stp>BDH|6113090146185007447</stp>
        <tr r="S142" s="18"/>
      </tp>
      <tp t="e">
        <v>#N/A</v>
        <stp/>
        <stp>BDH|5119397921513056430</stp>
        <tr r="U7" s="14"/>
      </tp>
      <tp t="e">
        <v>#N/A</v>
        <stp/>
        <stp>BDH|3813150085869579078</stp>
        <tr r="P58" s="6"/>
      </tp>
      <tp t="e">
        <v>#N/A</v>
        <stp/>
        <stp>BDH|2091156648584142067</stp>
        <tr r="J27" s="12"/>
      </tp>
      <tp t="e">
        <v>#N/A</v>
        <stp/>
        <stp>BDH|4717086463856149772</stp>
        <tr r="P9" s="13"/>
      </tp>
      <tp t="e">
        <v>#N/A</v>
        <stp/>
        <stp>BDH|6405462759161032518</stp>
        <tr r="F129" s="18"/>
      </tp>
      <tp t="e">
        <v>#N/A</v>
        <stp/>
        <stp>BDH|1398673577753148082</stp>
        <tr r="D87" s="12"/>
      </tp>
      <tp t="e">
        <v>#N/A</v>
        <stp/>
        <stp>BDH|9223082396846147577</stp>
        <tr r="W22" s="14"/>
      </tp>
      <tp t="e">
        <v>#N/A</v>
        <stp/>
        <stp>BDH|9515220987517996736</stp>
        <tr r="G10" s="17"/>
      </tp>
      <tp t="e">
        <v>#N/A</v>
        <stp/>
        <stp>BDH|8191649578902037870</stp>
        <tr r="H61" s="24"/>
      </tp>
      <tp t="e">
        <v>#N/A</v>
        <stp/>
        <stp>BDH|9650780182380693505</stp>
        <tr r="W53" s="24"/>
      </tp>
      <tp t="e">
        <v>#N/A</v>
        <stp/>
        <stp>BDH|7077795011334257609</stp>
        <tr r="C47" s="18"/>
      </tp>
      <tp t="e">
        <v>#N/A</v>
        <stp/>
        <stp>BDH|8625695869348584391</stp>
        <tr r="C6" s="28"/>
      </tp>
      <tp t="e">
        <v>#N/A</v>
        <stp/>
        <stp>BDH|1609194447337288003</stp>
        <tr r="X140" s="18"/>
      </tp>
      <tp t="e">
        <v>#N/A</v>
        <stp/>
        <stp>BDH|4625445468423165619</stp>
        <tr r="AA68" s="24"/>
      </tp>
      <tp t="e">
        <v>#N/A</v>
        <stp/>
        <stp>BDH|5097422059131962680</stp>
        <tr r="G25" s="12"/>
      </tp>
      <tp t="e">
        <v>#N/A</v>
        <stp/>
        <stp>BDH|9789907867057220282</stp>
        <tr r="U9" s="11"/>
      </tp>
      <tp t="e">
        <v>#N/A</v>
        <stp/>
        <stp>BDH|3639363509530523368</stp>
        <tr r="U57" s="24"/>
      </tp>
      <tp t="e">
        <v>#N/A</v>
        <stp/>
        <stp>BDH|3332612669708926895</stp>
        <tr r="O16" s="23"/>
      </tp>
      <tp t="e">
        <v>#N/A</v>
        <stp/>
        <stp>BDH|5409704648112470733</stp>
        <tr r="V26" s="18"/>
      </tp>
      <tp t="e">
        <v>#N/A</v>
        <stp/>
        <stp>BDH|1648348268294677379</stp>
        <tr r="U12" s="3"/>
        <tr r="S55" s="10"/>
        <tr r="S47" s="11"/>
        <tr r="S7" s="7"/>
      </tp>
      <tp t="e">
        <v>#N/A</v>
        <stp/>
        <stp>BDH|2435707013105901255</stp>
        <tr r="S16" s="25"/>
      </tp>
      <tp t="e">
        <v>#N/A</v>
        <stp/>
        <stp>BDH|4849640767330265721</stp>
        <tr r="F17" s="23"/>
      </tp>
      <tp t="e">
        <v>#N/A</v>
        <stp/>
        <stp>BDH|4532821840158966355</stp>
        <tr r="T9" s="14"/>
      </tp>
      <tp t="e">
        <v>#N/A</v>
        <stp/>
        <stp>BDH|2573352467343939755</stp>
        <tr r="D23" s="25"/>
      </tp>
      <tp t="e">
        <v>#N/A</v>
        <stp/>
        <stp>BDH|8836570938864523999</stp>
        <tr r="Y77" s="24"/>
      </tp>
      <tp t="e">
        <v>#N/A</v>
        <stp/>
        <stp>BDH|9689436268108281047</stp>
        <tr r="C49" s="6"/>
      </tp>
      <tp t="e">
        <v>#N/A</v>
        <stp/>
        <stp>BDH|2425230071632566680</stp>
        <tr r="H139" s="18"/>
      </tp>
      <tp t="e">
        <v>#N/A</v>
        <stp/>
        <stp>BDH|5673396147073155226</stp>
        <tr r="P13" s="20"/>
      </tp>
      <tp t="e">
        <v>#N/A</v>
        <stp/>
        <stp>BDH|2386529219613279612</stp>
        <tr r="Q17" s="12"/>
      </tp>
      <tp t="e">
        <v>#N/A</v>
        <stp/>
        <stp>BDH|9659154889796866592</stp>
        <tr r="J15" s="26"/>
      </tp>
      <tp t="e">
        <v>#N/A</v>
        <stp/>
        <stp>BDH|6210977194570943532</stp>
        <tr r="F11" s="9"/>
      </tp>
      <tp t="e">
        <v>#N/A</v>
        <stp/>
        <stp>BDH|4489609553762476684</stp>
        <tr r="L6" s="19"/>
        <tr r="L35" s="17"/>
        <tr r="L16" s="3"/>
      </tp>
      <tp t="e">
        <v>#N/A</v>
        <stp/>
        <stp>BDH|1939229653612018739</stp>
        <tr r="E19" s="25"/>
      </tp>
      <tp t="e">
        <v>#N/A</v>
        <stp/>
        <stp>BDH|2059631019704237234</stp>
        <tr r="F85" s="18"/>
      </tp>
      <tp t="e">
        <v>#N/A</v>
        <stp/>
        <stp>BDH|3960275003587247545</stp>
        <tr r="S15" s="10"/>
      </tp>
      <tp t="e">
        <v>#N/A</v>
        <stp/>
        <stp>BDH|7764500603856992761</stp>
        <tr r="P11" s="22"/>
      </tp>
      <tp t="e">
        <v>#N/A</v>
        <stp/>
        <stp>BDH|7754247139111976482</stp>
        <tr r="R23" s="25"/>
        <tr r="P20" s="11"/>
      </tp>
      <tp t="e">
        <v>#N/A</v>
        <stp/>
        <stp>BDH|3074813243678092492</stp>
        <tr r="X16" s="14"/>
      </tp>
      <tp t="e">
        <v>#N/A</v>
        <stp/>
        <stp>BDH|8985627987363373643</stp>
        <tr r="T50" s="24"/>
      </tp>
      <tp t="e">
        <v>#N/A</v>
        <stp/>
        <stp>BDH|6419933065633880914</stp>
        <tr r="I11" s="6"/>
      </tp>
      <tp t="e">
        <v>#N/A</v>
        <stp/>
        <stp>BDH|2626096676927436165</stp>
        <tr r="V88" s="12"/>
      </tp>
      <tp t="e">
        <v>#N/A</v>
        <stp/>
        <stp>BDH|6687005434564139280</stp>
        <tr r="X21" s="2"/>
      </tp>
      <tp t="e">
        <v>#N/A</v>
        <stp/>
        <stp>BDH|7796661306521474380</stp>
        <tr r="R38" s="34"/>
      </tp>
      <tp t="e">
        <v>#N/A</v>
        <stp/>
        <stp>BDH|5067041931744684182</stp>
        <tr r="Q37" s="18"/>
      </tp>
      <tp t="e">
        <v>#N/A</v>
        <stp/>
        <stp>BDH|8739561402636190897</stp>
        <tr r="N16" s="23"/>
      </tp>
      <tp t="e">
        <v>#N/A</v>
        <stp/>
        <stp>BDH|1109018431627217685</stp>
        <tr r="V12" s="12"/>
      </tp>
      <tp t="e">
        <v>#N/A</v>
        <stp/>
        <stp>BDH|9772435078979444032</stp>
        <tr r="S38" s="24"/>
      </tp>
      <tp t="e">
        <v>#N/A</v>
        <stp/>
        <stp>BDH|2846188048435009135</stp>
        <tr r="R137" s="18"/>
      </tp>
      <tp t="e">
        <v>#N/A</v>
        <stp/>
        <stp>BDH|7292018349987725767</stp>
        <tr r="O7" s="30"/>
      </tp>
      <tp t="e">
        <v>#N/A</v>
        <stp/>
        <stp>BDH|3016628263472258285</stp>
        <tr r="H13" s="10"/>
      </tp>
      <tp t="e">
        <v>#N/A</v>
        <stp/>
        <stp>BDH|2113889397639251977</stp>
        <tr r="P68" s="10"/>
      </tp>
      <tp t="e">
        <v>#N/A</v>
        <stp/>
        <stp>BDH|4913645813647765728</stp>
        <tr r="G11" s="18"/>
      </tp>
      <tp t="e">
        <v>#N/A</v>
        <stp/>
        <stp>BDH|4533340396158984555</stp>
        <tr r="L61" s="17"/>
      </tp>
      <tp t="e">
        <v>#N/A</v>
        <stp/>
        <stp>BDH|4870609404040482139</stp>
        <tr r="C10" s="13"/>
      </tp>
      <tp t="e">
        <v>#N/A</v>
        <stp/>
        <stp>BDH|7429810918754497923</stp>
        <tr r="D29" s="6"/>
      </tp>
      <tp t="e">
        <v>#N/A</v>
        <stp/>
        <stp>BDH|2009128748420206433</stp>
        <tr r="C15" s="10"/>
      </tp>
      <tp t="e">
        <v>#N/A</v>
        <stp/>
        <stp>BDH|8732416303246696980</stp>
        <tr r="D28" s="17"/>
      </tp>
      <tp t="e">
        <v>#N/A</v>
        <stp/>
        <stp>BDH|2921750687496407848</stp>
        <tr r="T78" s="24"/>
      </tp>
      <tp t="e">
        <v>#N/A</v>
        <stp/>
        <stp>BDH|4167489873032725663</stp>
        <tr r="I98" s="18"/>
        <tr r="I7" s="20"/>
      </tp>
      <tp t="e">
        <v>#N/A</v>
        <stp/>
        <stp>BDH|4842991619416701970</stp>
        <tr r="G31" s="21"/>
      </tp>
      <tp t="e">
        <v>#N/A</v>
        <stp/>
        <stp>BDH|1514373423354895719</stp>
        <tr r="S11" s="11"/>
      </tp>
      <tp t="e">
        <v>#N/A</v>
        <stp/>
        <stp>BDH|5336210503097114383</stp>
        <tr r="D8" s="2"/>
      </tp>
      <tp t="e">
        <v>#N/A</v>
        <stp/>
        <stp>BDH|6696689340121275646</stp>
        <tr r="D63" s="12"/>
      </tp>
      <tp t="e">
        <v>#N/A</v>
        <stp/>
        <stp>BDH|9028866868724329051</stp>
        <tr r="P82" s="24"/>
      </tp>
      <tp t="e">
        <v>#N/A</v>
        <stp/>
        <stp>BDH|8188234886373852249</stp>
        <tr r="H8" s="8"/>
      </tp>
      <tp t="e">
        <v>#N/A</v>
        <stp/>
        <stp>BDH|2817515367590077265</stp>
        <tr r="I42" s="22"/>
      </tp>
      <tp t="e">
        <v>#N/A</v>
        <stp/>
        <stp>BDH|1354493952522549152</stp>
        <tr r="Y38" s="26"/>
      </tp>
      <tp t="e">
        <v>#N/A</v>
        <stp/>
        <stp>BDH|4793755938954192739</stp>
        <tr r="O25" s="2"/>
        <tr r="Q60" s="21"/>
      </tp>
      <tp t="e">
        <v>#N/A</v>
        <stp/>
        <stp>BDH|7970729444077389043</stp>
        <tr r="C8" s="13"/>
      </tp>
      <tp t="e">
        <v>#N/A</v>
        <stp/>
        <stp>BDH|2349236278741227523</stp>
        <tr r="M34" s="34"/>
      </tp>
      <tp t="e">
        <v>#N/A</v>
        <stp/>
        <stp>BDH|1901676205125732143</stp>
        <tr r="J34" s="24"/>
      </tp>
      <tp t="e">
        <v>#N/A</v>
        <stp/>
        <stp>BDH|5756235177705987629</stp>
        <tr r="R53" s="17"/>
      </tp>
      <tp t="e">
        <v>#N/A</v>
        <stp/>
        <stp>BDH|3954605940500504243</stp>
        <tr r="M16" s="2"/>
        <tr r="M32" s="4"/>
        <tr r="M62" s="10"/>
        <tr r="O19" s="13"/>
      </tp>
      <tp t="e">
        <v>#N/A</v>
        <stp/>
        <stp>BDH|6278684395153705904</stp>
        <tr r="L123" s="18"/>
      </tp>
      <tp t="e">
        <v>#N/A</v>
        <stp/>
        <stp>BDH|5529052613982341584</stp>
        <tr r="AA21" s="30"/>
      </tp>
      <tp t="e">
        <v>#N/A</v>
        <stp/>
        <stp>BDH|6571464403387115698</stp>
        <tr r="N17" s="6"/>
      </tp>
      <tp t="e">
        <v>#N/A</v>
        <stp/>
        <stp>BDH|9252173479409520518</stp>
        <tr r="K48" s="24"/>
      </tp>
      <tp t="e">
        <v>#N/A</v>
        <stp/>
        <stp>BDH|2097832469606509975</stp>
        <tr r="N32" s="14"/>
      </tp>
      <tp t="e">
        <v>#N/A</v>
        <stp/>
        <stp>BDH|6194403228396485559</stp>
        <tr r="O138" s="18"/>
      </tp>
      <tp t="e">
        <v>#N/A</v>
        <stp/>
        <stp>BDH|1124030552277028089</stp>
        <tr r="G18" s="14"/>
      </tp>
      <tp t="e">
        <v>#N/A</v>
        <stp/>
        <stp>BDH|7137898272188773356</stp>
        <tr r="I56" s="6"/>
      </tp>
      <tp t="e">
        <v>#N/A</v>
        <stp/>
        <stp>BDH|3092430319734270103</stp>
        <tr r="O27" s="34"/>
      </tp>
      <tp t="e">
        <v>#N/A</v>
        <stp/>
        <stp>BDH|3860612702405498373</stp>
        <tr r="W20" s="10"/>
      </tp>
      <tp t="e">
        <v>#N/A</v>
        <stp/>
        <stp>BDH|6687087259285955562</stp>
        <tr r="W54" s="21"/>
      </tp>
      <tp t="e">
        <v>#N/A</v>
        <stp/>
        <stp>BDH|8406918823173761395</stp>
        <tr r="M20" s="27"/>
      </tp>
      <tp t="e">
        <v>#N/A</v>
        <stp/>
        <stp>BDH|6435083536930543670</stp>
        <tr r="E23" s="17"/>
      </tp>
      <tp t="e">
        <v>#N/A</v>
        <stp/>
        <stp>BDH|7438636954774866339</stp>
        <tr r="K38" s="18"/>
      </tp>
      <tp t="e">
        <v>#N/A</v>
        <stp/>
        <stp>BDH|2811155992928150164</stp>
        <tr r="U79" s="12"/>
      </tp>
      <tp t="e">
        <v>#N/A</v>
        <stp/>
        <stp>BDH|1672042115040997363</stp>
        <tr r="D42" s="17"/>
      </tp>
      <tp t="e">
        <v>#N/A</v>
        <stp/>
        <stp>BDH|5142173148393331059</stp>
        <tr r="K70" s="18"/>
      </tp>
      <tp t="e">
        <v>#N/A</v>
        <stp/>
        <stp>BDH|3528320200516704596</stp>
        <tr r="M99" s="18"/>
        <tr r="M8" s="20"/>
      </tp>
      <tp t="e">
        <v>#N/A</v>
        <stp/>
        <stp>BDH|9623851886578537294</stp>
        <tr r="Z37" s="12"/>
      </tp>
      <tp t="e">
        <v>#N/A</v>
        <stp/>
        <stp>BDH|8507741794920885540</stp>
        <tr r="S40" s="21"/>
      </tp>
      <tp t="e">
        <v>#N/A</v>
        <stp/>
        <stp>BDH|6909702104443731135</stp>
        <tr r="U67" s="12"/>
      </tp>
      <tp t="e">
        <v>#N/A</v>
        <stp/>
        <stp>BDH|2758202705294949721</stp>
        <tr r="L7" s="4"/>
      </tp>
      <tp t="e">
        <v>#N/A</v>
        <stp/>
        <stp>BDH|2388475704523804618</stp>
        <tr r="F14" s="22"/>
      </tp>
      <tp t="e">
        <v>#N/A</v>
        <stp/>
        <stp>BDH|3567043185571915942</stp>
        <tr r="Y26" s="10"/>
        <tr r="AA32" s="13"/>
      </tp>
      <tp t="e">
        <v>#N/A</v>
        <stp/>
        <stp>BDH|4173166027600972403</stp>
        <tr r="P59" s="13"/>
      </tp>
      <tp t="e">
        <v>#N/A</v>
        <stp/>
        <stp>BDH|9401970599009665355</stp>
        <tr r="P65" s="18"/>
      </tp>
      <tp t="e">
        <v>#N/A</v>
        <stp/>
        <stp>BDH|9310860709280362266</stp>
        <tr r="Z27" s="34"/>
      </tp>
      <tp t="e">
        <v>#N/A</v>
        <stp/>
        <stp>BDH|2120473061851686284</stp>
        <tr r="Z116" s="18"/>
      </tp>
      <tp t="e">
        <v>#N/A</v>
        <stp/>
        <stp>BDH|3432597902593515634</stp>
        <tr r="V18" s="13"/>
      </tp>
      <tp t="e">
        <v>#N/A</v>
        <stp/>
        <stp>BDH|3205423220841884714</stp>
        <tr r="K88" s="24"/>
      </tp>
      <tp t="e">
        <v>#N/A</v>
        <stp/>
        <stp>BDH|6927058882938072573</stp>
        <tr r="P58" s="21"/>
        <tr r="P37" s="25"/>
        <tr r="N31" s="4"/>
        <tr r="N54" s="11"/>
      </tp>
      <tp t="e">
        <v>#N/A</v>
        <stp/>
        <stp>BDH|3128672588156341842</stp>
        <tr r="T26" s="25"/>
        <tr r="T12" s="27"/>
      </tp>
      <tp t="e">
        <v>#N/A</v>
        <stp/>
        <stp>BDH|7530381900145056241</stp>
        <tr r="H59" s="13"/>
      </tp>
      <tp t="e">
        <v>#N/A</v>
        <stp/>
        <stp>BDH|4392388176707282468</stp>
        <tr r="L77" s="18"/>
      </tp>
      <tp t="e">
        <v>#N/A</v>
        <stp/>
        <stp>BDH|6118425927225572687</stp>
        <tr r="Y45" s="13"/>
      </tp>
      <tp t="e">
        <v>#N/A</v>
        <stp/>
        <stp>BDH|1367395137585777737</stp>
        <tr r="O69" s="12"/>
      </tp>
      <tp t="e">
        <v>#N/A</v>
        <stp/>
        <stp>BDH|1715175352706920028</stp>
        <tr r="T65" s="17"/>
      </tp>
      <tp t="e">
        <v>#N/A</v>
        <stp/>
        <stp>BDH|9333047498107149478</stp>
        <tr r="G21" s="9"/>
      </tp>
      <tp t="e">
        <v>#N/A</v>
        <stp/>
        <stp>BDH|4711657910905257593</stp>
        <tr r="V38" s="17"/>
      </tp>
      <tp t="e">
        <v>#N/A</v>
        <stp/>
        <stp>BDH|1402180047931789658</stp>
        <tr r="N18" s="18"/>
      </tp>
      <tp t="e">
        <v>#N/A</v>
        <stp/>
        <stp>BDH|2776998106591148906</stp>
        <tr r="O26" s="7"/>
      </tp>
      <tp t="e">
        <v>#N/A</v>
        <stp/>
        <stp>BDH|3297855980338953872</stp>
        <tr r="Q26" s="22"/>
      </tp>
      <tp t="e">
        <v>#N/A</v>
        <stp/>
        <stp>BDH|8262667334956011892</stp>
        <tr r="T43" s="6"/>
      </tp>
      <tp t="e">
        <v>#N/A</v>
        <stp/>
        <stp>BDH|5935867484771616749</stp>
        <tr r="Y7" s="2"/>
        <tr r="X7" s="5"/>
        <tr r="X7" s="9"/>
        <tr r="AA14" s="3"/>
      </tp>
      <tp t="e">
        <v>#N/A</v>
        <stp/>
        <stp>BDH|8222218176698851642</stp>
        <tr r="U13" s="30"/>
      </tp>
      <tp t="e">
        <v>#N/A</v>
        <stp/>
        <stp>BDH|8491490422424740913</stp>
        <tr r="R70" s="24"/>
      </tp>
      <tp t="e">
        <v>#N/A</v>
        <stp/>
        <stp>BDH|9334853272040585582</stp>
        <tr r="N142" s="18"/>
      </tp>
      <tp t="e">
        <v>#N/A</v>
        <stp/>
        <stp>BDH|6738950948149161128</stp>
        <tr r="H10" s="22"/>
      </tp>
      <tp t="e">
        <v>#N/A</v>
        <stp/>
        <stp>BDH|3284760393239711797</stp>
        <tr r="I65" s="21"/>
      </tp>
      <tp t="e">
        <v>#N/A</v>
        <stp/>
        <stp>BDH|8613704232709457698</stp>
        <tr r="W20" s="12"/>
      </tp>
      <tp t="e">
        <v>#N/A</v>
        <stp/>
        <stp>BDH|8606858352653179596</stp>
        <tr r="AA76" s="24"/>
      </tp>
      <tp t="e">
        <v>#N/A</v>
        <stp/>
        <stp>BDH|8592789894435681062</stp>
        <tr r="U9" s="12"/>
      </tp>
      <tp t="e">
        <v>#N/A</v>
        <stp/>
        <stp>BDH|4054101307650955606</stp>
        <tr r="S10" s="22"/>
      </tp>
      <tp t="e">
        <v>#N/A</v>
        <stp/>
        <stp>BDH|5134914710477951976</stp>
        <tr r="K21" s="27"/>
      </tp>
      <tp t="e">
        <v>#N/A</v>
        <stp/>
        <stp>BDH|5373450179845581047</stp>
        <tr r="U38" s="26"/>
      </tp>
      <tp t="e">
        <v>#N/A</v>
        <stp/>
        <stp>BDH|9801803027651715164</stp>
        <tr r="P19" s="22"/>
      </tp>
      <tp t="e">
        <v>#N/A</v>
        <stp/>
        <stp>BDH|8412832407250748395</stp>
        <tr r="P16" s="11"/>
      </tp>
      <tp t="e">
        <v>#N/A</v>
        <stp/>
        <stp>BDH|7753376590317601983</stp>
        <tr r="X13" s="17"/>
        <tr r="X16" s="28"/>
      </tp>
      <tp t="e">
        <v>#N/A</v>
        <stp/>
        <stp>BDH|8109997590493513831</stp>
        <tr r="L24" s="24"/>
      </tp>
      <tp t="e">
        <v>#N/A</v>
        <stp/>
        <stp>BDH|4557382716487027252</stp>
        <tr r="E22" s="7"/>
      </tp>
      <tp t="e">
        <v>#N/A</v>
        <stp/>
        <stp>BDH|3638413326326971067</stp>
        <tr r="Z10" s="26"/>
      </tp>
      <tp t="e">
        <v>#N/A</v>
        <stp/>
        <stp>BDH|1478080923948782863</stp>
        <tr r="H19" s="18"/>
      </tp>
      <tp t="e">
        <v>#N/A</v>
        <stp/>
        <stp>BDH|3485691419623333499</stp>
        <tr r="E47" s="10"/>
        <tr r="E39" s="11"/>
      </tp>
      <tp t="e">
        <v>#N/A</v>
        <stp/>
        <stp>BDH|1483992086667515409</stp>
        <tr r="O49" s="22"/>
      </tp>
      <tp t="e">
        <v>#N/A</v>
        <stp/>
        <stp>BDH|6973752367666417216</stp>
        <tr r="O49" s="17"/>
      </tp>
      <tp t="e">
        <v>#N/A</v>
        <stp/>
        <stp>BDH|7501650406476998419</stp>
        <tr r="X67" s="17"/>
        <tr r="U8" s="5"/>
        <tr r="U8" s="9"/>
      </tp>
      <tp t="e">
        <v>#N/A</v>
        <stp/>
        <stp>BDH|1974012133362247375</stp>
        <tr r="W67" s="17"/>
        <tr r="T8" s="5"/>
        <tr r="T8" s="9"/>
      </tp>
      <tp t="e">
        <v>#N/A</v>
        <stp/>
        <stp>BDH|9377443005918931659</stp>
        <tr r="O16" s="18"/>
      </tp>
      <tp t="e">
        <v>#N/A</v>
        <stp/>
        <stp>BDH|6556632362334247187</stp>
        <tr r="H87" s="18"/>
      </tp>
      <tp t="e">
        <v>#N/A</v>
        <stp/>
        <stp>BDH|5503771103979694897</stp>
        <tr r="J7" s="2"/>
        <tr r="I7" s="5"/>
        <tr r="I7" s="9"/>
        <tr r="L14" s="3"/>
      </tp>
      <tp t="e">
        <v>#N/A</v>
        <stp/>
        <stp>BDH|9248882632708756912</stp>
        <tr r="AA22" s="17"/>
      </tp>
      <tp t="e">
        <v>#N/A</v>
        <stp/>
        <stp>BDH|3196178849261102405</stp>
        <tr r="J26" s="14"/>
      </tp>
      <tp t="e">
        <v>#N/A</v>
        <stp/>
        <stp>BDH|5293839486557846118</stp>
        <tr r="R62" s="17"/>
      </tp>
      <tp t="e">
        <v>#N/A</v>
        <stp/>
        <stp>BDH|1987251616622775331</stp>
        <tr r="X79" s="24"/>
      </tp>
      <tp t="e">
        <v>#N/A</v>
        <stp/>
        <stp>BDH|2483678598837652934</stp>
        <tr r="D20" s="14"/>
      </tp>
      <tp t="e">
        <v>#N/A</v>
        <stp/>
        <stp>BDH|7567258754706857525</stp>
        <tr r="U14" s="10"/>
      </tp>
      <tp t="e">
        <v>#N/A</v>
        <stp/>
        <stp>BDH|9761293365368167649</stp>
        <tr r="C12" s="8"/>
      </tp>
      <tp t="e">
        <v>#N/A</v>
        <stp/>
        <stp>BDH|6364891345851838895</stp>
        <tr r="K88" s="17"/>
      </tp>
      <tp t="e">
        <v>#N/A</v>
        <stp/>
        <stp>BDH|7277253309505833389</stp>
        <tr r="U25" s="21"/>
      </tp>
      <tp t="e">
        <v>#N/A</v>
        <stp/>
        <stp>BDH|5039158319203618542</stp>
        <tr r="T52" s="4"/>
        <tr r="V8" s="3"/>
        <tr r="T44" s="10"/>
        <tr r="T36" s="11"/>
        <tr r="V40" s="13"/>
      </tp>
      <tp t="e">
        <v>#N/A</v>
        <stp/>
        <stp>BDH|5438406491292889935</stp>
        <tr r="G29" s="6"/>
      </tp>
      <tp t="e">
        <v>#N/A</v>
        <stp/>
        <stp>BDH|3923504166552293137</stp>
        <tr r="L16" s="25"/>
      </tp>
      <tp t="e">
        <v>#N/A</v>
        <stp/>
        <stp>BDH|4739562048030748609</stp>
        <tr r="J32" s="22"/>
      </tp>
      <tp t="e">
        <v>#N/A</v>
        <stp/>
        <stp>BDH|7699874691324760194</stp>
        <tr r="V61" s="17"/>
      </tp>
      <tp t="e">
        <v>#N/A</v>
        <stp/>
        <stp>BDH|2193050808163153231</stp>
        <tr r="Z19" s="17"/>
      </tp>
      <tp t="e">
        <v>#N/A</v>
        <stp/>
        <stp>BDH|1121897360174790812</stp>
        <tr r="K15" s="20"/>
      </tp>
      <tp t="e">
        <v>#N/A</v>
        <stp/>
        <stp>BDH|6298487262011389659</stp>
        <tr r="I104" s="18"/>
      </tp>
      <tp t="e">
        <v>#N/A</v>
        <stp/>
        <stp>BDH|5584694023652802095</stp>
        <tr r="S38" s="6"/>
      </tp>
      <tp t="e">
        <v>#N/A</v>
        <stp/>
        <stp>BDH|7184887611294274945</stp>
        <tr r="Q9" s="13"/>
      </tp>
      <tp t="e">
        <v>#N/A</v>
        <stp/>
        <stp>BDH|8873158852037083818</stp>
        <tr r="Y66" s="17"/>
        <tr r="Y18" s="3"/>
      </tp>
      <tp t="e">
        <v>#N/A</v>
        <stp/>
        <stp>BDH|2430448385715226890</stp>
        <tr r="L14" s="22"/>
      </tp>
      <tp t="e">
        <v>#N/A</v>
        <stp/>
        <stp>BDH|1593680895615409821</stp>
        <tr r="C26" s="17"/>
      </tp>
      <tp t="e">
        <v>#N/A</v>
        <stp/>
        <stp>BDH|5956449307383291168</stp>
        <tr r="F8" s="22"/>
      </tp>
      <tp t="e">
        <v>#N/A</v>
        <stp/>
        <stp>BDH|4128129412974741388</stp>
        <tr r="J81" s="12"/>
      </tp>
      <tp t="e">
        <v>#N/A</v>
        <stp/>
        <stp>BDH|5933011868344994476</stp>
        <tr r="X78" s="12"/>
      </tp>
      <tp t="e">
        <v>#N/A</v>
        <stp/>
        <stp>BDH|7685565919463587331</stp>
        <tr r="K29" s="24"/>
      </tp>
      <tp t="e">
        <v>#N/A</v>
        <stp/>
        <stp>BDH|7347150646711602090</stp>
        <tr r="I38" s="22"/>
      </tp>
      <tp t="e">
        <v>#N/A</v>
        <stp/>
        <stp>BDH|2139874726033910865</stp>
        <tr r="P43" s="34"/>
      </tp>
      <tp t="e">
        <v>#N/A</v>
        <stp/>
        <stp>BDH|5934419208267798582</stp>
        <tr r="V21" s="4"/>
      </tp>
      <tp t="e">
        <v>#N/A</v>
        <stp/>
        <stp>BDH|5143043173470171186</stp>
        <tr r="X55" s="12"/>
      </tp>
      <tp t="e">
        <v>#N/A</v>
        <stp/>
        <stp>BDH|8136479390892961406</stp>
        <tr r="P66" s="17"/>
        <tr r="P18" s="3"/>
      </tp>
      <tp t="e">
        <v>#N/A</v>
        <stp/>
        <stp>BDH|7301028388024729818</stp>
        <tr r="W42" s="24"/>
      </tp>
      <tp t="e">
        <v>#N/A</v>
        <stp/>
        <stp>BDH|8966457867649722030</stp>
        <tr r="P18" s="9"/>
      </tp>
      <tp t="e">
        <v>#N/A</v>
        <stp/>
        <stp>BDH|6203608146990232797</stp>
        <tr r="E21" s="10"/>
      </tp>
      <tp t="e">
        <v>#N/A</v>
        <stp/>
        <stp>BDH|7662893988574939017</stp>
        <tr r="G88" s="24"/>
      </tp>
      <tp t="e">
        <v>#N/A</v>
        <stp/>
        <stp>BDH|4852507705514723651</stp>
        <tr r="G36" s="21"/>
      </tp>
      <tp t="e">
        <v>#N/A</v>
        <stp/>
        <stp>BDH|7113818988963218756</stp>
        <tr r="U13" s="22"/>
      </tp>
      <tp t="e">
        <v>#N/A</v>
        <stp/>
        <stp>BDH|3028323909110105357</stp>
        <tr r="H128" s="18"/>
      </tp>
      <tp t="e">
        <v>#N/A</v>
        <stp/>
        <stp>BDH|7877569482038407179</stp>
        <tr r="E71" s="24"/>
      </tp>
      <tp t="e">
        <v>#N/A</v>
        <stp/>
        <stp>BDH|3534139946886806375</stp>
        <tr r="D32" s="21"/>
      </tp>
      <tp t="e">
        <v>#N/A</v>
        <stp/>
        <stp>BDH|9678494645339457312</stp>
        <tr r="K12" s="25"/>
      </tp>
      <tp t="e">
        <v>#N/A</v>
        <stp/>
        <stp>BDH|2955520014923091603</stp>
        <tr r="Z51" s="18"/>
      </tp>
      <tp t="e">
        <v>#N/A</v>
        <stp/>
        <stp>BDH|2253829088254417539</stp>
        <tr r="P21" s="6"/>
      </tp>
      <tp t="e">
        <v>#N/A</v>
        <stp/>
        <stp>BDH|6713086663334209712</stp>
        <tr r="S77" s="17"/>
      </tp>
      <tp t="e">
        <v>#N/A</v>
        <stp/>
        <stp>BDH|2611629419062551474</stp>
        <tr r="J39" s="17"/>
      </tp>
      <tp t="e">
        <v>#N/A</v>
        <stp/>
        <stp>BDH|4979249647088464911</stp>
        <tr r="E44" s="22"/>
      </tp>
      <tp t="e">
        <v>#N/A</v>
        <stp/>
        <stp>BDH|3610041558475087054</stp>
        <tr r="H76" s="12"/>
      </tp>
      <tp t="e">
        <v>#N/A</v>
        <stp/>
        <stp>BDH|8561568638725504811</stp>
        <tr r="Y61" s="18"/>
      </tp>
      <tp t="e">
        <v>#N/A</v>
        <stp/>
        <stp>BDH|7452649950507959064</stp>
        <tr r="R17" s="14"/>
      </tp>
      <tp t="e">
        <v>#N/A</v>
        <stp/>
        <stp>BDH|2567796851823304010</stp>
        <tr r="C16" s="18"/>
      </tp>
      <tp t="e">
        <v>#N/A</v>
        <stp/>
        <stp>BDH|4264333659956511726</stp>
        <tr r="V24" s="12"/>
      </tp>
      <tp t="e">
        <v>#N/A</v>
        <stp/>
        <stp>BDH|7498220608860789662</stp>
        <tr r="P75" s="24"/>
      </tp>
      <tp t="e">
        <v>#N/A</v>
        <stp/>
        <stp>BDH|4821737846645204109</stp>
        <tr r="F31" s="22"/>
      </tp>
      <tp t="e">
        <v>#N/A</v>
        <stp/>
        <stp>BDH|7940487638274645708</stp>
        <tr r="C82" s="24"/>
      </tp>
      <tp t="e">
        <v>#N/A</v>
        <stp/>
        <stp>BDH|8437752008005141978</stp>
        <tr r="C6" s="8"/>
      </tp>
      <tp t="e">
        <v>#N/A</v>
        <stp/>
        <stp>BDH|5125674323906837421</stp>
        <tr r="C10" s="2"/>
        <tr r="C33" s="29"/>
        <tr r="C42" s="29"/>
      </tp>
      <tp t="e">
        <v>#N/A</v>
        <stp/>
        <stp>BDH|5933099255055238684</stp>
        <tr r="Y43" s="34"/>
      </tp>
      <tp t="e">
        <v>#N/A</v>
        <stp/>
        <stp>BDH|1408809785913856169</stp>
        <tr r="G70" s="12"/>
      </tp>
      <tp t="e">
        <v>#N/A</v>
        <stp/>
        <stp>BDH|6127720764880872402</stp>
        <tr r="O64" s="18"/>
      </tp>
      <tp t="e">
        <v>#N/A</v>
        <stp/>
        <stp>BDH|5782590577054449023</stp>
        <tr r="V33" s="12"/>
      </tp>
      <tp t="e">
        <v>#N/A</v>
        <stp/>
        <stp>BDH|6163056627962800547</stp>
        <tr r="M22" s="22"/>
      </tp>
      <tp t="e">
        <v>#N/A</v>
        <stp/>
        <stp>BDH|7546254975822837325</stp>
        <tr r="AA48" s="18"/>
      </tp>
      <tp t="e">
        <v>#N/A</v>
        <stp/>
        <stp>BDH|7437418565306909066</stp>
        <tr r="M15" s="21"/>
      </tp>
      <tp t="e">
        <v>#N/A</v>
        <stp/>
        <stp>BDH|1433535064539736881</stp>
        <tr r="T9" s="6"/>
      </tp>
      <tp t="e">
        <v>#N/A</v>
        <stp/>
        <stp>BDH|3993718916457247100</stp>
        <tr r="I77" s="18"/>
      </tp>
      <tp t="e">
        <v>#N/A</v>
        <stp/>
        <stp>BDH|1050996391200439202</stp>
        <tr r="H17" s="11"/>
      </tp>
      <tp t="e">
        <v>#N/A</v>
        <stp/>
        <stp>BDH|3851947626109523232</stp>
        <tr r="D47" s="21"/>
      </tp>
      <tp t="e">
        <v>#N/A</v>
        <stp/>
        <stp>BDH|7322100722220800753</stp>
        <tr r="U43" s="10"/>
        <tr r="U35" s="11"/>
      </tp>
      <tp t="e">
        <v>#N/A</v>
        <stp/>
        <stp>BDH|6868789806933861123</stp>
        <tr r="Y25" s="17"/>
      </tp>
      <tp t="e">
        <v>#N/A</v>
        <stp/>
        <stp>BDH|5925491313573908065</stp>
        <tr r="F17" s="18"/>
      </tp>
      <tp t="e">
        <v>#N/A</v>
        <stp/>
        <stp>BDH|2751710155043953062</stp>
        <tr r="O50" s="24"/>
      </tp>
      <tp t="e">
        <v>#N/A</v>
        <stp/>
        <stp>BDH|6173313772491757090</stp>
        <tr r="S9" s="29"/>
      </tp>
      <tp t="e">
        <v>#N/A</v>
        <stp/>
        <stp>BDH|8473251016721806935</stp>
        <tr r="T131" s="18"/>
      </tp>
      <tp t="e">
        <v>#N/A</v>
        <stp/>
        <stp>BDH|2829613420054749122</stp>
        <tr r="H38" s="12"/>
      </tp>
      <tp t="e">
        <v>#N/A</v>
        <stp/>
        <stp>BDH|3882062551334585166</stp>
        <tr r="I7" s="14"/>
      </tp>
      <tp t="e">
        <v>#N/A</v>
        <stp/>
        <stp>BDH|3400871540205847970</stp>
        <tr r="V32" s="22"/>
      </tp>
      <tp t="e">
        <v>#N/A</v>
        <stp/>
        <stp>BDH|6124990150731464804</stp>
        <tr r="U14" s="21"/>
      </tp>
      <tp t="e">
        <v>#N/A</v>
        <stp/>
        <stp>BDH|2276009644153913638</stp>
        <tr r="I52" s="4"/>
        <tr r="K8" s="3"/>
        <tr r="I44" s="10"/>
        <tr r="I36" s="11"/>
        <tr r="K40" s="13"/>
      </tp>
      <tp t="e">
        <v>#N/A</v>
        <stp/>
        <stp>BDH|3468226582543123991</stp>
        <tr r="E9" s="23"/>
      </tp>
      <tp t="e">
        <v>#N/A</v>
        <stp/>
        <stp>BDH|3850074132525650678</stp>
        <tr r="U77" s="18"/>
      </tp>
      <tp t="e">
        <v>#N/A</v>
        <stp/>
        <stp>BDH|2490330852277053097</stp>
        <tr r="S55" s="13"/>
      </tp>
      <tp t="e">
        <v>#N/A</v>
        <stp/>
        <stp>BDH|9624933804744569788</stp>
        <tr r="Z84" s="12"/>
      </tp>
      <tp t="e">
        <v>#N/A</v>
        <stp/>
        <stp>BDH|9844337533908660224</stp>
        <tr r="C23" s="22"/>
      </tp>
      <tp t="e">
        <v>#N/A</v>
        <stp/>
        <stp>BDH|9191623369549724315</stp>
        <tr r="S8" s="10"/>
      </tp>
      <tp t="e">
        <v>#N/A</v>
        <stp/>
        <stp>BDH|4402674464134856338</stp>
        <tr r="E15" s="25"/>
      </tp>
      <tp t="e">
        <v>#N/A</v>
        <stp/>
        <stp>BDH|1978924257217792973</stp>
        <tr r="C84" s="12"/>
      </tp>
      <tp t="e">
        <v>#N/A</v>
        <stp/>
        <stp>BDH|9452368716188177090</stp>
        <tr r="F9" s="11"/>
      </tp>
      <tp t="e">
        <v>#N/A</v>
        <stp/>
        <stp>BDH|5294740696188425080</stp>
        <tr r="V18" s="17"/>
      </tp>
      <tp t="e">
        <v>#N/A</v>
        <stp/>
        <stp>BDH|9101096760498300478</stp>
        <tr r="F58" s="6"/>
      </tp>
      <tp t="e">
        <v>#N/A</v>
        <stp/>
        <stp>BDH|1333246752761185487</stp>
        <tr r="P43" s="18"/>
      </tp>
      <tp t="e">
        <v>#N/A</v>
        <stp/>
        <stp>BDH|1641172077281380591</stp>
        <tr r="N61" s="13"/>
      </tp>
      <tp t="e">
        <v>#N/A</v>
        <stp/>
        <stp>BDH|1273678234543817457</stp>
        <tr r="W49" s="22"/>
      </tp>
      <tp t="e">
        <v>#N/A</v>
        <stp/>
        <stp>BDH|6627893280866649352</stp>
        <tr r="E56" s="18"/>
      </tp>
      <tp t="e">
        <v>#N/A</v>
        <stp/>
        <stp>BDH|7620259448691039370</stp>
        <tr r="U25" s="7"/>
      </tp>
      <tp t="e">
        <v>#N/A</v>
        <stp/>
        <stp>BDH|8484744572359829263</stp>
        <tr r="L44" s="18"/>
      </tp>
      <tp t="e">
        <v>#N/A</v>
        <stp/>
        <stp>BDH|4679185380488455672</stp>
        <tr r="T26" s="10"/>
        <tr r="V32" s="13"/>
      </tp>
      <tp t="e">
        <v>#N/A</v>
        <stp/>
        <stp>BDH|9529535582377149081</stp>
        <tr r="U24" s="12"/>
      </tp>
      <tp t="e">
        <v>#N/A</v>
        <stp/>
        <stp>BDH|5556717509793053201</stp>
        <tr r="W63" s="21"/>
        <tr r="U23" s="7"/>
      </tp>
      <tp t="e">
        <v>#N/A</v>
        <stp/>
        <stp>BDH|7816536317534311423</stp>
        <tr r="M50" s="4"/>
      </tp>
      <tp t="e">
        <v>#N/A</v>
        <stp/>
        <stp>BDH|1759790559756346696</stp>
        <tr r="I27" s="14"/>
      </tp>
      <tp t="e">
        <v>#N/A</v>
        <stp/>
        <stp>BDH|5728565446567850027</stp>
        <tr r="H112" s="18"/>
      </tp>
      <tp t="e">
        <v>#N/A</v>
        <stp/>
        <stp>BDH|3087498853007521621</stp>
        <tr r="M104" s="18"/>
      </tp>
      <tp t="e">
        <v>#N/A</v>
        <stp/>
        <stp>BDH|8550081840408345736</stp>
        <tr r="R13" s="20"/>
      </tp>
      <tp t="e">
        <v>#N/A</v>
        <stp/>
        <stp>BDH|9868814665575330126</stp>
        <tr r="I32" s="5"/>
      </tp>
      <tp t="e">
        <v>#N/A</v>
        <stp/>
        <stp>BDH|4189989054862149918</stp>
        <tr r="C78" s="18"/>
      </tp>
      <tp t="e">
        <v>#N/A</v>
        <stp/>
        <stp>BDH|8966915951694251365</stp>
        <tr r="J139" s="18"/>
      </tp>
      <tp t="e">
        <v>#N/A</v>
        <stp/>
        <stp>BDH|2223096718757979771</stp>
        <tr r="C34" s="9"/>
      </tp>
      <tp t="e">
        <v>#N/A</v>
        <stp/>
        <stp>BDH|4019419148093247468</stp>
        <tr r="W7" s="34"/>
      </tp>
      <tp t="e">
        <v>#N/A</v>
        <stp/>
        <stp>BDH|9746046728430105872</stp>
        <tr r="X41" s="34"/>
      </tp>
      <tp t="e">
        <v>#N/A</v>
        <stp/>
        <stp>BDH|2817968194862361343</stp>
        <tr r="H29" s="18"/>
      </tp>
      <tp t="e">
        <v>#N/A</v>
        <stp/>
        <stp>BDH|7558922095196969264</stp>
        <tr r="C28" s="18"/>
      </tp>
      <tp t="e">
        <v>#N/A</v>
        <stp/>
        <stp>BDH|4747551403575463781</stp>
        <tr r="T87" s="24"/>
      </tp>
      <tp t="e">
        <v>#N/A</v>
        <stp/>
        <stp>BDH|1824193716762991039</stp>
        <tr r="V32" s="10"/>
        <tr r="V24" s="11"/>
      </tp>
      <tp t="e">
        <v>#N/A</v>
        <stp/>
        <stp>BDH|9278380624012282919</stp>
        <tr r="Z7" s="8"/>
      </tp>
      <tp t="e">
        <v>#N/A</v>
        <stp/>
        <stp>BDH|2487588087019578531</stp>
        <tr r="S131" s="18"/>
      </tp>
      <tp t="e">
        <v>#N/A</v>
        <stp/>
        <stp>BDH|4389063269819340821</stp>
        <tr r="M17" s="21"/>
      </tp>
      <tp t="e">
        <v>#N/A</v>
        <stp/>
        <stp>BDH|6503540835083019097</stp>
        <tr r="G90" s="18"/>
      </tp>
      <tp t="e">
        <v>#N/A</v>
        <stp/>
        <stp>BDH|4290697485540210913</stp>
        <tr r="G7" s="8"/>
      </tp>
      <tp t="e">
        <v>#N/A</v>
        <stp/>
        <stp>BDH|2623763576434398585</stp>
        <tr r="S10" s="17"/>
      </tp>
      <tp t="e">
        <v>#N/A</v>
        <stp/>
        <stp>BDH|6386765648062179412</stp>
        <tr r="O12" s="18"/>
      </tp>
      <tp t="e">
        <v>#N/A</v>
        <stp/>
        <stp>BDH|4741098723263619667</stp>
        <tr r="Q19" s="20"/>
      </tp>
      <tp t="e">
        <v>#N/A</v>
        <stp/>
        <stp>BDH|3770168159094672030</stp>
        <tr r="D13" s="2"/>
      </tp>
      <tp t="e">
        <v>#N/A</v>
        <stp/>
        <stp>BDH|5488146768039516807</stp>
        <tr r="Q11" s="9"/>
      </tp>
      <tp t="e">
        <v>#N/A</v>
        <stp/>
        <stp>BDH|7311978604275442894</stp>
        <tr r="Y45" s="4"/>
        <tr r="Y31" s="10"/>
        <tr r="Y23" s="11"/>
        <tr r="AA30" s="13"/>
      </tp>
      <tp t="e">
        <v>#N/A</v>
        <stp/>
        <stp>BDH|3039303088173620838</stp>
        <tr r="G7" s="6"/>
      </tp>
      <tp t="e">
        <v>#N/A</v>
        <stp/>
        <stp>BDH|4103431933449960958</stp>
        <tr r="J34" s="34"/>
      </tp>
      <tp t="e">
        <v>#N/A</v>
        <stp/>
        <stp>BDH|1997730457584734474</stp>
        <tr r="M65" s="21"/>
      </tp>
      <tp t="e">
        <v>#N/A</v>
        <stp/>
        <stp>BDH|7769022550118175998</stp>
        <tr r="W19" s="10"/>
      </tp>
      <tp t="e">
        <v>#N/A</v>
        <stp/>
        <stp>BDH|2910680566225263489</stp>
        <tr r="E23" s="12"/>
      </tp>
      <tp t="e">
        <v>#N/A</v>
        <stp/>
        <stp>BDH|9493210987262858272</stp>
        <tr r="O81" s="18"/>
      </tp>
      <tp t="e">
        <v>#N/A</v>
        <stp/>
        <stp>BDH|6121130806897170381</stp>
        <tr r="S48" s="24"/>
      </tp>
      <tp t="e">
        <v>#N/A</v>
        <stp/>
        <stp>BDH|5714887447049003359</stp>
        <tr r="P20" s="14"/>
      </tp>
      <tp t="e">
        <v>#N/A</v>
        <stp/>
        <stp>BDH|4609462798602293872</stp>
        <tr r="H35" s="25"/>
      </tp>
      <tp t="e">
        <v>#N/A</v>
        <stp/>
        <stp>BDH|6583539949577282303</stp>
        <tr r="Y37" s="21"/>
        <tr r="Y24" s="3"/>
      </tp>
      <tp t="e">
        <v>#N/A</v>
        <stp/>
        <stp>BDH|1673208458231320401</stp>
        <tr r="M20" s="2"/>
        <tr r="M18" s="4"/>
        <tr r="M58" s="10"/>
        <tr r="M50" s="11"/>
        <tr r="M19" s="7"/>
        <tr r="O65" s="13"/>
      </tp>
      <tp t="e">
        <v>#N/A</v>
        <stp/>
        <stp>BDH|4285174519634275333</stp>
        <tr r="P11" s="9"/>
      </tp>
      <tp t="e">
        <v>#N/A</v>
        <stp/>
        <stp>BDH|8155378584128143819</stp>
        <tr r="Y47" s="24"/>
      </tp>
      <tp t="e">
        <v>#N/A</v>
        <stp/>
        <stp>BDH|2871470519003017747</stp>
        <tr r="I19" s="20"/>
      </tp>
      <tp t="e">
        <v>#N/A</v>
        <stp/>
        <stp>BDH|8088854633465602529</stp>
        <tr r="Y26" s="25"/>
        <tr r="Y12" s="27"/>
      </tp>
      <tp t="e">
        <v>#N/A</v>
        <stp/>
        <stp>BDH|7279436452110008510</stp>
        <tr r="Y18" s="13"/>
      </tp>
      <tp t="e">
        <v>#N/A</v>
        <stp/>
        <stp>BDH|5484096159247186474</stp>
        <tr r="R70" s="17"/>
      </tp>
      <tp t="e">
        <v>#N/A</v>
        <stp/>
        <stp>BDH|8007559685906521072</stp>
        <tr r="D34" s="18"/>
      </tp>
      <tp t="e">
        <v>#N/A</v>
        <stp/>
        <stp>BDH|1753551106501141675</stp>
        <tr r="W10" s="13"/>
      </tp>
      <tp t="e">
        <v>#N/A</v>
        <stp/>
        <stp>BDH|4167471154367507157</stp>
        <tr r="M34" s="24"/>
      </tp>
      <tp t="e">
        <v>#N/A</v>
        <stp/>
        <stp>BDH|6602967015418181568</stp>
        <tr r="Z8" s="34"/>
      </tp>
      <tp t="e">
        <v>#N/A</v>
        <stp/>
        <stp>BDH|4317145218366947141</stp>
        <tr r="W38" s="12"/>
      </tp>
      <tp t="e">
        <v>#N/A</v>
        <stp/>
        <stp>BDH|1465853736651397868</stp>
        <tr r="U59" s="24"/>
      </tp>
      <tp t="e">
        <v>#N/A</v>
        <stp/>
        <stp>BDH|6683466244237193270</stp>
        <tr r="Q14" s="8"/>
      </tp>
      <tp t="e">
        <v>#N/A</v>
        <stp/>
        <stp>BDH|2968002049156501370</stp>
        <tr r="N18" s="25"/>
      </tp>
      <tp t="e">
        <v>#N/A</v>
        <stp/>
        <stp>BDH|4562548240483586567</stp>
        <tr r="J39" s="10"/>
        <tr r="J31" s="11"/>
      </tp>
      <tp t="e">
        <v>#N/A</v>
        <stp/>
        <stp>BDH|8312468857229171319</stp>
        <tr r="G45" s="4"/>
        <tr r="G31" s="10"/>
        <tr r="G23" s="11"/>
        <tr r="I30" s="13"/>
      </tp>
      <tp t="e">
        <v>#N/A</v>
        <stp/>
        <stp>BDH|4932859692930431684</stp>
        <tr r="S60" s="18"/>
      </tp>
      <tp t="e">
        <v>#N/A</v>
        <stp/>
        <stp>BDH|6663647921041629077</stp>
        <tr r="R13" s="17"/>
        <tr r="R16" s="28"/>
      </tp>
      <tp t="e">
        <v>#N/A</v>
        <stp/>
        <stp>BDH|6858681924377137670</stp>
        <tr r="I17" s="21"/>
      </tp>
      <tp t="e">
        <v>#N/A</v>
        <stp/>
        <stp>BDH|3449862402261348917</stp>
        <tr r="L84" s="24"/>
      </tp>
      <tp t="e">
        <v>#N/A</v>
        <stp/>
        <stp>BDH|4310314357656525726</stp>
        <tr r="S16" s="18"/>
      </tp>
      <tp t="e">
        <v>#N/A</v>
        <stp/>
        <stp>BDH|1443615263790325273</stp>
        <tr r="G21" s="17"/>
        <tr r="G15" s="3"/>
      </tp>
      <tp t="e">
        <v>#N/A</v>
        <stp/>
        <stp>BDH|4817507836352434381</stp>
        <tr r="F41" s="18"/>
      </tp>
      <tp t="e">
        <v>#N/A</v>
        <stp/>
        <stp>BDH|3122573017353658750</stp>
        <tr r="F35" s="26"/>
      </tp>
      <tp t="e">
        <v>#N/A</v>
        <stp/>
        <stp>BDH|1929186463120037501</stp>
        <tr r="S34" s="34"/>
      </tp>
      <tp t="e">
        <v>#N/A</v>
        <stp/>
        <stp>BDH|3433525843745274451</stp>
        <tr r="R14" s="17"/>
        <tr r="R17" s="28"/>
      </tp>
      <tp t="e">
        <v>#N/A</v>
        <stp/>
        <stp>BDH|7578679599942142984</stp>
        <tr r="H24" s="18"/>
      </tp>
      <tp t="e">
        <v>#N/A</v>
        <stp/>
        <stp>BDH|7998818506869964556</stp>
        <tr r="E65" s="24"/>
      </tp>
      <tp t="e">
        <v>#N/A</v>
        <stp/>
        <stp>BDH|3251581937935872373</stp>
        <tr r="L11" s="7"/>
      </tp>
      <tp t="e">
        <v>#N/A</v>
        <stp/>
        <stp>BDH|4708946871220157919</stp>
        <tr r="K81" s="18"/>
      </tp>
      <tp t="e">
        <v>#N/A</v>
        <stp/>
        <stp>BDH|9124530234824671825</stp>
        <tr r="K17" s="9"/>
      </tp>
      <tp t="e">
        <v>#N/A</v>
        <stp/>
        <stp>BDH|1548675526940768615</stp>
        <tr r="T81" s="18"/>
      </tp>
      <tp t="e">
        <v>#N/A</v>
        <stp/>
        <stp>BDH|5579453125868004877</stp>
        <tr r="D18" s="29"/>
        <tr r="D41" s="29"/>
      </tp>
      <tp t="e">
        <v>#N/A</v>
        <stp/>
        <stp>BDH|7071079188148464493</stp>
        <tr r="H33" s="24"/>
      </tp>
      <tp t="e">
        <v>#N/A</v>
        <stp/>
        <stp>BDH|2800591673522989190</stp>
        <tr r="T56" s="6"/>
      </tp>
      <tp t="e">
        <v>#N/A</v>
        <stp/>
        <stp>BDH|5330469827050946092</stp>
        <tr r="X50" s="18"/>
      </tp>
      <tp t="e">
        <v>#N/A</v>
        <stp/>
        <stp>BDH|3084652455701703252</stp>
        <tr r="D84" s="12"/>
      </tp>
      <tp t="e">
        <v>#N/A</v>
        <stp/>
        <stp>BDH|6009101777742097150</stp>
        <tr r="U70" s="17"/>
      </tp>
      <tp t="e">
        <v>#N/A</v>
        <stp/>
        <stp>BDH|3934523948871632074</stp>
        <tr r="W15" s="17"/>
        <tr r="W18" s="28"/>
      </tp>
      <tp t="e">
        <v>#N/A</v>
        <stp/>
        <stp>BDH|4101224328296013198</stp>
        <tr r="J56" s="11"/>
      </tp>
      <tp t="e">
        <v>#N/A</v>
        <stp/>
        <stp>BDH|9317148928318964143</stp>
        <tr r="G26" s="17"/>
      </tp>
      <tp t="e">
        <v>#N/A</v>
        <stp/>
        <stp>BDH|1968853977645891814</stp>
        <tr r="AA11" s="17"/>
      </tp>
      <tp t="e">
        <v>#N/A</v>
        <stp/>
        <stp>BDH|4754628549875996072</stp>
        <tr r="G72" s="10"/>
        <tr r="G64" s="11"/>
      </tp>
      <tp t="e">
        <v>#N/A</v>
        <stp/>
        <stp>BDH|4480323210941395475</stp>
        <tr r="O41" s="12"/>
      </tp>
      <tp t="e">
        <v>#N/A</v>
        <stp/>
        <stp>BDH|2218065240032192773</stp>
        <tr r="Q35" s="34"/>
      </tp>
      <tp t="e">
        <v>#N/A</v>
        <stp/>
        <stp>BDH|8283143763994714812</stp>
        <tr r="E13" s="17"/>
        <tr r="E16" s="28"/>
      </tp>
      <tp t="e">
        <v>#N/A</v>
        <stp/>
        <stp>BDH|7012084510386341382</stp>
        <tr r="E85" s="18"/>
      </tp>
      <tp t="e">
        <v>#N/A</v>
        <stp/>
        <stp>BDH|8423996050450866765</stp>
        <tr r="C82" s="18"/>
      </tp>
      <tp t="e">
        <v>#N/A</v>
        <stp/>
        <stp>BDH|9405673958190154994</stp>
        <tr r="H19" s="26"/>
      </tp>
      <tp t="e">
        <v>#N/A</v>
        <stp/>
        <stp>BDH|5059966379959885141</stp>
        <tr r="E45" s="12"/>
      </tp>
      <tp t="e">
        <v>#N/A</v>
        <stp/>
        <stp>BDH|1674720160994195765</stp>
        <tr r="X71" s="18"/>
      </tp>
      <tp t="e">
        <v>#N/A</v>
        <stp/>
        <stp>BDH|6513534421727319576</stp>
        <tr r="O89" s="17"/>
        <tr r="O34" s="25"/>
      </tp>
      <tp t="e">
        <v>#N/A</v>
        <stp/>
        <stp>BDH|5035123370522887299</stp>
        <tr r="I38" s="34"/>
      </tp>
      <tp t="e">
        <v>#N/A</v>
        <stp/>
        <stp>BDH|6974214928337766242</stp>
        <tr r="G12" s="7"/>
      </tp>
      <tp t="e">
        <v>#N/A</v>
        <stp/>
        <stp>BDH|4964470588483772821</stp>
        <tr r="D24" s="6"/>
      </tp>
      <tp t="e">
        <v>#N/A</v>
        <stp/>
        <stp>BDH|9552872202682702046</stp>
        <tr r="D13" s="20"/>
      </tp>
      <tp t="e">
        <v>#N/A</v>
        <stp/>
        <stp>BDH|8413712693591799429</stp>
        <tr r="Q32" s="21"/>
      </tp>
      <tp t="e">
        <v>#N/A</v>
        <stp/>
        <stp>BDH|5948786770987097124</stp>
        <tr r="N18" s="29"/>
        <tr r="N41" s="29"/>
      </tp>
      <tp t="e">
        <v>#N/A</v>
        <stp/>
        <stp>BDH|5993179960133955242</stp>
        <tr r="Y75" s="12"/>
      </tp>
      <tp t="e">
        <v>#N/A</v>
        <stp/>
        <stp>BDH|3368078176773490456</stp>
        <tr r="J22" s="30"/>
        <tr r="J24" s="23"/>
      </tp>
      <tp t="e">
        <v>#N/A</v>
        <stp/>
        <stp>BDH|7002085843129967914</stp>
        <tr r="K32" s="14"/>
      </tp>
      <tp t="e">
        <v>#N/A</v>
        <stp/>
        <stp>BDH|1554359439173840120</stp>
        <tr r="N43" s="22"/>
      </tp>
      <tp t="e">
        <v>#N/A</v>
        <stp/>
        <stp>BDH|6301943271993532800</stp>
        <tr r="Q49" s="13"/>
      </tp>
      <tp t="e">
        <v>#N/A</v>
        <stp/>
        <stp>BDH|5278172002597518018</stp>
        <tr r="L129" s="18"/>
      </tp>
      <tp t="e">
        <v>#N/A</v>
        <stp/>
        <stp>BDH|4312082470642057288</stp>
        <tr r="W47" s="24"/>
      </tp>
      <tp t="e">
        <v>#N/A</v>
        <stp/>
        <stp>BDH|7943528808990387135</stp>
        <tr r="N30" s="29"/>
        <tr r="N8" s="29"/>
      </tp>
      <tp t="e">
        <v>#N/A</v>
        <stp/>
        <stp>BDH|2990751025154884029</stp>
        <tr r="P41" s="22"/>
      </tp>
      <tp t="e">
        <v>#N/A</v>
        <stp/>
        <stp>BDH|9657073284802060063</stp>
        <tr r="J66" s="17"/>
        <tr r="J18" s="3"/>
      </tp>
      <tp t="e">
        <v>#N/A</v>
        <stp/>
        <stp>BDH|9499984565691372497</stp>
        <tr r="C12" s="3"/>
      </tp>
      <tp t="e">
        <v>#N/A</v>
        <stp/>
        <stp>BDH|3370700191599110708</stp>
        <tr r="H45" s="21"/>
      </tp>
      <tp t="e">
        <v>#N/A</v>
        <stp/>
        <stp>BDH|6103618424834424538</stp>
        <tr r="X27" s="34"/>
      </tp>
      <tp t="e">
        <v>#N/A</v>
        <stp/>
        <stp>BDH|7343241526941723554</stp>
        <tr r="T18" s="13"/>
      </tp>
      <tp t="e">
        <v>#N/A</v>
        <stp/>
        <stp>BDH|2757281949931472610</stp>
        <tr r="C16" s="2"/>
        <tr r="C32" s="4"/>
        <tr r="C62" s="10"/>
        <tr r="E19" s="13"/>
      </tp>
      <tp t="e">
        <v>#N/A</v>
        <stp/>
        <stp>BDH|8409046161818642540</stp>
        <tr r="Y11" s="14"/>
      </tp>
      <tp t="e">
        <v>#N/A</v>
        <stp/>
        <stp>BDH|8480468708556169989</stp>
        <tr r="AA38" s="17"/>
      </tp>
      <tp t="e">
        <v>#N/A</v>
        <stp/>
        <stp>BDH|3705903572338681605</stp>
        <tr r="L8" s="6"/>
      </tp>
      <tp t="e">
        <v>#N/A</v>
        <stp/>
        <stp>BDH|2970680595648049679</stp>
        <tr r="E28" s="10"/>
        <tr r="G34" s="13"/>
      </tp>
      <tp t="e">
        <v>#N/A</v>
        <stp/>
        <stp>BDH|2552641695069788700</stp>
        <tr r="J22" s="22"/>
      </tp>
      <tp t="e">
        <v>#N/A</v>
        <stp/>
        <stp>BDH|8213676434867645944</stp>
        <tr r="X43" s="6"/>
      </tp>
      <tp t="e">
        <v>#N/A</v>
        <stp/>
        <stp>BDH|6343258197239132732</stp>
        <tr r="I9" s="14"/>
      </tp>
      <tp t="e">
        <v>#N/A</v>
        <stp/>
        <stp>BDH|1054793679287387503</stp>
        <tr r="D89" s="12"/>
      </tp>
      <tp t="e">
        <v>#N/A</v>
        <stp/>
        <stp>BDH|7380623772241839485</stp>
        <tr r="K52" s="12"/>
      </tp>
      <tp t="e">
        <v>#N/A</v>
        <stp/>
        <stp>BDH|7091778245615510248</stp>
        <tr r="D75" s="18"/>
        <tr r="D64" s="12"/>
      </tp>
      <tp t="e">
        <v>#N/A</v>
        <stp/>
        <stp>BDH|9102038862318177422</stp>
        <tr r="D12" s="10"/>
      </tp>
      <tp t="e">
        <v>#N/A</v>
        <stp/>
        <stp>BDH|4728876613007420948</stp>
        <tr r="O48" s="24"/>
      </tp>
      <tp t="e">
        <v>#N/A</v>
        <stp/>
        <stp>BDH|6238145731140104766</stp>
        <tr r="J19" s="26"/>
      </tp>
      <tp t="e">
        <v>#N/A</v>
        <stp/>
        <stp>BDH|8479012113968149278</stp>
        <tr r="I19" s="18"/>
      </tp>
      <tp t="e">
        <v>#N/A</v>
        <stp/>
        <stp>BDH|4760799748161068568</stp>
        <tr r="N56" s="24"/>
      </tp>
      <tp t="e">
        <v>#N/A</v>
        <stp/>
        <stp>BDH|2240877092670072071</stp>
        <tr r="U18" s="20"/>
      </tp>
      <tp t="e">
        <v>#N/A</v>
        <stp/>
        <stp>BDH|5680782067845051294</stp>
        <tr r="P49" s="13"/>
      </tp>
      <tp t="e">
        <v>#N/A</v>
        <stp/>
        <stp>BDH|9575724683164513110</stp>
        <tr r="Z21" s="21"/>
      </tp>
      <tp t="e">
        <v>#N/A</v>
        <stp/>
        <stp>BDH|1534157222375301414</stp>
        <tr r="H6" s="15"/>
        <tr r="H12" s="2"/>
        <tr r="H11" s="4"/>
        <tr r="H6" s="10"/>
      </tp>
      <tp t="e">
        <v>#N/A</v>
        <stp/>
        <stp>BDH|2197488139590504657</stp>
        <tr r="G46" s="4"/>
        <tr r="G23" s="10"/>
        <tr r="I37" s="13"/>
      </tp>
      <tp t="e">
        <v>#N/A</v>
        <stp/>
        <stp>BDH|6585778958595957232</stp>
        <tr r="T90" s="12"/>
      </tp>
      <tp t="e">
        <v>#N/A</v>
        <stp/>
        <stp>BDH|8466384478628063740</stp>
        <tr r="H142" s="18"/>
      </tp>
      <tp t="e">
        <v>#N/A</v>
        <stp/>
        <stp>BDH|4457820255232228817</stp>
        <tr r="Z31" s="18"/>
      </tp>
      <tp t="e">
        <v>#N/A</v>
        <stp/>
        <stp>BDH|3521190068627697028</stp>
        <tr r="D16" s="10"/>
      </tp>
      <tp t="e">
        <v>#N/A</v>
        <stp/>
        <stp>BDH|5631276566071196369</stp>
        <tr r="Z127" s="18"/>
      </tp>
      <tp t="e">
        <v>#N/A</v>
        <stp/>
        <stp>BDH|9869865190139661281</stp>
        <tr r="N18" s="20"/>
      </tp>
      <tp t="e">
        <v>#N/A</v>
        <stp/>
        <stp>BDH|7367890853549170080</stp>
        <tr r="H25" s="22"/>
      </tp>
      <tp t="e">
        <v>#N/A</v>
        <stp/>
        <stp>BDH|7023709300504604769</stp>
        <tr r="H20" s="24"/>
      </tp>
      <tp t="e">
        <v>#N/A</v>
        <stp/>
        <stp>BDH|3696220785032960888</stp>
        <tr r="Z74" s="24"/>
      </tp>
      <tp t="e">
        <v>#N/A</v>
        <stp/>
        <stp>BDH|2544725845365479762</stp>
        <tr r="H48" s="18"/>
      </tp>
      <tp t="e">
        <v>#N/A</v>
        <stp/>
        <stp>BDH|6892945306819332591</stp>
        <tr r="U10" s="26"/>
      </tp>
      <tp t="e">
        <v>#N/A</v>
        <stp/>
        <stp>BDH|9508554680383485449</stp>
        <tr r="K45" s="13"/>
      </tp>
      <tp t="e">
        <v>#N/A</v>
        <stp/>
        <stp>BDH|1802388388491826808</stp>
        <tr r="O38" s="10"/>
        <tr r="O30" s="11"/>
        <tr r="Q42" s="13"/>
      </tp>
      <tp t="e">
        <v>#N/A</v>
        <stp/>
        <stp>BDH|4831788861001146709</stp>
        <tr r="L80" s="24"/>
      </tp>
      <tp t="e">
        <v>#N/A</v>
        <stp/>
        <stp>BDH|8710822524777169604</stp>
        <tr r="U55" s="17"/>
      </tp>
      <tp t="e">
        <v>#N/A</v>
        <stp/>
        <stp>BDH|5385363416426562260</stp>
        <tr r="V21" s="9"/>
      </tp>
      <tp t="e">
        <v>#N/A</v>
        <stp/>
        <stp>BDH|7356122834651706728</stp>
        <tr r="P39" s="34"/>
      </tp>
      <tp t="e">
        <v>#N/A</v>
        <stp/>
        <stp>BDH|7632212414912309501</stp>
        <tr r="N24" s="12"/>
      </tp>
      <tp t="e">
        <v>#N/A</v>
        <stp/>
        <stp>BDH|4839256315906912214</stp>
        <tr r="L73" s="17"/>
      </tp>
      <tp t="e">
        <v>#N/A</v>
        <stp/>
        <stp>BDH|8316631677482683815</stp>
        <tr r="L33" s="17"/>
      </tp>
      <tp t="e">
        <v>#N/A</v>
        <stp/>
        <stp>BDH|4611195396928814714</stp>
        <tr r="T21" s="17"/>
        <tr r="T15" s="3"/>
      </tp>
      <tp t="e">
        <v>#N/A</v>
        <stp/>
        <stp>BDH|6080900849118994008</stp>
        <tr r="Y40" s="34"/>
      </tp>
      <tp t="e">
        <v>#N/A</v>
        <stp/>
        <stp>BDH|4469071448926915527</stp>
        <tr r="G67" s="10"/>
      </tp>
      <tp t="e">
        <v>#N/A</v>
        <stp/>
        <stp>BDH|4838040915002898411</stp>
        <tr r="Q83" s="12"/>
      </tp>
      <tp t="e">
        <v>#N/A</v>
        <stp/>
        <stp>BDH|4908307059834510555</stp>
        <tr r="P83" s="18"/>
      </tp>
      <tp t="e">
        <v>#N/A</v>
        <stp/>
        <stp>BDH|8649445410368400669</stp>
        <tr r="AA45" s="21"/>
      </tp>
      <tp t="e">
        <v>#N/A</v>
        <stp/>
        <stp>BDH|3841629619601445675</stp>
        <tr r="K9" s="12"/>
      </tp>
      <tp t="e">
        <v>#N/A</v>
        <stp/>
        <stp>BDH|5021560037544957488</stp>
        <tr r="M49" s="12"/>
      </tp>
      <tp t="e">
        <v>#N/A</v>
        <stp/>
        <stp>BDH|2916505952424930529</stp>
        <tr r="G108" s="18"/>
      </tp>
      <tp t="e">
        <v>#N/A</v>
        <stp/>
        <stp>BDH|7019194953723818329</stp>
        <tr r="I10" s="23"/>
      </tp>
      <tp t="e">
        <v>#N/A</v>
        <stp/>
        <stp>BDH|8941781516214699913</stp>
        <tr r="Y32" s="18"/>
      </tp>
      <tp t="e">
        <v>#N/A</v>
        <stp/>
        <stp>BDH|9737230800901001947</stp>
        <tr r="E9" s="28"/>
      </tp>
      <tp t="e">
        <v>#N/A</v>
        <stp/>
        <stp>BDH|6558338532205724030</stp>
        <tr r="I70" s="24"/>
      </tp>
      <tp t="e">
        <v>#N/A</v>
        <stp/>
        <stp>BDH|6167274376288191815</stp>
        <tr r="Q46" s="12"/>
      </tp>
      <tp t="e">
        <v>#N/A</v>
        <stp/>
        <stp>BDH|1702459221005029137</stp>
        <tr r="D21" s="30"/>
      </tp>
      <tp t="e">
        <v>#N/A</v>
        <stp/>
        <stp>BDH|7511779513467138503</stp>
        <tr r="I13" s="30"/>
      </tp>
      <tp t="e">
        <v>#N/A</v>
        <stp/>
        <stp>BDH|2076906418759900019</stp>
        <tr r="N24" s="5"/>
      </tp>
      <tp t="e">
        <v>#N/A</v>
        <stp/>
        <stp>BDH|7747429324233930183</stp>
        <tr r="G15" s="25"/>
      </tp>
      <tp t="e">
        <v>#N/A</v>
        <stp/>
        <stp>BDH|4683917716578159700</stp>
        <tr r="P30" s="21"/>
      </tp>
      <tp t="e">
        <v>#N/A</v>
        <stp/>
        <stp>BDH|5072081639774946194</stp>
        <tr r="M28" s="22"/>
      </tp>
      <tp t="e">
        <v>#N/A</v>
        <stp/>
        <stp>BDH|3554076893549269021</stp>
        <tr r="E7" s="24"/>
      </tp>
      <tp t="e">
        <v>#N/A</v>
        <stp/>
        <stp>BDH|9359576973778369053</stp>
        <tr r="Z12" s="21"/>
      </tp>
      <tp t="e">
        <v>#N/A</v>
        <stp/>
        <stp>BDH|9147544542862091961</stp>
        <tr r="M112" s="18"/>
      </tp>
      <tp t="e">
        <v>#N/A</v>
        <stp/>
        <stp>BDH|2265601714861692716</stp>
        <tr r="P26" s="13"/>
      </tp>
      <tp t="e">
        <v>#N/A</v>
        <stp/>
        <stp>BDH|1123165928297773692</stp>
        <tr r="T14" s="29"/>
        <tr r="T23" s="29"/>
        <tr r="T37" s="29"/>
      </tp>
      <tp t="e">
        <v>#N/A</v>
        <stp/>
        <stp>BDH|1473142560932084714</stp>
        <tr r="S107" s="18"/>
      </tp>
      <tp t="e">
        <v>#N/A</v>
        <stp/>
        <stp>BDH|4163220300637481268</stp>
        <tr r="V15" s="20"/>
      </tp>
      <tp t="e">
        <v>#N/A</v>
        <stp/>
        <stp>BDH|7027282649255949796</stp>
        <tr r="P28" s="17"/>
      </tp>
      <tp t="e">
        <v>#N/A</v>
        <stp/>
        <stp>BDH|2755540644487764717</stp>
        <tr r="D28" s="22"/>
      </tp>
      <tp t="e">
        <v>#N/A</v>
        <stp/>
        <stp>BDH|5854732339716669454</stp>
        <tr r="V7" s="17"/>
      </tp>
      <tp t="e">
        <v>#N/A</v>
        <stp/>
        <stp>BDH|2559051034531252376</stp>
        <tr r="D42" s="4"/>
      </tp>
      <tp t="e">
        <v>#N/A</v>
        <stp/>
        <stp>BDH|3843820391695890429</stp>
        <tr r="G14" s="21"/>
      </tp>
      <tp t="e">
        <v>#N/A</v>
        <stp/>
        <stp>BDH|8265854630700746014</stp>
        <tr r="V31" s="29"/>
      </tp>
      <tp t="e">
        <v>#N/A</v>
        <stp/>
        <stp>BDH|3532621512436657126</stp>
        <tr r="R87" s="12"/>
      </tp>
      <tp t="e">
        <v>#N/A</v>
        <stp/>
        <stp>BDH|1952983225151758827</stp>
        <tr r="O96" s="18"/>
      </tp>
      <tp t="e">
        <v>#N/A</v>
        <stp/>
        <stp>BDH|2584077462227410058</stp>
        <tr r="Q34" s="14"/>
      </tp>
      <tp t="e">
        <v>#N/A</v>
        <stp/>
        <stp>BDH|1955208968332480442</stp>
        <tr r="E32" s="26"/>
      </tp>
      <tp t="e">
        <v>#N/A</v>
        <stp/>
        <stp>BDH|6628730546106466061</stp>
        <tr r="L43" s="17"/>
      </tp>
      <tp t="e">
        <v>#N/A</v>
        <stp/>
        <stp>BDH|8240864685358047300</stp>
        <tr r="U18" s="12"/>
      </tp>
      <tp t="e">
        <v>#N/A</v>
        <stp/>
        <stp>BDH|9338397851035216983</stp>
        <tr r="K67" s="12"/>
      </tp>
      <tp t="e">
        <v>#N/A</v>
        <stp/>
        <stp>BDH|9839708288903539647</stp>
        <tr r="F18" s="24"/>
      </tp>
      <tp t="e">
        <v>#N/A</v>
        <stp/>
        <stp>BDH|3690261370984460151</stp>
        <tr r="F21" s="4"/>
      </tp>
      <tp t="e">
        <v>#N/A</v>
        <stp/>
        <stp>BDH|1669179242184066321</stp>
        <tr r="R33" s="12"/>
      </tp>
      <tp t="e">
        <v>#N/A</v>
        <stp/>
        <stp>BDH|5035571354790649648</stp>
        <tr r="T12" s="21"/>
      </tp>
      <tp t="e">
        <v>#N/A</v>
        <stp/>
        <stp>BDH|3891905798050163003</stp>
        <tr r="X57" s="12"/>
      </tp>
      <tp t="e">
        <v>#N/A</v>
        <stp/>
        <stp>BDH|4429832611469555728</stp>
        <tr r="W8" s="26"/>
        <tr r="T10" s="9"/>
      </tp>
      <tp t="e">
        <v>#N/A</v>
        <stp/>
        <stp>BDH|4730206673857160543</stp>
        <tr r="R21" s="14"/>
      </tp>
      <tp t="e">
        <v>#N/A</v>
        <stp/>
        <stp>BDH|3889602670103819210</stp>
        <tr r="C111" s="18"/>
      </tp>
      <tp t="e">
        <v>#N/A</v>
        <stp/>
        <stp>BDH|2484616921696619336</stp>
        <tr r="AA11" s="14"/>
      </tp>
      <tp t="e">
        <v>#N/A</v>
        <stp/>
        <stp>BDH|1709656565397437528</stp>
        <tr r="M8" s="18"/>
      </tp>
      <tp t="e">
        <v>#N/A</v>
        <stp/>
        <stp>BDH|6970582658496893306</stp>
        <tr r="X77" s="12"/>
      </tp>
      <tp t="e">
        <v>#N/A</v>
        <stp/>
        <stp>BDH|1222086968073555710</stp>
        <tr r="W29" s="12"/>
      </tp>
      <tp t="e">
        <v>#N/A</v>
        <stp/>
        <stp>BDH|6677317671253079205</stp>
        <tr r="H9" s="14"/>
      </tp>
      <tp t="e">
        <v>#N/A</v>
        <stp/>
        <stp>BDH|5269648034943604024</stp>
        <tr r="T14" s="22"/>
      </tp>
      <tp t="e">
        <v>#N/A</v>
        <stp/>
        <stp>BDH|3189833388382928259</stp>
        <tr r="F15" s="26"/>
      </tp>
      <tp t="e">
        <v>#N/A</v>
        <stp/>
        <stp>BDH|5962703050667743385</stp>
        <tr r="M37" s="18"/>
      </tp>
      <tp t="e">
        <v>#N/A</v>
        <stp/>
        <stp>BDH|3355624634302377700</stp>
        <tr r="T57" s="24"/>
      </tp>
      <tp t="e">
        <v>#N/A</v>
        <stp/>
        <stp>BDH|2995047839254799650</stp>
        <tr r="O26" s="12"/>
      </tp>
      <tp t="e">
        <v>#N/A</v>
        <stp/>
        <stp>BDH|1502647064013770145</stp>
        <tr r="AA87" s="17"/>
      </tp>
      <tp t="e">
        <v>#N/A</v>
        <stp/>
        <stp>BDH|2559703223684149011</stp>
        <tr r="H77" s="12"/>
      </tp>
      <tp t="e">
        <v>#N/A</v>
        <stp/>
        <stp>BDH|5704045761175030543</stp>
        <tr r="G7" s="10"/>
      </tp>
      <tp t="e">
        <v>#N/A</v>
        <stp/>
        <stp>BDH|6749827955361641900</stp>
        <tr r="L39" s="17"/>
      </tp>
      <tp t="e">
        <v>#N/A</v>
        <stp/>
        <stp>BDH|7124824601795439906</stp>
        <tr r="I61" s="17"/>
      </tp>
      <tp t="e">
        <v>#N/A</v>
        <stp/>
        <stp>BDH|5748952971560124845</stp>
        <tr r="L11" s="30"/>
      </tp>
      <tp t="e">
        <v>#N/A</v>
        <stp/>
        <stp>BDH|6282576245594767019</stp>
        <tr r="Q43" s="18"/>
      </tp>
      <tp t="e">
        <v>#N/A</v>
        <stp/>
        <stp>BDH|1496939886442135163</stp>
        <tr r="Z23" s="13"/>
      </tp>
      <tp t="e">
        <v>#N/A</v>
        <stp/>
        <stp>BDH|2116243418092950023</stp>
        <tr r="N24" s="2"/>
      </tp>
      <tp t="e">
        <v>#N/A</v>
        <stp/>
        <stp>BDH|7223443069175115386</stp>
        <tr r="Y12" s="21"/>
      </tp>
      <tp t="e">
        <v>#N/A</v>
        <stp/>
        <stp>BDH|7339998303714997962</stp>
        <tr r="R41" s="17"/>
        <tr r="R9" s="25"/>
      </tp>
      <tp t="e">
        <v>#N/A</v>
        <stp/>
        <stp>BDH|1171659673311694272</stp>
        <tr r="C14" s="22"/>
      </tp>
      <tp t="e">
        <v>#N/A</v>
        <stp/>
        <stp>BDH|5584449595179545272</stp>
        <tr r="O41" s="17"/>
        <tr r="O9" s="25"/>
      </tp>
      <tp t="e">
        <v>#N/A</v>
        <stp/>
        <stp>BDH|2823796800781649711</stp>
        <tr r="M52" s="17"/>
        <tr r="M10" s="25"/>
      </tp>
      <tp t="e">
        <v>#N/A</v>
        <stp/>
        <stp>BDH|9126531785902578544</stp>
        <tr r="E80" s="18"/>
      </tp>
      <tp t="e">
        <v>#N/A</v>
        <stp/>
        <stp>BDH|1045183449213194464</stp>
        <tr r="D20" s="29"/>
      </tp>
      <tp t="e">
        <v>#N/A</v>
        <stp/>
        <stp>BDH|3088665940425036702</stp>
        <tr r="N57" s="10"/>
        <tr r="N49" s="11"/>
        <tr r="N18" s="7"/>
        <tr r="P57" s="13"/>
      </tp>
      <tp t="e">
        <v>#N/A</v>
        <stp/>
        <stp>BDH|7747785959054119218</stp>
        <tr r="Q74" s="10"/>
        <tr r="Q66" s="11"/>
      </tp>
      <tp t="e">
        <v>#N/A</v>
        <stp/>
        <stp>BDH|9599987474755874176</stp>
        <tr r="R11" s="11"/>
      </tp>
      <tp t="e">
        <v>#N/A</v>
        <stp/>
        <stp>BDH|8065103694690182333</stp>
        <tr r="D9" s="13"/>
      </tp>
      <tp t="e">
        <v>#N/A</v>
        <stp/>
        <stp>BDH|4905387025965715354</stp>
        <tr r="P18" s="6"/>
      </tp>
      <tp t="e">
        <v>#N/A</v>
        <stp/>
        <stp>BDH|7526655435906623757</stp>
        <tr r="U87" s="24"/>
      </tp>
      <tp t="e">
        <v>#N/A</v>
        <stp/>
        <stp>BDH|5422212398769852438</stp>
        <tr r="C34" s="18"/>
      </tp>
      <tp t="e">
        <v>#N/A</v>
        <stp/>
        <stp>BDH|4028619921102200140</stp>
        <tr r="L113" s="18"/>
      </tp>
      <tp t="e">
        <v>#N/A</v>
        <stp/>
        <stp>BDH|4426279091078163450</stp>
        <tr r="G23" s="25"/>
        <tr r="E20" s="11"/>
      </tp>
      <tp t="e">
        <v>#N/A</v>
        <stp/>
        <stp>BDH|7478229555297517400</stp>
        <tr r="I39" s="6"/>
      </tp>
      <tp t="e">
        <v>#N/A</v>
        <stp/>
        <stp>BDH|9887510872800592884</stp>
        <tr r="U130" s="18"/>
      </tp>
      <tp t="e">
        <v>#N/A</v>
        <stp/>
        <stp>BDH|8558369095002283329</stp>
        <tr r="V7" s="23"/>
      </tp>
      <tp t="e">
        <v>#N/A</v>
        <stp/>
        <stp>BDH|5835855689373111538</stp>
        <tr r="V28" s="34"/>
      </tp>
      <tp t="e">
        <v>#N/A</v>
        <stp/>
        <stp>BDH|7350502062613247459</stp>
        <tr r="J6" s="19"/>
        <tr r="J35" s="17"/>
        <tr r="J16" s="3"/>
      </tp>
      <tp t="e">
        <v>#N/A</v>
        <stp/>
        <stp>BDH|7239008244924378439</stp>
        <tr r="K53" s="6"/>
        <tr r="M10" s="8"/>
      </tp>
      <tp t="e">
        <v>#N/A</v>
        <stp/>
        <stp>BDH|5632678636300017315</stp>
        <tr r="AA83" s="12"/>
      </tp>
      <tp t="e">
        <v>#N/A</v>
        <stp/>
        <stp>BDH|4291219187549132439</stp>
        <tr r="L91" s="18"/>
      </tp>
      <tp t="e">
        <v>#N/A</v>
        <stp/>
        <stp>BDH|8901780623919129754</stp>
        <tr r="S91" s="24"/>
      </tp>
      <tp t="e">
        <v>#N/A</v>
        <stp/>
        <stp>BDH|1916654148842515272</stp>
        <tr r="Y9" s="24"/>
      </tp>
      <tp t="e">
        <v>#N/A</v>
        <stp/>
        <stp>BDH|9417867940940740635</stp>
        <tr r="C127" s="18"/>
      </tp>
      <tp t="e">
        <v>#N/A</v>
        <stp/>
        <stp>BDH|7652590549791500443</stp>
        <tr r="L46" s="18"/>
      </tp>
      <tp t="e">
        <v>#N/A</v>
        <stp/>
        <stp>BDH|1197605705301564569</stp>
        <tr r="F9" s="14"/>
      </tp>
      <tp t="e">
        <v>#N/A</v>
        <stp/>
        <stp>BDH|3368474615007218243</stp>
        <tr r="F116" s="18"/>
      </tp>
      <tp t="e">
        <v>#N/A</v>
        <stp/>
        <stp>BDH|7182042744951466125</stp>
        <tr r="D60" s="11"/>
        <tr r="F19" s="23"/>
      </tp>
      <tp t="e">
        <v>#N/A</v>
        <stp/>
        <stp>BDH|9862831671745426091</stp>
        <tr r="F32" s="24"/>
      </tp>
      <tp t="e">
        <v>#N/A</v>
        <stp/>
        <stp>BDH|2918087322295473600</stp>
        <tr r="P10" s="34"/>
      </tp>
      <tp t="e">
        <v>#N/A</v>
        <stp/>
        <stp>BDH|6554799531844319596</stp>
        <tr r="D10" s="4"/>
        <tr r="C6" s="16"/>
        <tr r="F6" s="3"/>
        <tr r="D6" s="11"/>
      </tp>
      <tp t="e">
        <v>#N/A</v>
        <stp/>
        <stp>BDH|1056232309278949842</stp>
        <tr r="G110" s="18"/>
      </tp>
      <tp t="e">
        <v>#N/A</v>
        <stp/>
        <stp>BDH|3555912640279522465</stp>
        <tr r="I14" s="13"/>
      </tp>
      <tp t="e">
        <v>#N/A</v>
        <stp/>
        <stp>BDH|9465946648417760080</stp>
        <tr r="H16" s="23"/>
      </tp>
      <tp t="e">
        <v>#N/A</v>
        <stp/>
        <stp>BDH|5174747990078754057</stp>
        <tr r="K81" s="24"/>
      </tp>
      <tp t="e">
        <v>#N/A</v>
        <stp/>
        <stp>BDH|3332302605057800494</stp>
        <tr r="V71" s="12"/>
      </tp>
      <tp t="e">
        <v>#N/A</v>
        <stp/>
        <stp>BDH|5016674790070704970</stp>
        <tr r="T26" s="6"/>
      </tp>
      <tp t="e">
        <v>#N/A</v>
        <stp/>
        <stp>BDH|2327551885024345872</stp>
        <tr r="V15" s="10"/>
      </tp>
      <tp t="e">
        <v>#N/A</v>
        <stp/>
        <stp>BDH|8066362800130539842</stp>
        <tr r="C23" s="17"/>
      </tp>
      <tp t="e">
        <v>#N/A</v>
        <stp/>
        <stp>BDH|9071805614885369608</stp>
        <tr r="H132" s="18"/>
      </tp>
      <tp t="e">
        <v>#N/A</v>
        <stp/>
        <stp>BDH|3822734449612504104</stp>
        <tr r="E27" s="6"/>
      </tp>
      <tp t="e">
        <v>#N/A</v>
        <stp/>
        <stp>BDH|5134763702199524877</stp>
        <tr r="W17" s="20"/>
      </tp>
      <tp t="e">
        <v>#N/A</v>
        <stp/>
        <stp>BDH|6640303841322170014</stp>
        <tr r="X7" s="4"/>
      </tp>
      <tp t="e">
        <v>#N/A</v>
        <stp/>
        <stp>BDH|1313603101611346566</stp>
        <tr r="D77" s="12"/>
      </tp>
      <tp t="e">
        <v>#N/A</v>
        <stp/>
        <stp>BDH|3345159716010390042</stp>
        <tr r="X20" s="20"/>
      </tp>
      <tp t="e">
        <v>#N/A</v>
        <stp/>
        <stp>BDH|7872383241345471629</stp>
        <tr r="Q32" s="18"/>
      </tp>
      <tp t="e">
        <v>#N/A</v>
        <stp/>
        <stp>BDH|7991703375531302586</stp>
        <tr r="P18" s="18"/>
      </tp>
      <tp t="e">
        <v>#N/A</v>
        <stp/>
        <stp>BDH|3163371958036092097</stp>
        <tr r="L82" s="12"/>
      </tp>
      <tp t="e">
        <v>#N/A</v>
        <stp/>
        <stp>BDH|4595711213230850184</stp>
        <tr r="X33" s="18"/>
      </tp>
      <tp t="e">
        <v>#N/A</v>
        <stp/>
        <stp>BDH|1380920862185656821</stp>
        <tr r="E29" s="21"/>
      </tp>
      <tp t="e">
        <v>#N/A</v>
        <stp/>
        <stp>BDH|9225618886373768752</stp>
        <tr r="G104" s="18"/>
      </tp>
      <tp t="e">
        <v>#N/A</v>
        <stp/>
        <stp>BDH|4176976579190849909</stp>
        <tr r="U54" s="17"/>
      </tp>
      <tp t="e">
        <v>#N/A</v>
        <stp/>
        <stp>BDH|3810956879166430879</stp>
        <tr r="J24" s="21"/>
      </tp>
      <tp t="e">
        <v>#N/A</v>
        <stp/>
        <stp>BDH|7236056975691443218</stp>
        <tr r="N31" s="22"/>
      </tp>
      <tp t="e">
        <v>#N/A</v>
        <stp/>
        <stp>BDH|1059558043247996489</stp>
        <tr r="P83" s="12"/>
      </tp>
      <tp t="e">
        <v>#N/A</v>
        <stp/>
        <stp>BDH|3914252555533707498</stp>
        <tr r="X13" s="29"/>
        <tr r="X22" s="29"/>
        <tr r="X36" s="29"/>
      </tp>
      <tp t="e">
        <v>#N/A</v>
        <stp/>
        <stp>BDH|7003213303096748029</stp>
        <tr r="L22" s="14"/>
      </tp>
      <tp t="e">
        <v>#N/A</v>
        <stp/>
        <stp>BDH|9696007290083104000</stp>
        <tr r="Z27" s="26"/>
      </tp>
      <tp t="e">
        <v>#N/A</v>
        <stp/>
        <stp>BDH|6748434676033694537</stp>
        <tr r="G29" s="34"/>
      </tp>
      <tp t="e">
        <v>#N/A</v>
        <stp/>
        <stp>BDH|8046853791159847383</stp>
        <tr r="E50" s="13"/>
      </tp>
      <tp t="e">
        <v>#N/A</v>
        <stp/>
        <stp>BDH|1116800543498025667</stp>
        <tr r="S17" s="6"/>
      </tp>
      <tp t="e">
        <v>#N/A</v>
        <stp/>
        <stp>BDH|6066986569322315861</stp>
        <tr r="X21" s="9"/>
      </tp>
      <tp t="e">
        <v>#N/A</v>
        <stp/>
        <stp>BDH|3256504672046661424</stp>
        <tr r="L11" s="6"/>
      </tp>
      <tp t="e">
        <v>#N/A</v>
        <stp/>
        <stp>BDH|1282646213670987583</stp>
        <tr r="K29" s="18"/>
      </tp>
      <tp t="e">
        <v>#N/A</v>
        <stp/>
        <stp>BDH|8532093236279886169</stp>
        <tr r="H18" s="25"/>
      </tp>
      <tp t="e">
        <v>#N/A</v>
        <stp/>
        <stp>BDH|5164605774792578540</stp>
        <tr r="H99" s="18"/>
        <tr r="H8" s="20"/>
      </tp>
      <tp t="e">
        <v>#N/A</v>
        <stp/>
        <stp>BDH|8147896384709136294</stp>
        <tr r="G69" s="10"/>
      </tp>
      <tp t="e">
        <v>#N/A</v>
        <stp/>
        <stp>BDH|7996241044980521281</stp>
        <tr r="R10" s="4"/>
        <tr r="Q6" s="16"/>
        <tr r="T6" s="3"/>
        <tr r="R6" s="11"/>
      </tp>
      <tp t="e">
        <v>#N/A</v>
        <stp/>
        <stp>BDH|6172107042784273455</stp>
        <tr r="H51" s="17"/>
        <tr r="H17" s="3"/>
      </tp>
      <tp t="e">
        <v>#N/A</v>
        <stp/>
        <stp>BDH|3467730114746716004</stp>
        <tr r="J20" s="24"/>
      </tp>
      <tp t="e">
        <v>#N/A</v>
        <stp/>
        <stp>BDH|3393877282914755456</stp>
        <tr r="AA7" s="34"/>
      </tp>
      <tp t="e">
        <v>#N/A</v>
        <stp/>
        <stp>BDH|9360293894291879024</stp>
        <tr r="D17" s="13"/>
      </tp>
      <tp t="e">
        <v>#N/A</v>
        <stp/>
        <stp>BDH|5709989410786384881</stp>
        <tr r="F73" s="18"/>
      </tp>
      <tp t="e">
        <v>#N/A</v>
        <stp/>
        <stp>BDH|7332218877268571949</stp>
        <tr r="Z57" s="17"/>
      </tp>
      <tp t="e">
        <v>#N/A</v>
        <stp/>
        <stp>BDH|2745919580132486262</stp>
        <tr r="C15" s="20"/>
      </tp>
      <tp t="e">
        <v>#N/A</v>
        <stp/>
        <stp>BDH|9220816724255004530</stp>
        <tr r="H9" s="2"/>
        <tr r="J8" s="25"/>
        <tr r="G10" s="5"/>
      </tp>
      <tp t="e">
        <v>#N/A</v>
        <stp/>
        <stp>BDH|5074083119405376261</stp>
        <tr r="Z136" s="18"/>
      </tp>
      <tp t="e">
        <v>#N/A</v>
        <stp/>
        <stp>BDH|2128139718335662488</stp>
        <tr r="Z21" s="3"/>
      </tp>
      <tp t="e">
        <v>#N/A</v>
        <stp/>
        <stp>BDH|2454469650673732312</stp>
        <tr r="F26" s="25"/>
        <tr r="F12" s="27"/>
      </tp>
      <tp t="e">
        <v>#N/A</v>
        <stp/>
        <stp>BDH|6490642418290471285</stp>
        <tr r="E20" s="20"/>
      </tp>
      <tp t="e">
        <v>#N/A</v>
        <stp/>
        <stp>BDH|8430187779804022914</stp>
        <tr r="U120" s="18"/>
      </tp>
      <tp t="e">
        <v>#N/A</v>
        <stp/>
        <stp>BDH|6246625457574772249</stp>
        <tr r="O116" s="18"/>
      </tp>
      <tp t="e">
        <v>#N/A</v>
        <stp/>
        <stp>BDH|5102994831058960448</stp>
        <tr r="I11" s="9"/>
      </tp>
      <tp t="e">
        <v>#N/A</v>
        <stp/>
        <stp>BDH|9853478524864706888</stp>
        <tr r="C34" s="22"/>
      </tp>
      <tp t="e">
        <v>#N/A</v>
        <stp/>
        <stp>BDH|9718447492813277474</stp>
        <tr r="D28" s="18"/>
      </tp>
      <tp t="e">
        <v>#N/A</v>
        <stp/>
        <stp>BDH|4644792845677958379</stp>
        <tr r="I9" s="2"/>
        <tr r="K8" s="25"/>
        <tr r="H10" s="5"/>
      </tp>
      <tp t="e">
        <v>#N/A</v>
        <stp/>
        <stp>BDH|8518375430323132878</stp>
        <tr r="G43" s="24"/>
      </tp>
      <tp t="e">
        <v>#N/A</v>
        <stp/>
        <stp>BDH|2594470482105752832</stp>
        <tr r="I37" s="10"/>
        <tr r="I29" s="11"/>
        <tr r="K41" s="13"/>
      </tp>
      <tp t="e">
        <v>#N/A</v>
        <stp/>
        <stp>BDH|7289900640080754912</stp>
        <tr r="Q15" s="4"/>
      </tp>
      <tp t="e">
        <v>#N/A</v>
        <stp/>
        <stp>BDH|8149114817589537269</stp>
        <tr r="Z130" s="18"/>
      </tp>
      <tp t="e">
        <v>#N/A</v>
        <stp/>
        <stp>BDH|9577121017842233863</stp>
        <tr r="Q22" s="10"/>
      </tp>
      <tp t="e">
        <v>#N/A</v>
        <stp/>
        <stp>BDH|3405418554171059052</stp>
        <tr r="T30" s="34"/>
      </tp>
      <tp t="e">
        <v>#N/A</v>
        <stp/>
        <stp>BDH|4358133550051568201</stp>
        <tr r="Z15" s="12"/>
      </tp>
      <tp t="e">
        <v>#N/A</v>
        <stp/>
        <stp>BDH|3309254442994156209</stp>
        <tr r="R32" s="24"/>
      </tp>
      <tp t="e">
        <v>#N/A</v>
        <stp/>
        <stp>BDH|6428312038262821701</stp>
        <tr r="R123" s="18"/>
      </tp>
      <tp t="e">
        <v>#N/A</v>
        <stp/>
        <stp>BDH|9396381819499481134</stp>
        <tr r="S33" s="22"/>
      </tp>
      <tp t="e">
        <v>#N/A</v>
        <stp/>
        <stp>BDH|5628691936350424382</stp>
        <tr r="J61" s="18"/>
      </tp>
      <tp t="e">
        <v>#N/A</v>
        <stp/>
        <stp>BDH|4422283759048823883</stp>
        <tr r="AA53" s="18"/>
      </tp>
      <tp t="e">
        <v>#N/A</v>
        <stp/>
        <stp>BDH|7032555521082312127</stp>
        <tr r="O30" s="21"/>
      </tp>
      <tp t="e">
        <v>#N/A</v>
        <stp/>
        <stp>BDH|9295759957040686838</stp>
        <tr r="L86" s="17"/>
      </tp>
      <tp t="e">
        <v>#N/A</v>
        <stp/>
        <stp>BDH|8451659346309678048</stp>
        <tr r="P50" s="4"/>
      </tp>
      <tp t="e">
        <v>#N/A</v>
        <stp/>
        <stp>BDH|9635832212361645245</stp>
        <tr r="X26" s="7"/>
      </tp>
      <tp t="e">
        <v>#N/A</v>
        <stp/>
        <stp>BDH|1604486047727476585</stp>
        <tr r="X14" s="13"/>
      </tp>
      <tp t="e">
        <v>#N/A</v>
        <stp/>
        <stp>BDH|2696262535719970998</stp>
        <tr r="C37" s="26"/>
      </tp>
      <tp t="e">
        <v>#N/A</v>
        <stp/>
        <stp>BDH|6044819105178684576</stp>
        <tr r="G31" s="9"/>
      </tp>
      <tp t="e">
        <v>#N/A</v>
        <stp/>
        <stp>BDH|7407727609130914335</stp>
        <tr r="M79" s="18"/>
      </tp>
      <tp t="e">
        <v>#N/A</v>
        <stp/>
        <stp>BDH|1587372485609383016</stp>
        <tr r="H25" s="3"/>
      </tp>
      <tp t="e">
        <v>#N/A</v>
        <stp/>
        <stp>BDH|2879224933729452983</stp>
        <tr r="K18" s="14"/>
      </tp>
      <tp t="e">
        <v>#N/A</v>
        <stp/>
        <stp>BDH|3356094098051401833</stp>
        <tr r="D24" s="18"/>
      </tp>
      <tp t="e">
        <v>#N/A</v>
        <stp/>
        <stp>BDH|5098429543727670122</stp>
        <tr r="M11" s="6"/>
      </tp>
      <tp t="e">
        <v>#N/A</v>
        <stp/>
        <stp>BDH|8007329350978167563</stp>
        <tr r="Y132" s="18"/>
      </tp>
      <tp t="e">
        <v>#N/A</v>
        <stp/>
        <stp>BDH|3863683466634724444</stp>
        <tr r="G135" s="18"/>
      </tp>
      <tp t="e">
        <v>#N/A</v>
        <stp/>
        <stp>BDH|5091639871010025777</stp>
        <tr r="H19" s="22"/>
      </tp>
      <tp t="e">
        <v>#N/A</v>
        <stp/>
        <stp>BDH|9642447891233251441</stp>
        <tr r="T43" s="24"/>
      </tp>
      <tp t="e">
        <v>#N/A</v>
        <stp/>
        <stp>BDH|8856643746250790989</stp>
        <tr r="Y46" s="22"/>
      </tp>
      <tp t="e">
        <v>#N/A</v>
        <stp/>
        <stp>BDH|2272619793908250676</stp>
        <tr r="F11" s="21"/>
      </tp>
      <tp t="e">
        <v>#N/A</v>
        <stp/>
        <stp>BDH|8981700324808165692</stp>
        <tr r="G7" s="4"/>
      </tp>
      <tp t="e">
        <v>#N/A</v>
        <stp/>
        <stp>BDH|4087763052524835199</stp>
        <tr r="I36" s="21"/>
      </tp>
      <tp t="e">
        <v>#N/A</v>
        <stp/>
        <stp>BDH|8502616982470214517</stp>
        <tr r="X49" s="6"/>
      </tp>
      <tp t="e">
        <v>#N/A</v>
        <stp/>
        <stp>BDH|7358533696099023133</stp>
        <tr r="H25" s="4"/>
        <tr r="H65" s="10"/>
      </tp>
      <tp t="e">
        <v>#N/A</v>
        <stp/>
        <stp>BDH|5325636357114755157</stp>
        <tr r="L10" s="13"/>
      </tp>
      <tp t="e">
        <v>#N/A</v>
        <stp/>
        <stp>BDH|1048243402342130220</stp>
        <tr r="E20" s="5"/>
      </tp>
      <tp t="e">
        <v>#N/A</v>
        <stp/>
        <stp>BDH|5354971887066403123</stp>
        <tr r="X32" s="25"/>
        <tr r="X18" s="27"/>
      </tp>
      <tp t="e">
        <v>#N/A</v>
        <stp/>
        <stp>BDH|2889418819100461411</stp>
        <tr r="K87" s="18"/>
      </tp>
      <tp t="e">
        <v>#N/A</v>
        <stp/>
        <stp>BDH|2876981762259216753</stp>
        <tr r="N14" s="28"/>
      </tp>
      <tp t="e">
        <v>#N/A</v>
        <stp/>
        <stp>BDH|7513728863143992687</stp>
        <tr r="I101" s="18"/>
      </tp>
      <tp t="e">
        <v>#N/A</v>
        <stp/>
        <stp>BDH|2198508135311811695</stp>
        <tr r="G32" s="17"/>
      </tp>
      <tp t="e">
        <v>#N/A</v>
        <stp/>
        <stp>BDH|8607465223699175472</stp>
        <tr r="K138" s="18"/>
      </tp>
      <tp t="e">
        <v>#N/A</v>
        <stp/>
        <stp>BDH|3720793963818978917</stp>
        <tr r="K53" s="17"/>
      </tp>
      <tp t="e">
        <v>#N/A</v>
        <stp/>
        <stp>BDH|9755542479900908867</stp>
        <tr r="R103" s="18"/>
      </tp>
      <tp t="e">
        <v>#N/A</v>
        <stp/>
        <stp>BDH|6017255741044055719</stp>
        <tr r="G8" s="13"/>
      </tp>
      <tp t="e">
        <v>#N/A</v>
        <stp/>
        <stp>BDH|1833037265620331489</stp>
        <tr r="Q53" s="12"/>
      </tp>
      <tp t="e">
        <v>#N/A</v>
        <stp/>
        <stp>BDH|5256314087194216939</stp>
        <tr r="L31" s="26"/>
        <tr r="I14" s="9"/>
      </tp>
      <tp t="e">
        <v>#N/A</v>
        <stp/>
        <stp>BDH|6187901059000507982</stp>
        <tr r="F23" s="17"/>
      </tp>
      <tp t="e">
        <v>#N/A</v>
        <stp/>
        <stp>BDH|5839553239049694973</stp>
        <tr r="I32" s="12"/>
      </tp>
      <tp t="e">
        <v>#N/A</v>
        <stp/>
        <stp>BDH|7332345946596170559</stp>
        <tr r="M13" s="10"/>
      </tp>
      <tp t="e">
        <v>#N/A</v>
        <stp/>
        <stp>BDH|8606713328326895824</stp>
        <tr r="U45" s="18"/>
      </tp>
      <tp t="e">
        <v>#N/A</v>
        <stp/>
        <stp>BDH|9175662474852339953</stp>
        <tr r="U15" s="4"/>
      </tp>
      <tp t="e">
        <v>#N/A</v>
        <stp/>
        <stp>BDH|4740053231253389750</stp>
        <tr r="X33" s="22"/>
      </tp>
      <tp t="e">
        <v>#N/A</v>
        <stp/>
        <stp>BDH|9085316897314434473</stp>
        <tr r="O27" s="7"/>
      </tp>
      <tp t="e">
        <v>#N/A</v>
        <stp/>
        <stp>BDH|9866382058158589480</stp>
        <tr r="G65" s="17"/>
      </tp>
      <tp t="e">
        <v>#N/A</v>
        <stp/>
        <stp>BDH|2691167847067044326</stp>
        <tr r="W18" s="25"/>
      </tp>
      <tp t="e">
        <v>#N/A</v>
        <stp/>
        <stp>BDH|3650803485598788814</stp>
        <tr r="G27" s="34"/>
      </tp>
      <tp t="e">
        <v>#N/A</v>
        <stp/>
        <stp>BDH|9026420685296278008</stp>
        <tr r="N9" s="17"/>
      </tp>
      <tp t="e">
        <v>#N/A</v>
        <stp/>
        <stp>BDH|3043011180958774034</stp>
        <tr r="I8" s="18"/>
      </tp>
      <tp t="e">
        <v>#N/A</v>
        <stp/>
        <stp>BDH|7630449216352769360</stp>
        <tr r="R14" s="13"/>
      </tp>
      <tp t="e">
        <v>#N/A</v>
        <stp/>
        <stp>BDH|8137632382760198540</stp>
        <tr r="Q55" s="13"/>
      </tp>
      <tp t="e">
        <v>#N/A</v>
        <stp/>
        <stp>BDH|9650979025352127303</stp>
        <tr r="R26" s="18"/>
      </tp>
      <tp t="e">
        <v>#N/A</v>
        <stp/>
        <stp>BDH|2947448858187104713</stp>
        <tr r="M20" s="18"/>
      </tp>
      <tp t="e">
        <v>#N/A</v>
        <stp/>
        <stp>BDH|84543480512590140</stp>
        <tr r="J15" s="21"/>
      </tp>
      <tp t="e">
        <v>#N/A</v>
        <stp/>
        <stp>BDH|92350983611639410</stp>
        <tr r="O20" s="2"/>
        <tr r="O18" s="4"/>
        <tr r="O58" s="10"/>
        <tr r="O50" s="11"/>
        <tr r="O19" s="7"/>
        <tr r="Q65" s="13"/>
      </tp>
      <tp t="e">
        <v>#N/A</v>
        <stp/>
        <stp>BDH|57536372669476588</stp>
        <tr r="I74" s="18"/>
      </tp>
      <tp t="e">
        <v>#N/A</v>
        <stp/>
        <stp>BDH|85543740308453784</stp>
        <tr r="S51" s="12"/>
      </tp>
      <tp t="e">
        <v>#N/A</v>
        <stp/>
        <stp>BDH|35255624547802904</stp>
        <tr r="F69" s="17"/>
      </tp>
      <tp t="e">
        <v>#N/A</v>
        <stp/>
        <stp>BDH|701812407065831851</stp>
        <tr r="M18" s="26"/>
      </tp>
      <tp t="e">
        <v>#N/A</v>
        <stp/>
        <stp>BDH|210834490334569086</stp>
        <tr r="X33" s="6"/>
      </tp>
      <tp t="e">
        <v>#N/A</v>
        <stp/>
        <stp>BDH|667611111325900733</stp>
        <tr r="E41" s="18"/>
      </tp>
      <tp t="e">
        <v>#N/A</v>
        <stp/>
        <stp>BDH|710486787008496115</stp>
        <tr r="U123" s="18"/>
      </tp>
      <tp t="e">
        <v>#N/A</v>
        <stp/>
        <stp>BDH|845724155913665447</stp>
        <tr r="L13" s="6"/>
      </tp>
      <tp t="e">
        <v>#N/A</v>
        <stp/>
        <stp>BDH|347151635093655489</stp>
        <tr r="X34" s="21"/>
      </tp>
      <tp t="e">
        <v>#N/A</v>
        <stp/>
        <stp>BDH|421789079684941115</stp>
        <tr r="Y65" s="24"/>
      </tp>
      <tp t="e">
        <v>#N/A</v>
        <stp/>
        <stp>BDH|709674872247966363</stp>
        <tr r="O15" s="12"/>
      </tp>
      <tp t="e">
        <v>#N/A</v>
        <stp/>
        <stp>BDH|569186494619172451</stp>
        <tr r="H76" s="24"/>
      </tp>
      <tp t="e">
        <v>#N/A</v>
        <stp/>
        <stp>BDH|312828793037468387</stp>
        <tr r="W20" s="27"/>
      </tp>
      <tp t="e">
        <v>#N/A</v>
        <stp/>
        <stp>BDH|392542108890896095</stp>
        <tr r="V56" s="6"/>
      </tp>
      <tp t="e">
        <v>#N/A</v>
        <stp/>
        <stp>BDH|631782743190580667</stp>
        <tr r="X19" s="26"/>
      </tp>
      <tp t="e">
        <v>#N/A</v>
        <stp/>
        <stp>BDH|844584069351134764</stp>
        <tr r="O54" s="21"/>
      </tp>
      <tp t="e">
        <v>#N/A</v>
        <stp/>
        <stp>BDH|480020326282652597</stp>
        <tr r="I69" s="17"/>
      </tp>
      <tp t="e">
        <v>#N/A</v>
        <stp/>
        <stp>BDH|769568775002364580</stp>
        <tr r="U56" s="6"/>
      </tp>
      <tp t="e">
        <v>#N/A</v>
        <stp/>
        <stp>BDH|466876853919760181</stp>
        <tr r="C9" s="14"/>
      </tp>
      <tp t="e">
        <v>#N/A</v>
        <stp/>
        <stp>BDH|400220579253191316</stp>
        <tr r="K37" s="6"/>
      </tp>
      <tp t="e">
        <v>#N/A</v>
        <stp/>
        <stp>BDH|445828370639755390</stp>
        <tr r="D15" s="30"/>
      </tp>
      <tp t="e">
        <v>#N/A</v>
        <stp/>
        <stp>BDH|518161850533337287</stp>
        <tr r="G61" s="21"/>
      </tp>
      <tp t="e">
        <v>#N/A</v>
        <stp/>
        <stp>BDH|682252354570872251</stp>
        <tr r="M73" s="17"/>
      </tp>
      <tp t="e">
        <v>#N/A</v>
        <stp/>
        <stp>BDH|185177245176195684</stp>
        <tr r="S16" s="29"/>
        <tr r="S39" s="29"/>
      </tp>
      <tp t="e">
        <v>#N/A</v>
        <stp/>
        <stp>BDH|972874759919574197</stp>
        <tr r="R13" s="29"/>
        <tr r="R22" s="29"/>
        <tr r="R36" s="29"/>
      </tp>
      <tp t="e">
        <v>#N/A</v>
        <stp/>
        <stp>BDH|101786012225661663</stp>
        <tr r="P28" s="26"/>
      </tp>
      <tp t="e">
        <v>#N/A</v>
        <stp/>
        <stp>BDH|325840607245323878</stp>
        <tr r="P64" s="18"/>
      </tp>
      <tp t="e">
        <v>#N/A</v>
        <stp/>
        <stp>BDH|912632051824932263</stp>
        <tr r="K37" s="21"/>
        <tr r="K24" s="3"/>
      </tp>
      <tp t="e">
        <v>#N/A</v>
        <stp/>
        <stp>BDH|795607676063565700</stp>
        <tr r="T32" s="25"/>
        <tr r="T18" s="27"/>
      </tp>
      <tp t="e">
        <v>#N/A</v>
        <stp/>
        <stp>BDH|683025254401415106</stp>
        <tr r="X19" s="12"/>
      </tp>
      <tp t="e">
        <v>#N/A</v>
        <stp/>
        <stp>BDH|990736457435953201</stp>
        <tr r="F34" s="10"/>
        <tr r="F26" s="11"/>
      </tp>
      <tp t="e">
        <v>#N/A</v>
        <stp/>
        <stp>BDH|935766828200007035</stp>
        <tr r="Z126" s="18"/>
      </tp>
      <tp t="e">
        <v>#N/A</v>
        <stp/>
        <stp>BDH|404400730142816086</stp>
        <tr r="X13" s="9"/>
      </tp>
      <tp t="e">
        <v>#N/A</v>
        <stp/>
        <stp>BDH|880580579322906557</stp>
        <tr r="K80" s="24"/>
      </tp>
      <tp t="e">
        <v>#N/A</v>
        <stp/>
        <stp>BDH|748403314199635908</stp>
        <tr r="Q10" s="28"/>
      </tp>
      <tp t="e">
        <v>#N/A</v>
        <stp/>
        <stp>BDH|356101857922924382</stp>
        <tr r="V38" s="4"/>
        <tr r="V58" s="11"/>
        <tr r="X13" s="23"/>
      </tp>
      <tp t="e">
        <v>#N/A</v>
        <stp/>
        <stp>BDH|481611021007196600</stp>
        <tr r="D48" s="6"/>
      </tp>
      <tp t="e">
        <v>#N/A</v>
        <stp/>
        <stp>BDH|684784182848006293</stp>
        <tr r="S14" s="6"/>
      </tp>
      <tp t="e">
        <v>#N/A</v>
        <stp/>
        <stp>BDH|756723284828551221</stp>
        <tr r="X16" s="26"/>
      </tp>
      <tp t="e">
        <v>#N/A</v>
        <stp/>
        <stp>BDH|385649759641120790</stp>
        <tr r="P53" s="24"/>
      </tp>
      <tp t="e">
        <v>#N/A</v>
        <stp/>
        <stp>BDH|838399567687934785</stp>
        <tr r="S85" s="12"/>
      </tp>
      <tp t="e">
        <v>#N/A</v>
        <stp/>
        <stp>BDH|665476471770601619</stp>
        <tr r="O23" s="23"/>
      </tp>
      <tp t="e">
        <v>#N/A</v>
        <stp/>
        <stp>BDH|755144530850459702</stp>
        <tr r="X34" s="14"/>
      </tp>
      <tp t="e">
        <v>#N/A</v>
        <stp/>
        <stp>BDH|196435124926409556</stp>
        <tr r="M42" s="6"/>
      </tp>
      <tp t="e">
        <v>#N/A</v>
        <stp/>
        <stp>BDH|413164235774020300</stp>
        <tr r="E78" s="24"/>
      </tp>
      <tp t="e">
        <v>#N/A</v>
        <stp/>
        <stp>BDH|459507695051171873</stp>
        <tr r="I45" s="18"/>
      </tp>
      <tp t="e">
        <v>#N/A</v>
        <stp/>
        <stp>BDH|941195499249731495</stp>
        <tr r="E17" s="20"/>
      </tp>
      <tp t="e">
        <v>#N/A</v>
        <stp/>
        <stp>BDH|343314943397310557</stp>
        <tr r="O7" s="8"/>
      </tp>
      <tp t="e">
        <v>#N/A</v>
        <stp/>
        <stp>BDH|980560328255358741</stp>
        <tr r="M69" s="24"/>
      </tp>
      <tp t="e">
        <v>#N/A</v>
        <stp/>
        <stp>BDH|255434470012782464</stp>
        <tr r="S59" s="13"/>
      </tp>
      <tp t="e">
        <v>#N/A</v>
        <stp/>
        <stp>BDH|731642371337486368</stp>
        <tr r="O43" s="17"/>
      </tp>
      <tp t="e">
        <v>#N/A</v>
        <stp/>
        <stp>BDH|375434834656305477</stp>
        <tr r="P62" s="21"/>
      </tp>
      <tp t="e">
        <v>#N/A</v>
        <stp/>
        <stp>BDH|973481630911820387</stp>
        <tr r="L64" s="10"/>
      </tp>
      <tp t="e">
        <v>#N/A</v>
        <stp/>
        <stp>BDH|696297161945868479</stp>
        <tr r="U12" s="18"/>
      </tp>
      <tp t="e">
        <v>#N/A</v>
        <stp/>
        <stp>BDH|975718166006779280</stp>
        <tr r="H49" s="4"/>
      </tp>
      <tp t="e">
        <v>#N/A</v>
        <stp/>
        <stp>BDH|373759762081748524</stp>
        <tr r="V7" s="8"/>
      </tp>
      <tp t="e">
        <v>#N/A</v>
        <stp/>
        <stp>BDH|709671177222388656</stp>
        <tr r="I30" s="26"/>
      </tp>
      <tp t="e">
        <v>#N/A</v>
        <stp/>
        <stp>BDH|554908825687832995</stp>
        <tr r="T14" s="10"/>
      </tp>
      <tp t="e">
        <v>#N/A</v>
        <stp/>
        <stp>BDH|460589269955384379</stp>
        <tr r="J93" s="17"/>
      </tp>
      <tp t="e">
        <v>#N/A</v>
        <stp/>
        <stp>BDH|333073400920609503</stp>
        <tr r="W39" s="4"/>
        <tr r="W66" s="10"/>
      </tp>
      <tp t="e">
        <v>#N/A</v>
        <stp/>
        <stp>BDH|926288870181656155</stp>
        <tr r="V63" s="12"/>
      </tp>
      <tp t="e">
        <v>#N/A</v>
        <stp/>
        <stp>BDH|676079923285069205</stp>
        <tr r="H74" s="10"/>
        <tr r="H66" s="11"/>
      </tp>
      <tp t="e">
        <v>#N/A</v>
        <stp/>
        <stp>BDH|485146295168728508</stp>
        <tr r="F47" s="21"/>
      </tp>
      <tp t="e">
        <v>#N/A</v>
        <stp/>
        <stp>BDH|972539987189800165</stp>
        <tr r="F122" s="18"/>
      </tp>
      <tp t="e">
        <v>#N/A</v>
        <stp/>
        <stp>BDH|228015290625233921</stp>
        <tr r="Z16" s="12"/>
      </tp>
      <tp t="e">
        <v>#N/A</v>
        <stp/>
        <stp>BDH|405762209843893103</stp>
        <tr r="F8" s="18"/>
      </tp>
      <tp t="e">
        <v>#N/A</v>
        <stp/>
        <stp>BDH|490186652958510980</stp>
        <tr r="J25" s="10"/>
        <tr r="L31" s="13"/>
      </tp>
      <tp t="e">
        <v>#N/A</v>
        <stp/>
        <stp>BDH|105625061076699287</stp>
        <tr r="M138" s="18"/>
      </tp>
      <tp t="e">
        <v>#N/A</v>
        <stp/>
        <stp>BDH|452986224887572812</stp>
        <tr r="R47" s="34"/>
      </tp>
      <tp t="e">
        <v>#N/A</v>
        <stp/>
        <stp>BDH|958104158077491796</stp>
        <tr r="AA47" s="13"/>
      </tp>
      <tp t="e">
        <v>#N/A</v>
        <stp/>
        <stp>BDH|354427316056328783</stp>
        <tr r="M24" s="13"/>
      </tp>
      <tp t="e">
        <v>#N/A</v>
        <stp/>
        <stp>BDH|345397942871386273</stp>
        <tr r="P133" s="18"/>
      </tp>
      <tp t="e">
        <v>#N/A</v>
        <stp/>
        <stp>BDH|330140779121669345</stp>
        <tr r="P21" s="4"/>
      </tp>
      <tp t="e">
        <v>#N/A</v>
        <stp/>
        <stp>BDH|502455764012991401</stp>
        <tr r="K24" s="5"/>
      </tp>
      <tp t="e">
        <v>#N/A</v>
        <stp/>
        <stp>BDH|953058366385798704</stp>
        <tr r="W14" s="13"/>
      </tp>
      <tp t="e">
        <v>#N/A</v>
        <stp/>
        <stp>BDH|427693167470563419</stp>
        <tr r="Q29" s="17"/>
      </tp>
      <tp t="e">
        <v>#N/A</v>
        <stp/>
        <stp>BDH|555683260493620759</stp>
        <tr r="P58" s="18"/>
      </tp>
      <tp t="e">
        <v>#N/A</v>
        <stp/>
        <stp>BDH|622086697719376448</stp>
        <tr r="P20" s="25"/>
      </tp>
      <tp t="e">
        <v>#N/A</v>
        <stp/>
        <stp>BDH|166671522642838221</stp>
        <tr r="D38" s="4"/>
        <tr r="D58" s="11"/>
        <tr r="F13" s="23"/>
      </tp>
      <tp t="e">
        <v>#N/A</v>
        <stp/>
        <stp>BDH|425333517854694287</stp>
        <tr r="F82" s="18"/>
      </tp>
      <tp t="e">
        <v>#N/A</v>
        <stp/>
        <stp>BDH|880821560363497918</stp>
        <tr r="H73" s="24"/>
      </tp>
      <tp t="e">
        <v>#N/A</v>
        <stp/>
        <stp>BDH|460682642354197201</stp>
        <tr r="D32" s="13"/>
      </tp>
      <tp t="e">
        <v>#N/A</v>
        <stp/>
        <stp>BDH|703873504648968420</stp>
        <tr r="N35" s="25"/>
      </tp>
      <tp t="e">
        <v>#N/A</v>
        <stp/>
        <stp>BDH|660766749964301327</stp>
        <tr r="AA17" s="13"/>
      </tp>
      <tp t="e">
        <v>#N/A</v>
        <stp/>
        <stp>BDH|707165308236883399</stp>
        <tr r="U19" s="10"/>
      </tp>
      <tp t="e">
        <v>#N/A</v>
        <stp/>
        <stp>BDH|430264594137685890</stp>
        <tr r="U80" s="18"/>
      </tp>
      <tp t="e">
        <v>#N/A</v>
        <stp/>
        <stp>BDH|648490300904187474</stp>
        <tr r="J38" s="6"/>
      </tp>
      <tp t="e">
        <v>#N/A</v>
        <stp/>
        <stp>BDH|639315708756335157</stp>
        <tr r="O31" s="17"/>
      </tp>
      <tp t="e">
        <v>#N/A</v>
        <stp/>
        <stp>BDH|950783119363459168</stp>
        <tr r="M38" s="4"/>
        <tr r="M58" s="11"/>
        <tr r="O13" s="23"/>
      </tp>
      <tp t="e">
        <v>#N/A</v>
        <stp/>
        <stp>BDH|742962868393087832</stp>
        <tr r="Y13" s="20"/>
      </tp>
      <tp t="e">
        <v>#N/A</v>
        <stp/>
        <stp>BDH|714652634389456884</stp>
        <tr r="D58" s="18"/>
      </tp>
      <tp t="e">
        <v>#N/A</v>
        <stp/>
        <stp>BDH|648500860325942255</stp>
        <tr r="Z13" s="21"/>
      </tp>
      <tp t="e">
        <v>#N/A</v>
        <stp/>
        <stp>BDH|634185059289582997</stp>
        <tr r="K15" s="30"/>
      </tp>
      <tp t="e">
        <v>#N/A</v>
        <stp/>
        <stp>BDH|731351765348992957</stp>
        <tr r="R43" s="6"/>
      </tp>
      <tp t="e">
        <v>#N/A</v>
        <stp/>
        <stp>BDH|270215961238913804</stp>
        <tr r="L10" s="34"/>
      </tp>
      <tp t="e">
        <v>#N/A</v>
        <stp/>
        <stp>BDH|780974725478001714</stp>
        <tr r="R23" s="5"/>
        <tr r="R23" s="9"/>
      </tp>
      <tp t="e">
        <v>#N/A</v>
        <stp/>
        <stp>BDH|203112756039099916</stp>
        <tr r="E48" s="22"/>
      </tp>
      <tp t="e">
        <v>#N/A</v>
        <stp/>
        <stp>BDH|136042641766102615</stp>
        <tr r="L15" s="14"/>
      </tp>
      <tp t="e">
        <v>#N/A</v>
        <stp/>
        <stp>BDH|985873524586882865</stp>
        <tr r="J39" s="24"/>
      </tp>
      <tp t="e">
        <v>#N/A</v>
        <stp/>
        <stp>BDH|307110643992198341</stp>
        <tr r="K61" s="21"/>
      </tp>
      <tp t="e">
        <v>#N/A</v>
        <stp/>
        <stp>BDH|681761474752485647</stp>
        <tr r="M24" s="12"/>
      </tp>
      <tp t="e">
        <v>#N/A</v>
        <stp/>
        <stp>BDH|346088015484292186</stp>
        <tr r="W23" s="24"/>
      </tp>
      <tp t="e">
        <v>#N/A</v>
        <stp/>
        <stp>BDH|743054232285485210</stp>
        <tr r="C33" s="22"/>
      </tp>
      <tp t="e">
        <v>#N/A</v>
        <stp/>
        <stp>BDH|626158877485013712</stp>
        <tr r="N63" s="21"/>
        <tr r="L23" s="7"/>
      </tp>
      <tp t="e">
        <v>#N/A</v>
        <stp/>
        <stp>BDH|409923486571427419</stp>
        <tr r="AA33" s="24"/>
      </tp>
      <tp t="e">
        <v>#N/A</v>
        <stp/>
        <stp>BDH|434324891588646675</stp>
        <tr r="I108" s="18"/>
      </tp>
      <tp t="e">
        <v>#N/A</v>
        <stp/>
        <stp>BDH|870638618846029553</stp>
        <tr r="AA32" s="25"/>
        <tr r="AA18" s="27"/>
      </tp>
      <tp t="e">
        <v>#N/A</v>
        <stp/>
        <stp>BDH|462220356392344157</stp>
        <tr r="M45" s="12"/>
      </tp>
      <tp t="e">
        <v>#N/A</v>
        <stp/>
        <stp>BDH|731917297245390155</stp>
        <tr r="Y117" s="18"/>
      </tp>
      <tp t="e">
        <v>#N/A</v>
        <stp/>
        <stp>BDH|597762829425965442</stp>
        <tr r="J49" s="17"/>
      </tp>
      <tp t="e">
        <v>#N/A</v>
        <stp/>
        <stp>BDH|308736043536145159</stp>
        <tr r="AA75" s="12"/>
      </tp>
      <tp t="e">
        <v>#N/A</v>
        <stp/>
        <stp>BDH|743884968443484943</stp>
        <tr r="N7" s="23"/>
      </tp>
      <tp t="e">
        <v>#N/A</v>
        <stp/>
        <stp>BDH|135075207500191479</stp>
        <tr r="M73" s="18"/>
      </tp>
      <tp t="e">
        <v>#N/A</v>
        <stp/>
        <stp>BDH|736019981555980991</stp>
        <tr r="C24" s="29"/>
      </tp>
      <tp t="e">
        <v>#N/A</v>
        <stp/>
        <stp>BDH|602087510045878015</stp>
        <tr r="D19" s="13"/>
      </tp>
      <tp t="e">
        <v>#N/A</v>
        <stp/>
        <stp>BDH|902736400485399696</stp>
        <tr r="O41" s="24"/>
      </tp>
      <tp t="e">
        <v>#N/A</v>
        <stp/>
        <stp>BDH|785228072565422428</stp>
        <tr r="M29" s="29"/>
        <tr r="M7" s="29"/>
      </tp>
      <tp t="e">
        <v>#N/A</v>
        <stp/>
        <stp>BDH|772480438801075269</stp>
        <tr r="F40" s="10"/>
        <tr r="F32" s="11"/>
      </tp>
      <tp t="e">
        <v>#N/A</v>
        <stp/>
        <stp>BDH|803325962734859510</stp>
        <tr r="V72" s="17"/>
      </tp>
      <tp t="e">
        <v>#N/A</v>
        <stp/>
        <stp>BDH|286539748310829538</stp>
        <tr r="P6" s="6"/>
      </tp>
      <tp t="e">
        <v>#N/A</v>
        <stp/>
        <stp>BDH|827484665611259754</stp>
        <tr r="Q69" s="17"/>
      </tp>
      <tp t="e">
        <v>#N/A</v>
        <stp/>
        <stp>BDH|910715379310080438</stp>
        <tr r="O118" s="18"/>
      </tp>
      <tp t="e">
        <v>#N/A</v>
        <stp/>
        <stp>BDH|520595560304950362</stp>
        <tr r="Z71" s="18"/>
      </tp>
      <tp t="e">
        <v>#N/A</v>
        <stp/>
        <stp>BDH|160657664714640052</stp>
        <tr r="C44" s="34"/>
      </tp>
      <tp t="e">
        <v>#N/A</v>
        <stp/>
        <stp>BDH|966136608944288135</stp>
        <tr r="N58" s="18"/>
      </tp>
      <tp t="e">
        <v>#N/A</v>
        <stp/>
        <stp>BDH|803470878984824032</stp>
        <tr r="F11" s="29"/>
      </tp>
      <tp t="e">
        <v>#N/A</v>
        <stp/>
        <stp>BDH|437238499505651944</stp>
        <tr r="I28" s="17"/>
      </tp>
      <tp t="e">
        <v>#N/A</v>
        <stp/>
        <stp>BDH|219733469813747531</stp>
        <tr r="N23" s="25"/>
        <tr r="L20" s="11"/>
      </tp>
      <tp t="e">
        <v>#N/A</v>
        <stp/>
        <stp>BDH|539747571616409181</stp>
        <tr r="U42" s="18"/>
      </tp>
      <tp t="e">
        <v>#N/A</v>
        <stp/>
        <stp>BDH|876720668080844663</stp>
        <tr r="AA116" s="18"/>
      </tp>
      <tp t="e">
        <v>#N/A</v>
        <stp/>
        <stp>BDH|258809442412588982</stp>
        <tr r="Y69" s="12"/>
      </tp>
      <tp t="e">
        <v>#N/A</v>
        <stp/>
        <stp>BDH|200351723371128783</stp>
        <tr r="L67" s="10"/>
      </tp>
      <tp t="e">
        <v>#N/A</v>
        <stp/>
        <stp>BDH|452010002565914209</stp>
        <tr r="S21" s="3"/>
      </tp>
      <tp t="e">
        <v>#N/A</v>
        <stp/>
        <stp>BDH|285825157719917307</stp>
        <tr r="Y13" s="18"/>
      </tp>
      <tp t="e">
        <v>#N/A</v>
        <stp/>
        <stp>BDH|450592421259685940</stp>
        <tr r="Y52" s="4"/>
        <tr r="AA8" s="3"/>
        <tr r="Y44" s="10"/>
        <tr r="Y36" s="11"/>
        <tr r="AA40" s="13"/>
      </tp>
      <tp t="e">
        <v>#N/A</v>
        <stp/>
        <stp>BDH|567399314875243040</stp>
        <tr r="E25" s="9"/>
      </tp>
      <tp t="e">
        <v>#N/A</v>
        <stp/>
        <stp>BDH|341384871115137651</stp>
        <tr r="L53" s="17"/>
      </tp>
      <tp t="e">
        <v>#N/A</v>
        <stp/>
        <stp>BDH|560341267514935609</stp>
        <tr r="I24" s="5"/>
      </tp>
      <tp t="e">
        <v>#N/A</v>
        <stp/>
        <stp>BDH|666222069810609345</stp>
        <tr r="I37" s="21"/>
        <tr r="I24" s="3"/>
      </tp>
      <tp t="e">
        <v>#N/A</v>
        <stp/>
        <stp>BDH|561218758904516462</stp>
        <tr r="J12" s="26"/>
      </tp>
      <tp t="e">
        <v>#N/A</v>
        <stp/>
        <stp>BDH|573597451941011651</stp>
        <tr r="Y10" s="24"/>
      </tp>
      <tp t="e">
        <v>#N/A</v>
        <stp/>
        <stp>BDH|788427952781620793</stp>
        <tr r="T53" s="17"/>
      </tp>
      <tp t="e">
        <v>#N/A</v>
        <stp/>
        <stp>BDH|919725620096335405</stp>
        <tr r="Y59" s="21"/>
        <tr r="W55" s="11"/>
      </tp>
      <tp t="e">
        <v>#N/A</v>
        <stp/>
        <stp>BDH|972606860547719065</stp>
        <tr r="P13" s="5"/>
      </tp>
      <tp t="e">
        <v>#N/A</v>
        <stp/>
        <stp>BDH|857756658023875651</stp>
        <tr r="G42" s="6"/>
      </tp>
      <tp t="e">
        <v>#N/A</v>
        <stp/>
        <stp>BDH|534390616953555664</stp>
        <tr r="L84" s="18"/>
      </tp>
      <tp t="e">
        <v>#N/A</v>
        <stp/>
        <stp>BDH|727640844657783295</stp>
        <tr r="J18" s="25"/>
      </tp>
      <tp t="e">
        <v>#N/A</v>
        <stp/>
        <stp>BDH|573458669566446343</stp>
        <tr r="F54" s="21"/>
      </tp>
      <tp t="e">
        <v>#N/A</v>
        <stp/>
        <stp>BDH|798105406414046281</stp>
        <tr r="Y9" s="30"/>
      </tp>
      <tp t="e">
        <v>#N/A</v>
        <stp/>
        <stp>BDH|443545410523050091</stp>
        <tr r="H90" s="18"/>
      </tp>
      <tp t="e">
        <v>#N/A</v>
        <stp/>
        <stp>BDH|727392929360929670</stp>
        <tr r="W68" s="24"/>
      </tp>
      <tp t="e">
        <v>#N/A</v>
        <stp/>
        <stp>BDH|856556920695711533</stp>
        <tr r="Y36" s="21"/>
      </tp>
      <tp t="e">
        <v>#N/A</v>
        <stp/>
        <stp>BDH|307722643592926620</stp>
        <tr r="I124" s="18"/>
      </tp>
      <tp t="e">
        <v>#N/A</v>
        <stp/>
        <stp>BDH|708340567083893162</stp>
        <tr r="T20" s="22"/>
      </tp>
      <tp t="e">
        <v>#N/A</v>
        <stp/>
        <stp>BDH|696588116763558078</stp>
        <tr r="C68" s="24"/>
      </tp>
      <tp t="e">
        <v>#N/A</v>
        <stp/>
        <stp>BDH|941789964760927660</stp>
        <tr r="N14" s="2"/>
        <tr r="N11" s="10"/>
      </tp>
      <tp t="e">
        <v>#N/A</v>
        <stp/>
        <stp>BDH|289085405657361064</stp>
        <tr r="V27" s="6"/>
      </tp>
      <tp t="e">
        <v>#N/A</v>
        <stp/>
        <stp>BDH|150168579849591813</stp>
        <tr r="G92" s="18"/>
      </tp>
      <tp t="e">
        <v>#N/A</v>
        <stp/>
        <stp>BDH|669503729072712227</stp>
        <tr r="F61" s="17"/>
      </tp>
      <tp t="e">
        <v>#N/A</v>
        <stp/>
        <stp>BDH|934787409718722856</stp>
        <tr r="M124" s="18"/>
      </tp>
      <tp t="e">
        <v>#N/A</v>
        <stp/>
        <stp>BDH|476828839025746933</stp>
        <tr r="N71" s="24"/>
      </tp>
      <tp t="e">
        <v>#N/A</v>
        <stp/>
        <stp>BDH|421703645642646638</stp>
        <tr r="R59" s="24"/>
      </tp>
      <tp t="e">
        <v>#N/A</v>
        <stp/>
        <stp>BDH|415801082903245405</stp>
        <tr r="D60" s="13"/>
      </tp>
      <tp t="e">
        <v>#N/A</v>
        <stp/>
        <stp>BDH|720506845310180676</stp>
        <tr r="M19" s="12"/>
      </tp>
      <tp t="e">
        <v>#N/A</v>
        <stp/>
        <stp>BDH|946982499213987450</stp>
        <tr r="L60" s="24"/>
      </tp>
      <tp t="e">
        <v>#N/A</v>
        <stp/>
        <stp>BDH|733213414605555135</stp>
        <tr r="U62" s="21"/>
      </tp>
      <tp t="e">
        <v>#N/A</v>
        <stp/>
        <stp>BDH|858275912900859406</stp>
        <tr r="N36" s="12"/>
      </tp>
      <tp t="e">
        <v>#N/A</v>
        <stp/>
        <stp>BDH|138244744017652629</stp>
        <tr r="U30" s="22"/>
      </tp>
      <tp t="e">
        <v>#N/A</v>
        <stp/>
        <stp>BDH|941843031939112583</stp>
        <tr r="E9" s="14"/>
      </tp>
      <tp t="e">
        <v>#N/A</v>
        <stp/>
        <stp>BDH|314713602218620833</stp>
        <tr r="H14" s="21"/>
      </tp>
      <tp t="e">
        <v>#N/A</v>
        <stp/>
        <stp>BDH|414750054474706174</stp>
        <tr r="U53" s="17"/>
      </tp>
      <tp t="e">
        <v>#N/A</v>
        <stp/>
        <stp>BDH|141044420933875688</stp>
        <tr r="I42" s="6"/>
      </tp>
      <tp t="e">
        <v>#N/A</v>
        <stp/>
        <stp>BDH|397144206370508618</stp>
        <tr r="M10" s="13"/>
      </tp>
      <tp t="e">
        <v>#N/A</v>
        <stp/>
        <stp>BDH|821270412653839700</stp>
        <tr r="X78" s="24"/>
      </tp>
      <tp t="e">
        <v>#N/A</v>
        <stp/>
        <stp>BDH|253085799818576600</stp>
        <tr r="D16" s="17"/>
        <tr r="D19" s="28"/>
      </tp>
      <tp t="e">
        <v>#N/A</v>
        <stp/>
        <stp>BDH|795013603845117221</stp>
        <tr r="G99" s="18"/>
        <tr r="G8" s="20"/>
      </tp>
      <tp t="e">
        <v>#N/A</v>
        <stp/>
        <stp>BDH|192239863584178779</stp>
        <tr r="E19" s="17"/>
      </tp>
      <tp t="e">
        <v>#N/A</v>
        <stp/>
        <stp>BDH|817194158055629688</stp>
        <tr r="M74" s="18"/>
      </tp>
      <tp t="e">
        <v>#N/A</v>
        <stp/>
        <stp>BDH|685388050551927006</stp>
        <tr r="D9" s="28"/>
      </tp>
      <tp t="e">
        <v>#N/A</v>
        <stp/>
        <stp>BDH|418374617332689758</stp>
        <tr r="R106" s="18"/>
      </tp>
      <tp t="e">
        <v>#N/A</v>
        <stp/>
        <stp>BDH|767605768596131192</stp>
        <tr r="C65" s="13"/>
      </tp>
      <tp t="e">
        <v>#N/A</v>
        <stp/>
        <stp>BDH|203785387571538983</stp>
        <tr r="U113" s="18"/>
      </tp>
      <tp t="e">
        <v>#N/A</v>
        <stp/>
        <stp>BDH|563469563840920591</stp>
        <tr r="P82" s="12"/>
      </tp>
      <tp t="e">
        <v>#N/A</v>
        <stp/>
        <stp>BDH|805307336292943575</stp>
        <tr r="V49" s="22"/>
      </tp>
      <tp t="e">
        <v>#N/A</v>
        <stp/>
        <stp>BDH|154801391163682577</stp>
        <tr r="O76" s="18"/>
      </tp>
      <tp t="e">
        <v>#N/A</v>
        <stp/>
        <stp>BDH|295744813757324670</stp>
        <tr r="K116" s="18"/>
      </tp>
      <tp t="e">
        <v>#N/A</v>
        <stp/>
        <stp>BDH|163794561127096184</stp>
        <tr r="C49" s="13"/>
      </tp>
      <tp t="e">
        <v>#N/A</v>
        <stp/>
        <stp>BDH|295914083763551540</stp>
        <tr r="F9" s="34"/>
      </tp>
      <tp t="e">
        <v>#N/A</v>
        <stp/>
        <stp>BDH|505212015730834484</stp>
        <tr r="F55" s="24"/>
      </tp>
      <tp t="e">
        <v>#N/A</v>
        <stp/>
        <stp>BDH|739311212026314362</stp>
        <tr r="D33" s="17"/>
      </tp>
      <tp t="e">
        <v>#N/A</v>
        <stp/>
        <stp>BDH|178262507147912282</stp>
        <tr r="P89" s="17"/>
        <tr r="P34" s="25"/>
      </tp>
      <tp t="e">
        <v>#N/A</v>
        <stp/>
        <stp>BDH|157106168147841738</stp>
        <tr r="W130" s="18"/>
      </tp>
      <tp t="e">
        <v>#N/A</v>
        <stp/>
        <stp>BDH|939491949194323382</stp>
        <tr r="E34" s="12"/>
      </tp>
      <tp t="e">
        <v>#N/A</v>
        <stp/>
        <stp>BDH|611425938690666083</stp>
        <tr r="W31" s="5"/>
      </tp>
      <tp t="e">
        <v>#N/A</v>
        <stp/>
        <stp>BDH|898069825364135185</stp>
        <tr r="U22" s="18"/>
      </tp>
      <tp t="e">
        <v>#N/A</v>
        <stp/>
        <stp>BDH|200543774224471158</stp>
        <tr r="Y72" s="12"/>
      </tp>
      <tp t="e">
        <v>#N/A</v>
        <stp/>
        <stp>BDH|166504984083380956</stp>
        <tr r="H7" s="2"/>
        <tr r="G7" s="5"/>
        <tr r="G7" s="9"/>
        <tr r="J14" s="3"/>
      </tp>
      <tp t="e">
        <v>#N/A</v>
        <stp/>
        <stp>BDH|502301784238519470</stp>
        <tr r="F27" s="22"/>
      </tp>
      <tp t="e">
        <v>#N/A</v>
        <stp/>
        <stp>BDH|307342043098570825</stp>
        <tr r="X17" s="9"/>
      </tp>
      <tp t="e">
        <v>#N/A</v>
        <stp/>
        <stp>BDH|754065078354295571</stp>
        <tr r="O89" s="18"/>
      </tp>
      <tp t="e">
        <v>#N/A</v>
        <stp/>
        <stp>BDH|388748824054897777</stp>
        <tr r="X50" s="12"/>
      </tp>
      <tp t="e">
        <v>#N/A</v>
        <stp/>
        <stp>BDH|228011007062806400</stp>
        <tr r="Z18" s="12"/>
      </tp>
      <tp t="e">
        <v>#N/A</v>
        <stp/>
        <stp>BDH|176083154721067214</stp>
        <tr r="AA10" s="17"/>
      </tp>
      <tp t="e">
        <v>#N/A</v>
        <stp/>
        <stp>BDH|396519139315643513</stp>
        <tr r="K79" s="18"/>
      </tp>
      <tp t="e">
        <v>#N/A</v>
        <stp/>
        <stp>BDH|295588825218295904</stp>
        <tr r="X72" s="18"/>
      </tp>
      <tp t="e">
        <v>#N/A</v>
        <stp/>
        <stp>BDH|527607838130433347</stp>
        <tr r="N53" s="10"/>
        <tr r="N45" s="11"/>
        <tr r="N16" s="7"/>
      </tp>
      <tp t="e">
        <v>#N/A</v>
        <stp/>
        <stp>BDH|286097483818394668</stp>
        <tr r="M17" s="22"/>
      </tp>
      <tp t="e">
        <v>#N/A</v>
        <stp/>
        <stp>BDH|190079518780148700</stp>
        <tr r="D12" s="13"/>
      </tp>
      <tp t="e">
        <v>#N/A</v>
        <stp/>
        <stp>BDH|968304036630636666</stp>
        <tr r="K17" s="12"/>
      </tp>
      <tp t="e">
        <v>#N/A</v>
        <stp/>
        <stp>BDH|183279649155143511</stp>
        <tr r="C21" s="21"/>
      </tp>
      <tp t="e">
        <v>#N/A</v>
        <stp/>
        <stp>BDH|275311150241260199</stp>
        <tr r="I141" s="18"/>
      </tp>
      <tp t="e">
        <v>#N/A</v>
        <stp/>
        <stp>BDH|770936139644170842</stp>
        <tr r="R14" s="29"/>
        <tr r="R23" s="29"/>
        <tr r="R37" s="29"/>
      </tp>
      <tp t="e">
        <v>#N/A</v>
        <stp/>
        <stp>BDH|820744223535077674</stp>
        <tr r="F7" s="14"/>
      </tp>
      <tp t="e">
        <v>#N/A</v>
        <stp/>
        <stp>BDH|125191710284089208</stp>
        <tr r="O9" s="23"/>
      </tp>
      <tp t="e">
        <v>#N/A</v>
        <stp/>
        <stp>BDH|557384516772735640</stp>
        <tr r="R20" s="10"/>
      </tp>
      <tp t="e">
        <v>#N/A</v>
        <stp/>
        <stp>BDH|509358828515157201</stp>
        <tr r="J61" s="11"/>
      </tp>
      <tp t="e">
        <v>#N/A</v>
        <stp/>
        <stp>BDH|281917433449157582</stp>
        <tr r="V15" s="21"/>
      </tp>
      <tp t="e">
        <v>#N/A</v>
        <stp/>
        <stp>BDH|831595396662959876</stp>
        <tr r="M75" s="18"/>
        <tr r="M64" s="12"/>
      </tp>
      <tp t="e">
        <v>#N/A</v>
        <stp/>
        <stp>BDH|965500376935570138</stp>
        <tr r="H57" s="12"/>
      </tp>
      <tp t="e">
        <v>#N/A</v>
        <stp/>
        <stp>BDH|609580360203333641</stp>
        <tr r="M15" s="18"/>
      </tp>
      <tp t="e">
        <v>#N/A</v>
        <stp/>
        <stp>BDH|532611578416179141</stp>
        <tr r="D13" s="5"/>
      </tp>
      <tp t="e">
        <v>#N/A</v>
        <stp/>
        <stp>BDH|464859514166976967</stp>
        <tr r="W19" s="18"/>
      </tp>
      <tp t="e">
        <v>#N/A</v>
        <stp/>
        <stp>BDH|453074928106832289</stp>
        <tr r="O35" s="26"/>
      </tp>
      <tp t="e">
        <v>#N/A</v>
        <stp/>
        <stp>BDH|935906822789745471</stp>
        <tr r="G23" s="17"/>
      </tp>
      <tp t="e">
        <v>#N/A</v>
        <stp/>
        <stp>BDH|652570998873846953</stp>
        <tr r="M43" s="10"/>
        <tr r="M35" s="11"/>
      </tp>
      <tp t="e">
        <v>#N/A</v>
        <stp/>
        <stp>BDH|207245955750242158</stp>
        <tr r="G45" s="13"/>
      </tp>
      <tp t="e">
        <v>#N/A</v>
        <stp/>
        <stp>BDH|537248429927953155</stp>
        <tr r="V93" s="18"/>
      </tp>
      <tp t="e">
        <v>#N/A</v>
        <stp/>
        <stp>BDH|482523550357790156</stp>
        <tr r="X11" s="29"/>
      </tp>
      <tp t="e">
        <v>#N/A</v>
        <stp/>
        <stp>BDH|916186932584613017</stp>
        <tr r="C33" s="17"/>
      </tp>
      <tp t="e">
        <v>#N/A</v>
        <stp/>
        <stp>BDH|897211838743521417</stp>
        <tr r="Q38" s="4"/>
        <tr r="Q58" s="11"/>
        <tr r="S13" s="23"/>
      </tp>
      <tp t="e">
        <v>#N/A</v>
        <stp/>
        <stp>BDH|204665120604835691</stp>
        <tr r="W64" s="13"/>
      </tp>
      <tp t="e">
        <v>#N/A</v>
        <stp/>
        <stp>BDH|568526015742138063</stp>
        <tr r="I70" s="18"/>
      </tp>
      <tp t="e">
        <v>#N/A</v>
        <stp/>
        <stp>BDH|482136354925623700</stp>
        <tr r="G9" s="28"/>
      </tp>
      <tp t="e">
        <v>#N/A</v>
        <stp/>
        <stp>BDH|854290263591176362</stp>
        <tr r="Y33" s="21"/>
      </tp>
      <tp t="e">
        <v>#N/A</v>
        <stp/>
        <stp>BDH|398040813180511777</stp>
        <tr r="O27" s="10"/>
        <tr r="Q33" s="13"/>
      </tp>
      <tp t="e">
        <v>#N/A</v>
        <stp/>
        <stp>BDH|199292158534263549</stp>
        <tr r="Q85" s="17"/>
      </tp>
      <tp t="e">
        <v>#N/A</v>
        <stp/>
        <stp>BDH|756075306194891290</stp>
        <tr r="Z76" s="18"/>
      </tp>
      <tp t="e">
        <v>#N/A</v>
        <stp/>
        <stp>BDH|950384006542407749</stp>
        <tr r="V24" s="9"/>
      </tp>
      <tp t="e">
        <v>#N/A</v>
        <stp/>
        <stp>BDH|321214642069153963</stp>
        <tr r="V21" s="22"/>
      </tp>
      <tp t="e">
        <v>#N/A</v>
        <stp/>
        <stp>BDH|869306058477036772</stp>
        <tr r="F37" s="10"/>
        <tr r="F29" s="11"/>
        <tr r="H41" s="13"/>
      </tp>
      <tp t="e">
        <v>#N/A</v>
        <stp/>
        <stp>BDH|726420403132637008</stp>
        <tr r="R8" s="17"/>
      </tp>
      <tp t="e">
        <v>#N/A</v>
        <stp/>
        <stp>BDH|423571562942273734</stp>
        <tr r="K10" s="23"/>
      </tp>
      <tp t="e">
        <v>#N/A</v>
        <stp/>
        <stp>BDH|381175566016269704</stp>
        <tr r="M75" s="12"/>
      </tp>
      <tp t="e">
        <v>#N/A</v>
        <stp/>
        <stp>BDH|918832984826713096</stp>
        <tr r="J43" s="22"/>
      </tp>
      <tp t="e">
        <v>#N/A</v>
        <stp/>
        <stp>BDH|953689718043975206</stp>
        <tr r="J38" s="10"/>
        <tr r="J30" s="11"/>
        <tr r="L42" s="13"/>
      </tp>
      <tp t="e">
        <v>#N/A</v>
        <stp/>
        <stp>BDH|585951091641353729</stp>
        <tr r="V16" s="25"/>
      </tp>
      <tp t="e">
        <v>#N/A</v>
        <stp/>
        <stp>BDH|398459172395042047</stp>
        <tr r="V28" s="18"/>
      </tp>
      <tp t="e">
        <v>#N/A</v>
        <stp/>
        <stp>BDH|147562366037422253</stp>
        <tr r="N53" s="17"/>
      </tp>
      <tp t="e">
        <v>#N/A</v>
        <stp/>
        <stp>BDH|591155363565751455</stp>
        <tr r="U91" s="24"/>
      </tp>
      <tp t="e">
        <v>#N/A</v>
        <stp/>
        <stp>BDH|789757328034233795</stp>
        <tr r="W7" s="23"/>
      </tp>
      <tp t="e">
        <v>#N/A</v>
        <stp/>
        <stp>BDH|502634056247410258</stp>
        <tr r="Y41" s="10"/>
        <tr r="Y33" s="11"/>
      </tp>
      <tp t="e">
        <v>#N/A</v>
        <stp/>
        <stp>BDH|883622530487346486</stp>
        <tr r="R35" s="25"/>
      </tp>
      <tp t="e">
        <v>#N/A</v>
        <stp/>
        <stp>BDH|441618924984707673</stp>
        <tr r="X39" s="24"/>
      </tp>
      <tp t="e">
        <v>#N/A</v>
        <stp/>
        <stp>BDH|523082598657135853</stp>
        <tr r="K64" s="21"/>
        <tr r="H31" s="6"/>
      </tp>
      <tp t="e">
        <v>#N/A</v>
        <stp/>
        <stp>BDH|165867384921476768</stp>
        <tr r="P8" s="11"/>
      </tp>
      <tp t="e">
        <v>#N/A</v>
        <stp/>
        <stp>BDH|452559156167562105</stp>
        <tr r="M7" s="14"/>
      </tp>
      <tp t="e">
        <v>#N/A</v>
        <stp/>
        <stp>BDH|252232293498287525</stp>
        <tr r="T8" s="4"/>
      </tp>
      <tp t="e">
        <v>#N/A</v>
        <stp/>
        <stp>BDH|683762475632555426</stp>
        <tr r="Q21" s="14"/>
      </tp>
      <tp t="e">
        <v>#N/A</v>
        <stp/>
        <stp>BDH|326578934763636343</stp>
        <tr r="E96" s="18"/>
      </tp>
      <tp t="e">
        <v>#N/A</v>
        <stp/>
        <stp>BDH|426604262596624020</stp>
        <tr r="J114" s="18"/>
      </tp>
      <tp t="e">
        <v>#N/A</v>
        <stp/>
        <stp>BDH|419142874002206244</stp>
        <tr r="V30" s="34"/>
      </tp>
      <tp t="e">
        <v>#N/A</v>
        <stp/>
        <stp>BDH|655641617033587229</stp>
        <tr r="J101" s="18"/>
      </tp>
      <tp t="e">
        <v>#N/A</v>
        <stp/>
        <stp>BDH|495904981586241147</stp>
        <tr r="J7" s="4"/>
      </tp>
      <tp t="e">
        <v>#N/A</v>
        <stp/>
        <stp>BDH|237554472514324059</stp>
        <tr r="S13" s="9"/>
      </tp>
      <tp t="e">
        <v>#N/A</v>
        <stp/>
        <stp>BDH|375524075195681117</stp>
        <tr r="C63" s="21"/>
      </tp>
      <tp t="e">
        <v>#N/A</v>
        <stp/>
        <stp>BDH|300540535442276233</stp>
        <tr r="V29" s="29"/>
        <tr r="V7" s="29"/>
      </tp>
      <tp t="e">
        <v>#N/A</v>
        <stp/>
        <stp>BDH|613320556089448951</stp>
        <tr r="X30" s="10"/>
        <tr r="Z36" s="13"/>
      </tp>
      <tp t="e">
        <v>#N/A</v>
        <stp/>
        <stp>BDH|635665028134077141</stp>
        <tr r="AA23" s="30"/>
        <tr r="AA25" s="23"/>
      </tp>
      <tp t="e">
        <v>#N/A</v>
        <stp/>
        <stp>BDH|561080372620430675</stp>
        <tr r="J32" s="21"/>
      </tp>
      <tp t="e">
        <v>#N/A</v>
        <stp/>
        <stp>BDH|753417888059100437</stp>
        <tr r="W18" s="13"/>
      </tp>
      <tp t="e">
        <v>#N/A</v>
        <stp/>
        <stp>BDH|128628677172850214</stp>
        <tr r="M18" s="23"/>
      </tp>
      <tp t="e">
        <v>#N/A</v>
        <stp/>
        <stp>BDH|212171460843098589</stp>
        <tr r="O39" s="22"/>
      </tp>
      <tp t="e">
        <v>#N/A</v>
        <stp/>
        <stp>BDH|961145651896735365</stp>
        <tr r="E33" s="18"/>
      </tp>
      <tp t="e">
        <v>#N/A</v>
        <stp/>
        <stp>BDH|865535040727757710</stp>
        <tr r="G74" s="24"/>
      </tp>
      <tp t="e">
        <v>#N/A</v>
        <stp/>
        <stp>BDH|900650344975035664</stp>
        <tr r="W21" s="30"/>
      </tp>
      <tp t="e">
        <v>#N/A</v>
        <stp/>
        <stp>BDH|855352437424183554</stp>
        <tr r="L137" s="18"/>
      </tp>
      <tp t="e">
        <v>#N/A</v>
        <stp/>
        <stp>BDH|141124374685128286</stp>
        <tr r="Z14" s="13"/>
      </tp>
      <tp t="e">
        <v>#N/A</v>
        <stp/>
        <stp>BDH|638122073795840212</stp>
        <tr r="Q37" s="10"/>
        <tr r="Q29" s="11"/>
        <tr r="S41" s="13"/>
      </tp>
      <tp t="e">
        <v>#N/A</v>
        <stp/>
        <stp>BDH|187536737001834638</stp>
        <tr r="V16" s="22"/>
      </tp>
      <tp t="e">
        <v>#N/A</v>
        <stp/>
        <stp>BDH|863412840948227947</stp>
        <tr r="N90" s="12"/>
      </tp>
      <tp t="e">
        <v>#N/A</v>
        <stp/>
        <stp>BDH|409113869860617653</stp>
        <tr r="V15" s="12"/>
      </tp>
      <tp t="e">
        <v>#N/A</v>
        <stp/>
        <stp>BDH|427730773038847935</stp>
        <tr r="U21" s="27"/>
      </tp>
      <tp t="e">
        <v>#N/A</v>
        <stp/>
        <stp>BDH|111539746733419385</stp>
        <tr r="Y8" s="17"/>
      </tp>
      <tp t="e">
        <v>#N/A</v>
        <stp/>
        <stp>BDH|919677589299709687</stp>
        <tr r="F10" s="18"/>
      </tp>
      <tp t="e">
        <v>#N/A</v>
        <stp/>
        <stp>BDH|947674072708343875</stp>
        <tr r="U57" s="18"/>
      </tp>
      <tp t="e">
        <v>#N/A</v>
        <stp/>
        <stp>BDH|822537449864369480</stp>
        <tr r="N64" s="13"/>
      </tp>
      <tp t="e">
        <v>#N/A</v>
        <stp/>
        <stp>BDH|269207725329643884</stp>
        <tr r="F18" s="29"/>
        <tr r="F41" s="29"/>
      </tp>
      <tp t="e">
        <v>#N/A</v>
        <stp/>
        <stp>BDH|189183450985211024</stp>
        <tr r="AA82" s="12"/>
      </tp>
      <tp t="e">
        <v>#N/A</v>
        <stp/>
        <stp>BDH|414534454080943136</stp>
        <tr r="T9" s="3"/>
        <tr r="R51" s="10"/>
        <tr r="R43" s="11"/>
        <tr r="R14" s="7"/>
      </tp>
      <tp t="e">
        <v>#N/A</v>
        <stp/>
        <stp>BDH|446421712357782391</stp>
        <tr r="M33" s="21"/>
      </tp>
      <tp t="e">
        <v>#N/A</v>
        <stp/>
        <stp>BDH|763928578857267849</stp>
        <tr r="AA18" s="17"/>
      </tp>
      <tp t="e">
        <v>#N/A</v>
        <stp/>
        <stp>BDH|749445916604684083</stp>
        <tr r="O37" s="18"/>
      </tp>
      <tp t="e">
        <v>#N/A</v>
        <stp/>
        <stp>BDH|601566486665871957</stp>
        <tr r="AA21" s="14"/>
      </tp>
      <tp t="e">
        <v>#N/A</v>
        <stp/>
        <stp>BDH|610512093498847575</stp>
        <tr r="C63" s="18"/>
      </tp>
      <tp t="e">
        <v>#N/A</v>
        <stp/>
        <stp>BDH|922649352526202490</stp>
        <tr r="N60" s="13"/>
      </tp>
      <tp t="e">
        <v>#N/A</v>
        <stp/>
        <stp>BDH|587860159589662595</stp>
        <tr r="T15" s="20"/>
      </tp>
      <tp t="e">
        <v>#N/A</v>
        <stp/>
        <stp>BDH|793933798818854912</stp>
        <tr r="J11" s="28"/>
      </tp>
      <tp t="e">
        <v>#N/A</v>
        <stp/>
        <stp>BDH|526116039386962514</stp>
        <tr r="Y9" s="23"/>
      </tp>
      <tp t="e">
        <v>#N/A</v>
        <stp/>
        <stp>BDH|936298142986162157</stp>
        <tr r="L62" s="12"/>
      </tp>
      <tp t="e">
        <v>#N/A</v>
        <stp/>
        <stp>BDH|834721468578701837</stp>
        <tr r="I39" s="4"/>
        <tr r="I66" s="10"/>
      </tp>
      <tp t="e">
        <v>#N/A</v>
        <stp/>
        <stp>BDH|759841681743727230</stp>
        <tr r="C42" s="21"/>
      </tp>
      <tp t="e">
        <v>#N/A</v>
        <stp/>
        <stp>BDH|196552854410680118</stp>
        <tr r="L120" s="18"/>
      </tp>
      <tp t="e">
        <v>#N/A</v>
        <stp/>
        <stp>BDH|704397179781374434</stp>
        <tr r="Q32" s="14"/>
      </tp>
      <tp t="e">
        <v>#N/A</v>
        <stp/>
        <stp>BDH|911559858934445573</stp>
        <tr r="S53" s="18"/>
      </tp>
      <tp t="e">
        <v>#N/A</v>
        <stp/>
        <stp>BDH|229554723012726440</stp>
        <tr r="F79" s="18"/>
      </tp>
      <tp t="e">
        <v>#N/A</v>
        <stp/>
        <stp>BDH|998106216617640692</stp>
        <tr r="Q20" s="25"/>
      </tp>
      <tp t="e">
        <v>#N/A</v>
        <stp/>
        <stp>BDH|912046689758380174</stp>
        <tr r="L131" s="18"/>
      </tp>
      <tp t="e">
        <v>#N/A</v>
        <stp/>
        <stp>BDH|838398757327381050</stp>
        <tr r="AA98" s="18"/>
        <tr r="AA7" s="20"/>
      </tp>
      <tp t="e">
        <v>#N/A</v>
        <stp/>
        <stp>BDH|800132814085947467</stp>
        <tr r="L76" s="24"/>
      </tp>
      <tp t="e">
        <v>#N/A</v>
        <stp/>
        <stp>BDH|844292924608149941</stp>
        <tr r="M19" s="11"/>
      </tp>
      <tp t="e">
        <v>#N/A</v>
        <stp/>
        <stp>BDH|364166016687152626</stp>
        <tr r="C18" s="29"/>
        <tr r="C41" s="29"/>
      </tp>
      <tp t="e">
        <v>#N/A</v>
        <stp/>
        <stp>BDH|969183217628317949</stp>
        <tr r="AA46" s="24"/>
      </tp>
      <tp t="e">
        <v>#N/A</v>
        <stp/>
        <stp>BDH|654574450327193612</stp>
        <tr r="G61" s="17"/>
      </tp>
      <tp t="e">
        <v>#N/A</v>
        <stp/>
        <stp>BDH|885776822744983058</stp>
        <tr r="K41" s="21"/>
      </tp>
      <tp t="e">
        <v>#N/A</v>
        <stp/>
        <stp>BDH|571175400238652859</stp>
        <tr r="G33" s="12"/>
      </tp>
      <tp t="e">
        <v>#N/A</v>
        <stp/>
        <stp>BDH|556472625930119778</stp>
        <tr r="X41" s="22"/>
      </tp>
      <tp t="e">
        <v>#N/A</v>
        <stp/>
        <stp>BDH|373082958731259534</stp>
        <tr r="J7" s="23"/>
      </tp>
      <tp t="e">
        <v>#N/A</v>
        <stp/>
        <stp>BDH|288370474743196625</stp>
        <tr r="I32" s="26"/>
      </tp>
      <tp t="e">
        <v>#N/A</v>
        <stp/>
        <stp>BDH|873162803085849571</stp>
        <tr r="F13" s="17"/>
        <tr r="F16" s="28"/>
      </tp>
      <tp t="e">
        <v>#N/A</v>
        <stp/>
        <stp>BDH|248045045645532044</stp>
        <tr r="D55" s="18"/>
      </tp>
      <tp t="e">
        <v>#N/A</v>
        <stp/>
        <stp>BDH|919124650503971602</stp>
        <tr r="D15" s="5"/>
      </tp>
      <tp t="e">
        <v>#N/A</v>
        <stp/>
        <stp>BDH|233775145480182220</stp>
        <tr r="S38" s="17"/>
      </tp>
      <tp t="e">
        <v>#N/A</v>
        <stp/>
        <stp>BDH|613278026354314570</stp>
        <tr r="P6" s="15"/>
        <tr r="P12" s="2"/>
        <tr r="P11" s="4"/>
        <tr r="P6" s="10"/>
      </tp>
      <tp t="e">
        <v>#N/A</v>
        <stp/>
        <stp>BDH|219751772999543834</stp>
        <tr r="P32" s="10"/>
        <tr r="P24" s="11"/>
      </tp>
      <tp t="e">
        <v>#N/A</v>
        <stp/>
        <stp>BDH|585220907094025736</stp>
        <tr r="C126" s="18"/>
      </tp>
      <tp t="e">
        <v>#N/A</v>
        <stp/>
        <stp>BDH|704332266246338225</stp>
        <tr r="N34" s="29"/>
      </tp>
      <tp t="e">
        <v>#N/A</v>
        <stp/>
        <stp>BDH|554011796448641073</stp>
        <tr r="F51" s="17"/>
        <tr r="F17" s="3"/>
      </tp>
      <tp t="e">
        <v>#N/A</v>
        <stp/>
        <stp>BDH|196038418991222040</stp>
        <tr r="G8" s="28"/>
      </tp>
      <tp t="e">
        <v>#N/A</v>
        <stp/>
        <stp>BDH|584895885405615532</stp>
        <tr r="T16" s="24"/>
      </tp>
      <tp t="e">
        <v>#N/A</v>
        <stp/>
        <stp>BDH|921964252928103404</stp>
        <tr r="Q7" s="23"/>
      </tp>
      <tp t="e">
        <v>#N/A</v>
        <stp/>
        <stp>BDH|303228127325816521</stp>
        <tr r="Y35" s="18"/>
      </tp>
      <tp t="e">
        <v>#N/A</v>
        <stp/>
        <stp>BDH|194403671066906553</stp>
        <tr r="E10" s="21"/>
      </tp>
      <tp t="e">
        <v>#N/A</v>
        <stp/>
        <stp>BDH|351614016776805109</stp>
        <tr r="C23" s="6"/>
      </tp>
      <tp t="e">
        <v>#N/A</v>
        <stp/>
        <stp>BDH|336243433082959308</stp>
        <tr r="V72" s="12"/>
      </tp>
      <tp t="e">
        <v>#N/A</v>
        <stp/>
        <stp>BDH|316792570809356977</stp>
        <tr r="M20" s="10"/>
      </tp>
      <tp t="e">
        <v>#N/A</v>
        <stp/>
        <stp>BDH|815353269243805638</stp>
        <tr r="L37" s="34"/>
      </tp>
      <tp t="e">
        <v>#N/A</v>
        <stp/>
        <stp>BDH|821652901453792544</stp>
        <tr r="N35" s="34"/>
      </tp>
      <tp t="e">
        <v>#N/A</v>
        <stp/>
        <stp>BDH|944114201583068260</stp>
        <tr r="K33" s="5"/>
      </tp>
      <tp t="e">
        <v>#N/A</v>
        <stp/>
        <stp>BDH|910580779612473031</stp>
        <tr r="J47" s="6"/>
      </tp>
      <tp t="e">
        <v>#N/A</v>
        <stp/>
        <stp>BDH|575094716024167543</stp>
        <tr r="O14" s="21"/>
      </tp>
      <tp t="e">
        <v>#N/A</v>
        <stp/>
        <stp>BDH|550399112961515340</stp>
        <tr r="F71" s="24"/>
      </tp>
      <tp t="e">
        <v>#N/A</v>
        <stp/>
        <stp>BDH|482598917630246477</stp>
        <tr r="S34" s="26"/>
      </tp>
      <tp t="e">
        <v>#N/A</v>
        <stp/>
        <stp>BDH|314094405943209355</stp>
        <tr r="X15" s="10"/>
      </tp>
      <tp t="e">
        <v>#N/A</v>
        <stp/>
        <stp>BDH|182051917396816734</stp>
        <tr r="X38" s="6"/>
      </tp>
      <tp t="e">
        <v>#N/A</v>
        <stp/>
        <stp>BDH|906585056033874371</stp>
        <tr r="K68" s="17"/>
      </tp>
      <tp t="e">
        <v>#N/A</v>
        <stp/>
        <stp>BDH|776490822417700130</stp>
        <tr r="K30" s="34"/>
      </tp>
      <tp t="e">
        <v>#N/A</v>
        <stp/>
        <stp>BDH|932860390853335248</stp>
        <tr r="C88" s="12"/>
      </tp>
      <tp t="e">
        <v>#N/A</v>
        <stp/>
        <stp>BDH|164638921872934625</stp>
        <tr r="H9" s="29"/>
      </tp>
      <tp t="e">
        <v>#N/A</v>
        <stp/>
        <stp>BDH|383385888878859334</stp>
        <tr r="M132" s="18"/>
      </tp>
      <tp t="e">
        <v>#N/A</v>
        <stp/>
        <stp>BDH|486004979844059354</stp>
        <tr r="I64" s="21"/>
        <tr r="F31" s="6"/>
      </tp>
      <tp t="e">
        <v>#N/A</v>
        <stp/>
        <stp>BDH|659858296063548291</stp>
        <tr r="L21" s="11"/>
      </tp>
      <tp t="e">
        <v>#N/A</v>
        <stp/>
        <stp>BDH|842153708848948958</stp>
        <tr r="X17" s="5"/>
        <tr r="X36" s="6"/>
      </tp>
      <tp t="e">
        <v>#N/A</v>
        <stp/>
        <stp>BDH|364186708927801629</stp>
        <tr r="J54" s="17"/>
      </tp>
      <tp t="e">
        <v>#N/A</v>
        <stp/>
        <stp>BDH|357747208953303465</stp>
        <tr r="J7" s="21"/>
      </tp>
      <tp t="e">
        <v>#N/A</v>
        <stp/>
        <stp>BDH|645996796788287812</stp>
        <tr r="H27" s="12"/>
      </tp>
      <tp t="e">
        <v>#N/A</v>
        <stp/>
        <stp>BDH|951917909831968820</stp>
        <tr r="Y16" s="11"/>
      </tp>
      <tp t="e">
        <v>#N/A</v>
        <stp/>
        <stp>BDH|439093654841047431</stp>
        <tr r="E9" s="29"/>
      </tp>
      <tp t="e">
        <v>#N/A</v>
        <stp/>
        <stp>BDH|249376016174818612</stp>
        <tr r="AA66" s="18"/>
      </tp>
      <tp t="e">
        <v>#N/A</v>
        <stp/>
        <stp>BDH|137900797197925751</stp>
        <tr r="V53" s="10"/>
        <tr r="V45" s="11"/>
        <tr r="V16" s="7"/>
      </tp>
      <tp t="e">
        <v>#N/A</v>
        <stp/>
        <stp>BDH|479607365614243496</stp>
        <tr r="L14" s="11"/>
      </tp>
      <tp t="e">
        <v>#N/A</v>
        <stp/>
        <stp>BDH|719380821247467600</stp>
        <tr r="C16" s="14"/>
      </tp>
      <tp t="e">
        <v>#N/A</v>
        <stp/>
        <stp>BDH|772270373221063483</stp>
        <tr r="M22" s="11"/>
      </tp>
      <tp t="e">
        <v>#N/A</v>
        <stp/>
        <stp>BDH|438042823933970118</stp>
        <tr r="AA70" s="17"/>
      </tp>
      <tp t="e">
        <v>#N/A</v>
        <stp/>
        <stp>BDH|326705901041192675</stp>
        <tr r="J11" s="7"/>
      </tp>
      <tp t="e">
        <v>#N/A</v>
        <stp/>
        <stp>BDH|975655963820262084</stp>
        <tr r="L11" s="21"/>
      </tp>
      <tp t="e">
        <v>#N/A</v>
        <stp/>
        <stp>BDH|616669508663935542</stp>
        <tr r="AA79" s="24"/>
      </tp>
      <tp t="e">
        <v>#N/A</v>
        <stp/>
        <stp>BDH|718015236164519704</stp>
        <tr r="V46" s="13"/>
      </tp>
      <tp t="e">
        <v>#N/A</v>
        <stp/>
        <stp>BDH|614730682367066825</stp>
        <tr r="V61" s="24"/>
      </tp>
      <tp t="e">
        <v>#N/A</v>
        <stp/>
        <stp>BDH|121104822886436529</stp>
        <tr r="L59" s="24"/>
      </tp>
      <tp t="e">
        <v>#N/A</v>
        <stp/>
        <stp>BDH|119000611396156742</stp>
        <tr r="C58" s="12"/>
      </tp>
      <tp t="e">
        <v>#N/A</v>
        <stp/>
        <stp>BDH|984740393748895633</stp>
        <tr r="K27" s="12"/>
      </tp>
      <tp t="e">
        <v>#N/A</v>
        <stp/>
        <stp>BDH|638229535018458937</stp>
        <tr r="E22" s="21"/>
      </tp>
      <tp t="e">
        <v>#N/A</v>
        <stp/>
        <stp>BDH|849787073254591400</stp>
        <tr r="O18" s="18"/>
      </tp>
      <tp t="e">
        <v>#N/A</v>
        <stp/>
        <stp>BDH|356326377577893380</stp>
        <tr r="V57" s="17"/>
      </tp>
      <tp t="e">
        <v>#N/A</v>
        <stp/>
        <stp>BDH|906890065869696756</stp>
        <tr r="F119" s="18"/>
      </tp>
      <tp t="e">
        <v>#N/A</v>
        <stp/>
        <stp>BDH|358802802111088962</stp>
        <tr r="Z34" s="14"/>
      </tp>
      <tp t="e">
        <v>#N/A</v>
        <stp/>
        <stp>BDH|487827655369353474</stp>
        <tr r="Y14" s="2"/>
        <tr r="Y11" s="10"/>
      </tp>
      <tp t="e">
        <v>#N/A</v>
        <stp/>
        <stp>BDH|416478083554782801</stp>
        <tr r="Y142" s="18"/>
      </tp>
      <tp t="e">
        <v>#N/A</v>
        <stp/>
        <stp>BDH|148538517553020753</stp>
        <tr r="K68" s="18"/>
      </tp>
      <tp t="e">
        <v>#N/A</v>
        <stp/>
        <stp>BDH|658845690100487167</stp>
        <tr r="V16" s="29"/>
        <tr r="V39" s="29"/>
      </tp>
      <tp t="e">
        <v>#N/A</v>
        <stp/>
        <stp>BDH|202129345984067150</stp>
        <tr r="C47" s="10"/>
        <tr r="C39" s="11"/>
      </tp>
      <tp t="e">
        <v>#N/A</v>
        <stp/>
        <stp>BDH|206255967555928197</stp>
        <tr r="Q9" s="12"/>
      </tp>
      <tp t="e">
        <v>#N/A</v>
        <stp/>
        <stp>BDH|954065757801156486</stp>
        <tr r="L56" s="12"/>
      </tp>
      <tp t="e">
        <v>#N/A</v>
        <stp/>
        <stp>BDH|804376137249051999</stp>
        <tr r="D26" s="10"/>
        <tr r="F32" s="13"/>
      </tp>
      <tp t="e">
        <v>#N/A</v>
        <stp/>
        <stp>BDH|497374970417638343</stp>
        <tr r="Z46" s="34"/>
      </tp>
      <tp t="e">
        <v>#N/A</v>
        <stp/>
        <stp>BDH|613288472735845058</stp>
        <tr r="K52" s="24"/>
      </tp>
      <tp t="e">
        <v>#N/A</v>
        <stp/>
        <stp>BDH|413141680679941085</stp>
        <tr r="M43" s="24"/>
      </tp>
      <tp t="e">
        <v>#N/A</v>
        <stp/>
        <stp>BDH|493773161776067706</stp>
        <tr r="X53" s="24"/>
      </tp>
      <tp t="e">
        <v>#N/A</v>
        <stp/>
        <stp>BDH|343361315545274706</stp>
        <tr r="J46" s="12"/>
      </tp>
      <tp t="e">
        <v>#N/A</v>
        <stp/>
        <stp>BDH|317795954575800740</stp>
        <tr r="U108" s="18"/>
      </tp>
      <tp t="e">
        <v>#N/A</v>
        <stp/>
        <stp>BDH|172871667698044632</stp>
        <tr r="V136" s="18"/>
      </tp>
      <tp t="e">
        <v>#N/A</v>
        <stp/>
        <stp>BDH|134557225717006036</stp>
        <tr r="P10" s="12"/>
      </tp>
      <tp t="e">
        <v>#N/A</v>
        <stp/>
        <stp>BDH|765357752741387705</stp>
        <tr r="F54" s="18"/>
      </tp>
      <tp t="e">
        <v>#N/A</v>
        <stp/>
        <stp>BDH|274264517666599552</stp>
        <tr r="T25" s="12"/>
      </tp>
      <tp t="e">
        <v>#N/A</v>
        <stp/>
        <stp>BDH|673495334212194595</stp>
        <tr r="E38" s="25"/>
      </tp>
      <tp t="e">
        <v>#N/A</v>
        <stp/>
        <stp>BDH|885964185673859203</stp>
        <tr r="W14" s="8"/>
      </tp>
      <tp t="e">
        <v>#N/A</v>
        <stp/>
        <stp>BDH|446267037211530030</stp>
        <tr r="J8" s="14"/>
      </tp>
      <tp t="e">
        <v>#N/A</v>
        <stp/>
        <stp>BDH|655549690885308924</stp>
        <tr r="H69" s="24"/>
      </tp>
      <tp t="e">
        <v>#N/A</v>
        <stp/>
        <stp>BDH|118819145915648903</stp>
        <tr r="Z30" s="26"/>
      </tp>
      <tp t="e">
        <v>#N/A</v>
        <stp/>
        <stp>BDH|512472454079352861</stp>
        <tr r="W17" s="17"/>
        <tr r="W20" s="28"/>
      </tp>
      <tp t="e">
        <v>#N/A</v>
        <stp/>
        <stp>BDH|930004027894416699</stp>
        <tr r="N10" s="14"/>
      </tp>
      <tp t="e">
        <v>#N/A</v>
        <stp/>
        <stp>BDH|898018527975651447</stp>
        <tr r="F17" s="29"/>
        <tr r="F40" s="29"/>
      </tp>
      <tp t="e">
        <v>#N/A</v>
        <stp/>
        <stp>BDH|161658544781517090</stp>
        <tr r="L48" s="17"/>
      </tp>
      <tp t="e">
        <v>#N/A</v>
        <stp/>
        <stp>BDH|520616138655639368</stp>
        <tr r="V38" s="6"/>
      </tp>
      <tp t="e">
        <v>#N/A</v>
        <stp/>
        <stp>BDH|720747680248681480</stp>
        <tr r="K77" s="24"/>
      </tp>
      <tp t="e">
        <v>#N/A</v>
        <stp/>
        <stp>BDH|786403538607598379</stp>
        <tr r="C6" s="6"/>
      </tp>
      <tp t="e">
        <v>#N/A</v>
        <stp/>
        <stp>BDH|319035711912432088</stp>
        <tr r="L31" s="18"/>
      </tp>
      <tp t="e">
        <v>#N/A</v>
        <stp/>
        <stp>BDH|525155829760139069</stp>
        <tr r="N21" s="14"/>
      </tp>
      <tp t="e">
        <v>#N/A</v>
        <stp/>
        <stp>BDH|623666652965598595</stp>
        <tr r="C9" s="26"/>
      </tp>
      <tp t="e">
        <v>#N/A</v>
        <stp/>
        <stp>BDH|596356329390697210</stp>
        <tr r="V14" s="10"/>
      </tp>
      <tp t="e">
        <v>#N/A</v>
        <stp/>
        <stp>BDH|982770822501573763</stp>
        <tr r="I43" s="10"/>
        <tr r="I35" s="11"/>
      </tp>
      <tp t="e">
        <v>#N/A</v>
        <stp/>
        <stp>BDH|447068159323768536</stp>
        <tr r="K11" s="3"/>
        <tr r="I50" s="10"/>
        <tr r="I42" s="11"/>
        <tr r="I8" s="7"/>
      </tp>
      <tp t="e">
        <v>#N/A</v>
        <stp/>
        <stp>BDH|617696400391417444</stp>
        <tr r="U12" s="11"/>
      </tp>
      <tp t="e">
        <v>#N/A</v>
        <stp/>
        <stp>BDH|837235815893389322</stp>
        <tr r="W11" s="9"/>
      </tp>
      <tp t="e">
        <v>#N/A</v>
        <stp/>
        <stp>BDH|925342566022693452</stp>
        <tr r="Y8" s="14"/>
      </tp>
      <tp t="e">
        <v>#N/A</v>
        <stp/>
        <stp>BDH|394285518780935026</stp>
        <tr r="E41" s="24"/>
      </tp>
      <tp t="e">
        <v>#N/A</v>
        <stp/>
        <stp>BDH|708666762017990422</stp>
        <tr r="N7" s="4"/>
      </tp>
      <tp t="e">
        <v>#N/A</v>
        <stp/>
        <stp>BDH|785997382061574319</stp>
        <tr r="E25" s="5"/>
      </tp>
      <tp t="e">
        <v>#N/A</v>
        <stp/>
        <stp>BDH|326720773961263292</stp>
        <tr r="AA15" s="13"/>
      </tp>
      <tp t="e">
        <v>#N/A</v>
        <stp/>
        <stp>BDH|304672163964806767</stp>
        <tr r="Y16" s="18"/>
      </tp>
      <tp t="e">
        <v>#N/A</v>
        <stp/>
        <stp>BDH|847949651377455808</stp>
        <tr r="H25" s="18"/>
      </tp>
      <tp t="e">
        <v>#N/A</v>
        <stp/>
        <stp>BDH|543283352442680608</stp>
        <tr r="E43" s="21"/>
      </tp>
      <tp t="e">
        <v>#N/A</v>
        <stp/>
        <stp>BDH|686789237262615561</stp>
        <tr r="J18" s="24"/>
      </tp>
      <tp t="e">
        <v>#N/A</v>
        <stp/>
        <stp>BDH|712879722899132099</stp>
        <tr r="G32" s="26"/>
      </tp>
      <tp t="e">
        <v>#N/A</v>
        <stp/>
        <stp>BDH|638667236195490387</stp>
        <tr r="C9" s="12"/>
      </tp>
      <tp t="e">
        <v>#N/A</v>
        <stp/>
        <stp>BDH|711598511092250573</stp>
        <tr r="N7" s="24"/>
      </tp>
      <tp t="e">
        <v>#N/A</v>
        <stp/>
        <stp>BDH|419614533615881349</stp>
        <tr r="Z68" s="17"/>
      </tp>
      <tp t="e">
        <v>#N/A</v>
        <stp/>
        <stp>BDH|855042324181422062</stp>
        <tr r="C48" s="22"/>
      </tp>
      <tp t="e">
        <v>#N/A</v>
        <stp/>
        <stp>BDH|874422299007824913</stp>
        <tr r="R17" s="6"/>
      </tp>
      <tp t="e">
        <v>#N/A</v>
        <stp/>
        <stp>BDH|942738497188645502</stp>
        <tr r="AA9" s="23"/>
      </tp>
      <tp t="e">
        <v>#N/A</v>
        <stp/>
        <stp>BDH|496792106640658466</stp>
        <tr r="W24" s="13"/>
      </tp>
      <tp t="e">
        <v>#N/A</v>
        <stp/>
        <stp>BDH|266833529351720844</stp>
        <tr r="L13" s="7"/>
      </tp>
      <tp t="e">
        <v>#N/A</v>
        <stp/>
        <stp>BDH|480440402423895414</stp>
        <tr r="L49" s="4"/>
      </tp>
      <tp t="e">
        <v>#N/A</v>
        <stp/>
        <stp>BDH|853573240814339687</stp>
        <tr r="K14" s="4"/>
      </tp>
      <tp t="e">
        <v>#N/A</v>
        <stp/>
        <stp>BDH|769254362031380673</stp>
        <tr r="V83" s="12"/>
      </tp>
      <tp t="e">
        <v>#N/A</v>
        <stp/>
        <stp>BDH|187135483609701327</stp>
        <tr r="H25" s="7"/>
      </tp>
      <tp t="e">
        <v>#N/A</v>
        <stp/>
        <stp>BDH|474140450747025040</stp>
        <tr r="AA18" s="12"/>
      </tp>
      <tp t="e">
        <v>#N/A</v>
        <stp/>
        <stp>BDH|308565767262719215</stp>
        <tr r="D81" s="24"/>
      </tp>
      <tp t="e">
        <v>#N/A</v>
        <stp/>
        <stp>BDH|286488778822521239</stp>
        <tr r="T18" s="22"/>
      </tp>
      <tp t="e">
        <v>#N/A</v>
        <stp/>
        <stp>BDH|749293175605723387</stp>
        <tr r="T38" s="34"/>
      </tp>
      <tp t="e">
        <v>#N/A</v>
        <stp/>
        <stp>BDH|989285310366533617</stp>
        <tr r="H13" s="2"/>
      </tp>
      <tp t="e">
        <v>#N/A</v>
        <stp/>
        <stp>BDH|364747086348582411</stp>
        <tr r="H105" s="18"/>
      </tp>
      <tp t="e">
        <v>#N/A</v>
        <stp/>
        <stp>BDH|547209026030232345</stp>
        <tr r="U72" s="18"/>
      </tp>
      <tp t="e">
        <v>#N/A</v>
        <stp/>
        <stp>BDH|959216719375179551</stp>
        <tr r="O32" s="18"/>
      </tp>
      <tp t="e">
        <v>#N/A</v>
        <stp/>
        <stp>BDH|958336845437830322</stp>
        <tr r="Z8" s="28"/>
      </tp>
      <tp t="e">
        <v>#N/A</v>
        <stp/>
        <stp>BDH|356315376057212009</stp>
        <tr r="K17" s="13"/>
      </tp>
      <tp t="e">
        <v>#N/A</v>
        <stp/>
        <stp>BDH|767873322328005149</stp>
        <tr r="O59" s="11"/>
        <tr r="Q15" s="23"/>
      </tp>
      <tp t="e">
        <v>#N/A</v>
        <stp/>
        <stp>BDH|734490879694105409</stp>
        <tr r="Y67" s="10"/>
      </tp>
      <tp t="e">
        <v>#N/A</v>
        <stp/>
        <stp>BDH|488179972932018774</stp>
        <tr r="C76" s="24"/>
      </tp>
      <tp t="e">
        <v>#N/A</v>
        <stp/>
        <stp>BDH|274066315734170663</stp>
        <tr r="F58" s="18"/>
      </tp>
      <tp t="e">
        <v>#N/A</v>
        <stp/>
        <stp>BDH|214662126160408705</stp>
        <tr r="Y64" s="21"/>
        <tr r="V31" s="6"/>
      </tp>
      <tp t="e">
        <v>#N/A</v>
        <stp/>
        <stp>BDH|639456845336228539</stp>
        <tr r="G36" s="10"/>
        <tr r="G48" s="10"/>
        <tr r="G28" s="11"/>
        <tr r="G40" s="11"/>
      </tp>
      <tp t="e">
        <v>#N/A</v>
        <stp/>
        <stp>BDH|201229382630498910</stp>
        <tr r="W79" s="12"/>
      </tp>
      <tp t="e">
        <v>#N/A</v>
        <stp/>
        <stp>BDH|595576576916573764</stp>
        <tr r="T120" s="18"/>
      </tp>
      <tp t="e">
        <v>#N/A</v>
        <stp/>
        <stp>BDH|365441716831746760</stp>
        <tr r="L15" s="24"/>
      </tp>
      <tp t="e">
        <v>#N/A</v>
        <stp/>
        <stp>BDH|269558956335215637</stp>
        <tr r="K39" s="24"/>
      </tp>
      <tp t="e">
        <v>#N/A</v>
        <stp/>
        <stp>BDH|234108037094383568</stp>
        <tr r="L8" s="22"/>
      </tp>
      <tp t="e">
        <v>#N/A</v>
        <stp/>
        <stp>BDH|287983178459424465</stp>
        <tr r="R75" s="12"/>
      </tp>
      <tp t="e">
        <v>#N/A</v>
        <stp/>
        <stp>BDH|229616306862072754</stp>
        <tr r="P12" s="17"/>
      </tp>
      <tp t="e">
        <v>#N/A</v>
        <stp/>
        <stp>BDH|427336746956512240</stp>
        <tr r="E84" s="18"/>
      </tp>
      <tp t="e">
        <v>#N/A</v>
        <stp/>
        <stp>BDH|595814974549032507</stp>
        <tr r="M52" s="10"/>
        <tr r="M44" s="11"/>
        <tr r="M15" s="7"/>
      </tp>
      <tp t="e">
        <v>#N/A</v>
        <stp/>
        <stp>BDH|594366841593609748</stp>
        <tr r="M73" s="10"/>
        <tr r="M65" s="11"/>
      </tp>
      <tp t="e">
        <v>#N/A</v>
        <stp/>
        <stp>BDH|376085009120163334</stp>
        <tr r="D40" s="10"/>
        <tr r="D32" s="11"/>
      </tp>
      <tp t="e">
        <v>#N/A</v>
        <stp/>
        <stp>BDH|341161302804190661</stp>
        <tr r="Y67" s="12"/>
      </tp>
      <tp t="e">
        <v>#N/A</v>
        <stp/>
        <stp>BDH|739034911570215268</stp>
        <tr r="K17" s="18"/>
      </tp>
      <tp t="e">
        <v>#N/A</v>
        <stp/>
        <stp>BDH|370162836308083923</stp>
        <tr r="W117" s="18"/>
      </tp>
      <tp t="e">
        <v>#N/A</v>
        <stp/>
        <stp>BDH|421638005593180625</stp>
        <tr r="I49" s="21"/>
      </tp>
      <tp t="e">
        <v>#N/A</v>
        <stp/>
        <stp>BDH|799948401459776340</stp>
        <tr r="K30" s="26"/>
      </tp>
      <tp t="e">
        <v>#N/A</v>
        <stp/>
        <stp>BDH|113414250887095511</stp>
        <tr r="T46" s="18"/>
      </tp>
      <tp t="e">
        <v>#N/A</v>
        <stp/>
        <stp>BDH|918081011744786656</stp>
        <tr r="N42" s="24"/>
      </tp>
      <tp t="e">
        <v>#N/A</v>
        <stp/>
        <stp>BDH|240561747862103000</stp>
        <tr r="U13" s="11"/>
      </tp>
      <tp t="e">
        <v>#N/A</v>
        <stp/>
        <stp>BDH|253511777872161378</stp>
        <tr r="V17" s="23"/>
      </tp>
      <tp t="e">
        <v>#N/A</v>
        <stp/>
        <stp>BDH|469410821325748017</stp>
        <tr r="Q10" s="11"/>
      </tp>
      <tp t="e">
        <v>#N/A</v>
        <stp/>
        <stp>BDH|144111057645108252</stp>
        <tr r="E19" s="6"/>
      </tp>
      <tp t="e">
        <v>#N/A</v>
        <stp/>
        <stp>BDH|378219434840755222</stp>
        <tr r="H44" s="34"/>
      </tp>
      <tp t="e">
        <v>#N/A</v>
        <stp/>
        <stp>BDH|513355601076308610</stp>
        <tr r="H9" s="23"/>
      </tp>
      <tp t="e">
        <v>#N/A</v>
        <stp/>
        <stp>BDH|470704325204963349</stp>
        <tr r="I118" s="18"/>
      </tp>
      <tp t="e">
        <v>#N/A</v>
        <stp/>
        <stp>BDH|109075350866906130</stp>
        <tr r="T31" s="18"/>
      </tp>
      <tp t="e">
        <v>#N/A</v>
        <stp/>
        <stp>BDH|243415868645553521</stp>
        <tr r="E51" s="12"/>
      </tp>
      <tp t="e">
        <v>#N/A</v>
        <stp/>
        <stp>BDH|131273645310650496</stp>
        <tr r="G47" s="10"/>
        <tr r="G39" s="11"/>
      </tp>
      <tp t="e">
        <v>#N/A</v>
        <stp/>
        <stp>BDH|847992211608829242</stp>
        <tr r="X53" s="6"/>
        <tr r="Z10" s="8"/>
      </tp>
      <tp t="e">
        <v>#N/A</v>
        <stp/>
        <stp>BDH|315432020150911444</stp>
        <tr r="J9" s="34"/>
      </tp>
      <tp t="e">
        <v>#N/A</v>
        <stp/>
        <stp>BDH|938325950091669504</stp>
        <tr r="T38" s="12"/>
      </tp>
      <tp t="e">
        <v>#N/A</v>
        <stp/>
        <stp>BDH|168084141483450529</stp>
        <tr r="R20" s="12"/>
      </tp>
      <tp t="e">
        <v>#N/A</v>
        <stp/>
        <stp>BDH|963643030407680051</stp>
        <tr r="R19" s="17"/>
      </tp>
      <tp t="e">
        <v>#N/A</v>
        <stp/>
        <stp>BDH|803327989420434999</stp>
        <tr r="P52" s="21"/>
      </tp>
      <tp t="e">
        <v>#N/A</v>
        <stp/>
        <stp>BDH|554524917904797291</stp>
        <tr r="U19" s="24"/>
      </tp>
      <tp t="e">
        <v>#N/A</v>
        <stp/>
        <stp>BDH|697019862466318284</stp>
        <tr r="E35" s="14"/>
      </tp>
      <tp t="e">
        <v>#N/A</v>
        <stp/>
        <stp>BDH|377556743791306287</stp>
        <tr r="T18" s="6"/>
      </tp>
      <tp t="e">
        <v>#N/A</v>
        <stp/>
        <stp>BDH|899447825100788401</stp>
        <tr r="Y19" s="30"/>
      </tp>
      <tp t="e">
        <v>#N/A</v>
        <stp/>
        <stp>BDH|261769972114018688</stp>
        <tr r="U26" s="14"/>
      </tp>
      <tp t="e">
        <v>#N/A</v>
        <stp/>
        <stp>BDH|437406475121679089</stp>
        <tr r="C30" s="29"/>
        <tr r="C8" s="29"/>
      </tp>
      <tp t="e">
        <v>#N/A</v>
        <stp/>
        <stp>BDH|179975875455863948</stp>
        <tr r="Q18" s="22"/>
      </tp>
      <tp t="e">
        <v>#N/A</v>
        <stp/>
        <stp>BDH|565108467191921444</stp>
        <tr r="C24" s="6"/>
      </tp>
      <tp t="e">
        <v>#N/A</v>
        <stp/>
        <stp>BDH|769808004598873243</stp>
        <tr r="Q9" s="17"/>
      </tp>
      <tp t="e">
        <v>#N/A</v>
        <stp/>
        <stp>BDH|859687848601143162</stp>
        <tr r="Q28" s="18"/>
      </tp>
      <tp t="e">
        <v>#N/A</v>
        <stp/>
        <stp>BDH|724209999008136170</stp>
        <tr r="X77" s="17"/>
      </tp>
      <tp t="e">
        <v>#N/A</v>
        <stp/>
        <stp>BDH|705663800167188387</stp>
        <tr r="N113" s="18"/>
      </tp>
      <tp t="e">
        <v>#N/A</v>
        <stp/>
        <stp>BDH|214709423487806006</stp>
        <tr r="P41" s="24"/>
      </tp>
      <tp t="e">
        <v>#N/A</v>
        <stp/>
        <stp>BDH|361850906139163383</stp>
        <tr r="R9" s="2"/>
        <tr r="T8" s="25"/>
        <tr r="Q10" s="5"/>
      </tp>
      <tp t="e">
        <v>#N/A</v>
        <stp/>
        <stp>BDH|957781469927819499</stp>
        <tr r="V29" s="10"/>
        <tr r="X35" s="13"/>
      </tp>
      <tp t="e">
        <v>#N/A</v>
        <stp/>
        <stp>BDH|307115639929828997</stp>
        <tr r="C86" s="24"/>
      </tp>
      <tp t="e">
        <v>#N/A</v>
        <stp/>
        <stp>BDH|288007349850296631</stp>
        <tr r="U29" s="29"/>
        <tr r="U7" s="29"/>
      </tp>
      <tp t="e">
        <v>#N/A</v>
        <stp/>
        <stp>BDH|927376046280225508</stp>
        <tr r="N10" s="34"/>
      </tp>
      <tp t="e">
        <v>#N/A</v>
        <stp/>
        <stp>BDH|226702578161274326</stp>
        <tr r="U14" s="20"/>
      </tp>
      <tp t="e">
        <v>#N/A</v>
        <stp/>
        <stp>BDH|396128915227614585</stp>
        <tr r="S8" s="23"/>
      </tp>
      <tp t="e">
        <v>#N/A</v>
        <stp/>
        <stp>BDH|840049074831563477</stp>
        <tr r="E56" s="6"/>
      </tp>
      <tp t="e">
        <v>#N/A</v>
        <stp/>
        <stp>BDH|422400720450813462</stp>
        <tr r="G18" s="29"/>
        <tr r="G41" s="29"/>
      </tp>
      <tp t="e">
        <v>#N/A</v>
        <stp/>
        <stp>BDH|726084841240750628</stp>
        <tr r="S37" s="24"/>
      </tp>
      <tp t="e">
        <v>#N/A</v>
        <stp/>
        <stp>BDH|321698953257779650</stp>
        <tr r="T35" s="21"/>
      </tp>
      <tp t="e">
        <v>#N/A</v>
        <stp/>
        <stp>BDH|985129636643482323</stp>
        <tr r="P59" s="21"/>
        <tr r="N55" s="11"/>
      </tp>
      <tp t="e">
        <v>#N/A</v>
        <stp/>
        <stp>BDH|893317325675366643</stp>
        <tr r="P29" s="17"/>
      </tp>
      <tp t="e">
        <v>#N/A</v>
        <stp/>
        <stp>BDH|652645878470028315</stp>
        <tr r="W7" s="10"/>
      </tp>
      <tp t="e">
        <v>#N/A</v>
        <stp/>
        <stp>BDH|933128711677314529</stp>
        <tr r="G68" s="24"/>
      </tp>
      <tp t="e">
        <v>#N/A</v>
        <stp/>
        <stp>BDH|918558183779862630</stp>
        <tr r="D18" s="6"/>
      </tp>
      <tp t="e">
        <v>#N/A</v>
        <stp/>
        <stp>BDH|517835722708492052</stp>
        <tr r="N59" s="11"/>
        <tr r="P15" s="23"/>
      </tp>
      <tp t="e">
        <v>#N/A</v>
        <stp/>
        <stp>BDH|577773867036881585</stp>
        <tr r="S32" s="14"/>
      </tp>
      <tp t="e">
        <v>#N/A</v>
        <stp/>
        <stp>BDH|593745627974505367</stp>
        <tr r="R61" s="24"/>
      </tp>
      <tp t="e">
        <v>#N/A</v>
        <stp/>
        <stp>BDH|902044468605806185</stp>
        <tr r="T41" s="12"/>
      </tp>
      <tp t="e">
        <v>#N/A</v>
        <stp/>
        <stp>BDH|825286276814268321</stp>
        <tr r="V51" s="18"/>
      </tp>
      <tp t="e">
        <v>#N/A</v>
        <stp/>
        <stp>BDH|394224327596567457</stp>
        <tr r="W53" s="12"/>
      </tp>
      <tp t="e">
        <v>#N/A</v>
        <stp/>
        <stp>BDH|699214513187417662</stp>
        <tr r="V38" s="34"/>
      </tp>
      <tp t="e">
        <v>#N/A</v>
        <stp/>
        <stp>BDH|527228256244615115</stp>
        <tr r="X11" s="14"/>
      </tp>
      <tp t="e">
        <v>#N/A</v>
        <stp/>
        <stp>BDH|934393911828287850</stp>
        <tr r="N84" s="17"/>
      </tp>
      <tp t="e">
        <v>#N/A</v>
        <stp/>
        <stp>BDH|791121636193570314</stp>
        <tr r="V10" s="4"/>
        <tr r="U6" s="16"/>
        <tr r="X6" s="3"/>
        <tr r="V6" s="11"/>
      </tp>
      <tp t="e">
        <v>#N/A</v>
        <stp/>
        <stp>BDH|199044104096638407</stp>
        <tr r="G42" s="17"/>
      </tp>
      <tp t="e">
        <v>#N/A</v>
        <stp/>
        <stp>BDH|438895716508524391</stp>
        <tr r="D15" s="14"/>
      </tp>
      <tp t="e">
        <v>#N/A</v>
        <stp/>
        <stp>BDH|604222883448413047</stp>
        <tr r="Q25" s="14"/>
      </tp>
      <tp t="e">
        <v>#N/A</v>
        <stp/>
        <stp>BDH|339483843766072498</stp>
        <tr r="X47" s="18"/>
      </tp>
      <tp t="e">
        <v>#N/A</v>
        <stp/>
        <stp>BDH|741504919891624792</stp>
        <tr r="X24" s="4"/>
        <tr r="X57" s="11"/>
      </tp>
      <tp t="e">
        <v>#N/A</v>
        <stp/>
        <stp>BDH|632480800947723181</stp>
        <tr r="F20" s="10"/>
      </tp>
      <tp t="e">
        <v>#N/A</v>
        <stp/>
        <stp>BDH|638384778997064177</stp>
        <tr r="E24" s="10"/>
      </tp>
      <tp t="e">
        <v>#N/A</v>
        <stp/>
        <stp>BDH|290758353324757425</stp>
        <tr r="N30" s="24"/>
      </tp>
      <tp t="e">
        <v>#N/A</v>
        <stp/>
        <stp>BDH|142194109375670662</stp>
        <tr r="O18" s="22"/>
      </tp>
      <tp t="e">
        <v>#N/A</v>
        <stp/>
        <stp>BDH|712954557678745630</stp>
        <tr r="T77" s="17"/>
      </tp>
      <tp t="e">
        <v>#N/A</v>
        <stp/>
        <stp>BDH|227597648325583646</stp>
        <tr r="K28" s="17"/>
      </tp>
      <tp t="e">
        <v>#N/A</v>
        <stp/>
        <stp>BDH|418272653351610448</stp>
        <tr r="I50" s="21"/>
      </tp>
      <tp t="e">
        <v>#N/A</v>
        <stp/>
        <stp>BDH|606372616530617039</stp>
        <tr r="Q45" s="34"/>
      </tp>
      <tp t="e">
        <v>#N/A</v>
        <stp/>
        <stp>BDH|965094603366942489</stp>
        <tr r="Y31" s="24"/>
      </tp>
      <tp t="e">
        <v>#N/A</v>
        <stp/>
        <stp>BDH|207895514899455295</stp>
        <tr r="I10" s="26"/>
      </tp>
      <tp t="e">
        <v>#N/A</v>
        <stp/>
        <stp>BDH|111950562278499509</stp>
        <tr r="M16" s="10"/>
      </tp>
      <tp t="e">
        <v>#N/A</v>
        <stp/>
        <stp>BDH|172651576784927794</stp>
        <tr r="I26" s="7"/>
      </tp>
      <tp t="e">
        <v>#N/A</v>
        <stp/>
        <stp>BDH|662339147852973795</stp>
        <tr r="P58" s="17"/>
      </tp>
      <tp t="e">
        <v>#N/A</v>
        <stp/>
        <stp>BDH|782530856972375033</stp>
        <tr r="G15" s="14"/>
      </tp>
      <tp t="e">
        <v>#N/A</v>
        <stp/>
        <stp>BDH|778535806171460659</stp>
        <tr r="G41" s="17"/>
        <tr r="G9" s="25"/>
      </tp>
      <tp t="e">
        <v>#N/A</v>
        <stp/>
        <stp>BDH|296026459234890326</stp>
        <tr r="G70" s="18"/>
      </tp>
      <tp t="e">
        <v>#N/A</v>
        <stp/>
        <stp>BDH|654703781465655825</stp>
        <tr r="I28" s="6"/>
      </tp>
      <tp t="e">
        <v>#N/A</v>
        <stp/>
        <stp>BDH|522454914743740406</stp>
        <tr r="F19" s="26"/>
      </tp>
      <tp t="e">
        <v>#N/A</v>
        <stp/>
        <stp>BDH|334431867346058645</stp>
        <tr r="J32" s="18"/>
      </tp>
      <tp t="e">
        <v>#N/A</v>
        <stp/>
        <stp>BDH|281988981084934715</stp>
        <tr r="W17" s="6"/>
      </tp>
      <tp t="e">
        <v>#N/A</v>
        <stp/>
        <stp>BDH|691083720509349613</stp>
        <tr r="O18" s="5"/>
        <tr r="O41" s="6"/>
      </tp>
      <tp t="e">
        <v>#N/A</v>
        <stp/>
        <stp>BDH|929934530033482421</stp>
        <tr r="N50" s="24"/>
      </tp>
      <tp t="e">
        <v>#N/A</v>
        <stp/>
        <stp>BDH|433892600211555446</stp>
        <tr r="I21" s="9"/>
      </tp>
      <tp t="e">
        <v>#N/A</v>
        <stp/>
        <stp>BDH|352788568429918568</stp>
        <tr r="R35" s="26"/>
      </tp>
      <tp t="e">
        <v>#N/A</v>
        <stp/>
        <stp>BDH|592175544898341094</stp>
        <tr r="D23" s="24"/>
      </tp>
      <tp t="e">
        <v>#N/A</v>
        <stp/>
        <stp>BDH|493908652831209099</stp>
        <tr r="R48" s="22"/>
      </tp>
      <tp t="e">
        <v>#N/A</v>
        <stp/>
        <stp>BDH|638056943918993142</stp>
        <tr r="P25" s="22"/>
      </tp>
      <tp t="e">
        <v>#N/A</v>
        <stp/>
        <stp>BDH|730866386385252884</stp>
        <tr r="AA32" s="17"/>
      </tp>
      <tp t="e">
        <v>#N/A</v>
        <stp/>
        <stp>BDH|696078248979651029</stp>
        <tr r="D29" s="10"/>
        <tr r="F35" s="13"/>
      </tp>
      <tp t="e">
        <v>#N/A</v>
        <stp/>
        <stp>BDH|506830929940590774</stp>
        <tr r="N30" s="12"/>
      </tp>
      <tp t="e">
        <v>#N/A</v>
        <stp/>
        <stp>BDH|489341338554476923</stp>
        <tr r="F18" s="9"/>
      </tp>
      <tp t="e">
        <v>#N/A</v>
        <stp/>
        <stp>BDH|894518996635799468</stp>
        <tr r="W26" s="18"/>
      </tp>
      <tp t="e">
        <v>#N/A</v>
        <stp/>
        <stp>BDH|499038488796092302</stp>
        <tr r="R54" s="18"/>
      </tp>
      <tp t="e">
        <v>#N/A</v>
        <stp/>
        <stp>BDH|925882887714987976</stp>
        <tr r="M108" s="18"/>
      </tp>
      <tp t="e">
        <v>#N/A</v>
        <stp/>
        <stp>BDH|848201843242506969</stp>
        <tr r="W45" s="17"/>
      </tp>
      <tp t="e">
        <v>#N/A</v>
        <stp/>
        <stp>BDH|456777957568834746</stp>
        <tr r="M88" s="24"/>
      </tp>
      <tp t="e">
        <v>#N/A</v>
        <stp/>
        <stp>BDH|650894949492833367</stp>
        <tr r="N74" s="12"/>
      </tp>
      <tp t="e">
        <v>#N/A</v>
        <stp/>
        <stp>BDH|448566069147659957</stp>
        <tr r="P49" s="21"/>
      </tp>
      <tp t="e">
        <v>#N/A</v>
        <stp/>
        <stp>BDH|794958278494452764</stp>
        <tr r="S10" s="24"/>
      </tp>
      <tp t="e">
        <v>#N/A</v>
        <stp/>
        <stp>BDH|311263887956877129</stp>
        <tr r="I88" s="18"/>
      </tp>
      <tp t="e">
        <v>#N/A</v>
        <stp/>
        <stp>BDH|281333307656904863</stp>
        <tr r="U35" s="26"/>
      </tp>
      <tp t="e">
        <v>#N/A</v>
        <stp/>
        <stp>BDH|131808957416887678</stp>
        <tr r="I36" s="18"/>
      </tp>
      <tp t="e">
        <v>#N/A</v>
        <stp/>
        <stp>BDH|301272332785762981</stp>
        <tr r="M24" s="22"/>
      </tp>
      <tp t="e">
        <v>#N/A</v>
        <stp/>
        <stp>BDH|210190860563056922</stp>
        <tr r="R27" s="25"/>
        <tr r="R13" s="27"/>
      </tp>
      <tp t="e">
        <v>#N/A</v>
        <stp/>
        <stp>BDH|153139975693624888</stp>
        <tr r="S33" s="18"/>
      </tp>
      <tp t="e">
        <v>#N/A</v>
        <stp/>
        <stp>BDH|999498400708921105</stp>
        <tr r="AA95" s="18"/>
      </tp>
      <tp t="e">
        <v>#N/A</v>
        <stp/>
        <stp>BDH|549082550040670825</stp>
        <tr r="F91" s="18"/>
      </tp>
      <tp t="e">
        <v>#N/A</v>
        <stp/>
        <stp>BDH|858089906868803549</stp>
        <tr r="K134" s="18"/>
      </tp>
      <tp t="e">
        <v>#N/A</v>
        <stp/>
        <stp>BDH|509253553079107398</stp>
        <tr r="N45" s="18"/>
      </tp>
      <tp t="e">
        <v>#N/A</v>
        <stp/>
        <stp>BDH|763324522868813443</stp>
        <tr r="O73" s="10"/>
        <tr r="O65" s="11"/>
      </tp>
      <tp t="e">
        <v>#N/A</v>
        <stp/>
        <stp>BDH|475324545838018285</stp>
        <tr r="V142" s="18"/>
      </tp>
      <tp t="e">
        <v>#N/A</v>
        <stp/>
        <stp>BDH|233877580795790895</stp>
        <tr r="AA44" s="17"/>
      </tp>
      <tp t="e">
        <v>#N/A</v>
        <stp/>
        <stp>BDH|308651718023041959</stp>
        <tr r="R87" s="18"/>
      </tp>
      <tp t="e">
        <v>#N/A</v>
        <stp/>
        <stp>BDH|368271447253803804</stp>
        <tr r="S17" s="11"/>
      </tp>
      <tp t="e">
        <v>#N/A</v>
        <stp/>
        <stp>BDH|386750778885222874</stp>
        <tr r="H19" s="24"/>
      </tp>
      <tp t="e">
        <v>#N/A</v>
        <stp/>
        <stp>BDH|282519468989695765</stp>
        <tr r="P42" s="24"/>
      </tp>
      <tp t="e">
        <v>#N/A</v>
        <stp/>
        <stp>BDH|431148342078291041</stp>
        <tr r="Q53" s="18"/>
      </tp>
      <tp t="e">
        <v>#N/A</v>
        <stp/>
        <stp>BDH|313854676064538616</stp>
        <tr r="K37" s="26"/>
      </tp>
      <tp t="e">
        <v>#N/A</v>
        <stp/>
        <stp>BDH|652802654310189063</stp>
        <tr r="G29" s="17"/>
      </tp>
      <tp t="e">
        <v>#N/A</v>
        <stp/>
        <stp>BDH|349141582525307136</stp>
        <tr r="Y28" s="34"/>
      </tp>
      <tp t="e">
        <v>#N/A</v>
        <stp/>
        <stp>BDH|204946245882393251</stp>
        <tr r="F42" s="34"/>
      </tp>
      <tp t="e">
        <v>#N/A</v>
        <stp/>
        <stp>BDH|185383008596359849</stp>
        <tr r="U8" s="13"/>
      </tp>
      <tp t="e">
        <v>#N/A</v>
        <stp/>
        <stp>BDH|454326168348111096</stp>
        <tr r="T8" s="24"/>
      </tp>
      <tp t="e">
        <v>#N/A</v>
        <stp/>
        <stp>BDH|276903647055756544</stp>
        <tr r="Q9" s="27"/>
      </tp>
      <tp t="e">
        <v>#N/A</v>
        <stp/>
        <stp>BDH|492856453271621137</stp>
        <tr r="AA57" s="24"/>
      </tp>
      <tp t="e">
        <v>#N/A</v>
        <stp/>
        <stp>BDH|283069066049445219</stp>
        <tr r="D52" s="24"/>
      </tp>
      <tp t="e">
        <v>#N/A</v>
        <stp/>
        <stp>BDH|354880687069846432</stp>
        <tr r="P43" s="12"/>
      </tp>
      <tp t="e">
        <v>#N/A</v>
        <stp/>
        <stp>BDH|405873477170637229</stp>
        <tr r="I29" s="34"/>
      </tp>
      <tp t="e">
        <v>#N/A</v>
        <stp/>
        <stp>BDH|734773664234750825</stp>
        <tr r="T25" s="24"/>
      </tp>
      <tp t="e">
        <v>#N/A</v>
        <stp/>
        <stp>BDH|903406345244543980</stp>
        <tr r="P104" s="18"/>
      </tp>
      <tp t="e">
        <v>#N/A</v>
        <stp/>
        <stp>BDH|366377650772543906</stp>
        <tr r="U84" s="18"/>
      </tp>
      <tp t="e">
        <v>#N/A</v>
        <stp/>
        <stp>BDH|769354450463231811</stp>
        <tr r="P138" s="18"/>
      </tp>
      <tp t="e">
        <v>#N/A</v>
        <stp/>
        <stp>BDH|625436656685150906</stp>
        <tr r="J33" s="10"/>
        <tr r="J25" s="11"/>
      </tp>
      <tp t="e">
        <v>#N/A</v>
        <stp/>
        <stp>BDH|255999578553097017</stp>
        <tr r="M90" s="12"/>
      </tp>
      <tp t="e">
        <v>#N/A</v>
        <stp/>
        <stp>BDH|590411596752851361</stp>
        <tr r="N136" s="18"/>
      </tp>
      <tp t="e">
        <v>#N/A</v>
        <stp/>
        <stp>BDH|650491893381985094</stp>
        <tr r="X40" s="34"/>
      </tp>
      <tp t="e">
        <v>#N/A</v>
        <stp/>
        <stp>BDH|209962408013687664</stp>
        <tr r="R35" s="22"/>
      </tp>
      <tp t="e">
        <v>#N/A</v>
        <stp/>
        <stp>BDH|995633501612548827</stp>
        <tr r="AA16" s="14"/>
      </tp>
      <tp t="e">
        <v>#N/A</v>
        <stp/>
        <stp>BDH|775802221976283089</stp>
        <tr r="T10" s="22"/>
      </tp>
      <tp t="e">
        <v>#N/A</v>
        <stp/>
        <stp>BDH|652163892984943079</stp>
        <tr r="K57" s="12"/>
      </tp>
      <tp t="e">
        <v>#N/A</v>
        <stp/>
        <stp>BDH|497914368990565342</stp>
        <tr r="D23" s="17"/>
      </tp>
      <tp t="e">
        <v>#N/A</v>
        <stp/>
        <stp>BDH|803606017503145830</stp>
        <tr r="Q25" s="10"/>
        <tr r="S31" s="13"/>
      </tp>
      <tp t="e">
        <v>#N/A</v>
        <stp/>
        <stp>BDH|197010701145828973</stp>
        <tr r="D58" s="17"/>
      </tp>
      <tp t="e">
        <v>#N/A</v>
        <stp/>
        <stp>BDH|576319957243801950</stp>
        <tr r="AA60" s="12"/>
      </tp>
      <tp t="e">
        <v>#N/A</v>
        <stp/>
        <stp>BDH|341277088467222100</stp>
        <tr r="L26" s="25"/>
        <tr r="L12" s="27"/>
      </tp>
      <tp t="e">
        <v>#N/A</v>
        <stp/>
        <stp>BDH|847269530345543841</stp>
        <tr r="W65" s="17"/>
      </tp>
      <tp t="e">
        <v>#N/A</v>
        <stp/>
        <stp>BDH|539478929619205366</stp>
        <tr r="E48" s="17"/>
      </tp>
      <tp t="e">
        <v>#N/A</v>
        <stp/>
        <stp>BDH|424344059612689801</stp>
        <tr r="I8" s="22"/>
      </tp>
      <tp t="e">
        <v>#N/A</v>
        <stp/>
        <stp>BDH|382587471626046853</stp>
        <tr r="C26" s="10"/>
        <tr r="E32" s="13"/>
      </tp>
      <tp t="e">
        <v>#N/A</v>
        <stp/>
        <stp>BDH|829447331492050926</stp>
        <tr r="Y11" s="3"/>
        <tr r="W50" s="10"/>
        <tr r="W42" s="11"/>
        <tr r="W8" s="7"/>
      </tp>
      <tp t="e">
        <v>#N/A</v>
        <stp/>
        <stp>BDH|829930613860282456</stp>
        <tr r="Q43" s="29"/>
      </tp>
      <tp t="e">
        <v>#N/A</v>
        <stp/>
        <stp>BDH|190418227113115994</stp>
        <tr r="O24" s="17"/>
      </tp>
      <tp t="e">
        <v>#N/A</v>
        <stp/>
        <stp>BDH|515538599806397641</stp>
        <tr r="V17" s="11"/>
      </tp>
      <tp t="e">
        <v>#N/A</v>
        <stp/>
        <stp>BDH|850133094747346340</stp>
        <tr r="C49" s="12"/>
      </tp>
      <tp t="e">
        <v>#N/A</v>
        <stp/>
        <stp>BDH|349073470028965349</stp>
        <tr r="Y54" s="18"/>
      </tp>
      <tp t="e">
        <v>#N/A</v>
        <stp/>
        <stp>BDH|793881687389452553</stp>
        <tr r="C25" s="26"/>
      </tp>
      <tp t="e">
        <v>#N/A</v>
        <stp/>
        <stp>BDH|500192263793029865</stp>
        <tr r="Y17" s="17"/>
        <tr r="Y20" s="28"/>
      </tp>
      <tp t="e">
        <v>#N/A</v>
        <stp/>
        <stp>BDH|510596425162126915</stp>
        <tr r="D14" s="8"/>
      </tp>
      <tp t="e">
        <v>#N/A</v>
        <stp/>
        <stp>BDH|716358000579348689</stp>
        <tr r="J15" s="17"/>
        <tr r="J18" s="28"/>
      </tp>
      <tp t="e">
        <v>#N/A</v>
        <stp/>
        <stp>BDH|634043021137844922</stp>
        <tr r="J82" s="12"/>
      </tp>
      <tp t="e">
        <v>#N/A</v>
        <stp/>
        <stp>BDH|816276811377166866</stp>
        <tr r="Y66" s="24"/>
      </tp>
      <tp t="e">
        <v>#N/A</v>
        <stp/>
        <stp>BDH|323081251690525962</stp>
        <tr r="T41" s="34"/>
      </tp>
      <tp t="e">
        <v>#N/A</v>
        <stp/>
        <stp>BDH|188741389531448223</stp>
        <tr r="K7" s="14"/>
      </tp>
      <tp t="e">
        <v>#N/A</v>
        <stp/>
        <stp>BDH|753448485593961351</stp>
        <tr r="Z21" s="27"/>
      </tp>
      <tp t="e">
        <v>#N/A</v>
        <stp/>
        <stp>BDH|328380657843264954</stp>
        <tr r="Y39" s="25"/>
        <tr r="Y7" s="3"/>
        <tr r="W18" s="11"/>
        <tr r="Y22" s="13"/>
        <tr r="Y7" s="13"/>
      </tp>
      <tp t="e">
        <v>#N/A</v>
        <stp/>
        <stp>BDH|218754850418853640</stp>
        <tr r="H24" s="22"/>
      </tp>
      <tp t="e">
        <v>#N/A</v>
        <stp/>
        <stp>BDH|645318076878113049</stp>
        <tr r="D41" s="12"/>
      </tp>
      <tp t="e">
        <v>#N/A</v>
        <stp/>
        <stp>BDH|688899259613357212</stp>
        <tr r="E17" s="12"/>
      </tp>
      <tp t="e">
        <v>#N/A</v>
        <stp/>
        <stp>BDH|998189185745744075</stp>
        <tr r="K75" s="18"/>
        <tr r="K64" s="12"/>
      </tp>
      <tp t="e">
        <v>#N/A</v>
        <stp/>
        <stp>BDH|420812261823274131</stp>
        <tr r="W70" s="18"/>
      </tp>
      <tp t="e">
        <v>#N/A</v>
        <stp/>
        <stp>BDH|408036455298053170</stp>
        <tr r="R59" s="18"/>
      </tp>
      <tp t="e">
        <v>#N/A</v>
        <stp/>
        <stp>BDH|615071795963376616</stp>
        <tr r="O12" s="24"/>
      </tp>
      <tp t="e">
        <v>#N/A</v>
        <stp/>
        <stp>BDH|880990699774770897</stp>
        <tr r="L44" s="17"/>
      </tp>
      <tp t="e">
        <v>#N/A</v>
        <stp/>
        <stp>BDH|242208052713302857</stp>
        <tr r="J57" s="18"/>
      </tp>
      <tp t="e">
        <v>#N/A</v>
        <stp/>
        <stp>BDH|615020944911030969</stp>
        <tr r="C33" s="13"/>
      </tp>
      <tp t="e">
        <v>#N/A</v>
        <stp/>
        <stp>BDH|498007116454733938</stp>
        <tr r="X58" s="12"/>
      </tp>
      <tp t="e">
        <v>#N/A</v>
        <stp/>
        <stp>BDH|652808075054630726</stp>
        <tr r="I21" s="10"/>
      </tp>
      <tp t="e">
        <v>#N/A</v>
        <stp/>
        <stp>BDH|385645763015262914</stp>
        <tr r="AA17" s="17"/>
        <tr r="AA20" s="28"/>
      </tp>
      <tp t="e">
        <v>#N/A</v>
        <stp/>
        <stp>BDH|339242902419518774</stp>
        <tr r="P19" s="17"/>
      </tp>
      <tp t="e">
        <v>#N/A</v>
        <stp/>
        <stp>BDH|700261387701531743</stp>
        <tr r="G64" s="18"/>
      </tp>
      <tp t="e">
        <v>#N/A</v>
        <stp/>
        <stp>BDH|741448683238746876</stp>
        <tr r="O62" s="24"/>
      </tp>
      <tp t="e">
        <v>#N/A</v>
        <stp/>
        <stp>BDH|726924920842706531</stp>
        <tr r="Y17" s="22"/>
      </tp>
      <tp t="e">
        <v>#N/A</v>
        <stp/>
        <stp>BDH|182150077288553272</stp>
        <tr r="I38" s="10"/>
        <tr r="I30" s="11"/>
        <tr r="K42" s="13"/>
      </tp>
      <tp t="e">
        <v>#N/A</v>
        <stp/>
        <stp>BDH|622021147218509072</stp>
        <tr r="Y20" s="18"/>
      </tp>
      <tp t="e">
        <v>#N/A</v>
        <stp/>
        <stp>BDH|249112083102943782</stp>
        <tr r="F61" s="21"/>
      </tp>
      <tp t="e">
        <v>#N/A</v>
        <stp/>
        <stp>BDH|974570492735845552</stp>
        <tr r="F25" s="34"/>
      </tp>
      <tp t="e">
        <v>#N/A</v>
        <stp/>
        <stp>BDH|175526170248130634</stp>
        <tr r="R20" s="5"/>
      </tp>
      <tp t="e">
        <v>#N/A</v>
        <stp/>
        <stp>BDH|695988779116049461</stp>
        <tr r="N38" s="12"/>
      </tp>
      <tp t="e">
        <v>#N/A</v>
        <stp/>
        <stp>BDH|582030655218195108</stp>
        <tr r="L40" s="22"/>
      </tp>
      <tp t="e">
        <v>#N/A</v>
        <stp/>
        <stp>BDH|431859887239385579</stp>
        <tr r="V44" s="6"/>
      </tp>
      <tp t="e">
        <v>#N/A</v>
        <stp/>
        <stp>BDH|230276791027260045</stp>
        <tr r="W46" s="22"/>
      </tp>
      <tp t="e">
        <v>#N/A</v>
        <stp/>
        <stp>BDH|823243495190972722</stp>
        <tr r="Y13" s="22"/>
      </tp>
      <tp t="e">
        <v>#N/A</v>
        <stp/>
        <stp>BDH|645098252171702896</stp>
        <tr r="W11" s="6"/>
      </tp>
      <tp t="e">
        <v>#N/A</v>
        <stp/>
        <stp>BDH|891382285257133076</stp>
        <tr r="E27" s="10"/>
        <tr r="G33" s="13"/>
      </tp>
      <tp t="e">
        <v>#N/A</v>
        <stp/>
        <stp>BDH|557357285624721314</stp>
        <tr r="I56" s="11"/>
      </tp>
      <tp t="e">
        <v>#N/A</v>
        <stp/>
        <stp>BDH|415838421474545208</stp>
        <tr r="W41" s="34"/>
      </tp>
      <tp t="e">
        <v>#N/A</v>
        <stp/>
        <stp>BDH|638589589845313474</stp>
        <tr r="R124" s="18"/>
      </tp>
      <tp t="e">
        <v>#N/A</v>
        <stp/>
        <stp>BDH|800483295104372550</stp>
        <tr r="J34" s="6"/>
      </tp>
      <tp t="e">
        <v>#N/A</v>
        <stp/>
        <stp>BDH|658999885716233848</stp>
        <tr r="Z36" s="22"/>
      </tp>
      <tp t="e">
        <v>#N/A</v>
        <stp/>
        <stp>BDH|400099927215392854</stp>
        <tr r="W30" s="22"/>
      </tp>
      <tp t="e">
        <v>#N/A</v>
        <stp/>
        <stp>BDH|186012908167798828</stp>
        <tr r="X34" s="5"/>
        <tr r="Y32" s="29"/>
      </tp>
      <tp t="e">
        <v>#N/A</v>
        <stp/>
        <stp>BDH|811558801008003213</stp>
        <tr r="N27" s="14"/>
      </tp>
      <tp t="e">
        <v>#N/A</v>
        <stp/>
        <stp>BDH|949834954882729073</stp>
        <tr r="X39" s="22"/>
      </tp>
      <tp t="e">
        <v>#N/A</v>
        <stp/>
        <stp>BDH|661421518708092220</stp>
        <tr r="Q22" s="18"/>
      </tp>
      <tp t="e">
        <v>#N/A</v>
        <stp/>
        <stp>BDH|585332038579132613</stp>
        <tr r="X116" s="18"/>
      </tp>
      <tp t="e">
        <v>#N/A</v>
        <stp/>
        <stp>BDH|764599340679707776</stp>
        <tr r="K19" s="25"/>
      </tp>
      <tp t="e">
        <v>#N/A</v>
        <stp/>
        <stp>BDH|876418526979200035</stp>
        <tr r="M79" s="12"/>
      </tp>
      <tp t="e">
        <v>#N/A</v>
        <stp/>
        <stp>BDH|513601897681961150</stp>
        <tr r="H52" s="12"/>
      </tp>
      <tp t="e">
        <v>#N/A</v>
        <stp/>
        <stp>BDH|969263311765939997</stp>
        <tr r="Q24" s="12"/>
      </tp>
      <tp t="e">
        <v>#N/A</v>
        <stp/>
        <stp>BDH|258432142999544691</stp>
        <tr r="J35" s="10"/>
        <tr r="J27" s="11"/>
      </tp>
      <tp t="e">
        <v>#N/A</v>
        <stp/>
        <stp>BDH|625435842196692996</stp>
        <tr r="L16" s="6"/>
      </tp>
      <tp t="e">
        <v>#N/A</v>
        <stp/>
        <stp>BDH|849312186083388741</stp>
        <tr r="N17" s="5"/>
        <tr r="N36" s="6"/>
      </tp>
      <tp t="e">
        <v>#N/A</v>
        <stp/>
        <stp>BDH|430203527067373887</stp>
        <tr r="Z14" s="22"/>
      </tp>
      <tp t="e">
        <v>#N/A</v>
        <stp/>
        <stp>BDH|353379030997591884</stp>
        <tr r="R64" s="13"/>
      </tp>
      <tp t="e">
        <v>#N/A</v>
        <stp/>
        <stp>BDH|285240397343951710</stp>
        <tr r="I50" s="12"/>
      </tp>
      <tp t="e">
        <v>#N/A</v>
        <stp/>
        <stp>BDH|495916558435781633</stp>
        <tr r="J75" s="12"/>
      </tp>
      <tp t="e">
        <v>#N/A</v>
        <stp/>
        <stp>BDH|664741404679902160</stp>
        <tr r="H34" s="12"/>
      </tp>
      <tp t="e">
        <v>#N/A</v>
        <stp/>
        <stp>BDH|949384668589240320</stp>
        <tr r="T52" s="21"/>
      </tp>
      <tp t="e">
        <v>#N/A</v>
        <stp/>
        <stp>BDH|443937249697793536</stp>
        <tr r="L9" s="21"/>
      </tp>
      <tp t="e">
        <v>#N/A</v>
        <stp/>
        <stp>BDH|807093918936683856</stp>
        <tr r="D49" s="21"/>
      </tp>
      <tp t="e">
        <v>#N/A</v>
        <stp/>
        <stp>BDH|655565418892124927</stp>
        <tr r="X20" s="24"/>
      </tp>
      <tp t="e">
        <v>#N/A</v>
        <stp/>
        <stp>BDH|155906371080921122</stp>
        <tr r="D14" s="3"/>
      </tp>
      <tp t="e">
        <v>#N/A</v>
        <stp/>
        <stp>BDH|864943222731761523</stp>
        <tr r="E12" s="10"/>
      </tp>
      <tp t="e">
        <v>#N/A</v>
        <stp/>
        <stp>BDH|846977069746923643</stp>
        <tr r="H31" s="18"/>
      </tp>
      <tp t="e">
        <v>#N/A</v>
        <stp/>
        <stp>BDH|582033052323329930</stp>
        <tr r="I15" s="5"/>
      </tp>
      <tp t="e">
        <v>#N/A</v>
        <stp/>
        <stp>BDH|110084751109581395</stp>
        <tr r="H11" s="24"/>
      </tp>
      <tp t="e">
        <v>#N/A</v>
        <stp/>
        <stp>BDH|379484991332813064</stp>
        <tr r="P101" s="18"/>
      </tp>
      <tp t="e">
        <v>#N/A</v>
        <stp/>
        <stp>BDH|817333803565912953</stp>
        <tr r="Q26" s="34"/>
      </tp>
      <tp t="e">
        <v>#N/A</v>
        <stp/>
        <stp>BDH|811021379579432120</stp>
        <tr r="H88" s="12"/>
      </tp>
      <tp t="e">
        <v>#N/A</v>
        <stp/>
        <stp>BDH|408304701655300908</stp>
        <tr r="L75" s="18"/>
        <tr r="L64" s="12"/>
      </tp>
      <tp t="e">
        <v>#N/A</v>
        <stp/>
        <stp>BDH|736845623474318156</stp>
        <tr r="M9" s="30"/>
      </tp>
      <tp t="e">
        <v>#N/A</v>
        <stp/>
        <stp>BDH|759331971412122939</stp>
        <tr r="C81" s="24"/>
      </tp>
      <tp t="e">
        <v>#N/A</v>
        <stp/>
        <stp>BDH|995298177499385334</stp>
        <tr r="C16" s="10"/>
      </tp>
      <tp t="e">
        <v>#N/A</v>
        <stp/>
        <stp>BDH|591380740358936034</stp>
        <tr r="P33" s="21"/>
      </tp>
      <tp t="e">
        <v>#N/A</v>
        <stp/>
        <stp>BDH|550429892727128538</stp>
        <tr r="E25" s="25"/>
        <tr r="E10" s="27"/>
      </tp>
      <tp t="e">
        <v>#N/A</v>
        <stp/>
        <stp>BDH|116362287586264251</stp>
        <tr r="D12" s="6"/>
      </tp>
      <tp t="e">
        <v>#N/A</v>
        <stp/>
        <stp>BDH|111843316803470509</stp>
        <tr r="T7" s="14"/>
      </tp>
      <tp t="e">
        <v>#N/A</v>
        <stp/>
        <stp>BDH|725242193067321338</stp>
        <tr r="R13" s="30"/>
      </tp>
      <tp t="e">
        <v>#N/A</v>
        <stp/>
        <stp>BDH|829120673538017194</stp>
        <tr r="Z26" s="14"/>
      </tp>
      <tp t="e">
        <v>#N/A</v>
        <stp/>
        <stp>BDH|161569559966826963</stp>
        <tr r="AA26" s="22"/>
      </tp>
      <tp t="e">
        <v>#N/A</v>
        <stp/>
        <stp>BDH|171096598292652479</stp>
        <tr r="AA53" s="12"/>
      </tp>
      <tp t="e">
        <v>#N/A</v>
        <stp/>
        <stp>BDH|349524071065052818</stp>
        <tr r="E52" s="21"/>
      </tp>
      <tp t="e">
        <v>#N/A</v>
        <stp/>
        <stp>BDH|158848376368861891</stp>
        <tr r="G32" s="10"/>
        <tr r="G24" s="11"/>
      </tp>
      <tp t="e">
        <v>#N/A</v>
        <stp/>
        <stp>BDH|512166482560701659</stp>
        <tr r="N20" s="18"/>
      </tp>
      <tp t="e">
        <v>#N/A</v>
        <stp/>
        <stp>BDH|412902177242631369</stp>
        <tr r="O22" s="11"/>
      </tp>
      <tp t="e">
        <v>#N/A</v>
        <stp/>
        <stp>BDH|268909851627259424</stp>
        <tr r="L28" s="22"/>
      </tp>
      <tp t="e">
        <v>#N/A</v>
        <stp/>
        <stp>BDH|569833355295873780</stp>
        <tr r="O8" s="18"/>
      </tp>
      <tp t="e">
        <v>#N/A</v>
        <stp/>
        <stp>BDH|716658188015109489</stp>
        <tr r="X37" s="21"/>
        <tr r="X24" s="3"/>
      </tp>
      <tp t="e">
        <v>#N/A</v>
        <stp/>
        <stp>BDH|802931476734148409</stp>
        <tr r="X27" s="6"/>
      </tp>
      <tp t="e">
        <v>#N/A</v>
        <stp/>
        <stp>BDH|182962565253614288</stp>
        <tr r="G13" s="5"/>
      </tp>
      <tp t="e">
        <v>#N/A</v>
        <stp/>
        <stp>BDH|736535398384722672</stp>
        <tr r="T16" s="10"/>
      </tp>
      <tp t="e">
        <v>#N/A</v>
        <stp/>
        <stp>BDH|599840513174609392</stp>
        <tr r="Q123" s="18"/>
      </tp>
      <tp t="e">
        <v>#N/A</v>
        <stp/>
        <stp>BDH|421911419030239638</stp>
        <tr r="U12" s="17"/>
      </tp>
      <tp t="e">
        <v>#N/A</v>
        <stp/>
        <stp>BDH|718295399034856128</stp>
        <tr r="S111" s="18"/>
      </tp>
      <tp t="e">
        <v>#N/A</v>
        <stp/>
        <stp>BDH|778270897673383697</stp>
        <tr r="Q10" s="34"/>
      </tp>
      <tp t="e">
        <v>#N/A</v>
        <stp/>
        <stp>BDH|914717780926370765</stp>
        <tr r="M16" s="29"/>
        <tr r="M39" s="29"/>
      </tp>
      <tp t="e">
        <v>#N/A</v>
        <stp/>
        <stp>BDH|687231744721586995</stp>
        <tr r="P8" s="22"/>
      </tp>
      <tp t="e">
        <v>#N/A</v>
        <stp/>
        <stp>BDH|105882574406250727</stp>
        <tr r="K26" s="7"/>
      </tp>
      <tp t="e">
        <v>#N/A</v>
        <stp/>
        <stp>BDH|665534048379868683</stp>
        <tr r="R7" s="10"/>
      </tp>
      <tp t="e">
        <v>#N/A</v>
        <stp/>
        <stp>BDH|914296482242784688</stp>
        <tr r="S27" s="14"/>
      </tp>
      <tp t="e">
        <v>#N/A</v>
        <stp/>
        <stp>BDH|765637619230780941</stp>
        <tr r="H67" s="24"/>
      </tp>
      <tp t="e">
        <v>#N/A</v>
        <stp/>
        <stp>BDH|963844867194600428</stp>
        <tr r="U16" s="29"/>
        <tr r="U39" s="29"/>
      </tp>
      <tp t="e">
        <v>#N/A</v>
        <stp/>
        <stp>BDH|385997030704076040</stp>
        <tr r="K20" s="29"/>
      </tp>
      <tp t="e">
        <v>#N/A</v>
        <stp/>
        <stp>BDH|437937962337299699</stp>
        <tr r="Q29" s="6"/>
      </tp>
      <tp t="e">
        <v>#N/A</v>
        <stp/>
        <stp>BDH|362919782948601783</stp>
        <tr r="S63" s="17"/>
      </tp>
      <tp t="e">
        <v>#N/A</v>
        <stp/>
        <stp>BDH|190967359526894487</stp>
        <tr r="S101" s="18"/>
      </tp>
      <tp t="e">
        <v>#N/A</v>
        <stp/>
        <stp>BDH|992864414314150350</stp>
        <tr r="G16" s="11"/>
      </tp>
      <tp t="e">
        <v>#N/A</v>
        <stp/>
        <stp>BDH|988265143001754946</stp>
        <tr r="I76" s="12"/>
      </tp>
      <tp t="e">
        <v>#N/A</v>
        <stp/>
        <stp>BDH|115332192852104696</stp>
        <tr r="Y10" s="26"/>
      </tp>
      <tp t="e">
        <v>#N/A</v>
        <stp/>
        <stp>BDH|626577697063758193</stp>
        <tr r="C118" s="18"/>
      </tp>
      <tp t="e">
        <v>#N/A</v>
        <stp/>
        <stp>BDH|733518988762152165</stp>
        <tr r="L30" s="29"/>
        <tr r="L8" s="29"/>
      </tp>
      <tp t="e">
        <v>#N/A</v>
        <stp/>
        <stp>BDH|636875005840880651</stp>
        <tr r="O26" s="29"/>
      </tp>
      <tp t="e">
        <v>#N/A</v>
        <stp/>
        <stp>BDH|368149262378705186</stp>
        <tr r="J19" s="6"/>
      </tp>
      <tp t="e">
        <v>#N/A</v>
        <stp/>
        <stp>BDH|947200963998554253</stp>
        <tr r="V33" s="17"/>
      </tp>
      <tp t="e">
        <v>#N/A</v>
        <stp/>
        <stp>BDH|121746844685384881</stp>
        <tr r="K17" s="14"/>
      </tp>
      <tp t="e">
        <v>#N/A</v>
        <stp/>
        <stp>BDH|248545602133995870</stp>
        <tr r="R59" s="17"/>
      </tp>
      <tp t="e">
        <v>#N/A</v>
        <stp/>
        <stp>BDH|948195688957069034</stp>
        <tr r="O71" s="18"/>
      </tp>
      <tp t="e">
        <v>#N/A</v>
        <stp/>
        <stp>BDH|994862983309688718</stp>
        <tr r="S53" s="12"/>
      </tp>
      <tp t="e">
        <v>#N/A</v>
        <stp/>
        <stp>BDH|939970735126399234</stp>
        <tr r="V15" s="4"/>
      </tp>
      <tp t="e">
        <v>#N/A</v>
        <stp/>
        <stp>BDH|724692712429376041</stp>
        <tr r="G28" s="14"/>
      </tp>
      <tp t="e">
        <v>#N/A</v>
        <stp/>
        <stp>BDH|591247271752889935</stp>
        <tr r="F86" s="17"/>
      </tp>
      <tp t="e">
        <v>#N/A</v>
        <stp/>
        <stp>BDH|374113826255283821</stp>
        <tr r="T85" s="17"/>
      </tp>
      <tp t="e">
        <v>#N/A</v>
        <stp/>
        <stp>BDH|396820615660231720</stp>
        <tr r="Q21" s="24"/>
      </tp>
      <tp t="e">
        <v>#N/A</v>
        <stp/>
        <stp>BDH|680467536910312917</stp>
        <tr r="V52" s="17"/>
        <tr r="V10" s="25"/>
      </tp>
      <tp t="e">
        <v>#N/A</v>
        <stp/>
        <stp>BDH|442921916851092758</stp>
        <tr r="T19" s="10"/>
      </tp>
      <tp t="e">
        <v>#N/A</v>
        <stp/>
        <stp>BDH|498471932600360948</stp>
        <tr r="W29" s="29"/>
        <tr r="W7" s="29"/>
      </tp>
      <tp t="e">
        <v>#N/A</v>
        <stp/>
        <stp>BDH|425628977957159860</stp>
        <tr r="G28" s="6"/>
      </tp>
      <tp t="e">
        <v>#N/A</v>
        <stp/>
        <stp>BDH|872981860437210644</stp>
        <tr r="X36" s="12"/>
      </tp>
      <tp t="e">
        <v>#N/A</v>
        <stp/>
        <stp>BDH|871604544845239996</stp>
        <tr r="J88" s="17"/>
      </tp>
      <tp t="e">
        <v>#N/A</v>
        <stp/>
        <stp>BDH|383987298799513718</stp>
        <tr r="R102" s="18"/>
      </tp>
      <tp t="e">
        <v>#N/A</v>
        <stp/>
        <stp>BDH|441549994377130555</stp>
        <tr r="I9" s="17"/>
      </tp>
      <tp t="e">
        <v>#N/A</v>
        <stp/>
        <stp>BDH|847248929216259874</stp>
        <tr r="N39" s="12"/>
      </tp>
      <tp t="e">
        <v>#N/A</v>
        <stp/>
        <stp>BDH|949771648228609507</stp>
        <tr r="C10" s="34"/>
      </tp>
      <tp t="e">
        <v>#N/A</v>
        <stp/>
        <stp>BDH|424771910050545866</stp>
        <tr r="P25" s="4"/>
        <tr r="P65" s="10"/>
      </tp>
      <tp t="e">
        <v>#N/A</v>
        <stp/>
        <stp>BDH|759045174140735905</stp>
        <tr r="W55" s="24"/>
      </tp>
      <tp t="e">
        <v>#N/A</v>
        <stp/>
        <stp>BDH|875929067847559684</stp>
        <tr r="S84" s="24"/>
      </tp>
      <tp t="e">
        <v>#N/A</v>
        <stp/>
        <stp>BDH|798714380130710119</stp>
        <tr r="Y39" s="34"/>
      </tp>
      <tp t="e">
        <v>#N/A</v>
        <stp/>
        <stp>BDH|836285170393841885</stp>
        <tr r="F20" s="24"/>
      </tp>
      <tp t="e">
        <v>#N/A</v>
        <stp/>
        <stp>BDH|466693331538443381</stp>
        <tr r="M6" s="2"/>
        <tr r="L6" s="5"/>
        <tr r="L6" s="9"/>
        <tr r="N12" s="8"/>
        <tr r="M10" s="29"/>
        <tr r="M19" s="29"/>
        <tr r="M25" s="29"/>
      </tp>
      <tp t="e">
        <v>#N/A</v>
        <stp/>
        <stp>BDH|955161852108843249</stp>
        <tr r="M27" s="21"/>
      </tp>
      <tp t="e">
        <v>#N/A</v>
        <stp/>
        <stp>BDH|460065819196258981</stp>
        <tr r="X49" s="12"/>
      </tp>
      <tp t="e">
        <v>#N/A</v>
        <stp/>
        <stp>BDH|815395398196826239</stp>
        <tr r="C102" s="18"/>
      </tp>
      <tp t="e">
        <v>#N/A</v>
        <stp/>
        <stp>BDH|312063590995543220</stp>
        <tr r="C70" s="24"/>
      </tp>
      <tp t="e">
        <v>#N/A</v>
        <stp/>
        <stp>BDH|518847912694044319</stp>
        <tr r="Z46" s="18"/>
      </tp>
      <tp t="e">
        <v>#N/A</v>
        <stp/>
        <stp>BDH|138605796175050457</stp>
        <tr r="O22" s="7"/>
      </tp>
      <tp t="e">
        <v>#N/A</v>
        <stp/>
        <stp>BDH|153663151305344869</stp>
        <tr r="Q20" s="20"/>
      </tp>
      <tp t="e">
        <v>#N/A</v>
        <stp/>
        <stp>BDH|104647200539561139</stp>
        <tr r="L31" s="29"/>
      </tp>
      <tp t="e">
        <v>#N/A</v>
        <stp/>
        <stp>BDH|940624682376364690</stp>
        <tr r="C28" s="34"/>
      </tp>
      <tp t="e">
        <v>#N/A</v>
        <stp/>
        <stp>BDH|636790972350903989</stp>
        <tr r="R28" s="34"/>
      </tp>
      <tp t="e">
        <v>#N/A</v>
        <stp/>
        <stp>BDH|843308825661702973</stp>
        <tr r="S25" s="18"/>
      </tp>
      <tp t="e">
        <v>#N/A</v>
        <stp/>
        <stp>BDH|438859792651915979</stp>
        <tr r="D22" s="12"/>
      </tp>
      <tp t="e">
        <v>#N/A</v>
        <stp/>
        <stp>BDH|879717294176167112</stp>
        <tr r="R30" s="24"/>
      </tp>
      <tp t="e">
        <v>#N/A</v>
        <stp/>
        <stp>BDH|692852899269729136</stp>
        <tr r="D77" s="24"/>
      </tp>
      <tp t="e">
        <v>#N/A</v>
        <stp/>
        <stp>BDH|538457330037795990</stp>
        <tr r="C58" s="6"/>
      </tp>
      <tp t="e">
        <v>#N/A</v>
        <stp/>
        <stp>BDH|560171797679927820</stp>
        <tr r="X49" s="24"/>
      </tp>
      <tp t="e">
        <v>#N/A</v>
        <stp/>
        <stp>BDH|120203132688831055</stp>
        <tr r="H17" s="12"/>
      </tp>
      <tp t="e">
        <v>#N/A</v>
        <stp/>
        <stp>BDH|186819292901458993</stp>
        <tr r="Z20" s="23"/>
      </tp>
      <tp t="e">
        <v>#N/A</v>
        <stp/>
        <stp>BDH|632850982419623089</stp>
        <tr r="U57" s="10"/>
        <tr r="U49" s="11"/>
        <tr r="U18" s="7"/>
        <tr r="W57" s="13"/>
      </tp>
      <tp t="e">
        <v>#N/A</v>
        <stp/>
        <stp>BDH|695972667992881417</stp>
        <tr r="O12" s="17"/>
      </tp>
      <tp t="e">
        <v>#N/A</v>
        <stp/>
        <stp>BDH|316655491026962068</stp>
        <tr r="K77" s="12"/>
      </tp>
      <tp t="e">
        <v>#N/A</v>
        <stp/>
        <stp>BDH|870642793833565523</stp>
        <tr r="X6" s="2"/>
        <tr r="W6" s="5"/>
        <tr r="W6" s="9"/>
        <tr r="Y12" s="8"/>
        <tr r="X10" s="29"/>
        <tr r="X19" s="29"/>
        <tr r="X25" s="29"/>
      </tp>
      <tp t="e">
        <v>#N/A</v>
        <stp/>
        <stp>BDH|794791891732611505</stp>
        <tr r="D62" s="24"/>
      </tp>
      <tp t="e">
        <v>#N/A</v>
        <stp/>
        <stp>BDH|220313722280039882</stp>
        <tr r="W10" s="34"/>
      </tp>
      <tp t="e">
        <v>#N/A</v>
        <stp/>
        <stp>BDH|886499880150895536</stp>
        <tr r="D35" s="34"/>
      </tp>
      <tp t="e">
        <v>#N/A</v>
        <stp/>
        <stp>BDH|378920878123118423</stp>
        <tr r="Z80" s="12"/>
      </tp>
      <tp t="e">
        <v>#N/A</v>
        <stp/>
        <stp>BDH|263539581416840234</stp>
        <tr r="AA38" s="22"/>
      </tp>
      <tp t="e">
        <v>#N/A</v>
        <stp/>
        <stp>BDH|648476178998038226</stp>
        <tr r="J18" s="5"/>
        <tr r="J41" s="6"/>
      </tp>
      <tp t="e">
        <v>#N/A</v>
        <stp/>
        <stp>BDH|488972088631657965</stp>
        <tr r="O19" s="30"/>
      </tp>
      <tp t="e">
        <v>#N/A</v>
        <stp/>
        <stp>BDH|118214033299036186</stp>
        <tr r="M49" s="4"/>
      </tp>
      <tp t="e">
        <v>#N/A</v>
        <stp/>
        <stp>BDH|113466768699062245</stp>
        <tr r="AA35" s="22"/>
      </tp>
      <tp t="e">
        <v>#N/A</v>
        <stp/>
        <stp>BDH|623101696468332984</stp>
        <tr r="T58" s="17"/>
      </tp>
      <tp t="e">
        <v>#N/A</v>
        <stp/>
        <stp>BDH|788285597464176628</stp>
        <tr r="E21" s="2"/>
      </tp>
      <tp t="e">
        <v>#N/A</v>
        <stp/>
        <stp>BDH|304560626538251658</stp>
        <tr r="T12" s="12"/>
      </tp>
      <tp t="e">
        <v>#N/A</v>
        <stp/>
        <stp>BDH|426955803933634304</stp>
        <tr r="C78" s="12"/>
      </tp>
      <tp t="e">
        <v>#N/A</v>
        <stp/>
        <stp>BDH|757360298021429295</stp>
        <tr r="Y17" s="14"/>
      </tp>
      <tp t="e">
        <v>#N/A</v>
        <stp/>
        <stp>BDH|340966274320177745</stp>
        <tr r="W64" s="10"/>
      </tp>
      <tp t="e">
        <v>#N/A</v>
        <stp/>
        <stp>BDH|739728362868761043</stp>
        <tr r="J37" s="10"/>
        <tr r="J29" s="11"/>
        <tr r="L41" s="13"/>
      </tp>
      <tp t="e">
        <v>#N/A</v>
        <stp/>
        <stp>BDH|696513980242042639</stp>
        <tr r="E15" s="11"/>
      </tp>
      <tp t="e">
        <v>#N/A</v>
        <stp/>
        <stp>BDH|149168292572200329</stp>
        <tr r="X14" s="12"/>
      </tp>
      <tp t="e">
        <v>#N/A</v>
        <stp/>
        <stp>BDH|538517095122681712</stp>
        <tr r="G24" s="4"/>
        <tr r="G57" s="11"/>
      </tp>
      <tp t="e">
        <v>#N/A</v>
        <stp/>
        <stp>BDH|576762692031792600</stp>
        <tr r="J58" s="13"/>
      </tp>
      <tp t="e">
        <v>#N/A</v>
        <stp/>
        <stp>BDH|660576967219138310</stp>
        <tr r="D38" s="26"/>
      </tp>
      <tp t="e">
        <v>#N/A</v>
        <stp/>
        <stp>BDH|721068292606426619</stp>
        <tr r="Q18" s="20"/>
      </tp>
      <tp t="e">
        <v>#N/A</v>
        <stp/>
        <stp>BDH|367025622442728921</stp>
        <tr r="Y14" s="12"/>
      </tp>
      <tp t="e">
        <v>#N/A</v>
        <stp/>
        <stp>BDH|328773726258521414</stp>
        <tr r="S27" s="25"/>
        <tr r="S13" s="27"/>
      </tp>
      <tp t="e">
        <v>#N/A</v>
        <stp/>
        <stp>BDH|548678240603642840</stp>
        <tr r="U9" s="26"/>
      </tp>
      <tp t="e">
        <v>#N/A</v>
        <stp/>
        <stp>BDH|109719116867683807</stp>
        <tr r="T56" s="13"/>
      </tp>
      <tp t="e">
        <v>#N/A</v>
        <stp/>
        <stp>BDH|531277628978393192</stp>
        <tr r="U59" s="13"/>
      </tp>
      <tp t="e">
        <v>#N/A</v>
        <stp/>
        <stp>BDH|782220691364788636</stp>
        <tr r="G70" s="24"/>
      </tp>
      <tp t="e">
        <v>#N/A</v>
        <stp/>
        <stp>BDH|674255975325754901</stp>
        <tr r="I26" s="6"/>
      </tp>
      <tp t="e">
        <v>#N/A</v>
        <stp/>
        <stp>BDH|573675896747157178</stp>
        <tr r="X9" s="29"/>
      </tp>
      <tp t="e">
        <v>#N/A</v>
        <stp/>
        <stp>BDH|782116115180189909</stp>
        <tr r="C15" s="29"/>
        <tr r="C38" s="29"/>
      </tp>
      <tp t="e">
        <v>#N/A</v>
        <stp/>
        <stp>BDH|593372992642550178</stp>
        <tr r="E8" s="23"/>
      </tp>
      <tp t="e">
        <v>#N/A</v>
        <stp/>
        <stp>BDH|927334112098940336</stp>
        <tr r="D92" s="17"/>
        <tr r="D13" s="28"/>
      </tp>
      <tp t="e">
        <v>#N/A</v>
        <stp/>
        <stp>BDH|557429524886462957</stp>
        <tr r="J40" s="24"/>
      </tp>
      <tp t="e">
        <v>#N/A</v>
        <stp/>
        <stp>BDH|730086830872479880</stp>
        <tr r="C40" s="10"/>
        <tr r="C32" s="11"/>
      </tp>
      <tp t="e">
        <v>#N/A</v>
        <stp/>
        <stp>BDH|339728068640827829</stp>
        <tr r="P47" s="13"/>
      </tp>
      <tp t="e">
        <v>#N/A</v>
        <stp/>
        <stp>BDH|204169531302827816</stp>
        <tr r="O21" s="17"/>
        <tr r="O15" s="3"/>
      </tp>
      <tp t="e">
        <v>#N/A</v>
        <stp/>
        <stp>BDH|648192121402646944</stp>
        <tr r="H7" s="23"/>
      </tp>
      <tp t="e">
        <v>#N/A</v>
        <stp/>
        <stp>BDH|358330658909588714</stp>
        <tr r="Z32" s="24"/>
      </tp>
      <tp t="e">
        <v>#N/A</v>
        <stp/>
        <stp>BDH|235215915192961937</stp>
        <tr r="Z18" s="20"/>
      </tp>
      <tp t="e">
        <v>#N/A</v>
        <stp/>
        <stp>BDH|167452618698759564</stp>
        <tr r="F70" s="10"/>
        <tr r="F62" s="11"/>
        <tr r="F20" s="7"/>
      </tp>
      <tp t="e">
        <v>#N/A</v>
        <stp/>
        <stp>BDH|666645072341500886</stp>
        <tr r="M24" s="21"/>
      </tp>
      <tp t="e">
        <v>#N/A</v>
        <stp/>
        <stp>BDH|100179895931915177</stp>
        <tr r="Y12" s="12"/>
      </tp>
      <tp t="e">
        <v>#N/A</v>
        <stp/>
        <stp>BDH|219389355036557879</stp>
        <tr r="I7" s="28"/>
      </tp>
      <tp t="e">
        <v>#N/A</v>
        <stp/>
        <stp>BDH|343194437589618356</stp>
        <tr r="Q39" s="24"/>
      </tp>
      <tp t="e">
        <v>#N/A</v>
        <stp/>
        <stp>BDH|782981278961031792</stp>
        <tr r="H13" s="30"/>
      </tp>
      <tp t="e">
        <v>#N/A</v>
        <stp/>
        <stp>BDH|316851966522616483</stp>
        <tr r="L17" s="14"/>
      </tp>
      <tp t="e">
        <v>#N/A</v>
        <stp/>
        <stp>BDH|158896167857858181</stp>
        <tr r="D64" s="17"/>
      </tp>
      <tp t="e">
        <v>#N/A</v>
        <stp/>
        <stp>BDH|559165096842211286</stp>
        <tr r="G19" s="17"/>
      </tp>
      <tp t="e">
        <v>#N/A</v>
        <stp/>
        <stp>BDH|858815680791133976</stp>
        <tr r="G22" s="21"/>
      </tp>
      <tp t="e">
        <v>#N/A</v>
        <stp/>
        <stp>BDH|753754793317847163</stp>
        <tr r="L79" s="24"/>
      </tp>
      <tp t="e">
        <v>#N/A</v>
        <stp/>
        <stp>BDH|565198245659358426</stp>
        <tr r="J10" s="17"/>
      </tp>
      <tp t="e">
        <v>#N/A</v>
        <stp/>
        <stp>BDH|997533883226175301</stp>
        <tr r="G7" s="14"/>
      </tp>
      <tp t="e">
        <v>#N/A</v>
        <stp/>
        <stp>BDH|693775845608854340</stp>
        <tr r="R53" s="24"/>
      </tp>
      <tp t="e">
        <v>#N/A</v>
        <stp/>
        <stp>BDH|161167292255545598</stp>
        <tr r="AA29" s="18"/>
      </tp>
      <tp t="e">
        <v>#N/A</v>
        <stp/>
        <stp>BDH|466406699756277361</stp>
        <tr r="T23" s="25"/>
        <tr r="R20" s="11"/>
      </tp>
      <tp t="e">
        <v>#N/A</v>
        <stp/>
        <stp>BDH|669156687732670388</stp>
        <tr r="D12" s="20"/>
      </tp>
      <tp t="e">
        <v>#N/A</v>
        <stp/>
        <stp>BDH|919513480357530269</stp>
        <tr r="D72" s="12"/>
      </tp>
      <tp t="e">
        <v>#N/A</v>
        <stp/>
        <stp>BDH|954922641614519147</stp>
        <tr r="F21" s="5"/>
      </tp>
      <tp t="e">
        <v>#N/A</v>
        <stp/>
        <stp>BDH|407548316008719457</stp>
        <tr r="D41" s="18"/>
      </tp>
      <tp t="e">
        <v>#N/A</v>
        <stp/>
        <stp>BDH|958299436961580872</stp>
        <tr r="H84" s="24"/>
      </tp>
      <tp t="e">
        <v>#N/A</v>
        <stp/>
        <stp>BDH|202930825607697463</stp>
        <tr r="I49" s="22"/>
      </tp>
      <tp t="e">
        <v>#N/A</v>
        <stp/>
        <stp>BDH|669126446255536837</stp>
        <tr r="U33" s="10"/>
        <tr r="U25" s="11"/>
      </tp>
      <tp t="e">
        <v>#N/A</v>
        <stp/>
        <stp>BDH|256650404388504623</stp>
        <tr r="L30" s="10"/>
        <tr r="N36" s="13"/>
      </tp>
      <tp t="e">
        <v>#N/A</v>
        <stp/>
        <stp>BDH|617821831397156416</stp>
        <tr r="S30" s="34"/>
      </tp>
      <tp t="e">
        <v>#N/A</v>
        <stp/>
        <stp>BDH|574272767984319808</stp>
        <tr r="I19" s="26"/>
      </tp>
      <tp t="e">
        <v>#N/A</v>
        <stp/>
        <stp>BDH|656515151018824098</stp>
        <tr r="E9" s="21"/>
      </tp>
      <tp t="e">
        <v>#N/A</v>
        <stp/>
        <stp>BDH|374137099362916279</stp>
        <tr r="D17" s="18"/>
      </tp>
      <tp t="e">
        <v>#N/A</v>
        <stp/>
        <stp>BDH|330035954914144920</stp>
        <tr r="Y34" s="21"/>
      </tp>
      <tp t="e">
        <v>#N/A</v>
        <stp/>
        <stp>BDH|282065387451001146</stp>
        <tr r="F13" s="6"/>
      </tp>
      <tp t="e">
        <v>#N/A</v>
        <stp/>
        <stp>BDH|427911362585073278</stp>
        <tr r="K27" s="21"/>
      </tp>
      <tp t="e">
        <v>#N/A</v>
        <stp/>
        <stp>BDH|720826644726649274</stp>
        <tr r="L86" s="18"/>
      </tp>
      <tp t="e">
        <v>#N/A</v>
        <stp/>
        <stp>BDH|500865520477056532</stp>
        <tr r="N6" s="15"/>
        <tr r="N12" s="2"/>
        <tr r="N11" s="4"/>
        <tr r="N6" s="10"/>
      </tp>
      <tp t="e">
        <v>#N/A</v>
        <stp/>
        <stp>BDH|181478190977767204</stp>
        <tr r="T21" s="21"/>
      </tp>
      <tp t="e">
        <v>#N/A</v>
        <stp/>
        <stp>BDH|464249660658791468</stp>
        <tr r="W13" s="5"/>
      </tp>
      <tp t="e">
        <v>#N/A</v>
        <stp/>
        <stp>BDH|343358986125649676</stp>
        <tr r="W21" s="10"/>
      </tp>
      <tp t="e">
        <v>#N/A</v>
        <stp/>
        <stp>BDH|511301369364579989</stp>
        <tr r="E15" s="17"/>
        <tr r="E18" s="28"/>
      </tp>
      <tp t="e">
        <v>#N/A</v>
        <stp/>
        <stp>BDH|207829102264318436</stp>
        <tr r="W42" s="22"/>
      </tp>
      <tp t="e">
        <v>#N/A</v>
        <stp/>
        <stp>BDH|318932927503104040</stp>
        <tr r="N21" s="27"/>
      </tp>
      <tp t="e">
        <v>#N/A</v>
        <stp/>
        <stp>BDH|617058211318125100</stp>
        <tr r="V16" s="6"/>
      </tp>
      <tp t="e">
        <v>#N/A</v>
        <stp/>
        <stp>BDH|246676313528346761</stp>
        <tr r="L25" s="9"/>
      </tp>
      <tp t="e">
        <v>#N/A</v>
        <stp/>
        <stp>BDH|781896696720216998</stp>
        <tr r="X49" s="4"/>
      </tp>
      <tp t="e">
        <v>#N/A</v>
        <stp/>
        <stp>BDH|229133881602707343</stp>
        <tr r="N8" s="21"/>
      </tp>
      <tp t="e">
        <v>#N/A</v>
        <stp/>
        <stp>BDH|178991773262744707</stp>
        <tr r="F27" s="34"/>
      </tp>
      <tp t="e">
        <v>#N/A</v>
        <stp/>
        <stp>BDH|820229536189490358</stp>
        <tr r="J16" s="24"/>
      </tp>
      <tp t="e">
        <v>#N/A</v>
        <stp/>
        <stp>BDH|263034982504715798</stp>
        <tr r="T27" s="24"/>
      </tp>
      <tp t="e">
        <v>#N/A</v>
        <stp/>
        <stp>BDH|507537401278894613</stp>
        <tr r="J25" s="13"/>
      </tp>
      <tp t="e">
        <v>#N/A</v>
        <stp/>
        <stp>BDH|807841335811732106</stp>
        <tr r="V91" s="24"/>
      </tp>
      <tp t="e">
        <v>#N/A</v>
        <stp/>
        <stp>BDH|517539229064563826</stp>
        <tr r="W27" s="25"/>
        <tr r="W13" s="27"/>
      </tp>
      <tp t="e">
        <v>#N/A</v>
        <stp/>
        <stp>BDH|884390184027897759</stp>
        <tr r="C46" s="12"/>
      </tp>
      <tp t="e">
        <v>#N/A</v>
        <stp/>
        <stp>BDH|519303483107772798</stp>
        <tr r="X17" s="12"/>
      </tp>
      <tp t="e">
        <v>#N/A</v>
        <stp/>
        <stp>BDH|225695880386651353</stp>
        <tr r="K16" s="21"/>
      </tp>
      <tp t="e">
        <v>#N/A</v>
        <stp/>
        <stp>BDH|700722169408569212</stp>
        <tr r="Y28" s="22"/>
      </tp>
      <tp t="e">
        <v>#N/A</v>
        <stp/>
        <stp>BDH|758223169196661920</stp>
        <tr r="F28" s="6"/>
      </tp>
      <tp t="e">
        <v>#N/A</v>
        <stp/>
        <stp>BDH|669759728296223807</stp>
        <tr r="W42" s="21"/>
      </tp>
      <tp t="e">
        <v>#N/A</v>
        <stp/>
        <stp>BDH|113504300656877808</stp>
        <tr r="F18" s="10"/>
        <tr r="H16" s="13"/>
        <tr r="H27" s="13"/>
      </tp>
      <tp t="e">
        <v>#N/A</v>
        <stp/>
        <stp>BDH|861351036029008217</stp>
        <tr r="T6" s="6"/>
      </tp>
      <tp t="e">
        <v>#N/A</v>
        <stp/>
        <stp>BDH|739707879653351873</stp>
        <tr r="G38" s="18"/>
      </tp>
      <tp t="e">
        <v>#N/A</v>
        <stp/>
        <stp>BDH|896308206741157943</stp>
        <tr r="Q53" s="10"/>
        <tr r="Q45" s="11"/>
        <tr r="Q16" s="7"/>
      </tp>
      <tp t="e">
        <v>#N/A</v>
        <stp/>
        <stp>BDH|654553097562736581</stp>
        <tr r="T21" s="3"/>
      </tp>
      <tp t="e">
        <v>#N/A</v>
        <stp/>
        <stp>BDH|605303528833597906</stp>
        <tr r="L42" s="4"/>
      </tp>
      <tp t="e">
        <v>#N/A</v>
        <stp/>
        <stp>BDH|103280695285115567</stp>
        <tr r="U28" s="34"/>
      </tp>
      <tp t="e">
        <v>#N/A</v>
        <stp/>
        <stp>BDH|340947133779159818</stp>
        <tr r="N12" s="11"/>
      </tp>
      <tp t="e">
        <v>#N/A</v>
        <stp/>
        <stp>BDH|832795624888431650</stp>
        <tr r="I9" s="21"/>
      </tp>
      <tp t="e">
        <v>#N/A</v>
        <stp/>
        <stp>BDH|564504395831480600</stp>
        <tr r="P107" s="18"/>
      </tp>
      <tp t="e">
        <v>#N/A</v>
        <stp/>
        <stp>BDH|653934800485535747</stp>
        <tr r="I49" s="4"/>
      </tp>
      <tp t="e">
        <v>#N/A</v>
        <stp/>
        <stp>BDH|378942130845627458</stp>
        <tr r="U74" s="12"/>
      </tp>
      <tp t="e">
        <v>#N/A</v>
        <stp/>
        <stp>BDH|548361792294772538</stp>
        <tr r="L17" s="24"/>
      </tp>
      <tp t="e">
        <v>#N/A</v>
        <stp/>
        <stp>BDH|268964926327477736</stp>
        <tr r="D12" s="3"/>
      </tp>
      <tp t="e">
        <v>#N/A</v>
        <stp/>
        <stp>BDH|717977593723644802</stp>
        <tr r="X68" s="18"/>
      </tp>
      <tp t="e">
        <v>#N/A</v>
        <stp/>
        <stp>BDH|506462560910357964</stp>
        <tr r="O36" s="10"/>
        <tr r="O48" s="10"/>
        <tr r="O28" s="11"/>
        <tr r="O40" s="11"/>
      </tp>
      <tp t="e">
        <v>#N/A</v>
        <stp/>
        <stp>BDH|334141864939697531</stp>
        <tr r="N112" s="18"/>
      </tp>
      <tp t="e">
        <v>#N/A</v>
        <stp/>
        <stp>BDH|607330584115585538</stp>
        <tr r="F44" s="13"/>
      </tp>
      <tp t="e">
        <v>#N/A</v>
        <stp/>
        <stp>BDH|286355688762955218</stp>
        <tr r="P27" s="14"/>
      </tp>
      <tp t="e">
        <v>#N/A</v>
        <stp/>
        <stp>BDH|908918658587261021</stp>
        <tr r="F33" s="10"/>
        <tr r="F25" s="11"/>
      </tp>
      <tp t="e">
        <v>#N/A</v>
        <stp/>
        <stp>BDH|335130930878113111</stp>
        <tr r="K18" s="5"/>
        <tr r="K41" s="6"/>
      </tp>
      <tp t="e">
        <v>#N/A</v>
        <stp/>
        <stp>BDH|910286751969965590</stp>
        <tr r="K24" s="13"/>
      </tp>
      <tp t="e">
        <v>#N/A</v>
        <stp/>
        <stp>BDH|553159421459915181</stp>
        <tr r="X11" s="24"/>
      </tp>
      <tp t="e">
        <v>#N/A</v>
        <stp/>
        <stp>BDH|478816717424006628</stp>
        <tr r="X139" s="18"/>
      </tp>
      <tp t="e">
        <v>#N/A</v>
        <stp/>
        <stp>BDH|239148549377765989</stp>
        <tr r="X55" s="13"/>
      </tp>
      <tp t="e">
        <v>#N/A</v>
        <stp/>
        <stp>BDH|146345346979444567</stp>
        <tr r="V14" s="4"/>
      </tp>
      <tp t="e">
        <v>#N/A</v>
        <stp/>
        <stp>BDH|832110860805941914</stp>
        <tr r="D86" s="17"/>
      </tp>
      <tp t="e">
        <v>#N/A</v>
        <stp/>
        <stp>BDH|330403536295037948</stp>
        <tr r="T29" s="18"/>
      </tp>
      <tp t="e">
        <v>#N/A</v>
        <stp/>
        <stp>BDH|796280126619825235</stp>
        <tr r="W18" s="18"/>
      </tp>
      <tp t="e">
        <v>#N/A</v>
        <stp/>
        <stp>BDH|300601311394987882</stp>
        <tr r="S46" s="21"/>
      </tp>
      <tp t="e">
        <v>#N/A</v>
        <stp/>
        <stp>BDH|200418513078082639</stp>
        <tr r="O20" s="5"/>
      </tp>
      <tp t="e">
        <v>#N/A</v>
        <stp/>
        <stp>BDH|497892225817984627</stp>
        <tr r="AA9" s="26"/>
      </tp>
      <tp t="e">
        <v>#N/A</v>
        <stp/>
        <stp>BDH|211456180022408504</stp>
        <tr r="Y53" s="12"/>
      </tp>
      <tp t="e">
        <v>#N/A</v>
        <stp/>
        <stp>BDH|902999725594405429</stp>
        <tr r="F10" s="14"/>
      </tp>
      <tp t="e">
        <v>#N/A</v>
        <stp/>
        <stp>BDH|885260970687348811</stp>
        <tr r="S58" s="13"/>
      </tp>
      <tp t="e">
        <v>#N/A</v>
        <stp/>
        <stp>BDH|903001980146384460</stp>
        <tr r="L30" s="12"/>
      </tp>
      <tp t="e">
        <v>#N/A</v>
        <stp/>
        <stp>BDH|819572934944412834</stp>
        <tr r="J58" s="17"/>
      </tp>
      <tp t="e">
        <v>#N/A</v>
        <stp/>
        <stp>BDH|506266035263812821</stp>
        <tr r="Q38" s="26"/>
      </tp>
      <tp t="e">
        <v>#N/A</v>
        <stp/>
        <stp>BDH|681036999483107008</stp>
        <tr r="N31" s="29"/>
      </tp>
      <tp t="e">
        <v>#N/A</v>
        <stp/>
        <stp>BDH|423370068656524909</stp>
        <tr r="X11" s="7"/>
      </tp>
      <tp t="e">
        <v>#N/A</v>
        <stp/>
        <stp>BDH|571097833219977086</stp>
        <tr r="X26" s="29"/>
      </tp>
      <tp t="e">
        <v>#N/A</v>
        <stp/>
        <stp>BDH|613843021656549680</stp>
        <tr r="E43" s="22"/>
      </tp>
      <tp t="e">
        <v>#N/A</v>
        <stp/>
        <stp>BDH|203168844679708686</stp>
        <tr r="V16" s="21"/>
      </tp>
      <tp t="e">
        <v>#N/A</v>
        <stp/>
        <stp>BDH|839052393190283337</stp>
        <tr r="S69" s="10"/>
      </tp>
      <tp t="e">
        <v>#N/A</v>
        <stp/>
        <stp>BDH|212495386544383215</stp>
        <tr r="L67" s="24"/>
      </tp>
      <tp t="e">
        <v>#N/A</v>
        <stp/>
        <stp>BDH|650818539463268232</stp>
        <tr r="X39" s="4"/>
        <tr r="X66" s="10"/>
      </tp>
      <tp t="e">
        <v>#N/A</v>
        <stp/>
        <stp>BDH|441784983777423248</stp>
        <tr r="L10" s="22"/>
      </tp>
      <tp t="e">
        <v>#N/A</v>
        <stp/>
        <stp>BDH|821159390094083624</stp>
        <tr r="V14" s="22"/>
      </tp>
      <tp t="e">
        <v>#N/A</v>
        <stp/>
        <stp>BDH|197524094072643491</stp>
        <tr r="Q32" s="26"/>
      </tp>
      <tp t="e">
        <v>#N/A</v>
        <stp/>
        <stp>BDH|168584062271103831</stp>
        <tr r="O13" s="2"/>
      </tp>
      <tp t="e">
        <v>#N/A</v>
        <stp/>
        <stp>BDH|129629405944965862</stp>
        <tr r="K53" s="10"/>
        <tr r="K45" s="11"/>
        <tr r="K16" s="7"/>
      </tp>
      <tp t="e">
        <v>#N/A</v>
        <stp/>
        <stp>BDH|608611769628547224</stp>
        <tr r="C52" s="6"/>
        <tr r="E9" s="8"/>
      </tp>
      <tp t="e">
        <v>#N/A</v>
        <stp/>
        <stp>BDH|768176127959643088</stp>
        <tr r="E43" s="18"/>
      </tp>
      <tp t="e">
        <v>#N/A</v>
        <stp/>
        <stp>BDH|896981485838693392</stp>
        <tr r="J92" s="18"/>
      </tp>
      <tp t="e">
        <v>#N/A</v>
        <stp/>
        <stp>BDH|468227973258938768</stp>
        <tr r="L86" s="24"/>
      </tp>
      <tp t="e">
        <v>#N/A</v>
        <stp/>
        <stp>BDH|785575988047147037</stp>
        <tr r="I83" s="17"/>
      </tp>
      <tp t="e">
        <v>#N/A</v>
        <stp/>
        <stp>BDH|325694118284884908</stp>
        <tr r="M61" s="21"/>
      </tp>
      <tp t="e">
        <v>#N/A</v>
        <stp/>
        <stp>BDH|462329378169758722</stp>
        <tr r="E49" s="22"/>
      </tp>
      <tp t="e">
        <v>#N/A</v>
        <stp/>
        <stp>BDH|388682813699569469</stp>
        <tr r="U112" s="18"/>
      </tp>
      <tp t="e">
        <v>#N/A</v>
        <stp/>
        <stp>BDH|267809513650702322</stp>
        <tr r="L9" s="26"/>
      </tp>
      <tp t="e">
        <v>#N/A</v>
        <stp/>
        <stp>BDH|610122727128485139</stp>
        <tr r="J13" s="2"/>
      </tp>
      <tp t="e">
        <v>#N/A</v>
        <stp/>
        <stp>BDH|419661498506723397</stp>
        <tr r="W46" s="21"/>
      </tp>
      <tp t="e">
        <v>#N/A</v>
        <stp/>
        <stp>BDH|437842073340451530</stp>
        <tr r="F22" s="21"/>
      </tp>
      <tp t="e">
        <v>#N/A</v>
        <stp/>
        <stp>BDH|611961925419012809</stp>
        <tr r="E20" s="12"/>
      </tp>
      <tp t="e">
        <v>#N/A</v>
        <stp/>
        <stp>BDH|705569698991471784</stp>
        <tr r="T66" s="18"/>
      </tp>
      <tp t="e">
        <v>#N/A</v>
        <stp/>
        <stp>BDH|996898746254685260</stp>
        <tr r="J76" s="12"/>
      </tp>
      <tp t="e">
        <v>#N/A</v>
        <stp/>
        <stp>BDH|580653142380273869</stp>
        <tr r="L72" s="12"/>
      </tp>
      <tp t="e">
        <v>#N/A</v>
        <stp/>
        <stp>BDH|432838026484214458</stp>
        <tr r="J34" s="29"/>
      </tp>
      <tp t="e">
        <v>#N/A</v>
        <stp/>
        <stp>BDH|167377992371496173</stp>
        <tr r="Y8" s="34"/>
      </tp>
      <tp t="e">
        <v>#N/A</v>
        <stp/>
        <stp>BDH|779078442579776722</stp>
        <tr r="V16" s="14"/>
      </tp>
      <tp t="e">
        <v>#N/A</v>
        <stp/>
        <stp>BDH|814572217617858973</stp>
        <tr r="M21" s="5"/>
      </tp>
      <tp t="e">
        <v>#N/A</v>
        <stp/>
        <stp>BDH|402174465164867992</stp>
        <tr r="X31" s="29"/>
      </tp>
      <tp t="e">
        <v>#N/A</v>
        <stp/>
        <stp>BDH|946512448428264329</stp>
        <tr r="R48" s="21"/>
      </tp>
      <tp t="e">
        <v>#N/A</v>
        <stp/>
        <stp>BDH|749676760369858384</stp>
        <tr r="C11" s="24"/>
      </tp>
      <tp t="e">
        <v>#N/A</v>
        <stp/>
        <stp>BDH|387313379847311983</stp>
        <tr r="I9" s="18"/>
      </tp>
      <tp t="e">
        <v>#N/A</v>
        <stp/>
        <stp>BDH|413108973085799918</stp>
        <tr r="X105" s="18"/>
      </tp>
      <tp t="e">
        <v>#N/A</v>
        <stp/>
        <stp>BDH|418978241977208014</stp>
        <tr r="C79" s="24"/>
      </tp>
      <tp t="e">
        <v>#N/A</v>
        <stp/>
        <stp>BDH|448963240395590252</stp>
        <tr r="R34" s="34"/>
      </tp>
      <tp t="e">
        <v>#N/A</v>
        <stp/>
        <stp>BDH|130853156524892381</stp>
        <tr r="M10" s="18"/>
      </tp>
      <tp t="e">
        <v>#N/A</v>
        <stp/>
        <stp>BDH|475542351803290913</stp>
        <tr r="F43" s="6"/>
      </tp>
      <tp t="e">
        <v>#N/A</v>
        <stp/>
        <stp>BDH|546634977972161935</stp>
        <tr r="H28" s="10"/>
        <tr r="J34" s="13"/>
      </tp>
      <tp t="e">
        <v>#N/A</v>
        <stp/>
        <stp>BDH|858333631668078297</stp>
        <tr r="X16" s="24"/>
      </tp>
      <tp t="e">
        <v>#N/A</v>
        <stp/>
        <stp>BDH|538370481134820581</stp>
        <tr r="T62" s="21"/>
      </tp>
      <tp t="e">
        <v>#N/A</v>
        <stp/>
        <stp>BDH|887409552628795</stp>
        <tr r="L34" s="2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workbookViewId="0">
      <selection activeCell="A2" sqref="A2"/>
    </sheetView>
  </sheetViews>
  <sheetFormatPr defaultRowHeight="15" x14ac:dyDescent="0.25"/>
  <cols>
    <col min="1" max="1" width="23.57031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8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60</v>
      </c>
      <c r="B6" s="6" t="s">
        <v>61</v>
      </c>
      <c r="C6" s="19">
        <f>_xll.BDH("NBIX US Equity","HISTORICAL_MARKET_CAP","FQ2 2019","FQ2 2019","Currency=USD","Period=FQ","BEST_FPERIOD_OVERRIDE=FQ","FILING_STATUS=MR","SCALING_FORMAT=MLN","Sort=A","Dates=H","DateFormat=P","Fill=—","Direction=H","UseDPDF=Y")</f>
        <v>7728.3845000000001</v>
      </c>
      <c r="D6" s="19">
        <f>_xll.BDH("NBIX US Equity","HISTORICAL_MARKET_CAP","FQ3 2019","FQ3 2019","Currency=USD","Period=FQ","BEST_FPERIOD_OVERRIDE=FQ","FILING_STATUS=MR","SCALING_FORMAT=MLN","Sort=A","Dates=H","DateFormat=P","Fill=—","Direction=H","UseDPDF=Y")</f>
        <v>8297.3287999999993</v>
      </c>
      <c r="E6" s="19">
        <f>_xll.BDH("NBIX US Equity","HISTORICAL_MARKET_CAP","FQ4 2019","FQ4 2019","Currency=USD","Period=FQ","BEST_FPERIOD_OVERRIDE=FQ","FILING_STATUS=MR","SCALING_FORMAT=MLN","Sort=A","Dates=H","DateFormat=P","Fill=—","Direction=H","UseDPDF=Y")</f>
        <v>9921.3269999999993</v>
      </c>
      <c r="F6" s="19">
        <f>_xll.BDH("NBIX US Equity","HISTORICAL_MARKET_CAP","FQ1 2020","FQ1 2020","Currency=USD","Period=FQ","BEST_FPERIOD_OVERRIDE=FQ","FILING_STATUS=MR","SCALING_FORMAT=MLN","Sort=A","Dates=H","DateFormat=P","Fill=—","Direction=H","UseDPDF=Y")</f>
        <v>8031.84</v>
      </c>
      <c r="G6" s="19">
        <f>_xll.BDH("NBIX US Equity","HISTORICAL_MARKET_CAP","FQ2 2020","FQ2 2020","Currency=USD","Period=FQ","BEST_FPERIOD_OVERRIDE=FQ","FILING_STATUS=MR","SCALING_FORMAT=MLN","Sort=A","Dates=H","DateFormat=P","Fill=—","Direction=H","UseDPDF=Y")</f>
        <v>11370.4</v>
      </c>
      <c r="H6" s="19">
        <f>_xll.BDH("NBIX US Equity","HISTORICAL_MARKET_CAP","FQ3 2020","FQ3 2020","Currency=USD","Period=FQ","BEST_FPERIOD_OVERRIDE=FQ","FILING_STATUS=MR","SCALING_FORMAT=MLN","Sort=A","Dates=H","DateFormat=P","Fill=—","Direction=H","UseDPDF=Y")</f>
        <v>8981.3439999999991</v>
      </c>
      <c r="I6" s="19">
        <f>_xll.BDH("NBIX US Equity","HISTORICAL_MARKET_CAP","FQ4 2020","FQ4 2020","Currency=USD","Period=FQ","BEST_FPERIOD_OVERRIDE=FQ","FILING_STATUS=MR","SCALING_FORMAT=MLN","Sort=A","Dates=H","DateFormat=P","Fill=—","Direction=H","UseDPDF=Y")</f>
        <v>8961.9750000000004</v>
      </c>
      <c r="J6" s="19">
        <f>_xll.BDH("NBIX US Equity","HISTORICAL_MARKET_CAP","FQ1 2021","FQ1 2021","Currency=USD","Period=FQ","BEST_FPERIOD_OVERRIDE=FQ","FILING_STATUS=MR","SCALING_FORMAT=MLN","Sort=A","Dates=H","DateFormat=P","Fill=—","Direction=H","UseDPDF=Y")</f>
        <v>9190.125</v>
      </c>
      <c r="K6" s="19">
        <f>_xll.BDH("NBIX US Equity","HISTORICAL_MARKET_CAP","FQ2 2021","FQ2 2021","Currency=USD","Period=FQ","BEST_FPERIOD_OVERRIDE=FQ","FILING_STATUS=MR","SCALING_FORMAT=MLN","Sort=A","Dates=H","DateFormat=P","Fill=—","Direction=H","UseDPDF=Y")</f>
        <v>9206.4719999999998</v>
      </c>
      <c r="L6" s="19">
        <f>_xll.BDH("NBIX US Equity","HISTORICAL_MARKET_CAP","FQ3 2021","FQ3 2021","Currency=USD","Period=FQ","BEST_FPERIOD_OVERRIDE=FQ","FILING_STATUS=MR","SCALING_FORMAT=MLN","Sort=A","Dates=H","DateFormat=P","Fill=—","Direction=H","UseDPDF=Y")</f>
        <v>9092.268</v>
      </c>
      <c r="M6" s="19">
        <f>_xll.BDH("NBIX US Equity","HISTORICAL_MARKET_CAP","FQ4 2021","FQ4 2021","Currency=USD","Period=FQ","BEST_FPERIOD_OVERRIDE=FQ","FILING_STATUS=MR","SCALING_FORMAT=MLN","Sort=A","Dates=H","DateFormat=P","Fill=—","Direction=H","UseDPDF=Y")</f>
        <v>8082.6329999999998</v>
      </c>
      <c r="N6" s="19">
        <f>_xll.BDH("NBIX US Equity","HISTORICAL_MARKET_CAP","FQ1 2022","FQ1 2022","Currency=USD","Period=FQ","BEST_FPERIOD_OVERRIDE=FQ","FILING_STATUS=MR","SCALING_FORMAT=MLN","Sort=A","Dates=H","DateFormat=P","Fill=—","Direction=H","UseDPDF=Y")</f>
        <v>8953.125</v>
      </c>
      <c r="O6" s="19">
        <f>_xll.BDH("NBIX US Equity","HISTORICAL_MARKET_CAP","FQ2 2022","FQ2 2022","Currency=USD","Period=FQ","BEST_FPERIOD_OVERRIDE=FQ","FILING_STATUS=MR","SCALING_FORMAT=MLN","Sort=A","Dates=H","DateFormat=P","Fill=—","Direction=H","UseDPDF=Y")</f>
        <v>9319.0879999999997</v>
      </c>
      <c r="P6" s="19">
        <f>_xll.BDH("NBIX US Equity","HISTORICAL_MARKET_CAP","FQ3 2022","FQ3 2022","Currency=USD","Period=FQ","BEST_FPERIOD_OVERRIDE=FQ","FILING_STATUS=MR","SCALING_FORMAT=MLN","Sort=A","Dates=H","DateFormat=P","Fill=—","Direction=H","UseDPDF=Y")</f>
        <v>10206.781000000001</v>
      </c>
      <c r="Q6" s="19">
        <f>_xll.BDH("NBIX US Equity","HISTORICAL_MARKET_CAP","FQ4 2022","FQ4 2022","Currency=USD","Period=FQ","BEST_FPERIOD_OVERRIDE=FQ","FILING_STATUS=MR","SCALING_FORMAT=MLN","Sort=A","Dates=H","DateFormat=P","Fill=—","Direction=H","UseDPDF=Y")</f>
        <v>11525.96</v>
      </c>
      <c r="R6" s="19">
        <f>_xll.BDH("NBIX US Equity","HISTORICAL_MARKET_CAP","FQ1 2023","FQ1 2023","Currency=USD","Period=FQ","BEST_FPERIOD_OVERRIDE=FQ","FILING_STATUS=MR","SCALING_FORMAT=MLN","Sort=A","Dates=H","DateFormat=P","Fill=—","Direction=H","UseDPDF=Y")</f>
        <v>9868.9500000000007</v>
      </c>
      <c r="S6" s="19">
        <f>_xll.BDH("NBIX US Equity","HISTORICAL_MARKET_CAP","FQ2 2023","FQ2 2023","Currency=USD","Period=FQ","BEST_FPERIOD_OVERRIDE=FQ","FILING_STATUS=MR","SCALING_FORMAT=MLN","Sort=A","Dates=H","DateFormat=P","Fill=—","Direction=H","UseDPDF=Y")</f>
        <v>9203.68</v>
      </c>
      <c r="T6" s="19">
        <f>_xll.BDH("NBIX US Equity","HISTORICAL_MARKET_CAP","FQ3 2023","FQ3 2023","Currency=USD","Period=FQ","BEST_FPERIOD_OVERRIDE=FQ","FILING_STATUS=MR","SCALING_FORMAT=MLN","Sort=A","Dates=H","DateFormat=P","Fill=—","Direction=H","UseDPDF=Y")</f>
        <v>11047.5</v>
      </c>
      <c r="U6" s="19">
        <f>_xll.BDH("NBIX US Equity","HISTORICAL_MARKET_CAP","FQ4 2023","FQ4 2023","Currency=USD","Period=FQ","BEST_FPERIOD_OVERRIDE=FQ","FILING_STATUS=MR","SCALING_FORMAT=MLN","Sort=A","Dates=H","DateFormat=P","Fill=—","Direction=H","UseDPDF=Y")</f>
        <v>13004.712</v>
      </c>
      <c r="V6" s="19">
        <f>_xll.BDH("NBIX US Equity","HISTORICAL_MARKET_CAP","FQ1 2024","FQ1 2024","Currency=USD","Period=FQ","BEST_FPERIOD_OVERRIDE=FQ","FILING_STATUS=MR","SCALING_FORMAT=MLN","Sort=A","Dates=H","DateFormat=P","Fill=—","Direction=H","UseDPDF=Y")</f>
        <v>13874.752</v>
      </c>
      <c r="W6" s="19">
        <f>_xll.BDH("NBIX US Equity","HISTORICAL_MARKET_CAP","FQ2 2024","FQ2 2024","Currency=USD","Period=FQ","BEST_FPERIOD_OVERRIDE=FQ","FILING_STATUS=MR","SCALING_FORMAT=MLN","Sort=A","Dates=H","DateFormat=P","Fill=—","Direction=H","UseDPDF=Y")</f>
        <v>13890.903</v>
      </c>
      <c r="X6" s="19">
        <f>_xll.BDH("NBIX US Equity","HISTORICAL_MARKET_CAP","FQ3 2024","FQ3 2024","Currency=USD","Period=FQ","BEST_FPERIOD_OVERRIDE=FQ","FILING_STATUS=MR","SCALING_FORMAT=MLN","Sort=A","Dates=H","DateFormat=P","Fill=—","Direction=H","UseDPDF=Y")</f>
        <v>11660.263999999999</v>
      </c>
      <c r="Y6" s="19">
        <f>_xll.BDH("NBIX US Equity","HISTORICAL_MARKET_CAP","FQ4 2024","FQ4 2024","Currency=USD","Period=FQ","BEST_FPERIOD_OVERRIDE=FQ","FILING_STATUS=MR","SCALING_FORMAT=MLN","Sort=A","Dates=H","DateFormat=P","Fill=—","Direction=H","UseDPDF=Y")</f>
        <v>13568.1</v>
      </c>
      <c r="Z6" s="19"/>
      <c r="AA6" s="19"/>
    </row>
    <row r="7" spans="1:27" x14ac:dyDescent="0.25">
      <c r="A7" s="10" t="s">
        <v>62</v>
      </c>
      <c r="B7" s="10" t="s">
        <v>63</v>
      </c>
      <c r="C7" s="13">
        <f>_xll.BDH("NBIX US Equity","CASH_AND_MARKETABLE_SECURITIES","FQ2 2019","FQ2 2019","Currency=USD","Period=FQ","BEST_FPERIOD_OVERRIDE=FQ","FILING_STATUS=MR","SCALING_FORMAT=MLN","Sort=A","Dates=H","DateFormat=P","Fill=—","Direction=H","UseDPDF=Y")</f>
        <v>619.97799999999995</v>
      </c>
      <c r="D7" s="13">
        <f>_xll.BDH("NBIX US Equity","CASH_AND_MARKETABLE_SECURITIES","FQ3 2019","FQ3 2019","Currency=USD","Period=FQ","BEST_FPERIOD_OVERRIDE=FQ","FILING_STATUS=MR","SCALING_FORMAT=MLN","Sort=A","Dates=H","DateFormat=P","Fill=—","Direction=H","UseDPDF=Y")</f>
        <v>670.16200000000003</v>
      </c>
      <c r="E7" s="13">
        <f>_xll.BDH("NBIX US Equity","CASH_AND_MARKETABLE_SECURITIES","FQ4 2019","FQ4 2019","Currency=USD","Period=FQ","BEST_FPERIOD_OVERRIDE=FQ","FILING_STATUS=MR","SCALING_FORMAT=MLN","Sort=A","Dates=H","DateFormat=P","Fill=—","Direction=H","UseDPDF=Y")</f>
        <v>670.5</v>
      </c>
      <c r="F7" s="13">
        <f>_xll.BDH("NBIX US Equity","CASH_AND_MARKETABLE_SECURITIES","FQ1 2020","FQ1 2020","Currency=USD","Period=FQ","BEST_FPERIOD_OVERRIDE=FQ","FILING_STATUS=MR","SCALING_FORMAT=MLN","Sort=A","Dates=H","DateFormat=P","Fill=—","Direction=H","UseDPDF=Y")</f>
        <v>771.7</v>
      </c>
      <c r="G7" s="13">
        <f>_xll.BDH("NBIX US Equity","CASH_AND_MARKETABLE_SECURITIES","FQ2 2020","FQ2 2020","Currency=USD","Period=FQ","BEST_FPERIOD_OVERRIDE=FQ","FILING_STATUS=MR","SCALING_FORMAT=MLN","Sort=A","Dates=H","DateFormat=P","Fill=—","Direction=H","UseDPDF=Y")</f>
        <v>948.3</v>
      </c>
      <c r="H7" s="13">
        <f>_xll.BDH("NBIX US Equity","CASH_AND_MARKETABLE_SECURITIES","FQ3 2020","FQ3 2020","Currency=USD","Period=FQ","BEST_FPERIOD_OVERRIDE=FQ","FILING_STATUS=MR","SCALING_FORMAT=MLN","Sort=A","Dates=H","DateFormat=P","Fill=—","Direction=H","UseDPDF=Y")</f>
        <v>944.7</v>
      </c>
      <c r="I7" s="13">
        <f>_xll.BDH("NBIX US Equity","CASH_AND_MARKETABLE_SECURITIES","FQ4 2020","FQ4 2020","Currency=USD","Period=FQ","BEST_FPERIOD_OVERRIDE=FQ","FILING_STATUS=MR","SCALING_FORMAT=MLN","Sort=A","Dates=H","DateFormat=P","Fill=—","Direction=H","UseDPDF=Y")</f>
        <v>801</v>
      </c>
      <c r="J7" s="13">
        <f>_xll.BDH("NBIX US Equity","CASH_AND_MARKETABLE_SECURITIES","FQ1 2021","FQ1 2021","Currency=USD","Period=FQ","BEST_FPERIOD_OVERRIDE=FQ","FILING_STATUS=MR","SCALING_FORMAT=MLN","Sort=A","Dates=H","DateFormat=P","Fill=—","Direction=H","UseDPDF=Y")</f>
        <v>873.7</v>
      </c>
      <c r="K7" s="13">
        <f>_xll.BDH("NBIX US Equity","CASH_AND_MARKETABLE_SECURITIES","FQ2 2021","FQ2 2021","Currency=USD","Period=FQ","BEST_FPERIOD_OVERRIDE=FQ","FILING_STATUS=MR","SCALING_FORMAT=MLN","Sort=A","Dates=H","DateFormat=P","Fill=—","Direction=H","UseDPDF=Y")</f>
        <v>884.9</v>
      </c>
      <c r="L7" s="13">
        <f>_xll.BDH("NBIX US Equity","CASH_AND_MARKETABLE_SECURITIES","FQ3 2021","FQ3 2021","Currency=USD","Period=FQ","BEST_FPERIOD_OVERRIDE=FQ","FILING_STATUS=MR","SCALING_FORMAT=MLN","Sort=A","Dates=H","DateFormat=P","Fill=—","Direction=H","UseDPDF=Y")</f>
        <v>765.9</v>
      </c>
      <c r="M7" s="13">
        <f>_xll.BDH("NBIX US Equity","CASH_AND_MARKETABLE_SECURITIES","FQ4 2021","FQ4 2021","Currency=USD","Period=FQ","BEST_FPERIOD_OVERRIDE=FQ","FILING_STATUS=MR","SCALING_FORMAT=MLN","Sort=A","Dates=H","DateFormat=P","Fill=—","Direction=H","UseDPDF=Y")</f>
        <v>711.3</v>
      </c>
      <c r="N7" s="13">
        <f>_xll.BDH("NBIX US Equity","CASH_AND_MARKETABLE_SECURITIES","FQ1 2022","FQ1 2022","Currency=USD","Period=FQ","BEST_FPERIOD_OVERRIDE=FQ","FILING_STATUS=MR","SCALING_FORMAT=MLN","Sort=A","Dates=H","DateFormat=P","Fill=—","Direction=H","UseDPDF=Y")</f>
        <v>664.9</v>
      </c>
      <c r="O7" s="13">
        <f>_xll.BDH("NBIX US Equity","CASH_AND_MARKETABLE_SECURITIES","FQ2 2022","FQ2 2022","Currency=USD","Period=FQ","BEST_FPERIOD_OVERRIDE=FQ","FILING_STATUS=MR","SCALING_FORMAT=MLN","Sort=A","Dates=H","DateFormat=P","Fill=—","Direction=H","UseDPDF=Y")</f>
        <v>648.29999999999995</v>
      </c>
      <c r="P7" s="13">
        <f>_xll.BDH("NBIX US Equity","CASH_AND_MARKETABLE_SECURITIES","FQ3 2022","FQ3 2022","Currency=USD","Period=FQ","BEST_FPERIOD_OVERRIDE=FQ","FILING_STATUS=MR","SCALING_FORMAT=MLN","Sort=A","Dates=H","DateFormat=P","Fill=—","Direction=H","UseDPDF=Y")</f>
        <v>799.4</v>
      </c>
      <c r="Q7" s="13">
        <f>_xll.BDH("NBIX US Equity","CASH_AND_MARKETABLE_SECURITIES","FQ4 2022","FQ4 2022","Currency=USD","Period=FQ","BEST_FPERIOD_OVERRIDE=FQ","FILING_STATUS=MR","SCALING_FORMAT=MLN","Sort=A","Dates=H","DateFormat=P","Fill=—","Direction=H","UseDPDF=Y")</f>
        <v>989.3</v>
      </c>
      <c r="R7" s="13">
        <f>_xll.BDH("NBIX US Equity","CASH_AND_MARKETABLE_SECURITIES","FQ1 2023","FQ1 2023","Currency=USD","Period=FQ","BEST_FPERIOD_OVERRIDE=FQ","FILING_STATUS=MR","SCALING_FORMAT=MLN","Sort=A","Dates=H","DateFormat=P","Fill=—","Direction=H","UseDPDF=Y")</f>
        <v>894.6</v>
      </c>
      <c r="S7" s="13">
        <f>_xll.BDH("NBIX US Equity","CASH_AND_MARKETABLE_SECURITIES","FQ2 2023","FQ2 2023","Currency=USD","Period=FQ","BEST_FPERIOD_OVERRIDE=FQ","FILING_STATUS=MR","SCALING_FORMAT=MLN","Sort=A","Dates=H","DateFormat=P","Fill=—","Direction=H","UseDPDF=Y")</f>
        <v>976.7</v>
      </c>
      <c r="T7" s="13">
        <f>_xll.BDH("NBIX US Equity","CASH_AND_MARKETABLE_SECURITIES","FQ3 2023","FQ3 2023","Currency=USD","Period=FQ","BEST_FPERIOD_OVERRIDE=FQ","FILING_STATUS=MR","SCALING_FORMAT=MLN","Sort=A","Dates=H","DateFormat=P","Fill=—","Direction=H","UseDPDF=Y")</f>
        <v>1095.0999999999999</v>
      </c>
      <c r="U7" s="13">
        <f>_xll.BDH("NBIX US Equity","CASH_AND_MARKETABLE_SECURITIES","FQ4 2023","FQ4 2023","Currency=USD","Period=FQ","BEST_FPERIOD_OVERRIDE=FQ","FILING_STATUS=MR","SCALING_FORMAT=MLN","Sort=A","Dates=H","DateFormat=P","Fill=—","Direction=H","UseDPDF=Y")</f>
        <v>1031.5999999999999</v>
      </c>
      <c r="V7" s="13">
        <f>_xll.BDH("NBIX US Equity","CASH_AND_MARKETABLE_SECURITIES","FQ1 2024","FQ1 2024","Currency=USD","Period=FQ","BEST_FPERIOD_OVERRIDE=FQ","FILING_STATUS=MR","SCALING_FORMAT=MLN","Sort=A","Dates=H","DateFormat=P","Fill=—","Direction=H","UseDPDF=Y")</f>
        <v>1210.5999999999999</v>
      </c>
      <c r="W7" s="13">
        <f>_xll.BDH("NBIX US Equity","CASH_AND_MARKETABLE_SECURITIES","FQ2 2024","FQ2 2024","Currency=USD","Period=FQ","BEST_FPERIOD_OVERRIDE=FQ","FILING_STATUS=MR","SCALING_FORMAT=MLN","Sort=A","Dates=H","DateFormat=P","Fill=—","Direction=H","UseDPDF=Y")</f>
        <v>1038.9000000000001</v>
      </c>
      <c r="X7" s="13">
        <f>_xll.BDH("NBIX US Equity","CASH_AND_MARKETABLE_SECURITIES","FQ3 2024","FQ3 2024","Currency=USD","Period=FQ","BEST_FPERIOD_OVERRIDE=FQ","FILING_STATUS=MR","SCALING_FORMAT=MLN","Sort=A","Dates=H","DateFormat=P","Fill=—","Direction=H","UseDPDF=Y")</f>
        <v>1228</v>
      </c>
      <c r="Y7" s="13">
        <f>_xll.BDH("NBIX US Equity","CASH_AND_MARKETABLE_SECURITIES","FQ4 2024","FQ4 2024","Currency=USD","Period=FQ","BEST_FPERIOD_OVERRIDE=FQ","FILING_STATUS=MR","SCALING_FORMAT=MLN","Sort=A","Dates=H","DateFormat=P","Fill=—","Direction=H","UseDPDF=Y")</f>
        <v>1076.0999999999999</v>
      </c>
      <c r="Z7" s="13"/>
      <c r="AA7" s="13"/>
    </row>
    <row r="8" spans="1:27" x14ac:dyDescent="0.25">
      <c r="A8" s="10" t="s">
        <v>64</v>
      </c>
      <c r="B8" s="10" t="s">
        <v>65</v>
      </c>
      <c r="C8" s="13">
        <f>_xll.BDH("NBIX US Equity","PFD_EQTY_MINORTY_INTEREST","FQ2 2019","FQ2 2019","Currency=USD","Period=FQ","BEST_FPERIOD_OVERRIDE=FQ","FILING_STATUS=MR","SCALING_FORMAT=MLN","Sort=A","Dates=H","DateFormat=P","Fill=—","Direction=H","UseDPDF=Y")</f>
        <v>0</v>
      </c>
      <c r="D8" s="13">
        <f>_xll.BDH("NBIX US Equity","PFD_EQTY_MINORTY_INTEREST","FQ3 2019","FQ3 2019","Currency=USD","Period=FQ","BEST_FPERIOD_OVERRIDE=FQ","FILING_STATUS=MR","SCALING_FORMAT=MLN","Sort=A","Dates=H","DateFormat=P","Fill=—","Direction=H","UseDPDF=Y")</f>
        <v>0</v>
      </c>
      <c r="E8" s="13">
        <f>_xll.BDH("NBIX US Equity","PFD_EQTY_MINORTY_INTEREST","FQ4 2019","FQ4 2019","Currency=USD","Period=FQ","BEST_FPERIOD_OVERRIDE=FQ","FILING_STATUS=MR","SCALING_FORMAT=MLN","Sort=A","Dates=H","DateFormat=P","Fill=—","Direction=H","UseDPDF=Y")</f>
        <v>0</v>
      </c>
      <c r="F8" s="13">
        <f>_xll.BDH("NBIX US Equity","PFD_EQTY_MINORTY_INTEREST","FQ1 2020","FQ1 2020","Currency=USD","Period=FQ","BEST_FPERIOD_OVERRIDE=FQ","FILING_STATUS=MR","SCALING_FORMAT=MLN","Sort=A","Dates=H","DateFormat=P","Fill=—","Direction=H","UseDPDF=Y")</f>
        <v>0</v>
      </c>
      <c r="G8" s="13">
        <f>_xll.BDH("NBIX US Equity","PFD_EQTY_MINORTY_INTEREST","FQ2 2020","FQ2 2020","Currency=USD","Period=FQ","BEST_FPERIOD_OVERRIDE=FQ","FILING_STATUS=MR","SCALING_FORMAT=MLN","Sort=A","Dates=H","DateFormat=P","Fill=—","Direction=H","UseDPDF=Y")</f>
        <v>0</v>
      </c>
      <c r="H8" s="13">
        <f>_xll.BDH("NBIX US Equity","PFD_EQTY_MINORTY_INTEREST","FQ3 2020","FQ3 2020","Currency=USD","Period=FQ","BEST_FPERIOD_OVERRIDE=FQ","FILING_STATUS=MR","SCALING_FORMAT=MLN","Sort=A","Dates=H","DateFormat=P","Fill=—","Direction=H","UseDPDF=Y")</f>
        <v>0</v>
      </c>
      <c r="I8" s="13">
        <f>_xll.BDH("NBIX US Equity","PFD_EQTY_MINORTY_INTEREST","FQ4 2020","FQ4 2020","Currency=USD","Period=FQ","BEST_FPERIOD_OVERRIDE=FQ","FILING_STATUS=MR","SCALING_FORMAT=MLN","Sort=A","Dates=H","DateFormat=P","Fill=—","Direction=H","UseDPDF=Y")</f>
        <v>0</v>
      </c>
      <c r="J8" s="13">
        <f>_xll.BDH("NBIX US Equity","PFD_EQTY_MINORTY_INTEREST","FQ1 2021","FQ1 2021","Currency=USD","Period=FQ","BEST_FPERIOD_OVERRIDE=FQ","FILING_STATUS=MR","SCALING_FORMAT=MLN","Sort=A","Dates=H","DateFormat=P","Fill=—","Direction=H","UseDPDF=Y")</f>
        <v>0</v>
      </c>
      <c r="K8" s="13">
        <f>_xll.BDH("NBIX US Equity","PFD_EQTY_MINORTY_INTEREST","FQ2 2021","FQ2 2021","Currency=USD","Period=FQ","BEST_FPERIOD_OVERRIDE=FQ","FILING_STATUS=MR","SCALING_FORMAT=MLN","Sort=A","Dates=H","DateFormat=P","Fill=—","Direction=H","UseDPDF=Y")</f>
        <v>0</v>
      </c>
      <c r="L8" s="13">
        <f>_xll.BDH("NBIX US Equity","PFD_EQTY_MINORTY_INTEREST","FQ3 2021","FQ3 2021","Currency=USD","Period=FQ","BEST_FPERIOD_OVERRIDE=FQ","FILING_STATUS=MR","SCALING_FORMAT=MLN","Sort=A","Dates=H","DateFormat=P","Fill=—","Direction=H","UseDPDF=Y")</f>
        <v>0</v>
      </c>
      <c r="M8" s="13">
        <f>_xll.BDH("NBIX US Equity","PFD_EQTY_MINORTY_INTEREST","FQ4 2021","FQ4 2021","Currency=USD","Period=FQ","BEST_FPERIOD_OVERRIDE=FQ","FILING_STATUS=MR","SCALING_FORMAT=MLN","Sort=A","Dates=H","DateFormat=P","Fill=—","Direction=H","UseDPDF=Y")</f>
        <v>0</v>
      </c>
      <c r="N8" s="13">
        <f>_xll.BDH("NBIX US Equity","PFD_EQTY_MINORTY_INTEREST","FQ1 2022","FQ1 2022","Currency=USD","Period=FQ","BEST_FPERIOD_OVERRIDE=FQ","FILING_STATUS=MR","SCALING_FORMAT=MLN","Sort=A","Dates=H","DateFormat=P","Fill=—","Direction=H","UseDPDF=Y")</f>
        <v>0</v>
      </c>
      <c r="O8" s="13">
        <f>_xll.BDH("NBIX US Equity","PFD_EQTY_MINORTY_INTEREST","FQ2 2022","FQ2 2022","Currency=USD","Period=FQ","BEST_FPERIOD_OVERRIDE=FQ","FILING_STATUS=MR","SCALING_FORMAT=MLN","Sort=A","Dates=H","DateFormat=P","Fill=—","Direction=H","UseDPDF=Y")</f>
        <v>0</v>
      </c>
      <c r="P8" s="13">
        <f>_xll.BDH("NBIX US Equity","PFD_EQTY_MINORTY_INTEREST","FQ3 2022","FQ3 2022","Currency=USD","Period=FQ","BEST_FPERIOD_OVERRIDE=FQ","FILING_STATUS=MR","SCALING_FORMAT=MLN","Sort=A","Dates=H","DateFormat=P","Fill=—","Direction=H","UseDPDF=Y")</f>
        <v>0</v>
      </c>
      <c r="Q8" s="13">
        <f>_xll.BDH("NBIX US Equity","PFD_EQTY_MINORTY_INTEREST","FQ4 2022","FQ4 2022","Currency=USD","Period=FQ","BEST_FPERIOD_OVERRIDE=FQ","FILING_STATUS=MR","SCALING_FORMAT=MLN","Sort=A","Dates=H","DateFormat=P","Fill=—","Direction=H","UseDPDF=Y")</f>
        <v>0</v>
      </c>
      <c r="R8" s="13">
        <f>_xll.BDH("NBIX US Equity","PFD_EQTY_MINORTY_INTEREST","FQ1 2023","FQ1 2023","Currency=USD","Period=FQ","BEST_FPERIOD_OVERRIDE=FQ","FILING_STATUS=MR","SCALING_FORMAT=MLN","Sort=A","Dates=H","DateFormat=P","Fill=—","Direction=H","UseDPDF=Y")</f>
        <v>0</v>
      </c>
      <c r="S8" s="13">
        <f>_xll.BDH("NBIX US Equity","PFD_EQTY_MINORTY_INTEREST","FQ2 2023","FQ2 2023","Currency=USD","Period=FQ","BEST_FPERIOD_OVERRIDE=FQ","FILING_STATUS=MR","SCALING_FORMAT=MLN","Sort=A","Dates=H","DateFormat=P","Fill=—","Direction=H","UseDPDF=Y")</f>
        <v>0</v>
      </c>
      <c r="T8" s="13">
        <f>_xll.BDH("NBIX US Equity","PFD_EQTY_MINORTY_INTEREST","FQ3 2023","FQ3 2023","Currency=USD","Period=FQ","BEST_FPERIOD_OVERRIDE=FQ","FILING_STATUS=MR","SCALING_FORMAT=MLN","Sort=A","Dates=H","DateFormat=P","Fill=—","Direction=H","UseDPDF=Y")</f>
        <v>0</v>
      </c>
      <c r="U8" s="13">
        <f>_xll.BDH("NBIX US Equity","PFD_EQTY_MINORTY_INTEREST","FQ4 2023","FQ4 2023","Currency=USD","Period=FQ","BEST_FPERIOD_OVERRIDE=FQ","FILING_STATUS=MR","SCALING_FORMAT=MLN","Sort=A","Dates=H","DateFormat=P","Fill=—","Direction=H","UseDPDF=Y")</f>
        <v>0</v>
      </c>
      <c r="V8" s="13">
        <f>_xll.BDH("NBIX US Equity","PFD_EQTY_MINORTY_INTEREST","FQ1 2024","FQ1 2024","Currency=USD","Period=FQ","BEST_FPERIOD_OVERRIDE=FQ","FILING_STATUS=MR","SCALING_FORMAT=MLN","Sort=A","Dates=H","DateFormat=P","Fill=—","Direction=H","UseDPDF=Y")</f>
        <v>0</v>
      </c>
      <c r="W8" s="13">
        <f>_xll.BDH("NBIX US Equity","PFD_EQTY_MINORTY_INTEREST","FQ2 2024","FQ2 2024","Currency=USD","Period=FQ","BEST_FPERIOD_OVERRIDE=FQ","FILING_STATUS=MR","SCALING_FORMAT=MLN","Sort=A","Dates=H","DateFormat=P","Fill=—","Direction=H","UseDPDF=Y")</f>
        <v>0</v>
      </c>
      <c r="X8" s="13">
        <f>_xll.BDH("NBIX US Equity","PFD_EQTY_MINORTY_INTEREST","FQ3 2024","FQ3 2024","Currency=USD","Period=FQ","BEST_FPERIOD_OVERRIDE=FQ","FILING_STATUS=MR","SCALING_FORMAT=MLN","Sort=A","Dates=H","DateFormat=P","Fill=—","Direction=H","UseDPDF=Y")</f>
        <v>0</v>
      </c>
      <c r="Y8" s="13">
        <f>_xll.BDH("NBIX US Equity","PFD_EQTY_MINORTY_INTEREST","FQ4 2024","FQ4 2024","Currency=USD","Period=FQ","BEST_FPERIOD_OVERRIDE=FQ","FILING_STATUS=MR","SCALING_FORMAT=MLN","Sort=A","Dates=H","DateFormat=P","Fill=—","Direction=H","UseDPDF=Y")</f>
        <v>0</v>
      </c>
      <c r="Z8" s="13"/>
      <c r="AA8" s="13"/>
    </row>
    <row r="9" spans="1:27" x14ac:dyDescent="0.25">
      <c r="A9" s="10" t="s">
        <v>66</v>
      </c>
      <c r="B9" s="10" t="s">
        <v>67</v>
      </c>
      <c r="C9" s="13">
        <f>_xll.BDH("NBIX US Equity","SHORT_AND_LONG_TERM_DEBT","FQ2 2019","FQ2 2019","Currency=USD","Period=FQ","BEST_FPERIOD_OVERRIDE=FQ","FILING_STATUS=MR","SCALING_FORMAT=MLN","Sort=A","Dates=H","DateFormat=P","Fill=—","Direction=H","UseDPDF=Y")</f>
        <v>468.4</v>
      </c>
      <c r="D9" s="13">
        <f>_xll.BDH("NBIX US Equity","SHORT_AND_LONG_TERM_DEBT","FQ3 2019","FQ3 2019","Currency=USD","Period=FQ","BEST_FPERIOD_OVERRIDE=FQ","FILING_STATUS=MR","SCALING_FORMAT=MLN","Sort=A","Dates=H","DateFormat=P","Fill=—","Direction=H","UseDPDF=Y")</f>
        <v>486.23</v>
      </c>
      <c r="E9" s="13">
        <f>_xll.BDH("NBIX US Equity","SHORT_AND_LONG_TERM_DEBT","FQ4 2019","FQ4 2019","Currency=USD","Period=FQ","BEST_FPERIOD_OVERRIDE=FQ","FILING_STATUS=MR","SCALING_FORMAT=MLN","Sort=A","Dates=H","DateFormat=P","Fill=—","Direction=H","UseDPDF=Y")</f>
        <v>503.78199999999998</v>
      </c>
      <c r="F9" s="13">
        <f>_xll.BDH("NBIX US Equity","SHORT_AND_LONG_TERM_DEBT","FQ1 2020","FQ1 2020","Currency=USD","Period=FQ","BEST_FPERIOD_OVERRIDE=FQ","FILING_STATUS=MR","SCALING_FORMAT=MLN","Sort=A","Dates=H","DateFormat=P","Fill=—","Direction=H","UseDPDF=Y")</f>
        <v>508.5</v>
      </c>
      <c r="G9" s="13">
        <f>_xll.BDH("NBIX US Equity","SHORT_AND_LONG_TERM_DEBT","FQ2 2020","FQ2 2020","Currency=USD","Period=FQ","BEST_FPERIOD_OVERRIDE=FQ","FILING_STATUS=MR","SCALING_FORMAT=MLN","Sort=A","Dates=H","DateFormat=P","Fill=—","Direction=H","UseDPDF=Y")</f>
        <v>513</v>
      </c>
      <c r="H9" s="13">
        <f>_xll.BDH("NBIX US Equity","SHORT_AND_LONG_TERM_DEBT","FQ3 2020","FQ3 2020","Currency=USD","Period=FQ","BEST_FPERIOD_OVERRIDE=FQ","FILING_STATUS=MR","SCALING_FORMAT=MLN","Sort=A","Dates=H","DateFormat=P","Fill=—","Direction=H","UseDPDF=Y")</f>
        <v>517.70000000000005</v>
      </c>
      <c r="I9" s="13">
        <f>_xll.BDH("NBIX US Equity","SHORT_AND_LONG_TERM_DEBT","FQ4 2020","FQ4 2020","Currency=USD","Period=FQ","BEST_FPERIOD_OVERRIDE=FQ","FILING_STATUS=MR","SCALING_FORMAT=MLN","Sort=A","Dates=H","DateFormat=P","Fill=—","Direction=H","UseDPDF=Y")</f>
        <v>422.6</v>
      </c>
      <c r="J9" s="13">
        <f>_xll.BDH("NBIX US Equity","SHORT_AND_LONG_TERM_DEBT","FQ1 2021","FQ1 2021","Currency=USD","Period=FQ","BEST_FPERIOD_OVERRIDE=FQ","FILING_STATUS=MR","SCALING_FORMAT=MLN","Sort=A","Dates=H","DateFormat=P","Fill=—","Direction=H","UseDPDF=Y")</f>
        <v>441.7</v>
      </c>
      <c r="K9" s="13">
        <f>_xll.BDH("NBIX US Equity","SHORT_AND_LONG_TERM_DEBT","FQ2 2021","FQ2 2021","Currency=USD","Period=FQ","BEST_FPERIOD_OVERRIDE=FQ","FILING_STATUS=MR","SCALING_FORMAT=MLN","Sort=A","Dates=H","DateFormat=P","Fill=—","Direction=H","UseDPDF=Y")</f>
        <v>450.3</v>
      </c>
      <c r="L9" s="13">
        <f>_xll.BDH("NBIX US Equity","SHORT_AND_LONG_TERM_DEBT","FQ3 2021","FQ3 2021","Currency=USD","Period=FQ","BEST_FPERIOD_OVERRIDE=FQ","FILING_STATUS=MR","SCALING_FORMAT=MLN","Sort=A","Dates=H","DateFormat=P","Fill=—","Direction=H","UseDPDF=Y")</f>
        <v>452.6</v>
      </c>
      <c r="M9" s="13">
        <f>_xll.BDH("NBIX US Equity","SHORT_AND_LONG_TERM_DEBT","FQ4 2021","FQ4 2021","Currency=USD","Period=FQ","BEST_FPERIOD_OVERRIDE=FQ","FILING_STATUS=MR","SCALING_FORMAT=MLN","Sort=A","Dates=H","DateFormat=P","Fill=—","Direction=H","UseDPDF=Y")</f>
        <v>456.9</v>
      </c>
      <c r="N9" s="13">
        <f>_xll.BDH("NBIX US Equity","SHORT_AND_LONG_TERM_DEBT","FQ1 2022","FQ1 2022","Currency=USD","Period=FQ","BEST_FPERIOD_OVERRIDE=FQ","FILING_STATUS=MR","SCALING_FORMAT=MLN","Sort=A","Dates=H","DateFormat=P","Fill=—","Direction=H","UseDPDF=Y")</f>
        <v>497.1</v>
      </c>
      <c r="O9" s="13">
        <f>_xll.BDH("NBIX US Equity","SHORT_AND_LONG_TERM_DEBT","FQ2 2022","FQ2 2022","Currency=USD","Period=FQ","BEST_FPERIOD_OVERRIDE=FQ","FILING_STATUS=MR","SCALING_FORMAT=MLN","Sort=A","Dates=H","DateFormat=P","Fill=—","Direction=H","UseDPDF=Y")</f>
        <v>285.7</v>
      </c>
      <c r="P9" s="13">
        <f>_xll.BDH("NBIX US Equity","SHORT_AND_LONG_TERM_DEBT","FQ3 2022","FQ3 2022","Currency=USD","Period=FQ","BEST_FPERIOD_OVERRIDE=FQ","FILING_STATUS=MR","SCALING_FORMAT=MLN","Sort=A","Dates=H","DateFormat=P","Fill=—","Direction=H","UseDPDF=Y")</f>
        <v>283.10000000000002</v>
      </c>
      <c r="Q9" s="13">
        <f>_xll.BDH("NBIX US Equity","SHORT_AND_LONG_TERM_DEBT","FQ4 2022","FQ4 2022","Currency=USD","Period=FQ","BEST_FPERIOD_OVERRIDE=FQ","FILING_STATUS=MR","SCALING_FORMAT=MLN","Sort=A","Dates=H","DateFormat=P","Fill=—","Direction=H","UseDPDF=Y")</f>
        <v>262.89999999999998</v>
      </c>
      <c r="R9" s="13">
        <f>_xll.BDH("NBIX US Equity","SHORT_AND_LONG_TERM_DEBT","FQ1 2023","FQ1 2023","Currency=USD","Period=FQ","BEST_FPERIOD_OVERRIDE=FQ","FILING_STATUS=MR","SCALING_FORMAT=MLN","Sort=A","Dates=H","DateFormat=P","Fill=—","Direction=H","UseDPDF=Y")</f>
        <v>259.89999999999998</v>
      </c>
      <c r="S9" s="13">
        <f>_xll.BDH("NBIX US Equity","SHORT_AND_LONG_TERM_DEBT","FQ2 2023","FQ2 2023","Currency=USD","Period=FQ","BEST_FPERIOD_OVERRIDE=FQ","FILING_STATUS=MR","SCALING_FORMAT=MLN","Sort=A","Dates=H","DateFormat=P","Fill=—","Direction=H","UseDPDF=Y")</f>
        <v>276.5</v>
      </c>
      <c r="T9" s="13">
        <f>_xll.BDH("NBIX US Equity","SHORT_AND_LONG_TERM_DEBT","FQ3 2023","FQ3 2023","Currency=USD","Period=FQ","BEST_FPERIOD_OVERRIDE=FQ","FILING_STATUS=MR","SCALING_FORMAT=MLN","Sort=A","Dates=H","DateFormat=P","Fill=—","Direction=H","UseDPDF=Y")</f>
        <v>273.60000000000002</v>
      </c>
      <c r="U9" s="13">
        <f>_xll.BDH("NBIX US Equity","SHORT_AND_LONG_TERM_DEBT","FQ4 2023","FQ4 2023","Currency=USD","Period=FQ","BEST_FPERIOD_OVERRIDE=FQ","FILING_STATUS=MR","SCALING_FORMAT=MLN","Sort=A","Dates=H","DateFormat=P","Fill=—","Direction=H","UseDPDF=Y")</f>
        <v>460.4</v>
      </c>
      <c r="V9" s="13">
        <f>_xll.BDH("NBIX US Equity","SHORT_AND_LONG_TERM_DEBT","FQ1 2024","FQ1 2024","Currency=USD","Period=FQ","BEST_FPERIOD_OVERRIDE=FQ","FILING_STATUS=MR","SCALING_FORMAT=MLN","Sort=A","Dates=H","DateFormat=P","Fill=—","Direction=H","UseDPDF=Y")</f>
        <v>410.7</v>
      </c>
      <c r="W9" s="13">
        <f>_xll.BDH("NBIX US Equity","SHORT_AND_LONG_TERM_DEBT","FQ2 2024","FQ2 2024","Currency=USD","Period=FQ","BEST_FPERIOD_OVERRIDE=FQ","FILING_STATUS=MR","SCALING_FORMAT=MLN","Sort=A","Dates=H","DateFormat=P","Fill=—","Direction=H","UseDPDF=Y")</f>
        <v>291.60000000000002</v>
      </c>
      <c r="X9" s="13">
        <f>_xll.BDH("NBIX US Equity","SHORT_AND_LONG_TERM_DEBT","FQ3 2024","FQ3 2024","Currency=USD","Period=FQ","BEST_FPERIOD_OVERRIDE=FQ","FILING_STATUS=MR","SCALING_FORMAT=MLN","Sort=A","Dates=H","DateFormat=P","Fill=—","Direction=H","UseDPDF=Y")</f>
        <v>286.2</v>
      </c>
      <c r="Y9" s="13">
        <f>_xll.BDH("NBIX US Equity","SHORT_AND_LONG_TERM_DEBT","FQ4 2024","FQ4 2024","Currency=USD","Period=FQ","BEST_FPERIOD_OVERRIDE=FQ","FILING_STATUS=MR","SCALING_FORMAT=MLN","Sort=A","Dates=H","DateFormat=P","Fill=—","Direction=H","UseDPDF=Y")</f>
        <v>495.7</v>
      </c>
      <c r="Z9" s="13"/>
      <c r="AA9" s="13"/>
    </row>
    <row r="10" spans="1:27" x14ac:dyDescent="0.25">
      <c r="A10" s="6" t="s">
        <v>68</v>
      </c>
      <c r="B10" s="6" t="s">
        <v>69</v>
      </c>
      <c r="C10" s="19">
        <f>_xll.BDH("NBIX US Equity","ENTERPRISE_VALUE","FQ2 2019","FQ2 2019","Currency=USD","Period=FQ","BEST_FPERIOD_OVERRIDE=FQ","FILING_STATUS=MR","SCALING_FORMAT=MLN","Sort=A","Dates=H","DateFormat=P","Fill=—","Direction=H","UseDPDF=Y")</f>
        <v>7576.8064999999997</v>
      </c>
      <c r="D10" s="19">
        <f>_xll.BDH("NBIX US Equity","ENTERPRISE_VALUE","FQ3 2019","FQ3 2019","Currency=USD","Period=FQ","BEST_FPERIOD_OVERRIDE=FQ","FILING_STATUS=MR","SCALING_FORMAT=MLN","Sort=A","Dates=H","DateFormat=P","Fill=—","Direction=H","UseDPDF=Y")</f>
        <v>8113.3968000000004</v>
      </c>
      <c r="E10" s="19">
        <f>_xll.BDH("NBIX US Equity","ENTERPRISE_VALUE","FQ4 2019","FQ4 2019","Currency=USD","Period=FQ","BEST_FPERIOD_OVERRIDE=FQ","FILING_STATUS=MR","SCALING_FORMAT=MLN","Sort=A","Dates=H","DateFormat=P","Fill=—","Direction=H","UseDPDF=Y")</f>
        <v>9754.6090000000004</v>
      </c>
      <c r="F10" s="19">
        <f>_xll.BDH("NBIX US Equity","ENTERPRISE_VALUE","FQ1 2020","FQ1 2020","Currency=USD","Period=FQ","BEST_FPERIOD_OVERRIDE=FQ","FILING_STATUS=MR","SCALING_FORMAT=MLN","Sort=A","Dates=H","DateFormat=P","Fill=—","Direction=H","UseDPDF=Y")</f>
        <v>7768.64</v>
      </c>
      <c r="G10" s="19">
        <f>_xll.BDH("NBIX US Equity","ENTERPRISE_VALUE","FQ2 2020","FQ2 2020","Currency=USD","Period=FQ","BEST_FPERIOD_OVERRIDE=FQ","FILING_STATUS=MR","SCALING_FORMAT=MLN","Sort=A","Dates=H","DateFormat=P","Fill=—","Direction=H","UseDPDF=Y")</f>
        <v>10935.1</v>
      </c>
      <c r="H10" s="19">
        <f>_xll.BDH("NBIX US Equity","ENTERPRISE_VALUE","FQ3 2020","FQ3 2020","Currency=USD","Period=FQ","BEST_FPERIOD_OVERRIDE=FQ","FILING_STATUS=MR","SCALING_FORMAT=MLN","Sort=A","Dates=H","DateFormat=P","Fill=—","Direction=H","UseDPDF=Y")</f>
        <v>8554.3439999999991</v>
      </c>
      <c r="I10" s="19">
        <f>_xll.BDH("NBIX US Equity","ENTERPRISE_VALUE","FQ4 2020","FQ4 2020","Currency=USD","Period=FQ","BEST_FPERIOD_OVERRIDE=FQ","FILING_STATUS=MR","SCALING_FORMAT=MLN","Sort=A","Dates=H","DateFormat=P","Fill=—","Direction=H","UseDPDF=Y")</f>
        <v>8583.5750000000007</v>
      </c>
      <c r="J10" s="19">
        <f>_xll.BDH("NBIX US Equity","ENTERPRISE_VALUE","FQ1 2021","FQ1 2021","Currency=USD","Period=FQ","BEST_FPERIOD_OVERRIDE=FQ","FILING_STATUS=MR","SCALING_FORMAT=MLN","Sort=A","Dates=H","DateFormat=P","Fill=—","Direction=H","UseDPDF=Y")</f>
        <v>8758.125</v>
      </c>
      <c r="K10" s="19">
        <f>_xll.BDH("NBIX US Equity","ENTERPRISE_VALUE","FQ2 2021","FQ2 2021","Currency=USD","Period=FQ","BEST_FPERIOD_OVERRIDE=FQ","FILING_STATUS=MR","SCALING_FORMAT=MLN","Sort=A","Dates=H","DateFormat=P","Fill=—","Direction=H","UseDPDF=Y")</f>
        <v>8771.8719999999994</v>
      </c>
      <c r="L10" s="19">
        <f>_xll.BDH("NBIX US Equity","ENTERPRISE_VALUE","FQ3 2021","FQ3 2021","Currency=USD","Period=FQ","BEST_FPERIOD_OVERRIDE=FQ","FILING_STATUS=MR","SCALING_FORMAT=MLN","Sort=A","Dates=H","DateFormat=P","Fill=—","Direction=H","UseDPDF=Y")</f>
        <v>8778.9680000000008</v>
      </c>
      <c r="M10" s="19">
        <f>_xll.BDH("NBIX US Equity","ENTERPRISE_VALUE","FQ4 2021","FQ4 2021","Currency=USD","Period=FQ","BEST_FPERIOD_OVERRIDE=FQ","FILING_STATUS=MR","SCALING_FORMAT=MLN","Sort=A","Dates=H","DateFormat=P","Fill=—","Direction=H","UseDPDF=Y")</f>
        <v>7828.2330000000002</v>
      </c>
      <c r="N10" s="19">
        <f>_xll.BDH("NBIX US Equity","ENTERPRISE_VALUE","FQ1 2022","FQ1 2022","Currency=USD","Period=FQ","BEST_FPERIOD_OVERRIDE=FQ","FILING_STATUS=MR","SCALING_FORMAT=MLN","Sort=A","Dates=H","DateFormat=P","Fill=—","Direction=H","UseDPDF=Y")</f>
        <v>8785.3250000000007</v>
      </c>
      <c r="O10" s="19">
        <f>_xll.BDH("NBIX US Equity","ENTERPRISE_VALUE","FQ2 2022","FQ2 2022","Currency=USD","Period=FQ","BEST_FPERIOD_OVERRIDE=FQ","FILING_STATUS=MR","SCALING_FORMAT=MLN","Sort=A","Dates=H","DateFormat=P","Fill=—","Direction=H","UseDPDF=Y")</f>
        <v>8956.4879999999994</v>
      </c>
      <c r="P10" s="19">
        <f>_xll.BDH("NBIX US Equity","ENTERPRISE_VALUE","FQ3 2022","FQ3 2022","Currency=USD","Period=FQ","BEST_FPERIOD_OVERRIDE=FQ","FILING_STATUS=MR","SCALING_FORMAT=MLN","Sort=A","Dates=H","DateFormat=P","Fill=—","Direction=H","UseDPDF=Y")</f>
        <v>9690.4809999999998</v>
      </c>
      <c r="Q10" s="19">
        <f>_xll.BDH("NBIX US Equity","ENTERPRISE_VALUE","FQ4 2022","FQ4 2022","Currency=USD","Period=FQ","BEST_FPERIOD_OVERRIDE=FQ","FILING_STATUS=MR","SCALING_FORMAT=MLN","Sort=A","Dates=H","DateFormat=P","Fill=—","Direction=H","UseDPDF=Y")</f>
        <v>10799.56</v>
      </c>
      <c r="R10" s="19">
        <f>_xll.BDH("NBIX US Equity","ENTERPRISE_VALUE","FQ1 2023","FQ1 2023","Currency=USD","Period=FQ","BEST_FPERIOD_OVERRIDE=FQ","FILING_STATUS=MR","SCALING_FORMAT=MLN","Sort=A","Dates=H","DateFormat=P","Fill=—","Direction=H","UseDPDF=Y")</f>
        <v>9234.25</v>
      </c>
      <c r="S10" s="19">
        <f>_xll.BDH("NBIX US Equity","ENTERPRISE_VALUE","FQ2 2023","FQ2 2023","Currency=USD","Period=FQ","BEST_FPERIOD_OVERRIDE=FQ","FILING_STATUS=MR","SCALING_FORMAT=MLN","Sort=A","Dates=H","DateFormat=P","Fill=—","Direction=H","UseDPDF=Y")</f>
        <v>8503.48</v>
      </c>
      <c r="T10" s="19">
        <f>_xll.BDH("NBIX US Equity","ENTERPRISE_VALUE","FQ3 2023","FQ3 2023","Currency=USD","Period=FQ","BEST_FPERIOD_OVERRIDE=FQ","FILING_STATUS=MR","SCALING_FORMAT=MLN","Sort=A","Dates=H","DateFormat=P","Fill=—","Direction=H","UseDPDF=Y")</f>
        <v>10226</v>
      </c>
      <c r="U10" s="19">
        <f>_xll.BDH("NBIX US Equity","ENTERPRISE_VALUE","FQ4 2023","FQ4 2023","Currency=USD","Period=FQ","BEST_FPERIOD_OVERRIDE=FQ","FILING_STATUS=MR","SCALING_FORMAT=MLN","Sort=A","Dates=H","DateFormat=P","Fill=—","Direction=H","UseDPDF=Y")</f>
        <v>12433.512000000001</v>
      </c>
      <c r="V10" s="19">
        <f>_xll.BDH("NBIX US Equity","ENTERPRISE_VALUE","FQ1 2024","FQ1 2024","Currency=USD","Period=FQ","BEST_FPERIOD_OVERRIDE=FQ","FILING_STATUS=MR","SCALING_FORMAT=MLN","Sort=A","Dates=H","DateFormat=P","Fill=—","Direction=H","UseDPDF=Y")</f>
        <v>13074.852000000001</v>
      </c>
      <c r="W10" s="19">
        <f>_xll.BDH("NBIX US Equity","ENTERPRISE_VALUE","FQ2 2024","FQ2 2024","Currency=USD","Period=FQ","BEST_FPERIOD_OVERRIDE=FQ","FILING_STATUS=MR","SCALING_FORMAT=MLN","Sort=A","Dates=H","DateFormat=P","Fill=—","Direction=H","UseDPDF=Y")</f>
        <v>13143.602999999999</v>
      </c>
      <c r="X10" s="19">
        <f>_xll.BDH("NBIX US Equity","ENTERPRISE_VALUE","FQ3 2024","FQ3 2024","Currency=USD","Period=FQ","BEST_FPERIOD_OVERRIDE=FQ","FILING_STATUS=MR","SCALING_FORMAT=MLN","Sort=A","Dates=H","DateFormat=P","Fill=—","Direction=H","UseDPDF=Y")</f>
        <v>10718.464</v>
      </c>
      <c r="Y10" s="19">
        <f>_xll.BDH("NBIX US Equity","ENTERPRISE_VALUE","FQ4 2024","FQ4 2024","Currency=USD","Period=FQ","BEST_FPERIOD_OVERRIDE=FQ","FILING_STATUS=MR","SCALING_FORMAT=MLN","Sort=A","Dates=H","DateFormat=P","Fill=—","Direction=H","UseDPDF=Y")</f>
        <v>12987.7</v>
      </c>
      <c r="Z10" s="19"/>
      <c r="AA10" s="19"/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6" t="s">
        <v>70</v>
      </c>
      <c r="B12" s="6" t="s">
        <v>71</v>
      </c>
      <c r="C12" s="19">
        <f>_xll.BDH("NBIX US Equity","SALES_REV_TURN","FQ2 2019","FQ2 2019","Currency=USD","Period=FQ","BEST_FPERIOD_OVERRIDE=FQ","FILING_STATUS=MR","SCALING_FORMAT=MLN","FA_ADJUSTED=Adjusted","Sort=A","Dates=H","DateFormat=P","Fill=—","Direction=H","UseDPDF=Y")</f>
        <v>183.58</v>
      </c>
      <c r="D12" s="19">
        <f>_xll.BDH("NBIX US Equity","SALES_REV_TURN","FQ3 2019","FQ3 2019","Currency=USD","Period=FQ","BEST_FPERIOD_OVERRIDE=FQ","FILING_STATUS=MR","SCALING_FORMAT=MLN","FA_ADJUSTED=Adjusted","Sort=A","Dates=H","DateFormat=P","Fill=—","Direction=H","UseDPDF=Y")</f>
        <v>222.09399999999999</v>
      </c>
      <c r="E12" s="19">
        <f>_xll.BDH("NBIX US Equity","SALES_REV_TURN","FQ4 2019","FQ4 2019","Currency=USD","Period=FQ","BEST_FPERIOD_OVERRIDE=FQ","FILING_STATUS=MR","SCALING_FORMAT=MLN","FA_ADJUSTED=Adjusted","Sort=A","Dates=H","DateFormat=P","Fill=—","Direction=H","UseDPDF=Y")</f>
        <v>244.1</v>
      </c>
      <c r="F12" s="19">
        <f>_xll.BDH("NBIX US Equity","SALES_REV_TURN","FQ1 2020","FQ1 2020","Currency=USD","Period=FQ","BEST_FPERIOD_OVERRIDE=FQ","FILING_STATUS=MR","SCALING_FORMAT=MLN","FA_ADJUSTED=Adjusted","Sort=A","Dates=H","DateFormat=P","Fill=—","Direction=H","UseDPDF=Y")</f>
        <v>237.1</v>
      </c>
      <c r="G12" s="19">
        <f>_xll.BDH("NBIX US Equity","SALES_REV_TURN","FQ2 2020","FQ2 2020","Currency=USD","Period=FQ","BEST_FPERIOD_OVERRIDE=FQ","FILING_STATUS=MR","SCALING_FORMAT=MLN","FA_ADJUSTED=Adjusted","Sort=A","Dates=H","DateFormat=P","Fill=—","Direction=H","UseDPDF=Y")</f>
        <v>302.39999999999998</v>
      </c>
      <c r="H12" s="19">
        <f>_xll.BDH("NBIX US Equity","SALES_REV_TURN","FQ3 2020","FQ3 2020","Currency=USD","Period=FQ","BEST_FPERIOD_OVERRIDE=FQ","FILING_STATUS=MR","SCALING_FORMAT=MLN","FA_ADJUSTED=Adjusted","Sort=A","Dates=H","DateFormat=P","Fill=—","Direction=H","UseDPDF=Y")</f>
        <v>258.5</v>
      </c>
      <c r="I12" s="19">
        <f>_xll.BDH("NBIX US Equity","SALES_REV_TURN","FQ4 2020","FQ4 2020","Currency=USD","Period=FQ","BEST_FPERIOD_OVERRIDE=FQ","FILING_STATUS=MR","SCALING_FORMAT=MLN","FA_ADJUSTED=Adjusted","Sort=A","Dates=H","DateFormat=P","Fill=—","Direction=H","UseDPDF=Y")</f>
        <v>247.9</v>
      </c>
      <c r="J12" s="19">
        <f>_xll.BDH("NBIX US Equity","SALES_REV_TURN","FQ1 2021","FQ1 2021","Currency=USD","Period=FQ","BEST_FPERIOD_OVERRIDE=FQ","FILING_STATUS=MR","SCALING_FORMAT=MLN","FA_ADJUSTED=Adjusted","Sort=A","Dates=H","DateFormat=P","Fill=—","Direction=H","UseDPDF=Y")</f>
        <v>236.6</v>
      </c>
      <c r="K12" s="19">
        <f>_xll.BDH("NBIX US Equity","SALES_REV_TURN","FQ2 2021","FQ2 2021","Currency=USD","Period=FQ","BEST_FPERIOD_OVERRIDE=FQ","FILING_STATUS=MR","SCALING_FORMAT=MLN","FA_ADJUSTED=Adjusted","Sort=A","Dates=H","DateFormat=P","Fill=—","Direction=H","UseDPDF=Y")</f>
        <v>288.89999999999998</v>
      </c>
      <c r="L12" s="19">
        <f>_xll.BDH("NBIX US Equity","SALES_REV_TURN","FQ3 2021","FQ3 2021","Currency=USD","Period=FQ","BEST_FPERIOD_OVERRIDE=FQ","FILING_STATUS=MR","SCALING_FORMAT=MLN","FA_ADJUSTED=Adjusted","Sort=A","Dates=H","DateFormat=P","Fill=—","Direction=H","UseDPDF=Y")</f>
        <v>296</v>
      </c>
      <c r="M12" s="19">
        <f>_xll.BDH("NBIX US Equity","SALES_REV_TURN","FQ4 2021","FQ4 2021","Currency=USD","Period=FQ","BEST_FPERIOD_OVERRIDE=FQ","FILING_STATUS=MR","SCALING_FORMAT=MLN","FA_ADJUSTED=Adjusted","Sort=A","Dates=H","DateFormat=P","Fill=—","Direction=H","UseDPDF=Y")</f>
        <v>312</v>
      </c>
      <c r="N12" s="19">
        <f>_xll.BDH("NBIX US Equity","SALES_REV_TURN","FQ1 2022","FQ1 2022","Currency=USD","Period=FQ","BEST_FPERIOD_OVERRIDE=FQ","FILING_STATUS=MR","SCALING_FORMAT=MLN","FA_ADJUSTED=Adjusted","Sort=A","Dates=H","DateFormat=P","Fill=—","Direction=H","UseDPDF=Y")</f>
        <v>310.60000000000002</v>
      </c>
      <c r="O12" s="19">
        <f>_xll.BDH("NBIX US Equity","SALES_REV_TURN","FQ2 2022","FQ2 2022","Currency=USD","Period=FQ","BEST_FPERIOD_OVERRIDE=FQ","FILING_STATUS=MR","SCALING_FORMAT=MLN","FA_ADJUSTED=Adjusted","Sort=A","Dates=H","DateFormat=P","Fill=—","Direction=H","UseDPDF=Y")</f>
        <v>378.2</v>
      </c>
      <c r="P12" s="19">
        <f>_xll.BDH("NBIX US Equity","SALES_REV_TURN","FQ3 2022","FQ3 2022","Currency=USD","Period=FQ","BEST_FPERIOD_OVERRIDE=FQ","FILING_STATUS=MR","SCALING_FORMAT=MLN","FA_ADJUSTED=Adjusted","Sort=A","Dates=H","DateFormat=P","Fill=—","Direction=H","UseDPDF=Y")</f>
        <v>387.9</v>
      </c>
      <c r="Q12" s="19">
        <f>_xll.BDH("NBIX US Equity","SALES_REV_TURN","FQ4 2022","FQ4 2022","Currency=USD","Period=FQ","BEST_FPERIOD_OVERRIDE=FQ","FILING_STATUS=MR","SCALING_FORMAT=MLN","FA_ADJUSTED=Adjusted","Sort=A","Dates=H","DateFormat=P","Fill=—","Direction=H","UseDPDF=Y")</f>
        <v>412</v>
      </c>
      <c r="R12" s="19">
        <f>_xll.BDH("NBIX US Equity","SALES_REV_TURN","FQ1 2023","FQ1 2023","Currency=USD","Period=FQ","BEST_FPERIOD_OVERRIDE=FQ","FILING_STATUS=MR","SCALING_FORMAT=MLN","FA_ADJUSTED=Adjusted","Sort=A","Dates=H","DateFormat=P","Fill=—","Direction=H","UseDPDF=Y")</f>
        <v>420.4</v>
      </c>
      <c r="S12" s="19">
        <f>_xll.BDH("NBIX US Equity","SALES_REV_TURN","FQ2 2023","FQ2 2023","Currency=USD","Period=FQ","BEST_FPERIOD_OVERRIDE=FQ","FILING_STATUS=MR","SCALING_FORMAT=MLN","FA_ADJUSTED=Adjusted","Sort=A","Dates=H","DateFormat=P","Fill=—","Direction=H","UseDPDF=Y")</f>
        <v>452.7</v>
      </c>
      <c r="T12" s="19">
        <f>_xll.BDH("NBIX US Equity","SALES_REV_TURN","FQ3 2023","FQ3 2023","Currency=USD","Period=FQ","BEST_FPERIOD_OVERRIDE=FQ","FILING_STATUS=MR","SCALING_FORMAT=MLN","FA_ADJUSTED=Adjusted","Sort=A","Dates=H","DateFormat=P","Fill=—","Direction=H","UseDPDF=Y")</f>
        <v>498.8</v>
      </c>
      <c r="U12" s="19">
        <f>_xll.BDH("NBIX US Equity","SALES_REV_TURN","FQ4 2023","FQ4 2023","Currency=USD","Period=FQ","BEST_FPERIOD_OVERRIDE=FQ","FILING_STATUS=MR","SCALING_FORMAT=MLN","FA_ADJUSTED=Adjusted","Sort=A","Dates=H","DateFormat=P","Fill=—","Direction=H","UseDPDF=Y")</f>
        <v>515.20000000000005</v>
      </c>
      <c r="V12" s="19">
        <f>_xll.BDH("NBIX US Equity","SALES_REV_TURN","FQ1 2024","FQ1 2024","Currency=USD","Period=FQ","BEST_FPERIOD_OVERRIDE=FQ","FILING_STATUS=MR","SCALING_FORMAT=MLN","FA_ADJUSTED=Adjusted","Sort=A","Dates=H","DateFormat=P","Fill=—","Direction=H","UseDPDF=Y")</f>
        <v>515.29999999999995</v>
      </c>
      <c r="W12" s="19">
        <f>_xll.BDH("NBIX US Equity","SALES_REV_TURN","FQ2 2024","FQ2 2024","Currency=USD","Period=FQ","BEST_FPERIOD_OVERRIDE=FQ","FILING_STATUS=MR","SCALING_FORMAT=MLN","FA_ADJUSTED=Adjusted","Sort=A","Dates=H","DateFormat=P","Fill=—","Direction=H","UseDPDF=Y")</f>
        <v>590.20000000000005</v>
      </c>
      <c r="X12" s="19">
        <f>_xll.BDH("NBIX US Equity","SALES_REV_TURN","FQ3 2024","FQ3 2024","Currency=USD","Period=FQ","BEST_FPERIOD_OVERRIDE=FQ","FILING_STATUS=MR","SCALING_FORMAT=MLN","FA_ADJUSTED=Adjusted","Sort=A","Dates=H","DateFormat=P","Fill=—","Direction=H","UseDPDF=Y")</f>
        <v>622.1</v>
      </c>
      <c r="Y12" s="19">
        <f>_xll.BDH("NBIX US Equity","SALES_REV_TURN","FQ4 2024","FQ4 2024","Currency=USD","Period=FQ","BEST_FPERIOD_OVERRIDE=FQ","FILING_STATUS=MR","SCALING_FORMAT=MLN","FA_ADJUSTED=Adjusted","Sort=A","Dates=H","DateFormat=P","Fill=—","Direction=H","UseDPDF=Y")</f>
        <v>627.70000000000005</v>
      </c>
      <c r="Z12" s="19">
        <v>595.54499999999996</v>
      </c>
      <c r="AA12" s="19">
        <v>648</v>
      </c>
    </row>
    <row r="13" spans="1:27" x14ac:dyDescent="0.25">
      <c r="A13" s="11" t="s">
        <v>72</v>
      </c>
      <c r="B13" s="11" t="s">
        <v>73</v>
      </c>
      <c r="C13" s="25">
        <f>_xll.BDH("NBIX US Equity","SALES_GROWTH","FQ2 2019","FQ2 2019","Currency=USD","Period=FQ","BEST_FPERIOD_OVERRIDE=FQ","FILING_STATUS=MR","FA_ADJUSTED=Adjusted","Sort=A","Dates=H","DateFormat=P","Fill=—","Direction=H","UseDPDF=Y")</f>
        <v>89.443299999999994</v>
      </c>
      <c r="D13" s="25">
        <f>_xll.BDH("NBIX US Equity","SALES_GROWTH","FQ3 2019","FQ3 2019","Currency=USD","Period=FQ","BEST_FPERIOD_OVERRIDE=FQ","FILING_STATUS=MR","FA_ADJUSTED=Adjusted","Sort=A","Dates=H","DateFormat=P","Fill=—","Direction=H","UseDPDF=Y")</f>
        <v>46.348399999999998</v>
      </c>
      <c r="E13" s="25">
        <f>_xll.BDH("NBIX US Equity","SALES_GROWTH","FQ4 2019","FQ4 2019","Currency=USD","Period=FQ","BEST_FPERIOD_OVERRIDE=FQ","FILING_STATUS=MR","FA_ADJUSTED=Adjusted","Sort=A","Dates=H","DateFormat=P","Fill=—","Direction=H","UseDPDF=Y")</f>
        <v>85.6387</v>
      </c>
      <c r="F13" s="25">
        <f>_xll.BDH("NBIX US Equity","SALES_GROWTH","FQ1 2020","FQ1 2020","Currency=USD","Period=FQ","BEST_FPERIOD_OVERRIDE=FQ","FILING_STATUS=MR","FA_ADJUSTED=Adjusted","Sort=A","Dates=H","DateFormat=P","Fill=—","Direction=H","UseDPDF=Y")</f>
        <v>71.311300000000003</v>
      </c>
      <c r="G13" s="25">
        <f>_xll.BDH("NBIX US Equity","SALES_GROWTH","FQ2 2020","FQ2 2020","Currency=USD","Period=FQ","BEST_FPERIOD_OVERRIDE=FQ","FILING_STATUS=MR","FA_ADJUSTED=Adjusted","Sort=A","Dates=H","DateFormat=P","Fill=—","Direction=H","UseDPDF=Y")</f>
        <v>64.723799999999997</v>
      </c>
      <c r="H13" s="25">
        <f>_xll.BDH("NBIX US Equity","SALES_GROWTH","FQ3 2020","FQ3 2020","Currency=USD","Period=FQ","BEST_FPERIOD_OVERRIDE=FQ","FILING_STATUS=MR","FA_ADJUSTED=Adjusted","Sort=A","Dates=H","DateFormat=P","Fill=—","Direction=H","UseDPDF=Y")</f>
        <v>16.392199999999999</v>
      </c>
      <c r="I13" s="25">
        <f>_xll.BDH("NBIX US Equity","SALES_GROWTH","FQ4 2020","FQ4 2020","Currency=USD","Period=FQ","BEST_FPERIOD_OVERRIDE=FQ","FILING_STATUS=MR","FA_ADJUSTED=Adjusted","Sort=A","Dates=H","DateFormat=P","Fill=—","Direction=H","UseDPDF=Y")</f>
        <v>1.5567</v>
      </c>
      <c r="J13" s="25">
        <f>_xll.BDH("NBIX US Equity","SALES_GROWTH","FQ1 2021","FQ1 2021","Currency=USD","Period=FQ","BEST_FPERIOD_OVERRIDE=FQ","FILING_STATUS=MR","FA_ADJUSTED=Adjusted","Sort=A","Dates=H","DateFormat=P","Fill=—","Direction=H","UseDPDF=Y")</f>
        <v>-0.2109</v>
      </c>
      <c r="K13" s="25">
        <f>_xll.BDH("NBIX US Equity","SALES_GROWTH","FQ2 2021","FQ2 2021","Currency=USD","Period=FQ","BEST_FPERIOD_OVERRIDE=FQ","FILING_STATUS=MR","FA_ADJUSTED=Adjusted","Sort=A","Dates=H","DateFormat=P","Fill=—","Direction=H","UseDPDF=Y")</f>
        <v>-4.4642999999999997</v>
      </c>
      <c r="L13" s="25">
        <f>_xll.BDH("NBIX US Equity","SALES_GROWTH","FQ3 2021","FQ3 2021","Currency=USD","Period=FQ","BEST_FPERIOD_OVERRIDE=FQ","FILING_STATUS=MR","FA_ADJUSTED=Adjusted","Sort=A","Dates=H","DateFormat=P","Fill=—","Direction=H","UseDPDF=Y")</f>
        <v>14.5068</v>
      </c>
      <c r="M13" s="25">
        <f>_xll.BDH("NBIX US Equity","SALES_GROWTH","FQ4 2021","FQ4 2021","Currency=USD","Period=FQ","BEST_FPERIOD_OVERRIDE=FQ","FILING_STATUS=MR","FA_ADJUSTED=Adjusted","Sort=A","Dates=H","DateFormat=P","Fill=—","Direction=H","UseDPDF=Y")</f>
        <v>25.857199999999999</v>
      </c>
      <c r="N13" s="25">
        <f>_xll.BDH("NBIX US Equity","SALES_GROWTH","FQ1 2022","FQ1 2022","Currency=USD","Period=FQ","BEST_FPERIOD_OVERRIDE=FQ","FILING_STATUS=MR","FA_ADJUSTED=Adjusted","Sort=A","Dates=H","DateFormat=P","Fill=—","Direction=H","UseDPDF=Y")</f>
        <v>31.276399999999999</v>
      </c>
      <c r="O13" s="25">
        <f>_xll.BDH("NBIX US Equity","SALES_GROWTH","FQ2 2022","FQ2 2022","Currency=USD","Period=FQ","BEST_FPERIOD_OVERRIDE=FQ","FILING_STATUS=MR","FA_ADJUSTED=Adjusted","Sort=A","Dates=H","DateFormat=P","Fill=—","Direction=H","UseDPDF=Y")</f>
        <v>30.910299999999999</v>
      </c>
      <c r="P13" s="25">
        <f>_xll.BDH("NBIX US Equity","SALES_GROWTH","FQ3 2022","FQ3 2022","Currency=USD","Period=FQ","BEST_FPERIOD_OVERRIDE=FQ","FILING_STATUS=MR","FA_ADJUSTED=Adjusted","Sort=A","Dates=H","DateFormat=P","Fill=—","Direction=H","UseDPDF=Y")</f>
        <v>31.0473</v>
      </c>
      <c r="Q13" s="25">
        <f>_xll.BDH("NBIX US Equity","SALES_GROWTH","FQ4 2022","FQ4 2022","Currency=USD","Period=FQ","BEST_FPERIOD_OVERRIDE=FQ","FILING_STATUS=MR","FA_ADJUSTED=Adjusted","Sort=A","Dates=H","DateFormat=P","Fill=—","Direction=H","UseDPDF=Y")</f>
        <v>32.051299999999998</v>
      </c>
      <c r="R13" s="25">
        <f>_xll.BDH("NBIX US Equity","SALES_GROWTH","FQ1 2023","FQ1 2023","Currency=USD","Period=FQ","BEST_FPERIOD_OVERRIDE=FQ","FILING_STATUS=MR","FA_ADJUSTED=Adjusted","Sort=A","Dates=H","DateFormat=P","Fill=—","Direction=H","UseDPDF=Y")</f>
        <v>35.350900000000003</v>
      </c>
      <c r="S13" s="25">
        <f>_xll.BDH("NBIX US Equity","SALES_GROWTH","FQ2 2023","FQ2 2023","Currency=USD","Period=FQ","BEST_FPERIOD_OVERRIDE=FQ","FILING_STATUS=MR","FA_ADJUSTED=Adjusted","Sort=A","Dates=H","DateFormat=P","Fill=—","Direction=H","UseDPDF=Y")</f>
        <v>19.698599999999999</v>
      </c>
      <c r="T13" s="25">
        <f>_xll.BDH("NBIX US Equity","SALES_GROWTH","FQ3 2023","FQ3 2023","Currency=USD","Period=FQ","BEST_FPERIOD_OVERRIDE=FQ","FILING_STATUS=MR","FA_ADJUSTED=Adjusted","Sort=A","Dates=H","DateFormat=P","Fill=—","Direction=H","UseDPDF=Y")</f>
        <v>28.5898</v>
      </c>
      <c r="U13" s="25">
        <f>_xll.BDH("NBIX US Equity","SALES_GROWTH","FQ4 2023","FQ4 2023","Currency=USD","Period=FQ","BEST_FPERIOD_OVERRIDE=FQ","FILING_STATUS=MR","FA_ADJUSTED=Adjusted","Sort=A","Dates=H","DateFormat=P","Fill=—","Direction=H","UseDPDF=Y")</f>
        <v>25.048500000000001</v>
      </c>
      <c r="V13" s="25">
        <f>_xll.BDH("NBIX US Equity","SALES_GROWTH","FQ1 2024","FQ1 2024","Currency=USD","Period=FQ","BEST_FPERIOD_OVERRIDE=FQ","FILING_STATUS=MR","FA_ADJUSTED=Adjusted","Sort=A","Dates=H","DateFormat=P","Fill=—","Direction=H","UseDPDF=Y")</f>
        <v>22.573699999999999</v>
      </c>
      <c r="W13" s="25">
        <f>_xll.BDH("NBIX US Equity","SALES_GROWTH","FQ2 2024","FQ2 2024","Currency=USD","Period=FQ","BEST_FPERIOD_OVERRIDE=FQ","FILING_STATUS=MR","FA_ADJUSTED=Adjusted","Sort=A","Dates=H","DateFormat=P","Fill=—","Direction=H","UseDPDF=Y")</f>
        <v>30.3733</v>
      </c>
      <c r="X13" s="25">
        <f>_xll.BDH("NBIX US Equity","SALES_GROWTH","FQ3 2024","FQ3 2024","Currency=USD","Period=FQ","BEST_FPERIOD_OVERRIDE=FQ","FILING_STATUS=MR","FA_ADJUSTED=Adjusted","Sort=A","Dates=H","DateFormat=P","Fill=—","Direction=H","UseDPDF=Y")</f>
        <v>24.7193</v>
      </c>
      <c r="Y13" s="25">
        <f>_xll.BDH("NBIX US Equity","SALES_GROWTH","FQ4 2024","FQ4 2024","Currency=USD","Period=FQ","BEST_FPERIOD_OVERRIDE=FQ","FILING_STATUS=MR","FA_ADJUSTED=Adjusted","Sort=A","Dates=H","DateFormat=P","Fill=—","Direction=H","UseDPDF=Y")</f>
        <v>21.836200000000002</v>
      </c>
      <c r="Z13" s="25">
        <v>15.5724820492917</v>
      </c>
      <c r="AA13" s="25">
        <v>9.7932904100304903</v>
      </c>
    </row>
    <row r="14" spans="1:27" x14ac:dyDescent="0.25">
      <c r="A14" s="6" t="s">
        <v>74</v>
      </c>
      <c r="B14" s="6" t="s">
        <v>75</v>
      </c>
      <c r="C14" s="19">
        <f>_xll.BDH("NBIX US Equity","GROSS_PROFIT","FQ2 2019","FQ2 2019","Currency=USD","Period=FQ","BEST_FPERIOD_OVERRIDE=FQ","FILING_STATUS=MR","SCALING_FORMAT=MLN","FA_ADJUSTED=Adjusted","Sort=A","Dates=H","DateFormat=P","Fill=—","Direction=H","UseDPDF=Y")</f>
        <v>181.97200000000001</v>
      </c>
      <c r="D14" s="19">
        <f>_xll.BDH("NBIX US Equity","GROSS_PROFIT","FQ3 2019","FQ3 2019","Currency=USD","Period=FQ","BEST_FPERIOD_OVERRIDE=FQ","FILING_STATUS=MR","SCALING_FORMAT=MLN","FA_ADJUSTED=Adjusted","Sort=A","Dates=H","DateFormat=P","Fill=—","Direction=H","UseDPDF=Y")</f>
        <v>219.86500000000001</v>
      </c>
      <c r="E14" s="19">
        <f>_xll.BDH("NBIX US Equity","GROSS_PROFIT","FQ4 2019","FQ4 2019","Currency=USD","Period=FQ","BEST_FPERIOD_OVERRIDE=FQ","FILING_STATUS=MR","SCALING_FORMAT=MLN","FA_ADJUSTED=Adjusted","Sort=A","Dates=H","DateFormat=P","Fill=—","Direction=H","UseDPDF=Y")</f>
        <v>241.6</v>
      </c>
      <c r="F14" s="19">
        <f>_xll.BDH("NBIX US Equity","GROSS_PROFIT","FQ1 2020","FQ1 2020","Currency=USD","Period=FQ","BEST_FPERIOD_OVERRIDE=FQ","FILING_STATUS=MR","SCALING_FORMAT=MLN","FA_ADJUSTED=Adjusted","Sort=A","Dates=H","DateFormat=P","Fill=—","Direction=H","UseDPDF=Y")</f>
        <v>235</v>
      </c>
      <c r="G14" s="19">
        <f>_xll.BDH("NBIX US Equity","GROSS_PROFIT","FQ2 2020","FQ2 2020","Currency=USD","Period=FQ","BEST_FPERIOD_OVERRIDE=FQ","FILING_STATUS=MR","SCALING_FORMAT=MLN","FA_ADJUSTED=Adjusted","Sort=A","Dates=H","DateFormat=P","Fill=—","Direction=H","UseDPDF=Y")</f>
        <v>300</v>
      </c>
      <c r="H14" s="19">
        <f>_xll.BDH("NBIX US Equity","GROSS_PROFIT","FQ3 2020","FQ3 2020","Currency=USD","Period=FQ","BEST_FPERIOD_OVERRIDE=FQ","FILING_STATUS=MR","SCALING_FORMAT=MLN","FA_ADJUSTED=Adjusted","Sort=A","Dates=H","DateFormat=P","Fill=—","Direction=H","UseDPDF=Y")</f>
        <v>255.8</v>
      </c>
      <c r="I14" s="19">
        <f>_xll.BDH("NBIX US Equity","GROSS_PROFIT","FQ4 2020","FQ4 2020","Currency=USD","Period=FQ","BEST_FPERIOD_OVERRIDE=FQ","FILING_STATUS=MR","SCALING_FORMAT=MLN","FA_ADJUSTED=Adjusted","Sort=A","Dates=H","DateFormat=P","Fill=—","Direction=H","UseDPDF=Y")</f>
        <v>245</v>
      </c>
      <c r="J14" s="19">
        <f>_xll.BDH("NBIX US Equity","GROSS_PROFIT","FQ1 2021","FQ1 2021","Currency=USD","Period=FQ","BEST_FPERIOD_OVERRIDE=FQ","FILING_STATUS=MR","SCALING_FORMAT=MLN","FA_ADJUSTED=Adjusted","Sort=A","Dates=H","DateFormat=P","Fill=—","Direction=H","UseDPDF=Y")</f>
        <v>233.7</v>
      </c>
      <c r="K14" s="19">
        <f>_xll.BDH("NBIX US Equity","GROSS_PROFIT","FQ2 2021","FQ2 2021","Currency=USD","Period=FQ","BEST_FPERIOD_OVERRIDE=FQ","FILING_STATUS=MR","SCALING_FORMAT=MLN","FA_ADJUSTED=Adjusted","Sort=A","Dates=H","DateFormat=P","Fill=—","Direction=H","UseDPDF=Y")</f>
        <v>285.8</v>
      </c>
      <c r="L14" s="19">
        <f>_xll.BDH("NBIX US Equity","GROSS_PROFIT","FQ3 2021","FQ3 2021","Currency=USD","Period=FQ","BEST_FPERIOD_OVERRIDE=FQ","FILING_STATUS=MR","SCALING_FORMAT=MLN","FA_ADJUSTED=Adjusted","Sort=A","Dates=H","DateFormat=P","Fill=—","Direction=H","UseDPDF=Y")</f>
        <v>291.8</v>
      </c>
      <c r="M14" s="19">
        <f>_xll.BDH("NBIX US Equity","GROSS_PROFIT","FQ4 2021","FQ4 2021","Currency=USD","Period=FQ","BEST_FPERIOD_OVERRIDE=FQ","FILING_STATUS=MR","SCALING_FORMAT=MLN","FA_ADJUSTED=Adjusted","Sort=A","Dates=H","DateFormat=P","Fill=—","Direction=H","UseDPDF=Y")</f>
        <v>307.89999999999998</v>
      </c>
      <c r="N14" s="19">
        <f>_xll.BDH("NBIX US Equity","GROSS_PROFIT","FQ1 2022","FQ1 2022","Currency=USD","Period=FQ","BEST_FPERIOD_OVERRIDE=FQ","FILING_STATUS=MR","SCALING_FORMAT=MLN","FA_ADJUSTED=Adjusted","Sort=A","Dates=H","DateFormat=P","Fill=—","Direction=H","UseDPDF=Y")</f>
        <v>306</v>
      </c>
      <c r="O14" s="19">
        <f>_xll.BDH("NBIX US Equity","GROSS_PROFIT","FQ2 2022","FQ2 2022","Currency=USD","Period=FQ","BEST_FPERIOD_OVERRIDE=FQ","FILING_STATUS=MR","SCALING_FORMAT=MLN","FA_ADJUSTED=Adjusted","Sort=A","Dates=H","DateFormat=P","Fill=—","Direction=H","UseDPDF=Y")</f>
        <v>373.4</v>
      </c>
      <c r="P14" s="19">
        <f>_xll.BDH("NBIX US Equity","GROSS_PROFIT","FQ3 2022","FQ3 2022","Currency=USD","Period=FQ","BEST_FPERIOD_OVERRIDE=FQ","FILING_STATUS=MR","SCALING_FORMAT=MLN","FA_ADJUSTED=Adjusted","Sort=A","Dates=H","DateFormat=P","Fill=—","Direction=H","UseDPDF=Y")</f>
        <v>381.8</v>
      </c>
      <c r="Q14" s="19">
        <f>_xll.BDH("NBIX US Equity","GROSS_PROFIT","FQ4 2022","FQ4 2022","Currency=USD","Period=FQ","BEST_FPERIOD_OVERRIDE=FQ","FILING_STATUS=MR","SCALING_FORMAT=MLN","FA_ADJUSTED=Adjusted","Sort=A","Dates=H","DateFormat=P","Fill=—","Direction=H","UseDPDF=Y")</f>
        <v>404.3</v>
      </c>
      <c r="R14" s="19">
        <f>_xll.BDH("NBIX US Equity","GROSS_PROFIT","FQ1 2023","FQ1 2023","Currency=USD","Period=FQ","BEST_FPERIOD_OVERRIDE=FQ","FILING_STATUS=MR","SCALING_FORMAT=MLN","FA_ADJUSTED=Adjusted","Sort=A","Dates=H","DateFormat=P","Fill=—","Direction=H","UseDPDF=Y")</f>
        <v>411.9</v>
      </c>
      <c r="S14" s="19">
        <f>_xll.BDH("NBIX US Equity","GROSS_PROFIT","FQ2 2023","FQ2 2023","Currency=USD","Period=FQ","BEST_FPERIOD_OVERRIDE=FQ","FILING_STATUS=MR","SCALING_FORMAT=MLN","FA_ADJUSTED=Adjusted","Sort=A","Dates=H","DateFormat=P","Fill=—","Direction=H","UseDPDF=Y")</f>
        <v>441.2</v>
      </c>
      <c r="T14" s="19">
        <f>_xll.BDH("NBIX US Equity","GROSS_PROFIT","FQ3 2023","FQ3 2023","Currency=USD","Period=FQ","BEST_FPERIOD_OVERRIDE=FQ","FILING_STATUS=MR","SCALING_FORMAT=MLN","FA_ADJUSTED=Adjusted","Sort=A","Dates=H","DateFormat=P","Fill=—","Direction=H","UseDPDF=Y")</f>
        <v>487.6</v>
      </c>
      <c r="U14" s="19">
        <f>_xll.BDH("NBIX US Equity","GROSS_PROFIT","FQ4 2023","FQ4 2023","Currency=USD","Period=FQ","BEST_FPERIOD_OVERRIDE=FQ","FILING_STATUS=MR","SCALING_FORMAT=MLN","FA_ADJUSTED=Adjusted","Sort=A","Dates=H","DateFormat=P","Fill=—","Direction=H","UseDPDF=Y")</f>
        <v>506.7</v>
      </c>
      <c r="V14" s="19">
        <f>_xll.BDH("NBIX US Equity","GROSS_PROFIT","FQ1 2024","FQ1 2024","Currency=USD","Period=FQ","BEST_FPERIOD_OVERRIDE=FQ","FILING_STATUS=MR","SCALING_FORMAT=MLN","FA_ADJUSTED=Adjusted","Sort=A","Dates=H","DateFormat=P","Fill=—","Direction=H","UseDPDF=Y")</f>
        <v>507.8</v>
      </c>
      <c r="W14" s="19">
        <f>_xll.BDH("NBIX US Equity","GROSS_PROFIT","FQ2 2024","FQ2 2024","Currency=USD","Period=FQ","BEST_FPERIOD_OVERRIDE=FQ","FILING_STATUS=MR","SCALING_FORMAT=MLN","FA_ADJUSTED=Adjusted","Sort=A","Dates=H","DateFormat=P","Fill=—","Direction=H","UseDPDF=Y")</f>
        <v>581</v>
      </c>
      <c r="X14" s="19">
        <f>_xll.BDH("NBIX US Equity","GROSS_PROFIT","FQ3 2024","FQ3 2024","Currency=USD","Period=FQ","BEST_FPERIOD_OVERRIDE=FQ","FILING_STATUS=MR","SCALING_FORMAT=MLN","FA_ADJUSTED=Adjusted","Sort=A","Dates=H","DateFormat=P","Fill=—","Direction=H","UseDPDF=Y")</f>
        <v>614.1</v>
      </c>
      <c r="Y14" s="19">
        <f>_xll.BDH("NBIX US Equity","GROSS_PROFIT","FQ4 2024","FQ4 2024","Currency=USD","Period=FQ","BEST_FPERIOD_OVERRIDE=FQ","FILING_STATUS=MR","SCALING_FORMAT=MLN","FA_ADJUSTED=Adjusted","Sort=A","Dates=H","DateFormat=P","Fill=—","Direction=H","UseDPDF=Y")</f>
        <v>618.4</v>
      </c>
      <c r="Z14" s="19">
        <v>585.28971509999997</v>
      </c>
      <c r="AA14" s="19">
        <v>637.37279999999998</v>
      </c>
    </row>
    <row r="15" spans="1:27" x14ac:dyDescent="0.25">
      <c r="A15" s="11" t="s">
        <v>76</v>
      </c>
      <c r="B15" s="11" t="s">
        <v>75</v>
      </c>
      <c r="C15" s="25">
        <v>99.124087591240894</v>
      </c>
      <c r="D15" s="25">
        <v>98.9963709060128</v>
      </c>
      <c r="E15" s="25">
        <v>98.975829578041797</v>
      </c>
      <c r="F15" s="25">
        <v>99.1142977646563</v>
      </c>
      <c r="G15" s="25">
        <v>99.206349206349202</v>
      </c>
      <c r="H15" s="25">
        <v>98.955512572533806</v>
      </c>
      <c r="I15" s="25">
        <v>98.830173457039095</v>
      </c>
      <c r="J15" s="25">
        <v>98.774302620456496</v>
      </c>
      <c r="K15" s="25">
        <v>98.9269643475251</v>
      </c>
      <c r="L15" s="25">
        <v>98.581081081081095</v>
      </c>
      <c r="M15" s="25">
        <v>98.685897435897402</v>
      </c>
      <c r="N15" s="25">
        <v>98.518995492594996</v>
      </c>
      <c r="O15" s="25">
        <v>98.730830248545701</v>
      </c>
      <c r="P15" s="25">
        <v>98.427429749935598</v>
      </c>
      <c r="Q15" s="25">
        <v>98.131067961165101</v>
      </c>
      <c r="R15" s="25">
        <v>97.978116079923893</v>
      </c>
      <c r="S15" s="25">
        <v>97.459686326485496</v>
      </c>
      <c r="T15" s="25">
        <v>97.754611066559704</v>
      </c>
      <c r="U15" s="25">
        <v>98.350155279503099</v>
      </c>
      <c r="V15" s="25">
        <v>98.544537162817804</v>
      </c>
      <c r="W15" s="25">
        <v>98.441206370721801</v>
      </c>
      <c r="X15" s="25">
        <v>98.714033113647304</v>
      </c>
      <c r="Y15" s="25">
        <v>98.518400509797701</v>
      </c>
      <c r="Z15" s="25">
        <v>98.278000000000006</v>
      </c>
      <c r="AA15" s="25">
        <v>98.36</v>
      </c>
    </row>
    <row r="16" spans="1:27" x14ac:dyDescent="0.25">
      <c r="A16" s="6" t="s">
        <v>77</v>
      </c>
      <c r="B16" s="6" t="s">
        <v>78</v>
      </c>
      <c r="C16" s="19">
        <f>_xll.BDH("NBIX US Equity","EBITDA","FQ2 2019","FQ2 2019","Currency=USD","Period=FQ","BEST_FPERIOD_OVERRIDE=FQ","FILING_STATUS=MR","SCALING_FORMAT=MLN","FA_ADJUSTED=Adjusted","Sort=A","Dates=H","DateFormat=P","Fill=—","Direction=H","UseDPDF=Y")</f>
        <v>43.247</v>
      </c>
      <c r="D16" s="19">
        <f>_xll.BDH("NBIX US Equity","EBITDA","FQ3 2019","FQ3 2019","Currency=USD","Period=FQ","BEST_FPERIOD_OVERRIDE=FQ","FILING_STATUS=MR","SCALING_FORMAT=MLN","FA_ADJUSTED=Adjusted","Sort=A","Dates=H","DateFormat=P","Fill=—","Direction=H","UseDPDF=Y")</f>
        <v>94.106999999999999</v>
      </c>
      <c r="E16" s="19">
        <f>_xll.BDH("NBIX US Equity","EBITDA","FQ4 2019","FQ4 2019","Currency=USD","Period=FQ","BEST_FPERIOD_OVERRIDE=FQ","FILING_STATUS=MR","SCALING_FORMAT=MLN","FA_ADJUSTED=Adjusted","Sort=A","Dates=H","DateFormat=P","Fill=—","Direction=H","UseDPDF=Y")</f>
        <v>89.239000000000004</v>
      </c>
      <c r="F16" s="19">
        <f>_xll.BDH("NBIX US Equity","EBITDA","FQ1 2020","FQ1 2020","Currency=USD","Period=FQ","BEST_FPERIOD_OVERRIDE=FQ","FILING_STATUS=MR","SCALING_FORMAT=MLN","FA_ADJUSTED=Adjusted","Sort=A","Dates=H","DateFormat=P","Fill=—","Direction=H","UseDPDF=Y")</f>
        <v>63.5</v>
      </c>
      <c r="G16" s="19">
        <f>_xll.BDH("NBIX US Equity","EBITDA","FQ2 2020","FQ2 2020","Currency=USD","Period=FQ","BEST_FPERIOD_OVERRIDE=FQ","FILING_STATUS=MR","SCALING_FORMAT=MLN","FA_ADJUSTED=Adjusted","Sort=A","Dates=H","DateFormat=P","Fill=—","Direction=H","UseDPDF=Y")</f>
        <v>127.2</v>
      </c>
      <c r="H16" s="19">
        <f>_xll.BDH("NBIX US Equity","EBITDA","FQ3 2020","FQ3 2020","Currency=USD","Period=FQ","BEST_FPERIOD_OVERRIDE=FQ","FILING_STATUS=MR","SCALING_FORMAT=MLN","FA_ADJUSTED=Adjusted","Sort=A","Dates=H","DateFormat=P","Fill=—","Direction=H","UseDPDF=Y")</f>
        <v>78.8</v>
      </c>
      <c r="I16" s="19">
        <f>_xll.BDH("NBIX US Equity","EBITDA","FQ4 2020","FQ4 2020","Currency=USD","Period=FQ","BEST_FPERIOD_OVERRIDE=FQ","FILING_STATUS=MR","SCALING_FORMAT=MLN","FA_ADJUSTED=Adjusted","Sort=A","Dates=H","DateFormat=P","Fill=—","Direction=H","UseDPDF=Y")</f>
        <v>76.7</v>
      </c>
      <c r="J16" s="19">
        <f>_xll.BDH("NBIX US Equity","EBITDA","FQ1 2021","FQ1 2021","Currency=USD","Period=FQ","BEST_FPERIOD_OVERRIDE=FQ","FILING_STATUS=MR","SCALING_FORMAT=MLN","FA_ADJUSTED=Adjusted","Sort=A","Dates=H","DateFormat=P","Fill=—","Direction=H","UseDPDF=Y")</f>
        <v>37.4</v>
      </c>
      <c r="K16" s="19">
        <f>_xll.BDH("NBIX US Equity","EBITDA","FQ2 2021","FQ2 2021","Currency=USD","Period=FQ","BEST_FPERIOD_OVERRIDE=FQ","FILING_STATUS=MR","SCALING_FORMAT=MLN","FA_ADJUSTED=Adjusted","Sort=A","Dates=H","DateFormat=P","Fill=—","Direction=H","UseDPDF=Y")</f>
        <v>74.3</v>
      </c>
      <c r="L16" s="19">
        <f>_xll.BDH("NBIX US Equity","EBITDA","FQ3 2021","FQ3 2021","Currency=USD","Period=FQ","BEST_FPERIOD_OVERRIDE=FQ","FILING_STATUS=MR","SCALING_FORMAT=MLN","FA_ADJUSTED=Adjusted","Sort=A","Dates=H","DateFormat=P","Fill=—","Direction=H","UseDPDF=Y")</f>
        <v>51.2</v>
      </c>
      <c r="M16" s="19">
        <f>_xll.BDH("NBIX US Equity","EBITDA","FQ4 2021","FQ4 2021","Currency=USD","Period=FQ","BEST_FPERIOD_OVERRIDE=FQ","FILING_STATUS=MR","SCALING_FORMAT=MLN","FA_ADJUSTED=Adjusted","Sort=A","Dates=H","DateFormat=P","Fill=—","Direction=H","UseDPDF=Y")</f>
        <v>71.099999999999994</v>
      </c>
      <c r="N16" s="19">
        <f>_xll.BDH("NBIX US Equity","EBITDA","FQ1 2022","FQ1 2022","Currency=USD","Period=FQ","BEST_FPERIOD_OVERRIDE=FQ","FILING_STATUS=MR","SCALING_FORMAT=MLN","FA_ADJUSTED=Adjusted","Sort=A","Dates=H","DateFormat=P","Fill=—","Direction=H","UseDPDF=Y")</f>
        <v>10.5</v>
      </c>
      <c r="O16" s="19">
        <f>_xll.BDH("NBIX US Equity","EBITDA","FQ2 2022","FQ2 2022","Currency=USD","Period=FQ","BEST_FPERIOD_OVERRIDE=FQ","FILING_STATUS=MR","SCALING_FORMAT=MLN","FA_ADJUSTED=Adjusted","Sort=A","Dates=H","DateFormat=P","Fill=—","Direction=H","UseDPDF=Y")</f>
        <v>62.7</v>
      </c>
      <c r="P16" s="19">
        <f>_xll.BDH("NBIX US Equity","EBITDA","FQ3 2022","FQ3 2022","Currency=USD","Period=FQ","BEST_FPERIOD_OVERRIDE=FQ","FILING_STATUS=MR","SCALING_FORMAT=MLN","FA_ADJUSTED=Adjusted","Sort=A","Dates=H","DateFormat=P","Fill=—","Direction=H","UseDPDF=Y")</f>
        <v>96.1</v>
      </c>
      <c r="Q16" s="19">
        <f>_xll.BDH("NBIX US Equity","EBITDA","FQ4 2022","FQ4 2022","Currency=USD","Period=FQ","BEST_FPERIOD_OVERRIDE=FQ","FILING_STATUS=MR","SCALING_FORMAT=MLN","FA_ADJUSTED=Adjusted","Sort=A","Dates=H","DateFormat=P","Fill=—","Direction=H","UseDPDF=Y")</f>
        <v>113.3</v>
      </c>
      <c r="R16" s="19">
        <f>_xll.BDH("NBIX US Equity","EBITDA","FQ1 2023","FQ1 2023","Currency=USD","Period=FQ","BEST_FPERIOD_OVERRIDE=FQ","FILING_STATUS=MR","SCALING_FORMAT=MLN","FA_ADJUSTED=Adjusted","Sort=A","Dates=H","DateFormat=P","Fill=—","Direction=H","UseDPDF=Y")</f>
        <v>38.799999999999997</v>
      </c>
      <c r="S16" s="19">
        <f>_xll.BDH("NBIX US Equity","EBITDA","FQ2 2023","FQ2 2023","Currency=USD","Period=FQ","BEST_FPERIOD_OVERRIDE=FQ","FILING_STATUS=MR","SCALING_FORMAT=MLN","FA_ADJUSTED=Adjusted","Sort=A","Dates=H","DateFormat=P","Fill=—","Direction=H","UseDPDF=Y")</f>
        <v>82.8</v>
      </c>
      <c r="T16" s="19">
        <f>_xll.BDH("NBIX US Equity","EBITDA","FQ3 2023","FQ3 2023","Currency=USD","Period=FQ","BEST_FPERIOD_OVERRIDE=FQ","FILING_STATUS=MR","SCALING_FORMAT=MLN","FA_ADJUSTED=Adjusted","Sort=A","Dates=H","DateFormat=P","Fill=—","Direction=H","UseDPDF=Y")</f>
        <v>154.4</v>
      </c>
      <c r="U16" s="19">
        <f>_xll.BDH("NBIX US Equity","EBITDA","FQ4 2023","FQ4 2023","Currency=USD","Period=FQ","BEST_FPERIOD_OVERRIDE=FQ","FILING_STATUS=MR","SCALING_FORMAT=MLN","FA_ADJUSTED=Adjusted","Sort=A","Dates=H","DateFormat=P","Fill=—","Direction=H","UseDPDF=Y")</f>
        <v>160.4</v>
      </c>
      <c r="V16" s="19">
        <f>_xll.BDH("NBIX US Equity","EBITDA","FQ1 2024","FQ1 2024","Currency=USD","Period=FQ","BEST_FPERIOD_OVERRIDE=FQ","FILING_STATUS=MR","SCALING_FORMAT=MLN","FA_ADJUSTED=Adjusted","Sort=A","Dates=H","DateFormat=P","Fill=—","Direction=H","UseDPDF=Y")</f>
        <v>120.5</v>
      </c>
      <c r="W16" s="19">
        <f>_xll.BDH("NBIX US Equity","EBITDA","FQ2 2024","FQ2 2024","Currency=USD","Period=FQ","BEST_FPERIOD_OVERRIDE=FQ","FILING_STATUS=MR","SCALING_FORMAT=MLN","FA_ADJUSTED=Adjusted","Sort=A","Dates=H","DateFormat=P","Fill=—","Direction=H","UseDPDF=Y")</f>
        <v>228.1</v>
      </c>
      <c r="X16" s="19">
        <f>_xll.BDH("NBIX US Equity","EBITDA","FQ3 2024","FQ3 2024","Currency=USD","Period=FQ","BEST_FPERIOD_OVERRIDE=FQ","FILING_STATUS=MR","SCALING_FORMAT=MLN","FA_ADJUSTED=Adjusted","Sort=A","Dates=H","DateFormat=P","Fill=—","Direction=H","UseDPDF=Y")</f>
        <v>200.1</v>
      </c>
      <c r="Y16" s="19">
        <f>_xll.BDH("NBIX US Equity","EBITDA","FQ4 2024","FQ4 2024","Currency=USD","Period=FQ","BEST_FPERIOD_OVERRIDE=FQ","FILING_STATUS=MR","SCALING_FORMAT=MLN","FA_ADJUSTED=Adjusted","Sort=A","Dates=H","DateFormat=P","Fill=—","Direction=H","UseDPDF=Y")</f>
        <v>167.1</v>
      </c>
      <c r="Z16" s="19">
        <v>149.143</v>
      </c>
      <c r="AA16" s="19">
        <v>170.429</v>
      </c>
    </row>
    <row r="17" spans="1:27" x14ac:dyDescent="0.25">
      <c r="A17" s="11" t="s">
        <v>76</v>
      </c>
      <c r="B17" s="11" t="s">
        <v>78</v>
      </c>
      <c r="C17" s="25">
        <v>23.557577078113098</v>
      </c>
      <c r="D17" s="25">
        <v>42.372598989617003</v>
      </c>
      <c r="E17" s="25">
        <v>36.558377714051602</v>
      </c>
      <c r="F17" s="25">
        <v>26.7819485449178</v>
      </c>
      <c r="G17" s="25">
        <v>42.063492063492099</v>
      </c>
      <c r="H17" s="25">
        <v>30.483558994197299</v>
      </c>
      <c r="I17" s="25">
        <v>30.939895118999601</v>
      </c>
      <c r="J17" s="25">
        <v>15.8072696534235</v>
      </c>
      <c r="K17" s="25">
        <v>25.7182416060921</v>
      </c>
      <c r="L17" s="25">
        <v>17.297297297297298</v>
      </c>
      <c r="M17" s="25">
        <v>22.788461538461501</v>
      </c>
      <c r="N17" s="25">
        <v>3.3805537669027701</v>
      </c>
      <c r="O17" s="25">
        <v>16.578529878371199</v>
      </c>
      <c r="P17" s="25">
        <v>24.774426398556301</v>
      </c>
      <c r="Q17" s="25">
        <v>27.5</v>
      </c>
      <c r="R17" s="25">
        <v>9.2293054234062808</v>
      </c>
      <c r="S17" s="25">
        <v>18.290258449304201</v>
      </c>
      <c r="T17" s="25">
        <v>30.954290296712099</v>
      </c>
      <c r="U17" s="25">
        <v>31.133540372670801</v>
      </c>
      <c r="V17" s="25">
        <v>23.384436250727699</v>
      </c>
      <c r="W17" s="25">
        <v>38.6479159606913</v>
      </c>
      <c r="X17" s="25">
        <v>32.165246744896301</v>
      </c>
      <c r="Y17" s="25">
        <v>26.620997291699901</v>
      </c>
      <c r="Z17" s="25">
        <v>25.043111771570601</v>
      </c>
      <c r="AA17" s="25">
        <v>26.300771604938301</v>
      </c>
    </row>
    <row r="18" spans="1:27" x14ac:dyDescent="0.25">
      <c r="A18" s="6" t="s">
        <v>79</v>
      </c>
      <c r="B18" s="6" t="s">
        <v>80</v>
      </c>
      <c r="C18" s="19">
        <f>_xll.BDH("NBIX US Equity","EARN_FOR_COMMON","FQ2 2019","FQ2 2019","Currency=USD","Period=FQ","BEST_FPERIOD_OVERRIDE=FQ","FILING_STATUS=MR","SCALING_FORMAT=MLN","FA_ADJUSTED=Adjusted","Sort=A","Dates=H","DateFormat=P","Fill=—","Direction=H","UseDPDF=Y")</f>
        <v>38.725700000000003</v>
      </c>
      <c r="D18" s="19">
        <f>_xll.BDH("NBIX US Equity","EARN_FOR_COMMON","FQ3 2019","FQ3 2019","Currency=USD","Period=FQ","BEST_FPERIOD_OVERRIDE=FQ","FILING_STATUS=MR","SCALING_FORMAT=MLN","FA_ADJUSTED=Adjusted","Sort=A","Dates=H","DateFormat=P","Fill=—","Direction=H","UseDPDF=Y")</f>
        <v>76.264499999999998</v>
      </c>
      <c r="E18" s="19">
        <f>_xll.BDH("NBIX US Equity","EARN_FOR_COMMON","FQ4 2019","FQ4 2019","Currency=USD","Period=FQ","BEST_FPERIOD_OVERRIDE=FQ","FILING_STATUS=MR","SCALING_FORMAT=MLN","FA_ADJUSTED=Adjusted","Sort=A","Dates=H","DateFormat=P","Fill=—","Direction=H","UseDPDF=Y")</f>
        <v>76.896799999999999</v>
      </c>
      <c r="F18" s="19">
        <f>_xll.BDH("NBIX US Equity","EARN_FOR_COMMON","FQ1 2020","FQ1 2020","Currency=USD","Period=FQ","BEST_FPERIOD_OVERRIDE=FQ","FILING_STATUS=MR","SCALING_FORMAT=MLN","FA_ADJUSTED=Adjusted","Sort=A","Dates=H","DateFormat=P","Fill=—","Direction=H","UseDPDF=Y")</f>
        <v>53.290300000000002</v>
      </c>
      <c r="G18" s="19">
        <f>_xll.BDH("NBIX US Equity","EARN_FOR_COMMON","FQ2 2020","FQ2 2020","Currency=USD","Period=FQ","BEST_FPERIOD_OVERRIDE=FQ","FILING_STATUS=MR","SCALING_FORMAT=MLN","FA_ADJUSTED=Adjusted","Sort=A","Dates=H","DateFormat=P","Fill=—","Direction=H","UseDPDF=Y")</f>
        <v>114.2418</v>
      </c>
      <c r="H18" s="19">
        <f>_xll.BDH("NBIX US Equity","EARN_FOR_COMMON","FQ3 2020","FQ3 2020","Currency=USD","Period=FQ","BEST_FPERIOD_OVERRIDE=FQ","FILING_STATUS=MR","SCALING_FORMAT=MLN","FA_ADJUSTED=Adjusted","Sort=A","Dates=H","DateFormat=P","Fill=—","Direction=H","UseDPDF=Y")</f>
        <v>65.025999999999996</v>
      </c>
      <c r="I18" s="19">
        <f>_xll.BDH("NBIX US Equity","EARN_FOR_COMMON","FQ4 2020","FQ4 2020","Currency=USD","Period=FQ","BEST_FPERIOD_OVERRIDE=FQ","FILING_STATUS=MR","SCALING_FORMAT=MLN","FA_ADJUSTED=Adjusted","Sort=A","Dates=H","DateFormat=P","Fill=—","Direction=H","UseDPDF=Y")</f>
        <v>221.69630000000001</v>
      </c>
      <c r="J18" s="19">
        <f>_xll.BDH("NBIX US Equity","EARN_FOR_COMMON","FQ1 2021","FQ1 2021","Currency=USD","Period=FQ","BEST_FPERIOD_OVERRIDE=FQ","FILING_STATUS=MR","SCALING_FORMAT=MLN","FA_ADJUSTED=Adjusted","Sort=A","Dates=H","DateFormat=P","Fill=—","Direction=H","UseDPDF=Y")</f>
        <v>31.7867</v>
      </c>
      <c r="K18" s="19">
        <f>_xll.BDH("NBIX US Equity","EARN_FOR_COMMON","FQ2 2021","FQ2 2021","Currency=USD","Period=FQ","BEST_FPERIOD_OVERRIDE=FQ","FILING_STATUS=MR","SCALING_FORMAT=MLN","FA_ADJUSTED=Adjusted","Sort=A","Dates=H","DateFormat=P","Fill=—","Direction=H","UseDPDF=Y")</f>
        <v>46.698099999999997</v>
      </c>
      <c r="L18" s="19">
        <f>_xll.BDH("NBIX US Equity","EARN_FOR_COMMON","FQ3 2021","FQ3 2021","Currency=USD","Period=FQ","BEST_FPERIOD_OVERRIDE=FQ","FILING_STATUS=MR","SCALING_FORMAT=MLN","FA_ADJUSTED=Adjusted","Sort=A","Dates=H","DateFormat=P","Fill=—","Direction=H","UseDPDF=Y")</f>
        <v>29.953099999999999</v>
      </c>
      <c r="M18" s="19">
        <f>_xll.BDH("NBIX US Equity","EARN_FOR_COMMON","FQ4 2021","FQ4 2021","Currency=USD","Period=FQ","BEST_FPERIOD_OVERRIDE=FQ","FILING_STATUS=MR","SCALING_FORMAT=MLN","FA_ADJUSTED=Adjusted","Sort=A","Dates=H","DateFormat=P","Fill=—","Direction=H","UseDPDF=Y")</f>
        <v>49.500999999999998</v>
      </c>
      <c r="N18" s="19">
        <f>_xll.BDH("NBIX US Equity","EARN_FOR_COMMON","FQ1 2022","FQ1 2022","Currency=USD","Period=FQ","BEST_FPERIOD_OVERRIDE=FQ","FILING_STATUS=MR","SCALING_FORMAT=MLN","FA_ADJUSTED=Adjusted","Sort=A","Dates=H","DateFormat=P","Fill=—","Direction=H","UseDPDF=Y")</f>
        <v>-4.0669000000000004</v>
      </c>
      <c r="O18" s="19">
        <f>_xll.BDH("NBIX US Equity","EARN_FOR_COMMON","FQ2 2022","FQ2 2022","Currency=USD","Period=FQ","BEST_FPERIOD_OVERRIDE=FQ","FILING_STATUS=MR","SCALING_FORMAT=MLN","FA_ADJUSTED=Adjusted","Sort=A","Dates=H","DateFormat=P","Fill=—","Direction=H","UseDPDF=Y")</f>
        <v>-11.054</v>
      </c>
      <c r="P18" s="19">
        <f>_xll.BDH("NBIX US Equity","EARN_FOR_COMMON","FQ3 2022","FQ3 2022","Currency=USD","Period=FQ","BEST_FPERIOD_OVERRIDE=FQ","FILING_STATUS=MR","SCALING_FORMAT=MLN","FA_ADJUSTED=Adjusted","Sort=A","Dates=H","DateFormat=P","Fill=—","Direction=H","UseDPDF=Y")</f>
        <v>78.789299999999997</v>
      </c>
      <c r="Q18" s="19">
        <f>_xll.BDH("NBIX US Equity","EARN_FOR_COMMON","FQ4 2022","FQ4 2022","Currency=USD","Period=FQ","BEST_FPERIOD_OVERRIDE=FQ","FILING_STATUS=MR","SCALING_FORMAT=MLN","FA_ADJUSTED=Adjusted","Sort=A","Dates=H","DateFormat=P","Fill=—","Direction=H","UseDPDF=Y")</f>
        <v>90.033799999999999</v>
      </c>
      <c r="R18" s="19">
        <f>_xll.BDH("NBIX US Equity","EARN_FOR_COMMON","FQ1 2023","FQ1 2023","Currency=USD","Period=FQ","BEST_FPERIOD_OVERRIDE=FQ","FILING_STATUS=MR","SCALING_FORMAT=MLN","FA_ADJUSTED=Adjusted","Sort=A","Dates=H","DateFormat=P","Fill=—","Direction=H","UseDPDF=Y")</f>
        <v>35.544400000000003</v>
      </c>
      <c r="S18" s="19">
        <f>_xll.BDH("NBIX US Equity","EARN_FOR_COMMON","FQ2 2023","FQ2 2023","Currency=USD","Period=FQ","BEST_FPERIOD_OVERRIDE=FQ","FILING_STATUS=MR","SCALING_FORMAT=MLN","FA_ADJUSTED=Adjusted","Sort=A","Dates=H","DateFormat=P","Fill=—","Direction=H","UseDPDF=Y")</f>
        <v>66.033000000000001</v>
      </c>
      <c r="T18" s="19">
        <f>_xll.BDH("NBIX US Equity","EARN_FOR_COMMON","FQ3 2023","FQ3 2023","Currency=USD","Period=FQ","BEST_FPERIOD_OVERRIDE=FQ","FILING_STATUS=MR","SCALING_FORMAT=MLN","FA_ADJUSTED=Adjusted","Sort=A","Dates=H","DateFormat=P","Fill=—","Direction=H","UseDPDF=Y")</f>
        <v>138.017</v>
      </c>
      <c r="U18" s="19">
        <f>_xll.BDH("NBIX US Equity","EARN_FOR_COMMON","FQ4 2023","FQ4 2023","Currency=USD","Period=FQ","BEST_FPERIOD_OVERRIDE=FQ","FILING_STATUS=MR","SCALING_FORMAT=MLN","FA_ADJUSTED=Adjusted","Sort=A","Dates=H","DateFormat=P","Fill=—","Direction=H","UseDPDF=Y")</f>
        <v>124.79</v>
      </c>
      <c r="V18" s="19">
        <f>_xll.BDH("NBIX US Equity","EARN_FOR_COMMON","FQ1 2024","FQ1 2024","Currency=USD","Period=FQ","BEST_FPERIOD_OVERRIDE=FQ","FILING_STATUS=MR","SCALING_FORMAT=MLN","FA_ADJUSTED=Adjusted","Sort=A","Dates=H","DateFormat=P","Fill=—","Direction=H","UseDPDF=Y")</f>
        <v>47.158499999999997</v>
      </c>
      <c r="W18" s="19">
        <f>_xll.BDH("NBIX US Equity","EARN_FOR_COMMON","FQ2 2024","FQ2 2024","Currency=USD","Period=FQ","BEST_FPERIOD_OVERRIDE=FQ","FILING_STATUS=MR","SCALING_FORMAT=MLN","FA_ADJUSTED=Adjusted","Sort=A","Dates=H","DateFormat=P","Fill=—","Direction=H","UseDPDF=Y")</f>
        <v>174.25710000000001</v>
      </c>
      <c r="X18" s="19">
        <f>_xll.BDH("NBIX US Equity","EARN_FOR_COMMON","FQ3 2024","FQ3 2024","Currency=USD","Period=FQ","BEST_FPERIOD_OVERRIDE=FQ","FILING_STATUS=MR","SCALING_FORMAT=MLN","FA_ADJUSTED=Adjusted","Sort=A","Dates=H","DateFormat=P","Fill=—","Direction=H","UseDPDF=Y")</f>
        <v>157.27289999999999</v>
      </c>
      <c r="Y18" s="19">
        <f>_xll.BDH("NBIX US Equity","EARN_FOR_COMMON","FQ4 2024","FQ4 2024","Currency=USD","Period=FQ","BEST_FPERIOD_OVERRIDE=FQ","FILING_STATUS=MR","SCALING_FORMAT=MLN","FA_ADJUSTED=Adjusted","Sort=A","Dates=H","DateFormat=P","Fill=—","Direction=H","UseDPDF=Y")</f>
        <v>107.37269999999999</v>
      </c>
      <c r="Z18" s="19">
        <v>115.45</v>
      </c>
      <c r="AA18" s="19">
        <v>135.04</v>
      </c>
    </row>
    <row r="19" spans="1:27" x14ac:dyDescent="0.25">
      <c r="A19" s="11" t="s">
        <v>76</v>
      </c>
      <c r="B19" s="11" t="s">
        <v>80</v>
      </c>
      <c r="C19" s="25">
        <v>21.094699858372401</v>
      </c>
      <c r="D19" s="25">
        <v>34.338838509820199</v>
      </c>
      <c r="E19" s="25">
        <v>31.502176157312601</v>
      </c>
      <c r="F19" s="25">
        <v>22.475875158161099</v>
      </c>
      <c r="G19" s="25">
        <v>37.7783660714286</v>
      </c>
      <c r="H19" s="25">
        <v>25.1551079303675</v>
      </c>
      <c r="I19" s="25">
        <v>89.4297462686567</v>
      </c>
      <c r="J19" s="25">
        <v>13.434778529163101</v>
      </c>
      <c r="K19" s="25">
        <v>16.164121841467601</v>
      </c>
      <c r="L19" s="25">
        <v>10.119289527027</v>
      </c>
      <c r="M19" s="25">
        <v>15.8657051282051</v>
      </c>
      <c r="N19" s="25">
        <v>-1.30935511912428</v>
      </c>
      <c r="O19" s="25">
        <v>-2.9227921734532001</v>
      </c>
      <c r="P19" s="25">
        <v>20.3117623098737</v>
      </c>
      <c r="Q19" s="25">
        <v>21.852857766990301</v>
      </c>
      <c r="R19" s="25">
        <v>8.4549005708848703</v>
      </c>
      <c r="S19" s="25">
        <v>14.586481113320099</v>
      </c>
      <c r="T19" s="25">
        <v>27.6698043303929</v>
      </c>
      <c r="U19" s="25">
        <v>24.2216614906832</v>
      </c>
      <c r="V19" s="25">
        <v>9.1516666019794304</v>
      </c>
      <c r="W19" s="25">
        <v>29.5250943747882</v>
      </c>
      <c r="X19" s="25">
        <v>25.280973637678802</v>
      </c>
      <c r="Y19" s="25">
        <v>17.1057363390155</v>
      </c>
      <c r="Z19" s="25">
        <v>19.385604782174301</v>
      </c>
      <c r="AA19" s="25">
        <v>20.839506172839499</v>
      </c>
    </row>
    <row r="20" spans="1:27" x14ac:dyDescent="0.25">
      <c r="A20" s="6" t="s">
        <v>81</v>
      </c>
      <c r="B20" s="6" t="s">
        <v>82</v>
      </c>
      <c r="C20" s="20">
        <f>_xll.BDH("NBIX US Equity","IS_DIL_EPS_CONT_OPS","FQ2 2019","FQ2 2019","Currency=USD","Period=FQ","BEST_FPERIOD_OVERRIDE=FQ","FILING_STATUS=MR","Sort=A","Dates=H","DateFormat=P","Fill=—","Direction=H","UseDPDF=Y")</f>
        <v>0.40689999999999998</v>
      </c>
      <c r="D20" s="20">
        <f>_xll.BDH("NBIX US Equity","IS_DIL_EPS_CONT_OPS","FQ3 2019","FQ3 2019","Currency=USD","Period=FQ","BEST_FPERIOD_OVERRIDE=FQ","FILING_STATUS=MR","Sort=A","Dates=H","DateFormat=P","Fill=—","Direction=H","UseDPDF=Y")</f>
        <v>0.79390000000000005</v>
      </c>
      <c r="E20" s="20">
        <f>_xll.BDH("NBIX US Equity","IS_DIL_EPS_CONT_OPS","FQ4 2019","FQ4 2019","Currency=USD","Period=FQ","BEST_FPERIOD_OVERRIDE=FQ","FILING_STATUS=MR","Sort=A","Dates=H","DateFormat=P","Fill=—","Direction=H","UseDPDF=Y")</f>
        <v>0.7913</v>
      </c>
      <c r="F20" s="20">
        <f>_xll.BDH("NBIX US Equity","IS_DIL_EPS_CONT_OPS","FQ1 2020","FQ1 2020","Currency=USD","Period=FQ","BEST_FPERIOD_OVERRIDE=FQ","FILING_STATUS=MR","Sort=A","Dates=H","DateFormat=P","Fill=—","Direction=H","UseDPDF=Y")</f>
        <v>0.55379999999999996</v>
      </c>
      <c r="G20" s="20">
        <f>_xll.BDH("NBIX US Equity","IS_DIL_EPS_CONT_OPS","FQ2 2020","FQ2 2020","Currency=USD","Period=FQ","BEST_FPERIOD_OVERRIDE=FQ","FILING_STATUS=MR","Sort=A","Dates=H","DateFormat=P","Fill=—","Direction=H","UseDPDF=Y")</f>
        <v>1.1628000000000001</v>
      </c>
      <c r="H20" s="20">
        <f>_xll.BDH("NBIX US Equity","IS_DIL_EPS_CONT_OPS","FQ3 2020","FQ3 2020","Currency=USD","Period=FQ","BEST_FPERIOD_OVERRIDE=FQ","FILING_STATUS=MR","Sort=A","Dates=H","DateFormat=P","Fill=—","Direction=H","UseDPDF=Y")</f>
        <v>0.69430000000000003</v>
      </c>
      <c r="I20" s="20">
        <f>_xll.BDH("NBIX US Equity","IS_DIL_EPS_CONT_OPS","FQ4 2020","FQ4 2020","Currency=USD","Period=FQ","BEST_FPERIOD_OVERRIDE=FQ","FILING_STATUS=MR","Sort=A","Dates=H","DateFormat=P","Fill=—","Direction=H","UseDPDF=Y")</f>
        <v>2.2816000000000001</v>
      </c>
      <c r="J20" s="20">
        <f>_xll.BDH("NBIX US Equity","IS_DIL_EPS_CONT_OPS","FQ1 2021","FQ1 2021","Currency=USD","Period=FQ","BEST_FPERIOD_OVERRIDE=FQ","FILING_STATUS=MR","Sort=A","Dates=H","DateFormat=P","Fill=—","Direction=H","UseDPDF=Y")</f>
        <v>0.32679999999999998</v>
      </c>
      <c r="K20" s="20">
        <f>_xll.BDH("NBIX US Equity","IS_DIL_EPS_CONT_OPS","FQ2 2021","FQ2 2021","Currency=USD","Period=FQ","BEST_FPERIOD_OVERRIDE=FQ","FILING_STATUS=MR","Sort=A","Dates=H","DateFormat=P","Fill=—","Direction=H","UseDPDF=Y")</f>
        <v>0.47499999999999998</v>
      </c>
      <c r="L20" s="20">
        <f>_xll.BDH("NBIX US Equity","IS_DIL_EPS_CONT_OPS","FQ3 2021","FQ3 2021","Currency=USD","Period=FQ","BEST_FPERIOD_OVERRIDE=FQ","FILING_STATUS=MR","Sort=A","Dates=H","DateFormat=P","Fill=—","Direction=H","UseDPDF=Y")</f>
        <v>0.30630000000000002</v>
      </c>
      <c r="M20" s="20">
        <f>_xll.BDH("NBIX US Equity","IS_DIL_EPS_CONT_OPS","FQ4 2021","FQ4 2021","Currency=USD","Period=FQ","BEST_FPERIOD_OVERRIDE=FQ","FILING_STATUS=MR","Sort=A","Dates=H","DateFormat=P","Fill=—","Direction=H","UseDPDF=Y")</f>
        <v>0.51849999999999996</v>
      </c>
      <c r="N20" s="20">
        <f>_xll.BDH("NBIX US Equity","IS_DIL_EPS_CONT_OPS","FQ1 2022","FQ1 2022","Currency=USD","Period=FQ","BEST_FPERIOD_OVERRIDE=FQ","FILING_STATUS=MR","Sort=A","Dates=H","DateFormat=P","Fill=—","Direction=H","UseDPDF=Y")</f>
        <v>-4.41E-2</v>
      </c>
      <c r="O20" s="20">
        <f>_xll.BDH("NBIX US Equity","IS_DIL_EPS_CONT_OPS","FQ2 2022","FQ2 2022","Currency=USD","Period=FQ","BEST_FPERIOD_OVERRIDE=FQ","FILING_STATUS=MR","Sort=A","Dates=H","DateFormat=P","Fill=—","Direction=H","UseDPDF=Y")</f>
        <v>-0.1188</v>
      </c>
      <c r="P20" s="20">
        <f>_xll.BDH("NBIX US Equity","IS_DIL_EPS_CONT_OPS","FQ3 2022","FQ3 2022","Currency=USD","Period=FQ","BEST_FPERIOD_OVERRIDE=FQ","FILING_STATUS=MR","Sort=A","Dates=H","DateFormat=P","Fill=—","Direction=H","UseDPDF=Y")</f>
        <v>0.79390000000000005</v>
      </c>
      <c r="Q20" s="20">
        <f>_xll.BDH("NBIX US Equity","IS_DIL_EPS_CONT_OPS","FQ4 2022","FQ4 2022","Currency=USD","Period=FQ","BEST_FPERIOD_OVERRIDE=FQ","FILING_STATUS=MR","Sort=A","Dates=H","DateFormat=P","Fill=—","Direction=H","UseDPDF=Y")</f>
        <v>0.89029999999999998</v>
      </c>
      <c r="R20" s="20">
        <f>_xll.BDH("NBIX US Equity","IS_DIL_EPS_CONT_OPS","FQ1 2023","FQ1 2023","Currency=USD","Period=FQ","BEST_FPERIOD_OVERRIDE=FQ","FILING_STATUS=MR","Sort=A","Dates=H","DateFormat=P","Fill=—","Direction=H","UseDPDF=Y")</f>
        <v>0.3649</v>
      </c>
      <c r="S20" s="20">
        <f>_xll.BDH("NBIX US Equity","IS_DIL_EPS_CONT_OPS","FQ2 2023","FQ2 2023","Currency=USD","Period=FQ","BEST_FPERIOD_OVERRIDE=FQ","FILING_STATUS=MR","Sort=A","Dates=H","DateFormat=P","Fill=—","Direction=H","UseDPDF=Y")</f>
        <v>0.65590000000000004</v>
      </c>
      <c r="T20" s="20">
        <f>_xll.BDH("NBIX US Equity","IS_DIL_EPS_CONT_OPS","FQ3 2023","FQ3 2023","Currency=USD","Period=FQ","BEST_FPERIOD_OVERRIDE=FQ","FILING_STATUS=MR","Sort=A","Dates=H","DateFormat=P","Fill=—","Direction=H","UseDPDF=Y")</f>
        <v>1.3632</v>
      </c>
      <c r="U20" s="20">
        <f>_xll.BDH("NBIX US Equity","IS_DIL_EPS_CONT_OPS","FQ4 2023","FQ4 2023","Currency=USD","Period=FQ","BEST_FPERIOD_OVERRIDE=FQ","FILING_STATUS=MR","Sort=A","Dates=H","DateFormat=P","Fill=—","Direction=H","UseDPDF=Y")</f>
        <v>1.2161</v>
      </c>
      <c r="V20" s="20">
        <f>_xll.BDH("NBIX US Equity","IS_DIL_EPS_CONT_OPS","FQ1 2024","FQ1 2024","Currency=USD","Period=FQ","BEST_FPERIOD_OVERRIDE=FQ","FILING_STATUS=MR","Sort=A","Dates=H","DateFormat=P","Fill=—","Direction=H","UseDPDF=Y")</f>
        <v>0.45629999999999998</v>
      </c>
      <c r="W20" s="20">
        <f>_xll.BDH("NBIX US Equity","IS_DIL_EPS_CONT_OPS","FQ2 2024","FQ2 2024","Currency=USD","Period=FQ","BEST_FPERIOD_OVERRIDE=FQ","FILING_STATUS=MR","Sort=A","Dates=H","DateFormat=P","Fill=—","Direction=H","UseDPDF=Y")</f>
        <v>1.6816</v>
      </c>
      <c r="X20" s="20">
        <f>_xll.BDH("NBIX US Equity","IS_DIL_EPS_CONT_OPS","FQ3 2024","FQ3 2024","Currency=USD","Period=FQ","BEST_FPERIOD_OVERRIDE=FQ","FILING_STATUS=MR","Sort=A","Dates=H","DateFormat=P","Fill=—","Direction=H","UseDPDF=Y")</f>
        <v>1.5034000000000001</v>
      </c>
      <c r="Y20" s="20">
        <f>_xll.BDH("NBIX US Equity","IS_DIL_EPS_CONT_OPS","FQ4 2024","FQ4 2024","Currency=USD","Period=FQ","BEST_FPERIOD_OVERRIDE=FQ","FILING_STATUS=MR","Sort=A","Dates=H","DateFormat=P","Fill=—","Direction=H","UseDPDF=Y")</f>
        <v>1.0415000000000001</v>
      </c>
      <c r="Z20" s="20">
        <v>1.2450000000000001</v>
      </c>
      <c r="AA20" s="20">
        <v>1.444</v>
      </c>
    </row>
    <row r="21" spans="1:27" x14ac:dyDescent="0.25">
      <c r="A21" s="11" t="s">
        <v>72</v>
      </c>
      <c r="B21" s="11" t="s">
        <v>83</v>
      </c>
      <c r="C21" s="26" t="str">
        <f>_xll.BDH("NBIX US Equity","DILUTED_EPS_AFT_XO_ITEMS_GROWTH","FQ2 2019","FQ2 2019","Currency=USD","Period=FQ","BEST_FPERIOD_OVERRIDE=FQ","FILING_STATUS=MR","FA_ADJUSTED=Adjusted","Sort=A","Dates=H","DateFormat=P","Fill=—","Direction=H","UseDPDF=Y")</f>
        <v>—</v>
      </c>
      <c r="D21" s="26">
        <f>_xll.BDH("NBIX US Equity","DILUTED_EPS_AFT_XO_ITEMS_GROWTH","FQ3 2019","FQ3 2019","Currency=USD","Period=FQ","BEST_FPERIOD_OVERRIDE=FQ","FILING_STATUS=MR","FA_ADJUSTED=Adjusted","Sort=A","Dates=H","DateFormat=P","Fill=—","Direction=H","UseDPDF=Y")</f>
        <v>52.680599999999998</v>
      </c>
      <c r="E21" s="26">
        <f>_xll.BDH("NBIX US Equity","DILUTED_EPS_AFT_XO_ITEMS_GROWTH","FQ4 2019","FQ4 2019","Currency=USD","Period=FQ","BEST_FPERIOD_OVERRIDE=FQ","FILING_STATUS=MR","FA_ADJUSTED=Adjusted","Sort=A","Dates=H","DateFormat=P","Fill=—","Direction=H","UseDPDF=Y")</f>
        <v>316.48680000000002</v>
      </c>
      <c r="F21" s="26" t="str">
        <f>_xll.BDH("NBIX US Equity","DILUTED_EPS_AFT_XO_ITEMS_GROWTH","FQ1 2020","FQ1 2020","Currency=USD","Period=FQ","BEST_FPERIOD_OVERRIDE=FQ","FILING_STATUS=MR","FA_ADJUSTED=Adjusted","Sort=A","Dates=H","DateFormat=P","Fill=—","Direction=H","UseDPDF=Y")</f>
        <v>—</v>
      </c>
      <c r="G21" s="26">
        <f>_xll.BDH("NBIX US Equity","DILUTED_EPS_AFT_XO_ITEMS_GROWTH","FQ2 2020","FQ2 2020","Currency=USD","Period=FQ","BEST_FPERIOD_OVERRIDE=FQ","FILING_STATUS=MR","FA_ADJUSTED=Adjusted","Sort=A","Dates=H","DateFormat=P","Fill=—","Direction=H","UseDPDF=Y")</f>
        <v>185.7422</v>
      </c>
      <c r="H21" s="26">
        <f>_xll.BDH("NBIX US Equity","DILUTED_EPS_AFT_XO_ITEMS_GROWTH","FQ3 2020","FQ3 2020","Currency=USD","Period=FQ","BEST_FPERIOD_OVERRIDE=FQ","FILING_STATUS=MR","FA_ADJUSTED=Adjusted","Sort=A","Dates=H","DateFormat=P","Fill=—","Direction=H","UseDPDF=Y")</f>
        <v>-12.547599999999999</v>
      </c>
      <c r="I21" s="26">
        <f>_xll.BDH("NBIX US Equity","DILUTED_EPS_AFT_XO_ITEMS_GROWTH","FQ4 2020","FQ4 2020","Currency=USD","Period=FQ","BEST_FPERIOD_OVERRIDE=FQ","FILING_STATUS=MR","FA_ADJUSTED=Adjusted","Sort=A","Dates=H","DateFormat=P","Fill=—","Direction=H","UseDPDF=Y")</f>
        <v>188.32759999999999</v>
      </c>
      <c r="J21" s="26">
        <f>_xll.BDH("NBIX US Equity","DILUTED_EPS_AFT_XO_ITEMS_GROWTH","FQ1 2021","FQ1 2021","Currency=USD","Period=FQ","BEST_FPERIOD_OVERRIDE=FQ","FILING_STATUS=MR","FA_ADJUSTED=Adjusted","Sort=A","Dates=H","DateFormat=P","Fill=—","Direction=H","UseDPDF=Y")</f>
        <v>-40.989800000000002</v>
      </c>
      <c r="K21" s="26">
        <f>_xll.BDH("NBIX US Equity","DILUTED_EPS_AFT_XO_ITEMS_GROWTH","FQ2 2021","FQ2 2021","Currency=USD","Period=FQ","BEST_FPERIOD_OVERRIDE=FQ","FILING_STATUS=MR","FA_ADJUSTED=Adjusted","Sort=A","Dates=H","DateFormat=P","Fill=—","Direction=H","UseDPDF=Y")</f>
        <v>-59.1477</v>
      </c>
      <c r="L21" s="26">
        <f>_xll.BDH("NBIX US Equity","DILUTED_EPS_AFT_XO_ITEMS_GROWTH","FQ3 2021","FQ3 2021","Currency=USD","Period=FQ","BEST_FPERIOD_OVERRIDE=FQ","FILING_STATUS=MR","FA_ADJUSTED=Adjusted","Sort=A","Dates=H","DateFormat=P","Fill=—","Direction=H","UseDPDF=Y")</f>
        <v>-55.886800000000001</v>
      </c>
      <c r="M21" s="26">
        <f>_xll.BDH("NBIX US Equity","DILUTED_EPS_AFT_XO_ITEMS_GROWTH","FQ4 2021","FQ4 2021","Currency=USD","Period=FQ","BEST_FPERIOD_OVERRIDE=FQ","FILING_STATUS=MR","FA_ADJUSTED=Adjusted","Sort=A","Dates=H","DateFormat=P","Fill=—","Direction=H","UseDPDF=Y")</f>
        <v>-77.273300000000006</v>
      </c>
      <c r="N21" s="26">
        <f>_xll.BDH("NBIX US Equity","DILUTED_EPS_AFT_XO_ITEMS_GROWTH","FQ1 2022","FQ1 2022","Currency=USD","Period=FQ","BEST_FPERIOD_OVERRIDE=FQ","FILING_STATUS=MR","FA_ADJUSTED=Adjusted","Sort=A","Dates=H","DateFormat=P","Fill=—","Direction=H","UseDPDF=Y")</f>
        <v>-57.575800000000001</v>
      </c>
      <c r="O21" s="26" t="str">
        <f>_xll.BDH("NBIX US Equity","DILUTED_EPS_AFT_XO_ITEMS_GROWTH","FQ2 2022","FQ2 2022","Currency=USD","Period=FQ","BEST_FPERIOD_OVERRIDE=FQ","FILING_STATUS=MR","FA_ADJUSTED=Adjusted","Sort=A","Dates=H","DateFormat=P","Fill=—","Direction=H","UseDPDF=Y")</f>
        <v>—</v>
      </c>
      <c r="P21" s="26">
        <f>_xll.BDH("NBIX US Equity","DILUTED_EPS_AFT_XO_ITEMS_GROWTH","FQ3 2022","FQ3 2022","Currency=USD","Period=FQ","BEST_FPERIOD_OVERRIDE=FQ","FILING_STATUS=MR","FA_ADJUSTED=Adjusted","Sort=A","Dates=H","DateFormat=P","Fill=—","Direction=H","UseDPDF=Y")</f>
        <v>159.21299999999999</v>
      </c>
      <c r="Q21" s="26">
        <f>_xll.BDH("NBIX US Equity","DILUTED_EPS_AFT_XO_ITEMS_GROWTH","FQ4 2022","FQ4 2022","Currency=USD","Period=FQ","BEST_FPERIOD_OVERRIDE=FQ","FILING_STATUS=MR","FA_ADJUSTED=Adjusted","Sort=A","Dates=H","DateFormat=P","Fill=—","Direction=H","UseDPDF=Y")</f>
        <v>71.686800000000005</v>
      </c>
      <c r="R21" s="26" t="str">
        <f>_xll.BDH("NBIX US Equity","DILUTED_EPS_AFT_XO_ITEMS_GROWTH","FQ1 2023","FQ1 2023","Currency=USD","Period=FQ","BEST_FPERIOD_OVERRIDE=FQ","FILING_STATUS=MR","FA_ADJUSTED=Adjusted","Sort=A","Dates=H","DateFormat=P","Fill=—","Direction=H","UseDPDF=Y")</f>
        <v>—</v>
      </c>
      <c r="S21" s="26" t="str">
        <f>_xll.BDH("NBIX US Equity","DILUTED_EPS_AFT_XO_ITEMS_GROWTH","FQ2 2023","FQ2 2023","Currency=USD","Period=FQ","BEST_FPERIOD_OVERRIDE=FQ","FILING_STATUS=MR","FA_ADJUSTED=Adjusted","Sort=A","Dates=H","DateFormat=P","Fill=—","Direction=H","UseDPDF=Y")</f>
        <v>—</v>
      </c>
      <c r="T21" s="26">
        <f>_xll.BDH("NBIX US Equity","DILUTED_EPS_AFT_XO_ITEMS_GROWTH","FQ3 2023","FQ3 2023","Currency=USD","Period=FQ","BEST_FPERIOD_OVERRIDE=FQ","FILING_STATUS=MR","FA_ADJUSTED=Adjusted","Sort=A","Dates=H","DateFormat=P","Fill=—","Direction=H","UseDPDF=Y")</f>
        <v>71.701499999999996</v>
      </c>
      <c r="U21" s="26">
        <f>_xll.BDH("NBIX US Equity","DILUTED_EPS_AFT_XO_ITEMS_GROWTH","FQ4 2023","FQ4 2023","Currency=USD","Period=FQ","BEST_FPERIOD_OVERRIDE=FQ","FILING_STATUS=MR","FA_ADJUSTED=Adjusted","Sort=A","Dates=H","DateFormat=P","Fill=—","Direction=H","UseDPDF=Y")</f>
        <v>36.595700000000001</v>
      </c>
      <c r="V21" s="26">
        <f>_xll.BDH("NBIX US Equity","DILUTED_EPS_AFT_XO_ITEMS_GROWTH","FQ1 2024","FQ1 2024","Currency=USD","Period=FQ","BEST_FPERIOD_OVERRIDE=FQ","FILING_STATUS=MR","FA_ADJUSTED=Adjusted","Sort=A","Dates=H","DateFormat=P","Fill=—","Direction=H","UseDPDF=Y")</f>
        <v>25.029499999999999</v>
      </c>
      <c r="W21" s="26">
        <f>_xll.BDH("NBIX US Equity","DILUTED_EPS_AFT_XO_ITEMS_GROWTH","FQ2 2024","FQ2 2024","Currency=USD","Period=FQ","BEST_FPERIOD_OVERRIDE=FQ","FILING_STATUS=MR","FA_ADJUSTED=Adjusted","Sort=A","Dates=H","DateFormat=P","Fill=—","Direction=H","UseDPDF=Y")</f>
        <v>156.3674</v>
      </c>
      <c r="X21" s="26">
        <f>_xll.BDH("NBIX US Equity","DILUTED_EPS_AFT_XO_ITEMS_GROWTH","FQ3 2024","FQ3 2024","Currency=USD","Period=FQ","BEST_FPERIOD_OVERRIDE=FQ","FILING_STATUS=MR","FA_ADJUSTED=Adjusted","Sort=A","Dates=H","DateFormat=P","Fill=—","Direction=H","UseDPDF=Y")</f>
        <v>10.2852</v>
      </c>
      <c r="Y21" s="26">
        <f>_xll.BDH("NBIX US Equity","DILUTED_EPS_AFT_XO_ITEMS_GROWTH","FQ4 2024","FQ4 2024","Currency=USD","Period=FQ","BEST_FPERIOD_OVERRIDE=FQ","FILING_STATUS=MR","FA_ADJUSTED=Adjusted","Sort=A","Dates=H","DateFormat=P","Fill=—","Direction=H","UseDPDF=Y")</f>
        <v>-14.352</v>
      </c>
      <c r="Z21" s="26">
        <v>172.859368938741</v>
      </c>
      <c r="AA21" s="26">
        <v>-14.127357929541599</v>
      </c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6" t="s">
        <v>84</v>
      </c>
      <c r="B23" s="6" t="s">
        <v>85</v>
      </c>
      <c r="C23" s="19">
        <f>_xll.BDH("NBIX US Equity","CF_CASH_FROM_OPER","FQ2 2019","FQ2 2019","Currency=USD","Period=FQ","BEST_FPERIOD_OVERRIDE=FQ","FILING_STATUS=MR","SCALING_FORMAT=MLN","Sort=A","Dates=H","DateFormat=P","Fill=—","Direction=H","UseDPDF=Y")</f>
        <v>64.165999999999997</v>
      </c>
      <c r="D23" s="19">
        <f>_xll.BDH("NBIX US Equity","CF_CASH_FROM_OPER","FQ3 2019","FQ3 2019","Currency=USD","Period=FQ","BEST_FPERIOD_OVERRIDE=FQ","FILING_STATUS=MR","SCALING_FORMAT=MLN","Sort=A","Dates=H","DateFormat=P","Fill=—","Direction=H","UseDPDF=Y")</f>
        <v>97.825999999999993</v>
      </c>
      <c r="E23" s="19">
        <f>_xll.BDH("NBIX US Equity","CF_CASH_FROM_OPER","FQ4 2019","FQ4 2019","Currency=USD","Period=FQ","BEST_FPERIOD_OVERRIDE=FQ","FILING_STATUS=MR","SCALING_FORMAT=MLN","Sort=A","Dates=H","DateFormat=P","Fill=—","Direction=H","UseDPDF=Y")</f>
        <v>97.498999999999995</v>
      </c>
      <c r="F23" s="19">
        <f>_xll.BDH("NBIX US Equity","CF_CASH_FROM_OPER","FQ1 2020","FQ1 2020","Currency=USD","Period=FQ","BEST_FPERIOD_OVERRIDE=FQ","FILING_STATUS=MR","SCALING_FORMAT=MLN","Sort=A","Dates=H","DateFormat=P","Fill=—","Direction=H","UseDPDF=Y")</f>
        <v>35.5</v>
      </c>
      <c r="G23" s="19">
        <f>_xll.BDH("NBIX US Equity","CF_CASH_FROM_OPER","FQ2 2020","FQ2 2020","Currency=USD","Period=FQ","BEST_FPERIOD_OVERRIDE=FQ","FILING_STATUS=MR","SCALING_FORMAT=MLN","Sort=A","Dates=H","DateFormat=P","Fill=—","Direction=H","UseDPDF=Y")</f>
        <v>118.9</v>
      </c>
      <c r="H23" s="19">
        <f>_xll.BDH("NBIX US Equity","CF_CASH_FROM_OPER","FQ3 2020","FQ3 2020","Currency=USD","Period=FQ","BEST_FPERIOD_OVERRIDE=FQ","FILING_STATUS=MR","SCALING_FORMAT=MLN","Sort=A","Dates=H","DateFormat=P","Fill=—","Direction=H","UseDPDF=Y")</f>
        <v>-20.399999999999999</v>
      </c>
      <c r="I23" s="19">
        <f>_xll.BDH("NBIX US Equity","CF_CASH_FROM_OPER","FQ4 2020","FQ4 2020","Currency=USD","Period=FQ","BEST_FPERIOD_OVERRIDE=FQ","FILING_STATUS=MR","SCALING_FORMAT=MLN","Sort=A","Dates=H","DateFormat=P","Fill=—","Direction=H","UseDPDF=Y")</f>
        <v>94.5</v>
      </c>
      <c r="J23" s="19">
        <f>_xll.BDH("NBIX US Equity","CF_CASH_FROM_OPER","FQ1 2021","FQ1 2021","Currency=USD","Period=FQ","BEST_FPERIOD_OVERRIDE=FQ","FILING_STATUS=MR","SCALING_FORMAT=MLN","Sort=A","Dates=H","DateFormat=P","Fill=—","Direction=H","UseDPDF=Y")</f>
        <v>87.3</v>
      </c>
      <c r="K23" s="19">
        <f>_xll.BDH("NBIX US Equity","CF_CASH_FROM_OPER","FQ2 2021","FQ2 2021","Currency=USD","Period=FQ","BEST_FPERIOD_OVERRIDE=FQ","FILING_STATUS=MR","SCALING_FORMAT=MLN","Sort=A","Dates=H","DateFormat=P","Fill=—","Direction=H","UseDPDF=Y")</f>
        <v>103.2</v>
      </c>
      <c r="L23" s="19">
        <f>_xll.BDH("NBIX US Equity","CF_CASH_FROM_OPER","FQ3 2021","FQ3 2021","Currency=USD","Period=FQ","BEST_FPERIOD_OVERRIDE=FQ","FILING_STATUS=MR","SCALING_FORMAT=MLN","Sort=A","Dates=H","DateFormat=P","Fill=—","Direction=H","UseDPDF=Y")</f>
        <v>61.8</v>
      </c>
      <c r="M23" s="19">
        <f>_xll.BDH("NBIX US Equity","CF_CASH_FROM_OPER","FQ4 2021","FQ4 2021","Currency=USD","Period=FQ","BEST_FPERIOD_OVERRIDE=FQ","FILING_STATUS=MR","SCALING_FORMAT=MLN","Sort=A","Dates=H","DateFormat=P","Fill=—","Direction=H","UseDPDF=Y")</f>
        <v>4.2</v>
      </c>
      <c r="N23" s="19">
        <f>_xll.BDH("NBIX US Equity","CF_CASH_FROM_OPER","FQ1 2022","FQ1 2022","Currency=USD","Period=FQ","BEST_FPERIOD_OVERRIDE=FQ","FILING_STATUS=MR","SCALING_FORMAT=MLN","Sort=A","Dates=H","DateFormat=P","Fill=—","Direction=H","UseDPDF=Y")</f>
        <v>-40.5</v>
      </c>
      <c r="O23" s="19">
        <f>_xll.BDH("NBIX US Equity","CF_CASH_FROM_OPER","FQ2 2022","FQ2 2022","Currency=USD","Period=FQ","BEST_FPERIOD_OVERRIDE=FQ","FILING_STATUS=MR","SCALING_FORMAT=MLN","Sort=A","Dates=H","DateFormat=P","Fill=—","Direction=H","UseDPDF=Y")</f>
        <v>138.1</v>
      </c>
      <c r="P23" s="19">
        <f>_xll.BDH("NBIX US Equity","CF_CASH_FROM_OPER","FQ3 2022","FQ3 2022","Currency=USD","Period=FQ","BEST_FPERIOD_OVERRIDE=FQ","FILING_STATUS=MR","SCALING_FORMAT=MLN","Sort=A","Dates=H","DateFormat=P","Fill=—","Direction=H","UseDPDF=Y")</f>
        <v>98.8</v>
      </c>
      <c r="Q23" s="19">
        <f>_xll.BDH("NBIX US Equity","CF_CASH_FROM_OPER","FQ4 2022","FQ4 2022","Currency=USD","Period=FQ","BEST_FPERIOD_OVERRIDE=FQ","FILING_STATUS=MR","SCALING_FORMAT=MLN","Sort=A","Dates=H","DateFormat=P","Fill=—","Direction=H","UseDPDF=Y")</f>
        <v>143</v>
      </c>
      <c r="R23" s="19">
        <f>_xll.BDH("NBIX US Equity","CF_CASH_FROM_OPER","FQ1 2023","FQ1 2023","Currency=USD","Period=FQ","BEST_FPERIOD_OVERRIDE=FQ","FILING_STATUS=MR","SCALING_FORMAT=MLN","Sort=A","Dates=H","DateFormat=P","Fill=—","Direction=H","UseDPDF=Y")</f>
        <v>-125.2</v>
      </c>
      <c r="S23" s="19">
        <f>_xll.BDH("NBIX US Equity","CF_CASH_FROM_OPER","FQ2 2023","FQ2 2023","Currency=USD","Period=FQ","BEST_FPERIOD_OVERRIDE=FQ","FILING_STATUS=MR","SCALING_FORMAT=MLN","Sort=A","Dates=H","DateFormat=P","Fill=—","Direction=H","UseDPDF=Y")</f>
        <v>179.6</v>
      </c>
      <c r="T23" s="19">
        <f>_xll.BDH("NBIX US Equity","CF_CASH_FROM_OPER","FQ3 2023","FQ3 2023","Currency=USD","Period=FQ","BEST_FPERIOD_OVERRIDE=FQ","FILING_STATUS=MR","SCALING_FORMAT=MLN","Sort=A","Dates=H","DateFormat=P","Fill=—","Direction=H","UseDPDF=Y")</f>
        <v>212</v>
      </c>
      <c r="U23" s="19">
        <f>_xll.BDH("NBIX US Equity","CF_CASH_FROM_OPER","FQ4 2023","FQ4 2023","Currency=USD","Period=FQ","BEST_FPERIOD_OVERRIDE=FQ","FILING_STATUS=MR","SCALING_FORMAT=MLN","Sort=A","Dates=H","DateFormat=P","Fill=—","Direction=H","UseDPDF=Y")</f>
        <v>123.5</v>
      </c>
      <c r="V23" s="19">
        <f>_xll.BDH("NBIX US Equity","CF_CASH_FROM_OPER","FQ1 2024","FQ1 2024","Currency=USD","Period=FQ","BEST_FPERIOD_OVERRIDE=FQ","FILING_STATUS=MR","SCALING_FORMAT=MLN","Sort=A","Dates=H","DateFormat=P","Fill=—","Direction=H","UseDPDF=Y")</f>
        <v>130.30000000000001</v>
      </c>
      <c r="W23" s="19">
        <f>_xll.BDH("NBIX US Equity","CF_CASH_FROM_OPER","FQ2 2024","FQ2 2024","Currency=USD","Period=FQ","BEST_FPERIOD_OVERRIDE=FQ","FILING_STATUS=MR","SCALING_FORMAT=MLN","Sort=A","Dates=H","DateFormat=P","Fill=—","Direction=H","UseDPDF=Y")</f>
        <v>64.599999999999994</v>
      </c>
      <c r="X23" s="19">
        <f>_xll.BDH("NBIX US Equity","CF_CASH_FROM_OPER","FQ3 2024","FQ3 2024","Currency=USD","Period=FQ","BEST_FPERIOD_OVERRIDE=FQ","FILING_STATUS=MR","SCALING_FORMAT=MLN","Sort=A","Dates=H","DateFormat=P","Fill=—","Direction=H","UseDPDF=Y")</f>
        <v>158</v>
      </c>
      <c r="Y23" s="19">
        <f>_xll.BDH("NBIX US Equity","CF_CASH_FROM_OPER","FQ4 2024","FQ4 2024","Currency=USD","Period=FQ","BEST_FPERIOD_OVERRIDE=FQ","FILING_STATUS=MR","SCALING_FORMAT=MLN","Sort=A","Dates=H","DateFormat=P","Fill=—","Direction=H","UseDPDF=Y")</f>
        <v>242.5</v>
      </c>
      <c r="Z23" s="19"/>
      <c r="AA23" s="19"/>
    </row>
    <row r="24" spans="1:27" x14ac:dyDescent="0.25">
      <c r="A24" s="6" t="s">
        <v>86</v>
      </c>
      <c r="B24" s="6" t="s">
        <v>87</v>
      </c>
      <c r="C24" s="19">
        <f>_xll.BDH("NBIX US Equity","CAPITAL_EXPEND","FQ2 2019","FQ2 2019","Currency=USD","Period=FQ","BEST_FPERIOD_OVERRIDE=FQ","FILING_STATUS=MR","SCALING_FORMAT=MLN","Sort=A","Dates=H","DateFormat=P","Fill=—","Direction=H","UseDPDF=Y")</f>
        <v>-4.4530000000000003</v>
      </c>
      <c r="D24" s="19">
        <f>_xll.BDH("NBIX US Equity","CAPITAL_EXPEND","FQ3 2019","FQ3 2019","Currency=USD","Period=FQ","BEST_FPERIOD_OVERRIDE=FQ","FILING_STATUS=MR","SCALING_FORMAT=MLN","Sort=A","Dates=H","DateFormat=P","Fill=—","Direction=H","UseDPDF=Y")</f>
        <v>-3.544</v>
      </c>
      <c r="E24" s="19">
        <f>_xll.BDH("NBIX US Equity","CAPITAL_EXPEND","FQ4 2019","FQ4 2019","Currency=USD","Period=FQ","BEST_FPERIOD_OVERRIDE=FQ","FILING_STATUS=MR","SCALING_FORMAT=MLN","Sort=A","Dates=H","DateFormat=P","Fill=—","Direction=H","UseDPDF=Y")</f>
        <v>-2.7719999999999998</v>
      </c>
      <c r="F24" s="19">
        <f>_xll.BDH("NBIX US Equity","CAPITAL_EXPEND","FQ1 2020","FQ1 2020","Currency=USD","Period=FQ","BEST_FPERIOD_OVERRIDE=FQ","FILING_STATUS=MR","SCALING_FORMAT=MLN","Sort=A","Dates=H","DateFormat=P","Fill=—","Direction=H","UseDPDF=Y")</f>
        <v>-1.3</v>
      </c>
      <c r="G24" s="19">
        <f>_xll.BDH("NBIX US Equity","CAPITAL_EXPEND","FQ2 2020","FQ2 2020","Currency=USD","Period=FQ","BEST_FPERIOD_OVERRIDE=FQ","FILING_STATUS=MR","SCALING_FORMAT=MLN","Sort=A","Dates=H","DateFormat=P","Fill=—","Direction=H","UseDPDF=Y")</f>
        <v>-4.7</v>
      </c>
      <c r="H24" s="19">
        <f>_xll.BDH("NBIX US Equity","CAPITAL_EXPEND","FQ3 2020","FQ3 2020","Currency=USD","Period=FQ","BEST_FPERIOD_OVERRIDE=FQ","FILING_STATUS=MR","SCALING_FORMAT=MLN","Sort=A","Dates=H","DateFormat=P","Fill=—","Direction=H","UseDPDF=Y")</f>
        <v>-0.4</v>
      </c>
      <c r="I24" s="19">
        <f>_xll.BDH("NBIX US Equity","CAPITAL_EXPEND","FQ4 2020","FQ4 2020","Currency=USD","Period=FQ","BEST_FPERIOD_OVERRIDE=FQ","FILING_STATUS=MR","SCALING_FORMAT=MLN","Sort=A","Dates=H","DateFormat=P","Fill=—","Direction=H","UseDPDF=Y")</f>
        <v>-4.5</v>
      </c>
      <c r="J24" s="19">
        <f>_xll.BDH("NBIX US Equity","CAPITAL_EXPEND","FQ1 2021","FQ1 2021","Currency=USD","Period=FQ","BEST_FPERIOD_OVERRIDE=FQ","FILING_STATUS=MR","SCALING_FORMAT=MLN","Sort=A","Dates=H","DateFormat=P","Fill=—","Direction=H","UseDPDF=Y")</f>
        <v>-4.5</v>
      </c>
      <c r="K24" s="19">
        <f>_xll.BDH("NBIX US Equity","CAPITAL_EXPEND","FQ2 2021","FQ2 2021","Currency=USD","Period=FQ","BEST_FPERIOD_OVERRIDE=FQ","FILING_STATUS=MR","SCALING_FORMAT=MLN","Sort=A","Dates=H","DateFormat=P","Fill=—","Direction=H","UseDPDF=Y")</f>
        <v>-4.3</v>
      </c>
      <c r="L24" s="19">
        <f>_xll.BDH("NBIX US Equity","CAPITAL_EXPEND","FQ3 2021","FQ3 2021","Currency=USD","Period=FQ","BEST_FPERIOD_OVERRIDE=FQ","FILING_STATUS=MR","SCALING_FORMAT=MLN","Sort=A","Dates=H","DateFormat=P","Fill=—","Direction=H","UseDPDF=Y")</f>
        <v>-5.7</v>
      </c>
      <c r="M24" s="19">
        <f>_xll.BDH("NBIX US Equity","CAPITAL_EXPEND","FQ4 2021","FQ4 2021","Currency=USD","Period=FQ","BEST_FPERIOD_OVERRIDE=FQ","FILING_STATUS=MR","SCALING_FORMAT=MLN","Sort=A","Dates=H","DateFormat=P","Fill=—","Direction=H","UseDPDF=Y")</f>
        <v>-8.9</v>
      </c>
      <c r="N24" s="19">
        <f>_xll.BDH("NBIX US Equity","CAPITAL_EXPEND","FQ1 2022","FQ1 2022","Currency=USD","Period=FQ","BEST_FPERIOD_OVERRIDE=FQ","FILING_STATUS=MR","SCALING_FORMAT=MLN","Sort=A","Dates=H","DateFormat=P","Fill=—","Direction=H","UseDPDF=Y")</f>
        <v>-7.6</v>
      </c>
      <c r="O24" s="19">
        <f>_xll.BDH("NBIX US Equity","CAPITAL_EXPEND","FQ2 2022","FQ2 2022","Currency=USD","Period=FQ","BEST_FPERIOD_OVERRIDE=FQ","FILING_STATUS=MR","SCALING_FORMAT=MLN","Sort=A","Dates=H","DateFormat=P","Fill=—","Direction=H","UseDPDF=Y")</f>
        <v>-8.8000000000000007</v>
      </c>
      <c r="P24" s="19" t="str">
        <f>_xll.BDH("NBIX US Equity","CAPITAL_EXPEND","FQ3 2022","FQ3 2022","Currency=USD","Period=FQ","BEST_FPERIOD_OVERRIDE=FQ","FILING_STATUS=MR","SCALING_FORMAT=MLN","Sort=A","Dates=H","DateFormat=P","Fill=—","Direction=H","UseDPDF=Y")</f>
        <v>—</v>
      </c>
      <c r="Q24" s="19">
        <f>_xll.BDH("NBIX US Equity","CAPITAL_EXPEND","FQ4 2022","FQ4 2022","Currency=USD","Period=FQ","BEST_FPERIOD_OVERRIDE=FQ","FILING_STATUS=MR","SCALING_FORMAT=MLN","Sort=A","Dates=H","DateFormat=P","Fill=—","Direction=H","UseDPDF=Y")</f>
        <v>-1.8</v>
      </c>
      <c r="R24" s="19">
        <f>_xll.BDH("NBIX US Equity","CAPITAL_EXPEND","FQ1 2023","FQ1 2023","Currency=USD","Period=FQ","BEST_FPERIOD_OVERRIDE=FQ","FILING_STATUS=MR","SCALING_FORMAT=MLN","Sort=A","Dates=H","DateFormat=P","Fill=—","Direction=H","UseDPDF=Y")</f>
        <v>-8.5</v>
      </c>
      <c r="S24" s="19">
        <f>_xll.BDH("NBIX US Equity","CAPITAL_EXPEND","FQ2 2023","FQ2 2023","Currency=USD","Period=FQ","BEST_FPERIOD_OVERRIDE=FQ","FILING_STATUS=MR","SCALING_FORMAT=MLN","Sort=A","Dates=H","DateFormat=P","Fill=—","Direction=H","UseDPDF=Y")</f>
        <v>-6.8</v>
      </c>
      <c r="T24" s="19">
        <f>_xll.BDH("NBIX US Equity","CAPITAL_EXPEND","FQ3 2023","FQ3 2023","Currency=USD","Period=FQ","BEST_FPERIOD_OVERRIDE=FQ","FILING_STATUS=MR","SCALING_FORMAT=MLN","Sort=A","Dates=H","DateFormat=P","Fill=—","Direction=H","UseDPDF=Y")</f>
        <v>-7.6</v>
      </c>
      <c r="U24" s="19">
        <f>_xll.BDH("NBIX US Equity","CAPITAL_EXPEND","FQ4 2023","FQ4 2023","Currency=USD","Period=FQ","BEST_FPERIOD_OVERRIDE=FQ","FILING_STATUS=MR","SCALING_FORMAT=MLN","Sort=A","Dates=H","DateFormat=P","Fill=—","Direction=H","UseDPDF=Y")</f>
        <v>-5.4</v>
      </c>
      <c r="V24" s="19">
        <f>_xll.BDH("NBIX US Equity","CAPITAL_EXPEND","FQ1 2024","FQ1 2024","Currency=USD","Period=FQ","BEST_FPERIOD_OVERRIDE=FQ","FILING_STATUS=MR","SCALING_FORMAT=MLN","Sort=A","Dates=H","DateFormat=P","Fill=—","Direction=H","UseDPDF=Y")</f>
        <v>-11.2</v>
      </c>
      <c r="W24" s="19">
        <f>_xll.BDH("NBIX US Equity","CAPITAL_EXPEND","FQ2 2024","FQ2 2024","Currency=USD","Period=FQ","BEST_FPERIOD_OVERRIDE=FQ","FILING_STATUS=MR","SCALING_FORMAT=MLN","Sort=A","Dates=H","DateFormat=P","Fill=—","Direction=H","UseDPDF=Y")</f>
        <v>-11.6</v>
      </c>
      <c r="X24" s="19">
        <f>_xll.BDH("NBIX US Equity","CAPITAL_EXPEND","FQ3 2024","FQ3 2024","Currency=USD","Period=FQ","BEST_FPERIOD_OVERRIDE=FQ","FILING_STATUS=MR","SCALING_FORMAT=MLN","Sort=A","Dates=H","DateFormat=P","Fill=—","Direction=H","UseDPDF=Y")</f>
        <v>-8.1</v>
      </c>
      <c r="Y24" s="19">
        <f>_xll.BDH("NBIX US Equity","CAPITAL_EXPEND","FQ4 2024","FQ4 2024","Currency=USD","Period=FQ","BEST_FPERIOD_OVERRIDE=FQ","FILING_STATUS=MR","SCALING_FORMAT=MLN","Sort=A","Dates=H","DateFormat=P","Fill=—","Direction=H","UseDPDF=Y")</f>
        <v>-7.3</v>
      </c>
      <c r="Z24" s="19">
        <v>-7.1749999999999998</v>
      </c>
      <c r="AA24" s="19">
        <v>-7.13</v>
      </c>
    </row>
    <row r="25" spans="1:27" x14ac:dyDescent="0.25">
      <c r="A25" s="6" t="s">
        <v>88</v>
      </c>
      <c r="B25" s="6" t="s">
        <v>89</v>
      </c>
      <c r="C25" s="19">
        <f>_xll.BDH("NBIX US Equity","CF_FREE_CASH_FLOW","FQ2 2019","FQ2 2019","Currency=USD","Period=FQ","BEST_FPERIOD_OVERRIDE=FQ","FILING_STATUS=MR","SCALING_FORMAT=MLN","Sort=A","Dates=H","DateFormat=P","Fill=—","Direction=H","UseDPDF=Y")</f>
        <v>59.713000000000001</v>
      </c>
      <c r="D25" s="19">
        <f>_xll.BDH("NBIX US Equity","CF_FREE_CASH_FLOW","FQ3 2019","FQ3 2019","Currency=USD","Period=FQ","BEST_FPERIOD_OVERRIDE=FQ","FILING_STATUS=MR","SCALING_FORMAT=MLN","Sort=A","Dates=H","DateFormat=P","Fill=—","Direction=H","UseDPDF=Y")</f>
        <v>94.281999999999996</v>
      </c>
      <c r="E25" s="19">
        <f>_xll.BDH("NBIX US Equity","CF_FREE_CASH_FLOW","FQ4 2019","FQ4 2019","Currency=USD","Period=FQ","BEST_FPERIOD_OVERRIDE=FQ","FILING_STATUS=MR","SCALING_FORMAT=MLN","Sort=A","Dates=H","DateFormat=P","Fill=—","Direction=H","UseDPDF=Y")</f>
        <v>94.727000000000004</v>
      </c>
      <c r="F25" s="19">
        <f>_xll.BDH("NBIX US Equity","CF_FREE_CASH_FLOW","FQ1 2020","FQ1 2020","Currency=USD","Period=FQ","BEST_FPERIOD_OVERRIDE=FQ","FILING_STATUS=MR","SCALING_FORMAT=MLN","Sort=A","Dates=H","DateFormat=P","Fill=—","Direction=H","UseDPDF=Y")</f>
        <v>34.200000000000003</v>
      </c>
      <c r="G25" s="19">
        <f>_xll.BDH("NBIX US Equity","CF_FREE_CASH_FLOW","FQ2 2020","FQ2 2020","Currency=USD","Period=FQ","BEST_FPERIOD_OVERRIDE=FQ","FILING_STATUS=MR","SCALING_FORMAT=MLN","Sort=A","Dates=H","DateFormat=P","Fill=—","Direction=H","UseDPDF=Y")</f>
        <v>114.2</v>
      </c>
      <c r="H25" s="19">
        <f>_xll.BDH("NBIX US Equity","CF_FREE_CASH_FLOW","FQ3 2020","FQ3 2020","Currency=USD","Period=FQ","BEST_FPERIOD_OVERRIDE=FQ","FILING_STATUS=MR","SCALING_FORMAT=MLN","Sort=A","Dates=H","DateFormat=P","Fill=—","Direction=H","UseDPDF=Y")</f>
        <v>-20.8</v>
      </c>
      <c r="I25" s="19">
        <f>_xll.BDH("NBIX US Equity","CF_FREE_CASH_FLOW","FQ4 2020","FQ4 2020","Currency=USD","Period=FQ","BEST_FPERIOD_OVERRIDE=FQ","FILING_STATUS=MR","SCALING_FORMAT=MLN","Sort=A","Dates=H","DateFormat=P","Fill=—","Direction=H","UseDPDF=Y")</f>
        <v>90</v>
      </c>
      <c r="J25" s="19">
        <f>_xll.BDH("NBIX US Equity","CF_FREE_CASH_FLOW","FQ1 2021","FQ1 2021","Currency=USD","Period=FQ","BEST_FPERIOD_OVERRIDE=FQ","FILING_STATUS=MR","SCALING_FORMAT=MLN","Sort=A","Dates=H","DateFormat=P","Fill=—","Direction=H","UseDPDF=Y")</f>
        <v>82.8</v>
      </c>
      <c r="K25" s="19">
        <f>_xll.BDH("NBIX US Equity","CF_FREE_CASH_FLOW","FQ2 2021","FQ2 2021","Currency=USD","Period=FQ","BEST_FPERIOD_OVERRIDE=FQ","FILING_STATUS=MR","SCALING_FORMAT=MLN","Sort=A","Dates=H","DateFormat=P","Fill=—","Direction=H","UseDPDF=Y")</f>
        <v>98.9</v>
      </c>
      <c r="L25" s="19">
        <f>_xll.BDH("NBIX US Equity","CF_FREE_CASH_FLOW","FQ3 2021","FQ3 2021","Currency=USD","Period=FQ","BEST_FPERIOD_OVERRIDE=FQ","FILING_STATUS=MR","SCALING_FORMAT=MLN","Sort=A","Dates=H","DateFormat=P","Fill=—","Direction=H","UseDPDF=Y")</f>
        <v>56.1</v>
      </c>
      <c r="M25" s="19">
        <f>_xll.BDH("NBIX US Equity","CF_FREE_CASH_FLOW","FQ4 2021","FQ4 2021","Currency=USD","Period=FQ","BEST_FPERIOD_OVERRIDE=FQ","FILING_STATUS=MR","SCALING_FORMAT=MLN","Sort=A","Dates=H","DateFormat=P","Fill=—","Direction=H","UseDPDF=Y")</f>
        <v>-4.7</v>
      </c>
      <c r="N25" s="19">
        <f>_xll.BDH("NBIX US Equity","CF_FREE_CASH_FLOW","FQ1 2022","FQ1 2022","Currency=USD","Period=FQ","BEST_FPERIOD_OVERRIDE=FQ","FILING_STATUS=MR","SCALING_FORMAT=MLN","Sort=A","Dates=H","DateFormat=P","Fill=—","Direction=H","UseDPDF=Y")</f>
        <v>-48.1</v>
      </c>
      <c r="O25" s="19">
        <f>_xll.BDH("NBIX US Equity","CF_FREE_CASH_FLOW","FQ2 2022","FQ2 2022","Currency=USD","Period=FQ","BEST_FPERIOD_OVERRIDE=FQ","FILING_STATUS=MR","SCALING_FORMAT=MLN","Sort=A","Dates=H","DateFormat=P","Fill=—","Direction=H","UseDPDF=Y")</f>
        <v>129.30000000000001</v>
      </c>
      <c r="P25" s="19" t="str">
        <f>_xll.BDH("NBIX US Equity","CF_FREE_CASH_FLOW","FQ3 2022","FQ3 2022","Currency=USD","Period=FQ","BEST_FPERIOD_OVERRIDE=FQ","FILING_STATUS=MR","SCALING_FORMAT=MLN","Sort=A","Dates=H","DateFormat=P","Fill=—","Direction=H","UseDPDF=Y")</f>
        <v>—</v>
      </c>
      <c r="Q25" s="19">
        <f>_xll.BDH("NBIX US Equity","CF_FREE_CASH_FLOW","FQ4 2022","FQ4 2022","Currency=USD","Period=FQ","BEST_FPERIOD_OVERRIDE=FQ","FILING_STATUS=MR","SCALING_FORMAT=MLN","Sort=A","Dates=H","DateFormat=P","Fill=—","Direction=H","UseDPDF=Y")</f>
        <v>141.19999999999999</v>
      </c>
      <c r="R25" s="19">
        <f>_xll.BDH("NBIX US Equity","CF_FREE_CASH_FLOW","FQ1 2023","FQ1 2023","Currency=USD","Period=FQ","BEST_FPERIOD_OVERRIDE=FQ","FILING_STATUS=MR","SCALING_FORMAT=MLN","Sort=A","Dates=H","DateFormat=P","Fill=—","Direction=H","UseDPDF=Y")</f>
        <v>-133.69999999999999</v>
      </c>
      <c r="S25" s="19">
        <f>_xll.BDH("NBIX US Equity","CF_FREE_CASH_FLOW","FQ2 2023","FQ2 2023","Currency=USD","Period=FQ","BEST_FPERIOD_OVERRIDE=FQ","FILING_STATUS=MR","SCALING_FORMAT=MLN","Sort=A","Dates=H","DateFormat=P","Fill=—","Direction=H","UseDPDF=Y")</f>
        <v>172.8</v>
      </c>
      <c r="T25" s="19">
        <f>_xll.BDH("NBIX US Equity","CF_FREE_CASH_FLOW","FQ3 2023","FQ3 2023","Currency=USD","Period=FQ","BEST_FPERIOD_OVERRIDE=FQ","FILING_STATUS=MR","SCALING_FORMAT=MLN","Sort=A","Dates=H","DateFormat=P","Fill=—","Direction=H","UseDPDF=Y")</f>
        <v>204.4</v>
      </c>
      <c r="U25" s="19">
        <f>_xll.BDH("NBIX US Equity","CF_FREE_CASH_FLOW","FQ4 2023","FQ4 2023","Currency=USD","Period=FQ","BEST_FPERIOD_OVERRIDE=FQ","FILING_STATUS=MR","SCALING_FORMAT=MLN","Sort=A","Dates=H","DateFormat=P","Fill=—","Direction=H","UseDPDF=Y")</f>
        <v>118.1</v>
      </c>
      <c r="V25" s="19">
        <f>_xll.BDH("NBIX US Equity","CF_FREE_CASH_FLOW","FQ1 2024","FQ1 2024","Currency=USD","Period=FQ","BEST_FPERIOD_OVERRIDE=FQ","FILING_STATUS=MR","SCALING_FORMAT=MLN","Sort=A","Dates=H","DateFormat=P","Fill=—","Direction=H","UseDPDF=Y")</f>
        <v>119.1</v>
      </c>
      <c r="W25" s="19">
        <f>_xll.BDH("NBIX US Equity","CF_FREE_CASH_FLOW","FQ2 2024","FQ2 2024","Currency=USD","Period=FQ","BEST_FPERIOD_OVERRIDE=FQ","FILING_STATUS=MR","SCALING_FORMAT=MLN","Sort=A","Dates=H","DateFormat=P","Fill=—","Direction=H","UseDPDF=Y")</f>
        <v>53</v>
      </c>
      <c r="X25" s="19">
        <f>_xll.BDH("NBIX US Equity","CF_FREE_CASH_FLOW","FQ3 2024","FQ3 2024","Currency=USD","Period=FQ","BEST_FPERIOD_OVERRIDE=FQ","FILING_STATUS=MR","SCALING_FORMAT=MLN","Sort=A","Dates=H","DateFormat=P","Fill=—","Direction=H","UseDPDF=Y")</f>
        <v>149.9</v>
      </c>
      <c r="Y25" s="19">
        <f>_xll.BDH("NBIX US Equity","CF_FREE_CASH_FLOW","FQ4 2024","FQ4 2024","Currency=USD","Period=FQ","BEST_FPERIOD_OVERRIDE=FQ","FILING_STATUS=MR","SCALING_FORMAT=MLN","Sort=A","Dates=H","DateFormat=P","Fill=—","Direction=H","UseDPDF=Y")</f>
        <v>235.2</v>
      </c>
      <c r="Z25" s="19"/>
      <c r="AA25" s="19"/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_xll.BDH("NBIX US Equity","SALES_REV_TURN","FQ2 2019","FQ2 2019","Currency=USD","Period=FQ","BEST_FPERIOD_OVERRIDE=FQ","FILING_STATUS=MR","SCALING_FORMAT=MLN","FA_ADJUSTED=GAAP","Sort=A","Dates=H","DateFormat=P","Fill=—","Direction=H","UseDPDF=Y")</f>
        <v>183.58</v>
      </c>
      <c r="D6" s="19">
        <f>_xll.BDH("NBIX US Equity","SALES_REV_TURN","FQ3 2019","FQ3 2019","Currency=USD","Period=FQ","BEST_FPERIOD_OVERRIDE=FQ","FILING_STATUS=MR","SCALING_FORMAT=MLN","FA_ADJUSTED=GAAP","Sort=A","Dates=H","DateFormat=P","Fill=—","Direction=H","UseDPDF=Y")</f>
        <v>222.09399999999999</v>
      </c>
      <c r="E6" s="19">
        <f>_xll.BDH("NBIX US Equity","SALES_REV_TURN","FQ4 2019","FQ4 2019","Currency=USD","Period=FQ","BEST_FPERIOD_OVERRIDE=FQ","FILING_STATUS=MR","SCALING_FORMAT=MLN","FA_ADJUSTED=GAAP","Sort=A","Dates=H","DateFormat=P","Fill=—","Direction=H","UseDPDF=Y")</f>
        <v>244.1</v>
      </c>
      <c r="F6" s="19">
        <f>_xll.BDH("NBIX US Equity","SALES_REV_TURN","FQ1 2020","FQ1 2020","Currency=USD","Period=FQ","BEST_FPERIOD_OVERRIDE=FQ","FILING_STATUS=MR","SCALING_FORMAT=MLN","FA_ADJUSTED=GAAP","Sort=A","Dates=H","DateFormat=P","Fill=—","Direction=H","UseDPDF=Y")</f>
        <v>237.1</v>
      </c>
      <c r="G6" s="19">
        <f>_xll.BDH("NBIX US Equity","SALES_REV_TURN","FQ2 2020","FQ2 2020","Currency=USD","Period=FQ","BEST_FPERIOD_OVERRIDE=FQ","FILING_STATUS=MR","SCALING_FORMAT=MLN","FA_ADJUSTED=GAAP","Sort=A","Dates=H","DateFormat=P","Fill=—","Direction=H","UseDPDF=Y")</f>
        <v>302.39999999999998</v>
      </c>
      <c r="H6" s="19">
        <f>_xll.BDH("NBIX US Equity","SALES_REV_TURN","FQ3 2020","FQ3 2020","Currency=USD","Period=FQ","BEST_FPERIOD_OVERRIDE=FQ","FILING_STATUS=MR","SCALING_FORMAT=MLN","FA_ADJUSTED=GAAP","Sort=A","Dates=H","DateFormat=P","Fill=—","Direction=H","UseDPDF=Y")</f>
        <v>258.5</v>
      </c>
      <c r="I6" s="19">
        <f>_xll.BDH("NBIX US Equity","SALES_REV_TURN","FQ4 2020","FQ4 2020","Currency=USD","Period=FQ","BEST_FPERIOD_OVERRIDE=FQ","FILING_STATUS=MR","SCALING_FORMAT=MLN","FA_ADJUSTED=GAAP","Sort=A","Dates=H","DateFormat=P","Fill=—","Direction=H","UseDPDF=Y")</f>
        <v>247.9</v>
      </c>
      <c r="J6" s="19">
        <f>_xll.BDH("NBIX US Equity","SALES_REV_TURN","FQ1 2021","FQ1 2021","Currency=USD","Period=FQ","BEST_FPERIOD_OVERRIDE=FQ","FILING_STATUS=MR","SCALING_FORMAT=MLN","FA_ADJUSTED=GAAP","Sort=A","Dates=H","DateFormat=P","Fill=—","Direction=H","UseDPDF=Y")</f>
        <v>236.6</v>
      </c>
      <c r="K6" s="19">
        <f>_xll.BDH("NBIX US Equity","SALES_REV_TURN","FQ2 2021","FQ2 2021","Currency=USD","Period=FQ","BEST_FPERIOD_OVERRIDE=FQ","FILING_STATUS=MR","SCALING_FORMAT=MLN","FA_ADJUSTED=GAAP","Sort=A","Dates=H","DateFormat=P","Fill=—","Direction=H","UseDPDF=Y")</f>
        <v>288.89999999999998</v>
      </c>
      <c r="L6" s="19">
        <f>_xll.BDH("NBIX US Equity","SALES_REV_TURN","FQ3 2021","FQ3 2021","Currency=USD","Period=FQ","BEST_FPERIOD_OVERRIDE=FQ","FILING_STATUS=MR","SCALING_FORMAT=MLN","FA_ADJUSTED=GAAP","Sort=A","Dates=H","DateFormat=P","Fill=—","Direction=H","UseDPDF=Y")</f>
        <v>296</v>
      </c>
      <c r="M6" s="19">
        <f>_xll.BDH("NBIX US Equity","SALES_REV_TURN","FQ4 2021","FQ4 2021","Currency=USD","Period=FQ","BEST_FPERIOD_OVERRIDE=FQ","FILING_STATUS=MR","SCALING_FORMAT=MLN","FA_ADJUSTED=GAAP","Sort=A","Dates=H","DateFormat=P","Fill=—","Direction=H","UseDPDF=Y")</f>
        <v>312</v>
      </c>
      <c r="N6" s="19">
        <f>_xll.BDH("NBIX US Equity","SALES_REV_TURN","FQ1 2022","FQ1 2022","Currency=USD","Period=FQ","BEST_FPERIOD_OVERRIDE=FQ","FILING_STATUS=MR","SCALING_FORMAT=MLN","FA_ADJUSTED=GAAP","Sort=A","Dates=H","DateFormat=P","Fill=—","Direction=H","UseDPDF=Y")</f>
        <v>310.60000000000002</v>
      </c>
      <c r="O6" s="19">
        <f>_xll.BDH("NBIX US Equity","SALES_REV_TURN","FQ2 2022","FQ2 2022","Currency=USD","Period=FQ","BEST_FPERIOD_OVERRIDE=FQ","FILING_STATUS=MR","SCALING_FORMAT=MLN","FA_ADJUSTED=GAAP","Sort=A","Dates=H","DateFormat=P","Fill=—","Direction=H","UseDPDF=Y")</f>
        <v>378.2</v>
      </c>
      <c r="P6" s="19">
        <f>_xll.BDH("NBIX US Equity","SALES_REV_TURN","FQ3 2022","FQ3 2022","Currency=USD","Period=FQ","BEST_FPERIOD_OVERRIDE=FQ","FILING_STATUS=MR","SCALING_FORMAT=MLN","FA_ADJUSTED=GAAP","Sort=A","Dates=H","DateFormat=P","Fill=—","Direction=H","UseDPDF=Y")</f>
        <v>387.9</v>
      </c>
      <c r="Q6" s="19">
        <f>_xll.BDH("NBIX US Equity","SALES_REV_TURN","FQ4 2022","FQ4 2022","Currency=USD","Period=FQ","BEST_FPERIOD_OVERRIDE=FQ","FILING_STATUS=MR","SCALING_FORMAT=MLN","FA_ADJUSTED=GAAP","Sort=A","Dates=H","DateFormat=P","Fill=—","Direction=H","UseDPDF=Y")</f>
        <v>412</v>
      </c>
      <c r="R6" s="19">
        <f>_xll.BDH("NBIX US Equity","SALES_REV_TURN","FQ1 2023","FQ1 2023","Currency=USD","Period=FQ","BEST_FPERIOD_OVERRIDE=FQ","FILING_STATUS=MR","SCALING_FORMAT=MLN","FA_ADJUSTED=GAAP","Sort=A","Dates=H","DateFormat=P","Fill=—","Direction=H","UseDPDF=Y")</f>
        <v>420.4</v>
      </c>
      <c r="S6" s="19">
        <f>_xll.BDH("NBIX US Equity","SALES_REV_TURN","FQ2 2023","FQ2 2023","Currency=USD","Period=FQ","BEST_FPERIOD_OVERRIDE=FQ","FILING_STATUS=MR","SCALING_FORMAT=MLN","FA_ADJUSTED=GAAP","Sort=A","Dates=H","DateFormat=P","Fill=—","Direction=H","UseDPDF=Y")</f>
        <v>452.7</v>
      </c>
      <c r="T6" s="19">
        <f>_xll.BDH("NBIX US Equity","SALES_REV_TURN","FQ3 2023","FQ3 2023","Currency=USD","Period=FQ","BEST_FPERIOD_OVERRIDE=FQ","FILING_STATUS=MR","SCALING_FORMAT=MLN","FA_ADJUSTED=GAAP","Sort=A","Dates=H","DateFormat=P","Fill=—","Direction=H","UseDPDF=Y")</f>
        <v>498.8</v>
      </c>
      <c r="U6" s="19">
        <f>_xll.BDH("NBIX US Equity","SALES_REV_TURN","FQ4 2023","FQ4 2023","Currency=USD","Period=FQ","BEST_FPERIOD_OVERRIDE=FQ","FILING_STATUS=MR","SCALING_FORMAT=MLN","FA_ADJUSTED=GAAP","Sort=A","Dates=H","DateFormat=P","Fill=—","Direction=H","UseDPDF=Y")</f>
        <v>515.20000000000005</v>
      </c>
      <c r="V6" s="19">
        <f>_xll.BDH("NBIX US Equity","SALES_REV_TURN","FQ1 2024","FQ1 2024","Currency=USD","Period=FQ","BEST_FPERIOD_OVERRIDE=FQ","FILING_STATUS=MR","SCALING_FORMAT=MLN","FA_ADJUSTED=GAAP","Sort=A","Dates=H","DateFormat=P","Fill=—","Direction=H","UseDPDF=Y")</f>
        <v>515.29999999999995</v>
      </c>
      <c r="W6" s="19">
        <f>_xll.BDH("NBIX US Equity","SALES_REV_TURN","FQ2 2024","FQ2 2024","Currency=USD","Period=FQ","BEST_FPERIOD_OVERRIDE=FQ","FILING_STATUS=MR","SCALING_FORMAT=MLN","FA_ADJUSTED=GAAP","Sort=A","Dates=H","DateFormat=P","Fill=—","Direction=H","UseDPDF=Y")</f>
        <v>590.20000000000005</v>
      </c>
      <c r="X6" s="19">
        <f>_xll.BDH("NBIX US Equity","SALES_REV_TURN","FQ3 2024","FQ3 2024","Currency=USD","Period=FQ","BEST_FPERIOD_OVERRIDE=FQ","FILING_STATUS=MR","SCALING_FORMAT=MLN","FA_ADJUSTED=GAAP","Sort=A","Dates=H","DateFormat=P","Fill=—","Direction=H","UseDPDF=Y")</f>
        <v>622.1</v>
      </c>
      <c r="Y6" s="19">
        <f>_xll.BDH("NBIX US Equity","SALES_REV_TURN","FQ4 2024","FQ4 2024","Currency=USD","Period=FQ","BEST_FPERIOD_OVERRIDE=FQ","FILING_STATUS=MR","SCALING_FORMAT=MLN","FA_ADJUSTED=GAAP","Sort=A","Dates=H","DateFormat=P","Fill=—","Direction=H","UseDPDF=Y")</f>
        <v>627.70000000000005</v>
      </c>
      <c r="Z6" s="19">
        <v>595.54499999999996</v>
      </c>
      <c r="AA6" s="19">
        <v>648</v>
      </c>
    </row>
    <row r="7" spans="1:27" x14ac:dyDescent="0.25">
      <c r="A7" s="10" t="s">
        <v>313</v>
      </c>
      <c r="B7" s="10" t="s">
        <v>314</v>
      </c>
      <c r="C7" s="13">
        <f>_xll.BDH("NBIX US Equity","IS_SALES_AND_SERVICES_REVENUES","FQ2 2019","FQ2 2019","Currency=USD","Period=FQ","BEST_FPERIOD_OVERRIDE=FQ","FILING_STATUS=MR","SCALING_FORMAT=MLN","FA_ADJUSTED=GAAP","Sort=A","Dates=H","DateFormat=P","Fill=—","Direction=H","UseDPDF=Y")</f>
        <v>180.54400000000001</v>
      </c>
      <c r="D7" s="13">
        <f>_xll.BDH("NBIX US Equity","IS_SALES_AND_SERVICES_REVENUES","FQ3 2019","FQ3 2019","Currency=USD","Period=FQ","BEST_FPERIOD_OVERRIDE=FQ","FILING_STATUS=MR","SCALING_FORMAT=MLN","FA_ADJUSTED=GAAP","Sort=A","Dates=H","DateFormat=P","Fill=—","Direction=H","UseDPDF=Y")</f>
        <v>198.09399999999999</v>
      </c>
      <c r="E7" s="13">
        <f>_xll.BDH("NBIX US Equity","IS_SALES_AND_SERVICES_REVENUES","FQ4 2019","FQ4 2019","Currency=USD","Period=FQ","BEST_FPERIOD_OVERRIDE=FQ","FILING_STATUS=MR","SCALING_FORMAT=MLN","FA_ADJUSTED=GAAP","Sort=A","Dates=H","DateFormat=P","Fill=—","Direction=H","UseDPDF=Y")</f>
        <v>237.9</v>
      </c>
      <c r="F7" s="13">
        <f>_xll.BDH("NBIX US Equity","IS_SALES_AND_SERVICES_REVENUES","FQ1 2020","FQ1 2020","Currency=USD","Period=FQ","BEST_FPERIOD_OVERRIDE=FQ","FILING_STATUS=MR","SCALING_FORMAT=MLN","FA_ADJUSTED=GAAP","Sort=A","Dates=H","DateFormat=P","Fill=—","Direction=H","UseDPDF=Y")</f>
        <v>231.1</v>
      </c>
      <c r="G7" s="13">
        <f>_xll.BDH("NBIX US Equity","IS_SALES_AND_SERVICES_REVENUES","FQ2 2020","FQ2 2020","Currency=USD","Period=FQ","BEST_FPERIOD_OVERRIDE=FQ","FILING_STATUS=MR","SCALING_FORMAT=MLN","FA_ADJUSTED=GAAP","Sort=A","Dates=H","DateFormat=P","Fill=—","Direction=H","UseDPDF=Y")</f>
        <v>267.60000000000002</v>
      </c>
      <c r="H7" s="13">
        <f>_xll.BDH("NBIX US Equity","IS_SALES_AND_SERVICES_REVENUES","FQ3 2020","FQ3 2020","Currency=USD","Period=FQ","BEST_FPERIOD_OVERRIDE=FQ","FILING_STATUS=MR","SCALING_FORMAT=MLN","FA_ADJUSTED=GAAP","Sort=A","Dates=H","DateFormat=P","Fill=—","Direction=H","UseDPDF=Y")</f>
        <v>254.1</v>
      </c>
      <c r="I7" s="13">
        <f>_xll.BDH("NBIX US Equity","IS_SALES_AND_SERVICES_REVENUES","FQ4 2020","FQ4 2020","Currency=USD","Period=FQ","BEST_FPERIOD_OVERRIDE=FQ","FILING_STATUS=MR","SCALING_FORMAT=MLN","FA_ADJUSTED=GAAP","Sort=A","Dates=H","DateFormat=P","Fill=—","Direction=H","UseDPDF=Y")</f>
        <v>241.3</v>
      </c>
      <c r="J7" s="13">
        <f>_xll.BDH("NBIX US Equity","IS_SALES_AND_SERVICES_REVENUES","FQ1 2021","FQ1 2021","Currency=USD","Period=FQ","BEST_FPERIOD_OVERRIDE=FQ","FILING_STATUS=MR","SCALING_FORMAT=MLN","FA_ADJUSTED=GAAP","Sort=A","Dates=H","DateFormat=P","Fill=—","Direction=H","UseDPDF=Y")</f>
        <v>231</v>
      </c>
      <c r="K7" s="13">
        <f>_xll.BDH("NBIX US Equity","IS_SALES_AND_SERVICES_REVENUES","FQ2 2021","FQ2 2021","Currency=USD","Period=FQ","BEST_FPERIOD_OVERRIDE=FQ","FILING_STATUS=MR","SCALING_FORMAT=MLN","FA_ADJUSTED=GAAP","Sort=A","Dates=H","DateFormat=P","Fill=—","Direction=H","UseDPDF=Y")</f>
        <v>266.8</v>
      </c>
      <c r="L7" s="13">
        <f>_xll.BDH("NBIX US Equity","IS_SALES_AND_SERVICES_REVENUES","FQ3 2021","FQ3 2021","Currency=USD","Period=FQ","BEST_FPERIOD_OVERRIDE=FQ","FILING_STATUS=MR","SCALING_FORMAT=MLN","FA_ADJUSTED=GAAP","Sort=A","Dates=H","DateFormat=P","Fill=—","Direction=H","UseDPDF=Y")</f>
        <v>288.8</v>
      </c>
      <c r="M7" s="13">
        <f>_xll.BDH("NBIX US Equity","IS_SALES_AND_SERVICES_REVENUES","FQ4 2021","FQ4 2021","Currency=USD","Period=FQ","BEST_FPERIOD_OVERRIDE=FQ","FILING_STATUS=MR","SCALING_FORMAT=MLN","FA_ADJUSTED=GAAP","Sort=A","Dates=H","DateFormat=P","Fill=—","Direction=H","UseDPDF=Y")</f>
        <v>303.5</v>
      </c>
      <c r="N7" s="13">
        <f>_xll.BDH("NBIX US Equity","IS_SALES_AND_SERVICES_REVENUES","FQ1 2022","FQ1 2022","Currency=USD","Period=FQ","BEST_FPERIOD_OVERRIDE=FQ","FILING_STATUS=MR","SCALING_FORMAT=MLN","FA_ADJUSTED=GAAP","Sort=A","Dates=H","DateFormat=P","Fill=—","Direction=H","UseDPDF=Y")</f>
        <v>305</v>
      </c>
      <c r="O7" s="13">
        <f>_xll.BDH("NBIX US Equity","IS_SALES_AND_SERVICES_REVENUES","FQ2 2022","FQ2 2022","Currency=USD","Period=FQ","BEST_FPERIOD_OVERRIDE=FQ","FILING_STATUS=MR","SCALING_FORMAT=MLN","FA_ADJUSTED=GAAP","Sort=A","Dates=H","DateFormat=P","Fill=—","Direction=H","UseDPDF=Y")</f>
        <v>352</v>
      </c>
      <c r="P7" s="13">
        <f>_xll.BDH("NBIX US Equity","IS_SALES_AND_SERVICES_REVENUES","FQ3 2022","FQ3 2022","Currency=USD","Period=FQ","BEST_FPERIOD_OVERRIDE=FQ","FILING_STATUS=MR","SCALING_FORMAT=MLN","FA_ADJUSTED=GAAP","Sort=A","Dates=H","DateFormat=P","Fill=—","Direction=H","UseDPDF=Y")</f>
        <v>379.3</v>
      </c>
      <c r="Q7" s="13">
        <f>_xll.BDH("NBIX US Equity","IS_SALES_AND_SERVICES_REVENUES","FQ4 2022","FQ4 2022","Currency=USD","Period=FQ","BEST_FPERIOD_OVERRIDE=FQ","FILING_STATUS=MR","SCALING_FORMAT=MLN","FA_ADJUSTED=GAAP","Sort=A","Dates=H","DateFormat=P","Fill=—","Direction=H","UseDPDF=Y")</f>
        <v>404.6</v>
      </c>
      <c r="R7" s="13">
        <f>_xll.BDH("NBIX US Equity","IS_SALES_AND_SERVICES_REVENUES","FQ1 2023","FQ1 2023","Currency=USD","Period=FQ","BEST_FPERIOD_OVERRIDE=FQ","FILING_STATUS=MR","SCALING_FORMAT=MLN","FA_ADJUSTED=GAAP","Sort=A","Dates=H","DateFormat=P","Fill=—","Direction=H","UseDPDF=Y")</f>
        <v>415.3</v>
      </c>
      <c r="S7" s="13">
        <f>_xll.BDH("NBIX US Equity","IS_SALES_AND_SERVICES_REVENUES","FQ2 2023","FQ2 2023","Currency=USD","Period=FQ","BEST_FPERIOD_OVERRIDE=FQ","FILING_STATUS=MR","SCALING_FORMAT=MLN","FA_ADJUSTED=GAAP","Sort=A","Dates=H","DateFormat=P","Fill=—","Direction=H","UseDPDF=Y")</f>
        <v>446.3</v>
      </c>
      <c r="T7" s="13">
        <f>_xll.BDH("NBIX US Equity","IS_SALES_AND_SERVICES_REVENUES","FQ3 2023","FQ3 2023","Currency=USD","Period=FQ","BEST_FPERIOD_OVERRIDE=FQ","FILING_STATUS=MR","SCALING_FORMAT=MLN","FA_ADJUSTED=GAAP","Sort=A","Dates=H","DateFormat=P","Fill=—","Direction=H","UseDPDF=Y")</f>
        <v>491.8</v>
      </c>
      <c r="U7" s="13">
        <f>_xll.BDH("NBIX US Equity","IS_SALES_AND_SERVICES_REVENUES","FQ4 2023","FQ4 2023","Currency=USD","Period=FQ","BEST_FPERIOD_OVERRIDE=FQ","FILING_STATUS=MR","SCALING_FORMAT=MLN","FA_ADJUSTED=GAAP","Sort=A","Dates=H","DateFormat=P","Fill=—","Direction=H","UseDPDF=Y")</f>
        <v>507.2</v>
      </c>
      <c r="V7" s="13">
        <f>_xll.BDH("NBIX US Equity","IS_SALES_AND_SERVICES_REVENUES","FQ1 2024","FQ1 2024","Currency=USD","Period=FQ","BEST_FPERIOD_OVERRIDE=FQ","FILING_STATUS=MR","SCALING_FORMAT=MLN","FA_ADJUSTED=GAAP","Sort=A","Dates=H","DateFormat=P","Fill=—","Direction=H","UseDPDF=Y")</f>
        <v>509</v>
      </c>
      <c r="W7" s="13">
        <f>_xll.BDH("NBIX US Equity","IS_SALES_AND_SERVICES_REVENUES","FQ2 2024","FQ2 2024","Currency=USD","Period=FQ","BEST_FPERIOD_OVERRIDE=FQ","FILING_STATUS=MR","SCALING_FORMAT=MLN","FA_ADJUSTED=GAAP","Sort=A","Dates=H","DateFormat=P","Fill=—","Direction=H","UseDPDF=Y")</f>
        <v>583.79999999999995</v>
      </c>
      <c r="X7" s="13">
        <f>_xll.BDH("NBIX US Equity","IS_SALES_AND_SERVICES_REVENUES","FQ3 2024","FQ3 2024","Currency=USD","Period=FQ","BEST_FPERIOD_OVERRIDE=FQ","FILING_STATUS=MR","SCALING_FORMAT=MLN","FA_ADJUSTED=GAAP","Sort=A","Dates=H","DateFormat=P","Fill=—","Direction=H","UseDPDF=Y")</f>
        <v>616.6</v>
      </c>
      <c r="Y7" s="13">
        <f>_xll.BDH("NBIX US Equity","IS_SALES_AND_SERVICES_REVENUES","FQ4 2024","FQ4 2024","Currency=USD","Period=FQ","BEST_FPERIOD_OVERRIDE=FQ","FILING_STATUS=MR","SCALING_FORMAT=MLN","FA_ADJUSTED=GAAP","Sort=A","Dates=H","DateFormat=P","Fill=—","Direction=H","UseDPDF=Y")</f>
        <v>621.20000000000005</v>
      </c>
      <c r="Z7" s="13"/>
      <c r="AA7" s="13"/>
    </row>
    <row r="8" spans="1:27" x14ac:dyDescent="0.25">
      <c r="A8" s="10" t="s">
        <v>315</v>
      </c>
      <c r="B8" s="10" t="s">
        <v>316</v>
      </c>
      <c r="C8" s="13">
        <f>_xll.BDH("NBIX US Equity","IS_OTHER_REVENUE","FQ2 2019","FQ2 2019","Currency=USD","Period=FQ","BEST_FPERIOD_OVERRIDE=FQ","FILING_STATUS=MR","SCALING_FORMAT=MLN","FA_ADJUSTED=GAAP","Sort=A","Dates=H","DateFormat=P","Fill=—","Direction=H","UseDPDF=Y")</f>
        <v>3.036</v>
      </c>
      <c r="D8" s="13">
        <f>_xll.BDH("NBIX US Equity","IS_OTHER_REVENUE","FQ3 2019","FQ3 2019","Currency=USD","Period=FQ","BEST_FPERIOD_OVERRIDE=FQ","FILING_STATUS=MR","SCALING_FORMAT=MLN","FA_ADJUSTED=GAAP","Sort=A","Dates=H","DateFormat=P","Fill=—","Direction=H","UseDPDF=Y")</f>
        <v>24</v>
      </c>
      <c r="E8" s="13">
        <f>_xll.BDH("NBIX US Equity","IS_OTHER_REVENUE","FQ4 2019","FQ4 2019","Currency=USD","Period=FQ","BEST_FPERIOD_OVERRIDE=FQ","FILING_STATUS=MR","SCALING_FORMAT=MLN","FA_ADJUSTED=GAAP","Sort=A","Dates=H","DateFormat=P","Fill=—","Direction=H","UseDPDF=Y")</f>
        <v>6.2</v>
      </c>
      <c r="F8" s="13">
        <f>_xll.BDH("NBIX US Equity","IS_OTHER_REVENUE","FQ1 2020","FQ1 2020","Currency=USD","Period=FQ","BEST_FPERIOD_OVERRIDE=FQ","FILING_STATUS=MR","SCALING_FORMAT=MLN","FA_ADJUSTED=GAAP","Sort=A","Dates=H","DateFormat=P","Fill=—","Direction=H","UseDPDF=Y")</f>
        <v>6</v>
      </c>
      <c r="G8" s="13">
        <f>_xll.BDH("NBIX US Equity","IS_OTHER_REVENUE","FQ2 2020","FQ2 2020","Currency=USD","Period=FQ","BEST_FPERIOD_OVERRIDE=FQ","FILING_STATUS=MR","SCALING_FORMAT=MLN","FA_ADJUSTED=GAAP","Sort=A","Dates=H","DateFormat=P","Fill=—","Direction=H","UseDPDF=Y")</f>
        <v>34.799999999999997</v>
      </c>
      <c r="H8" s="13">
        <f>_xll.BDH("NBIX US Equity","IS_OTHER_REVENUE","FQ3 2020","FQ3 2020","Currency=USD","Period=FQ","BEST_FPERIOD_OVERRIDE=FQ","FILING_STATUS=MR","SCALING_FORMAT=MLN","FA_ADJUSTED=GAAP","Sort=A","Dates=H","DateFormat=P","Fill=—","Direction=H","UseDPDF=Y")</f>
        <v>4.4000000000000004</v>
      </c>
      <c r="I8" s="13">
        <f>_xll.BDH("NBIX US Equity","IS_OTHER_REVENUE","FQ4 2020","FQ4 2020","Currency=USD","Period=FQ","BEST_FPERIOD_OVERRIDE=FQ","FILING_STATUS=MR","SCALING_FORMAT=MLN","FA_ADJUSTED=GAAP","Sort=A","Dates=H","DateFormat=P","Fill=—","Direction=H","UseDPDF=Y")</f>
        <v>6.6</v>
      </c>
      <c r="J8" s="13">
        <f>_xll.BDH("NBIX US Equity","IS_OTHER_REVENUE","FQ1 2021","FQ1 2021","Currency=USD","Period=FQ","BEST_FPERIOD_OVERRIDE=FQ","FILING_STATUS=MR","SCALING_FORMAT=MLN","FA_ADJUSTED=GAAP","Sort=A","Dates=H","DateFormat=P","Fill=—","Direction=H","UseDPDF=Y")</f>
        <v>5.6</v>
      </c>
      <c r="K8" s="13">
        <f>_xll.BDH("NBIX US Equity","IS_OTHER_REVENUE","FQ2 2021","FQ2 2021","Currency=USD","Period=FQ","BEST_FPERIOD_OVERRIDE=FQ","FILING_STATUS=MR","SCALING_FORMAT=MLN","FA_ADJUSTED=GAAP","Sort=A","Dates=H","DateFormat=P","Fill=—","Direction=H","UseDPDF=Y")</f>
        <v>22.1</v>
      </c>
      <c r="L8" s="13">
        <f>_xll.BDH("NBIX US Equity","IS_OTHER_REVENUE","FQ3 2021","FQ3 2021","Currency=USD","Period=FQ","BEST_FPERIOD_OVERRIDE=FQ","FILING_STATUS=MR","SCALING_FORMAT=MLN","FA_ADJUSTED=GAAP","Sort=A","Dates=H","DateFormat=P","Fill=—","Direction=H","UseDPDF=Y")</f>
        <v>7.2</v>
      </c>
      <c r="M8" s="13">
        <f>_xll.BDH("NBIX US Equity","IS_OTHER_REVENUE","FQ4 2021","FQ4 2021","Currency=USD","Period=FQ","BEST_FPERIOD_OVERRIDE=FQ","FILING_STATUS=MR","SCALING_FORMAT=MLN","FA_ADJUSTED=GAAP","Sort=A","Dates=H","DateFormat=P","Fill=—","Direction=H","UseDPDF=Y")</f>
        <v>8.5</v>
      </c>
      <c r="N8" s="13">
        <f>_xll.BDH("NBIX US Equity","IS_OTHER_REVENUE","FQ1 2022","FQ1 2022","Currency=USD","Period=FQ","BEST_FPERIOD_OVERRIDE=FQ","FILING_STATUS=MR","SCALING_FORMAT=MLN","FA_ADJUSTED=GAAP","Sort=A","Dates=H","DateFormat=P","Fill=—","Direction=H","UseDPDF=Y")</f>
        <v>5.6</v>
      </c>
      <c r="O8" s="13">
        <f>_xll.BDH("NBIX US Equity","IS_OTHER_REVENUE","FQ2 2022","FQ2 2022","Currency=USD","Period=FQ","BEST_FPERIOD_OVERRIDE=FQ","FILING_STATUS=MR","SCALING_FORMAT=MLN","FA_ADJUSTED=GAAP","Sort=A","Dates=H","DateFormat=P","Fill=—","Direction=H","UseDPDF=Y")</f>
        <v>26.2</v>
      </c>
      <c r="P8" s="13">
        <f>_xll.BDH("NBIX US Equity","IS_OTHER_REVENUE","FQ3 2022","FQ3 2022","Currency=USD","Period=FQ","BEST_FPERIOD_OVERRIDE=FQ","FILING_STATUS=MR","SCALING_FORMAT=MLN","FA_ADJUSTED=GAAP","Sort=A","Dates=H","DateFormat=P","Fill=—","Direction=H","UseDPDF=Y")</f>
        <v>8.6</v>
      </c>
      <c r="Q8" s="13">
        <f>_xll.BDH("NBIX US Equity","IS_OTHER_REVENUE","FQ4 2022","FQ4 2022","Currency=USD","Period=FQ","BEST_FPERIOD_OVERRIDE=FQ","FILING_STATUS=MR","SCALING_FORMAT=MLN","FA_ADJUSTED=GAAP","Sort=A","Dates=H","DateFormat=P","Fill=—","Direction=H","UseDPDF=Y")</f>
        <v>7.4</v>
      </c>
      <c r="R8" s="13">
        <f>_xll.BDH("NBIX US Equity","IS_OTHER_REVENUE","FQ1 2023","FQ1 2023","Currency=USD","Period=FQ","BEST_FPERIOD_OVERRIDE=FQ","FILING_STATUS=MR","SCALING_FORMAT=MLN","FA_ADJUSTED=GAAP","Sort=A","Dates=H","DateFormat=P","Fill=—","Direction=H","UseDPDF=Y")</f>
        <v>5.0999999999999996</v>
      </c>
      <c r="S8" s="13">
        <f>_xll.BDH("NBIX US Equity","IS_OTHER_REVENUE","FQ2 2023","FQ2 2023","Currency=USD","Period=FQ","BEST_FPERIOD_OVERRIDE=FQ","FILING_STATUS=MR","SCALING_FORMAT=MLN","FA_ADJUSTED=GAAP","Sort=A","Dates=H","DateFormat=P","Fill=—","Direction=H","UseDPDF=Y")</f>
        <v>6.4</v>
      </c>
      <c r="T8" s="13">
        <f>_xll.BDH("NBIX US Equity","IS_OTHER_REVENUE","FQ3 2023","FQ3 2023","Currency=USD","Period=FQ","BEST_FPERIOD_OVERRIDE=FQ","FILING_STATUS=MR","SCALING_FORMAT=MLN","FA_ADJUSTED=GAAP","Sort=A","Dates=H","DateFormat=P","Fill=—","Direction=H","UseDPDF=Y")</f>
        <v>7</v>
      </c>
      <c r="U8" s="13">
        <f>_xll.BDH("NBIX US Equity","IS_OTHER_REVENUE","FQ4 2023","FQ4 2023","Currency=USD","Period=FQ","BEST_FPERIOD_OVERRIDE=FQ","FILING_STATUS=MR","SCALING_FORMAT=MLN","FA_ADJUSTED=GAAP","Sort=A","Dates=H","DateFormat=P","Fill=—","Direction=H","UseDPDF=Y")</f>
        <v>8</v>
      </c>
      <c r="V8" s="13">
        <f>_xll.BDH("NBIX US Equity","IS_OTHER_REVENUE","FQ1 2024","FQ1 2024","Currency=USD","Period=FQ","BEST_FPERIOD_OVERRIDE=FQ","FILING_STATUS=MR","SCALING_FORMAT=MLN","FA_ADJUSTED=GAAP","Sort=A","Dates=H","DateFormat=P","Fill=—","Direction=H","UseDPDF=Y")</f>
        <v>6.3</v>
      </c>
      <c r="W8" s="13">
        <f>_xll.BDH("NBIX US Equity","IS_OTHER_REVENUE","FQ2 2024","FQ2 2024","Currency=USD","Period=FQ","BEST_FPERIOD_OVERRIDE=FQ","FILING_STATUS=MR","SCALING_FORMAT=MLN","FA_ADJUSTED=GAAP","Sort=A","Dates=H","DateFormat=P","Fill=—","Direction=H","UseDPDF=Y")</f>
        <v>6.4</v>
      </c>
      <c r="X8" s="13">
        <f>_xll.BDH("NBIX US Equity","IS_OTHER_REVENUE","FQ3 2024","FQ3 2024","Currency=USD","Period=FQ","BEST_FPERIOD_OVERRIDE=FQ","FILING_STATUS=MR","SCALING_FORMAT=MLN","FA_ADJUSTED=GAAP","Sort=A","Dates=H","DateFormat=P","Fill=—","Direction=H","UseDPDF=Y")</f>
        <v>5.5</v>
      </c>
      <c r="Y8" s="13">
        <f>_xll.BDH("NBIX US Equity","IS_OTHER_REVENUE","FQ4 2024","FQ4 2024","Currency=USD","Period=FQ","BEST_FPERIOD_OVERRIDE=FQ","FILING_STATUS=MR","SCALING_FORMAT=MLN","FA_ADJUSTED=GAAP","Sort=A","Dates=H","DateFormat=P","Fill=—","Direction=H","UseDPDF=Y")</f>
        <v>6.5</v>
      </c>
      <c r="Z8" s="13"/>
      <c r="AA8" s="13"/>
    </row>
    <row r="9" spans="1:27" x14ac:dyDescent="0.25">
      <c r="A9" s="10" t="s">
        <v>317</v>
      </c>
      <c r="B9" s="10" t="s">
        <v>318</v>
      </c>
      <c r="C9" s="13">
        <f>_xll.BDH("NBIX US Equity","IS_COGS_TO_FE_AND_PP_AND_G","FQ2 2019","FQ2 2019","Currency=USD","Period=FQ","BEST_FPERIOD_OVERRIDE=FQ","FILING_STATUS=MR","SCALING_FORMAT=MLN","FA_ADJUSTED=GAAP","Sort=A","Dates=H","DateFormat=P","Fill=—","Direction=H","UseDPDF=Y")</f>
        <v>1.6080000000000001</v>
      </c>
      <c r="D9" s="13">
        <f>_xll.BDH("NBIX US Equity","IS_COGS_TO_FE_AND_PP_AND_G","FQ3 2019","FQ3 2019","Currency=USD","Period=FQ","BEST_FPERIOD_OVERRIDE=FQ","FILING_STATUS=MR","SCALING_FORMAT=MLN","FA_ADJUSTED=GAAP","Sort=A","Dates=H","DateFormat=P","Fill=—","Direction=H","UseDPDF=Y")</f>
        <v>2.2290000000000001</v>
      </c>
      <c r="E9" s="13">
        <f>_xll.BDH("NBIX US Equity","IS_COGS_TO_FE_AND_PP_AND_G","FQ4 2019","FQ4 2019","Currency=USD","Period=FQ","BEST_FPERIOD_OVERRIDE=FQ","FILING_STATUS=MR","SCALING_FORMAT=MLN","FA_ADJUSTED=GAAP","Sort=A","Dates=H","DateFormat=P","Fill=—","Direction=H","UseDPDF=Y")</f>
        <v>2.5</v>
      </c>
      <c r="F9" s="13">
        <f>_xll.BDH("NBIX US Equity","IS_COGS_TO_FE_AND_PP_AND_G","FQ1 2020","FQ1 2020","Currency=USD","Period=FQ","BEST_FPERIOD_OVERRIDE=FQ","FILING_STATUS=MR","SCALING_FORMAT=MLN","FA_ADJUSTED=GAAP","Sort=A","Dates=H","DateFormat=P","Fill=—","Direction=H","UseDPDF=Y")</f>
        <v>2.1</v>
      </c>
      <c r="G9" s="13">
        <f>_xll.BDH("NBIX US Equity","IS_COGS_TO_FE_AND_PP_AND_G","FQ2 2020","FQ2 2020","Currency=USD","Period=FQ","BEST_FPERIOD_OVERRIDE=FQ","FILING_STATUS=MR","SCALING_FORMAT=MLN","FA_ADJUSTED=GAAP","Sort=A","Dates=H","DateFormat=P","Fill=—","Direction=H","UseDPDF=Y")</f>
        <v>2.4</v>
      </c>
      <c r="H9" s="13">
        <f>_xll.BDH("NBIX US Equity","IS_COGS_TO_FE_AND_PP_AND_G","FQ3 2020","FQ3 2020","Currency=USD","Period=FQ","BEST_FPERIOD_OVERRIDE=FQ","FILING_STATUS=MR","SCALING_FORMAT=MLN","FA_ADJUSTED=GAAP","Sort=A","Dates=H","DateFormat=P","Fill=—","Direction=H","UseDPDF=Y")</f>
        <v>2.7</v>
      </c>
      <c r="I9" s="13">
        <f>_xll.BDH("NBIX US Equity","IS_COGS_TO_FE_AND_PP_AND_G","FQ4 2020","FQ4 2020","Currency=USD","Period=FQ","BEST_FPERIOD_OVERRIDE=FQ","FILING_STATUS=MR","SCALING_FORMAT=MLN","FA_ADJUSTED=GAAP","Sort=A","Dates=H","DateFormat=P","Fill=—","Direction=H","UseDPDF=Y")</f>
        <v>2.9</v>
      </c>
      <c r="J9" s="13">
        <f>_xll.BDH("NBIX US Equity","IS_COGS_TO_FE_AND_PP_AND_G","FQ1 2021","FQ1 2021","Currency=USD","Period=FQ","BEST_FPERIOD_OVERRIDE=FQ","FILING_STATUS=MR","SCALING_FORMAT=MLN","FA_ADJUSTED=GAAP","Sort=A","Dates=H","DateFormat=P","Fill=—","Direction=H","UseDPDF=Y")</f>
        <v>2.9</v>
      </c>
      <c r="K9" s="13">
        <f>_xll.BDH("NBIX US Equity","IS_COGS_TO_FE_AND_PP_AND_G","FQ2 2021","FQ2 2021","Currency=USD","Period=FQ","BEST_FPERIOD_OVERRIDE=FQ","FILING_STATUS=MR","SCALING_FORMAT=MLN","FA_ADJUSTED=GAAP","Sort=A","Dates=H","DateFormat=P","Fill=—","Direction=H","UseDPDF=Y")</f>
        <v>3.1</v>
      </c>
      <c r="L9" s="13">
        <f>_xll.BDH("NBIX US Equity","IS_COGS_TO_FE_AND_PP_AND_G","FQ3 2021","FQ3 2021","Currency=USD","Period=FQ","BEST_FPERIOD_OVERRIDE=FQ","FILING_STATUS=MR","SCALING_FORMAT=MLN","FA_ADJUSTED=GAAP","Sort=A","Dates=H","DateFormat=P","Fill=—","Direction=H","UseDPDF=Y")</f>
        <v>4.2</v>
      </c>
      <c r="M9" s="13">
        <f>_xll.BDH("NBIX US Equity","IS_COGS_TO_FE_AND_PP_AND_G","FQ4 2021","FQ4 2021","Currency=USD","Period=FQ","BEST_FPERIOD_OVERRIDE=FQ","FILING_STATUS=MR","SCALING_FORMAT=MLN","FA_ADJUSTED=GAAP","Sort=A","Dates=H","DateFormat=P","Fill=—","Direction=H","UseDPDF=Y")</f>
        <v>4.0999999999999996</v>
      </c>
      <c r="N9" s="13">
        <f>_xll.BDH("NBIX US Equity","IS_COGS_TO_FE_AND_PP_AND_G","FQ1 2022","FQ1 2022","Currency=USD","Period=FQ","BEST_FPERIOD_OVERRIDE=FQ","FILING_STATUS=MR","SCALING_FORMAT=MLN","FA_ADJUSTED=GAAP","Sort=A","Dates=H","DateFormat=P","Fill=—","Direction=H","UseDPDF=Y")</f>
        <v>4.5999999999999996</v>
      </c>
      <c r="O9" s="13">
        <f>_xll.BDH("NBIX US Equity","IS_COGS_TO_FE_AND_PP_AND_G","FQ2 2022","FQ2 2022","Currency=USD","Period=FQ","BEST_FPERIOD_OVERRIDE=FQ","FILING_STATUS=MR","SCALING_FORMAT=MLN","FA_ADJUSTED=GAAP","Sort=A","Dates=H","DateFormat=P","Fill=—","Direction=H","UseDPDF=Y")</f>
        <v>4.8</v>
      </c>
      <c r="P9" s="13">
        <f>_xll.BDH("NBIX US Equity","IS_COGS_TO_FE_AND_PP_AND_G","FQ3 2022","FQ3 2022","Currency=USD","Period=FQ","BEST_FPERIOD_OVERRIDE=FQ","FILING_STATUS=MR","SCALING_FORMAT=MLN","FA_ADJUSTED=GAAP","Sort=A","Dates=H","DateFormat=P","Fill=—","Direction=H","UseDPDF=Y")</f>
        <v>6.1</v>
      </c>
      <c r="Q9" s="13">
        <f>_xll.BDH("NBIX US Equity","IS_COGS_TO_FE_AND_PP_AND_G","FQ4 2022","FQ4 2022","Currency=USD","Period=FQ","BEST_FPERIOD_OVERRIDE=FQ","FILING_STATUS=MR","SCALING_FORMAT=MLN","FA_ADJUSTED=GAAP","Sort=A","Dates=H","DateFormat=P","Fill=—","Direction=H","UseDPDF=Y")</f>
        <v>7.7</v>
      </c>
      <c r="R9" s="13">
        <f>_xll.BDH("NBIX US Equity","IS_COGS_TO_FE_AND_PP_AND_G","FQ1 2023","FQ1 2023","Currency=USD","Period=FQ","BEST_FPERIOD_OVERRIDE=FQ","FILING_STATUS=MR","SCALING_FORMAT=MLN","FA_ADJUSTED=GAAP","Sort=A","Dates=H","DateFormat=P","Fill=—","Direction=H","UseDPDF=Y")</f>
        <v>8.5</v>
      </c>
      <c r="S9" s="13">
        <f>_xll.BDH("NBIX US Equity","IS_COGS_TO_FE_AND_PP_AND_G","FQ2 2023","FQ2 2023","Currency=USD","Period=FQ","BEST_FPERIOD_OVERRIDE=FQ","FILING_STATUS=MR","SCALING_FORMAT=MLN","FA_ADJUSTED=GAAP","Sort=A","Dates=H","DateFormat=P","Fill=—","Direction=H","UseDPDF=Y")</f>
        <v>11.5</v>
      </c>
      <c r="T9" s="13">
        <f>_xll.BDH("NBIX US Equity","IS_COGS_TO_FE_AND_PP_AND_G","FQ3 2023","FQ3 2023","Currency=USD","Period=FQ","BEST_FPERIOD_OVERRIDE=FQ","FILING_STATUS=MR","SCALING_FORMAT=MLN","FA_ADJUSTED=GAAP","Sort=A","Dates=H","DateFormat=P","Fill=—","Direction=H","UseDPDF=Y")</f>
        <v>11.2</v>
      </c>
      <c r="U9" s="13">
        <f>_xll.BDH("NBIX US Equity","IS_COGS_TO_FE_AND_PP_AND_G","FQ4 2023","FQ4 2023","Currency=USD","Period=FQ","BEST_FPERIOD_OVERRIDE=FQ","FILING_STATUS=MR","SCALING_FORMAT=MLN","FA_ADJUSTED=GAAP","Sort=A","Dates=H","DateFormat=P","Fill=—","Direction=H","UseDPDF=Y")</f>
        <v>8.5</v>
      </c>
      <c r="V9" s="13">
        <f>_xll.BDH("NBIX US Equity","IS_COGS_TO_FE_AND_PP_AND_G","FQ1 2024","FQ1 2024","Currency=USD","Period=FQ","BEST_FPERIOD_OVERRIDE=FQ","FILING_STATUS=MR","SCALING_FORMAT=MLN","FA_ADJUSTED=GAAP","Sort=A","Dates=H","DateFormat=P","Fill=—","Direction=H","UseDPDF=Y")</f>
        <v>7.5</v>
      </c>
      <c r="W9" s="13">
        <f>_xll.BDH("NBIX US Equity","IS_COGS_TO_FE_AND_PP_AND_G","FQ2 2024","FQ2 2024","Currency=USD","Period=FQ","BEST_FPERIOD_OVERRIDE=FQ","FILING_STATUS=MR","SCALING_FORMAT=MLN","FA_ADJUSTED=GAAP","Sort=A","Dates=H","DateFormat=P","Fill=—","Direction=H","UseDPDF=Y")</f>
        <v>9.1999999999999993</v>
      </c>
      <c r="X9" s="13">
        <f>_xll.BDH("NBIX US Equity","IS_COGS_TO_FE_AND_PP_AND_G","FQ3 2024","FQ3 2024","Currency=USD","Period=FQ","BEST_FPERIOD_OVERRIDE=FQ","FILING_STATUS=MR","SCALING_FORMAT=MLN","FA_ADJUSTED=GAAP","Sort=A","Dates=H","DateFormat=P","Fill=—","Direction=H","UseDPDF=Y")</f>
        <v>8</v>
      </c>
      <c r="Y9" s="13">
        <f>_xll.BDH("NBIX US Equity","IS_COGS_TO_FE_AND_PP_AND_G","FQ4 2024","FQ4 2024","Currency=USD","Period=FQ","BEST_FPERIOD_OVERRIDE=FQ","FILING_STATUS=MR","SCALING_FORMAT=MLN","FA_ADJUSTED=GAAP","Sort=A","Dates=H","DateFormat=P","Fill=—","Direction=H","UseDPDF=Y")</f>
        <v>9.3000000000000007</v>
      </c>
      <c r="Z9" s="13"/>
      <c r="AA9" s="13"/>
    </row>
    <row r="10" spans="1:27" x14ac:dyDescent="0.25">
      <c r="A10" s="10" t="s">
        <v>319</v>
      </c>
      <c r="B10" s="10" t="s">
        <v>320</v>
      </c>
      <c r="C10" s="13">
        <f>_xll.BDH("NBIX US Equity","IS_COG_AND_SERVICES_SOLD","FQ2 2019","FQ2 2019","Currency=USD","Period=FQ","BEST_FPERIOD_OVERRIDE=FQ","FILING_STATUS=MR","SCALING_FORMAT=MLN","FA_ADJUSTED=GAAP","Sort=A","Dates=H","DateFormat=P","Fill=—","Direction=H","UseDPDF=Y")</f>
        <v>1.6080000000000001</v>
      </c>
      <c r="D10" s="13">
        <f>_xll.BDH("NBIX US Equity","IS_COG_AND_SERVICES_SOLD","FQ3 2019","FQ3 2019","Currency=USD","Period=FQ","BEST_FPERIOD_OVERRIDE=FQ","FILING_STATUS=MR","SCALING_FORMAT=MLN","FA_ADJUSTED=GAAP","Sort=A","Dates=H","DateFormat=P","Fill=—","Direction=H","UseDPDF=Y")</f>
        <v>2.2290000000000001</v>
      </c>
      <c r="E10" s="13">
        <f>_xll.BDH("NBIX US Equity","IS_COG_AND_SERVICES_SOLD","FQ4 2019","FQ4 2019","Currency=USD","Period=FQ","BEST_FPERIOD_OVERRIDE=FQ","FILING_STATUS=MR","SCALING_FORMAT=MLN","FA_ADJUSTED=GAAP","Sort=A","Dates=H","DateFormat=P","Fill=—","Direction=H","UseDPDF=Y")</f>
        <v>2.5</v>
      </c>
      <c r="F10" s="13">
        <f>_xll.BDH("NBIX US Equity","IS_COG_AND_SERVICES_SOLD","FQ1 2020","FQ1 2020","Currency=USD","Period=FQ","BEST_FPERIOD_OVERRIDE=FQ","FILING_STATUS=MR","SCALING_FORMAT=MLN","FA_ADJUSTED=GAAP","Sort=A","Dates=H","DateFormat=P","Fill=—","Direction=H","UseDPDF=Y")</f>
        <v>2.1</v>
      </c>
      <c r="G10" s="13">
        <f>_xll.BDH("NBIX US Equity","IS_COG_AND_SERVICES_SOLD","FQ2 2020","FQ2 2020","Currency=USD","Period=FQ","BEST_FPERIOD_OVERRIDE=FQ","FILING_STATUS=MR","SCALING_FORMAT=MLN","FA_ADJUSTED=GAAP","Sort=A","Dates=H","DateFormat=P","Fill=—","Direction=H","UseDPDF=Y")</f>
        <v>2.4</v>
      </c>
      <c r="H10" s="13">
        <f>_xll.BDH("NBIX US Equity","IS_COG_AND_SERVICES_SOLD","FQ3 2020","FQ3 2020","Currency=USD","Period=FQ","BEST_FPERIOD_OVERRIDE=FQ","FILING_STATUS=MR","SCALING_FORMAT=MLN","FA_ADJUSTED=GAAP","Sort=A","Dates=H","DateFormat=P","Fill=—","Direction=H","UseDPDF=Y")</f>
        <v>2.7</v>
      </c>
      <c r="I10" s="13">
        <f>_xll.BDH("NBIX US Equity","IS_COG_AND_SERVICES_SOLD","FQ4 2020","FQ4 2020","Currency=USD","Period=FQ","BEST_FPERIOD_OVERRIDE=FQ","FILING_STATUS=MR","SCALING_FORMAT=MLN","FA_ADJUSTED=GAAP","Sort=A","Dates=H","DateFormat=P","Fill=—","Direction=H","UseDPDF=Y")</f>
        <v>2.9</v>
      </c>
      <c r="J10" s="13">
        <f>_xll.BDH("NBIX US Equity","IS_COG_AND_SERVICES_SOLD","FQ1 2021","FQ1 2021","Currency=USD","Period=FQ","BEST_FPERIOD_OVERRIDE=FQ","FILING_STATUS=MR","SCALING_FORMAT=MLN","FA_ADJUSTED=GAAP","Sort=A","Dates=H","DateFormat=P","Fill=—","Direction=H","UseDPDF=Y")</f>
        <v>2.9</v>
      </c>
      <c r="K10" s="13">
        <f>_xll.BDH("NBIX US Equity","IS_COG_AND_SERVICES_SOLD","FQ2 2021","FQ2 2021","Currency=USD","Period=FQ","BEST_FPERIOD_OVERRIDE=FQ","FILING_STATUS=MR","SCALING_FORMAT=MLN","FA_ADJUSTED=GAAP","Sort=A","Dates=H","DateFormat=P","Fill=—","Direction=H","UseDPDF=Y")</f>
        <v>3.1</v>
      </c>
      <c r="L10" s="13">
        <f>_xll.BDH("NBIX US Equity","IS_COG_AND_SERVICES_SOLD","FQ3 2021","FQ3 2021","Currency=USD","Period=FQ","BEST_FPERIOD_OVERRIDE=FQ","FILING_STATUS=MR","SCALING_FORMAT=MLN","FA_ADJUSTED=GAAP","Sort=A","Dates=H","DateFormat=P","Fill=—","Direction=H","UseDPDF=Y")</f>
        <v>4.2</v>
      </c>
      <c r="M10" s="13">
        <f>_xll.BDH("NBIX US Equity","IS_COG_AND_SERVICES_SOLD","FQ4 2021","FQ4 2021","Currency=USD","Period=FQ","BEST_FPERIOD_OVERRIDE=FQ","FILING_STATUS=MR","SCALING_FORMAT=MLN","FA_ADJUSTED=GAAP","Sort=A","Dates=H","DateFormat=P","Fill=—","Direction=H","UseDPDF=Y")</f>
        <v>4.0999999999999996</v>
      </c>
      <c r="N10" s="13">
        <f>_xll.BDH("NBIX US Equity","IS_COG_AND_SERVICES_SOLD","FQ1 2022","FQ1 2022","Currency=USD","Period=FQ","BEST_FPERIOD_OVERRIDE=FQ","FILING_STATUS=MR","SCALING_FORMAT=MLN","FA_ADJUSTED=GAAP","Sort=A","Dates=H","DateFormat=P","Fill=—","Direction=H","UseDPDF=Y")</f>
        <v>4.5999999999999996</v>
      </c>
      <c r="O10" s="13">
        <f>_xll.BDH("NBIX US Equity","IS_COG_AND_SERVICES_SOLD","FQ2 2022","FQ2 2022","Currency=USD","Period=FQ","BEST_FPERIOD_OVERRIDE=FQ","FILING_STATUS=MR","SCALING_FORMAT=MLN","FA_ADJUSTED=GAAP","Sort=A","Dates=H","DateFormat=P","Fill=—","Direction=H","UseDPDF=Y")</f>
        <v>4.8</v>
      </c>
      <c r="P10" s="13">
        <f>_xll.BDH("NBIX US Equity","IS_COG_AND_SERVICES_SOLD","FQ3 2022","FQ3 2022","Currency=USD","Period=FQ","BEST_FPERIOD_OVERRIDE=FQ","FILING_STATUS=MR","SCALING_FORMAT=MLN","FA_ADJUSTED=GAAP","Sort=A","Dates=H","DateFormat=P","Fill=—","Direction=H","UseDPDF=Y")</f>
        <v>6.1</v>
      </c>
      <c r="Q10" s="13">
        <f>_xll.BDH("NBIX US Equity","IS_COG_AND_SERVICES_SOLD","FQ4 2022","FQ4 2022","Currency=USD","Period=FQ","BEST_FPERIOD_OVERRIDE=FQ","FILING_STATUS=MR","SCALING_FORMAT=MLN","FA_ADJUSTED=GAAP","Sort=A","Dates=H","DateFormat=P","Fill=—","Direction=H","UseDPDF=Y")</f>
        <v>7.7</v>
      </c>
      <c r="R10" s="13">
        <f>_xll.BDH("NBIX US Equity","IS_COG_AND_SERVICES_SOLD","FQ1 2023","FQ1 2023","Currency=USD","Period=FQ","BEST_FPERIOD_OVERRIDE=FQ","FILING_STATUS=MR","SCALING_FORMAT=MLN","FA_ADJUSTED=GAAP","Sort=A","Dates=H","DateFormat=P","Fill=—","Direction=H","UseDPDF=Y")</f>
        <v>8.5</v>
      </c>
      <c r="S10" s="13">
        <f>_xll.BDH("NBIX US Equity","IS_COG_AND_SERVICES_SOLD","FQ2 2023","FQ2 2023","Currency=USD","Period=FQ","BEST_FPERIOD_OVERRIDE=FQ","FILING_STATUS=MR","SCALING_FORMAT=MLN","FA_ADJUSTED=GAAP","Sort=A","Dates=H","DateFormat=P","Fill=—","Direction=H","UseDPDF=Y")</f>
        <v>11.5</v>
      </c>
      <c r="T10" s="13">
        <f>_xll.BDH("NBIX US Equity","IS_COG_AND_SERVICES_SOLD","FQ3 2023","FQ3 2023","Currency=USD","Period=FQ","BEST_FPERIOD_OVERRIDE=FQ","FILING_STATUS=MR","SCALING_FORMAT=MLN","FA_ADJUSTED=GAAP","Sort=A","Dates=H","DateFormat=P","Fill=—","Direction=H","UseDPDF=Y")</f>
        <v>11.2</v>
      </c>
      <c r="U10" s="13">
        <f>_xll.BDH("NBIX US Equity","IS_COG_AND_SERVICES_SOLD","FQ4 2023","FQ4 2023","Currency=USD","Period=FQ","BEST_FPERIOD_OVERRIDE=FQ","FILING_STATUS=MR","SCALING_FORMAT=MLN","FA_ADJUSTED=GAAP","Sort=A","Dates=H","DateFormat=P","Fill=—","Direction=H","UseDPDF=Y")</f>
        <v>8.5</v>
      </c>
      <c r="V10" s="13">
        <f>_xll.BDH("NBIX US Equity","IS_COG_AND_SERVICES_SOLD","FQ1 2024","FQ1 2024","Currency=USD","Period=FQ","BEST_FPERIOD_OVERRIDE=FQ","FILING_STATUS=MR","SCALING_FORMAT=MLN","FA_ADJUSTED=GAAP","Sort=A","Dates=H","DateFormat=P","Fill=—","Direction=H","UseDPDF=Y")</f>
        <v>7.5</v>
      </c>
      <c r="W10" s="13">
        <f>_xll.BDH("NBIX US Equity","IS_COG_AND_SERVICES_SOLD","FQ2 2024","FQ2 2024","Currency=USD","Period=FQ","BEST_FPERIOD_OVERRIDE=FQ","FILING_STATUS=MR","SCALING_FORMAT=MLN","FA_ADJUSTED=GAAP","Sort=A","Dates=H","DateFormat=P","Fill=—","Direction=H","UseDPDF=Y")</f>
        <v>9.1999999999999993</v>
      </c>
      <c r="X10" s="13">
        <f>_xll.BDH("NBIX US Equity","IS_COG_AND_SERVICES_SOLD","FQ3 2024","FQ3 2024","Currency=USD","Period=FQ","BEST_FPERIOD_OVERRIDE=FQ","FILING_STATUS=MR","SCALING_FORMAT=MLN","FA_ADJUSTED=GAAP","Sort=A","Dates=H","DateFormat=P","Fill=—","Direction=H","UseDPDF=Y")</f>
        <v>8</v>
      </c>
      <c r="Y10" s="13">
        <f>_xll.BDH("NBIX US Equity","IS_COG_AND_SERVICES_SOLD","FQ4 2024","FQ4 2024","Currency=USD","Period=FQ","BEST_FPERIOD_OVERRIDE=FQ","FILING_STATUS=MR","SCALING_FORMAT=MLN","FA_ADJUSTED=GAAP","Sort=A","Dates=H","DateFormat=P","Fill=—","Direction=H","UseDPDF=Y")</f>
        <v>9.3000000000000007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f>_xll.BDH("NBIX US Equity","GROSS_PROFIT","FQ2 2019","FQ2 2019","Currency=USD","Period=FQ","BEST_FPERIOD_OVERRIDE=FQ","FILING_STATUS=MR","SCALING_FORMAT=MLN","FA_ADJUSTED=GAAP","Sort=A","Dates=H","DateFormat=P","Fill=—","Direction=H","UseDPDF=Y")</f>
        <v>181.97200000000001</v>
      </c>
      <c r="D11" s="19">
        <f>_xll.BDH("NBIX US Equity","GROSS_PROFIT","FQ3 2019","FQ3 2019","Currency=USD","Period=FQ","BEST_FPERIOD_OVERRIDE=FQ","FILING_STATUS=MR","SCALING_FORMAT=MLN","FA_ADJUSTED=GAAP","Sort=A","Dates=H","DateFormat=P","Fill=—","Direction=H","UseDPDF=Y")</f>
        <v>219.86500000000001</v>
      </c>
      <c r="E11" s="19">
        <f>_xll.BDH("NBIX US Equity","GROSS_PROFIT","FQ4 2019","FQ4 2019","Currency=USD","Period=FQ","BEST_FPERIOD_OVERRIDE=FQ","FILING_STATUS=MR","SCALING_FORMAT=MLN","FA_ADJUSTED=GAAP","Sort=A","Dates=H","DateFormat=P","Fill=—","Direction=H","UseDPDF=Y")</f>
        <v>241.6</v>
      </c>
      <c r="F11" s="19">
        <f>_xll.BDH("NBIX US Equity","GROSS_PROFIT","FQ1 2020","FQ1 2020","Currency=USD","Period=FQ","BEST_FPERIOD_OVERRIDE=FQ","FILING_STATUS=MR","SCALING_FORMAT=MLN","FA_ADJUSTED=GAAP","Sort=A","Dates=H","DateFormat=P","Fill=—","Direction=H","UseDPDF=Y")</f>
        <v>235</v>
      </c>
      <c r="G11" s="19">
        <f>_xll.BDH("NBIX US Equity","GROSS_PROFIT","FQ2 2020","FQ2 2020","Currency=USD","Period=FQ","BEST_FPERIOD_OVERRIDE=FQ","FILING_STATUS=MR","SCALING_FORMAT=MLN","FA_ADJUSTED=GAAP","Sort=A","Dates=H","DateFormat=P","Fill=—","Direction=H","UseDPDF=Y")</f>
        <v>300</v>
      </c>
      <c r="H11" s="19">
        <f>_xll.BDH("NBIX US Equity","GROSS_PROFIT","FQ3 2020","FQ3 2020","Currency=USD","Period=FQ","BEST_FPERIOD_OVERRIDE=FQ","FILING_STATUS=MR","SCALING_FORMAT=MLN","FA_ADJUSTED=GAAP","Sort=A","Dates=H","DateFormat=P","Fill=—","Direction=H","UseDPDF=Y")</f>
        <v>255.8</v>
      </c>
      <c r="I11" s="19">
        <f>_xll.BDH("NBIX US Equity","GROSS_PROFIT","FQ4 2020","FQ4 2020","Currency=USD","Period=FQ","BEST_FPERIOD_OVERRIDE=FQ","FILING_STATUS=MR","SCALING_FORMAT=MLN","FA_ADJUSTED=GAAP","Sort=A","Dates=H","DateFormat=P","Fill=—","Direction=H","UseDPDF=Y")</f>
        <v>245</v>
      </c>
      <c r="J11" s="19">
        <f>_xll.BDH("NBIX US Equity","GROSS_PROFIT","FQ1 2021","FQ1 2021","Currency=USD","Period=FQ","BEST_FPERIOD_OVERRIDE=FQ","FILING_STATUS=MR","SCALING_FORMAT=MLN","FA_ADJUSTED=GAAP","Sort=A","Dates=H","DateFormat=P","Fill=—","Direction=H","UseDPDF=Y")</f>
        <v>233.7</v>
      </c>
      <c r="K11" s="19">
        <f>_xll.BDH("NBIX US Equity","GROSS_PROFIT","FQ2 2021","FQ2 2021","Currency=USD","Period=FQ","BEST_FPERIOD_OVERRIDE=FQ","FILING_STATUS=MR","SCALING_FORMAT=MLN","FA_ADJUSTED=GAAP","Sort=A","Dates=H","DateFormat=P","Fill=—","Direction=H","UseDPDF=Y")</f>
        <v>285.8</v>
      </c>
      <c r="L11" s="19">
        <f>_xll.BDH("NBIX US Equity","GROSS_PROFIT","FQ3 2021","FQ3 2021","Currency=USD","Period=FQ","BEST_FPERIOD_OVERRIDE=FQ","FILING_STATUS=MR","SCALING_FORMAT=MLN","FA_ADJUSTED=GAAP","Sort=A","Dates=H","DateFormat=P","Fill=—","Direction=H","UseDPDF=Y")</f>
        <v>291.8</v>
      </c>
      <c r="M11" s="19">
        <f>_xll.BDH("NBIX US Equity","GROSS_PROFIT","FQ4 2021","FQ4 2021","Currency=USD","Period=FQ","BEST_FPERIOD_OVERRIDE=FQ","FILING_STATUS=MR","SCALING_FORMAT=MLN","FA_ADJUSTED=GAAP","Sort=A","Dates=H","DateFormat=P","Fill=—","Direction=H","UseDPDF=Y")</f>
        <v>307.89999999999998</v>
      </c>
      <c r="N11" s="19">
        <f>_xll.BDH("NBIX US Equity","GROSS_PROFIT","FQ1 2022","FQ1 2022","Currency=USD","Period=FQ","BEST_FPERIOD_OVERRIDE=FQ","FILING_STATUS=MR","SCALING_FORMAT=MLN","FA_ADJUSTED=GAAP","Sort=A","Dates=H","DateFormat=P","Fill=—","Direction=H","UseDPDF=Y")</f>
        <v>306</v>
      </c>
      <c r="O11" s="19">
        <f>_xll.BDH("NBIX US Equity","GROSS_PROFIT","FQ2 2022","FQ2 2022","Currency=USD","Period=FQ","BEST_FPERIOD_OVERRIDE=FQ","FILING_STATUS=MR","SCALING_FORMAT=MLN","FA_ADJUSTED=GAAP","Sort=A","Dates=H","DateFormat=P","Fill=—","Direction=H","UseDPDF=Y")</f>
        <v>373.4</v>
      </c>
      <c r="P11" s="19">
        <f>_xll.BDH("NBIX US Equity","GROSS_PROFIT","FQ3 2022","FQ3 2022","Currency=USD","Period=FQ","BEST_FPERIOD_OVERRIDE=FQ","FILING_STATUS=MR","SCALING_FORMAT=MLN","FA_ADJUSTED=GAAP","Sort=A","Dates=H","DateFormat=P","Fill=—","Direction=H","UseDPDF=Y")</f>
        <v>381.8</v>
      </c>
      <c r="Q11" s="19">
        <f>_xll.BDH("NBIX US Equity","GROSS_PROFIT","FQ4 2022","FQ4 2022","Currency=USD","Period=FQ","BEST_FPERIOD_OVERRIDE=FQ","FILING_STATUS=MR","SCALING_FORMAT=MLN","FA_ADJUSTED=GAAP","Sort=A","Dates=H","DateFormat=P","Fill=—","Direction=H","UseDPDF=Y")</f>
        <v>404.3</v>
      </c>
      <c r="R11" s="19">
        <f>_xll.BDH("NBIX US Equity","GROSS_PROFIT","FQ1 2023","FQ1 2023","Currency=USD","Period=FQ","BEST_FPERIOD_OVERRIDE=FQ","FILING_STATUS=MR","SCALING_FORMAT=MLN","FA_ADJUSTED=GAAP","Sort=A","Dates=H","DateFormat=P","Fill=—","Direction=H","UseDPDF=Y")</f>
        <v>411.9</v>
      </c>
      <c r="S11" s="19">
        <f>_xll.BDH("NBIX US Equity","GROSS_PROFIT","FQ2 2023","FQ2 2023","Currency=USD","Period=FQ","BEST_FPERIOD_OVERRIDE=FQ","FILING_STATUS=MR","SCALING_FORMAT=MLN","FA_ADJUSTED=GAAP","Sort=A","Dates=H","DateFormat=P","Fill=—","Direction=H","UseDPDF=Y")</f>
        <v>441.2</v>
      </c>
      <c r="T11" s="19">
        <f>_xll.BDH("NBIX US Equity","GROSS_PROFIT","FQ3 2023","FQ3 2023","Currency=USD","Period=FQ","BEST_FPERIOD_OVERRIDE=FQ","FILING_STATUS=MR","SCALING_FORMAT=MLN","FA_ADJUSTED=GAAP","Sort=A","Dates=H","DateFormat=P","Fill=—","Direction=H","UseDPDF=Y")</f>
        <v>487.6</v>
      </c>
      <c r="U11" s="19">
        <f>_xll.BDH("NBIX US Equity","GROSS_PROFIT","FQ4 2023","FQ4 2023","Currency=USD","Period=FQ","BEST_FPERIOD_OVERRIDE=FQ","FILING_STATUS=MR","SCALING_FORMAT=MLN","FA_ADJUSTED=GAAP","Sort=A","Dates=H","DateFormat=P","Fill=—","Direction=H","UseDPDF=Y")</f>
        <v>506.7</v>
      </c>
      <c r="V11" s="19">
        <f>_xll.BDH("NBIX US Equity","GROSS_PROFIT","FQ1 2024","FQ1 2024","Currency=USD","Period=FQ","BEST_FPERIOD_OVERRIDE=FQ","FILING_STATUS=MR","SCALING_FORMAT=MLN","FA_ADJUSTED=GAAP","Sort=A","Dates=H","DateFormat=P","Fill=—","Direction=H","UseDPDF=Y")</f>
        <v>507.8</v>
      </c>
      <c r="W11" s="19">
        <f>_xll.BDH("NBIX US Equity","GROSS_PROFIT","FQ2 2024","FQ2 2024","Currency=USD","Period=FQ","BEST_FPERIOD_OVERRIDE=FQ","FILING_STATUS=MR","SCALING_FORMAT=MLN","FA_ADJUSTED=GAAP","Sort=A","Dates=H","DateFormat=P","Fill=—","Direction=H","UseDPDF=Y")</f>
        <v>581</v>
      </c>
      <c r="X11" s="19">
        <f>_xll.BDH("NBIX US Equity","GROSS_PROFIT","FQ3 2024","FQ3 2024","Currency=USD","Period=FQ","BEST_FPERIOD_OVERRIDE=FQ","FILING_STATUS=MR","SCALING_FORMAT=MLN","FA_ADJUSTED=GAAP","Sort=A","Dates=H","DateFormat=P","Fill=—","Direction=H","UseDPDF=Y")</f>
        <v>614.1</v>
      </c>
      <c r="Y11" s="19">
        <f>_xll.BDH("NBIX US Equity","GROSS_PROFIT","FQ4 2024","FQ4 2024","Currency=USD","Period=FQ","BEST_FPERIOD_OVERRIDE=FQ","FILING_STATUS=MR","SCALING_FORMAT=MLN","FA_ADJUSTED=GAAP","Sort=A","Dates=H","DateFormat=P","Fill=—","Direction=H","UseDPDF=Y")</f>
        <v>618.4</v>
      </c>
      <c r="Z11" s="19">
        <v>585.28971509999997</v>
      </c>
      <c r="AA11" s="19">
        <v>637.37279999999998</v>
      </c>
    </row>
    <row r="12" spans="1:27" x14ac:dyDescent="0.25">
      <c r="A12" s="10" t="s">
        <v>321</v>
      </c>
      <c r="B12" s="10" t="s">
        <v>322</v>
      </c>
      <c r="C12" s="13">
        <f>_xll.BDH("NBIX US Equity","IS_OTHER_OPER_INC","FQ2 2019","FQ2 2019","Currency=USD","Period=FQ","BEST_FPERIOD_OVERRIDE=FQ","FILING_STATUS=MR","SCALING_FORMAT=MLN","FA_ADJUSTED=GAAP","Sort=A","Dates=H","DateFormat=P","Fill=—","Direction=H","UseDPDF=Y")</f>
        <v>0</v>
      </c>
      <c r="D12" s="13">
        <f>_xll.BDH("NBIX US Equity","IS_OTHER_OPER_INC","FQ3 2019","FQ3 2019","Currency=USD","Period=FQ","BEST_FPERIOD_OVERRIDE=FQ","FILING_STATUS=MR","SCALING_FORMAT=MLN","FA_ADJUSTED=GAAP","Sort=A","Dates=H","DateFormat=P","Fill=—","Direction=H","UseDPDF=Y")</f>
        <v>0</v>
      </c>
      <c r="E12" s="13">
        <f>_xll.BDH("NBIX US Equity","IS_OTHER_OPER_INC","FQ4 2019","FQ4 2019","Currency=USD","Period=FQ","BEST_FPERIOD_OVERRIDE=FQ","FILING_STATUS=MR","SCALING_FORMAT=MLN","FA_ADJUSTED=GAAP","Sort=A","Dates=H","DateFormat=P","Fill=—","Direction=H","UseDPDF=Y")</f>
        <v>0</v>
      </c>
      <c r="F12" s="13">
        <f>_xll.BDH("NBIX US Equity","IS_OTHER_OPER_INC","FQ1 2020","FQ1 2020","Currency=USD","Period=FQ","BEST_FPERIOD_OVERRIDE=FQ","FILING_STATUS=MR","SCALING_FORMAT=MLN","FA_ADJUSTED=GAAP","Sort=A","Dates=H","DateFormat=P","Fill=—","Direction=H","UseDPDF=Y")</f>
        <v>0</v>
      </c>
      <c r="G12" s="13">
        <f>_xll.BDH("NBIX US Equity","IS_OTHER_OPER_INC","FQ2 2020","FQ2 2020","Currency=USD","Period=FQ","BEST_FPERIOD_OVERRIDE=FQ","FILING_STATUS=MR","SCALING_FORMAT=MLN","FA_ADJUSTED=GAAP","Sort=A","Dates=H","DateFormat=P","Fill=—","Direction=H","UseDPDF=Y")</f>
        <v>0</v>
      </c>
      <c r="H12" s="13">
        <f>_xll.BDH("NBIX US Equity","IS_OTHER_OPER_INC","FQ3 2020","FQ3 2020","Currency=USD","Period=FQ","BEST_FPERIOD_OVERRIDE=FQ","FILING_STATUS=MR","SCALING_FORMAT=MLN","FA_ADJUSTED=GAAP","Sort=A","Dates=H","DateFormat=P","Fill=—","Direction=H","UseDPDF=Y")</f>
        <v>0</v>
      </c>
      <c r="I12" s="13">
        <f>_xll.BDH("NBIX US Equity","IS_OTHER_OPER_INC","FQ4 2020","FQ4 2020","Currency=USD","Period=FQ","BEST_FPERIOD_OVERRIDE=FQ","FILING_STATUS=MR","SCALING_FORMAT=MLN","FA_ADJUSTED=GAAP","Sort=A","Dates=H","DateFormat=P","Fill=—","Direction=H","UseDPDF=Y")</f>
        <v>0</v>
      </c>
      <c r="J12" s="13">
        <f>_xll.BDH("NBIX US Equity","IS_OTHER_OPER_INC","FQ1 2021","FQ1 2021","Currency=USD","Period=FQ","BEST_FPERIOD_OVERRIDE=FQ","FILING_STATUS=MR","SCALING_FORMAT=MLN","FA_ADJUSTED=GAAP","Sort=A","Dates=H","DateFormat=P","Fill=—","Direction=H","UseDPDF=Y")</f>
        <v>0</v>
      </c>
      <c r="K12" s="13">
        <f>_xll.BDH("NBIX US Equity","IS_OTHER_OPER_INC","FQ2 2021","FQ2 2021","Currency=USD","Period=FQ","BEST_FPERIOD_OVERRIDE=FQ","FILING_STATUS=MR","SCALING_FORMAT=MLN","FA_ADJUSTED=GAAP","Sort=A","Dates=H","DateFormat=P","Fill=—","Direction=H","UseDPDF=Y")</f>
        <v>0</v>
      </c>
      <c r="L12" s="13">
        <f>_xll.BDH("NBIX US Equity","IS_OTHER_OPER_INC","FQ3 2021","FQ3 2021","Currency=USD","Period=FQ","BEST_FPERIOD_OVERRIDE=FQ","FILING_STATUS=MR","SCALING_FORMAT=MLN","FA_ADJUSTED=GAAP","Sort=A","Dates=H","DateFormat=P","Fill=—","Direction=H","UseDPDF=Y")</f>
        <v>0</v>
      </c>
      <c r="M12" s="13">
        <f>_xll.BDH("NBIX US Equity","IS_OTHER_OPER_INC","FQ4 2021","FQ4 2021","Currency=USD","Period=FQ","BEST_FPERIOD_OVERRIDE=FQ","FILING_STATUS=MR","SCALING_FORMAT=MLN","FA_ADJUSTED=GAAP","Sort=A","Dates=H","DateFormat=P","Fill=—","Direction=H","UseDPDF=Y")</f>
        <v>0</v>
      </c>
      <c r="N12" s="13">
        <f>_xll.BDH("NBIX US Equity","IS_OTHER_OPER_INC","FQ1 2022","FQ1 2022","Currency=USD","Period=FQ","BEST_FPERIOD_OVERRIDE=FQ","FILING_STATUS=MR","SCALING_FORMAT=MLN","FA_ADJUSTED=GAAP","Sort=A","Dates=H","DateFormat=P","Fill=—","Direction=H","UseDPDF=Y")</f>
        <v>0</v>
      </c>
      <c r="O12" s="13">
        <f>_xll.BDH("NBIX US Equity","IS_OTHER_OPER_INC","FQ2 2022","FQ2 2022","Currency=USD","Period=FQ","BEST_FPERIOD_OVERRIDE=FQ","FILING_STATUS=MR","SCALING_FORMAT=MLN","FA_ADJUSTED=GAAP","Sort=A","Dates=H","DateFormat=P","Fill=—","Direction=H","UseDPDF=Y")</f>
        <v>0</v>
      </c>
      <c r="P12" s="13">
        <f>_xll.BDH("NBIX US Equity","IS_OTHER_OPER_INC","FQ3 2022","FQ3 2022","Currency=USD","Period=FQ","BEST_FPERIOD_OVERRIDE=FQ","FILING_STATUS=MR","SCALING_FORMAT=MLN","FA_ADJUSTED=GAAP","Sort=A","Dates=H","DateFormat=P","Fill=—","Direction=H","UseDPDF=Y")</f>
        <v>0</v>
      </c>
      <c r="Q12" s="13">
        <f>_xll.BDH("NBIX US Equity","IS_OTHER_OPER_INC","FQ4 2022","FQ4 2022","Currency=USD","Period=FQ","BEST_FPERIOD_OVERRIDE=FQ","FILING_STATUS=MR","SCALING_FORMAT=MLN","FA_ADJUSTED=GAAP","Sort=A","Dates=H","DateFormat=P","Fill=—","Direction=H","UseDPDF=Y")</f>
        <v>0</v>
      </c>
      <c r="R12" s="13">
        <f>_xll.BDH("NBIX US Equity","IS_OTHER_OPER_INC","FQ1 2023","FQ1 2023","Currency=USD","Period=FQ","BEST_FPERIOD_OVERRIDE=FQ","FILING_STATUS=MR","SCALING_FORMAT=MLN","FA_ADJUSTED=GAAP","Sort=A","Dates=H","DateFormat=P","Fill=—","Direction=H","UseDPDF=Y")</f>
        <v>0</v>
      </c>
      <c r="S12" s="13">
        <f>_xll.BDH("NBIX US Equity","IS_OTHER_OPER_INC","FQ2 2023","FQ2 2023","Currency=USD","Period=FQ","BEST_FPERIOD_OVERRIDE=FQ","FILING_STATUS=MR","SCALING_FORMAT=MLN","FA_ADJUSTED=GAAP","Sort=A","Dates=H","DateFormat=P","Fill=—","Direction=H","UseDPDF=Y")</f>
        <v>0</v>
      </c>
      <c r="T12" s="13">
        <f>_xll.BDH("NBIX US Equity","IS_OTHER_OPER_INC","FQ3 2023","FQ3 2023","Currency=USD","Period=FQ","BEST_FPERIOD_OVERRIDE=FQ","FILING_STATUS=MR","SCALING_FORMAT=MLN","FA_ADJUSTED=GAAP","Sort=A","Dates=H","DateFormat=P","Fill=—","Direction=H","UseDPDF=Y")</f>
        <v>0</v>
      </c>
      <c r="U12" s="13">
        <f>_xll.BDH("NBIX US Equity","IS_OTHER_OPER_INC","FQ4 2023","FQ4 2023","Currency=USD","Period=FQ","BEST_FPERIOD_OVERRIDE=FQ","FILING_STATUS=MR","SCALING_FORMAT=MLN","FA_ADJUSTED=GAAP","Sort=A","Dates=H","DateFormat=P","Fill=—","Direction=H","UseDPDF=Y")</f>
        <v>0</v>
      </c>
      <c r="V12" s="13">
        <f>_xll.BDH("NBIX US Equity","IS_OTHER_OPER_INC","FQ1 2024","FQ1 2024","Currency=USD","Period=FQ","BEST_FPERIOD_OVERRIDE=FQ","FILING_STATUS=MR","SCALING_FORMAT=MLN","FA_ADJUSTED=GAAP","Sort=A","Dates=H","DateFormat=P","Fill=—","Direction=H","UseDPDF=Y")</f>
        <v>0</v>
      </c>
      <c r="W12" s="13">
        <f>_xll.BDH("NBIX US Equity","IS_OTHER_OPER_INC","FQ2 2024","FQ2 2024","Currency=USD","Period=FQ","BEST_FPERIOD_OVERRIDE=FQ","FILING_STATUS=MR","SCALING_FORMAT=MLN","FA_ADJUSTED=GAAP","Sort=A","Dates=H","DateFormat=P","Fill=—","Direction=H","UseDPDF=Y")</f>
        <v>0</v>
      </c>
      <c r="X12" s="13">
        <f>_xll.BDH("NBIX US Equity","IS_OTHER_OPER_INC","FQ3 2024","FQ3 2024","Currency=USD","Period=FQ","BEST_FPERIOD_OVERRIDE=FQ","FILING_STATUS=MR","SCALING_FORMAT=MLN","FA_ADJUSTED=GAAP","Sort=A","Dates=H","DateFormat=P","Fill=—","Direction=H","UseDPDF=Y")</f>
        <v>0</v>
      </c>
      <c r="Y12" s="13">
        <f>_xll.BDH("NBIX US Equity","IS_OTHER_OPER_INC","FQ4 2024","FQ4 2024","Currency=USD","Period=FQ","BEST_FPERIOD_OVERRIDE=FQ","FILING_STATUS=MR","SCALING_FORMAT=MLN","FA_ADJUSTED=GAAP","Sort=A","Dates=H","DateFormat=P","Fill=—","Direction=H","UseDPDF=Y")</f>
        <v>0</v>
      </c>
      <c r="Z12" s="13"/>
      <c r="AA12" s="13"/>
    </row>
    <row r="13" spans="1:27" x14ac:dyDescent="0.25">
      <c r="A13" s="10" t="s">
        <v>323</v>
      </c>
      <c r="B13" s="10" t="s">
        <v>324</v>
      </c>
      <c r="C13" s="13">
        <f>_xll.BDH("NBIX US Equity","IS_OPERATING_EXPN","FQ2 2019","FQ2 2019","Currency=USD","Period=FQ","BEST_FPERIOD_OVERRIDE=FQ","FILING_STATUS=MR","SCALING_FORMAT=MLN","FA_ADJUSTED=GAAP","Sort=A","Dates=H","DateFormat=P","Fill=—","Direction=H","UseDPDF=Y")</f>
        <v>147.511</v>
      </c>
      <c r="D13" s="13">
        <f>_xll.BDH("NBIX US Equity","IS_OPERATING_EXPN","FQ3 2019","FQ3 2019","Currency=USD","Period=FQ","BEST_FPERIOD_OVERRIDE=FQ","FILING_STATUS=MR","SCALING_FORMAT=MLN","FA_ADJUSTED=GAAP","Sort=A","Dates=H","DateFormat=P","Fill=—","Direction=H","UseDPDF=Y")</f>
        <v>129.767</v>
      </c>
      <c r="E13" s="13">
        <f>_xll.BDH("NBIX US Equity","IS_OPERATING_EXPN","FQ4 2019","FQ4 2019","Currency=USD","Period=FQ","BEST_FPERIOD_OVERRIDE=FQ","FILING_STATUS=MR","SCALING_FORMAT=MLN","FA_ADJUSTED=GAAP","Sort=A","Dates=H","DateFormat=P","Fill=—","Direction=H","UseDPDF=Y")</f>
        <v>192.8</v>
      </c>
      <c r="F13" s="13">
        <f>_xll.BDH("NBIX US Equity","IS_OPERATING_EXPN","FQ1 2020","FQ1 2020","Currency=USD","Period=FQ","BEST_FPERIOD_OVERRIDE=FQ","FILING_STATUS=MR","SCALING_FORMAT=MLN","FA_ADJUSTED=GAAP","Sort=A","Dates=H","DateFormat=P","Fill=—","Direction=H","UseDPDF=Y")</f>
        <v>176.1</v>
      </c>
      <c r="G13" s="13">
        <f>_xll.BDH("NBIX US Equity","IS_OPERATING_EXPN","FQ2 2020","FQ2 2020","Currency=USD","Period=FQ","BEST_FPERIOD_OVERRIDE=FQ","FILING_STATUS=MR","SCALING_FORMAT=MLN","FA_ADJUSTED=GAAP","Sort=A","Dates=H","DateFormat=P","Fill=—","Direction=H","UseDPDF=Y")</f>
        <v>223.4</v>
      </c>
      <c r="H13" s="13">
        <f>_xll.BDH("NBIX US Equity","IS_OPERATING_EXPN","FQ3 2020","FQ3 2020","Currency=USD","Period=FQ","BEST_FPERIOD_OVERRIDE=FQ","FILING_STATUS=MR","SCALING_FORMAT=MLN","FA_ADJUSTED=GAAP","Sort=A","Dates=H","DateFormat=P","Fill=—","Direction=H","UseDPDF=Y")</f>
        <v>300.10000000000002</v>
      </c>
      <c r="I13" s="13">
        <f>_xll.BDH("NBIX US Equity","IS_OPERATING_EXPN","FQ4 2020","FQ4 2020","Currency=USD","Period=FQ","BEST_FPERIOD_OVERRIDE=FQ","FILING_STATUS=MR","SCALING_FORMAT=MLN","FA_ADJUSTED=GAAP","Sort=A","Dates=H","DateFormat=P","Fill=—","Direction=H","UseDPDF=Y")</f>
        <v>173.2</v>
      </c>
      <c r="J13" s="13">
        <f>_xll.BDH("NBIX US Equity","IS_OPERATING_EXPN","FQ1 2021","FQ1 2021","Currency=USD","Period=FQ","BEST_FPERIOD_OVERRIDE=FQ","FILING_STATUS=MR","SCALING_FORMAT=MLN","FA_ADJUSTED=GAAP","Sort=A","Dates=H","DateFormat=P","Fill=—","Direction=H","UseDPDF=Y")</f>
        <v>202.2</v>
      </c>
      <c r="K13" s="13">
        <f>_xll.BDH("NBIX US Equity","IS_OPERATING_EXPN","FQ2 2021","FQ2 2021","Currency=USD","Period=FQ","BEST_FPERIOD_OVERRIDE=FQ","FILING_STATUS=MR","SCALING_FORMAT=MLN","FA_ADJUSTED=GAAP","Sort=A","Dates=H","DateFormat=P","Fill=—","Direction=H","UseDPDF=Y")</f>
        <v>223</v>
      </c>
      <c r="L13" s="13">
        <f>_xll.BDH("NBIX US Equity","IS_OPERATING_EXPN","FQ3 2021","FQ3 2021","Currency=USD","Period=FQ","BEST_FPERIOD_OVERRIDE=FQ","FILING_STATUS=MR","SCALING_FORMAT=MLN","FA_ADJUSTED=GAAP","Sort=A","Dates=H","DateFormat=P","Fill=—","Direction=H","UseDPDF=Y")</f>
        <v>247.3</v>
      </c>
      <c r="M13" s="13">
        <f>_xll.BDH("NBIX US Equity","IS_OPERATING_EXPN","FQ4 2021","FQ4 2021","Currency=USD","Period=FQ","BEST_FPERIOD_OVERRIDE=FQ","FILING_STATUS=MR","SCALING_FORMAT=MLN","FA_ADJUSTED=GAAP","Sort=A","Dates=H","DateFormat=P","Fill=—","Direction=H","UseDPDF=Y")</f>
        <v>344.2</v>
      </c>
      <c r="N13" s="13">
        <f>_xll.BDH("NBIX US Equity","IS_OPERATING_EXPN","FQ1 2022","FQ1 2022","Currency=USD","Period=FQ","BEST_FPERIOD_OVERRIDE=FQ","FILING_STATUS=MR","SCALING_FORMAT=MLN","FA_ADJUSTED=GAAP","Sort=A","Dates=H","DateFormat=P","Fill=—","Direction=H","UseDPDF=Y")</f>
        <v>302.89999999999998</v>
      </c>
      <c r="O13" s="13">
        <f>_xll.BDH("NBIX US Equity","IS_OPERATING_EXPN","FQ2 2022","FQ2 2022","Currency=USD","Period=FQ","BEST_FPERIOD_OVERRIDE=FQ","FILING_STATUS=MR","SCALING_FORMAT=MLN","FA_ADJUSTED=GAAP","Sort=A","Dates=H","DateFormat=P","Fill=—","Direction=H","UseDPDF=Y")</f>
        <v>318.7</v>
      </c>
      <c r="P13" s="13">
        <f>_xll.BDH("NBIX US Equity","IS_OPERATING_EXPN","FQ3 2022","FQ3 2022","Currency=USD","Period=FQ","BEST_FPERIOD_OVERRIDE=FQ","FILING_STATUS=MR","SCALING_FORMAT=MLN","FA_ADJUSTED=GAAP","Sort=A","Dates=H","DateFormat=P","Fill=—","Direction=H","UseDPDF=Y")</f>
        <v>294</v>
      </c>
      <c r="Q13" s="13">
        <f>_xll.BDH("NBIX US Equity","IS_OPERATING_EXPN","FQ4 2022","FQ4 2022","Currency=USD","Period=FQ","BEST_FPERIOD_OVERRIDE=FQ","FILING_STATUS=MR","SCALING_FORMAT=MLN","FA_ADJUSTED=GAAP","Sort=A","Dates=H","DateFormat=P","Fill=—","Direction=H","UseDPDF=Y")</f>
        <v>300.89999999999998</v>
      </c>
      <c r="R13" s="13">
        <f>_xll.BDH("NBIX US Equity","IS_OPERATING_EXPN","FQ1 2023","FQ1 2023","Currency=USD","Period=FQ","BEST_FPERIOD_OVERRIDE=FQ","FILING_STATUS=MR","SCALING_FORMAT=MLN","FA_ADJUSTED=GAAP","Sort=A","Dates=H","DateFormat=P","Fill=—","Direction=H","UseDPDF=Y")</f>
        <v>526.1</v>
      </c>
      <c r="S13" s="13">
        <f>_xll.BDH("NBIX US Equity","IS_OPERATING_EXPN","FQ2 2023","FQ2 2023","Currency=USD","Period=FQ","BEST_FPERIOD_OVERRIDE=FQ","FILING_STATUS=MR","SCALING_FORMAT=MLN","FA_ADJUSTED=GAAP","Sort=A","Dates=H","DateFormat=P","Fill=—","Direction=H","UseDPDF=Y")</f>
        <v>367.6</v>
      </c>
      <c r="T13" s="13">
        <f>_xll.BDH("NBIX US Equity","IS_OPERATING_EXPN","FQ3 2023","FQ3 2023","Currency=USD","Period=FQ","BEST_FPERIOD_OVERRIDE=FQ","FILING_STATUS=MR","SCALING_FORMAT=MLN","FA_ADJUSTED=GAAP","Sort=A","Dates=H","DateFormat=P","Fill=—","Direction=H","UseDPDF=Y")</f>
        <v>346.4</v>
      </c>
      <c r="U13" s="13">
        <f>_xll.BDH("NBIX US Equity","IS_OPERATING_EXPN","FQ4 2023","FQ4 2023","Currency=USD","Period=FQ","BEST_FPERIOD_OVERRIDE=FQ","FILING_STATUS=MR","SCALING_FORMAT=MLN","FA_ADJUSTED=GAAP","Sort=A","Dates=H","DateFormat=P","Fill=—","Direction=H","UseDPDF=Y")</f>
        <v>356.4</v>
      </c>
      <c r="V13" s="13">
        <f>_xll.BDH("NBIX US Equity","IS_OPERATING_EXPN","FQ1 2024","FQ1 2024","Currency=USD","Period=FQ","BEST_FPERIOD_OVERRIDE=FQ","FILING_STATUS=MR","SCALING_FORMAT=MLN","FA_ADJUSTED=GAAP","Sort=A","Dates=H","DateFormat=P","Fill=—","Direction=H","UseDPDF=Y")</f>
        <v>408.5</v>
      </c>
      <c r="W13" s="13">
        <f>_xll.BDH("NBIX US Equity","IS_OPERATING_EXPN","FQ2 2024","FQ2 2024","Currency=USD","Period=FQ","BEST_FPERIOD_OVERRIDE=FQ","FILING_STATUS=MR","SCALING_FORMAT=MLN","FA_ADJUSTED=GAAP","Sort=A","Dates=H","DateFormat=P","Fill=—","Direction=H","UseDPDF=Y")</f>
        <v>435.6</v>
      </c>
      <c r="X13" s="13">
        <f>_xll.BDH("NBIX US Equity","IS_OPERATING_EXPN","FQ3 2024","FQ3 2024","Currency=USD","Period=FQ","BEST_FPERIOD_OVERRIDE=FQ","FILING_STATUS=MR","SCALING_FORMAT=MLN","FA_ADJUSTED=GAAP","Sort=A","Dates=H","DateFormat=P","Fill=—","Direction=H","UseDPDF=Y")</f>
        <v>430.3</v>
      </c>
      <c r="Y13" s="13">
        <f>_xll.BDH("NBIX US Equity","IS_OPERATING_EXPN","FQ4 2024","FQ4 2024","Currency=USD","Period=FQ","BEST_FPERIOD_OVERRIDE=FQ","FILING_STATUS=MR","SCALING_FORMAT=MLN","FA_ADJUSTED=GAAP","Sort=A","Dates=H","DateFormat=P","Fill=—","Direction=H","UseDPDF=Y")</f>
        <v>476.4</v>
      </c>
      <c r="Z13" s="13"/>
      <c r="AA13" s="13"/>
    </row>
    <row r="14" spans="1:27" x14ac:dyDescent="0.25">
      <c r="A14" s="10" t="s">
        <v>325</v>
      </c>
      <c r="B14" s="10" t="s">
        <v>326</v>
      </c>
      <c r="C14" s="13">
        <f>_xll.BDH("NBIX US Equity","IS_SGA_EXPENSE","FQ2 2019","FQ2 2019","Currency=USD","Period=FQ","BEST_FPERIOD_OVERRIDE=FQ","FILING_STATUS=MR","SCALING_FORMAT=MLN","FA_ADJUSTED=GAAP","Sort=A","Dates=H","DateFormat=P","Fill=—","Direction=H","UseDPDF=Y")</f>
        <v>80.823999999999998</v>
      </c>
      <c r="D14" s="13">
        <f>_xll.BDH("NBIX US Equity","IS_SGA_EXPENSE","FQ3 2019","FQ3 2019","Currency=USD","Period=FQ","BEST_FPERIOD_OVERRIDE=FQ","FILING_STATUS=MR","SCALING_FORMAT=MLN","FA_ADJUSTED=GAAP","Sort=A","Dates=H","DateFormat=P","Fill=—","Direction=H","UseDPDF=Y")</f>
        <v>84.489000000000004</v>
      </c>
      <c r="E14" s="13">
        <f>_xll.BDH("NBIX US Equity","IS_SGA_EXPENSE","FQ4 2019","FQ4 2019","Currency=USD","Period=FQ","BEST_FPERIOD_OVERRIDE=FQ","FILING_STATUS=MR","SCALING_FORMAT=MLN","FA_ADJUSTED=GAAP","Sort=A","Dates=H","DateFormat=P","Fill=—","Direction=H","UseDPDF=Y")</f>
        <v>101.3</v>
      </c>
      <c r="F14" s="13">
        <f>_xll.BDH("NBIX US Equity","IS_SGA_EXPENSE","FQ1 2020","FQ1 2020","Currency=USD","Period=FQ","BEST_FPERIOD_OVERRIDE=FQ","FILING_STATUS=MR","SCALING_FORMAT=MLN","FA_ADJUSTED=GAAP","Sort=A","Dates=H","DateFormat=P","Fill=—","Direction=H","UseDPDF=Y")</f>
        <v>117.8</v>
      </c>
      <c r="G14" s="13">
        <f>_xll.BDH("NBIX US Equity","IS_SGA_EXPENSE","FQ2 2020","FQ2 2020","Currency=USD","Period=FQ","BEST_FPERIOD_OVERRIDE=FQ","FILING_STATUS=MR","SCALING_FORMAT=MLN","FA_ADJUSTED=GAAP","Sort=A","Dates=H","DateFormat=P","Fill=—","Direction=H","UseDPDF=Y")</f>
        <v>96.5</v>
      </c>
      <c r="H14" s="13">
        <f>_xll.BDH("NBIX US Equity","IS_SGA_EXPENSE","FQ3 2020","FQ3 2020","Currency=USD","Period=FQ","BEST_FPERIOD_OVERRIDE=FQ","FILING_STATUS=MR","SCALING_FORMAT=MLN","FA_ADJUSTED=GAAP","Sort=A","Dates=H","DateFormat=P","Fill=—","Direction=H","UseDPDF=Y")</f>
        <v>112.5</v>
      </c>
      <c r="I14" s="13">
        <f>_xll.BDH("NBIX US Equity","IS_SGA_EXPENSE","FQ4 2020","FQ4 2020","Currency=USD","Period=FQ","BEST_FPERIOD_OVERRIDE=FQ","FILING_STATUS=MR","SCALING_FORMAT=MLN","FA_ADJUSTED=GAAP","Sort=A","Dates=H","DateFormat=P","Fill=—","Direction=H","UseDPDF=Y")</f>
        <v>106.5</v>
      </c>
      <c r="J14" s="13">
        <f>_xll.BDH("NBIX US Equity","IS_SGA_EXPENSE","FQ1 2021","FQ1 2021","Currency=USD","Period=FQ","BEST_FPERIOD_OVERRIDE=FQ","FILING_STATUS=MR","SCALING_FORMAT=MLN","FA_ADJUSTED=GAAP","Sort=A","Dates=H","DateFormat=P","Fill=—","Direction=H","UseDPDF=Y")</f>
        <v>129</v>
      </c>
      <c r="K14" s="13">
        <f>_xll.BDH("NBIX US Equity","IS_SGA_EXPENSE","FQ2 2021","FQ2 2021","Currency=USD","Period=FQ","BEST_FPERIOD_OVERRIDE=FQ","FILING_STATUS=MR","SCALING_FORMAT=MLN","FA_ADJUSTED=GAAP","Sort=A","Dates=H","DateFormat=P","Fill=—","Direction=H","UseDPDF=Y")</f>
        <v>143.19999999999999</v>
      </c>
      <c r="L14" s="13">
        <f>_xll.BDH("NBIX US Equity","IS_SGA_EXPENSE","FQ3 2021","FQ3 2021","Currency=USD","Period=FQ","BEST_FPERIOD_OVERRIDE=FQ","FILING_STATUS=MR","SCALING_FORMAT=MLN","FA_ADJUSTED=GAAP","Sort=A","Dates=H","DateFormat=P","Fill=—","Direction=H","UseDPDF=Y")</f>
        <v>154.6</v>
      </c>
      <c r="M14" s="13">
        <f>_xll.BDH("NBIX US Equity","IS_SGA_EXPENSE","FQ4 2021","FQ4 2021","Currency=USD","Period=FQ","BEST_FPERIOD_OVERRIDE=FQ","FILING_STATUS=MR","SCALING_FORMAT=MLN","FA_ADJUSTED=GAAP","Sort=A","Dates=H","DateFormat=P","Fill=—","Direction=H","UseDPDF=Y")</f>
        <v>156.5</v>
      </c>
      <c r="N14" s="13">
        <f>_xll.BDH("NBIX US Equity","IS_SGA_EXPENSE","FQ1 2022","FQ1 2022","Currency=USD","Period=FQ","BEST_FPERIOD_OVERRIDE=FQ","FILING_STATUS=MR","SCALING_FORMAT=MLN","FA_ADJUSTED=GAAP","Sort=A","Dates=H","DateFormat=P","Fill=—","Direction=H","UseDPDF=Y")</f>
        <v>200.7</v>
      </c>
      <c r="O14" s="13">
        <f>_xll.BDH("NBIX US Equity","IS_SGA_EXPENSE","FQ2 2022","FQ2 2022","Currency=USD","Period=FQ","BEST_FPERIOD_OVERRIDE=FQ","FILING_STATUS=MR","SCALING_FORMAT=MLN","FA_ADJUSTED=GAAP","Sort=A","Dates=H","DateFormat=P","Fill=—","Direction=H","UseDPDF=Y")</f>
        <v>182.8</v>
      </c>
      <c r="P14" s="13">
        <f>_xll.BDH("NBIX US Equity","IS_SGA_EXPENSE","FQ3 2022","FQ3 2022","Currency=USD","Period=FQ","BEST_FPERIOD_OVERRIDE=FQ","FILING_STATUS=MR","SCALING_FORMAT=MLN","FA_ADJUSTED=GAAP","Sort=A","Dates=H","DateFormat=P","Fill=—","Direction=H","UseDPDF=Y")</f>
        <v>186.3</v>
      </c>
      <c r="Q14" s="13">
        <f>_xll.BDH("NBIX US Equity","IS_SGA_EXPENSE","FQ4 2022","FQ4 2022","Currency=USD","Period=FQ","BEST_FPERIOD_OVERRIDE=FQ","FILING_STATUS=MR","SCALING_FORMAT=MLN","FA_ADJUSTED=GAAP","Sort=A","Dates=H","DateFormat=P","Fill=—","Direction=H","UseDPDF=Y")</f>
        <v>182.9</v>
      </c>
      <c r="R14" s="13">
        <f>_xll.BDH("NBIX US Equity","IS_SGA_EXPENSE","FQ1 2023","FQ1 2023","Currency=USD","Period=FQ","BEST_FPERIOD_OVERRIDE=FQ","FILING_STATUS=MR","SCALING_FORMAT=MLN","FA_ADJUSTED=GAAP","Sort=A","Dates=H","DateFormat=P","Fill=—","Direction=H","UseDPDF=Y")</f>
        <v>242.7</v>
      </c>
      <c r="S14" s="13">
        <f>_xll.BDH("NBIX US Equity","IS_SGA_EXPENSE","FQ2 2023","FQ2 2023","Currency=USD","Period=FQ","BEST_FPERIOD_OVERRIDE=FQ","FILING_STATUS=MR","SCALING_FORMAT=MLN","FA_ADJUSTED=GAAP","Sort=A","Dates=H","DateFormat=P","Fill=—","Direction=H","UseDPDF=Y")</f>
        <v>221.8</v>
      </c>
      <c r="T14" s="13">
        <f>_xll.BDH("NBIX US Equity","IS_SGA_EXPENSE","FQ3 2023","FQ3 2023","Currency=USD","Period=FQ","BEST_FPERIOD_OVERRIDE=FQ","FILING_STATUS=MR","SCALING_FORMAT=MLN","FA_ADJUSTED=GAAP","Sort=A","Dates=H","DateFormat=P","Fill=—","Direction=H","UseDPDF=Y")</f>
        <v>204.2</v>
      </c>
      <c r="U14" s="13">
        <f>_xll.BDH("NBIX US Equity","IS_SGA_EXPENSE","FQ4 2023","FQ4 2023","Currency=USD","Period=FQ","BEST_FPERIOD_OVERRIDE=FQ","FILING_STATUS=MR","SCALING_FORMAT=MLN","FA_ADJUSTED=GAAP","Sort=A","Dates=H","DateFormat=P","Fill=—","Direction=H","UseDPDF=Y")</f>
        <v>218.9</v>
      </c>
      <c r="V14" s="13">
        <f>_xll.BDH("NBIX US Equity","IS_SGA_EXPENSE","FQ1 2024","FQ1 2024","Currency=USD","Period=FQ","BEST_FPERIOD_OVERRIDE=FQ","FILING_STATUS=MR","SCALING_FORMAT=MLN","FA_ADJUSTED=GAAP","Sort=A","Dates=H","DateFormat=P","Fill=—","Direction=H","UseDPDF=Y")</f>
        <v>243.1</v>
      </c>
      <c r="W14" s="13">
        <f>_xll.BDH("NBIX US Equity","IS_SGA_EXPENSE","FQ2 2024","FQ2 2024","Currency=USD","Period=FQ","BEST_FPERIOD_OVERRIDE=FQ","FILING_STATUS=MR","SCALING_FORMAT=MLN","FA_ADJUSTED=GAAP","Sort=A","Dates=H","DateFormat=P","Fill=—","Direction=H","UseDPDF=Y")</f>
        <v>242</v>
      </c>
      <c r="X14" s="13">
        <f>_xll.BDH("NBIX US Equity","IS_SGA_EXPENSE","FQ3 2024","FQ3 2024","Currency=USD","Period=FQ","BEST_FPERIOD_OVERRIDE=FQ","FILING_STATUS=MR","SCALING_FORMAT=MLN","FA_ADJUSTED=GAAP","Sort=A","Dates=H","DateFormat=P","Fill=—","Direction=H","UseDPDF=Y")</f>
        <v>234.3</v>
      </c>
      <c r="Y14" s="13">
        <f>_xll.BDH("NBIX US Equity","IS_SGA_EXPENSE","FQ4 2024","FQ4 2024","Currency=USD","Period=FQ","BEST_FPERIOD_OVERRIDE=FQ","FILING_STATUS=MR","SCALING_FORMAT=MLN","FA_ADJUSTED=GAAP","Sort=A","Dates=H","DateFormat=P","Fill=—","Direction=H","UseDPDF=Y")</f>
        <v>287.8</v>
      </c>
      <c r="Z14" s="13"/>
      <c r="AA14" s="13"/>
    </row>
    <row r="15" spans="1:27" x14ac:dyDescent="0.25">
      <c r="A15" s="11" t="s">
        <v>327</v>
      </c>
      <c r="B15" s="11" t="s">
        <v>328</v>
      </c>
      <c r="C15" s="25">
        <f>_xll.BDH("NBIX US Equity","IS_GENERAL_AND_ADMINISTRATIVE","FQ2 2019","FQ2 2019","Currency=USD","Period=FQ","BEST_FPERIOD_OVERRIDE=FQ","FILING_STATUS=MR","SCALING_FORMAT=MLN","FA_ADJUSTED=GAAP","Sort=A","Dates=H","DateFormat=P","Fill=—","Direction=H","UseDPDF=Y")</f>
        <v>80.823999999999998</v>
      </c>
      <c r="D15" s="25">
        <f>_xll.BDH("NBIX US Equity","IS_GENERAL_AND_ADMINISTRATIVE","FQ3 2019","FQ3 2019","Currency=USD","Period=FQ","BEST_FPERIOD_OVERRIDE=FQ","FILING_STATUS=MR","SCALING_FORMAT=MLN","FA_ADJUSTED=GAAP","Sort=A","Dates=H","DateFormat=P","Fill=—","Direction=H","UseDPDF=Y")</f>
        <v>84.489000000000004</v>
      </c>
      <c r="E15" s="25">
        <f>_xll.BDH("NBIX US Equity","IS_GENERAL_AND_ADMINISTRATIVE","FQ4 2019","FQ4 2019","Currency=USD","Period=FQ","BEST_FPERIOD_OVERRIDE=FQ","FILING_STATUS=MR","SCALING_FORMAT=MLN","FA_ADJUSTED=GAAP","Sort=A","Dates=H","DateFormat=P","Fill=—","Direction=H","UseDPDF=Y")</f>
        <v>101.3</v>
      </c>
      <c r="F15" s="25">
        <f>_xll.BDH("NBIX US Equity","IS_GENERAL_AND_ADMINISTRATIVE","FQ1 2020","FQ1 2020","Currency=USD","Period=FQ","BEST_FPERIOD_OVERRIDE=FQ","FILING_STATUS=MR","SCALING_FORMAT=MLN","FA_ADJUSTED=GAAP","Sort=A","Dates=H","DateFormat=P","Fill=—","Direction=H","UseDPDF=Y")</f>
        <v>117.8</v>
      </c>
      <c r="G15" s="25">
        <f>_xll.BDH("NBIX US Equity","IS_GENERAL_AND_ADMINISTRATIVE","FQ2 2020","FQ2 2020","Currency=USD","Period=FQ","BEST_FPERIOD_OVERRIDE=FQ","FILING_STATUS=MR","SCALING_FORMAT=MLN","FA_ADJUSTED=GAAP","Sort=A","Dates=H","DateFormat=P","Fill=—","Direction=H","UseDPDF=Y")</f>
        <v>96.5</v>
      </c>
      <c r="H15" s="25">
        <f>_xll.BDH("NBIX US Equity","IS_GENERAL_AND_ADMINISTRATIVE","FQ3 2020","FQ3 2020","Currency=USD","Period=FQ","BEST_FPERIOD_OVERRIDE=FQ","FILING_STATUS=MR","SCALING_FORMAT=MLN","FA_ADJUSTED=GAAP","Sort=A","Dates=H","DateFormat=P","Fill=—","Direction=H","UseDPDF=Y")</f>
        <v>112.5</v>
      </c>
      <c r="I15" s="25">
        <f>_xll.BDH("NBIX US Equity","IS_GENERAL_AND_ADMINISTRATIVE","FQ4 2020","FQ4 2020","Currency=USD","Period=FQ","BEST_FPERIOD_OVERRIDE=FQ","FILING_STATUS=MR","SCALING_FORMAT=MLN","FA_ADJUSTED=GAAP","Sort=A","Dates=H","DateFormat=P","Fill=—","Direction=H","UseDPDF=Y")</f>
        <v>106.5</v>
      </c>
      <c r="J15" s="25">
        <f>_xll.BDH("NBIX US Equity","IS_GENERAL_AND_ADMINISTRATIVE","FQ1 2021","FQ1 2021","Currency=USD","Period=FQ","BEST_FPERIOD_OVERRIDE=FQ","FILING_STATUS=MR","SCALING_FORMAT=MLN","FA_ADJUSTED=GAAP","Sort=A","Dates=H","DateFormat=P","Fill=—","Direction=H","UseDPDF=Y")</f>
        <v>129</v>
      </c>
      <c r="K15" s="25">
        <f>_xll.BDH("NBIX US Equity","IS_GENERAL_AND_ADMINISTRATIVE","FQ2 2021","FQ2 2021","Currency=USD","Period=FQ","BEST_FPERIOD_OVERRIDE=FQ","FILING_STATUS=MR","SCALING_FORMAT=MLN","FA_ADJUSTED=GAAP","Sort=A","Dates=H","DateFormat=P","Fill=—","Direction=H","UseDPDF=Y")</f>
        <v>143.19999999999999</v>
      </c>
      <c r="L15" s="25">
        <f>_xll.BDH("NBIX US Equity","IS_GENERAL_AND_ADMINISTRATIVE","FQ3 2021","FQ3 2021","Currency=USD","Period=FQ","BEST_FPERIOD_OVERRIDE=FQ","FILING_STATUS=MR","SCALING_FORMAT=MLN","FA_ADJUSTED=GAAP","Sort=A","Dates=H","DateFormat=P","Fill=—","Direction=H","UseDPDF=Y")</f>
        <v>154.6</v>
      </c>
      <c r="M15" s="25">
        <f>_xll.BDH("NBIX US Equity","IS_GENERAL_AND_ADMINISTRATIVE","FQ4 2021","FQ4 2021","Currency=USD","Period=FQ","BEST_FPERIOD_OVERRIDE=FQ","FILING_STATUS=MR","SCALING_FORMAT=MLN","FA_ADJUSTED=GAAP","Sort=A","Dates=H","DateFormat=P","Fill=—","Direction=H","UseDPDF=Y")</f>
        <v>156.5</v>
      </c>
      <c r="N15" s="25">
        <f>_xll.BDH("NBIX US Equity","IS_GENERAL_AND_ADMINISTRATIVE","FQ1 2022","FQ1 2022","Currency=USD","Period=FQ","BEST_FPERIOD_OVERRIDE=FQ","FILING_STATUS=MR","SCALING_FORMAT=MLN","FA_ADJUSTED=GAAP","Sort=A","Dates=H","DateFormat=P","Fill=—","Direction=H","UseDPDF=Y")</f>
        <v>200.7</v>
      </c>
      <c r="O15" s="25">
        <f>_xll.BDH("NBIX US Equity","IS_GENERAL_AND_ADMINISTRATIVE","FQ2 2022","FQ2 2022","Currency=USD","Period=FQ","BEST_FPERIOD_OVERRIDE=FQ","FILING_STATUS=MR","SCALING_FORMAT=MLN","FA_ADJUSTED=GAAP","Sort=A","Dates=H","DateFormat=P","Fill=—","Direction=H","UseDPDF=Y")</f>
        <v>182.8</v>
      </c>
      <c r="P15" s="25">
        <f>_xll.BDH("NBIX US Equity","IS_GENERAL_AND_ADMINISTRATIVE","FQ3 2022","FQ3 2022","Currency=USD","Period=FQ","BEST_FPERIOD_OVERRIDE=FQ","FILING_STATUS=MR","SCALING_FORMAT=MLN","FA_ADJUSTED=GAAP","Sort=A","Dates=H","DateFormat=P","Fill=—","Direction=H","UseDPDF=Y")</f>
        <v>186.3</v>
      </c>
      <c r="Q15" s="25">
        <f>_xll.BDH("NBIX US Equity","IS_GENERAL_AND_ADMINISTRATIVE","FQ4 2022","FQ4 2022","Currency=USD","Period=FQ","BEST_FPERIOD_OVERRIDE=FQ","FILING_STATUS=MR","SCALING_FORMAT=MLN","FA_ADJUSTED=GAAP","Sort=A","Dates=H","DateFormat=P","Fill=—","Direction=H","UseDPDF=Y")</f>
        <v>182.9</v>
      </c>
      <c r="R15" s="25">
        <f>_xll.BDH("NBIX US Equity","IS_GENERAL_AND_ADMINISTRATIVE","FQ1 2023","FQ1 2023","Currency=USD","Period=FQ","BEST_FPERIOD_OVERRIDE=FQ","FILING_STATUS=MR","SCALING_FORMAT=MLN","FA_ADJUSTED=GAAP","Sort=A","Dates=H","DateFormat=P","Fill=—","Direction=H","UseDPDF=Y")</f>
        <v>242.7</v>
      </c>
      <c r="S15" s="25">
        <f>_xll.BDH("NBIX US Equity","IS_GENERAL_AND_ADMINISTRATIVE","FQ2 2023","FQ2 2023","Currency=USD","Period=FQ","BEST_FPERIOD_OVERRIDE=FQ","FILING_STATUS=MR","SCALING_FORMAT=MLN","FA_ADJUSTED=GAAP","Sort=A","Dates=H","DateFormat=P","Fill=—","Direction=H","UseDPDF=Y")</f>
        <v>221.8</v>
      </c>
      <c r="T15" s="25">
        <f>_xll.BDH("NBIX US Equity","IS_GENERAL_AND_ADMINISTRATIVE","FQ3 2023","FQ3 2023","Currency=USD","Period=FQ","BEST_FPERIOD_OVERRIDE=FQ","FILING_STATUS=MR","SCALING_FORMAT=MLN","FA_ADJUSTED=GAAP","Sort=A","Dates=H","DateFormat=P","Fill=—","Direction=H","UseDPDF=Y")</f>
        <v>204.2</v>
      </c>
      <c r="U15" s="25">
        <f>_xll.BDH("NBIX US Equity","IS_GENERAL_AND_ADMINISTRATIVE","FQ4 2023","FQ4 2023","Currency=USD","Period=FQ","BEST_FPERIOD_OVERRIDE=FQ","FILING_STATUS=MR","SCALING_FORMAT=MLN","FA_ADJUSTED=GAAP","Sort=A","Dates=H","DateFormat=P","Fill=—","Direction=H","UseDPDF=Y")</f>
        <v>218.9</v>
      </c>
      <c r="V15" s="25">
        <f>_xll.BDH("NBIX US Equity","IS_GENERAL_AND_ADMINISTRATIVE","FQ1 2024","FQ1 2024","Currency=USD","Period=FQ","BEST_FPERIOD_OVERRIDE=FQ","FILING_STATUS=MR","SCALING_FORMAT=MLN","FA_ADJUSTED=GAAP","Sort=A","Dates=H","DateFormat=P","Fill=—","Direction=H","UseDPDF=Y")</f>
        <v>243.1</v>
      </c>
      <c r="W15" s="25">
        <f>_xll.BDH("NBIX US Equity","IS_GENERAL_AND_ADMINISTRATIVE","FQ2 2024","FQ2 2024","Currency=USD","Period=FQ","BEST_FPERIOD_OVERRIDE=FQ","FILING_STATUS=MR","SCALING_FORMAT=MLN","FA_ADJUSTED=GAAP","Sort=A","Dates=H","DateFormat=P","Fill=—","Direction=H","UseDPDF=Y")</f>
        <v>242</v>
      </c>
      <c r="X15" s="25">
        <f>_xll.BDH("NBIX US Equity","IS_GENERAL_AND_ADMINISTRATIVE","FQ3 2024","FQ3 2024","Currency=USD","Period=FQ","BEST_FPERIOD_OVERRIDE=FQ","FILING_STATUS=MR","SCALING_FORMAT=MLN","FA_ADJUSTED=GAAP","Sort=A","Dates=H","DateFormat=P","Fill=—","Direction=H","UseDPDF=Y")</f>
        <v>234.3</v>
      </c>
      <c r="Y15" s="25">
        <f>_xll.BDH("NBIX US Equity","IS_GENERAL_AND_ADMINISTRATIVE","FQ4 2024","FQ4 2024","Currency=USD","Period=FQ","BEST_FPERIOD_OVERRIDE=FQ","FILING_STATUS=MR","SCALING_FORMAT=MLN","FA_ADJUSTED=GAAP","Sort=A","Dates=H","DateFormat=P","Fill=—","Direction=H","UseDPDF=Y")</f>
        <v>287.8</v>
      </c>
      <c r="Z15" s="25"/>
      <c r="AA15" s="25"/>
    </row>
    <row r="16" spans="1:27" x14ac:dyDescent="0.25">
      <c r="A16" s="10" t="s">
        <v>329</v>
      </c>
      <c r="B16" s="10" t="s">
        <v>414</v>
      </c>
      <c r="C16" s="13">
        <f>_xll.BDH("NBIX US Equity","IS_OPER_EXPENSES_RD_GAAP","FQ2 2019","FQ2 2019","Currency=USD","Period=FQ","BEST_FPERIOD_OVERRIDE=FQ","FILING_STATUS=MR","SCALING_FORMAT=MLN","FA_ADJUSTED=GAAP","Sort=A","Dates=H","DateFormat=P","Fill=—","Direction=H","UseDPDF=Y")</f>
        <v>61.686999999999998</v>
      </c>
      <c r="D16" s="13">
        <f>_xll.BDH("NBIX US Equity","IS_OPER_EXPENSES_RD_GAAP","FQ3 2019","FQ3 2019","Currency=USD","Period=FQ","BEST_FPERIOD_OVERRIDE=FQ","FILING_STATUS=MR","SCALING_FORMAT=MLN","FA_ADJUSTED=GAAP","Sort=A","Dates=H","DateFormat=P","Fill=—","Direction=H","UseDPDF=Y")</f>
        <v>45.277999999999999</v>
      </c>
      <c r="E16" s="13">
        <f>_xll.BDH("NBIX US Equity","IS_OPER_EXPENSES_RD_GAAP","FQ4 2019","FQ4 2019","Currency=USD","Period=FQ","BEST_FPERIOD_OVERRIDE=FQ","FILING_STATUS=MR","SCALING_FORMAT=MLN","FA_ADJUSTED=GAAP","Sort=A","Dates=H","DateFormat=P","Fill=—","Direction=H","UseDPDF=Y")</f>
        <v>55.3</v>
      </c>
      <c r="F16" s="13">
        <f>_xll.BDH("NBIX US Equity","IS_OPER_EXPENSES_RD_GAAP","FQ1 2020","FQ1 2020","Currency=USD","Period=FQ","BEST_FPERIOD_OVERRIDE=FQ","FILING_STATUS=MR","SCALING_FORMAT=MLN","FA_ADJUSTED=GAAP","Sort=A","Dates=H","DateFormat=P","Fill=—","Direction=H","UseDPDF=Y")</f>
        <v>58.3</v>
      </c>
      <c r="G16" s="13">
        <f>_xll.BDH("NBIX US Equity","IS_OPER_EXPENSES_RD_GAAP","FQ2 2020","FQ2 2020","Currency=USD","Period=FQ","BEST_FPERIOD_OVERRIDE=FQ","FILING_STATUS=MR","SCALING_FORMAT=MLN","FA_ADJUSTED=GAAP","Sort=A","Dates=H","DateFormat=P","Fill=—","Direction=H","UseDPDF=Y")</f>
        <v>80.900000000000006</v>
      </c>
      <c r="H16" s="13">
        <f>_xll.BDH("NBIX US Equity","IS_OPER_EXPENSES_RD_GAAP","FQ3 2020","FQ3 2020","Currency=USD","Period=FQ","BEST_FPERIOD_OVERRIDE=FQ","FILING_STATUS=MR","SCALING_FORMAT=MLN","FA_ADJUSTED=GAAP","Sort=A","Dates=H","DateFormat=P","Fill=—","Direction=H","UseDPDF=Y")</f>
        <v>69.099999999999994</v>
      </c>
      <c r="I16" s="13">
        <f>_xll.BDH("NBIX US Equity","IS_OPER_EXPENSES_RD_GAAP","FQ4 2020","FQ4 2020","Currency=USD","Period=FQ","BEST_FPERIOD_OVERRIDE=FQ","FILING_STATUS=MR","SCALING_FORMAT=MLN","FA_ADJUSTED=GAAP","Sort=A","Dates=H","DateFormat=P","Fill=—","Direction=H","UseDPDF=Y")</f>
        <v>66.7</v>
      </c>
      <c r="J16" s="13">
        <f>_xll.BDH("NBIX US Equity","IS_OPER_EXPENSES_RD_GAAP","FQ1 2021","FQ1 2021","Currency=USD","Period=FQ","BEST_FPERIOD_OVERRIDE=FQ","FILING_STATUS=MR","SCALING_FORMAT=MLN","FA_ADJUSTED=GAAP","Sort=A","Dates=H","DateFormat=P","Fill=—","Direction=H","UseDPDF=Y")</f>
        <v>73.2</v>
      </c>
      <c r="K16" s="13">
        <f>_xll.BDH("NBIX US Equity","IS_OPER_EXPENSES_RD_GAAP","FQ2 2021","FQ2 2021","Currency=USD","Period=FQ","BEST_FPERIOD_OVERRIDE=FQ","FILING_STATUS=MR","SCALING_FORMAT=MLN","FA_ADJUSTED=GAAP","Sort=A","Dates=H","DateFormat=P","Fill=—","Direction=H","UseDPDF=Y")</f>
        <v>74.8</v>
      </c>
      <c r="L16" s="13">
        <f>_xll.BDH("NBIX US Equity","IS_OPER_EXPENSES_RD_GAAP","FQ3 2021","FQ3 2021","Currency=USD","Period=FQ","BEST_FPERIOD_OVERRIDE=FQ","FILING_STATUS=MR","SCALING_FORMAT=MLN","FA_ADJUSTED=GAAP","Sort=A","Dates=H","DateFormat=P","Fill=—","Direction=H","UseDPDF=Y")</f>
        <v>92.7</v>
      </c>
      <c r="M16" s="13">
        <f>_xll.BDH("NBIX US Equity","IS_OPER_EXPENSES_RD_GAAP","FQ4 2021","FQ4 2021","Currency=USD","Period=FQ","BEST_FPERIOD_OVERRIDE=FQ","FILING_STATUS=MR","SCALING_FORMAT=MLN","FA_ADJUSTED=GAAP","Sort=A","Dates=H","DateFormat=P","Fill=—","Direction=H","UseDPDF=Y")</f>
        <v>87.4</v>
      </c>
      <c r="N16" s="13">
        <f>_xll.BDH("NBIX US Equity","IS_OPER_EXPENSES_RD_GAAP","FQ1 2022","FQ1 2022","Currency=USD","Period=FQ","BEST_FPERIOD_OVERRIDE=FQ","FILING_STATUS=MR","SCALING_FORMAT=MLN","FA_ADJUSTED=GAAP","Sort=A","Dates=H","DateFormat=P","Fill=—","Direction=H","UseDPDF=Y")</f>
        <v>102.2</v>
      </c>
      <c r="O16" s="13">
        <f>_xll.BDH("NBIX US Equity","IS_OPER_EXPENSES_RD_GAAP","FQ2 2022","FQ2 2022","Currency=USD","Period=FQ","BEST_FPERIOD_OVERRIDE=FQ","FILING_STATUS=MR","SCALING_FORMAT=MLN","FA_ADJUSTED=GAAP","Sort=A","Dates=H","DateFormat=P","Fill=—","Direction=H","UseDPDF=Y")</f>
        <v>135.9</v>
      </c>
      <c r="P16" s="13">
        <f>_xll.BDH("NBIX US Equity","IS_OPER_EXPENSES_RD_GAAP","FQ3 2022","FQ3 2022","Currency=USD","Period=FQ","BEST_FPERIOD_OVERRIDE=FQ","FILING_STATUS=MR","SCALING_FORMAT=MLN","FA_ADJUSTED=GAAP","Sort=A","Dates=H","DateFormat=P","Fill=—","Direction=H","UseDPDF=Y")</f>
        <v>107.7</v>
      </c>
      <c r="Q16" s="13">
        <f>_xll.BDH("NBIX US Equity","IS_OPER_EXPENSES_RD_GAAP","FQ4 2022","FQ4 2022","Currency=USD","Period=FQ","BEST_FPERIOD_OVERRIDE=FQ","FILING_STATUS=MR","SCALING_FORMAT=MLN","FA_ADJUSTED=GAAP","Sort=A","Dates=H","DateFormat=P","Fill=—","Direction=H","UseDPDF=Y")</f>
        <v>118</v>
      </c>
      <c r="R16" s="13">
        <f>_xll.BDH("NBIX US Equity","IS_OPER_EXPENSES_RD_GAAP","FQ1 2023","FQ1 2023","Currency=USD","Period=FQ","BEST_FPERIOD_OVERRIDE=FQ","FILING_STATUS=MR","SCALING_FORMAT=MLN","FA_ADJUSTED=GAAP","Sort=A","Dates=H","DateFormat=P","Fill=—","Direction=H","UseDPDF=Y")</f>
        <v>139.5</v>
      </c>
      <c r="S16" s="13">
        <f>_xll.BDH("NBIX US Equity","IS_OPER_EXPENSES_RD_GAAP","FQ2 2023","FQ2 2023","Currency=USD","Period=FQ","BEST_FPERIOD_OVERRIDE=FQ","FILING_STATUS=MR","SCALING_FORMAT=MLN","FA_ADJUSTED=GAAP","Sort=A","Dates=H","DateFormat=P","Fill=—","Direction=H","UseDPDF=Y")</f>
        <v>145.80000000000001</v>
      </c>
      <c r="T16" s="13">
        <f>_xll.BDH("NBIX US Equity","IS_OPER_EXPENSES_RD_GAAP","FQ3 2023","FQ3 2023","Currency=USD","Period=FQ","BEST_FPERIOD_OVERRIDE=FQ","FILING_STATUS=MR","SCALING_FORMAT=MLN","FA_ADJUSTED=GAAP","Sort=A","Dates=H","DateFormat=P","Fill=—","Direction=H","UseDPDF=Y")</f>
        <v>142.19999999999999</v>
      </c>
      <c r="U16" s="13">
        <f>_xll.BDH("NBIX US Equity","IS_OPER_EXPENSES_RD_GAAP","FQ4 2023","FQ4 2023","Currency=USD","Period=FQ","BEST_FPERIOD_OVERRIDE=FQ","FILING_STATUS=MR","SCALING_FORMAT=MLN","FA_ADJUSTED=GAAP","Sort=A","Dates=H","DateFormat=P","Fill=—","Direction=H","UseDPDF=Y")</f>
        <v>137.5</v>
      </c>
      <c r="V16" s="13">
        <f>_xll.BDH("NBIX US Equity","IS_OPER_EXPENSES_RD_GAAP","FQ1 2024","FQ1 2024","Currency=USD","Period=FQ","BEST_FPERIOD_OVERRIDE=FQ","FILING_STATUS=MR","SCALING_FORMAT=MLN","FA_ADJUSTED=GAAP","Sort=A","Dates=H","DateFormat=P","Fill=—","Direction=H","UseDPDF=Y")</f>
        <v>159.4</v>
      </c>
      <c r="W16" s="13">
        <f>_xll.BDH("NBIX US Equity","IS_OPER_EXPENSES_RD_GAAP","FQ2 2024","FQ2 2024","Currency=USD","Period=FQ","BEST_FPERIOD_OVERRIDE=FQ","FILING_STATUS=MR","SCALING_FORMAT=MLN","FA_ADJUSTED=GAAP","Sort=A","Dates=H","DateFormat=P","Fill=—","Direction=H","UseDPDF=Y")</f>
        <v>191.1</v>
      </c>
      <c r="X16" s="13">
        <f>_xll.BDH("NBIX US Equity","IS_OPER_EXPENSES_RD_GAAP","FQ3 2024","FQ3 2024","Currency=USD","Period=FQ","BEST_FPERIOD_OVERRIDE=FQ","FILING_STATUS=MR","SCALING_FORMAT=MLN","FA_ADJUSTED=GAAP","Sort=A","Dates=H","DateFormat=P","Fill=—","Direction=H","UseDPDF=Y")</f>
        <v>195</v>
      </c>
      <c r="Y16" s="13">
        <f>_xll.BDH("NBIX US Equity","IS_OPER_EXPENSES_RD_GAAP","FQ4 2024","FQ4 2024","Currency=USD","Period=FQ","BEST_FPERIOD_OVERRIDE=FQ","FILING_STATUS=MR","SCALING_FORMAT=MLN","FA_ADJUSTED=GAAP","Sort=A","Dates=H","DateFormat=P","Fill=—","Direction=H","UseDPDF=Y")</f>
        <v>185.6</v>
      </c>
      <c r="Z16" s="13"/>
      <c r="AA16" s="13"/>
    </row>
    <row r="17" spans="1:27" x14ac:dyDescent="0.25">
      <c r="A17" s="10" t="s">
        <v>331</v>
      </c>
      <c r="B17" s="10" t="s">
        <v>415</v>
      </c>
      <c r="C17" s="13">
        <f>_xll.BDH("NBIX US Equity","OTHER_OPERATING_EXPENSES_RATIO","FQ2 2019","FQ2 2019","Currency=USD","Period=FQ","BEST_FPERIOD_OVERRIDE=FQ","FILING_STATUS=MR","SCALING_FORMAT=MLN","FA_ADJUSTED=GAAP","Sort=A","Dates=H","DateFormat=P","Fill=—","Direction=H","UseDPDF=Y")</f>
        <v>5</v>
      </c>
      <c r="D17" s="13">
        <f>_xll.BDH("NBIX US Equity","OTHER_OPERATING_EXPENSES_RATIO","FQ3 2019","FQ3 2019","Currency=USD","Period=FQ","BEST_FPERIOD_OVERRIDE=FQ","FILING_STATUS=MR","SCALING_FORMAT=MLN","FA_ADJUSTED=GAAP","Sort=A","Dates=H","DateFormat=P","Fill=—","Direction=H","UseDPDF=Y")</f>
        <v>0</v>
      </c>
      <c r="E17" s="13">
        <f>_xll.BDH("NBIX US Equity","OTHER_OPERATING_EXPENSES_RATIO","FQ4 2019","FQ4 2019","Currency=USD","Period=FQ","BEST_FPERIOD_OVERRIDE=FQ","FILING_STATUS=MR","SCALING_FORMAT=MLN","FA_ADJUSTED=GAAP","Sort=A","Dates=H","DateFormat=P","Fill=—","Direction=H","UseDPDF=Y")</f>
        <v>36.200000000000003</v>
      </c>
      <c r="F17" s="13">
        <f>_xll.BDH("NBIX US Equity","OTHER_OPERATING_EXPENSES_RATIO","FQ1 2020","FQ1 2020","Currency=USD","Period=FQ","BEST_FPERIOD_OVERRIDE=FQ","FILING_STATUS=MR","SCALING_FORMAT=MLN","FA_ADJUSTED=GAAP","Sort=A","Dates=H","DateFormat=P","Fill=—","Direction=H","UseDPDF=Y")</f>
        <v>0</v>
      </c>
      <c r="G17" s="13">
        <f>_xll.BDH("NBIX US Equity","OTHER_OPERATING_EXPENSES_RATIO","FQ2 2020","FQ2 2020","Currency=USD","Period=FQ","BEST_FPERIOD_OVERRIDE=FQ","FILING_STATUS=MR","SCALING_FORMAT=MLN","FA_ADJUSTED=GAAP","Sort=A","Dates=H","DateFormat=P","Fill=—","Direction=H","UseDPDF=Y")</f>
        <v>46</v>
      </c>
      <c r="H17" s="13">
        <f>_xll.BDH("NBIX US Equity","OTHER_OPERATING_EXPENSES_RATIO","FQ3 2020","FQ3 2020","Currency=USD","Period=FQ","BEST_FPERIOD_OVERRIDE=FQ","FILING_STATUS=MR","SCALING_FORMAT=MLN","FA_ADJUSTED=GAAP","Sort=A","Dates=H","DateFormat=P","Fill=—","Direction=H","UseDPDF=Y")</f>
        <v>118.5</v>
      </c>
      <c r="I17" s="13">
        <f>_xll.BDH("NBIX US Equity","OTHER_OPERATING_EXPENSES_RATIO","FQ4 2020","FQ4 2020","Currency=USD","Period=FQ","BEST_FPERIOD_OVERRIDE=FQ","FILING_STATUS=MR","SCALING_FORMAT=MLN","FA_ADJUSTED=GAAP","Sort=A","Dates=H","DateFormat=P","Fill=—","Direction=H","UseDPDF=Y")</f>
        <v>0</v>
      </c>
      <c r="J17" s="13">
        <f>_xll.BDH("NBIX US Equity","OTHER_OPERATING_EXPENSES_RATIO","FQ1 2021","FQ1 2021","Currency=USD","Period=FQ","BEST_FPERIOD_OVERRIDE=FQ","FILING_STATUS=MR","SCALING_FORMAT=MLN","FA_ADJUSTED=GAAP","Sort=A","Dates=H","DateFormat=P","Fill=—","Direction=H","UseDPDF=Y")</f>
        <v>0</v>
      </c>
      <c r="K17" s="13">
        <f>_xll.BDH("NBIX US Equity","OTHER_OPERATING_EXPENSES_RATIO","FQ2 2021","FQ2 2021","Currency=USD","Period=FQ","BEST_FPERIOD_OVERRIDE=FQ","FILING_STATUS=MR","SCALING_FORMAT=MLN","FA_ADJUSTED=GAAP","Sort=A","Dates=H","DateFormat=P","Fill=—","Direction=H","UseDPDF=Y")</f>
        <v>5</v>
      </c>
      <c r="L17" s="13">
        <f>_xll.BDH("NBIX US Equity","OTHER_OPERATING_EXPENSES_RATIO","FQ3 2021","FQ3 2021","Currency=USD","Period=FQ","BEST_FPERIOD_OVERRIDE=FQ","FILING_STATUS=MR","SCALING_FORMAT=MLN","FA_ADJUSTED=GAAP","Sort=A","Dates=H","DateFormat=P","Fill=—","Direction=H","UseDPDF=Y")</f>
        <v>0</v>
      </c>
      <c r="M17" s="13">
        <f>_xll.BDH("NBIX US Equity","OTHER_OPERATING_EXPENSES_RATIO","FQ4 2021","FQ4 2021","Currency=USD","Period=FQ","BEST_FPERIOD_OVERRIDE=FQ","FILING_STATUS=MR","SCALING_FORMAT=MLN","FA_ADJUSTED=GAAP","Sort=A","Dates=H","DateFormat=P","Fill=—","Direction=H","UseDPDF=Y")</f>
        <v>100.3</v>
      </c>
      <c r="N17" s="13">
        <f>_xll.BDH("NBIX US Equity","OTHER_OPERATING_EXPENSES_RATIO","FQ1 2022","FQ1 2022","Currency=USD","Period=FQ","BEST_FPERIOD_OVERRIDE=FQ","FILING_STATUS=MR","SCALING_FORMAT=MLN","FA_ADJUSTED=GAAP","Sort=A","Dates=H","DateFormat=P","Fill=—","Direction=H","UseDPDF=Y")</f>
        <v>0</v>
      </c>
      <c r="O17" s="13">
        <f>_xll.BDH("NBIX US Equity","OTHER_OPERATING_EXPENSES_RATIO","FQ2 2022","FQ2 2022","Currency=USD","Period=FQ","BEST_FPERIOD_OVERRIDE=FQ","FILING_STATUS=MR","SCALING_FORMAT=MLN","FA_ADJUSTED=GAAP","Sort=A","Dates=H","DateFormat=P","Fill=—","Direction=H","UseDPDF=Y")</f>
        <v>0</v>
      </c>
      <c r="P17" s="13">
        <f>_xll.BDH("NBIX US Equity","OTHER_OPERATING_EXPENSES_RATIO","FQ3 2022","FQ3 2022","Currency=USD","Period=FQ","BEST_FPERIOD_OVERRIDE=FQ","FILING_STATUS=MR","SCALING_FORMAT=MLN","FA_ADJUSTED=GAAP","Sort=A","Dates=H","DateFormat=P","Fill=—","Direction=H","UseDPDF=Y")</f>
        <v>0</v>
      </c>
      <c r="Q17" s="13">
        <f>_xll.BDH("NBIX US Equity","OTHER_OPERATING_EXPENSES_RATIO","FQ4 2022","FQ4 2022","Currency=USD","Period=FQ","BEST_FPERIOD_OVERRIDE=FQ","FILING_STATUS=MR","SCALING_FORMAT=MLN","FA_ADJUSTED=GAAP","Sort=A","Dates=H","DateFormat=P","Fill=—","Direction=H","UseDPDF=Y")</f>
        <v>0</v>
      </c>
      <c r="R17" s="13">
        <f>_xll.BDH("NBIX US Equity","OTHER_OPERATING_EXPENSES_RATIO","FQ1 2023","FQ1 2023","Currency=USD","Period=FQ","BEST_FPERIOD_OVERRIDE=FQ","FILING_STATUS=MR","SCALING_FORMAT=MLN","FA_ADJUSTED=GAAP","Sort=A","Dates=H","DateFormat=P","Fill=—","Direction=H","UseDPDF=Y")</f>
        <v>143.9</v>
      </c>
      <c r="S17" s="13">
        <f>_xll.BDH("NBIX US Equity","OTHER_OPERATING_EXPENSES_RATIO","FQ2 2023","FQ2 2023","Currency=USD","Period=FQ","BEST_FPERIOD_OVERRIDE=FQ","FILING_STATUS=MR","SCALING_FORMAT=MLN","FA_ADJUSTED=GAAP","Sort=A","Dates=H","DateFormat=P","Fill=—","Direction=H","UseDPDF=Y")</f>
        <v>0</v>
      </c>
      <c r="T17" s="13">
        <f>_xll.BDH("NBIX US Equity","OTHER_OPERATING_EXPENSES_RATIO","FQ3 2023","FQ3 2023","Currency=USD","Period=FQ","BEST_FPERIOD_OVERRIDE=FQ","FILING_STATUS=MR","SCALING_FORMAT=MLN","FA_ADJUSTED=GAAP","Sort=A","Dates=H","DateFormat=P","Fill=—","Direction=H","UseDPDF=Y")</f>
        <v>0</v>
      </c>
      <c r="U17" s="13">
        <f>_xll.BDH("NBIX US Equity","OTHER_OPERATING_EXPENSES_RATIO","FQ4 2023","FQ4 2023","Currency=USD","Period=FQ","BEST_FPERIOD_OVERRIDE=FQ","FILING_STATUS=MR","SCALING_FORMAT=MLN","FA_ADJUSTED=GAAP","Sort=A","Dates=H","DateFormat=P","Fill=—","Direction=H","UseDPDF=Y")</f>
        <v>0</v>
      </c>
      <c r="V17" s="13">
        <f>_xll.BDH("NBIX US Equity","OTHER_OPERATING_EXPENSES_RATIO","FQ1 2024","FQ1 2024","Currency=USD","Period=FQ","BEST_FPERIOD_OVERRIDE=FQ","FILING_STATUS=MR","SCALING_FORMAT=MLN","FA_ADJUSTED=GAAP","Sort=A","Dates=H","DateFormat=P","Fill=—","Direction=H","UseDPDF=Y")</f>
        <v>6</v>
      </c>
      <c r="W17" s="13">
        <f>_xll.BDH("NBIX US Equity","OTHER_OPERATING_EXPENSES_RATIO","FQ2 2024","FQ2 2024","Currency=USD","Period=FQ","BEST_FPERIOD_OVERRIDE=FQ","FILING_STATUS=MR","SCALING_FORMAT=MLN","FA_ADJUSTED=GAAP","Sort=A","Dates=H","DateFormat=P","Fill=—","Direction=H","UseDPDF=Y")</f>
        <v>2.5</v>
      </c>
      <c r="X17" s="13">
        <f>_xll.BDH("NBIX US Equity","OTHER_OPERATING_EXPENSES_RATIO","FQ3 2024","FQ3 2024","Currency=USD","Period=FQ","BEST_FPERIOD_OVERRIDE=FQ","FILING_STATUS=MR","SCALING_FORMAT=MLN","FA_ADJUSTED=GAAP","Sort=A","Dates=H","DateFormat=P","Fill=—","Direction=H","UseDPDF=Y")</f>
        <v>1</v>
      </c>
      <c r="Y17" s="13">
        <f>_xll.BDH("NBIX US Equity","OTHER_OPERATING_EXPENSES_RATIO","FQ4 2024","FQ4 2024","Currency=USD","Period=FQ","BEST_FPERIOD_OVERRIDE=FQ","FILING_STATUS=MR","SCALING_FORMAT=MLN","FA_ADJUSTED=GAAP","Sort=A","Dates=H","DateFormat=P","Fill=—","Direction=H","UseDPDF=Y")</f>
        <v>3</v>
      </c>
      <c r="Z17" s="13"/>
      <c r="AA17" s="13"/>
    </row>
    <row r="18" spans="1:27" x14ac:dyDescent="0.25">
      <c r="A18" s="6" t="s">
        <v>333</v>
      </c>
      <c r="B18" s="6" t="s">
        <v>99</v>
      </c>
      <c r="C18" s="19">
        <f>_xll.BDH("NBIX US Equity","IS_OPER_INC","FQ2 2019","FQ2 2019","Currency=USD","Period=FQ","BEST_FPERIOD_OVERRIDE=FQ","FILING_STATUS=MR","SCALING_FORMAT=MLN","FA_ADJUSTED=GAAP","Sort=A","Dates=H","DateFormat=P","Fill=—","Direction=H","UseDPDF=Y")</f>
        <v>34.460999999999999</v>
      </c>
      <c r="D18" s="19">
        <f>_xll.BDH("NBIX US Equity","IS_OPER_INC","FQ3 2019","FQ3 2019","Currency=USD","Period=FQ","BEST_FPERIOD_OVERRIDE=FQ","FILING_STATUS=MR","SCALING_FORMAT=MLN","FA_ADJUSTED=GAAP","Sort=A","Dates=H","DateFormat=P","Fill=—","Direction=H","UseDPDF=Y")</f>
        <v>90.097999999999999</v>
      </c>
      <c r="E18" s="19">
        <f>_xll.BDH("NBIX US Equity","IS_OPER_INC","FQ4 2019","FQ4 2019","Currency=USD","Period=FQ","BEST_FPERIOD_OVERRIDE=FQ","FILING_STATUS=MR","SCALING_FORMAT=MLN","FA_ADJUSTED=GAAP","Sort=A","Dates=H","DateFormat=P","Fill=—","Direction=H","UseDPDF=Y")</f>
        <v>48.8</v>
      </c>
      <c r="F18" s="19">
        <f>_xll.BDH("NBIX US Equity","IS_OPER_INC","FQ1 2020","FQ1 2020","Currency=USD","Period=FQ","BEST_FPERIOD_OVERRIDE=FQ","FILING_STATUS=MR","SCALING_FORMAT=MLN","FA_ADJUSTED=GAAP","Sort=A","Dates=H","DateFormat=P","Fill=—","Direction=H","UseDPDF=Y")</f>
        <v>58.9</v>
      </c>
      <c r="G18" s="19">
        <f>_xll.BDH("NBIX US Equity","IS_OPER_INC","FQ2 2020","FQ2 2020","Currency=USD","Period=FQ","BEST_FPERIOD_OVERRIDE=FQ","FILING_STATUS=MR","SCALING_FORMAT=MLN","FA_ADJUSTED=GAAP","Sort=A","Dates=H","DateFormat=P","Fill=—","Direction=H","UseDPDF=Y")</f>
        <v>76.599999999999994</v>
      </c>
      <c r="H18" s="19">
        <f>_xll.BDH("NBIX US Equity","IS_OPER_INC","FQ3 2020","FQ3 2020","Currency=USD","Period=FQ","BEST_FPERIOD_OVERRIDE=FQ","FILING_STATUS=MR","SCALING_FORMAT=MLN","FA_ADJUSTED=GAAP","Sort=A","Dates=H","DateFormat=P","Fill=—","Direction=H","UseDPDF=Y")</f>
        <v>-44.3</v>
      </c>
      <c r="I18" s="19">
        <f>_xll.BDH("NBIX US Equity","IS_OPER_INC","FQ4 2020","FQ4 2020","Currency=USD","Period=FQ","BEST_FPERIOD_OVERRIDE=FQ","FILING_STATUS=MR","SCALING_FORMAT=MLN","FA_ADJUSTED=GAAP","Sort=A","Dates=H","DateFormat=P","Fill=—","Direction=H","UseDPDF=Y")</f>
        <v>71.8</v>
      </c>
      <c r="J18" s="19">
        <f>_xll.BDH("NBIX US Equity","IS_OPER_INC","FQ1 2021","FQ1 2021","Currency=USD","Period=FQ","BEST_FPERIOD_OVERRIDE=FQ","FILING_STATUS=MR","SCALING_FORMAT=MLN","FA_ADJUSTED=GAAP","Sort=A","Dates=H","DateFormat=P","Fill=—","Direction=H","UseDPDF=Y")</f>
        <v>31.5</v>
      </c>
      <c r="K18" s="19">
        <f>_xll.BDH("NBIX US Equity","IS_OPER_INC","FQ2 2021","FQ2 2021","Currency=USD","Period=FQ","BEST_FPERIOD_OVERRIDE=FQ","FILING_STATUS=MR","SCALING_FORMAT=MLN","FA_ADJUSTED=GAAP","Sort=A","Dates=H","DateFormat=P","Fill=—","Direction=H","UseDPDF=Y")</f>
        <v>62.8</v>
      </c>
      <c r="L18" s="19">
        <f>_xll.BDH("NBIX US Equity","IS_OPER_INC","FQ3 2021","FQ3 2021","Currency=USD","Period=FQ","BEST_FPERIOD_OVERRIDE=FQ","FILING_STATUS=MR","SCALING_FORMAT=MLN","FA_ADJUSTED=GAAP","Sort=A","Dates=H","DateFormat=P","Fill=—","Direction=H","UseDPDF=Y")</f>
        <v>44.5</v>
      </c>
      <c r="M18" s="19">
        <f>_xll.BDH("NBIX US Equity","IS_OPER_INC","FQ4 2021","FQ4 2021","Currency=USD","Period=FQ","BEST_FPERIOD_OVERRIDE=FQ","FILING_STATUS=MR","SCALING_FORMAT=MLN","FA_ADJUSTED=GAAP","Sort=A","Dates=H","DateFormat=P","Fill=—","Direction=H","UseDPDF=Y")</f>
        <v>-36.299999999999997</v>
      </c>
      <c r="N18" s="19">
        <f>_xll.BDH("NBIX US Equity","IS_OPER_INC","FQ1 2022","FQ1 2022","Currency=USD","Period=FQ","BEST_FPERIOD_OVERRIDE=FQ","FILING_STATUS=MR","SCALING_FORMAT=MLN","FA_ADJUSTED=GAAP","Sort=A","Dates=H","DateFormat=P","Fill=—","Direction=H","UseDPDF=Y")</f>
        <v>3.1</v>
      </c>
      <c r="O18" s="19">
        <f>_xll.BDH("NBIX US Equity","IS_OPER_INC","FQ2 2022","FQ2 2022","Currency=USD","Period=FQ","BEST_FPERIOD_OVERRIDE=FQ","FILING_STATUS=MR","SCALING_FORMAT=MLN","FA_ADJUSTED=GAAP","Sort=A","Dates=H","DateFormat=P","Fill=—","Direction=H","UseDPDF=Y")</f>
        <v>54.7</v>
      </c>
      <c r="P18" s="19">
        <f>_xll.BDH("NBIX US Equity","IS_OPER_INC","FQ3 2022","FQ3 2022","Currency=USD","Period=FQ","BEST_FPERIOD_OVERRIDE=FQ","FILING_STATUS=MR","SCALING_FORMAT=MLN","FA_ADJUSTED=GAAP","Sort=A","Dates=H","DateFormat=P","Fill=—","Direction=H","UseDPDF=Y")</f>
        <v>87.8</v>
      </c>
      <c r="Q18" s="19">
        <f>_xll.BDH("NBIX US Equity","IS_OPER_INC","FQ4 2022","FQ4 2022","Currency=USD","Period=FQ","BEST_FPERIOD_OVERRIDE=FQ","FILING_STATUS=MR","SCALING_FORMAT=MLN","FA_ADJUSTED=GAAP","Sort=A","Dates=H","DateFormat=P","Fill=—","Direction=H","UseDPDF=Y")</f>
        <v>103.4</v>
      </c>
      <c r="R18" s="19">
        <f>_xll.BDH("NBIX US Equity","IS_OPER_INC","FQ1 2023","FQ1 2023","Currency=USD","Period=FQ","BEST_FPERIOD_OVERRIDE=FQ","FILING_STATUS=MR","SCALING_FORMAT=MLN","FA_ADJUSTED=GAAP","Sort=A","Dates=H","DateFormat=P","Fill=—","Direction=H","UseDPDF=Y")</f>
        <v>-114.2</v>
      </c>
      <c r="S18" s="19">
        <f>_xll.BDH("NBIX US Equity","IS_OPER_INC","FQ2 2023","FQ2 2023","Currency=USD","Period=FQ","BEST_FPERIOD_OVERRIDE=FQ","FILING_STATUS=MR","SCALING_FORMAT=MLN","FA_ADJUSTED=GAAP","Sort=A","Dates=H","DateFormat=P","Fill=—","Direction=H","UseDPDF=Y")</f>
        <v>73.599999999999994</v>
      </c>
      <c r="T18" s="19">
        <f>_xll.BDH("NBIX US Equity","IS_OPER_INC","FQ3 2023","FQ3 2023","Currency=USD","Period=FQ","BEST_FPERIOD_OVERRIDE=FQ","FILING_STATUS=MR","SCALING_FORMAT=MLN","FA_ADJUSTED=GAAP","Sort=A","Dates=H","DateFormat=P","Fill=—","Direction=H","UseDPDF=Y")</f>
        <v>141.19999999999999</v>
      </c>
      <c r="U18" s="19">
        <f>_xll.BDH("NBIX US Equity","IS_OPER_INC","FQ4 2023","FQ4 2023","Currency=USD","Period=FQ","BEST_FPERIOD_OVERRIDE=FQ","FILING_STATUS=MR","SCALING_FORMAT=MLN","FA_ADJUSTED=GAAP","Sort=A","Dates=H","DateFormat=P","Fill=—","Direction=H","UseDPDF=Y")</f>
        <v>150.30000000000001</v>
      </c>
      <c r="V18" s="19">
        <f>_xll.BDH("NBIX US Equity","IS_OPER_INC","FQ1 2024","FQ1 2024","Currency=USD","Period=FQ","BEST_FPERIOD_OVERRIDE=FQ","FILING_STATUS=MR","SCALING_FORMAT=MLN","FA_ADJUSTED=GAAP","Sort=A","Dates=H","DateFormat=P","Fill=—","Direction=H","UseDPDF=Y")</f>
        <v>99.3</v>
      </c>
      <c r="W18" s="19">
        <f>_xll.BDH("NBIX US Equity","IS_OPER_INC","FQ2 2024","FQ2 2024","Currency=USD","Period=FQ","BEST_FPERIOD_OVERRIDE=FQ","FILING_STATUS=MR","SCALING_FORMAT=MLN","FA_ADJUSTED=GAAP","Sort=A","Dates=H","DateFormat=P","Fill=—","Direction=H","UseDPDF=Y")</f>
        <v>145.4</v>
      </c>
      <c r="X18" s="19">
        <f>_xll.BDH("NBIX US Equity","IS_OPER_INC","FQ3 2024","FQ3 2024","Currency=USD","Period=FQ","BEST_FPERIOD_OVERRIDE=FQ","FILING_STATUS=MR","SCALING_FORMAT=MLN","FA_ADJUSTED=GAAP","Sort=A","Dates=H","DateFormat=P","Fill=—","Direction=H","UseDPDF=Y")</f>
        <v>183.8</v>
      </c>
      <c r="Y18" s="19">
        <f>_xll.BDH("NBIX US Equity","IS_OPER_INC","FQ4 2024","FQ4 2024","Currency=USD","Period=FQ","BEST_FPERIOD_OVERRIDE=FQ","FILING_STATUS=MR","SCALING_FORMAT=MLN","FA_ADJUSTED=GAAP","Sort=A","Dates=H","DateFormat=P","Fill=—","Direction=H","UseDPDF=Y")</f>
        <v>142</v>
      </c>
      <c r="Z18" s="19">
        <v>106.59699999999999</v>
      </c>
      <c r="AA18" s="19">
        <v>133.08600000000001</v>
      </c>
    </row>
    <row r="19" spans="1:27" x14ac:dyDescent="0.25">
      <c r="A19" s="10" t="s">
        <v>334</v>
      </c>
      <c r="B19" s="10" t="s">
        <v>416</v>
      </c>
      <c r="C19" s="13">
        <f>_xll.BDH("NBIX US Equity","NONOP_INCOME_LOSS","FQ2 2019","FQ2 2019","Currency=USD","Period=FQ","BEST_FPERIOD_OVERRIDE=FQ","FILING_STATUS=MR","SCALING_FORMAT=MLN","FA_ADJUSTED=GAAP","Sort=A","Dates=H","DateFormat=P","Fill=—","Direction=H","UseDPDF=Y")</f>
        <v>-17.63</v>
      </c>
      <c r="D19" s="13">
        <f>_xll.BDH("NBIX US Equity","NONOP_INCOME_LOSS","FQ3 2019","FQ3 2019","Currency=USD","Period=FQ","BEST_FPERIOD_OVERRIDE=FQ","FILING_STATUS=MR","SCALING_FORMAT=MLN","FA_ADJUSTED=GAAP","Sort=A","Dates=H","DateFormat=P","Fill=—","Direction=H","UseDPDF=Y")</f>
        <v>31.690999999999999</v>
      </c>
      <c r="E19" s="13">
        <f>_xll.BDH("NBIX US Equity","NONOP_INCOME_LOSS","FQ4 2019","FQ4 2019","Currency=USD","Period=FQ","BEST_FPERIOD_OVERRIDE=FQ","FILING_STATUS=MR","SCALING_FORMAT=MLN","FA_ADJUSTED=GAAP","Sort=A","Dates=H","DateFormat=P","Fill=—","Direction=H","UseDPDF=Y")</f>
        <v>10.199999999999999</v>
      </c>
      <c r="F19" s="13">
        <f>_xll.BDH("NBIX US Equity","NONOP_INCOME_LOSS","FQ1 2020","FQ1 2020","Currency=USD","Period=FQ","BEST_FPERIOD_OVERRIDE=FQ","FILING_STATUS=MR","SCALING_FORMAT=MLN","FA_ADJUSTED=GAAP","Sort=A","Dates=H","DateFormat=P","Fill=—","Direction=H","UseDPDF=Y")</f>
        <v>20</v>
      </c>
      <c r="G19" s="13">
        <f>_xll.BDH("NBIX US Equity","NONOP_INCOME_LOSS","FQ2 2020","FQ2 2020","Currency=USD","Period=FQ","BEST_FPERIOD_OVERRIDE=FQ","FILING_STATUS=MR","SCALING_FORMAT=MLN","FA_ADJUSTED=GAAP","Sort=A","Dates=H","DateFormat=P","Fill=—","Direction=H","UseDPDF=Y")</f>
        <v>-6.6</v>
      </c>
      <c r="H19" s="13">
        <f>_xll.BDH("NBIX US Equity","NONOP_INCOME_LOSS","FQ3 2020","FQ3 2020","Currency=USD","Period=FQ","BEST_FPERIOD_OVERRIDE=FQ","FILING_STATUS=MR","SCALING_FORMAT=MLN","FA_ADJUSTED=GAAP","Sort=A","Dates=H","DateFormat=P","Fill=—","Direction=H","UseDPDF=Y")</f>
        <v>12.8</v>
      </c>
      <c r="I19" s="13">
        <f>_xll.BDH("NBIX US Equity","NONOP_INCOME_LOSS","FQ4 2020","FQ4 2020","Currency=USD","Period=FQ","BEST_FPERIOD_OVERRIDE=FQ","FILING_STATUS=MR","SCALING_FORMAT=MLN","FA_ADJUSTED=GAAP","Sort=A","Dates=H","DateFormat=P","Fill=—","Direction=H","UseDPDF=Y")</f>
        <v>30.1</v>
      </c>
      <c r="J19" s="13">
        <f>_xll.BDH("NBIX US Equity","NONOP_INCOME_LOSS","FQ1 2021","FQ1 2021","Currency=USD","Period=FQ","BEST_FPERIOD_OVERRIDE=FQ","FILING_STATUS=MR","SCALING_FORMAT=MLN","FA_ADJUSTED=GAAP","Sort=A","Dates=H","DateFormat=P","Fill=—","Direction=H","UseDPDF=Y")</f>
        <v>4.3</v>
      </c>
      <c r="K19" s="13">
        <f>_xll.BDH("NBIX US Equity","NONOP_INCOME_LOSS","FQ2 2021","FQ2 2021","Currency=USD","Period=FQ","BEST_FPERIOD_OVERRIDE=FQ","FILING_STATUS=MR","SCALING_FORMAT=MLN","FA_ADJUSTED=GAAP","Sort=A","Dates=H","DateFormat=P","Fill=—","Direction=H","UseDPDF=Y")</f>
        <v>5.3</v>
      </c>
      <c r="L19" s="13">
        <f>_xll.BDH("NBIX US Equity","NONOP_INCOME_LOSS","FQ3 2021","FQ3 2021","Currency=USD","Period=FQ","BEST_FPERIOD_OVERRIDE=FQ","FILING_STATUS=MR","SCALING_FORMAT=MLN","FA_ADJUSTED=GAAP","Sort=A","Dates=H","DateFormat=P","Fill=—","Direction=H","UseDPDF=Y")</f>
        <v>14</v>
      </c>
      <c r="M19" s="13">
        <f>_xll.BDH("NBIX US Equity","NONOP_INCOME_LOSS","FQ4 2021","FQ4 2021","Currency=USD","Period=FQ","BEST_FPERIOD_OVERRIDE=FQ","FILING_STATUS=MR","SCALING_FORMAT=MLN","FA_ADJUSTED=GAAP","Sort=A","Dates=H","DateFormat=P","Fill=—","Direction=H","UseDPDF=Y")</f>
        <v>-22.5</v>
      </c>
      <c r="N19" s="13">
        <f>_xll.BDH("NBIX US Equity","NONOP_INCOME_LOSS","FQ1 2022","FQ1 2022","Currency=USD","Period=FQ","BEST_FPERIOD_OVERRIDE=FQ","FILING_STATUS=MR","SCALING_FORMAT=MLN","FA_ADJUSTED=GAAP","Sort=A","Dates=H","DateFormat=P","Fill=—","Direction=H","UseDPDF=Y")</f>
        <v>-18.3</v>
      </c>
      <c r="O19" s="13">
        <f>_xll.BDH("NBIX US Equity","NONOP_INCOME_LOSS","FQ2 2022","FQ2 2022","Currency=USD","Period=FQ","BEST_FPERIOD_OVERRIDE=FQ","FILING_STATUS=MR","SCALING_FORMAT=MLN","FA_ADJUSTED=GAAP","Sort=A","Dates=H","DateFormat=P","Fill=—","Direction=H","UseDPDF=Y")</f>
        <v>78</v>
      </c>
      <c r="P19" s="13">
        <f>_xll.BDH("NBIX US Equity","NONOP_INCOME_LOSS","FQ3 2022","FQ3 2022","Currency=USD","Period=FQ","BEST_FPERIOD_OVERRIDE=FQ","FILING_STATUS=MR","SCALING_FORMAT=MLN","FA_ADJUSTED=GAAP","Sort=A","Dates=H","DateFormat=P","Fill=—","Direction=H","UseDPDF=Y")</f>
        <v>-10.1</v>
      </c>
      <c r="Q19" s="13">
        <f>_xll.BDH("NBIX US Equity","NONOP_INCOME_LOSS","FQ4 2022","FQ4 2022","Currency=USD","Period=FQ","BEST_FPERIOD_OVERRIDE=FQ","FILING_STATUS=MR","SCALING_FORMAT=MLN","FA_ADJUSTED=GAAP","Sort=A","Dates=H","DateFormat=P","Fill=—","Direction=H","UseDPDF=Y")</f>
        <v>-14.5</v>
      </c>
      <c r="R19" s="13">
        <f>_xll.BDH("NBIX US Equity","NONOP_INCOME_LOSS","FQ1 2023","FQ1 2023","Currency=USD","Period=FQ","BEST_FPERIOD_OVERRIDE=FQ","FILING_STATUS=MR","SCALING_FORMAT=MLN","FA_ADJUSTED=GAAP","Sort=A","Dates=H","DateFormat=P","Fill=—","Direction=H","UseDPDF=Y")</f>
        <v>-10.9</v>
      </c>
      <c r="S19" s="13">
        <f>_xll.BDH("NBIX US Equity","NONOP_INCOME_LOSS","FQ2 2023","FQ2 2023","Currency=USD","Period=FQ","BEST_FPERIOD_OVERRIDE=FQ","FILING_STATUS=MR","SCALING_FORMAT=MLN","FA_ADJUSTED=GAAP","Sort=A","Dates=H","DateFormat=P","Fill=—","Direction=H","UseDPDF=Y")</f>
        <v>-48</v>
      </c>
      <c r="T19" s="13">
        <f>_xll.BDH("NBIX US Equity","NONOP_INCOME_LOSS","FQ3 2023","FQ3 2023","Currency=USD","Period=FQ","BEST_FPERIOD_OVERRIDE=FQ","FILING_STATUS=MR","SCALING_FORMAT=MLN","FA_ADJUSTED=GAAP","Sort=A","Dates=H","DateFormat=P","Fill=—","Direction=H","UseDPDF=Y")</f>
        <v>25.6</v>
      </c>
      <c r="U19" s="13">
        <f>_xll.BDH("NBIX US Equity","NONOP_INCOME_LOSS","FQ4 2023","FQ4 2023","Currency=USD","Period=FQ","BEST_FPERIOD_OVERRIDE=FQ","FILING_STATUS=MR","SCALING_FORMAT=MLN","FA_ADJUSTED=GAAP","Sort=A","Dates=H","DateFormat=P","Fill=—","Direction=H","UseDPDF=Y")</f>
        <v>-47.9</v>
      </c>
      <c r="V19" s="13">
        <f>_xll.BDH("NBIX US Equity","NONOP_INCOME_LOSS","FQ1 2024","FQ1 2024","Currency=USD","Period=FQ","BEST_FPERIOD_OVERRIDE=FQ","FILING_STATUS=MR","SCALING_FORMAT=MLN","FA_ADJUSTED=GAAP","Sort=A","Dates=H","DateFormat=P","Fill=—","Direction=H","UseDPDF=Y")</f>
        <v>64.8</v>
      </c>
      <c r="W19" s="13">
        <f>_xll.BDH("NBIX US Equity","NONOP_INCOME_LOSS","FQ2 2024","FQ2 2024","Currency=USD","Period=FQ","BEST_FPERIOD_OVERRIDE=FQ","FILING_STATUS=MR","SCALING_FORMAT=MLN","FA_ADJUSTED=GAAP","Sort=A","Dates=H","DateFormat=P","Fill=—","Direction=H","UseDPDF=Y")</f>
        <v>46.8</v>
      </c>
      <c r="X19" s="13">
        <f>_xll.BDH("NBIX US Equity","NONOP_INCOME_LOSS","FQ3 2024","FQ3 2024","Currency=USD","Period=FQ","BEST_FPERIOD_OVERRIDE=FQ","FILING_STATUS=MR","SCALING_FORMAT=MLN","FA_ADJUSTED=GAAP","Sort=A","Dates=H","DateFormat=P","Fill=—","Direction=H","UseDPDF=Y")</f>
        <v>-6.5</v>
      </c>
      <c r="Y19" s="13">
        <f>_xll.BDH("NBIX US Equity","NONOP_INCOME_LOSS","FQ4 2024","FQ4 2024","Currency=USD","Period=FQ","BEST_FPERIOD_OVERRIDE=FQ","FILING_STATUS=MR","SCALING_FORMAT=MLN","FA_ADJUSTED=GAAP","Sort=A","Dates=H","DateFormat=P","Fill=—","Direction=H","UseDPDF=Y")</f>
        <v>-20.6</v>
      </c>
      <c r="Z19" s="13"/>
      <c r="AA19" s="13"/>
    </row>
    <row r="20" spans="1:27" x14ac:dyDescent="0.25">
      <c r="A20" s="11" t="s">
        <v>336</v>
      </c>
      <c r="B20" s="11" t="s">
        <v>337</v>
      </c>
      <c r="C20" s="25">
        <f>_xll.BDH("NBIX US Equity","IS_INT_EXPENSE","FQ2 2019","FQ2 2019","Currency=USD","Period=FQ","BEST_FPERIOD_OVERRIDE=FQ","FILING_STATUS=MR","SCALING_FORMAT=MLN","FA_ADJUSTED=GAAP","Sort=A","Dates=H","DateFormat=P","Fill=—","Direction=H","UseDPDF=Y")</f>
        <v>7.9420000000000002</v>
      </c>
      <c r="D20" s="25">
        <f>_xll.BDH("NBIX US Equity","IS_INT_EXPENSE","FQ3 2019","FQ3 2019","Currency=USD","Period=FQ","BEST_FPERIOD_OVERRIDE=FQ","FILING_STATUS=MR","SCALING_FORMAT=MLN","FA_ADJUSTED=GAAP","Sort=A","Dates=H","DateFormat=P","Fill=—","Direction=H","UseDPDF=Y")</f>
        <v>8.0380000000000003</v>
      </c>
      <c r="E20" s="25">
        <f>_xll.BDH("NBIX US Equity","IS_INT_EXPENSE","FQ4 2019","FQ4 2019","Currency=USD","Period=FQ","BEST_FPERIOD_OVERRIDE=FQ","FILING_STATUS=MR","SCALING_FORMAT=MLN","FA_ADJUSTED=GAAP","Sort=A","Dates=H","DateFormat=P","Fill=—","Direction=H","UseDPDF=Y")</f>
        <v>8.1999999999999993</v>
      </c>
      <c r="F20" s="25">
        <f>_xll.BDH("NBIX US Equity","IS_INT_EXPENSE","FQ1 2020","FQ1 2020","Currency=USD","Period=FQ","BEST_FPERIOD_OVERRIDE=FQ","FILING_STATUS=MR","SCALING_FORMAT=MLN","FA_ADJUSTED=GAAP","Sort=A","Dates=H","DateFormat=P","Fill=—","Direction=H","UseDPDF=Y")</f>
        <v>8.1999999999999993</v>
      </c>
      <c r="G20" s="25">
        <f>_xll.BDH("NBIX US Equity","IS_INT_EXPENSE","FQ2 2020","FQ2 2020","Currency=USD","Period=FQ","BEST_FPERIOD_OVERRIDE=FQ","FILING_STATUS=MR","SCALING_FORMAT=MLN","FA_ADJUSTED=GAAP","Sort=A","Dates=H","DateFormat=P","Fill=—","Direction=H","UseDPDF=Y")</f>
        <v>8.3000000000000007</v>
      </c>
      <c r="H20" s="25">
        <f>_xll.BDH("NBIX US Equity","IS_INT_EXPENSE","FQ3 2020","FQ3 2020","Currency=USD","Period=FQ","BEST_FPERIOD_OVERRIDE=FQ","FILING_STATUS=MR","SCALING_FORMAT=MLN","FA_ADJUSTED=GAAP","Sort=A","Dates=H","DateFormat=P","Fill=—","Direction=H","UseDPDF=Y")</f>
        <v>8.5</v>
      </c>
      <c r="I20" s="25">
        <f>_xll.BDH("NBIX US Equity","IS_INT_EXPENSE","FQ4 2020","FQ4 2020","Currency=USD","Period=FQ","BEST_FPERIOD_OVERRIDE=FQ","FILING_STATUS=MR","SCALING_FORMAT=MLN","FA_ADJUSTED=GAAP","Sort=A","Dates=H","DateFormat=P","Fill=—","Direction=H","UseDPDF=Y")</f>
        <v>7.8</v>
      </c>
      <c r="J20" s="25">
        <f>_xll.BDH("NBIX US Equity","IS_INT_EXPENSE","FQ1 2021","FQ1 2021","Currency=USD","Period=FQ","BEST_FPERIOD_OVERRIDE=FQ","FILING_STATUS=MR","SCALING_FORMAT=MLN","FA_ADJUSTED=GAAP","Sort=A","Dates=H","DateFormat=P","Fill=—","Direction=H","UseDPDF=Y")</f>
        <v>6.4</v>
      </c>
      <c r="K20" s="25">
        <f>_xll.BDH("NBIX US Equity","IS_INT_EXPENSE","FQ2 2021","FQ2 2021","Currency=USD","Period=FQ","BEST_FPERIOD_OVERRIDE=FQ","FILING_STATUS=MR","SCALING_FORMAT=MLN","FA_ADJUSTED=GAAP","Sort=A","Dates=H","DateFormat=P","Fill=—","Direction=H","UseDPDF=Y")</f>
        <v>6.2</v>
      </c>
      <c r="L20" s="25">
        <f>_xll.BDH("NBIX US Equity","IS_INT_EXPENSE","FQ3 2021","FQ3 2021","Currency=USD","Period=FQ","BEST_FPERIOD_OVERRIDE=FQ","FILING_STATUS=MR","SCALING_FORMAT=MLN","FA_ADJUSTED=GAAP","Sort=A","Dates=H","DateFormat=P","Fill=—","Direction=H","UseDPDF=Y")</f>
        <v>6.6</v>
      </c>
      <c r="M20" s="25">
        <f>_xll.BDH("NBIX US Equity","IS_INT_EXPENSE","FQ4 2021","FQ4 2021","Currency=USD","Period=FQ","BEST_FPERIOD_OVERRIDE=FQ","FILING_STATUS=MR","SCALING_FORMAT=MLN","FA_ADJUSTED=GAAP","Sort=A","Dates=H","DateFormat=P","Fill=—","Direction=H","UseDPDF=Y")</f>
        <v>6.6</v>
      </c>
      <c r="N20" s="25">
        <f>_xll.BDH("NBIX US Equity","IS_INT_EXPENSE","FQ1 2022","FQ1 2022","Currency=USD","Period=FQ","BEST_FPERIOD_OVERRIDE=FQ","FILING_STATUS=MR","SCALING_FORMAT=MLN","FA_ADJUSTED=GAAP","Sort=A","Dates=H","DateFormat=P","Fill=—","Direction=H","UseDPDF=Y")</f>
        <v>2.6</v>
      </c>
      <c r="O20" s="25">
        <f>_xll.BDH("NBIX US Equity","IS_INT_EXPENSE","FQ2 2022","FQ2 2022","Currency=USD","Period=FQ","BEST_FPERIOD_OVERRIDE=FQ","FILING_STATUS=MR","SCALING_FORMAT=MLN","FA_ADJUSTED=GAAP","Sort=A","Dates=H","DateFormat=P","Fill=—","Direction=H","UseDPDF=Y")</f>
        <v>2.2000000000000002</v>
      </c>
      <c r="P20" s="25">
        <f>_xll.BDH("NBIX US Equity","IS_INT_EXPENSE","FQ3 2022","FQ3 2022","Currency=USD","Period=FQ","BEST_FPERIOD_OVERRIDE=FQ","FILING_STATUS=MR","SCALING_FORMAT=MLN","FA_ADJUSTED=GAAP","Sort=A","Dates=H","DateFormat=P","Fill=—","Direction=H","UseDPDF=Y")</f>
        <v>1.2</v>
      </c>
      <c r="Q20" s="25">
        <f>_xll.BDH("NBIX US Equity","IS_INT_EXPENSE","FQ4 2022","FQ4 2022","Currency=USD","Period=FQ","BEST_FPERIOD_OVERRIDE=FQ","FILING_STATUS=MR","SCALING_FORMAT=MLN","FA_ADJUSTED=GAAP","Sort=A","Dates=H","DateFormat=P","Fill=—","Direction=H","UseDPDF=Y")</f>
        <v>1.1000000000000001</v>
      </c>
      <c r="R20" s="25">
        <f>_xll.BDH("NBIX US Equity","IS_INT_EXPENSE","FQ1 2023","FQ1 2023","Currency=USD","Period=FQ","BEST_FPERIOD_OVERRIDE=FQ","FILING_STATUS=MR","SCALING_FORMAT=MLN","FA_ADJUSTED=GAAP","Sort=A","Dates=H","DateFormat=P","Fill=—","Direction=H","UseDPDF=Y")</f>
        <v>1.1000000000000001</v>
      </c>
      <c r="S20" s="25">
        <f>_xll.BDH("NBIX US Equity","IS_INT_EXPENSE","FQ2 2023","FQ2 2023","Currency=USD","Period=FQ","BEST_FPERIOD_OVERRIDE=FQ","FILING_STATUS=MR","SCALING_FORMAT=MLN","FA_ADJUSTED=GAAP","Sort=A","Dates=H","DateFormat=P","Fill=—","Direction=H","UseDPDF=Y")</f>
        <v>1.3</v>
      </c>
      <c r="T20" s="25">
        <f>_xll.BDH("NBIX US Equity","IS_INT_EXPENSE","FQ3 2023","FQ3 2023","Currency=USD","Period=FQ","BEST_FPERIOD_OVERRIDE=FQ","FILING_STATUS=MR","SCALING_FORMAT=MLN","FA_ADJUSTED=GAAP","Sort=A","Dates=H","DateFormat=P","Fill=—","Direction=H","UseDPDF=Y")</f>
        <v>1.1000000000000001</v>
      </c>
      <c r="U20" s="25">
        <f>_xll.BDH("NBIX US Equity","IS_INT_EXPENSE","FQ4 2023","FQ4 2023","Currency=USD","Period=FQ","BEST_FPERIOD_OVERRIDE=FQ","FILING_STATUS=MR","SCALING_FORMAT=MLN","FA_ADJUSTED=GAAP","Sort=A","Dates=H","DateFormat=P","Fill=—","Direction=H","UseDPDF=Y")</f>
        <v>1.1000000000000001</v>
      </c>
      <c r="V20" s="25">
        <f>_xll.BDH("NBIX US Equity","IS_INT_EXPENSE","FQ1 2024","FQ1 2024","Currency=USD","Period=FQ","BEST_FPERIOD_OVERRIDE=FQ","FILING_STATUS=MR","SCALING_FORMAT=MLN","FA_ADJUSTED=GAAP","Sort=A","Dates=H","DateFormat=P","Fill=—","Direction=H","UseDPDF=Y")</f>
        <v>1.1000000000000001</v>
      </c>
      <c r="W20" s="25" t="str">
        <f>_xll.BDH("NBIX US Equity","IS_INT_EXPENSE","FQ2 2024","FQ2 2024","Currency=USD","Period=FQ","BEST_FPERIOD_OVERRIDE=FQ","FILING_STATUS=MR","SCALING_FORMAT=MLN","FA_ADJUSTED=GAAP","Sort=A","Dates=H","DateFormat=P","Fill=—","Direction=H","UseDPDF=Y")</f>
        <v>—</v>
      </c>
      <c r="X20" s="25" t="str">
        <f>_xll.BDH("NBIX US Equity","IS_INT_EXPENSE","FQ3 2024","FQ3 2024","Currency=USD","Period=FQ","BEST_FPERIOD_OVERRIDE=FQ","FILING_STATUS=MR","SCALING_FORMAT=MLN","FA_ADJUSTED=GAAP","Sort=A","Dates=H","DateFormat=P","Fill=—","Direction=H","UseDPDF=Y")</f>
        <v>—</v>
      </c>
      <c r="Y20" s="25" t="str">
        <f>_xll.BDH("NBIX US Equity","IS_INT_EXPENSE","FQ4 2024","FQ4 2024","Currency=USD","Period=FQ","BEST_FPERIOD_OVERRIDE=FQ","FILING_STATUS=MR","SCALING_FORMAT=MLN","FA_ADJUSTED=GAAP","Sort=A","Dates=H","DateFormat=P","Fill=—","Direction=H","UseDPDF=Y")</f>
        <v>—</v>
      </c>
      <c r="Z20" s="25"/>
      <c r="AA20" s="25"/>
    </row>
    <row r="21" spans="1:27" x14ac:dyDescent="0.25">
      <c r="A21" s="10" t="s">
        <v>338</v>
      </c>
      <c r="B21" s="10" t="s">
        <v>339</v>
      </c>
      <c r="C21" s="13">
        <f>_xll.BDH("NBIX US Equity","IS_OTHER_INVESTMENT_INCOME_LOSS","FQ2 2019","FQ2 2019","Currency=USD","Period=FQ","BEST_FPERIOD_OVERRIDE=FQ","FILING_STATUS=MR","SCALING_FORMAT=MLN","FA_ADJUSTED=GAAP","Sort=A","Dates=H","DateFormat=P","Fill=—","Direction=H","UseDPDF=Y")</f>
        <v>-4.6070000000000002</v>
      </c>
      <c r="D21" s="13">
        <f>_xll.BDH("NBIX US Equity","IS_OTHER_INVESTMENT_INCOME_LOSS","FQ3 2019","FQ3 2019","Currency=USD","Period=FQ","BEST_FPERIOD_OVERRIDE=FQ","FILING_STATUS=MR","SCALING_FORMAT=MLN","FA_ADJUSTED=GAAP","Sort=A","Dates=H","DateFormat=P","Fill=—","Direction=H","UseDPDF=Y")</f>
        <v>-4.7969999999999997</v>
      </c>
      <c r="E21" s="13">
        <f>_xll.BDH("NBIX US Equity","IS_OTHER_INVESTMENT_INCOME_LOSS","FQ4 2019","FQ4 2019","Currency=USD","Period=FQ","BEST_FPERIOD_OVERRIDE=FQ","FILING_STATUS=MR","SCALING_FORMAT=MLN","FA_ADJUSTED=GAAP","Sort=A","Dates=H","DateFormat=P","Fill=—","Direction=H","UseDPDF=Y")</f>
        <v>-5.2</v>
      </c>
      <c r="F21" s="13">
        <f>_xll.BDH("NBIX US Equity","IS_OTHER_INVESTMENT_INCOME_LOSS","FQ1 2020","FQ1 2020","Currency=USD","Period=FQ","BEST_FPERIOD_OVERRIDE=FQ","FILING_STATUS=MR","SCALING_FORMAT=MLN","FA_ADJUSTED=GAAP","Sort=A","Dates=H","DateFormat=P","Fill=—","Direction=H","UseDPDF=Y")</f>
        <v>-4.7</v>
      </c>
      <c r="G21" s="13">
        <f>_xll.BDH("NBIX US Equity","IS_OTHER_INVESTMENT_INCOME_LOSS","FQ2 2020","FQ2 2020","Currency=USD","Period=FQ","BEST_FPERIOD_OVERRIDE=FQ","FILING_STATUS=MR","SCALING_FORMAT=MLN","FA_ADJUSTED=GAAP","Sort=A","Dates=H","DateFormat=P","Fill=—","Direction=H","UseDPDF=Y")</f>
        <v>-3.6</v>
      </c>
      <c r="H21" s="13">
        <f>_xll.BDH("NBIX US Equity","IS_OTHER_INVESTMENT_INCOME_LOSS","FQ3 2020","FQ3 2020","Currency=USD","Period=FQ","BEST_FPERIOD_OVERRIDE=FQ","FILING_STATUS=MR","SCALING_FORMAT=MLN","FA_ADJUSTED=GAAP","Sort=A","Dates=H","DateFormat=P","Fill=—","Direction=H","UseDPDF=Y")</f>
        <v>-2.7</v>
      </c>
      <c r="I21" s="13">
        <f>_xll.BDH("NBIX US Equity","IS_OTHER_INVESTMENT_INCOME_LOSS","FQ4 2020","FQ4 2020","Currency=USD","Period=FQ","BEST_FPERIOD_OVERRIDE=FQ","FILING_STATUS=MR","SCALING_FORMAT=MLN","FA_ADJUSTED=GAAP","Sort=A","Dates=H","DateFormat=P","Fill=—","Direction=H","UseDPDF=Y")</f>
        <v>-1.6</v>
      </c>
      <c r="J21" s="13">
        <f>_xll.BDH("NBIX US Equity","IS_OTHER_INVESTMENT_INCOME_LOSS","FQ1 2021","FQ1 2021","Currency=USD","Period=FQ","BEST_FPERIOD_OVERRIDE=FQ","FILING_STATUS=MR","SCALING_FORMAT=MLN","FA_ADJUSTED=GAAP","Sort=A","Dates=H","DateFormat=P","Fill=—","Direction=H","UseDPDF=Y")</f>
        <v>-1.4</v>
      </c>
      <c r="K21" s="13">
        <f>_xll.BDH("NBIX US Equity","IS_OTHER_INVESTMENT_INCOME_LOSS","FQ2 2021","FQ2 2021","Currency=USD","Period=FQ","BEST_FPERIOD_OVERRIDE=FQ","FILING_STATUS=MR","SCALING_FORMAT=MLN","FA_ADJUSTED=GAAP","Sort=A","Dates=H","DateFormat=P","Fill=—","Direction=H","UseDPDF=Y")</f>
        <v>-0.9</v>
      </c>
      <c r="L21" s="13">
        <f>_xll.BDH("NBIX US Equity","IS_OTHER_INVESTMENT_INCOME_LOSS","FQ3 2021","FQ3 2021","Currency=USD","Period=FQ","BEST_FPERIOD_OVERRIDE=FQ","FILING_STATUS=MR","SCALING_FORMAT=MLN","FA_ADJUSTED=GAAP","Sort=A","Dates=H","DateFormat=P","Fill=—","Direction=H","UseDPDF=Y")</f>
        <v>-0.8</v>
      </c>
      <c r="M21" s="13">
        <f>_xll.BDH("NBIX US Equity","IS_OTHER_INVESTMENT_INCOME_LOSS","FQ4 2021","FQ4 2021","Currency=USD","Period=FQ","BEST_FPERIOD_OVERRIDE=FQ","FILING_STATUS=MR","SCALING_FORMAT=MLN","FA_ADJUSTED=GAAP","Sort=A","Dates=H","DateFormat=P","Fill=—","Direction=H","UseDPDF=Y")</f>
        <v>-0.7</v>
      </c>
      <c r="N21" s="13">
        <f>_xll.BDH("NBIX US Equity","IS_OTHER_INVESTMENT_INCOME_LOSS","FQ1 2022","FQ1 2022","Currency=USD","Period=FQ","BEST_FPERIOD_OVERRIDE=FQ","FILING_STATUS=MR","SCALING_FORMAT=MLN","FA_ADJUSTED=GAAP","Sort=A","Dates=H","DateFormat=P","Fill=—","Direction=H","UseDPDF=Y")</f>
        <v>-1</v>
      </c>
      <c r="O21" s="13">
        <f>_xll.BDH("NBIX US Equity","IS_OTHER_INVESTMENT_INCOME_LOSS","FQ2 2022","FQ2 2022","Currency=USD","Period=FQ","BEST_FPERIOD_OVERRIDE=FQ","FILING_STATUS=MR","SCALING_FORMAT=MLN","FA_ADJUSTED=GAAP","Sort=A","Dates=H","DateFormat=P","Fill=—","Direction=H","UseDPDF=Y")</f>
        <v>-1.6</v>
      </c>
      <c r="P21" s="13">
        <f>_xll.BDH("NBIX US Equity","IS_OTHER_INVESTMENT_INCOME_LOSS","FQ3 2022","FQ3 2022","Currency=USD","Period=FQ","BEST_FPERIOD_OVERRIDE=FQ","FILING_STATUS=MR","SCALING_FORMAT=MLN","FA_ADJUSTED=GAAP","Sort=A","Dates=H","DateFormat=P","Fill=—","Direction=H","UseDPDF=Y")</f>
        <v>-0.2</v>
      </c>
      <c r="Q21" s="13">
        <f>_xll.BDH("NBIX US Equity","IS_OTHER_INVESTMENT_INCOME_LOSS","FQ4 2022","FQ4 2022","Currency=USD","Period=FQ","BEST_FPERIOD_OVERRIDE=FQ","FILING_STATUS=MR","SCALING_FORMAT=MLN","FA_ADJUSTED=GAAP","Sort=A","Dates=H","DateFormat=P","Fill=—","Direction=H","UseDPDF=Y")</f>
        <v>-8.4</v>
      </c>
      <c r="R21" s="13">
        <f>_xll.BDH("NBIX US Equity","IS_OTHER_INVESTMENT_INCOME_LOSS","FQ1 2023","FQ1 2023","Currency=USD","Period=FQ","BEST_FPERIOD_OVERRIDE=FQ","FILING_STATUS=MR","SCALING_FORMAT=MLN","FA_ADJUSTED=GAAP","Sort=A","Dates=H","DateFormat=P","Fill=—","Direction=H","UseDPDF=Y")</f>
        <v>-9.8000000000000007</v>
      </c>
      <c r="S21" s="13">
        <f>_xll.BDH("NBIX US Equity","IS_OTHER_INVESTMENT_INCOME_LOSS","FQ2 2023","FQ2 2023","Currency=USD","Period=FQ","BEST_FPERIOD_OVERRIDE=FQ","FILING_STATUS=MR","SCALING_FORMAT=MLN","FA_ADJUSTED=GAAP","Sort=A","Dates=H","DateFormat=P","Fill=—","Direction=H","UseDPDF=Y")</f>
        <v>-12</v>
      </c>
      <c r="T21" s="13">
        <f>_xll.BDH("NBIX US Equity","IS_OTHER_INVESTMENT_INCOME_LOSS","FQ3 2023","FQ3 2023","Currency=USD","Period=FQ","BEST_FPERIOD_OVERRIDE=FQ","FILING_STATUS=MR","SCALING_FORMAT=MLN","FA_ADJUSTED=GAAP","Sort=A","Dates=H","DateFormat=P","Fill=—","Direction=H","UseDPDF=Y")</f>
        <v>-15.6</v>
      </c>
      <c r="U21" s="13">
        <f>_xll.BDH("NBIX US Equity","IS_OTHER_INVESTMENT_INCOME_LOSS","FQ4 2023","FQ4 2023","Currency=USD","Period=FQ","BEST_FPERIOD_OVERRIDE=FQ","FILING_STATUS=MR","SCALING_FORMAT=MLN","FA_ADJUSTED=GAAP","Sort=A","Dates=H","DateFormat=P","Fill=—","Direction=H","UseDPDF=Y")</f>
        <v>-20</v>
      </c>
      <c r="V21" s="13">
        <f>_xll.BDH("NBIX US Equity","IS_OTHER_INVESTMENT_INCOME_LOSS","FQ1 2024","FQ1 2024","Currency=USD","Period=FQ","BEST_FPERIOD_OVERRIDE=FQ","FILING_STATUS=MR","SCALING_FORMAT=MLN","FA_ADJUSTED=GAAP","Sort=A","Dates=H","DateFormat=P","Fill=—","Direction=H","UseDPDF=Y")</f>
        <v>-23.4</v>
      </c>
      <c r="W21" s="13">
        <f>_xll.BDH("NBIX US Equity","IS_OTHER_INVESTMENT_INCOME_LOSS","FQ2 2024","FQ2 2024","Currency=USD","Period=FQ","BEST_FPERIOD_OVERRIDE=FQ","FILING_STATUS=MR","SCALING_FORMAT=MLN","FA_ADJUSTED=GAAP","Sort=A","Dates=H","DateFormat=P","Fill=—","Direction=H","UseDPDF=Y")</f>
        <v>-22.8</v>
      </c>
      <c r="X21" s="13">
        <f>_xll.BDH("NBIX US Equity","IS_OTHER_INVESTMENT_INCOME_LOSS","FQ3 2024","FQ3 2024","Currency=USD","Period=FQ","BEST_FPERIOD_OVERRIDE=FQ","FILING_STATUS=MR","SCALING_FORMAT=MLN","FA_ADJUSTED=GAAP","Sort=A","Dates=H","DateFormat=P","Fill=—","Direction=H","UseDPDF=Y")</f>
        <v>-23.4</v>
      </c>
      <c r="Y21" s="13">
        <f>_xll.BDH("NBIX US Equity","IS_OTHER_INVESTMENT_INCOME_LOSS","FQ4 2024","FQ4 2024","Currency=USD","Period=FQ","BEST_FPERIOD_OVERRIDE=FQ","FILING_STATUS=MR","SCALING_FORMAT=MLN","FA_ADJUSTED=GAAP","Sort=A","Dates=H","DateFormat=P","Fill=—","Direction=H","UseDPDF=Y")</f>
        <v>-22.5</v>
      </c>
      <c r="Z21" s="13"/>
      <c r="AA21" s="13"/>
    </row>
    <row r="22" spans="1:27" x14ac:dyDescent="0.25">
      <c r="A22" s="10" t="s">
        <v>340</v>
      </c>
      <c r="B22" s="10" t="s">
        <v>417</v>
      </c>
      <c r="C22" s="13">
        <f>_xll.BDH("NBIX US Equity","OTHER_NONOP_INCOME_LOSS","FQ2 2019","FQ2 2019","Currency=USD","Period=FQ","BEST_FPERIOD_OVERRIDE=FQ","FILING_STATUS=MR","SCALING_FORMAT=MLN","FA_ADJUSTED=GAAP","Sort=A","Dates=H","DateFormat=P","Fill=—","Direction=H","UseDPDF=Y")</f>
        <v>-20.965</v>
      </c>
      <c r="D22" s="13">
        <f>_xll.BDH("NBIX US Equity","OTHER_NONOP_INCOME_LOSS","FQ3 2019","FQ3 2019","Currency=USD","Period=FQ","BEST_FPERIOD_OVERRIDE=FQ","FILING_STATUS=MR","SCALING_FORMAT=MLN","FA_ADJUSTED=GAAP","Sort=A","Dates=H","DateFormat=P","Fill=—","Direction=H","UseDPDF=Y")</f>
        <v>28.45</v>
      </c>
      <c r="E22" s="13">
        <f>_xll.BDH("NBIX US Equity","OTHER_NONOP_INCOME_LOSS","FQ4 2019","FQ4 2019","Currency=USD","Period=FQ","BEST_FPERIOD_OVERRIDE=FQ","FILING_STATUS=MR","SCALING_FORMAT=MLN","FA_ADJUSTED=GAAP","Sort=A","Dates=H","DateFormat=P","Fill=—","Direction=H","UseDPDF=Y")</f>
        <v>7.2</v>
      </c>
      <c r="F22" s="13">
        <f>_xll.BDH("NBIX US Equity","OTHER_NONOP_INCOME_LOSS","FQ1 2020","FQ1 2020","Currency=USD","Period=FQ","BEST_FPERIOD_OVERRIDE=FQ","FILING_STATUS=MR","SCALING_FORMAT=MLN","FA_ADJUSTED=GAAP","Sort=A","Dates=H","DateFormat=P","Fill=—","Direction=H","UseDPDF=Y")</f>
        <v>16.5</v>
      </c>
      <c r="G22" s="13">
        <f>_xll.BDH("NBIX US Equity","OTHER_NONOP_INCOME_LOSS","FQ2 2020","FQ2 2020","Currency=USD","Period=FQ","BEST_FPERIOD_OVERRIDE=FQ","FILING_STATUS=MR","SCALING_FORMAT=MLN","FA_ADJUSTED=GAAP","Sort=A","Dates=H","DateFormat=P","Fill=—","Direction=H","UseDPDF=Y")</f>
        <v>-11.3</v>
      </c>
      <c r="H22" s="13">
        <f>_xll.BDH("NBIX US Equity","OTHER_NONOP_INCOME_LOSS","FQ3 2020","FQ3 2020","Currency=USD","Period=FQ","BEST_FPERIOD_OVERRIDE=FQ","FILING_STATUS=MR","SCALING_FORMAT=MLN","FA_ADJUSTED=GAAP","Sort=A","Dates=H","DateFormat=P","Fill=—","Direction=H","UseDPDF=Y")</f>
        <v>7</v>
      </c>
      <c r="I22" s="13">
        <f>_xll.BDH("NBIX US Equity","OTHER_NONOP_INCOME_LOSS","FQ4 2020","FQ4 2020","Currency=USD","Period=FQ","BEST_FPERIOD_OVERRIDE=FQ","FILING_STATUS=MR","SCALING_FORMAT=MLN","FA_ADJUSTED=GAAP","Sort=A","Dates=H","DateFormat=P","Fill=—","Direction=H","UseDPDF=Y")</f>
        <v>23.9</v>
      </c>
      <c r="J22" s="13">
        <f>_xll.BDH("NBIX US Equity","OTHER_NONOP_INCOME_LOSS","FQ1 2021","FQ1 2021","Currency=USD","Period=FQ","BEST_FPERIOD_OVERRIDE=FQ","FILING_STATUS=MR","SCALING_FORMAT=MLN","FA_ADJUSTED=GAAP","Sort=A","Dates=H","DateFormat=P","Fill=—","Direction=H","UseDPDF=Y")</f>
        <v>-0.7</v>
      </c>
      <c r="K22" s="13">
        <f>_xll.BDH("NBIX US Equity","OTHER_NONOP_INCOME_LOSS","FQ2 2021","FQ2 2021","Currency=USD","Period=FQ","BEST_FPERIOD_OVERRIDE=FQ","FILING_STATUS=MR","SCALING_FORMAT=MLN","FA_ADJUSTED=GAAP","Sort=A","Dates=H","DateFormat=P","Fill=—","Direction=H","UseDPDF=Y")</f>
        <v>0</v>
      </c>
      <c r="L22" s="13">
        <f>_xll.BDH("NBIX US Equity","OTHER_NONOP_INCOME_LOSS","FQ3 2021","FQ3 2021","Currency=USD","Period=FQ","BEST_FPERIOD_OVERRIDE=FQ","FILING_STATUS=MR","SCALING_FORMAT=MLN","FA_ADJUSTED=GAAP","Sort=A","Dates=H","DateFormat=P","Fill=—","Direction=H","UseDPDF=Y")</f>
        <v>8.1999999999999993</v>
      </c>
      <c r="M22" s="13">
        <f>_xll.BDH("NBIX US Equity","OTHER_NONOP_INCOME_LOSS","FQ4 2021","FQ4 2021","Currency=USD","Period=FQ","BEST_FPERIOD_OVERRIDE=FQ","FILING_STATUS=MR","SCALING_FORMAT=MLN","FA_ADJUSTED=GAAP","Sort=A","Dates=H","DateFormat=P","Fill=—","Direction=H","UseDPDF=Y")</f>
        <v>-28.4</v>
      </c>
      <c r="N22" s="13">
        <f>_xll.BDH("NBIX US Equity","OTHER_NONOP_INCOME_LOSS","FQ1 2022","FQ1 2022","Currency=USD","Period=FQ","BEST_FPERIOD_OVERRIDE=FQ","FILING_STATUS=MR","SCALING_FORMAT=MLN","FA_ADJUSTED=GAAP","Sort=A","Dates=H","DateFormat=P","Fill=—","Direction=H","UseDPDF=Y")</f>
        <v>-19.899999999999999</v>
      </c>
      <c r="O22" s="13">
        <f>_xll.BDH("NBIX US Equity","OTHER_NONOP_INCOME_LOSS","FQ2 2022","FQ2 2022","Currency=USD","Period=FQ","BEST_FPERIOD_OVERRIDE=FQ","FILING_STATUS=MR","SCALING_FORMAT=MLN","FA_ADJUSTED=GAAP","Sort=A","Dates=H","DateFormat=P","Fill=—","Direction=H","UseDPDF=Y")</f>
        <v>77.400000000000006</v>
      </c>
      <c r="P22" s="13">
        <f>_xll.BDH("NBIX US Equity","OTHER_NONOP_INCOME_LOSS","FQ3 2022","FQ3 2022","Currency=USD","Period=FQ","BEST_FPERIOD_OVERRIDE=FQ","FILING_STATUS=MR","SCALING_FORMAT=MLN","FA_ADJUSTED=GAAP","Sort=A","Dates=H","DateFormat=P","Fill=—","Direction=H","UseDPDF=Y")</f>
        <v>-11.1</v>
      </c>
      <c r="Q22" s="13">
        <f>_xll.BDH("NBIX US Equity","OTHER_NONOP_INCOME_LOSS","FQ4 2022","FQ4 2022","Currency=USD","Period=FQ","BEST_FPERIOD_OVERRIDE=FQ","FILING_STATUS=MR","SCALING_FORMAT=MLN","FA_ADJUSTED=GAAP","Sort=A","Dates=H","DateFormat=P","Fill=—","Direction=H","UseDPDF=Y")</f>
        <v>-7.2</v>
      </c>
      <c r="R22" s="13">
        <f>_xll.BDH("NBIX US Equity","OTHER_NONOP_INCOME_LOSS","FQ1 2023","FQ1 2023","Currency=USD","Period=FQ","BEST_FPERIOD_OVERRIDE=FQ","FILING_STATUS=MR","SCALING_FORMAT=MLN","FA_ADJUSTED=GAAP","Sort=A","Dates=H","DateFormat=P","Fill=—","Direction=H","UseDPDF=Y")</f>
        <v>-2.2000000000000002</v>
      </c>
      <c r="S22" s="13">
        <f>_xll.BDH("NBIX US Equity","OTHER_NONOP_INCOME_LOSS","FQ2 2023","FQ2 2023","Currency=USD","Period=FQ","BEST_FPERIOD_OVERRIDE=FQ","FILING_STATUS=MR","SCALING_FORMAT=MLN","FA_ADJUSTED=GAAP","Sort=A","Dates=H","DateFormat=P","Fill=—","Direction=H","UseDPDF=Y")</f>
        <v>-37.299999999999997</v>
      </c>
      <c r="T22" s="13">
        <f>_xll.BDH("NBIX US Equity","OTHER_NONOP_INCOME_LOSS","FQ3 2023","FQ3 2023","Currency=USD","Period=FQ","BEST_FPERIOD_OVERRIDE=FQ","FILING_STATUS=MR","SCALING_FORMAT=MLN","FA_ADJUSTED=GAAP","Sort=A","Dates=H","DateFormat=P","Fill=—","Direction=H","UseDPDF=Y")</f>
        <v>40.1</v>
      </c>
      <c r="U22" s="13">
        <f>_xll.BDH("NBIX US Equity","OTHER_NONOP_INCOME_LOSS","FQ4 2023","FQ4 2023","Currency=USD","Period=FQ","BEST_FPERIOD_OVERRIDE=FQ","FILING_STATUS=MR","SCALING_FORMAT=MLN","FA_ADJUSTED=GAAP","Sort=A","Dates=H","DateFormat=P","Fill=—","Direction=H","UseDPDF=Y")</f>
        <v>-29</v>
      </c>
      <c r="V22" s="13">
        <f>_xll.BDH("NBIX US Equity","OTHER_NONOP_INCOME_LOSS","FQ1 2024","FQ1 2024","Currency=USD","Period=FQ","BEST_FPERIOD_OVERRIDE=FQ","FILING_STATUS=MR","SCALING_FORMAT=MLN","FA_ADJUSTED=GAAP","Sort=A","Dates=H","DateFormat=P","Fill=—","Direction=H","UseDPDF=Y")</f>
        <v>87.1</v>
      </c>
      <c r="W22" s="13">
        <f>_xll.BDH("NBIX US Equity","OTHER_NONOP_INCOME_LOSS","FQ2 2024","FQ2 2024","Currency=USD","Period=FQ","BEST_FPERIOD_OVERRIDE=FQ","FILING_STATUS=MR","SCALING_FORMAT=MLN","FA_ADJUSTED=GAAP","Sort=A","Dates=H","DateFormat=P","Fill=—","Direction=H","UseDPDF=Y")</f>
        <v>69.599999999999994</v>
      </c>
      <c r="X22" s="13">
        <f>_xll.BDH("NBIX US Equity","OTHER_NONOP_INCOME_LOSS","FQ3 2024","FQ3 2024","Currency=USD","Period=FQ","BEST_FPERIOD_OVERRIDE=FQ","FILING_STATUS=MR","SCALING_FORMAT=MLN","FA_ADJUSTED=GAAP","Sort=A","Dates=H","DateFormat=P","Fill=—","Direction=H","UseDPDF=Y")</f>
        <v>16.899999999999999</v>
      </c>
      <c r="Y22" s="13">
        <f>_xll.BDH("NBIX US Equity","OTHER_NONOP_INCOME_LOSS","FQ4 2024","FQ4 2024","Currency=USD","Period=FQ","BEST_FPERIOD_OVERRIDE=FQ","FILING_STATUS=MR","SCALING_FORMAT=MLN","FA_ADJUSTED=GAAP","Sort=A","Dates=H","DateFormat=P","Fill=—","Direction=H","UseDPDF=Y")</f>
        <v>1.9</v>
      </c>
      <c r="Z22" s="13"/>
      <c r="AA22" s="13"/>
    </row>
    <row r="23" spans="1:27" x14ac:dyDescent="0.25">
      <c r="A23" s="6" t="s">
        <v>418</v>
      </c>
      <c r="B23" s="6" t="s">
        <v>158</v>
      </c>
      <c r="C23" s="19">
        <f>_xll.BDH("NBIX US Equity","PRETAX_INC","FQ2 2019","FQ2 2019","Currency=USD","Period=FQ","BEST_FPERIOD_OVERRIDE=FQ","FILING_STATUS=MR","SCALING_FORMAT=MLN","FA_ADJUSTED=GAAP","Sort=A","Dates=H","DateFormat=P","Fill=—","Direction=H","UseDPDF=Y")</f>
        <v>52.091000000000001</v>
      </c>
      <c r="D23" s="19">
        <f>_xll.BDH("NBIX US Equity","PRETAX_INC","FQ3 2019","FQ3 2019","Currency=USD","Period=FQ","BEST_FPERIOD_OVERRIDE=FQ","FILING_STATUS=MR","SCALING_FORMAT=MLN","FA_ADJUSTED=GAAP","Sort=A","Dates=H","DateFormat=P","Fill=—","Direction=H","UseDPDF=Y")</f>
        <v>58.406999999999996</v>
      </c>
      <c r="E23" s="19">
        <f>_xll.BDH("NBIX US Equity","PRETAX_INC","FQ4 2019","FQ4 2019","Currency=USD","Period=FQ","BEST_FPERIOD_OVERRIDE=FQ","FILING_STATUS=MR","SCALING_FORMAT=MLN","FA_ADJUSTED=GAAP","Sort=A","Dates=H","DateFormat=P","Fill=—","Direction=H","UseDPDF=Y")</f>
        <v>38.6</v>
      </c>
      <c r="F23" s="19">
        <f>_xll.BDH("NBIX US Equity","PRETAX_INC","FQ1 2020","FQ1 2020","Currency=USD","Period=FQ","BEST_FPERIOD_OVERRIDE=FQ","FILING_STATUS=MR","SCALING_FORMAT=MLN","FA_ADJUSTED=GAAP","Sort=A","Dates=H","DateFormat=P","Fill=—","Direction=H","UseDPDF=Y")</f>
        <v>38.9</v>
      </c>
      <c r="G23" s="19">
        <f>_xll.BDH("NBIX US Equity","PRETAX_INC","FQ2 2020","FQ2 2020","Currency=USD","Period=FQ","BEST_FPERIOD_OVERRIDE=FQ","FILING_STATUS=MR","SCALING_FORMAT=MLN","FA_ADJUSTED=GAAP","Sort=A","Dates=H","DateFormat=P","Fill=—","Direction=H","UseDPDF=Y")</f>
        <v>83.2</v>
      </c>
      <c r="H23" s="19">
        <f>_xll.BDH("NBIX US Equity","PRETAX_INC","FQ3 2020","FQ3 2020","Currency=USD","Period=FQ","BEST_FPERIOD_OVERRIDE=FQ","FILING_STATUS=MR","SCALING_FORMAT=MLN","FA_ADJUSTED=GAAP","Sort=A","Dates=H","DateFormat=P","Fill=—","Direction=H","UseDPDF=Y")</f>
        <v>-57.1</v>
      </c>
      <c r="I23" s="19">
        <f>_xll.BDH("NBIX US Equity","PRETAX_INC","FQ4 2020","FQ4 2020","Currency=USD","Period=FQ","BEST_FPERIOD_OVERRIDE=FQ","FILING_STATUS=MR","SCALING_FORMAT=MLN","FA_ADJUSTED=GAAP","Sort=A","Dates=H","DateFormat=P","Fill=—","Direction=H","UseDPDF=Y")</f>
        <v>41.7</v>
      </c>
      <c r="J23" s="19">
        <f>_xll.BDH("NBIX US Equity","PRETAX_INC","FQ1 2021","FQ1 2021","Currency=USD","Period=FQ","BEST_FPERIOD_OVERRIDE=FQ","FILING_STATUS=MR","SCALING_FORMAT=MLN","FA_ADJUSTED=GAAP","Sort=A","Dates=H","DateFormat=P","Fill=—","Direction=H","UseDPDF=Y")</f>
        <v>27.2</v>
      </c>
      <c r="K23" s="19">
        <f>_xll.BDH("NBIX US Equity","PRETAX_INC","FQ2 2021","FQ2 2021","Currency=USD","Period=FQ","BEST_FPERIOD_OVERRIDE=FQ","FILING_STATUS=MR","SCALING_FORMAT=MLN","FA_ADJUSTED=GAAP","Sort=A","Dates=H","DateFormat=P","Fill=—","Direction=H","UseDPDF=Y")</f>
        <v>57.5</v>
      </c>
      <c r="L23" s="19">
        <f>_xll.BDH("NBIX US Equity","PRETAX_INC","FQ3 2021","FQ3 2021","Currency=USD","Period=FQ","BEST_FPERIOD_OVERRIDE=FQ","FILING_STATUS=MR","SCALING_FORMAT=MLN","FA_ADJUSTED=GAAP","Sort=A","Dates=H","DateFormat=P","Fill=—","Direction=H","UseDPDF=Y")</f>
        <v>30.5</v>
      </c>
      <c r="M23" s="19">
        <f>_xll.BDH("NBIX US Equity","PRETAX_INC","FQ4 2021","FQ4 2021","Currency=USD","Period=FQ","BEST_FPERIOD_OVERRIDE=FQ","FILING_STATUS=MR","SCALING_FORMAT=MLN","FA_ADJUSTED=GAAP","Sort=A","Dates=H","DateFormat=P","Fill=—","Direction=H","UseDPDF=Y")</f>
        <v>-13.8</v>
      </c>
      <c r="N23" s="19">
        <f>_xll.BDH("NBIX US Equity","PRETAX_INC","FQ1 2022","FQ1 2022","Currency=USD","Period=FQ","BEST_FPERIOD_OVERRIDE=FQ","FILING_STATUS=MR","SCALING_FORMAT=MLN","FA_ADJUSTED=GAAP","Sort=A","Dates=H","DateFormat=P","Fill=—","Direction=H","UseDPDF=Y")</f>
        <v>21.4</v>
      </c>
      <c r="O23" s="19">
        <f>_xll.BDH("NBIX US Equity","PRETAX_INC","FQ2 2022","FQ2 2022","Currency=USD","Period=FQ","BEST_FPERIOD_OVERRIDE=FQ","FILING_STATUS=MR","SCALING_FORMAT=MLN","FA_ADJUSTED=GAAP","Sort=A","Dates=H","DateFormat=P","Fill=—","Direction=H","UseDPDF=Y")</f>
        <v>-23.3</v>
      </c>
      <c r="P23" s="19">
        <f>_xll.BDH("NBIX US Equity","PRETAX_INC","FQ3 2022","FQ3 2022","Currency=USD","Period=FQ","BEST_FPERIOD_OVERRIDE=FQ","FILING_STATUS=MR","SCALING_FORMAT=MLN","FA_ADJUSTED=GAAP","Sort=A","Dates=H","DateFormat=P","Fill=—","Direction=H","UseDPDF=Y")</f>
        <v>97.9</v>
      </c>
      <c r="Q23" s="19">
        <f>_xll.BDH("NBIX US Equity","PRETAX_INC","FQ4 2022","FQ4 2022","Currency=USD","Period=FQ","BEST_FPERIOD_OVERRIDE=FQ","FILING_STATUS=MR","SCALING_FORMAT=MLN","FA_ADJUSTED=GAAP","Sort=A","Dates=H","DateFormat=P","Fill=—","Direction=H","UseDPDF=Y")</f>
        <v>117.9</v>
      </c>
      <c r="R23" s="19">
        <f>_xll.BDH("NBIX US Equity","PRETAX_INC","FQ1 2023","FQ1 2023","Currency=USD","Period=FQ","BEST_FPERIOD_OVERRIDE=FQ","FILING_STATUS=MR","SCALING_FORMAT=MLN","FA_ADJUSTED=GAAP","Sort=A","Dates=H","DateFormat=P","Fill=—","Direction=H","UseDPDF=Y")</f>
        <v>-103.3</v>
      </c>
      <c r="S23" s="19">
        <f>_xll.BDH("NBIX US Equity","PRETAX_INC","FQ2 2023","FQ2 2023","Currency=USD","Period=FQ","BEST_FPERIOD_OVERRIDE=FQ","FILING_STATUS=MR","SCALING_FORMAT=MLN","FA_ADJUSTED=GAAP","Sort=A","Dates=H","DateFormat=P","Fill=—","Direction=H","UseDPDF=Y")</f>
        <v>121.6</v>
      </c>
      <c r="T23" s="19">
        <f>_xll.BDH("NBIX US Equity","PRETAX_INC","FQ3 2023","FQ3 2023","Currency=USD","Period=FQ","BEST_FPERIOD_OVERRIDE=FQ","FILING_STATUS=MR","SCALING_FORMAT=MLN","FA_ADJUSTED=GAAP","Sort=A","Dates=H","DateFormat=P","Fill=—","Direction=H","UseDPDF=Y")</f>
        <v>115.6</v>
      </c>
      <c r="U23" s="19">
        <f>_xll.BDH("NBIX US Equity","PRETAX_INC","FQ4 2023","FQ4 2023","Currency=USD","Period=FQ","BEST_FPERIOD_OVERRIDE=FQ","FILING_STATUS=MR","SCALING_FORMAT=MLN","FA_ADJUSTED=GAAP","Sort=A","Dates=H","DateFormat=P","Fill=—","Direction=H","UseDPDF=Y")</f>
        <v>198.2</v>
      </c>
      <c r="V23" s="19">
        <f>_xll.BDH("NBIX US Equity","PRETAX_INC","FQ1 2024","FQ1 2024","Currency=USD","Period=FQ","BEST_FPERIOD_OVERRIDE=FQ","FILING_STATUS=MR","SCALING_FORMAT=MLN","FA_ADJUSTED=GAAP","Sort=A","Dates=H","DateFormat=P","Fill=—","Direction=H","UseDPDF=Y")</f>
        <v>34.5</v>
      </c>
      <c r="W23" s="19">
        <f>_xll.BDH("NBIX US Equity","PRETAX_INC","FQ2 2024","FQ2 2024","Currency=USD","Period=FQ","BEST_FPERIOD_OVERRIDE=FQ","FILING_STATUS=MR","SCALING_FORMAT=MLN","FA_ADJUSTED=GAAP","Sort=A","Dates=H","DateFormat=P","Fill=—","Direction=H","UseDPDF=Y")</f>
        <v>98.6</v>
      </c>
      <c r="X23" s="19">
        <f>_xll.BDH("NBIX US Equity","PRETAX_INC","FQ3 2024","FQ3 2024","Currency=USD","Period=FQ","BEST_FPERIOD_OVERRIDE=FQ","FILING_STATUS=MR","SCALING_FORMAT=MLN","FA_ADJUSTED=GAAP","Sort=A","Dates=H","DateFormat=P","Fill=—","Direction=H","UseDPDF=Y")</f>
        <v>190.3</v>
      </c>
      <c r="Y23" s="19">
        <f>_xll.BDH("NBIX US Equity","PRETAX_INC","FQ4 2024","FQ4 2024","Currency=USD","Period=FQ","BEST_FPERIOD_OVERRIDE=FQ","FILING_STATUS=MR","SCALING_FORMAT=MLN","FA_ADJUSTED=GAAP","Sort=A","Dates=H","DateFormat=P","Fill=—","Direction=H","UseDPDF=Y")</f>
        <v>162.6</v>
      </c>
      <c r="Z23" s="19">
        <v>112.71899999999999</v>
      </c>
      <c r="AA23" s="19">
        <v>130.94399999999999</v>
      </c>
    </row>
    <row r="24" spans="1:27" x14ac:dyDescent="0.25">
      <c r="A24" s="10" t="s">
        <v>358</v>
      </c>
      <c r="B24" s="10" t="s">
        <v>359</v>
      </c>
      <c r="C24" s="13">
        <f>_xll.BDH("NBIX US Equity","IS_INC_TAX_EXP","FQ2 2019","FQ2 2019","Currency=USD","Period=FQ","BEST_FPERIOD_OVERRIDE=FQ","FILING_STATUS=MR","SCALING_FORMAT=MLN","FA_ADJUSTED=GAAP","Sort=A","Dates=H","DateFormat=P","Fill=—","Direction=H","UseDPDF=Y")</f>
        <v>0.753</v>
      </c>
      <c r="D24" s="13">
        <f>_xll.BDH("NBIX US Equity","IS_INC_TAX_EXP","FQ3 2019","FQ3 2019","Currency=USD","Period=FQ","BEST_FPERIOD_OVERRIDE=FQ","FILING_STATUS=MR","SCALING_FORMAT=MLN","FA_ADJUSTED=GAAP","Sort=A","Dates=H","DateFormat=P","Fill=—","Direction=H","UseDPDF=Y")</f>
        <v>4.6180000000000003</v>
      </c>
      <c r="E24" s="13">
        <f>_xll.BDH("NBIX US Equity","IS_INC_TAX_EXP","FQ4 2019","FQ4 2019","Currency=USD","Period=FQ","BEST_FPERIOD_OVERRIDE=FQ","FILING_STATUS=MR","SCALING_FORMAT=MLN","FA_ADJUSTED=GAAP","Sort=A","Dates=H","DateFormat=P","Fill=—","Direction=H","UseDPDF=Y")</f>
        <v>4.5999999999999996</v>
      </c>
      <c r="F24" s="13">
        <f>_xll.BDH("NBIX US Equity","IS_INC_TAX_EXP","FQ1 2020","FQ1 2020","Currency=USD","Period=FQ","BEST_FPERIOD_OVERRIDE=FQ","FILING_STATUS=MR","SCALING_FORMAT=MLN","FA_ADJUSTED=GAAP","Sort=A","Dates=H","DateFormat=P","Fill=—","Direction=H","UseDPDF=Y")</f>
        <v>1.5</v>
      </c>
      <c r="G24" s="13">
        <f>_xll.BDH("NBIX US Equity","IS_INC_TAX_EXP","FQ2 2020","FQ2 2020","Currency=USD","Period=FQ","BEST_FPERIOD_OVERRIDE=FQ","FILING_STATUS=MR","SCALING_FORMAT=MLN","FA_ADJUSTED=GAAP","Sort=A","Dates=H","DateFormat=P","Fill=—","Direction=H","UseDPDF=Y")</f>
        <v>3.6</v>
      </c>
      <c r="H24" s="13">
        <f>_xll.BDH("NBIX US Equity","IS_INC_TAX_EXP","FQ3 2020","FQ3 2020","Currency=USD","Period=FQ","BEST_FPERIOD_OVERRIDE=FQ","FILING_STATUS=MR","SCALING_FORMAT=MLN","FA_ADJUSTED=GAAP","Sort=A","Dates=H","DateFormat=P","Fill=—","Direction=H","UseDPDF=Y")</f>
        <v>0.5</v>
      </c>
      <c r="I24" s="13">
        <f>_xll.BDH("NBIX US Equity","IS_INC_TAX_EXP","FQ4 2020","FQ4 2020","Currency=USD","Period=FQ","BEST_FPERIOD_OVERRIDE=FQ","FILING_STATUS=MR","SCALING_FORMAT=MLN","FA_ADJUSTED=GAAP","Sort=A","Dates=H","DateFormat=P","Fill=—","Direction=H","UseDPDF=Y")</f>
        <v>-306.2</v>
      </c>
      <c r="J24" s="13">
        <f>_xll.BDH("NBIX US Equity","IS_INC_TAX_EXP","FQ1 2021","FQ1 2021","Currency=USD","Period=FQ","BEST_FPERIOD_OVERRIDE=FQ","FILING_STATUS=MR","SCALING_FORMAT=MLN","FA_ADJUSTED=GAAP","Sort=A","Dates=H","DateFormat=P","Fill=—","Direction=H","UseDPDF=Y")</f>
        <v>-4.9000000000000004</v>
      </c>
      <c r="K24" s="13">
        <f>_xll.BDH("NBIX US Equity","IS_INC_TAX_EXP","FQ2 2021","FQ2 2021","Currency=USD","Period=FQ","BEST_FPERIOD_OVERRIDE=FQ","FILING_STATUS=MR","SCALING_FORMAT=MLN","FA_ADJUSTED=GAAP","Sort=A","Dates=H","DateFormat=P","Fill=—","Direction=H","UseDPDF=Y")</f>
        <v>15.2</v>
      </c>
      <c r="L24" s="13">
        <f>_xll.BDH("NBIX US Equity","IS_INC_TAX_EXP","FQ3 2021","FQ3 2021","Currency=USD","Period=FQ","BEST_FPERIOD_OVERRIDE=FQ","FILING_STATUS=MR","SCALING_FORMAT=MLN","FA_ADJUSTED=GAAP","Sort=A","Dates=H","DateFormat=P","Fill=—","Direction=H","UseDPDF=Y")</f>
        <v>8</v>
      </c>
      <c r="M24" s="13">
        <f>_xll.BDH("NBIX US Equity","IS_INC_TAX_EXP","FQ4 2021","FQ4 2021","Currency=USD","Period=FQ","BEST_FPERIOD_OVERRIDE=FQ","FILING_STATUS=MR","SCALING_FORMAT=MLN","FA_ADJUSTED=GAAP","Sort=A","Dates=H","DateFormat=P","Fill=—","Direction=H","UseDPDF=Y")</f>
        <v>-6.5</v>
      </c>
      <c r="N24" s="13">
        <f>_xll.BDH("NBIX US Equity","IS_INC_TAX_EXP","FQ1 2022","FQ1 2022","Currency=USD","Period=FQ","BEST_FPERIOD_OVERRIDE=FQ","FILING_STATUS=MR","SCALING_FORMAT=MLN","FA_ADJUSTED=GAAP","Sort=A","Dates=H","DateFormat=P","Fill=—","Direction=H","UseDPDF=Y")</f>
        <v>7.5</v>
      </c>
      <c r="O24" s="13">
        <f>_xll.BDH("NBIX US Equity","IS_INC_TAX_EXP","FQ2 2022","FQ2 2022","Currency=USD","Period=FQ","BEST_FPERIOD_OVERRIDE=FQ","FILING_STATUS=MR","SCALING_FORMAT=MLN","FA_ADJUSTED=GAAP","Sort=A","Dates=H","DateFormat=P","Fill=—","Direction=H","UseDPDF=Y")</f>
        <v>-6.4</v>
      </c>
      <c r="P24" s="13">
        <f>_xll.BDH("NBIX US Equity","IS_INC_TAX_EXP","FQ3 2022","FQ3 2022","Currency=USD","Period=FQ","BEST_FPERIOD_OVERRIDE=FQ","FILING_STATUS=MR","SCALING_FORMAT=MLN","FA_ADJUSTED=GAAP","Sort=A","Dates=H","DateFormat=P","Fill=—","Direction=H","UseDPDF=Y")</f>
        <v>29.4</v>
      </c>
      <c r="Q24" s="13">
        <f>_xll.BDH("NBIX US Equity","IS_INC_TAX_EXP","FQ4 2022","FQ4 2022","Currency=USD","Period=FQ","BEST_FPERIOD_OVERRIDE=FQ","FILING_STATUS=MR","SCALING_FORMAT=MLN","FA_ADJUSTED=GAAP","Sort=A","Dates=H","DateFormat=P","Fill=—","Direction=H","UseDPDF=Y")</f>
        <v>28.9</v>
      </c>
      <c r="R24" s="13">
        <f>_xll.BDH("NBIX US Equity","IS_INC_TAX_EXP","FQ1 2023","FQ1 2023","Currency=USD","Period=FQ","BEST_FPERIOD_OVERRIDE=FQ","FILING_STATUS=MR","SCALING_FORMAT=MLN","FA_ADJUSTED=GAAP","Sort=A","Dates=H","DateFormat=P","Fill=—","Direction=H","UseDPDF=Y")</f>
        <v>-26.7</v>
      </c>
      <c r="S24" s="13">
        <f>_xll.BDH("NBIX US Equity","IS_INC_TAX_EXP","FQ2 2023","FQ2 2023","Currency=USD","Period=FQ","BEST_FPERIOD_OVERRIDE=FQ","FILING_STATUS=MR","SCALING_FORMAT=MLN","FA_ADJUSTED=GAAP","Sort=A","Dates=H","DateFormat=P","Fill=—","Direction=H","UseDPDF=Y")</f>
        <v>26.1</v>
      </c>
      <c r="T24" s="13">
        <f>_xll.BDH("NBIX US Equity","IS_INC_TAX_EXP","FQ3 2023","FQ3 2023","Currency=USD","Period=FQ","BEST_FPERIOD_OVERRIDE=FQ","FILING_STATUS=MR","SCALING_FORMAT=MLN","FA_ADJUSTED=GAAP","Sort=A","Dates=H","DateFormat=P","Fill=—","Direction=H","UseDPDF=Y")</f>
        <v>32.5</v>
      </c>
      <c r="U24" s="13">
        <f>_xll.BDH("NBIX US Equity","IS_INC_TAX_EXP","FQ4 2023","FQ4 2023","Currency=USD","Period=FQ","BEST_FPERIOD_OVERRIDE=FQ","FILING_STATUS=MR","SCALING_FORMAT=MLN","FA_ADJUSTED=GAAP","Sort=A","Dates=H","DateFormat=P","Fill=—","Direction=H","UseDPDF=Y")</f>
        <v>50.5</v>
      </c>
      <c r="V24" s="13">
        <f>_xll.BDH("NBIX US Equity","IS_INC_TAX_EXP","FQ1 2024","FQ1 2024","Currency=USD","Period=FQ","BEST_FPERIOD_OVERRIDE=FQ","FILING_STATUS=MR","SCALING_FORMAT=MLN","FA_ADJUSTED=GAAP","Sort=A","Dates=H","DateFormat=P","Fill=—","Direction=H","UseDPDF=Y")</f>
        <v>-8.9</v>
      </c>
      <c r="W24" s="13">
        <f>_xll.BDH("NBIX US Equity","IS_INC_TAX_EXP","FQ2 2024","FQ2 2024","Currency=USD","Period=FQ","BEST_FPERIOD_OVERRIDE=FQ","FILING_STATUS=MR","SCALING_FORMAT=MLN","FA_ADJUSTED=GAAP","Sort=A","Dates=H","DateFormat=P","Fill=—","Direction=H","UseDPDF=Y")</f>
        <v>33.6</v>
      </c>
      <c r="X24" s="13">
        <f>_xll.BDH("NBIX US Equity","IS_INC_TAX_EXP","FQ3 2024","FQ3 2024","Currency=USD","Period=FQ","BEST_FPERIOD_OVERRIDE=FQ","FILING_STATUS=MR","SCALING_FORMAT=MLN","FA_ADJUSTED=GAAP","Sort=A","Dates=H","DateFormat=P","Fill=—","Direction=H","UseDPDF=Y")</f>
        <v>60.5</v>
      </c>
      <c r="Y24" s="13">
        <f>_xll.BDH("NBIX US Equity","IS_INC_TAX_EXP","FQ4 2024","FQ4 2024","Currency=USD","Period=FQ","BEST_FPERIOD_OVERRIDE=FQ","FILING_STATUS=MR","SCALING_FORMAT=MLN","FA_ADJUSTED=GAAP","Sort=A","Dates=H","DateFormat=P","Fill=—","Direction=H","UseDPDF=Y")</f>
        <v>59.5</v>
      </c>
      <c r="Z24" s="13"/>
      <c r="AA24" s="13"/>
    </row>
    <row r="25" spans="1:27" x14ac:dyDescent="0.25">
      <c r="A25" s="10" t="s">
        <v>360</v>
      </c>
      <c r="B25" s="10" t="s">
        <v>361</v>
      </c>
      <c r="C25" s="13" t="str">
        <f>_xll.BDH("NBIX US Equity","IS_CURRENT_INCOME_TAX_BENEFIT","FQ2 2019","FQ2 2019","Currency=USD","Period=FQ","BEST_FPERIOD_OVERRIDE=FQ","FILING_STATUS=MR","SCALING_FORMAT=MLN","Sort=A","Dates=H","DateFormat=P","Fill=—","Direction=H","UseDPDF=Y")</f>
        <v>—</v>
      </c>
      <c r="D25" s="13" t="str">
        <f>_xll.BDH("NBIX US Equity","IS_CURRENT_INCOME_TAX_BENEFIT","FQ3 2019","FQ3 2019","Currency=USD","Period=FQ","BEST_FPERIOD_OVERRIDE=FQ","FILING_STATUS=MR","SCALING_FORMAT=MLN","Sort=A","Dates=H","DateFormat=P","Fill=—","Direction=H","UseDPDF=Y")</f>
        <v>—</v>
      </c>
      <c r="E25" s="13" t="str">
        <f>_xll.BDH("NBIX US Equity","IS_CURRENT_INCOME_TAX_BENEFIT","FQ4 2019","FQ4 2019","Currency=USD","Period=FQ","BEST_FPERIOD_OVERRIDE=FQ","FILING_STATUS=MR","SCALING_FORMAT=MLN","Sort=A","Dates=H","DateFormat=P","Fill=—","Direction=H","UseDPDF=Y")</f>
        <v>—</v>
      </c>
      <c r="F25" s="13" t="str">
        <f>_xll.BDH("NBIX US Equity","IS_CURRENT_INCOME_TAX_BENEFIT","FQ1 2020","FQ1 2020","Currency=USD","Period=FQ","BEST_FPERIOD_OVERRIDE=FQ","FILING_STATUS=MR","SCALING_FORMAT=MLN","Sort=A","Dates=H","DateFormat=P","Fill=—","Direction=H","UseDPDF=Y")</f>
        <v>—</v>
      </c>
      <c r="G25" s="13" t="str">
        <f>_xll.BDH("NBIX US Equity","IS_CURRENT_INCOME_TAX_BENEFIT","FQ2 2020","FQ2 2020","Currency=USD","Period=FQ","BEST_FPERIOD_OVERRIDE=FQ","FILING_STATUS=MR","SCALING_FORMAT=MLN","Sort=A","Dates=H","DateFormat=P","Fill=—","Direction=H","UseDPDF=Y")</f>
        <v>—</v>
      </c>
      <c r="H25" s="13" t="str">
        <f>_xll.BDH("NBIX US Equity","IS_CURRENT_INCOME_TAX_BENEFIT","FQ3 2020","FQ3 2020","Currency=USD","Period=FQ","BEST_FPERIOD_OVERRIDE=FQ","FILING_STATUS=MR","SCALING_FORMAT=MLN","Sort=A","Dates=H","DateFormat=P","Fill=—","Direction=H","UseDPDF=Y")</f>
        <v>—</v>
      </c>
      <c r="I25" s="13" t="str">
        <f>_xll.BDH("NBIX US Equity","IS_CURRENT_INCOME_TAX_BENEFIT","FQ4 2020","FQ4 2020","Currency=USD","Period=FQ","BEST_FPERIOD_OVERRIDE=FQ","FILING_STATUS=MR","SCALING_FORMAT=MLN","Sort=A","Dates=H","DateFormat=P","Fill=—","Direction=H","UseDPDF=Y")</f>
        <v>—</v>
      </c>
      <c r="J25" s="13" t="str">
        <f>_xll.BDH("NBIX US Equity","IS_CURRENT_INCOME_TAX_BENEFIT","FQ1 2021","FQ1 2021","Currency=USD","Period=FQ","BEST_FPERIOD_OVERRIDE=FQ","FILING_STATUS=MR","SCALING_FORMAT=MLN","Sort=A","Dates=H","DateFormat=P","Fill=—","Direction=H","UseDPDF=Y")</f>
        <v>—</v>
      </c>
      <c r="K25" s="13" t="str">
        <f>_xll.BDH("NBIX US Equity","IS_CURRENT_INCOME_TAX_BENEFIT","FQ2 2021","FQ2 2021","Currency=USD","Period=FQ","BEST_FPERIOD_OVERRIDE=FQ","FILING_STATUS=MR","SCALING_FORMAT=MLN","Sort=A","Dates=H","DateFormat=P","Fill=—","Direction=H","UseDPDF=Y")</f>
        <v>—</v>
      </c>
      <c r="L25" s="13" t="str">
        <f>_xll.BDH("NBIX US Equity","IS_CURRENT_INCOME_TAX_BENEFIT","FQ3 2021","FQ3 2021","Currency=USD","Period=FQ","BEST_FPERIOD_OVERRIDE=FQ","FILING_STATUS=MR","SCALING_FORMAT=MLN","Sort=A","Dates=H","DateFormat=P","Fill=—","Direction=H","UseDPDF=Y")</f>
        <v>—</v>
      </c>
      <c r="M25" s="13" t="str">
        <f>_xll.BDH("NBIX US Equity","IS_CURRENT_INCOME_TAX_BENEFIT","FQ4 2021","FQ4 2021","Currency=USD","Period=FQ","BEST_FPERIOD_OVERRIDE=FQ","FILING_STATUS=MR","SCALING_FORMAT=MLN","Sort=A","Dates=H","DateFormat=P","Fill=—","Direction=H","UseDPDF=Y")</f>
        <v>—</v>
      </c>
      <c r="N25" s="13" t="str">
        <f>_xll.BDH("NBIX US Equity","IS_CURRENT_INCOME_TAX_BENEFIT","FQ1 2022","FQ1 2022","Currency=USD","Period=FQ","BEST_FPERIOD_OVERRIDE=FQ","FILING_STATUS=MR","SCALING_FORMAT=MLN","Sort=A","Dates=H","DateFormat=P","Fill=—","Direction=H","UseDPDF=Y")</f>
        <v>—</v>
      </c>
      <c r="O25" s="13" t="str">
        <f>_xll.BDH("NBIX US Equity","IS_CURRENT_INCOME_TAX_BENEFIT","FQ2 2022","FQ2 2022","Currency=USD","Period=FQ","BEST_FPERIOD_OVERRIDE=FQ","FILING_STATUS=MR","SCALING_FORMAT=MLN","Sort=A","Dates=H","DateFormat=P","Fill=—","Direction=H","UseDPDF=Y")</f>
        <v>—</v>
      </c>
      <c r="P25" s="13" t="str">
        <f>_xll.BDH("NBIX US Equity","IS_CURRENT_INCOME_TAX_BENEFIT","FQ3 2022","FQ3 2022","Currency=USD","Period=FQ","BEST_FPERIOD_OVERRIDE=FQ","FILING_STATUS=MR","SCALING_FORMAT=MLN","Sort=A","Dates=H","DateFormat=P","Fill=—","Direction=H","UseDPDF=Y")</f>
        <v>—</v>
      </c>
      <c r="Q25" s="13" t="str">
        <f>_xll.BDH("NBIX US Equity","IS_CURRENT_INCOME_TAX_BENEFIT","FQ4 2022","FQ4 2022","Currency=USD","Period=FQ","BEST_FPERIOD_OVERRIDE=FQ","FILING_STATUS=MR","SCALING_FORMAT=MLN","Sort=A","Dates=H","DateFormat=P","Fill=—","Direction=H","UseDPDF=Y")</f>
        <v>—</v>
      </c>
      <c r="R25" s="13" t="str">
        <f>_xll.BDH("NBIX US Equity","IS_CURRENT_INCOME_TAX_BENEFIT","FQ1 2023","FQ1 2023","Currency=USD","Period=FQ","BEST_FPERIOD_OVERRIDE=FQ","FILING_STATUS=MR","SCALING_FORMAT=MLN","Sort=A","Dates=H","DateFormat=P","Fill=—","Direction=H","UseDPDF=Y")</f>
        <v>—</v>
      </c>
      <c r="S25" s="13" t="str">
        <f>_xll.BDH("NBIX US Equity","IS_CURRENT_INCOME_TAX_BENEFIT","FQ2 2023","FQ2 2023","Currency=USD","Period=FQ","BEST_FPERIOD_OVERRIDE=FQ","FILING_STATUS=MR","SCALING_FORMAT=MLN","Sort=A","Dates=H","DateFormat=P","Fill=—","Direction=H","UseDPDF=Y")</f>
        <v>—</v>
      </c>
      <c r="T25" s="13" t="str">
        <f>_xll.BDH("NBIX US Equity","IS_CURRENT_INCOME_TAX_BENEFIT","FQ3 2023","FQ3 2023","Currency=USD","Period=FQ","BEST_FPERIOD_OVERRIDE=FQ","FILING_STATUS=MR","SCALING_FORMAT=MLN","Sort=A","Dates=H","DateFormat=P","Fill=—","Direction=H","UseDPDF=Y")</f>
        <v>—</v>
      </c>
      <c r="U25" s="13" t="str">
        <f>_xll.BDH("NBIX US Equity","IS_CURRENT_INCOME_TAX_BENEFIT","FQ4 2023","FQ4 2023","Currency=USD","Period=FQ","BEST_FPERIOD_OVERRIDE=FQ","FILING_STATUS=MR","SCALING_FORMAT=MLN","Sort=A","Dates=H","DateFormat=P","Fill=—","Direction=H","UseDPDF=Y")</f>
        <v>—</v>
      </c>
      <c r="V25" s="13" t="str">
        <f>_xll.BDH("NBIX US Equity","IS_CURRENT_INCOME_TAX_BENEFIT","FQ1 2024","FQ1 2024","Currency=USD","Period=FQ","BEST_FPERIOD_OVERRIDE=FQ","FILING_STATUS=MR","SCALING_FORMAT=MLN","Sort=A","Dates=H","DateFormat=P","Fill=—","Direction=H","UseDPDF=Y")</f>
        <v>—</v>
      </c>
      <c r="W25" s="13" t="str">
        <f>_xll.BDH("NBIX US Equity","IS_CURRENT_INCOME_TAX_BENEFIT","FQ2 2024","FQ2 2024","Currency=USD","Period=FQ","BEST_FPERIOD_OVERRIDE=FQ","FILING_STATUS=MR","SCALING_FORMAT=MLN","Sort=A","Dates=H","DateFormat=P","Fill=—","Direction=H","UseDPDF=Y")</f>
        <v>—</v>
      </c>
      <c r="X25" s="13" t="str">
        <f>_xll.BDH("NBIX US Equity","IS_CURRENT_INCOME_TAX_BENEFIT","FQ3 2024","FQ3 2024","Currency=USD","Period=FQ","BEST_FPERIOD_OVERRIDE=FQ","FILING_STATUS=MR","SCALING_FORMAT=MLN","Sort=A","Dates=H","DateFormat=P","Fill=—","Direction=H","UseDPDF=Y")</f>
        <v>—</v>
      </c>
      <c r="Y25" s="13" t="str">
        <f>_xll.BDH("NBIX US Equity","IS_CURRENT_INCOME_TAX_BENEFIT","FQ4 2024","FQ4 2024","Currency=USD","Period=FQ","BEST_FPERIOD_OVERRIDE=FQ","FILING_STATUS=MR","SCALING_FORMAT=MLN","Sort=A","Dates=H","DateFormat=P","Fill=—","Direction=H","UseDPDF=Y")</f>
        <v>—</v>
      </c>
      <c r="Z25" s="13"/>
      <c r="AA25" s="13"/>
    </row>
    <row r="26" spans="1:27" x14ac:dyDescent="0.25">
      <c r="A26" s="10" t="s">
        <v>362</v>
      </c>
      <c r="B26" s="10" t="s">
        <v>363</v>
      </c>
      <c r="C26" s="13" t="str">
        <f>_xll.BDH("NBIX US Equity","IS_DEFERRED_INCOME_TAX_BENEFIT","FQ2 2019","FQ2 2019","Currency=USD","Period=FQ","BEST_FPERIOD_OVERRIDE=FQ","FILING_STATUS=MR","SCALING_FORMAT=MLN","Sort=A","Dates=H","DateFormat=P","Fill=—","Direction=H","UseDPDF=Y")</f>
        <v>—</v>
      </c>
      <c r="D26" s="13" t="str">
        <f>_xll.BDH("NBIX US Equity","IS_DEFERRED_INCOME_TAX_BENEFIT","FQ3 2019","FQ3 2019","Currency=USD","Period=FQ","BEST_FPERIOD_OVERRIDE=FQ","FILING_STATUS=MR","SCALING_FORMAT=MLN","Sort=A","Dates=H","DateFormat=P","Fill=—","Direction=H","UseDPDF=Y")</f>
        <v>—</v>
      </c>
      <c r="E26" s="13" t="str">
        <f>_xll.BDH("NBIX US Equity","IS_DEFERRED_INCOME_TAX_BENEFIT","FQ4 2019","FQ4 2019","Currency=USD","Period=FQ","BEST_FPERIOD_OVERRIDE=FQ","FILING_STATUS=MR","SCALING_FORMAT=MLN","Sort=A","Dates=H","DateFormat=P","Fill=—","Direction=H","UseDPDF=Y")</f>
        <v>—</v>
      </c>
      <c r="F26" s="13" t="str">
        <f>_xll.BDH("NBIX US Equity","IS_DEFERRED_INCOME_TAX_BENEFIT","FQ1 2020","FQ1 2020","Currency=USD","Period=FQ","BEST_FPERIOD_OVERRIDE=FQ","FILING_STATUS=MR","SCALING_FORMAT=MLN","Sort=A","Dates=H","DateFormat=P","Fill=—","Direction=H","UseDPDF=Y")</f>
        <v>—</v>
      </c>
      <c r="G26" s="13" t="str">
        <f>_xll.BDH("NBIX US Equity","IS_DEFERRED_INCOME_TAX_BENEFIT","FQ2 2020","FQ2 2020","Currency=USD","Period=FQ","BEST_FPERIOD_OVERRIDE=FQ","FILING_STATUS=MR","SCALING_FORMAT=MLN","Sort=A","Dates=H","DateFormat=P","Fill=—","Direction=H","UseDPDF=Y")</f>
        <v>—</v>
      </c>
      <c r="H26" s="13" t="str">
        <f>_xll.BDH("NBIX US Equity","IS_DEFERRED_INCOME_TAX_BENEFIT","FQ3 2020","FQ3 2020","Currency=USD","Period=FQ","BEST_FPERIOD_OVERRIDE=FQ","FILING_STATUS=MR","SCALING_FORMAT=MLN","Sort=A","Dates=H","DateFormat=P","Fill=—","Direction=H","UseDPDF=Y")</f>
        <v>—</v>
      </c>
      <c r="I26" s="13" t="str">
        <f>_xll.BDH("NBIX US Equity","IS_DEFERRED_INCOME_TAX_BENEFIT","FQ4 2020","FQ4 2020","Currency=USD","Period=FQ","BEST_FPERIOD_OVERRIDE=FQ","FILING_STATUS=MR","SCALING_FORMAT=MLN","Sort=A","Dates=H","DateFormat=P","Fill=—","Direction=H","UseDPDF=Y")</f>
        <v>—</v>
      </c>
      <c r="J26" s="13" t="str">
        <f>_xll.BDH("NBIX US Equity","IS_DEFERRED_INCOME_TAX_BENEFIT","FQ1 2021","FQ1 2021","Currency=USD","Period=FQ","BEST_FPERIOD_OVERRIDE=FQ","FILING_STATUS=MR","SCALING_FORMAT=MLN","Sort=A","Dates=H","DateFormat=P","Fill=—","Direction=H","UseDPDF=Y")</f>
        <v>—</v>
      </c>
      <c r="K26" s="13" t="str">
        <f>_xll.BDH("NBIX US Equity","IS_DEFERRED_INCOME_TAX_BENEFIT","FQ2 2021","FQ2 2021","Currency=USD","Period=FQ","BEST_FPERIOD_OVERRIDE=FQ","FILING_STATUS=MR","SCALING_FORMAT=MLN","Sort=A","Dates=H","DateFormat=P","Fill=—","Direction=H","UseDPDF=Y")</f>
        <v>—</v>
      </c>
      <c r="L26" s="13" t="str">
        <f>_xll.BDH("NBIX US Equity","IS_DEFERRED_INCOME_TAX_BENEFIT","FQ3 2021","FQ3 2021","Currency=USD","Period=FQ","BEST_FPERIOD_OVERRIDE=FQ","FILING_STATUS=MR","SCALING_FORMAT=MLN","Sort=A","Dates=H","DateFormat=P","Fill=—","Direction=H","UseDPDF=Y")</f>
        <v>—</v>
      </c>
      <c r="M26" s="13" t="str">
        <f>_xll.BDH("NBIX US Equity","IS_DEFERRED_INCOME_TAX_BENEFIT","FQ4 2021","FQ4 2021","Currency=USD","Period=FQ","BEST_FPERIOD_OVERRIDE=FQ","FILING_STATUS=MR","SCALING_FORMAT=MLN","Sort=A","Dates=H","DateFormat=P","Fill=—","Direction=H","UseDPDF=Y")</f>
        <v>—</v>
      </c>
      <c r="N26" s="13" t="str">
        <f>_xll.BDH("NBIX US Equity","IS_DEFERRED_INCOME_TAX_BENEFIT","FQ1 2022","FQ1 2022","Currency=USD","Period=FQ","BEST_FPERIOD_OVERRIDE=FQ","FILING_STATUS=MR","SCALING_FORMAT=MLN","Sort=A","Dates=H","DateFormat=P","Fill=—","Direction=H","UseDPDF=Y")</f>
        <v>—</v>
      </c>
      <c r="O26" s="13" t="str">
        <f>_xll.BDH("NBIX US Equity","IS_DEFERRED_INCOME_TAX_BENEFIT","FQ2 2022","FQ2 2022","Currency=USD","Period=FQ","BEST_FPERIOD_OVERRIDE=FQ","FILING_STATUS=MR","SCALING_FORMAT=MLN","Sort=A","Dates=H","DateFormat=P","Fill=—","Direction=H","UseDPDF=Y")</f>
        <v>—</v>
      </c>
      <c r="P26" s="13" t="str">
        <f>_xll.BDH("NBIX US Equity","IS_DEFERRED_INCOME_TAX_BENEFIT","FQ3 2022","FQ3 2022","Currency=USD","Period=FQ","BEST_FPERIOD_OVERRIDE=FQ","FILING_STATUS=MR","SCALING_FORMAT=MLN","Sort=A","Dates=H","DateFormat=P","Fill=—","Direction=H","UseDPDF=Y")</f>
        <v>—</v>
      </c>
      <c r="Q26" s="13" t="str">
        <f>_xll.BDH("NBIX US Equity","IS_DEFERRED_INCOME_TAX_BENEFIT","FQ4 2022","FQ4 2022","Currency=USD","Period=FQ","BEST_FPERIOD_OVERRIDE=FQ","FILING_STATUS=MR","SCALING_FORMAT=MLN","Sort=A","Dates=H","DateFormat=P","Fill=—","Direction=H","UseDPDF=Y")</f>
        <v>—</v>
      </c>
      <c r="R26" s="13" t="str">
        <f>_xll.BDH("NBIX US Equity","IS_DEFERRED_INCOME_TAX_BENEFIT","FQ1 2023","FQ1 2023","Currency=USD","Period=FQ","BEST_FPERIOD_OVERRIDE=FQ","FILING_STATUS=MR","SCALING_FORMAT=MLN","Sort=A","Dates=H","DateFormat=P","Fill=—","Direction=H","UseDPDF=Y")</f>
        <v>—</v>
      </c>
      <c r="S26" s="13" t="str">
        <f>_xll.BDH("NBIX US Equity","IS_DEFERRED_INCOME_TAX_BENEFIT","FQ2 2023","FQ2 2023","Currency=USD","Period=FQ","BEST_FPERIOD_OVERRIDE=FQ","FILING_STATUS=MR","SCALING_FORMAT=MLN","Sort=A","Dates=H","DateFormat=P","Fill=—","Direction=H","UseDPDF=Y")</f>
        <v>—</v>
      </c>
      <c r="T26" s="13" t="str">
        <f>_xll.BDH("NBIX US Equity","IS_DEFERRED_INCOME_TAX_BENEFIT","FQ3 2023","FQ3 2023","Currency=USD","Period=FQ","BEST_FPERIOD_OVERRIDE=FQ","FILING_STATUS=MR","SCALING_FORMAT=MLN","Sort=A","Dates=H","DateFormat=P","Fill=—","Direction=H","UseDPDF=Y")</f>
        <v>—</v>
      </c>
      <c r="U26" s="13" t="str">
        <f>_xll.BDH("NBIX US Equity","IS_DEFERRED_INCOME_TAX_BENEFIT","FQ4 2023","FQ4 2023","Currency=USD","Period=FQ","BEST_FPERIOD_OVERRIDE=FQ","FILING_STATUS=MR","SCALING_FORMAT=MLN","Sort=A","Dates=H","DateFormat=P","Fill=—","Direction=H","UseDPDF=Y")</f>
        <v>—</v>
      </c>
      <c r="V26" s="13" t="str">
        <f>_xll.BDH("NBIX US Equity","IS_DEFERRED_INCOME_TAX_BENEFIT","FQ1 2024","FQ1 2024","Currency=USD","Period=FQ","BEST_FPERIOD_OVERRIDE=FQ","FILING_STATUS=MR","SCALING_FORMAT=MLN","Sort=A","Dates=H","DateFormat=P","Fill=—","Direction=H","UseDPDF=Y")</f>
        <v>—</v>
      </c>
      <c r="W26" s="13" t="str">
        <f>_xll.BDH("NBIX US Equity","IS_DEFERRED_INCOME_TAX_BENEFIT","FQ2 2024","FQ2 2024","Currency=USD","Period=FQ","BEST_FPERIOD_OVERRIDE=FQ","FILING_STATUS=MR","SCALING_FORMAT=MLN","Sort=A","Dates=H","DateFormat=P","Fill=—","Direction=H","UseDPDF=Y")</f>
        <v>—</v>
      </c>
      <c r="X26" s="13" t="str">
        <f>_xll.BDH("NBIX US Equity","IS_DEFERRED_INCOME_TAX_BENEFIT","FQ3 2024","FQ3 2024","Currency=USD","Period=FQ","BEST_FPERIOD_OVERRIDE=FQ","FILING_STATUS=MR","SCALING_FORMAT=MLN","Sort=A","Dates=H","DateFormat=P","Fill=—","Direction=H","UseDPDF=Y")</f>
        <v>—</v>
      </c>
      <c r="Y26" s="13" t="str">
        <f>_xll.BDH("NBIX US Equity","IS_DEFERRED_INCOME_TAX_BENEFIT","FQ4 2024","FQ4 2024","Currency=USD","Period=FQ","BEST_FPERIOD_OVERRIDE=FQ","FILING_STATUS=MR","SCALING_FORMAT=MLN","Sort=A","Dates=H","DateFormat=P","Fill=—","Direction=H","UseDPDF=Y")</f>
        <v>—</v>
      </c>
      <c r="Z26" s="13"/>
      <c r="AA26" s="13"/>
    </row>
    <row r="27" spans="1:27" x14ac:dyDescent="0.25">
      <c r="A27" s="6" t="s">
        <v>364</v>
      </c>
      <c r="B27" s="6" t="s">
        <v>365</v>
      </c>
      <c r="C27" s="19">
        <f>_xll.BDH("NBIX US Equity","IS_INC_BEF_XO_ITEM","FQ2 2019","FQ2 2019","Currency=USD","Period=FQ","BEST_FPERIOD_OVERRIDE=FQ","FILING_STATUS=MR","SCALING_FORMAT=MLN","Sort=A","Dates=H","DateFormat=P","Fill=—","Direction=H","UseDPDF=Y")</f>
        <v>51.338000000000001</v>
      </c>
      <c r="D27" s="19">
        <f>_xll.BDH("NBIX US Equity","IS_INC_BEF_XO_ITEM","FQ3 2019","FQ3 2019","Currency=USD","Period=FQ","BEST_FPERIOD_OVERRIDE=FQ","FILING_STATUS=MR","SCALING_FORMAT=MLN","Sort=A","Dates=H","DateFormat=P","Fill=—","Direction=H","UseDPDF=Y")</f>
        <v>53.789000000000001</v>
      </c>
      <c r="E27" s="19">
        <f>_xll.BDH("NBIX US Equity","IS_INC_BEF_XO_ITEM","FQ4 2019","FQ4 2019","Currency=USD","Period=FQ","BEST_FPERIOD_OVERRIDE=FQ","FILING_STATUS=MR","SCALING_FORMAT=MLN","Sort=A","Dates=H","DateFormat=P","Fill=—","Direction=H","UseDPDF=Y")</f>
        <v>34</v>
      </c>
      <c r="F27" s="19">
        <f>_xll.BDH("NBIX US Equity","IS_INC_BEF_XO_ITEM","FQ1 2020","FQ1 2020","Currency=USD","Period=FQ","BEST_FPERIOD_OVERRIDE=FQ","FILING_STATUS=MR","SCALING_FORMAT=MLN","Sort=A","Dates=H","DateFormat=P","Fill=—","Direction=H","UseDPDF=Y")</f>
        <v>37.4</v>
      </c>
      <c r="G27" s="19">
        <f>_xll.BDH("NBIX US Equity","IS_INC_BEF_XO_ITEM","FQ2 2020","FQ2 2020","Currency=USD","Period=FQ","BEST_FPERIOD_OVERRIDE=FQ","FILING_STATUS=MR","SCALING_FORMAT=MLN","Sort=A","Dates=H","DateFormat=P","Fill=—","Direction=H","UseDPDF=Y")</f>
        <v>79.599999999999994</v>
      </c>
      <c r="H27" s="19">
        <f>_xll.BDH("NBIX US Equity","IS_INC_BEF_XO_ITEM","FQ3 2020","FQ3 2020","Currency=USD","Period=FQ","BEST_FPERIOD_OVERRIDE=FQ","FILING_STATUS=MR","SCALING_FORMAT=MLN","Sort=A","Dates=H","DateFormat=P","Fill=—","Direction=H","UseDPDF=Y")</f>
        <v>-57.6</v>
      </c>
      <c r="I27" s="19">
        <f>_xll.BDH("NBIX US Equity","IS_INC_BEF_XO_ITEM","FQ4 2020","FQ4 2020","Currency=USD","Period=FQ","BEST_FPERIOD_OVERRIDE=FQ","FILING_STATUS=MR","SCALING_FORMAT=MLN","Sort=A","Dates=H","DateFormat=P","Fill=—","Direction=H","UseDPDF=Y")</f>
        <v>347.9</v>
      </c>
      <c r="J27" s="19">
        <f>_xll.BDH("NBIX US Equity","IS_INC_BEF_XO_ITEM","FQ1 2021","FQ1 2021","Currency=USD","Period=FQ","BEST_FPERIOD_OVERRIDE=FQ","FILING_STATUS=MR","SCALING_FORMAT=MLN","Sort=A","Dates=H","DateFormat=P","Fill=—","Direction=H","UseDPDF=Y")</f>
        <v>32.1</v>
      </c>
      <c r="K27" s="19">
        <f>_xll.BDH("NBIX US Equity","IS_INC_BEF_XO_ITEM","FQ2 2021","FQ2 2021","Currency=USD","Period=FQ","BEST_FPERIOD_OVERRIDE=FQ","FILING_STATUS=MR","SCALING_FORMAT=MLN","Sort=A","Dates=H","DateFormat=P","Fill=—","Direction=H","UseDPDF=Y")</f>
        <v>42.3</v>
      </c>
      <c r="L27" s="19">
        <f>_xll.BDH("NBIX US Equity","IS_INC_BEF_XO_ITEM","FQ3 2021","FQ3 2021","Currency=USD","Period=FQ","BEST_FPERIOD_OVERRIDE=FQ","FILING_STATUS=MR","SCALING_FORMAT=MLN","Sort=A","Dates=H","DateFormat=P","Fill=—","Direction=H","UseDPDF=Y")</f>
        <v>22.5</v>
      </c>
      <c r="M27" s="19">
        <f>_xll.BDH("NBIX US Equity","IS_INC_BEF_XO_ITEM","FQ4 2021","FQ4 2021","Currency=USD","Period=FQ","BEST_FPERIOD_OVERRIDE=FQ","FILING_STATUS=MR","SCALING_FORMAT=MLN","Sort=A","Dates=H","DateFormat=P","Fill=—","Direction=H","UseDPDF=Y")</f>
        <v>-7.3</v>
      </c>
      <c r="N27" s="19">
        <f>_xll.BDH("NBIX US Equity","IS_INC_BEF_XO_ITEM","FQ1 2022","FQ1 2022","Currency=USD","Period=FQ","BEST_FPERIOD_OVERRIDE=FQ","FILING_STATUS=MR","SCALING_FORMAT=MLN","Sort=A","Dates=H","DateFormat=P","Fill=—","Direction=H","UseDPDF=Y")</f>
        <v>13.9</v>
      </c>
      <c r="O27" s="19">
        <f>_xll.BDH("NBIX US Equity","IS_INC_BEF_XO_ITEM","FQ2 2022","FQ2 2022","Currency=USD","Period=FQ","BEST_FPERIOD_OVERRIDE=FQ","FILING_STATUS=MR","SCALING_FORMAT=MLN","Sort=A","Dates=H","DateFormat=P","Fill=—","Direction=H","UseDPDF=Y")</f>
        <v>-16.899999999999999</v>
      </c>
      <c r="P27" s="19">
        <f>_xll.BDH("NBIX US Equity","IS_INC_BEF_XO_ITEM","FQ3 2022","FQ3 2022","Currency=USD","Period=FQ","BEST_FPERIOD_OVERRIDE=FQ","FILING_STATUS=MR","SCALING_FORMAT=MLN","Sort=A","Dates=H","DateFormat=P","Fill=—","Direction=H","UseDPDF=Y")</f>
        <v>68.5</v>
      </c>
      <c r="Q27" s="19">
        <f>_xll.BDH("NBIX US Equity","IS_INC_BEF_XO_ITEM","FQ4 2022","FQ4 2022","Currency=USD","Period=FQ","BEST_FPERIOD_OVERRIDE=FQ","FILING_STATUS=MR","SCALING_FORMAT=MLN","Sort=A","Dates=H","DateFormat=P","Fill=—","Direction=H","UseDPDF=Y")</f>
        <v>89</v>
      </c>
      <c r="R27" s="19">
        <f>_xll.BDH("NBIX US Equity","IS_INC_BEF_XO_ITEM","FQ1 2023","FQ1 2023","Currency=USD","Period=FQ","BEST_FPERIOD_OVERRIDE=FQ","FILING_STATUS=MR","SCALING_FORMAT=MLN","Sort=A","Dates=H","DateFormat=P","Fill=—","Direction=H","UseDPDF=Y")</f>
        <v>-76.599999999999994</v>
      </c>
      <c r="S27" s="19">
        <f>_xll.BDH("NBIX US Equity","IS_INC_BEF_XO_ITEM","FQ2 2023","FQ2 2023","Currency=USD","Period=FQ","BEST_FPERIOD_OVERRIDE=FQ","FILING_STATUS=MR","SCALING_FORMAT=MLN","Sort=A","Dates=H","DateFormat=P","Fill=—","Direction=H","UseDPDF=Y")</f>
        <v>95.5</v>
      </c>
      <c r="T27" s="19">
        <f>_xll.BDH("NBIX US Equity","IS_INC_BEF_XO_ITEM","FQ3 2023","FQ3 2023","Currency=USD","Period=FQ","BEST_FPERIOD_OVERRIDE=FQ","FILING_STATUS=MR","SCALING_FORMAT=MLN","Sort=A","Dates=H","DateFormat=P","Fill=—","Direction=H","UseDPDF=Y")</f>
        <v>83.1</v>
      </c>
      <c r="U27" s="19">
        <f>_xll.BDH("NBIX US Equity","IS_INC_BEF_XO_ITEM","FQ4 2023","FQ4 2023","Currency=USD","Period=FQ","BEST_FPERIOD_OVERRIDE=FQ","FILING_STATUS=MR","SCALING_FORMAT=MLN","Sort=A","Dates=H","DateFormat=P","Fill=—","Direction=H","UseDPDF=Y")</f>
        <v>147.69999999999999</v>
      </c>
      <c r="V27" s="19">
        <f>_xll.BDH("NBIX US Equity","IS_INC_BEF_XO_ITEM","FQ1 2024","FQ1 2024","Currency=USD","Period=FQ","BEST_FPERIOD_OVERRIDE=FQ","FILING_STATUS=MR","SCALING_FORMAT=MLN","Sort=A","Dates=H","DateFormat=P","Fill=—","Direction=H","UseDPDF=Y")</f>
        <v>43.4</v>
      </c>
      <c r="W27" s="19">
        <f>_xll.BDH("NBIX US Equity","IS_INC_BEF_XO_ITEM","FQ2 2024","FQ2 2024","Currency=USD","Period=FQ","BEST_FPERIOD_OVERRIDE=FQ","FILING_STATUS=MR","SCALING_FORMAT=MLN","Sort=A","Dates=H","DateFormat=P","Fill=—","Direction=H","UseDPDF=Y")</f>
        <v>65</v>
      </c>
      <c r="X27" s="19">
        <f>_xll.BDH("NBIX US Equity","IS_INC_BEF_XO_ITEM","FQ3 2024","FQ3 2024","Currency=USD","Period=FQ","BEST_FPERIOD_OVERRIDE=FQ","FILING_STATUS=MR","SCALING_FORMAT=MLN","Sort=A","Dates=H","DateFormat=P","Fill=—","Direction=H","UseDPDF=Y")</f>
        <v>129.80000000000001</v>
      </c>
      <c r="Y27" s="19">
        <f>_xll.BDH("NBIX US Equity","IS_INC_BEF_XO_ITEM","FQ4 2024","FQ4 2024","Currency=USD","Period=FQ","BEST_FPERIOD_OVERRIDE=FQ","FILING_STATUS=MR","SCALING_FORMAT=MLN","Sort=A","Dates=H","DateFormat=P","Fill=—","Direction=H","UseDPDF=Y")</f>
        <v>103.1</v>
      </c>
      <c r="Z27" s="19">
        <v>85.611000000000004</v>
      </c>
      <c r="AA27" s="19">
        <v>97.533000000000001</v>
      </c>
    </row>
    <row r="28" spans="1:27" x14ac:dyDescent="0.25">
      <c r="A28" s="10" t="s">
        <v>366</v>
      </c>
      <c r="B28" s="10" t="s">
        <v>367</v>
      </c>
      <c r="C28" s="13">
        <f>_xll.BDH("NBIX US Equity","XO_GL_NET_OF_TAX","FQ2 2019","FQ2 2019","Currency=USD","Period=FQ","BEST_FPERIOD_OVERRIDE=FQ","FILING_STATUS=MR","SCALING_FORMAT=MLN","Sort=A","Dates=H","DateFormat=P","Fill=—","Direction=H","UseDPDF=Y")</f>
        <v>0</v>
      </c>
      <c r="D28" s="13">
        <f>_xll.BDH("NBIX US Equity","XO_GL_NET_OF_TAX","FQ3 2019","FQ3 2019","Currency=USD","Period=FQ","BEST_FPERIOD_OVERRIDE=FQ","FILING_STATUS=MR","SCALING_FORMAT=MLN","Sort=A","Dates=H","DateFormat=P","Fill=—","Direction=H","UseDPDF=Y")</f>
        <v>0</v>
      </c>
      <c r="E28" s="13">
        <f>_xll.BDH("NBIX US Equity","XO_GL_NET_OF_TAX","FQ4 2019","FQ4 2019","Currency=USD","Period=FQ","BEST_FPERIOD_OVERRIDE=FQ","FILING_STATUS=MR","SCALING_FORMAT=MLN","Sort=A","Dates=H","DateFormat=P","Fill=—","Direction=H","UseDPDF=Y")</f>
        <v>0</v>
      </c>
      <c r="F28" s="13">
        <f>_xll.BDH("NBIX US Equity","XO_GL_NET_OF_TAX","FQ1 2020","FQ1 2020","Currency=USD","Period=FQ","BEST_FPERIOD_OVERRIDE=FQ","FILING_STATUS=MR","SCALING_FORMAT=MLN","Sort=A","Dates=H","DateFormat=P","Fill=—","Direction=H","UseDPDF=Y")</f>
        <v>0</v>
      </c>
      <c r="G28" s="13">
        <f>_xll.BDH("NBIX US Equity","XO_GL_NET_OF_TAX","FQ2 2020","FQ2 2020","Currency=USD","Period=FQ","BEST_FPERIOD_OVERRIDE=FQ","FILING_STATUS=MR","SCALING_FORMAT=MLN","Sort=A","Dates=H","DateFormat=P","Fill=—","Direction=H","UseDPDF=Y")</f>
        <v>0</v>
      </c>
      <c r="H28" s="13">
        <f>_xll.BDH("NBIX US Equity","XO_GL_NET_OF_TAX","FQ3 2020","FQ3 2020","Currency=USD","Period=FQ","BEST_FPERIOD_OVERRIDE=FQ","FILING_STATUS=MR","SCALING_FORMAT=MLN","Sort=A","Dates=H","DateFormat=P","Fill=—","Direction=H","UseDPDF=Y")</f>
        <v>0</v>
      </c>
      <c r="I28" s="13">
        <f>_xll.BDH("NBIX US Equity","XO_GL_NET_OF_TAX","FQ4 2020","FQ4 2020","Currency=USD","Period=FQ","BEST_FPERIOD_OVERRIDE=FQ","FILING_STATUS=MR","SCALING_FORMAT=MLN","Sort=A","Dates=H","DateFormat=P","Fill=—","Direction=H","UseDPDF=Y")</f>
        <v>0</v>
      </c>
      <c r="J28" s="13">
        <f>_xll.BDH("NBIX US Equity","XO_GL_NET_OF_TAX","FQ1 2021","FQ1 2021","Currency=USD","Period=FQ","BEST_FPERIOD_OVERRIDE=FQ","FILING_STATUS=MR","SCALING_FORMAT=MLN","Sort=A","Dates=H","DateFormat=P","Fill=—","Direction=H","UseDPDF=Y")</f>
        <v>0</v>
      </c>
      <c r="K28" s="13">
        <f>_xll.BDH("NBIX US Equity","XO_GL_NET_OF_TAX","FQ2 2021","FQ2 2021","Currency=USD","Period=FQ","BEST_FPERIOD_OVERRIDE=FQ","FILING_STATUS=MR","SCALING_FORMAT=MLN","Sort=A","Dates=H","DateFormat=P","Fill=—","Direction=H","UseDPDF=Y")</f>
        <v>0</v>
      </c>
      <c r="L28" s="13">
        <f>_xll.BDH("NBIX US Equity","XO_GL_NET_OF_TAX","FQ3 2021","FQ3 2021","Currency=USD","Period=FQ","BEST_FPERIOD_OVERRIDE=FQ","FILING_STATUS=MR","SCALING_FORMAT=MLN","Sort=A","Dates=H","DateFormat=P","Fill=—","Direction=H","UseDPDF=Y")</f>
        <v>0</v>
      </c>
      <c r="M28" s="13">
        <f>_xll.BDH("NBIX US Equity","XO_GL_NET_OF_TAX","FQ4 2021","FQ4 2021","Currency=USD","Period=FQ","BEST_FPERIOD_OVERRIDE=FQ","FILING_STATUS=MR","SCALING_FORMAT=MLN","Sort=A","Dates=H","DateFormat=P","Fill=—","Direction=H","UseDPDF=Y")</f>
        <v>0</v>
      </c>
      <c r="N28" s="13">
        <f>_xll.BDH("NBIX US Equity","XO_GL_NET_OF_TAX","FQ1 2022","FQ1 2022","Currency=USD","Period=FQ","BEST_FPERIOD_OVERRIDE=FQ","FILING_STATUS=MR","SCALING_FORMAT=MLN","Sort=A","Dates=H","DateFormat=P","Fill=—","Direction=H","UseDPDF=Y")</f>
        <v>0</v>
      </c>
      <c r="O28" s="13">
        <f>_xll.BDH("NBIX US Equity","XO_GL_NET_OF_TAX","FQ2 2022","FQ2 2022","Currency=USD","Period=FQ","BEST_FPERIOD_OVERRIDE=FQ","FILING_STATUS=MR","SCALING_FORMAT=MLN","Sort=A","Dates=H","DateFormat=P","Fill=—","Direction=H","UseDPDF=Y")</f>
        <v>0</v>
      </c>
      <c r="P28" s="13">
        <f>_xll.BDH("NBIX US Equity","XO_GL_NET_OF_TAX","FQ3 2022","FQ3 2022","Currency=USD","Period=FQ","BEST_FPERIOD_OVERRIDE=FQ","FILING_STATUS=MR","SCALING_FORMAT=MLN","Sort=A","Dates=H","DateFormat=P","Fill=—","Direction=H","UseDPDF=Y")</f>
        <v>0</v>
      </c>
      <c r="Q28" s="13">
        <f>_xll.BDH("NBIX US Equity","XO_GL_NET_OF_TAX","FQ4 2022","FQ4 2022","Currency=USD","Period=FQ","BEST_FPERIOD_OVERRIDE=FQ","FILING_STATUS=MR","SCALING_FORMAT=MLN","Sort=A","Dates=H","DateFormat=P","Fill=—","Direction=H","UseDPDF=Y")</f>
        <v>0</v>
      </c>
      <c r="R28" s="13">
        <f>_xll.BDH("NBIX US Equity","XO_GL_NET_OF_TAX","FQ1 2023","FQ1 2023","Currency=USD","Period=FQ","BEST_FPERIOD_OVERRIDE=FQ","FILING_STATUS=MR","SCALING_FORMAT=MLN","Sort=A","Dates=H","DateFormat=P","Fill=—","Direction=H","UseDPDF=Y")</f>
        <v>0</v>
      </c>
      <c r="S28" s="13">
        <f>_xll.BDH("NBIX US Equity","XO_GL_NET_OF_TAX","FQ2 2023","FQ2 2023","Currency=USD","Period=FQ","BEST_FPERIOD_OVERRIDE=FQ","FILING_STATUS=MR","SCALING_FORMAT=MLN","Sort=A","Dates=H","DateFormat=P","Fill=—","Direction=H","UseDPDF=Y")</f>
        <v>0</v>
      </c>
      <c r="T28" s="13">
        <f>_xll.BDH("NBIX US Equity","XO_GL_NET_OF_TAX","FQ3 2023","FQ3 2023","Currency=USD","Period=FQ","BEST_FPERIOD_OVERRIDE=FQ","FILING_STATUS=MR","SCALING_FORMAT=MLN","Sort=A","Dates=H","DateFormat=P","Fill=—","Direction=H","UseDPDF=Y")</f>
        <v>0</v>
      </c>
      <c r="U28" s="13">
        <f>_xll.BDH("NBIX US Equity","XO_GL_NET_OF_TAX","FQ4 2023","FQ4 2023","Currency=USD","Period=FQ","BEST_FPERIOD_OVERRIDE=FQ","FILING_STATUS=MR","SCALING_FORMAT=MLN","Sort=A","Dates=H","DateFormat=P","Fill=—","Direction=H","UseDPDF=Y")</f>
        <v>0</v>
      </c>
      <c r="V28" s="13">
        <f>_xll.BDH("NBIX US Equity","XO_GL_NET_OF_TAX","FQ1 2024","FQ1 2024","Currency=USD","Period=FQ","BEST_FPERIOD_OVERRIDE=FQ","FILING_STATUS=MR","SCALING_FORMAT=MLN","Sort=A","Dates=H","DateFormat=P","Fill=—","Direction=H","UseDPDF=Y")</f>
        <v>0</v>
      </c>
      <c r="W28" s="13">
        <f>_xll.BDH("NBIX US Equity","XO_GL_NET_OF_TAX","FQ2 2024","FQ2 2024","Currency=USD","Period=FQ","BEST_FPERIOD_OVERRIDE=FQ","FILING_STATUS=MR","SCALING_FORMAT=MLN","Sort=A","Dates=H","DateFormat=P","Fill=—","Direction=H","UseDPDF=Y")</f>
        <v>0</v>
      </c>
      <c r="X28" s="13">
        <f>_xll.BDH("NBIX US Equity","XO_GL_NET_OF_TAX","FQ3 2024","FQ3 2024","Currency=USD","Period=FQ","BEST_FPERIOD_OVERRIDE=FQ","FILING_STATUS=MR","SCALING_FORMAT=MLN","Sort=A","Dates=H","DateFormat=P","Fill=—","Direction=H","UseDPDF=Y")</f>
        <v>0</v>
      </c>
      <c r="Y28" s="13">
        <f>_xll.BDH("NBIX US Equity","XO_GL_NET_OF_TAX","FQ4 2024","FQ4 2024","Currency=USD","Period=FQ","BEST_FPERIOD_OVERRIDE=FQ","FILING_STATUS=MR","SCALING_FORMAT=MLN","Sort=A","Dates=H","DateFormat=P","Fill=—","Direction=H","UseDPDF=Y")</f>
        <v>0</v>
      </c>
      <c r="Z28" s="13"/>
      <c r="AA28" s="13"/>
    </row>
    <row r="29" spans="1:27" x14ac:dyDescent="0.25">
      <c r="A29" s="10" t="s">
        <v>368</v>
      </c>
      <c r="B29" s="10" t="s">
        <v>369</v>
      </c>
      <c r="C29" s="13">
        <f>_xll.BDH("NBIX US Equity","IS_DISCONTINUED_OPERATIONS","FQ2 2019","FQ2 2019","Currency=USD","Period=FQ","BEST_FPERIOD_OVERRIDE=FQ","FILING_STATUS=MR","SCALING_FORMAT=MLN","Sort=A","Dates=H","DateFormat=P","Fill=—","Direction=H","UseDPDF=Y")</f>
        <v>0</v>
      </c>
      <c r="D29" s="13">
        <f>_xll.BDH("NBIX US Equity","IS_DISCONTINUED_OPERATIONS","FQ3 2019","FQ3 2019","Currency=USD","Period=FQ","BEST_FPERIOD_OVERRIDE=FQ","FILING_STATUS=MR","SCALING_FORMAT=MLN","Sort=A","Dates=H","DateFormat=P","Fill=—","Direction=H","UseDPDF=Y")</f>
        <v>0</v>
      </c>
      <c r="E29" s="13">
        <f>_xll.BDH("NBIX US Equity","IS_DISCONTINUED_OPERATIONS","FQ4 2019","FQ4 2019","Currency=USD","Period=FQ","BEST_FPERIOD_OVERRIDE=FQ","FILING_STATUS=MR","SCALING_FORMAT=MLN","Sort=A","Dates=H","DateFormat=P","Fill=—","Direction=H","UseDPDF=Y")</f>
        <v>0</v>
      </c>
      <c r="F29" s="13">
        <f>_xll.BDH("NBIX US Equity","IS_DISCONTINUED_OPERATIONS","FQ1 2020","FQ1 2020","Currency=USD","Period=FQ","BEST_FPERIOD_OVERRIDE=FQ","FILING_STATUS=MR","SCALING_FORMAT=MLN","Sort=A","Dates=H","DateFormat=P","Fill=—","Direction=H","UseDPDF=Y")</f>
        <v>0</v>
      </c>
      <c r="G29" s="13">
        <f>_xll.BDH("NBIX US Equity","IS_DISCONTINUED_OPERATIONS","FQ2 2020","FQ2 2020","Currency=USD","Period=FQ","BEST_FPERIOD_OVERRIDE=FQ","FILING_STATUS=MR","SCALING_FORMAT=MLN","Sort=A","Dates=H","DateFormat=P","Fill=—","Direction=H","UseDPDF=Y")</f>
        <v>0</v>
      </c>
      <c r="H29" s="13">
        <f>_xll.BDH("NBIX US Equity","IS_DISCONTINUED_OPERATIONS","FQ3 2020","FQ3 2020","Currency=USD","Period=FQ","BEST_FPERIOD_OVERRIDE=FQ","FILING_STATUS=MR","SCALING_FORMAT=MLN","Sort=A","Dates=H","DateFormat=P","Fill=—","Direction=H","UseDPDF=Y")</f>
        <v>0</v>
      </c>
      <c r="I29" s="13">
        <f>_xll.BDH("NBIX US Equity","IS_DISCONTINUED_OPERATIONS","FQ4 2020","FQ4 2020","Currency=USD","Period=FQ","BEST_FPERIOD_OVERRIDE=FQ","FILING_STATUS=MR","SCALING_FORMAT=MLN","Sort=A","Dates=H","DateFormat=P","Fill=—","Direction=H","UseDPDF=Y")</f>
        <v>0</v>
      </c>
      <c r="J29" s="13">
        <f>_xll.BDH("NBIX US Equity","IS_DISCONTINUED_OPERATIONS","FQ1 2021","FQ1 2021","Currency=USD","Period=FQ","BEST_FPERIOD_OVERRIDE=FQ","FILING_STATUS=MR","SCALING_FORMAT=MLN","Sort=A","Dates=H","DateFormat=P","Fill=—","Direction=H","UseDPDF=Y")</f>
        <v>0</v>
      </c>
      <c r="K29" s="13">
        <f>_xll.BDH("NBIX US Equity","IS_DISCONTINUED_OPERATIONS","FQ2 2021","FQ2 2021","Currency=USD","Period=FQ","BEST_FPERIOD_OVERRIDE=FQ","FILING_STATUS=MR","SCALING_FORMAT=MLN","Sort=A","Dates=H","DateFormat=P","Fill=—","Direction=H","UseDPDF=Y")</f>
        <v>0</v>
      </c>
      <c r="L29" s="13">
        <f>_xll.BDH("NBIX US Equity","IS_DISCONTINUED_OPERATIONS","FQ3 2021","FQ3 2021","Currency=USD","Period=FQ","BEST_FPERIOD_OVERRIDE=FQ","FILING_STATUS=MR","SCALING_FORMAT=MLN","Sort=A","Dates=H","DateFormat=P","Fill=—","Direction=H","UseDPDF=Y")</f>
        <v>0</v>
      </c>
      <c r="M29" s="13">
        <f>_xll.BDH("NBIX US Equity","IS_DISCONTINUED_OPERATIONS","FQ4 2021","FQ4 2021","Currency=USD","Period=FQ","BEST_FPERIOD_OVERRIDE=FQ","FILING_STATUS=MR","SCALING_FORMAT=MLN","Sort=A","Dates=H","DateFormat=P","Fill=—","Direction=H","UseDPDF=Y")</f>
        <v>0</v>
      </c>
      <c r="N29" s="13">
        <f>_xll.BDH("NBIX US Equity","IS_DISCONTINUED_OPERATIONS","FQ1 2022","FQ1 2022","Currency=USD","Period=FQ","BEST_FPERIOD_OVERRIDE=FQ","FILING_STATUS=MR","SCALING_FORMAT=MLN","Sort=A","Dates=H","DateFormat=P","Fill=—","Direction=H","UseDPDF=Y")</f>
        <v>0</v>
      </c>
      <c r="O29" s="13">
        <f>_xll.BDH("NBIX US Equity","IS_DISCONTINUED_OPERATIONS","FQ2 2022","FQ2 2022","Currency=USD","Period=FQ","BEST_FPERIOD_OVERRIDE=FQ","FILING_STATUS=MR","SCALING_FORMAT=MLN","Sort=A","Dates=H","DateFormat=P","Fill=—","Direction=H","UseDPDF=Y")</f>
        <v>0</v>
      </c>
      <c r="P29" s="13">
        <f>_xll.BDH("NBIX US Equity","IS_DISCONTINUED_OPERATIONS","FQ3 2022","FQ3 2022","Currency=USD","Period=FQ","BEST_FPERIOD_OVERRIDE=FQ","FILING_STATUS=MR","SCALING_FORMAT=MLN","Sort=A","Dates=H","DateFormat=P","Fill=—","Direction=H","UseDPDF=Y")</f>
        <v>0</v>
      </c>
      <c r="Q29" s="13">
        <f>_xll.BDH("NBIX US Equity","IS_DISCONTINUED_OPERATIONS","FQ4 2022","FQ4 2022","Currency=USD","Period=FQ","BEST_FPERIOD_OVERRIDE=FQ","FILING_STATUS=MR","SCALING_FORMAT=MLN","Sort=A","Dates=H","DateFormat=P","Fill=—","Direction=H","UseDPDF=Y")</f>
        <v>0</v>
      </c>
      <c r="R29" s="13">
        <f>_xll.BDH("NBIX US Equity","IS_DISCONTINUED_OPERATIONS","FQ1 2023","FQ1 2023","Currency=USD","Period=FQ","BEST_FPERIOD_OVERRIDE=FQ","FILING_STATUS=MR","SCALING_FORMAT=MLN","Sort=A","Dates=H","DateFormat=P","Fill=—","Direction=H","UseDPDF=Y")</f>
        <v>0</v>
      </c>
      <c r="S29" s="13">
        <f>_xll.BDH("NBIX US Equity","IS_DISCONTINUED_OPERATIONS","FQ2 2023","FQ2 2023","Currency=USD","Period=FQ","BEST_FPERIOD_OVERRIDE=FQ","FILING_STATUS=MR","SCALING_FORMAT=MLN","Sort=A","Dates=H","DateFormat=P","Fill=—","Direction=H","UseDPDF=Y")</f>
        <v>0</v>
      </c>
      <c r="T29" s="13">
        <f>_xll.BDH("NBIX US Equity","IS_DISCONTINUED_OPERATIONS","FQ3 2023","FQ3 2023","Currency=USD","Period=FQ","BEST_FPERIOD_OVERRIDE=FQ","FILING_STATUS=MR","SCALING_FORMAT=MLN","Sort=A","Dates=H","DateFormat=P","Fill=—","Direction=H","UseDPDF=Y")</f>
        <v>0</v>
      </c>
      <c r="U29" s="13">
        <f>_xll.BDH("NBIX US Equity","IS_DISCONTINUED_OPERATIONS","FQ4 2023","FQ4 2023","Currency=USD","Period=FQ","BEST_FPERIOD_OVERRIDE=FQ","FILING_STATUS=MR","SCALING_FORMAT=MLN","Sort=A","Dates=H","DateFormat=P","Fill=—","Direction=H","UseDPDF=Y")</f>
        <v>0</v>
      </c>
      <c r="V29" s="13">
        <f>_xll.BDH("NBIX US Equity","IS_DISCONTINUED_OPERATIONS","FQ1 2024","FQ1 2024","Currency=USD","Period=FQ","BEST_FPERIOD_OVERRIDE=FQ","FILING_STATUS=MR","SCALING_FORMAT=MLN","Sort=A","Dates=H","DateFormat=P","Fill=—","Direction=H","UseDPDF=Y")</f>
        <v>0</v>
      </c>
      <c r="W29" s="13">
        <f>_xll.BDH("NBIX US Equity","IS_DISCONTINUED_OPERATIONS","FQ2 2024","FQ2 2024","Currency=USD","Period=FQ","BEST_FPERIOD_OVERRIDE=FQ","FILING_STATUS=MR","SCALING_FORMAT=MLN","Sort=A","Dates=H","DateFormat=P","Fill=—","Direction=H","UseDPDF=Y")</f>
        <v>0</v>
      </c>
      <c r="X29" s="13">
        <f>_xll.BDH("NBIX US Equity","IS_DISCONTINUED_OPERATIONS","FQ3 2024","FQ3 2024","Currency=USD","Period=FQ","BEST_FPERIOD_OVERRIDE=FQ","FILING_STATUS=MR","SCALING_FORMAT=MLN","Sort=A","Dates=H","DateFormat=P","Fill=—","Direction=H","UseDPDF=Y")</f>
        <v>0</v>
      </c>
      <c r="Y29" s="13">
        <f>_xll.BDH("NBIX US Equity","IS_DISCONTINUED_OPERATIONS","FQ4 2024","FQ4 2024","Currency=USD","Period=FQ","BEST_FPERIOD_OVERRIDE=FQ","FILING_STATUS=MR","SCALING_FORMAT=MLN","Sort=A","Dates=H","DateFormat=P","Fill=—","Direction=H","UseDPDF=Y")</f>
        <v>0</v>
      </c>
      <c r="Z29" s="13"/>
      <c r="AA29" s="13"/>
    </row>
    <row r="30" spans="1:27" x14ac:dyDescent="0.25">
      <c r="A30" s="10" t="s">
        <v>370</v>
      </c>
      <c r="B30" s="10" t="s">
        <v>371</v>
      </c>
      <c r="C30" s="13">
        <f>_xll.BDH("NBIX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30" s="13">
        <f>_xll.BDH("NBIX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30" s="13">
        <f>_xll.BDH("NBIX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30" s="13">
        <f>_xll.BDH("NBIX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30" s="13">
        <f>_xll.BDH("NBIX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30" s="13">
        <f>_xll.BDH("NBIX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30" s="13">
        <f>_xll.BDH("NBIX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30" s="13">
        <f>_xll.BDH("NBIX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30" s="13">
        <f>_xll.BDH("NBIX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30" s="13">
        <f>_xll.BDH("NBIX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30" s="13">
        <f>_xll.BDH("NBIX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30" s="13">
        <f>_xll.BDH("NBIX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30" s="13">
        <f>_xll.BDH("NBIX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30" s="13">
        <f>_xll.BDH("NBIX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30" s="13">
        <f>_xll.BDH("NBIX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30" s="13">
        <f>_xll.BDH("NBIX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30" s="13">
        <f>_xll.BDH("NBIX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30" s="13">
        <f>_xll.BDH("NBIX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30" s="13">
        <f>_xll.BDH("NBIX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30" s="13">
        <f>_xll.BDH("NBIX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30" s="13">
        <f>_xll.BDH("NBIX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30" s="13">
        <f>_xll.BDH("NBIX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30" s="13">
        <f>_xll.BDH("NBIX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30" s="13"/>
      <c r="AA30" s="13"/>
    </row>
    <row r="31" spans="1:27" x14ac:dyDescent="0.25">
      <c r="A31" s="6" t="s">
        <v>372</v>
      </c>
      <c r="B31" s="6" t="s">
        <v>373</v>
      </c>
      <c r="C31" s="19">
        <f>_xll.BDH("NBIX US Equity","NI_INCLUDING_MINORITY_INT_RATIO","FQ2 2019","FQ2 2019","Currency=USD","Period=FQ","BEST_FPERIOD_OVERRIDE=FQ","FILING_STATUS=MR","SCALING_FORMAT=MLN","FA_ADJUSTED=GAAP","Sort=A","Dates=H","DateFormat=P","Fill=—","Direction=H","UseDPDF=Y")</f>
        <v>51.338000000000001</v>
      </c>
      <c r="D31" s="19">
        <f>_xll.BDH("NBIX US Equity","NI_INCLUDING_MINORITY_INT_RATIO","FQ3 2019","FQ3 2019","Currency=USD","Period=FQ","BEST_FPERIOD_OVERRIDE=FQ","FILING_STATUS=MR","SCALING_FORMAT=MLN","FA_ADJUSTED=GAAP","Sort=A","Dates=H","DateFormat=P","Fill=—","Direction=H","UseDPDF=Y")</f>
        <v>53.789000000000001</v>
      </c>
      <c r="E31" s="19">
        <f>_xll.BDH("NBIX US Equity","NI_INCLUDING_MINORITY_INT_RATIO","FQ4 2019","FQ4 2019","Currency=USD","Period=FQ","BEST_FPERIOD_OVERRIDE=FQ","FILING_STATUS=MR","SCALING_FORMAT=MLN","FA_ADJUSTED=GAAP","Sort=A","Dates=H","DateFormat=P","Fill=—","Direction=H","UseDPDF=Y")</f>
        <v>34</v>
      </c>
      <c r="F31" s="19">
        <f>_xll.BDH("NBIX US Equity","NI_INCLUDING_MINORITY_INT_RATIO","FQ1 2020","FQ1 2020","Currency=USD","Period=FQ","BEST_FPERIOD_OVERRIDE=FQ","FILING_STATUS=MR","SCALING_FORMAT=MLN","FA_ADJUSTED=GAAP","Sort=A","Dates=H","DateFormat=P","Fill=—","Direction=H","UseDPDF=Y")</f>
        <v>37.4</v>
      </c>
      <c r="G31" s="19">
        <f>_xll.BDH("NBIX US Equity","NI_INCLUDING_MINORITY_INT_RATIO","FQ2 2020","FQ2 2020","Currency=USD","Period=FQ","BEST_FPERIOD_OVERRIDE=FQ","FILING_STATUS=MR","SCALING_FORMAT=MLN","FA_ADJUSTED=GAAP","Sort=A","Dates=H","DateFormat=P","Fill=—","Direction=H","UseDPDF=Y")</f>
        <v>79.599999999999994</v>
      </c>
      <c r="H31" s="19">
        <f>_xll.BDH("NBIX US Equity","NI_INCLUDING_MINORITY_INT_RATIO","FQ3 2020","FQ3 2020","Currency=USD","Period=FQ","BEST_FPERIOD_OVERRIDE=FQ","FILING_STATUS=MR","SCALING_FORMAT=MLN","FA_ADJUSTED=GAAP","Sort=A","Dates=H","DateFormat=P","Fill=—","Direction=H","UseDPDF=Y")</f>
        <v>-57.6</v>
      </c>
      <c r="I31" s="19">
        <f>_xll.BDH("NBIX US Equity","NI_INCLUDING_MINORITY_INT_RATIO","FQ4 2020","FQ4 2020","Currency=USD","Period=FQ","BEST_FPERIOD_OVERRIDE=FQ","FILING_STATUS=MR","SCALING_FORMAT=MLN","FA_ADJUSTED=GAAP","Sort=A","Dates=H","DateFormat=P","Fill=—","Direction=H","UseDPDF=Y")</f>
        <v>347.9</v>
      </c>
      <c r="J31" s="19">
        <f>_xll.BDH("NBIX US Equity","NI_INCLUDING_MINORITY_INT_RATIO","FQ1 2021","FQ1 2021","Currency=USD","Period=FQ","BEST_FPERIOD_OVERRIDE=FQ","FILING_STATUS=MR","SCALING_FORMAT=MLN","FA_ADJUSTED=GAAP","Sort=A","Dates=H","DateFormat=P","Fill=—","Direction=H","UseDPDF=Y")</f>
        <v>32.1</v>
      </c>
      <c r="K31" s="19">
        <f>_xll.BDH("NBIX US Equity","NI_INCLUDING_MINORITY_INT_RATIO","FQ2 2021","FQ2 2021","Currency=USD","Period=FQ","BEST_FPERIOD_OVERRIDE=FQ","FILING_STATUS=MR","SCALING_FORMAT=MLN","FA_ADJUSTED=GAAP","Sort=A","Dates=H","DateFormat=P","Fill=—","Direction=H","UseDPDF=Y")</f>
        <v>42.3</v>
      </c>
      <c r="L31" s="19">
        <f>_xll.BDH("NBIX US Equity","NI_INCLUDING_MINORITY_INT_RATIO","FQ3 2021","FQ3 2021","Currency=USD","Period=FQ","BEST_FPERIOD_OVERRIDE=FQ","FILING_STATUS=MR","SCALING_FORMAT=MLN","FA_ADJUSTED=GAAP","Sort=A","Dates=H","DateFormat=P","Fill=—","Direction=H","UseDPDF=Y")</f>
        <v>22.5</v>
      </c>
      <c r="M31" s="19">
        <f>_xll.BDH("NBIX US Equity","NI_INCLUDING_MINORITY_INT_RATIO","FQ4 2021","FQ4 2021","Currency=USD","Period=FQ","BEST_FPERIOD_OVERRIDE=FQ","FILING_STATUS=MR","SCALING_FORMAT=MLN","FA_ADJUSTED=GAAP","Sort=A","Dates=H","DateFormat=P","Fill=—","Direction=H","UseDPDF=Y")</f>
        <v>-7.3</v>
      </c>
      <c r="N31" s="19">
        <f>_xll.BDH("NBIX US Equity","NI_INCLUDING_MINORITY_INT_RATIO","FQ1 2022","FQ1 2022","Currency=USD","Period=FQ","BEST_FPERIOD_OVERRIDE=FQ","FILING_STATUS=MR","SCALING_FORMAT=MLN","FA_ADJUSTED=GAAP","Sort=A","Dates=H","DateFormat=P","Fill=—","Direction=H","UseDPDF=Y")</f>
        <v>13.9</v>
      </c>
      <c r="O31" s="19">
        <f>_xll.BDH("NBIX US Equity","NI_INCLUDING_MINORITY_INT_RATIO","FQ2 2022","FQ2 2022","Currency=USD","Period=FQ","BEST_FPERIOD_OVERRIDE=FQ","FILING_STATUS=MR","SCALING_FORMAT=MLN","FA_ADJUSTED=GAAP","Sort=A","Dates=H","DateFormat=P","Fill=—","Direction=H","UseDPDF=Y")</f>
        <v>-16.899999999999999</v>
      </c>
      <c r="P31" s="19">
        <f>_xll.BDH("NBIX US Equity","NI_INCLUDING_MINORITY_INT_RATIO","FQ3 2022","FQ3 2022","Currency=USD","Period=FQ","BEST_FPERIOD_OVERRIDE=FQ","FILING_STATUS=MR","SCALING_FORMAT=MLN","FA_ADJUSTED=GAAP","Sort=A","Dates=H","DateFormat=P","Fill=—","Direction=H","UseDPDF=Y")</f>
        <v>68.5</v>
      </c>
      <c r="Q31" s="19">
        <f>_xll.BDH("NBIX US Equity","NI_INCLUDING_MINORITY_INT_RATIO","FQ4 2022","FQ4 2022","Currency=USD","Period=FQ","BEST_FPERIOD_OVERRIDE=FQ","FILING_STATUS=MR","SCALING_FORMAT=MLN","FA_ADJUSTED=GAAP","Sort=A","Dates=H","DateFormat=P","Fill=—","Direction=H","UseDPDF=Y")</f>
        <v>89</v>
      </c>
      <c r="R31" s="19">
        <f>_xll.BDH("NBIX US Equity","NI_INCLUDING_MINORITY_INT_RATIO","FQ1 2023","FQ1 2023","Currency=USD","Period=FQ","BEST_FPERIOD_OVERRIDE=FQ","FILING_STATUS=MR","SCALING_FORMAT=MLN","FA_ADJUSTED=GAAP","Sort=A","Dates=H","DateFormat=P","Fill=—","Direction=H","UseDPDF=Y")</f>
        <v>-76.599999999999994</v>
      </c>
      <c r="S31" s="19">
        <f>_xll.BDH("NBIX US Equity","NI_INCLUDING_MINORITY_INT_RATIO","FQ2 2023","FQ2 2023","Currency=USD","Period=FQ","BEST_FPERIOD_OVERRIDE=FQ","FILING_STATUS=MR","SCALING_FORMAT=MLN","FA_ADJUSTED=GAAP","Sort=A","Dates=H","DateFormat=P","Fill=—","Direction=H","UseDPDF=Y")</f>
        <v>95.5</v>
      </c>
      <c r="T31" s="19">
        <f>_xll.BDH("NBIX US Equity","NI_INCLUDING_MINORITY_INT_RATIO","FQ3 2023","FQ3 2023","Currency=USD","Period=FQ","BEST_FPERIOD_OVERRIDE=FQ","FILING_STATUS=MR","SCALING_FORMAT=MLN","FA_ADJUSTED=GAAP","Sort=A","Dates=H","DateFormat=P","Fill=—","Direction=H","UseDPDF=Y")</f>
        <v>83.1</v>
      </c>
      <c r="U31" s="19">
        <f>_xll.BDH("NBIX US Equity","NI_INCLUDING_MINORITY_INT_RATIO","FQ4 2023","FQ4 2023","Currency=USD","Period=FQ","BEST_FPERIOD_OVERRIDE=FQ","FILING_STATUS=MR","SCALING_FORMAT=MLN","FA_ADJUSTED=GAAP","Sort=A","Dates=H","DateFormat=P","Fill=—","Direction=H","UseDPDF=Y")</f>
        <v>147.69999999999999</v>
      </c>
      <c r="V31" s="19">
        <f>_xll.BDH("NBIX US Equity","NI_INCLUDING_MINORITY_INT_RATIO","FQ1 2024","FQ1 2024","Currency=USD","Period=FQ","BEST_FPERIOD_OVERRIDE=FQ","FILING_STATUS=MR","SCALING_FORMAT=MLN","FA_ADJUSTED=GAAP","Sort=A","Dates=H","DateFormat=P","Fill=—","Direction=H","UseDPDF=Y")</f>
        <v>43.4</v>
      </c>
      <c r="W31" s="19">
        <f>_xll.BDH("NBIX US Equity","NI_INCLUDING_MINORITY_INT_RATIO","FQ2 2024","FQ2 2024","Currency=USD","Period=FQ","BEST_FPERIOD_OVERRIDE=FQ","FILING_STATUS=MR","SCALING_FORMAT=MLN","FA_ADJUSTED=GAAP","Sort=A","Dates=H","DateFormat=P","Fill=—","Direction=H","UseDPDF=Y")</f>
        <v>65</v>
      </c>
      <c r="X31" s="19">
        <f>_xll.BDH("NBIX US Equity","NI_INCLUDING_MINORITY_INT_RATIO","FQ3 2024","FQ3 2024","Currency=USD","Period=FQ","BEST_FPERIOD_OVERRIDE=FQ","FILING_STATUS=MR","SCALING_FORMAT=MLN","FA_ADJUSTED=GAAP","Sort=A","Dates=H","DateFormat=P","Fill=—","Direction=H","UseDPDF=Y")</f>
        <v>129.80000000000001</v>
      </c>
      <c r="Y31" s="19">
        <f>_xll.BDH("NBIX US Equity","NI_INCLUDING_MINORITY_INT_RATIO","FQ4 2024","FQ4 2024","Currency=USD","Period=FQ","BEST_FPERIOD_OVERRIDE=FQ","FILING_STATUS=MR","SCALING_FORMAT=MLN","FA_ADJUSTED=GAAP","Sort=A","Dates=H","DateFormat=P","Fill=—","Direction=H","UseDPDF=Y")</f>
        <v>103.1</v>
      </c>
      <c r="Z31" s="19"/>
      <c r="AA31" s="19"/>
    </row>
    <row r="32" spans="1:27" x14ac:dyDescent="0.25">
      <c r="A32" s="10" t="s">
        <v>374</v>
      </c>
      <c r="B32" s="10" t="s">
        <v>375</v>
      </c>
      <c r="C32" s="13">
        <f>_xll.BDH("NBIX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32" s="13">
        <f>_xll.BDH("NBIX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32" s="13">
        <f>_xll.BDH("NBIX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32" s="13">
        <f>_xll.BDH("NBIX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32" s="13">
        <f>_xll.BDH("NBIX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32" s="13">
        <f>_xll.BDH("NBIX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32" s="13">
        <f>_xll.BDH("NBIX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32" s="13">
        <f>_xll.BDH("NBIX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32" s="13">
        <f>_xll.BDH("NBIX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32" s="13">
        <f>_xll.BDH("NBIX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32" s="13">
        <f>_xll.BDH("NBIX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32" s="13">
        <f>_xll.BDH("NBIX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32" s="13">
        <f>_xll.BDH("NBIX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32" s="13">
        <f>_xll.BDH("NBIX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32" s="13">
        <f>_xll.BDH("NBIX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32" s="13">
        <f>_xll.BDH("NBIX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32" s="13">
        <f>_xll.BDH("NBIX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32" s="13">
        <f>_xll.BDH("NBIX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32" s="13">
        <f>_xll.BDH("NBIX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32" s="13">
        <f>_xll.BDH("NBIX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32" s="13">
        <f>_xll.BDH("NBIX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32" s="13">
        <f>_xll.BDH("NBIX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32" s="13">
        <f>_xll.BDH("NBIX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32" s="13"/>
      <c r="AA32" s="13"/>
    </row>
    <row r="33" spans="1:27" x14ac:dyDescent="0.25">
      <c r="A33" s="6" t="s">
        <v>376</v>
      </c>
      <c r="B33" s="6" t="s">
        <v>377</v>
      </c>
      <c r="C33" s="19">
        <f>_xll.BDH("NBIX US Equity","NET_INCOME","FQ2 2019","FQ2 2019","Currency=USD","Period=FQ","BEST_FPERIOD_OVERRIDE=FQ","FILING_STATUS=MR","SCALING_FORMAT=MLN","FA_ADJUSTED=GAAP","Sort=A","Dates=H","DateFormat=P","Fill=—","Direction=H","UseDPDF=Y")</f>
        <v>51.338000000000001</v>
      </c>
      <c r="D33" s="19">
        <f>_xll.BDH("NBIX US Equity","NET_INCOME","FQ3 2019","FQ3 2019","Currency=USD","Period=FQ","BEST_FPERIOD_OVERRIDE=FQ","FILING_STATUS=MR","SCALING_FORMAT=MLN","FA_ADJUSTED=GAAP","Sort=A","Dates=H","DateFormat=P","Fill=—","Direction=H","UseDPDF=Y")</f>
        <v>53.789000000000001</v>
      </c>
      <c r="E33" s="19">
        <f>_xll.BDH("NBIX US Equity","NET_INCOME","FQ4 2019","FQ4 2019","Currency=USD","Period=FQ","BEST_FPERIOD_OVERRIDE=FQ","FILING_STATUS=MR","SCALING_FORMAT=MLN","FA_ADJUSTED=GAAP","Sort=A","Dates=H","DateFormat=P","Fill=—","Direction=H","UseDPDF=Y")</f>
        <v>34</v>
      </c>
      <c r="F33" s="19">
        <f>_xll.BDH("NBIX US Equity","NET_INCOME","FQ1 2020","FQ1 2020","Currency=USD","Period=FQ","BEST_FPERIOD_OVERRIDE=FQ","FILING_STATUS=MR","SCALING_FORMAT=MLN","FA_ADJUSTED=GAAP","Sort=A","Dates=H","DateFormat=P","Fill=—","Direction=H","UseDPDF=Y")</f>
        <v>37.4</v>
      </c>
      <c r="G33" s="19">
        <f>_xll.BDH("NBIX US Equity","NET_INCOME","FQ2 2020","FQ2 2020","Currency=USD","Period=FQ","BEST_FPERIOD_OVERRIDE=FQ","FILING_STATUS=MR","SCALING_FORMAT=MLN","FA_ADJUSTED=GAAP","Sort=A","Dates=H","DateFormat=P","Fill=—","Direction=H","UseDPDF=Y")</f>
        <v>79.599999999999994</v>
      </c>
      <c r="H33" s="19">
        <f>_xll.BDH("NBIX US Equity","NET_INCOME","FQ3 2020","FQ3 2020","Currency=USD","Period=FQ","BEST_FPERIOD_OVERRIDE=FQ","FILING_STATUS=MR","SCALING_FORMAT=MLN","FA_ADJUSTED=GAAP","Sort=A","Dates=H","DateFormat=P","Fill=—","Direction=H","UseDPDF=Y")</f>
        <v>-57.6</v>
      </c>
      <c r="I33" s="19">
        <f>_xll.BDH("NBIX US Equity","NET_INCOME","FQ4 2020","FQ4 2020","Currency=USD","Period=FQ","BEST_FPERIOD_OVERRIDE=FQ","FILING_STATUS=MR","SCALING_FORMAT=MLN","FA_ADJUSTED=GAAP","Sort=A","Dates=H","DateFormat=P","Fill=—","Direction=H","UseDPDF=Y")</f>
        <v>347.9</v>
      </c>
      <c r="J33" s="19">
        <f>_xll.BDH("NBIX US Equity","NET_INCOME","FQ1 2021","FQ1 2021","Currency=USD","Period=FQ","BEST_FPERIOD_OVERRIDE=FQ","FILING_STATUS=MR","SCALING_FORMAT=MLN","FA_ADJUSTED=GAAP","Sort=A","Dates=H","DateFormat=P","Fill=—","Direction=H","UseDPDF=Y")</f>
        <v>32.1</v>
      </c>
      <c r="K33" s="19">
        <f>_xll.BDH("NBIX US Equity","NET_INCOME","FQ2 2021","FQ2 2021","Currency=USD","Period=FQ","BEST_FPERIOD_OVERRIDE=FQ","FILING_STATUS=MR","SCALING_FORMAT=MLN","FA_ADJUSTED=GAAP","Sort=A","Dates=H","DateFormat=P","Fill=—","Direction=H","UseDPDF=Y")</f>
        <v>42.3</v>
      </c>
      <c r="L33" s="19">
        <f>_xll.BDH("NBIX US Equity","NET_INCOME","FQ3 2021","FQ3 2021","Currency=USD","Period=FQ","BEST_FPERIOD_OVERRIDE=FQ","FILING_STATUS=MR","SCALING_FORMAT=MLN","FA_ADJUSTED=GAAP","Sort=A","Dates=H","DateFormat=P","Fill=—","Direction=H","UseDPDF=Y")</f>
        <v>22.5</v>
      </c>
      <c r="M33" s="19">
        <f>_xll.BDH("NBIX US Equity","NET_INCOME","FQ4 2021","FQ4 2021","Currency=USD","Period=FQ","BEST_FPERIOD_OVERRIDE=FQ","FILING_STATUS=MR","SCALING_FORMAT=MLN","FA_ADJUSTED=GAAP","Sort=A","Dates=H","DateFormat=P","Fill=—","Direction=H","UseDPDF=Y")</f>
        <v>-7.3</v>
      </c>
      <c r="N33" s="19">
        <f>_xll.BDH("NBIX US Equity","NET_INCOME","FQ1 2022","FQ1 2022","Currency=USD","Period=FQ","BEST_FPERIOD_OVERRIDE=FQ","FILING_STATUS=MR","SCALING_FORMAT=MLN","FA_ADJUSTED=GAAP","Sort=A","Dates=H","DateFormat=P","Fill=—","Direction=H","UseDPDF=Y")</f>
        <v>13.9</v>
      </c>
      <c r="O33" s="19">
        <f>_xll.BDH("NBIX US Equity","NET_INCOME","FQ2 2022","FQ2 2022","Currency=USD","Period=FQ","BEST_FPERIOD_OVERRIDE=FQ","FILING_STATUS=MR","SCALING_FORMAT=MLN","FA_ADJUSTED=GAAP","Sort=A","Dates=H","DateFormat=P","Fill=—","Direction=H","UseDPDF=Y")</f>
        <v>-16.899999999999999</v>
      </c>
      <c r="P33" s="19">
        <f>_xll.BDH("NBIX US Equity","NET_INCOME","FQ3 2022","FQ3 2022","Currency=USD","Period=FQ","BEST_FPERIOD_OVERRIDE=FQ","FILING_STATUS=MR","SCALING_FORMAT=MLN","FA_ADJUSTED=GAAP","Sort=A","Dates=H","DateFormat=P","Fill=—","Direction=H","UseDPDF=Y")</f>
        <v>68.5</v>
      </c>
      <c r="Q33" s="19">
        <f>_xll.BDH("NBIX US Equity","NET_INCOME","FQ4 2022","FQ4 2022","Currency=USD","Period=FQ","BEST_FPERIOD_OVERRIDE=FQ","FILING_STATUS=MR","SCALING_FORMAT=MLN","FA_ADJUSTED=GAAP","Sort=A","Dates=H","DateFormat=P","Fill=—","Direction=H","UseDPDF=Y")</f>
        <v>89</v>
      </c>
      <c r="R33" s="19">
        <f>_xll.BDH("NBIX US Equity","NET_INCOME","FQ1 2023","FQ1 2023","Currency=USD","Period=FQ","BEST_FPERIOD_OVERRIDE=FQ","FILING_STATUS=MR","SCALING_FORMAT=MLN","FA_ADJUSTED=GAAP","Sort=A","Dates=H","DateFormat=P","Fill=—","Direction=H","UseDPDF=Y")</f>
        <v>-76.599999999999994</v>
      </c>
      <c r="S33" s="19">
        <f>_xll.BDH("NBIX US Equity","NET_INCOME","FQ2 2023","FQ2 2023","Currency=USD","Period=FQ","BEST_FPERIOD_OVERRIDE=FQ","FILING_STATUS=MR","SCALING_FORMAT=MLN","FA_ADJUSTED=GAAP","Sort=A","Dates=H","DateFormat=P","Fill=—","Direction=H","UseDPDF=Y")</f>
        <v>95.5</v>
      </c>
      <c r="T33" s="19">
        <f>_xll.BDH("NBIX US Equity","NET_INCOME","FQ3 2023","FQ3 2023","Currency=USD","Period=FQ","BEST_FPERIOD_OVERRIDE=FQ","FILING_STATUS=MR","SCALING_FORMAT=MLN","FA_ADJUSTED=GAAP","Sort=A","Dates=H","DateFormat=P","Fill=—","Direction=H","UseDPDF=Y")</f>
        <v>83.1</v>
      </c>
      <c r="U33" s="19">
        <f>_xll.BDH("NBIX US Equity","NET_INCOME","FQ4 2023","FQ4 2023","Currency=USD","Period=FQ","BEST_FPERIOD_OVERRIDE=FQ","FILING_STATUS=MR","SCALING_FORMAT=MLN","FA_ADJUSTED=GAAP","Sort=A","Dates=H","DateFormat=P","Fill=—","Direction=H","UseDPDF=Y")</f>
        <v>147.69999999999999</v>
      </c>
      <c r="V33" s="19">
        <f>_xll.BDH("NBIX US Equity","NET_INCOME","FQ1 2024","FQ1 2024","Currency=USD","Period=FQ","BEST_FPERIOD_OVERRIDE=FQ","FILING_STATUS=MR","SCALING_FORMAT=MLN","FA_ADJUSTED=GAAP","Sort=A","Dates=H","DateFormat=P","Fill=—","Direction=H","UseDPDF=Y")</f>
        <v>43.4</v>
      </c>
      <c r="W33" s="19">
        <f>_xll.BDH("NBIX US Equity","NET_INCOME","FQ2 2024","FQ2 2024","Currency=USD","Period=FQ","BEST_FPERIOD_OVERRIDE=FQ","FILING_STATUS=MR","SCALING_FORMAT=MLN","FA_ADJUSTED=GAAP","Sort=A","Dates=H","DateFormat=P","Fill=—","Direction=H","UseDPDF=Y")</f>
        <v>65</v>
      </c>
      <c r="X33" s="19">
        <f>_xll.BDH("NBIX US Equity","NET_INCOME","FQ3 2024","FQ3 2024","Currency=USD","Period=FQ","BEST_FPERIOD_OVERRIDE=FQ","FILING_STATUS=MR","SCALING_FORMAT=MLN","FA_ADJUSTED=GAAP","Sort=A","Dates=H","DateFormat=P","Fill=—","Direction=H","UseDPDF=Y")</f>
        <v>129.80000000000001</v>
      </c>
      <c r="Y33" s="19">
        <f>_xll.BDH("NBIX US Equity","NET_INCOME","FQ4 2024","FQ4 2024","Currency=USD","Period=FQ","BEST_FPERIOD_OVERRIDE=FQ","FILING_STATUS=MR","SCALING_FORMAT=MLN","FA_ADJUSTED=GAAP","Sort=A","Dates=H","DateFormat=P","Fill=—","Direction=H","UseDPDF=Y")</f>
        <v>103.1</v>
      </c>
      <c r="Z33" s="19">
        <v>85.611000000000004</v>
      </c>
      <c r="AA33" s="19">
        <v>97.533000000000001</v>
      </c>
    </row>
    <row r="34" spans="1:27" x14ac:dyDescent="0.25">
      <c r="A34" s="10" t="s">
        <v>378</v>
      </c>
      <c r="B34" s="10" t="s">
        <v>379</v>
      </c>
      <c r="C34" s="13">
        <f>_xll.BDH("NBIX US Equity","IS_TOT_CASH_PFD_DVD","FQ2 2019","FQ2 2019","Currency=USD","Period=FQ","BEST_FPERIOD_OVERRIDE=FQ","FILING_STATUS=MR","SCALING_FORMAT=MLN","Sort=A","Dates=H","DateFormat=P","Fill=—","Direction=H","UseDPDF=Y")</f>
        <v>0</v>
      </c>
      <c r="D34" s="13">
        <f>_xll.BDH("NBIX US Equity","IS_TOT_CASH_PFD_DVD","FQ3 2019","FQ3 2019","Currency=USD","Period=FQ","BEST_FPERIOD_OVERRIDE=FQ","FILING_STATUS=MR","SCALING_FORMAT=MLN","Sort=A","Dates=H","DateFormat=P","Fill=—","Direction=H","UseDPDF=Y")</f>
        <v>0</v>
      </c>
      <c r="E34" s="13">
        <f>_xll.BDH("NBIX US Equity","IS_TOT_CASH_PFD_DVD","FQ4 2019","FQ4 2019","Currency=USD","Period=FQ","BEST_FPERIOD_OVERRIDE=FQ","FILING_STATUS=MR","SCALING_FORMAT=MLN","Sort=A","Dates=H","DateFormat=P","Fill=—","Direction=H","UseDPDF=Y")</f>
        <v>0</v>
      </c>
      <c r="F34" s="13">
        <f>_xll.BDH("NBIX US Equity","IS_TOT_CASH_PFD_DVD","FQ1 2020","FQ1 2020","Currency=USD","Period=FQ","BEST_FPERIOD_OVERRIDE=FQ","FILING_STATUS=MR","SCALING_FORMAT=MLN","Sort=A","Dates=H","DateFormat=P","Fill=—","Direction=H","UseDPDF=Y")</f>
        <v>0</v>
      </c>
      <c r="G34" s="13">
        <f>_xll.BDH("NBIX US Equity","IS_TOT_CASH_PFD_DVD","FQ2 2020","FQ2 2020","Currency=USD","Period=FQ","BEST_FPERIOD_OVERRIDE=FQ","FILING_STATUS=MR","SCALING_FORMAT=MLN","Sort=A","Dates=H","DateFormat=P","Fill=—","Direction=H","UseDPDF=Y")</f>
        <v>0</v>
      </c>
      <c r="H34" s="13">
        <f>_xll.BDH("NBIX US Equity","IS_TOT_CASH_PFD_DVD","FQ3 2020","FQ3 2020","Currency=USD","Period=FQ","BEST_FPERIOD_OVERRIDE=FQ","FILING_STATUS=MR","SCALING_FORMAT=MLN","Sort=A","Dates=H","DateFormat=P","Fill=—","Direction=H","UseDPDF=Y")</f>
        <v>0</v>
      </c>
      <c r="I34" s="13">
        <f>_xll.BDH("NBIX US Equity","IS_TOT_CASH_PFD_DVD","FQ4 2020","FQ4 2020","Currency=USD","Period=FQ","BEST_FPERIOD_OVERRIDE=FQ","FILING_STATUS=MR","SCALING_FORMAT=MLN","Sort=A","Dates=H","DateFormat=P","Fill=—","Direction=H","UseDPDF=Y")</f>
        <v>0</v>
      </c>
      <c r="J34" s="13">
        <f>_xll.BDH("NBIX US Equity","IS_TOT_CASH_PFD_DVD","FQ1 2021","FQ1 2021","Currency=USD","Period=FQ","BEST_FPERIOD_OVERRIDE=FQ","FILING_STATUS=MR","SCALING_FORMAT=MLN","Sort=A","Dates=H","DateFormat=P","Fill=—","Direction=H","UseDPDF=Y")</f>
        <v>0</v>
      </c>
      <c r="K34" s="13">
        <f>_xll.BDH("NBIX US Equity","IS_TOT_CASH_PFD_DVD","FQ2 2021","FQ2 2021","Currency=USD","Period=FQ","BEST_FPERIOD_OVERRIDE=FQ","FILING_STATUS=MR","SCALING_FORMAT=MLN","Sort=A","Dates=H","DateFormat=P","Fill=—","Direction=H","UseDPDF=Y")</f>
        <v>0</v>
      </c>
      <c r="L34" s="13">
        <f>_xll.BDH("NBIX US Equity","IS_TOT_CASH_PFD_DVD","FQ3 2021","FQ3 2021","Currency=USD","Period=FQ","BEST_FPERIOD_OVERRIDE=FQ","FILING_STATUS=MR","SCALING_FORMAT=MLN","Sort=A","Dates=H","DateFormat=P","Fill=—","Direction=H","UseDPDF=Y")</f>
        <v>0</v>
      </c>
      <c r="M34" s="13">
        <f>_xll.BDH("NBIX US Equity","IS_TOT_CASH_PFD_DVD","FQ4 2021","FQ4 2021","Currency=USD","Period=FQ","BEST_FPERIOD_OVERRIDE=FQ","FILING_STATUS=MR","SCALING_FORMAT=MLN","Sort=A","Dates=H","DateFormat=P","Fill=—","Direction=H","UseDPDF=Y")</f>
        <v>0</v>
      </c>
      <c r="N34" s="13">
        <f>_xll.BDH("NBIX US Equity","IS_TOT_CASH_PFD_DVD","FQ1 2022","FQ1 2022","Currency=USD","Period=FQ","BEST_FPERIOD_OVERRIDE=FQ","FILING_STATUS=MR","SCALING_FORMAT=MLN","Sort=A","Dates=H","DateFormat=P","Fill=—","Direction=H","UseDPDF=Y")</f>
        <v>0</v>
      </c>
      <c r="O34" s="13">
        <f>_xll.BDH("NBIX US Equity","IS_TOT_CASH_PFD_DVD","FQ2 2022","FQ2 2022","Currency=USD","Period=FQ","BEST_FPERIOD_OVERRIDE=FQ","FILING_STATUS=MR","SCALING_FORMAT=MLN","Sort=A","Dates=H","DateFormat=P","Fill=—","Direction=H","UseDPDF=Y")</f>
        <v>0</v>
      </c>
      <c r="P34" s="13">
        <f>_xll.BDH("NBIX US Equity","IS_TOT_CASH_PFD_DVD","FQ3 2022","FQ3 2022","Currency=USD","Period=FQ","BEST_FPERIOD_OVERRIDE=FQ","FILING_STATUS=MR","SCALING_FORMAT=MLN","Sort=A","Dates=H","DateFormat=P","Fill=—","Direction=H","UseDPDF=Y")</f>
        <v>0</v>
      </c>
      <c r="Q34" s="13">
        <f>_xll.BDH("NBIX US Equity","IS_TOT_CASH_PFD_DVD","FQ4 2022","FQ4 2022","Currency=USD","Period=FQ","BEST_FPERIOD_OVERRIDE=FQ","FILING_STATUS=MR","SCALING_FORMAT=MLN","Sort=A","Dates=H","DateFormat=P","Fill=—","Direction=H","UseDPDF=Y")</f>
        <v>0</v>
      </c>
      <c r="R34" s="13">
        <f>_xll.BDH("NBIX US Equity","IS_TOT_CASH_PFD_DVD","FQ1 2023","FQ1 2023","Currency=USD","Period=FQ","BEST_FPERIOD_OVERRIDE=FQ","FILING_STATUS=MR","SCALING_FORMAT=MLN","Sort=A","Dates=H","DateFormat=P","Fill=—","Direction=H","UseDPDF=Y")</f>
        <v>0</v>
      </c>
      <c r="S34" s="13">
        <f>_xll.BDH("NBIX US Equity","IS_TOT_CASH_PFD_DVD","FQ2 2023","FQ2 2023","Currency=USD","Period=FQ","BEST_FPERIOD_OVERRIDE=FQ","FILING_STATUS=MR","SCALING_FORMAT=MLN","Sort=A","Dates=H","DateFormat=P","Fill=—","Direction=H","UseDPDF=Y")</f>
        <v>0</v>
      </c>
      <c r="T34" s="13">
        <f>_xll.BDH("NBIX US Equity","IS_TOT_CASH_PFD_DVD","FQ3 2023","FQ3 2023","Currency=USD","Period=FQ","BEST_FPERIOD_OVERRIDE=FQ","FILING_STATUS=MR","SCALING_FORMAT=MLN","Sort=A","Dates=H","DateFormat=P","Fill=—","Direction=H","UseDPDF=Y")</f>
        <v>0</v>
      </c>
      <c r="U34" s="13">
        <f>_xll.BDH("NBIX US Equity","IS_TOT_CASH_PFD_DVD","FQ4 2023","FQ4 2023","Currency=USD","Period=FQ","BEST_FPERIOD_OVERRIDE=FQ","FILING_STATUS=MR","SCALING_FORMAT=MLN","Sort=A","Dates=H","DateFormat=P","Fill=—","Direction=H","UseDPDF=Y")</f>
        <v>0</v>
      </c>
      <c r="V34" s="13">
        <f>_xll.BDH("NBIX US Equity","IS_TOT_CASH_PFD_DVD","FQ1 2024","FQ1 2024","Currency=USD","Period=FQ","BEST_FPERIOD_OVERRIDE=FQ","FILING_STATUS=MR","SCALING_FORMAT=MLN","Sort=A","Dates=H","DateFormat=P","Fill=—","Direction=H","UseDPDF=Y")</f>
        <v>0</v>
      </c>
      <c r="W34" s="13">
        <f>_xll.BDH("NBIX US Equity","IS_TOT_CASH_PFD_DVD","FQ2 2024","FQ2 2024","Currency=USD","Period=FQ","BEST_FPERIOD_OVERRIDE=FQ","FILING_STATUS=MR","SCALING_FORMAT=MLN","Sort=A","Dates=H","DateFormat=P","Fill=—","Direction=H","UseDPDF=Y")</f>
        <v>0</v>
      </c>
      <c r="X34" s="13">
        <f>_xll.BDH("NBIX US Equity","IS_TOT_CASH_PFD_DVD","FQ3 2024","FQ3 2024","Currency=USD","Period=FQ","BEST_FPERIOD_OVERRIDE=FQ","FILING_STATUS=MR","SCALING_FORMAT=MLN","Sort=A","Dates=H","DateFormat=P","Fill=—","Direction=H","UseDPDF=Y")</f>
        <v>0</v>
      </c>
      <c r="Y34" s="13">
        <f>_xll.BDH("NBIX US Equity","IS_TOT_CASH_PFD_DVD","FQ4 2024","FQ4 2024","Currency=USD","Period=FQ","BEST_FPERIOD_OVERRIDE=FQ","FILING_STATUS=MR","SCALING_FORMAT=MLN","Sort=A","Dates=H","DateFormat=P","Fill=—","Direction=H","UseDPDF=Y")</f>
        <v>0</v>
      </c>
      <c r="Z34" s="13"/>
      <c r="AA34" s="13"/>
    </row>
    <row r="35" spans="1:27" x14ac:dyDescent="0.25">
      <c r="A35" s="10" t="s">
        <v>380</v>
      </c>
      <c r="B35" s="10" t="s">
        <v>381</v>
      </c>
      <c r="C35" s="13">
        <f>_xll.BDH("NBIX US Equity","OTHER_ADJUSTMENTS","FQ2 2019","FQ2 2019","Currency=USD","Period=FQ","BEST_FPERIOD_OVERRIDE=FQ","FILING_STATUS=MR","SCALING_FORMAT=MLN","Sort=A","Dates=H","DateFormat=P","Fill=—","Direction=H","UseDPDF=Y")</f>
        <v>0</v>
      </c>
      <c r="D35" s="13">
        <f>_xll.BDH("NBIX US Equity","OTHER_ADJUSTMENTS","FQ3 2019","FQ3 2019","Currency=USD","Period=FQ","BEST_FPERIOD_OVERRIDE=FQ","FILING_STATUS=MR","SCALING_FORMAT=MLN","Sort=A","Dates=H","DateFormat=P","Fill=—","Direction=H","UseDPDF=Y")</f>
        <v>0</v>
      </c>
      <c r="E35" s="13">
        <f>_xll.BDH("NBIX US Equity","OTHER_ADJUSTMENTS","FQ4 2019","FQ4 2019","Currency=USD","Period=FQ","BEST_FPERIOD_OVERRIDE=FQ","FILING_STATUS=MR","SCALING_FORMAT=MLN","Sort=A","Dates=H","DateFormat=P","Fill=—","Direction=H","UseDPDF=Y")</f>
        <v>0</v>
      </c>
      <c r="F35" s="13">
        <f>_xll.BDH("NBIX US Equity","OTHER_ADJUSTMENTS","FQ1 2020","FQ1 2020","Currency=USD","Period=FQ","BEST_FPERIOD_OVERRIDE=FQ","FILING_STATUS=MR","SCALING_FORMAT=MLN","Sort=A","Dates=H","DateFormat=P","Fill=—","Direction=H","UseDPDF=Y")</f>
        <v>0</v>
      </c>
      <c r="G35" s="13">
        <f>_xll.BDH("NBIX US Equity","OTHER_ADJUSTMENTS","FQ2 2020","FQ2 2020","Currency=USD","Period=FQ","BEST_FPERIOD_OVERRIDE=FQ","FILING_STATUS=MR","SCALING_FORMAT=MLN","Sort=A","Dates=H","DateFormat=P","Fill=—","Direction=H","UseDPDF=Y")</f>
        <v>0</v>
      </c>
      <c r="H35" s="13">
        <f>_xll.BDH("NBIX US Equity","OTHER_ADJUSTMENTS","FQ3 2020","FQ3 2020","Currency=USD","Period=FQ","BEST_FPERIOD_OVERRIDE=FQ","FILING_STATUS=MR","SCALING_FORMAT=MLN","Sort=A","Dates=H","DateFormat=P","Fill=—","Direction=H","UseDPDF=Y")</f>
        <v>0</v>
      </c>
      <c r="I35" s="13">
        <f>_xll.BDH("NBIX US Equity","OTHER_ADJUSTMENTS","FQ4 2020","FQ4 2020","Currency=USD","Period=FQ","BEST_FPERIOD_OVERRIDE=FQ","FILING_STATUS=MR","SCALING_FORMAT=MLN","Sort=A","Dates=H","DateFormat=P","Fill=—","Direction=H","UseDPDF=Y")</f>
        <v>0</v>
      </c>
      <c r="J35" s="13">
        <f>_xll.BDH("NBIX US Equity","OTHER_ADJUSTMENTS","FQ1 2021","FQ1 2021","Currency=USD","Period=FQ","BEST_FPERIOD_OVERRIDE=FQ","FILING_STATUS=MR","SCALING_FORMAT=MLN","Sort=A","Dates=H","DateFormat=P","Fill=—","Direction=H","UseDPDF=Y")</f>
        <v>0</v>
      </c>
      <c r="K35" s="13">
        <f>_xll.BDH("NBIX US Equity","OTHER_ADJUSTMENTS","FQ2 2021","FQ2 2021","Currency=USD","Period=FQ","BEST_FPERIOD_OVERRIDE=FQ","FILING_STATUS=MR","SCALING_FORMAT=MLN","Sort=A","Dates=H","DateFormat=P","Fill=—","Direction=H","UseDPDF=Y")</f>
        <v>0</v>
      </c>
      <c r="L35" s="13">
        <f>_xll.BDH("NBIX US Equity","OTHER_ADJUSTMENTS","FQ3 2021","FQ3 2021","Currency=USD","Period=FQ","BEST_FPERIOD_OVERRIDE=FQ","FILING_STATUS=MR","SCALING_FORMAT=MLN","Sort=A","Dates=H","DateFormat=P","Fill=—","Direction=H","UseDPDF=Y")</f>
        <v>0</v>
      </c>
      <c r="M35" s="13">
        <f>_xll.BDH("NBIX US Equity","OTHER_ADJUSTMENTS","FQ4 2021","FQ4 2021","Currency=USD","Period=FQ","BEST_FPERIOD_OVERRIDE=FQ","FILING_STATUS=MR","SCALING_FORMAT=MLN","Sort=A","Dates=H","DateFormat=P","Fill=—","Direction=H","UseDPDF=Y")</f>
        <v>0</v>
      </c>
      <c r="N35" s="13">
        <f>_xll.BDH("NBIX US Equity","OTHER_ADJUSTMENTS","FQ1 2022","FQ1 2022","Currency=USD","Period=FQ","BEST_FPERIOD_OVERRIDE=FQ","FILING_STATUS=MR","SCALING_FORMAT=MLN","Sort=A","Dates=H","DateFormat=P","Fill=—","Direction=H","UseDPDF=Y")</f>
        <v>0</v>
      </c>
      <c r="O35" s="13">
        <f>_xll.BDH("NBIX US Equity","OTHER_ADJUSTMENTS","FQ2 2022","FQ2 2022","Currency=USD","Period=FQ","BEST_FPERIOD_OVERRIDE=FQ","FILING_STATUS=MR","SCALING_FORMAT=MLN","Sort=A","Dates=H","DateFormat=P","Fill=—","Direction=H","UseDPDF=Y")</f>
        <v>0</v>
      </c>
      <c r="P35" s="13">
        <f>_xll.BDH("NBIX US Equity","OTHER_ADJUSTMENTS","FQ3 2022","FQ3 2022","Currency=USD","Period=FQ","BEST_FPERIOD_OVERRIDE=FQ","FILING_STATUS=MR","SCALING_FORMAT=MLN","Sort=A","Dates=H","DateFormat=P","Fill=—","Direction=H","UseDPDF=Y")</f>
        <v>0</v>
      </c>
      <c r="Q35" s="13">
        <f>_xll.BDH("NBIX US Equity","OTHER_ADJUSTMENTS","FQ4 2022","FQ4 2022","Currency=USD","Period=FQ","BEST_FPERIOD_OVERRIDE=FQ","FILING_STATUS=MR","SCALING_FORMAT=MLN","Sort=A","Dates=H","DateFormat=P","Fill=—","Direction=H","UseDPDF=Y")</f>
        <v>0</v>
      </c>
      <c r="R35" s="13">
        <f>_xll.BDH("NBIX US Equity","OTHER_ADJUSTMENTS","FQ1 2023","FQ1 2023","Currency=USD","Period=FQ","BEST_FPERIOD_OVERRIDE=FQ","FILING_STATUS=MR","SCALING_FORMAT=MLN","Sort=A","Dates=H","DateFormat=P","Fill=—","Direction=H","UseDPDF=Y")</f>
        <v>0</v>
      </c>
      <c r="S35" s="13">
        <f>_xll.BDH("NBIX US Equity","OTHER_ADJUSTMENTS","FQ2 2023","FQ2 2023","Currency=USD","Period=FQ","BEST_FPERIOD_OVERRIDE=FQ","FILING_STATUS=MR","SCALING_FORMAT=MLN","Sort=A","Dates=H","DateFormat=P","Fill=—","Direction=H","UseDPDF=Y")</f>
        <v>0</v>
      </c>
      <c r="T35" s="13">
        <f>_xll.BDH("NBIX US Equity","OTHER_ADJUSTMENTS","FQ3 2023","FQ3 2023","Currency=USD","Period=FQ","BEST_FPERIOD_OVERRIDE=FQ","FILING_STATUS=MR","SCALING_FORMAT=MLN","Sort=A","Dates=H","DateFormat=P","Fill=—","Direction=H","UseDPDF=Y")</f>
        <v>0</v>
      </c>
      <c r="U35" s="13">
        <f>_xll.BDH("NBIX US Equity","OTHER_ADJUSTMENTS","FQ4 2023","FQ4 2023","Currency=USD","Period=FQ","BEST_FPERIOD_OVERRIDE=FQ","FILING_STATUS=MR","SCALING_FORMAT=MLN","Sort=A","Dates=H","DateFormat=P","Fill=—","Direction=H","UseDPDF=Y")</f>
        <v>0</v>
      </c>
      <c r="V35" s="13">
        <f>_xll.BDH("NBIX US Equity","OTHER_ADJUSTMENTS","FQ1 2024","FQ1 2024","Currency=USD","Period=FQ","BEST_FPERIOD_OVERRIDE=FQ","FILING_STATUS=MR","SCALING_FORMAT=MLN","Sort=A","Dates=H","DateFormat=P","Fill=—","Direction=H","UseDPDF=Y")</f>
        <v>0</v>
      </c>
      <c r="W35" s="13">
        <f>_xll.BDH("NBIX US Equity","OTHER_ADJUSTMENTS","FQ2 2024","FQ2 2024","Currency=USD","Period=FQ","BEST_FPERIOD_OVERRIDE=FQ","FILING_STATUS=MR","SCALING_FORMAT=MLN","Sort=A","Dates=H","DateFormat=P","Fill=—","Direction=H","UseDPDF=Y")</f>
        <v>0</v>
      </c>
      <c r="X35" s="13">
        <f>_xll.BDH("NBIX US Equity","OTHER_ADJUSTMENTS","FQ3 2024","FQ3 2024","Currency=USD","Period=FQ","BEST_FPERIOD_OVERRIDE=FQ","FILING_STATUS=MR","SCALING_FORMAT=MLN","Sort=A","Dates=H","DateFormat=P","Fill=—","Direction=H","UseDPDF=Y")</f>
        <v>0</v>
      </c>
      <c r="Y35" s="13">
        <f>_xll.BDH("NBIX US Equity","OTHER_ADJUSTMENTS","FQ4 2024","FQ4 2024","Currency=USD","Period=FQ","BEST_FPERIOD_OVERRIDE=FQ","FILING_STATUS=MR","SCALING_FORMAT=MLN","Sort=A","Dates=H","DateFormat=P","Fill=—","Direction=H","UseDPDF=Y")</f>
        <v>0</v>
      </c>
      <c r="Z35" s="13"/>
      <c r="AA35" s="13"/>
    </row>
    <row r="36" spans="1:27" x14ac:dyDescent="0.25">
      <c r="A36" s="6" t="s">
        <v>382</v>
      </c>
      <c r="B36" s="6" t="s">
        <v>80</v>
      </c>
      <c r="C36" s="19">
        <f>_xll.BDH("NBIX US Equity","EARN_FOR_COMMON","FQ2 2019","FQ2 2019","Currency=USD","Period=FQ","BEST_FPERIOD_OVERRIDE=FQ","FILING_STATUS=MR","SCALING_FORMAT=MLN","FA_ADJUSTED=GAAP","Sort=A","Dates=H","DateFormat=P","Fill=—","Direction=H","UseDPDF=Y")</f>
        <v>51.338000000000001</v>
      </c>
      <c r="D36" s="19">
        <f>_xll.BDH("NBIX US Equity","EARN_FOR_COMMON","FQ3 2019","FQ3 2019","Currency=USD","Period=FQ","BEST_FPERIOD_OVERRIDE=FQ","FILING_STATUS=MR","SCALING_FORMAT=MLN","FA_ADJUSTED=GAAP","Sort=A","Dates=H","DateFormat=P","Fill=—","Direction=H","UseDPDF=Y")</f>
        <v>53.789000000000001</v>
      </c>
      <c r="E36" s="19">
        <f>_xll.BDH("NBIX US Equity","EARN_FOR_COMMON","FQ4 2019","FQ4 2019","Currency=USD","Period=FQ","BEST_FPERIOD_OVERRIDE=FQ","FILING_STATUS=MR","SCALING_FORMAT=MLN","FA_ADJUSTED=GAAP","Sort=A","Dates=H","DateFormat=P","Fill=—","Direction=H","UseDPDF=Y")</f>
        <v>34</v>
      </c>
      <c r="F36" s="19">
        <f>_xll.BDH("NBIX US Equity","EARN_FOR_COMMON","FQ1 2020","FQ1 2020","Currency=USD","Period=FQ","BEST_FPERIOD_OVERRIDE=FQ","FILING_STATUS=MR","SCALING_FORMAT=MLN","FA_ADJUSTED=GAAP","Sort=A","Dates=H","DateFormat=P","Fill=—","Direction=H","UseDPDF=Y")</f>
        <v>37.4</v>
      </c>
      <c r="G36" s="19">
        <f>_xll.BDH("NBIX US Equity","EARN_FOR_COMMON","FQ2 2020","FQ2 2020","Currency=USD","Period=FQ","BEST_FPERIOD_OVERRIDE=FQ","FILING_STATUS=MR","SCALING_FORMAT=MLN","FA_ADJUSTED=GAAP","Sort=A","Dates=H","DateFormat=P","Fill=—","Direction=H","UseDPDF=Y")</f>
        <v>79.599999999999994</v>
      </c>
      <c r="H36" s="19">
        <f>_xll.BDH("NBIX US Equity","EARN_FOR_COMMON","FQ3 2020","FQ3 2020","Currency=USD","Period=FQ","BEST_FPERIOD_OVERRIDE=FQ","FILING_STATUS=MR","SCALING_FORMAT=MLN","FA_ADJUSTED=GAAP","Sort=A","Dates=H","DateFormat=P","Fill=—","Direction=H","UseDPDF=Y")</f>
        <v>-57.6</v>
      </c>
      <c r="I36" s="19">
        <f>_xll.BDH("NBIX US Equity","EARN_FOR_COMMON","FQ4 2020","FQ4 2020","Currency=USD","Period=FQ","BEST_FPERIOD_OVERRIDE=FQ","FILING_STATUS=MR","SCALING_FORMAT=MLN","FA_ADJUSTED=GAAP","Sort=A","Dates=H","DateFormat=P","Fill=—","Direction=H","UseDPDF=Y")</f>
        <v>347.9</v>
      </c>
      <c r="J36" s="19">
        <f>_xll.BDH("NBIX US Equity","EARN_FOR_COMMON","FQ1 2021","FQ1 2021","Currency=USD","Period=FQ","BEST_FPERIOD_OVERRIDE=FQ","FILING_STATUS=MR","SCALING_FORMAT=MLN","FA_ADJUSTED=GAAP","Sort=A","Dates=H","DateFormat=P","Fill=—","Direction=H","UseDPDF=Y")</f>
        <v>32.1</v>
      </c>
      <c r="K36" s="19">
        <f>_xll.BDH("NBIX US Equity","EARN_FOR_COMMON","FQ2 2021","FQ2 2021","Currency=USD","Period=FQ","BEST_FPERIOD_OVERRIDE=FQ","FILING_STATUS=MR","SCALING_FORMAT=MLN","FA_ADJUSTED=GAAP","Sort=A","Dates=H","DateFormat=P","Fill=—","Direction=H","UseDPDF=Y")</f>
        <v>42.3</v>
      </c>
      <c r="L36" s="19">
        <f>_xll.BDH("NBIX US Equity","EARN_FOR_COMMON","FQ3 2021","FQ3 2021","Currency=USD","Period=FQ","BEST_FPERIOD_OVERRIDE=FQ","FILING_STATUS=MR","SCALING_FORMAT=MLN","FA_ADJUSTED=GAAP","Sort=A","Dates=H","DateFormat=P","Fill=—","Direction=H","UseDPDF=Y")</f>
        <v>22.5</v>
      </c>
      <c r="M36" s="19">
        <f>_xll.BDH("NBIX US Equity","EARN_FOR_COMMON","FQ4 2021","FQ4 2021","Currency=USD","Period=FQ","BEST_FPERIOD_OVERRIDE=FQ","FILING_STATUS=MR","SCALING_FORMAT=MLN","FA_ADJUSTED=GAAP","Sort=A","Dates=H","DateFormat=P","Fill=—","Direction=H","UseDPDF=Y")</f>
        <v>-7.3</v>
      </c>
      <c r="N36" s="19">
        <f>_xll.BDH("NBIX US Equity","EARN_FOR_COMMON","FQ1 2022","FQ1 2022","Currency=USD","Period=FQ","BEST_FPERIOD_OVERRIDE=FQ","FILING_STATUS=MR","SCALING_FORMAT=MLN","FA_ADJUSTED=GAAP","Sort=A","Dates=H","DateFormat=P","Fill=—","Direction=H","UseDPDF=Y")</f>
        <v>13.9</v>
      </c>
      <c r="O36" s="19">
        <f>_xll.BDH("NBIX US Equity","EARN_FOR_COMMON","FQ2 2022","FQ2 2022","Currency=USD","Period=FQ","BEST_FPERIOD_OVERRIDE=FQ","FILING_STATUS=MR","SCALING_FORMAT=MLN","FA_ADJUSTED=GAAP","Sort=A","Dates=H","DateFormat=P","Fill=—","Direction=H","UseDPDF=Y")</f>
        <v>-16.899999999999999</v>
      </c>
      <c r="P36" s="19">
        <f>_xll.BDH("NBIX US Equity","EARN_FOR_COMMON","FQ3 2022","FQ3 2022","Currency=USD","Period=FQ","BEST_FPERIOD_OVERRIDE=FQ","FILING_STATUS=MR","SCALING_FORMAT=MLN","FA_ADJUSTED=GAAP","Sort=A","Dates=H","DateFormat=P","Fill=—","Direction=H","UseDPDF=Y")</f>
        <v>68.5</v>
      </c>
      <c r="Q36" s="19">
        <f>_xll.BDH("NBIX US Equity","EARN_FOR_COMMON","FQ4 2022","FQ4 2022","Currency=USD","Period=FQ","BEST_FPERIOD_OVERRIDE=FQ","FILING_STATUS=MR","SCALING_FORMAT=MLN","FA_ADJUSTED=GAAP","Sort=A","Dates=H","DateFormat=P","Fill=—","Direction=H","UseDPDF=Y")</f>
        <v>89</v>
      </c>
      <c r="R36" s="19">
        <f>_xll.BDH("NBIX US Equity","EARN_FOR_COMMON","FQ1 2023","FQ1 2023","Currency=USD","Period=FQ","BEST_FPERIOD_OVERRIDE=FQ","FILING_STATUS=MR","SCALING_FORMAT=MLN","FA_ADJUSTED=GAAP","Sort=A","Dates=H","DateFormat=P","Fill=—","Direction=H","UseDPDF=Y")</f>
        <v>-76.599999999999994</v>
      </c>
      <c r="S36" s="19">
        <f>_xll.BDH("NBIX US Equity","EARN_FOR_COMMON","FQ2 2023","FQ2 2023","Currency=USD","Period=FQ","BEST_FPERIOD_OVERRIDE=FQ","FILING_STATUS=MR","SCALING_FORMAT=MLN","FA_ADJUSTED=GAAP","Sort=A","Dates=H","DateFormat=P","Fill=—","Direction=H","UseDPDF=Y")</f>
        <v>95.5</v>
      </c>
      <c r="T36" s="19">
        <f>_xll.BDH("NBIX US Equity","EARN_FOR_COMMON","FQ3 2023","FQ3 2023","Currency=USD","Period=FQ","BEST_FPERIOD_OVERRIDE=FQ","FILING_STATUS=MR","SCALING_FORMAT=MLN","FA_ADJUSTED=GAAP","Sort=A","Dates=H","DateFormat=P","Fill=—","Direction=H","UseDPDF=Y")</f>
        <v>83.1</v>
      </c>
      <c r="U36" s="19">
        <f>_xll.BDH("NBIX US Equity","EARN_FOR_COMMON","FQ4 2023","FQ4 2023","Currency=USD","Period=FQ","BEST_FPERIOD_OVERRIDE=FQ","FILING_STATUS=MR","SCALING_FORMAT=MLN","FA_ADJUSTED=GAAP","Sort=A","Dates=H","DateFormat=P","Fill=—","Direction=H","UseDPDF=Y")</f>
        <v>147.69999999999999</v>
      </c>
      <c r="V36" s="19">
        <f>_xll.BDH("NBIX US Equity","EARN_FOR_COMMON","FQ1 2024","FQ1 2024","Currency=USD","Period=FQ","BEST_FPERIOD_OVERRIDE=FQ","FILING_STATUS=MR","SCALING_FORMAT=MLN","FA_ADJUSTED=GAAP","Sort=A","Dates=H","DateFormat=P","Fill=—","Direction=H","UseDPDF=Y")</f>
        <v>43.4</v>
      </c>
      <c r="W36" s="19">
        <f>_xll.BDH("NBIX US Equity","EARN_FOR_COMMON","FQ2 2024","FQ2 2024","Currency=USD","Period=FQ","BEST_FPERIOD_OVERRIDE=FQ","FILING_STATUS=MR","SCALING_FORMAT=MLN","FA_ADJUSTED=GAAP","Sort=A","Dates=H","DateFormat=P","Fill=—","Direction=H","UseDPDF=Y")</f>
        <v>65</v>
      </c>
      <c r="X36" s="19">
        <f>_xll.BDH("NBIX US Equity","EARN_FOR_COMMON","FQ3 2024","FQ3 2024","Currency=USD","Period=FQ","BEST_FPERIOD_OVERRIDE=FQ","FILING_STATUS=MR","SCALING_FORMAT=MLN","FA_ADJUSTED=GAAP","Sort=A","Dates=H","DateFormat=P","Fill=—","Direction=H","UseDPDF=Y")</f>
        <v>129.80000000000001</v>
      </c>
      <c r="Y36" s="19">
        <f>_xll.BDH("NBIX US Equity","EARN_FOR_COMMON","FQ4 2024","FQ4 2024","Currency=USD","Period=FQ","BEST_FPERIOD_OVERRIDE=FQ","FILING_STATUS=MR","SCALING_FORMAT=MLN","FA_ADJUSTED=GAAP","Sort=A","Dates=H","DateFormat=P","Fill=—","Direction=H","UseDPDF=Y")</f>
        <v>103.1</v>
      </c>
      <c r="Z36" s="19">
        <v>85.611000000000004</v>
      </c>
      <c r="AA36" s="19">
        <v>97.533000000000001</v>
      </c>
    </row>
    <row r="37" spans="1:27" x14ac:dyDescent="0.25">
      <c r="A37" s="6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6" t="s">
        <v>383</v>
      </c>
      <c r="B38" s="6" t="s">
        <v>80</v>
      </c>
      <c r="C38" s="19">
        <f>_xll.BDH("NBIX US Equity","EARN_FOR_COMMON","FQ2 2019","FQ2 2019","Currency=USD","Period=FQ","BEST_FPERIOD_OVERRIDE=FQ","FILING_STATUS=MR","SCALING_FORMAT=MLN","FA_ADJUSTED=Adjusted","Sort=A","Dates=H","DateFormat=P","Fill=—","Direction=H","UseDPDF=Y")</f>
        <v>38.725700000000003</v>
      </c>
      <c r="D38" s="19">
        <f>_xll.BDH("NBIX US Equity","EARN_FOR_COMMON","FQ3 2019","FQ3 2019","Currency=USD","Period=FQ","BEST_FPERIOD_OVERRIDE=FQ","FILING_STATUS=MR","SCALING_FORMAT=MLN","FA_ADJUSTED=Adjusted","Sort=A","Dates=H","DateFormat=P","Fill=—","Direction=H","UseDPDF=Y")</f>
        <v>76.264499999999998</v>
      </c>
      <c r="E38" s="19">
        <f>_xll.BDH("NBIX US Equity","EARN_FOR_COMMON","FQ4 2019","FQ4 2019","Currency=USD","Period=FQ","BEST_FPERIOD_OVERRIDE=FQ","FILING_STATUS=MR","SCALING_FORMAT=MLN","FA_ADJUSTED=Adjusted","Sort=A","Dates=H","DateFormat=P","Fill=—","Direction=H","UseDPDF=Y")</f>
        <v>76.896799999999999</v>
      </c>
      <c r="F38" s="19">
        <f>_xll.BDH("NBIX US Equity","EARN_FOR_COMMON","FQ1 2020","FQ1 2020","Currency=USD","Period=FQ","BEST_FPERIOD_OVERRIDE=FQ","FILING_STATUS=MR","SCALING_FORMAT=MLN","FA_ADJUSTED=Adjusted","Sort=A","Dates=H","DateFormat=P","Fill=—","Direction=H","UseDPDF=Y")</f>
        <v>53.290300000000002</v>
      </c>
      <c r="G38" s="19">
        <f>_xll.BDH("NBIX US Equity","EARN_FOR_COMMON","FQ2 2020","FQ2 2020","Currency=USD","Period=FQ","BEST_FPERIOD_OVERRIDE=FQ","FILING_STATUS=MR","SCALING_FORMAT=MLN","FA_ADJUSTED=Adjusted","Sort=A","Dates=H","DateFormat=P","Fill=—","Direction=H","UseDPDF=Y")</f>
        <v>114.2418</v>
      </c>
      <c r="H38" s="19">
        <f>_xll.BDH("NBIX US Equity","EARN_FOR_COMMON","FQ3 2020","FQ3 2020","Currency=USD","Period=FQ","BEST_FPERIOD_OVERRIDE=FQ","FILING_STATUS=MR","SCALING_FORMAT=MLN","FA_ADJUSTED=Adjusted","Sort=A","Dates=H","DateFormat=P","Fill=—","Direction=H","UseDPDF=Y")</f>
        <v>65.025999999999996</v>
      </c>
      <c r="I38" s="19">
        <f>_xll.BDH("NBIX US Equity","EARN_FOR_COMMON","FQ4 2020","FQ4 2020","Currency=USD","Period=FQ","BEST_FPERIOD_OVERRIDE=FQ","FILING_STATUS=MR","SCALING_FORMAT=MLN","FA_ADJUSTED=Adjusted","Sort=A","Dates=H","DateFormat=P","Fill=—","Direction=H","UseDPDF=Y")</f>
        <v>221.69630000000001</v>
      </c>
      <c r="J38" s="19">
        <f>_xll.BDH("NBIX US Equity","EARN_FOR_COMMON","FQ1 2021","FQ1 2021","Currency=USD","Period=FQ","BEST_FPERIOD_OVERRIDE=FQ","FILING_STATUS=MR","SCALING_FORMAT=MLN","FA_ADJUSTED=Adjusted","Sort=A","Dates=H","DateFormat=P","Fill=—","Direction=H","UseDPDF=Y")</f>
        <v>31.7867</v>
      </c>
      <c r="K38" s="19">
        <f>_xll.BDH("NBIX US Equity","EARN_FOR_COMMON","FQ2 2021","FQ2 2021","Currency=USD","Period=FQ","BEST_FPERIOD_OVERRIDE=FQ","FILING_STATUS=MR","SCALING_FORMAT=MLN","FA_ADJUSTED=Adjusted","Sort=A","Dates=H","DateFormat=P","Fill=—","Direction=H","UseDPDF=Y")</f>
        <v>46.698099999999997</v>
      </c>
      <c r="L38" s="19">
        <f>_xll.BDH("NBIX US Equity","EARN_FOR_COMMON","FQ3 2021","FQ3 2021","Currency=USD","Period=FQ","BEST_FPERIOD_OVERRIDE=FQ","FILING_STATUS=MR","SCALING_FORMAT=MLN","FA_ADJUSTED=Adjusted","Sort=A","Dates=H","DateFormat=P","Fill=—","Direction=H","UseDPDF=Y")</f>
        <v>29.953099999999999</v>
      </c>
      <c r="M38" s="19">
        <f>_xll.BDH("NBIX US Equity","EARN_FOR_COMMON","FQ4 2021","FQ4 2021","Currency=USD","Period=FQ","BEST_FPERIOD_OVERRIDE=FQ","FILING_STATUS=MR","SCALING_FORMAT=MLN","FA_ADJUSTED=Adjusted","Sort=A","Dates=H","DateFormat=P","Fill=—","Direction=H","UseDPDF=Y")</f>
        <v>49.500999999999998</v>
      </c>
      <c r="N38" s="19">
        <f>_xll.BDH("NBIX US Equity","EARN_FOR_COMMON","FQ1 2022","FQ1 2022","Currency=USD","Period=FQ","BEST_FPERIOD_OVERRIDE=FQ","FILING_STATUS=MR","SCALING_FORMAT=MLN","FA_ADJUSTED=Adjusted","Sort=A","Dates=H","DateFormat=P","Fill=—","Direction=H","UseDPDF=Y")</f>
        <v>-4.0669000000000004</v>
      </c>
      <c r="O38" s="19">
        <f>_xll.BDH("NBIX US Equity","EARN_FOR_COMMON","FQ2 2022","FQ2 2022","Currency=USD","Period=FQ","BEST_FPERIOD_OVERRIDE=FQ","FILING_STATUS=MR","SCALING_FORMAT=MLN","FA_ADJUSTED=Adjusted","Sort=A","Dates=H","DateFormat=P","Fill=—","Direction=H","UseDPDF=Y")</f>
        <v>-11.054</v>
      </c>
      <c r="P38" s="19">
        <f>_xll.BDH("NBIX US Equity","EARN_FOR_COMMON","FQ3 2022","FQ3 2022","Currency=USD","Period=FQ","BEST_FPERIOD_OVERRIDE=FQ","FILING_STATUS=MR","SCALING_FORMAT=MLN","FA_ADJUSTED=Adjusted","Sort=A","Dates=H","DateFormat=P","Fill=—","Direction=H","UseDPDF=Y")</f>
        <v>78.789299999999997</v>
      </c>
      <c r="Q38" s="19">
        <f>_xll.BDH("NBIX US Equity","EARN_FOR_COMMON","FQ4 2022","FQ4 2022","Currency=USD","Period=FQ","BEST_FPERIOD_OVERRIDE=FQ","FILING_STATUS=MR","SCALING_FORMAT=MLN","FA_ADJUSTED=Adjusted","Sort=A","Dates=H","DateFormat=P","Fill=—","Direction=H","UseDPDF=Y")</f>
        <v>90.033799999999999</v>
      </c>
      <c r="R38" s="19">
        <f>_xll.BDH("NBIX US Equity","EARN_FOR_COMMON","FQ1 2023","FQ1 2023","Currency=USD","Period=FQ","BEST_FPERIOD_OVERRIDE=FQ","FILING_STATUS=MR","SCALING_FORMAT=MLN","FA_ADJUSTED=Adjusted","Sort=A","Dates=H","DateFormat=P","Fill=—","Direction=H","UseDPDF=Y")</f>
        <v>35.544400000000003</v>
      </c>
      <c r="S38" s="19">
        <f>_xll.BDH("NBIX US Equity","EARN_FOR_COMMON","FQ2 2023","FQ2 2023","Currency=USD","Period=FQ","BEST_FPERIOD_OVERRIDE=FQ","FILING_STATUS=MR","SCALING_FORMAT=MLN","FA_ADJUSTED=Adjusted","Sort=A","Dates=H","DateFormat=P","Fill=—","Direction=H","UseDPDF=Y")</f>
        <v>66.033000000000001</v>
      </c>
      <c r="T38" s="19">
        <f>_xll.BDH("NBIX US Equity","EARN_FOR_COMMON","FQ3 2023","FQ3 2023","Currency=USD","Period=FQ","BEST_FPERIOD_OVERRIDE=FQ","FILING_STATUS=MR","SCALING_FORMAT=MLN","FA_ADJUSTED=Adjusted","Sort=A","Dates=H","DateFormat=P","Fill=—","Direction=H","UseDPDF=Y")</f>
        <v>138.017</v>
      </c>
      <c r="U38" s="19">
        <f>_xll.BDH("NBIX US Equity","EARN_FOR_COMMON","FQ4 2023","FQ4 2023","Currency=USD","Period=FQ","BEST_FPERIOD_OVERRIDE=FQ","FILING_STATUS=MR","SCALING_FORMAT=MLN","FA_ADJUSTED=Adjusted","Sort=A","Dates=H","DateFormat=P","Fill=—","Direction=H","UseDPDF=Y")</f>
        <v>124.79</v>
      </c>
      <c r="V38" s="19">
        <f>_xll.BDH("NBIX US Equity","EARN_FOR_COMMON","FQ1 2024","FQ1 2024","Currency=USD","Period=FQ","BEST_FPERIOD_OVERRIDE=FQ","FILING_STATUS=MR","SCALING_FORMAT=MLN","FA_ADJUSTED=Adjusted","Sort=A","Dates=H","DateFormat=P","Fill=—","Direction=H","UseDPDF=Y")</f>
        <v>47.158499999999997</v>
      </c>
      <c r="W38" s="19">
        <f>_xll.BDH("NBIX US Equity","EARN_FOR_COMMON","FQ2 2024","FQ2 2024","Currency=USD","Period=FQ","BEST_FPERIOD_OVERRIDE=FQ","FILING_STATUS=MR","SCALING_FORMAT=MLN","FA_ADJUSTED=Adjusted","Sort=A","Dates=H","DateFormat=P","Fill=—","Direction=H","UseDPDF=Y")</f>
        <v>174.25710000000001</v>
      </c>
      <c r="X38" s="19">
        <f>_xll.BDH("NBIX US Equity","EARN_FOR_COMMON","FQ3 2024","FQ3 2024","Currency=USD","Period=FQ","BEST_FPERIOD_OVERRIDE=FQ","FILING_STATUS=MR","SCALING_FORMAT=MLN","FA_ADJUSTED=Adjusted","Sort=A","Dates=H","DateFormat=P","Fill=—","Direction=H","UseDPDF=Y")</f>
        <v>157.27289999999999</v>
      </c>
      <c r="Y38" s="19">
        <f>_xll.BDH("NBIX US Equity","EARN_FOR_COMMON","FQ4 2024","FQ4 2024","Currency=USD","Period=FQ","BEST_FPERIOD_OVERRIDE=FQ","FILING_STATUS=MR","SCALING_FORMAT=MLN","FA_ADJUSTED=Adjusted","Sort=A","Dates=H","DateFormat=P","Fill=—","Direction=H","UseDPDF=Y")</f>
        <v>107.37269999999999</v>
      </c>
      <c r="Z38" s="19">
        <v>115.45</v>
      </c>
      <c r="AA38" s="19">
        <v>135.04</v>
      </c>
    </row>
    <row r="39" spans="1:27" x14ac:dyDescent="0.25">
      <c r="A39" s="10" t="s">
        <v>384</v>
      </c>
      <c r="B39" s="10" t="s">
        <v>385</v>
      </c>
      <c r="C39" s="13">
        <f>_xll.BDH("NBIX US Equity","IS_NET_ABNORMAL_ITEMS","FQ2 2019","FQ2 2019","Currency=USD","Period=FQ","BEST_FPERIOD_OVERRIDE=FQ","FILING_STATUS=MR","SCALING_FORMAT=MLN","Sort=A","Dates=H","DateFormat=P","Fill=—","Direction=H","UseDPDF=Y")</f>
        <v>-12.612399999999999</v>
      </c>
      <c r="D39" s="13">
        <f>_xll.BDH("NBIX US Equity","IS_NET_ABNORMAL_ITEMS","FQ3 2019","FQ3 2019","Currency=USD","Period=FQ","BEST_FPERIOD_OVERRIDE=FQ","FILING_STATUS=MR","SCALING_FORMAT=MLN","Sort=A","Dates=H","DateFormat=P","Fill=—","Direction=H","UseDPDF=Y")</f>
        <v>22.4755</v>
      </c>
      <c r="E39" s="13">
        <f>_xll.BDH("NBIX US Equity","IS_NET_ABNORMAL_ITEMS","FQ4 2019","FQ4 2019","Currency=USD","Period=FQ","BEST_FPERIOD_OVERRIDE=FQ","FILING_STATUS=MR","SCALING_FORMAT=MLN","Sort=A","Dates=H","DateFormat=P","Fill=—","Direction=H","UseDPDF=Y")</f>
        <v>42.896799999999999</v>
      </c>
      <c r="F39" s="13">
        <f>_xll.BDH("NBIX US Equity","IS_NET_ABNORMAL_ITEMS","FQ1 2020","FQ1 2020","Currency=USD","Period=FQ","BEST_FPERIOD_OVERRIDE=FQ","FILING_STATUS=MR","SCALING_FORMAT=MLN","Sort=A","Dates=H","DateFormat=P","Fill=—","Direction=H","UseDPDF=Y")</f>
        <v>15.8903</v>
      </c>
      <c r="G39" s="13">
        <f>_xll.BDH("NBIX US Equity","IS_NET_ABNORMAL_ITEMS","FQ2 2020","FQ2 2020","Currency=USD","Period=FQ","BEST_FPERIOD_OVERRIDE=FQ","FILING_STATUS=MR","SCALING_FORMAT=MLN","Sort=A","Dates=H","DateFormat=P","Fill=—","Direction=H","UseDPDF=Y")</f>
        <v>34.641800000000003</v>
      </c>
      <c r="H39" s="13">
        <f>_xll.BDH("NBIX US Equity","IS_NET_ABNORMAL_ITEMS","FQ3 2020","FQ3 2020","Currency=USD","Period=FQ","BEST_FPERIOD_OVERRIDE=FQ","FILING_STATUS=MR","SCALING_FORMAT=MLN","Sort=A","Dates=H","DateFormat=P","Fill=—","Direction=H","UseDPDF=Y")</f>
        <v>122.626</v>
      </c>
      <c r="I39" s="13">
        <f>_xll.BDH("NBIX US Equity","IS_NET_ABNORMAL_ITEMS","FQ4 2020","FQ4 2020","Currency=USD","Period=FQ","BEST_FPERIOD_OVERRIDE=FQ","FILING_STATUS=MR","SCALING_FORMAT=MLN","Sort=A","Dates=H","DateFormat=P","Fill=—","Direction=H","UseDPDF=Y")</f>
        <v>-126.2037</v>
      </c>
      <c r="J39" s="13">
        <f>_xll.BDH("NBIX US Equity","IS_NET_ABNORMAL_ITEMS","FQ1 2021","FQ1 2021","Currency=USD","Period=FQ","BEST_FPERIOD_OVERRIDE=FQ","FILING_STATUS=MR","SCALING_FORMAT=MLN","Sort=A","Dates=H","DateFormat=P","Fill=—","Direction=H","UseDPDF=Y")</f>
        <v>-0.31330000000000002</v>
      </c>
      <c r="K39" s="13">
        <f>_xll.BDH("NBIX US Equity","IS_NET_ABNORMAL_ITEMS","FQ2 2021","FQ2 2021","Currency=USD","Period=FQ","BEST_FPERIOD_OVERRIDE=FQ","FILING_STATUS=MR","SCALING_FORMAT=MLN","Sort=A","Dates=H","DateFormat=P","Fill=—","Direction=H","UseDPDF=Y")</f>
        <v>4.3981000000000003</v>
      </c>
      <c r="L39" s="13">
        <f>_xll.BDH("NBIX US Equity","IS_NET_ABNORMAL_ITEMS","FQ3 2021","FQ3 2021","Currency=USD","Period=FQ","BEST_FPERIOD_OVERRIDE=FQ","FILING_STATUS=MR","SCALING_FORMAT=MLN","Sort=A","Dates=H","DateFormat=P","Fill=—","Direction=H","UseDPDF=Y")</f>
        <v>7.4531000000000001</v>
      </c>
      <c r="M39" s="13">
        <f>_xll.BDH("NBIX US Equity","IS_NET_ABNORMAL_ITEMS","FQ4 2021","FQ4 2021","Currency=USD","Period=FQ","BEST_FPERIOD_OVERRIDE=FQ","FILING_STATUS=MR","SCALING_FORMAT=MLN","Sort=A","Dates=H","DateFormat=P","Fill=—","Direction=H","UseDPDF=Y")</f>
        <v>56.801000000000002</v>
      </c>
      <c r="N39" s="13">
        <f>_xll.BDH("NBIX US Equity","IS_NET_ABNORMAL_ITEMS","FQ1 2022","FQ1 2022","Currency=USD","Period=FQ","BEST_FPERIOD_OVERRIDE=FQ","FILING_STATUS=MR","SCALING_FORMAT=MLN","Sort=A","Dates=H","DateFormat=P","Fill=—","Direction=H","UseDPDF=Y")</f>
        <v>-17.966899999999999</v>
      </c>
      <c r="O39" s="13">
        <f>_xll.BDH("NBIX US Equity","IS_NET_ABNORMAL_ITEMS","FQ2 2022","FQ2 2022","Currency=USD","Period=FQ","BEST_FPERIOD_OVERRIDE=FQ","FILING_STATUS=MR","SCALING_FORMAT=MLN","Sort=A","Dates=H","DateFormat=P","Fill=—","Direction=H","UseDPDF=Y")</f>
        <v>5.8460000000000001</v>
      </c>
      <c r="P39" s="13">
        <f>_xll.BDH("NBIX US Equity","IS_NET_ABNORMAL_ITEMS","FQ3 2022","FQ3 2022","Currency=USD","Period=FQ","BEST_FPERIOD_OVERRIDE=FQ","FILING_STATUS=MR","SCALING_FORMAT=MLN","Sort=A","Dates=H","DateFormat=P","Fill=—","Direction=H","UseDPDF=Y")</f>
        <v>10.289300000000001</v>
      </c>
      <c r="Q39" s="13">
        <f>_xll.BDH("NBIX US Equity","IS_NET_ABNORMAL_ITEMS","FQ4 2022","FQ4 2022","Currency=USD","Period=FQ","BEST_FPERIOD_OVERRIDE=FQ","FILING_STATUS=MR","SCALING_FORMAT=MLN","Sort=A","Dates=H","DateFormat=P","Fill=—","Direction=H","UseDPDF=Y")</f>
        <v>1.0338000000000001</v>
      </c>
      <c r="R39" s="13">
        <f>_xll.BDH("NBIX US Equity","IS_NET_ABNORMAL_ITEMS","FQ1 2023","FQ1 2023","Currency=USD","Period=FQ","BEST_FPERIOD_OVERRIDE=FQ","FILING_STATUS=MR","SCALING_FORMAT=MLN","Sort=A","Dates=H","DateFormat=P","Fill=—","Direction=H","UseDPDF=Y")</f>
        <v>112.1444</v>
      </c>
      <c r="S39" s="13">
        <f>_xll.BDH("NBIX US Equity","IS_NET_ABNORMAL_ITEMS","FQ2 2023","FQ2 2023","Currency=USD","Period=FQ","BEST_FPERIOD_OVERRIDE=FQ","FILING_STATUS=MR","SCALING_FORMAT=MLN","Sort=A","Dates=H","DateFormat=P","Fill=—","Direction=H","UseDPDF=Y")</f>
        <v>-29.466999999999999</v>
      </c>
      <c r="T39" s="13">
        <f>_xll.BDH("NBIX US Equity","IS_NET_ABNORMAL_ITEMS","FQ3 2023","FQ3 2023","Currency=USD","Period=FQ","BEST_FPERIOD_OVERRIDE=FQ","FILING_STATUS=MR","SCALING_FORMAT=MLN","Sort=A","Dates=H","DateFormat=P","Fill=—","Direction=H","UseDPDF=Y")</f>
        <v>54.917000000000002</v>
      </c>
      <c r="U39" s="13">
        <f>_xll.BDH("NBIX US Equity","IS_NET_ABNORMAL_ITEMS","FQ4 2023","FQ4 2023","Currency=USD","Period=FQ","BEST_FPERIOD_OVERRIDE=FQ","FILING_STATUS=MR","SCALING_FORMAT=MLN","Sort=A","Dates=H","DateFormat=P","Fill=—","Direction=H","UseDPDF=Y")</f>
        <v>-22.91</v>
      </c>
      <c r="V39" s="13">
        <f>_xll.BDH("NBIX US Equity","IS_NET_ABNORMAL_ITEMS","FQ1 2024","FQ1 2024","Currency=USD","Period=FQ","BEST_FPERIOD_OVERRIDE=FQ","FILING_STATUS=MR","SCALING_FORMAT=MLN","Sort=A","Dates=H","DateFormat=P","Fill=—","Direction=H","UseDPDF=Y")</f>
        <v>3.7585000000000002</v>
      </c>
      <c r="W39" s="13">
        <f>_xll.BDH("NBIX US Equity","IS_NET_ABNORMAL_ITEMS","FQ2 2024","FQ2 2024","Currency=USD","Period=FQ","BEST_FPERIOD_OVERRIDE=FQ","FILING_STATUS=MR","SCALING_FORMAT=MLN","Sort=A","Dates=H","DateFormat=P","Fill=—","Direction=H","UseDPDF=Y")</f>
        <v>109.25709999999999</v>
      </c>
      <c r="X39" s="13">
        <f>_xll.BDH("NBIX US Equity","IS_NET_ABNORMAL_ITEMS","FQ3 2024","FQ3 2024","Currency=USD","Period=FQ","BEST_FPERIOD_OVERRIDE=FQ","FILING_STATUS=MR","SCALING_FORMAT=MLN","Sort=A","Dates=H","DateFormat=P","Fill=—","Direction=H","UseDPDF=Y")</f>
        <v>27.472899999999999</v>
      </c>
      <c r="Y39" s="13">
        <f>_xll.BDH("NBIX US Equity","IS_NET_ABNORMAL_ITEMS","FQ4 2024","FQ4 2024","Currency=USD","Period=FQ","BEST_FPERIOD_OVERRIDE=FQ","FILING_STATUS=MR","SCALING_FORMAT=MLN","Sort=A","Dates=H","DateFormat=P","Fill=—","Direction=H","UseDPDF=Y")</f>
        <v>4.2727000000000004</v>
      </c>
      <c r="Z39" s="13"/>
      <c r="AA39" s="13"/>
    </row>
    <row r="40" spans="1:27" x14ac:dyDescent="0.25">
      <c r="A40" s="10" t="s">
        <v>386</v>
      </c>
      <c r="B40" s="10" t="s">
        <v>367</v>
      </c>
      <c r="C40" s="13">
        <f>_xll.BDH("NBIX US Equity","XO_GL_NET_OF_TAX","FQ2 2019","FQ2 2019","Currency=USD","Period=FQ","BEST_FPERIOD_OVERRIDE=FQ","FILING_STATUS=MR","SCALING_FORMAT=MLN","Sort=A","Dates=H","DateFormat=P","Fill=—","Direction=H","UseDPDF=Y")</f>
        <v>0</v>
      </c>
      <c r="D40" s="13">
        <f>_xll.BDH("NBIX US Equity","XO_GL_NET_OF_TAX","FQ3 2019","FQ3 2019","Currency=USD","Period=FQ","BEST_FPERIOD_OVERRIDE=FQ","FILING_STATUS=MR","SCALING_FORMAT=MLN","Sort=A","Dates=H","DateFormat=P","Fill=—","Direction=H","UseDPDF=Y")</f>
        <v>0</v>
      </c>
      <c r="E40" s="13">
        <f>_xll.BDH("NBIX US Equity","XO_GL_NET_OF_TAX","FQ4 2019","FQ4 2019","Currency=USD","Period=FQ","BEST_FPERIOD_OVERRIDE=FQ","FILING_STATUS=MR","SCALING_FORMAT=MLN","Sort=A","Dates=H","DateFormat=P","Fill=—","Direction=H","UseDPDF=Y")</f>
        <v>0</v>
      </c>
      <c r="F40" s="13">
        <f>_xll.BDH("NBIX US Equity","XO_GL_NET_OF_TAX","FQ1 2020","FQ1 2020","Currency=USD","Period=FQ","BEST_FPERIOD_OVERRIDE=FQ","FILING_STATUS=MR","SCALING_FORMAT=MLN","Sort=A","Dates=H","DateFormat=P","Fill=—","Direction=H","UseDPDF=Y")</f>
        <v>0</v>
      </c>
      <c r="G40" s="13">
        <f>_xll.BDH("NBIX US Equity","XO_GL_NET_OF_TAX","FQ2 2020","FQ2 2020","Currency=USD","Period=FQ","BEST_FPERIOD_OVERRIDE=FQ","FILING_STATUS=MR","SCALING_FORMAT=MLN","Sort=A","Dates=H","DateFormat=P","Fill=—","Direction=H","UseDPDF=Y")</f>
        <v>0</v>
      </c>
      <c r="H40" s="13">
        <f>_xll.BDH("NBIX US Equity","XO_GL_NET_OF_TAX","FQ3 2020","FQ3 2020","Currency=USD","Period=FQ","BEST_FPERIOD_OVERRIDE=FQ","FILING_STATUS=MR","SCALING_FORMAT=MLN","Sort=A","Dates=H","DateFormat=P","Fill=—","Direction=H","UseDPDF=Y")</f>
        <v>0</v>
      </c>
      <c r="I40" s="13">
        <f>_xll.BDH("NBIX US Equity","XO_GL_NET_OF_TAX","FQ4 2020","FQ4 2020","Currency=USD","Period=FQ","BEST_FPERIOD_OVERRIDE=FQ","FILING_STATUS=MR","SCALING_FORMAT=MLN","Sort=A","Dates=H","DateFormat=P","Fill=—","Direction=H","UseDPDF=Y")</f>
        <v>0</v>
      </c>
      <c r="J40" s="13">
        <f>_xll.BDH("NBIX US Equity","XO_GL_NET_OF_TAX","FQ1 2021","FQ1 2021","Currency=USD","Period=FQ","BEST_FPERIOD_OVERRIDE=FQ","FILING_STATUS=MR","SCALING_FORMAT=MLN","Sort=A","Dates=H","DateFormat=P","Fill=—","Direction=H","UseDPDF=Y")</f>
        <v>0</v>
      </c>
      <c r="K40" s="13">
        <f>_xll.BDH("NBIX US Equity","XO_GL_NET_OF_TAX","FQ2 2021","FQ2 2021","Currency=USD","Period=FQ","BEST_FPERIOD_OVERRIDE=FQ","FILING_STATUS=MR","SCALING_FORMAT=MLN","Sort=A","Dates=H","DateFormat=P","Fill=—","Direction=H","UseDPDF=Y")</f>
        <v>0</v>
      </c>
      <c r="L40" s="13">
        <f>_xll.BDH("NBIX US Equity","XO_GL_NET_OF_TAX","FQ3 2021","FQ3 2021","Currency=USD","Period=FQ","BEST_FPERIOD_OVERRIDE=FQ","FILING_STATUS=MR","SCALING_FORMAT=MLN","Sort=A","Dates=H","DateFormat=P","Fill=—","Direction=H","UseDPDF=Y")</f>
        <v>0</v>
      </c>
      <c r="M40" s="13">
        <f>_xll.BDH("NBIX US Equity","XO_GL_NET_OF_TAX","FQ4 2021","FQ4 2021","Currency=USD","Period=FQ","BEST_FPERIOD_OVERRIDE=FQ","FILING_STATUS=MR","SCALING_FORMAT=MLN","Sort=A","Dates=H","DateFormat=P","Fill=—","Direction=H","UseDPDF=Y")</f>
        <v>0</v>
      </c>
      <c r="N40" s="13">
        <f>_xll.BDH("NBIX US Equity","XO_GL_NET_OF_TAX","FQ1 2022","FQ1 2022","Currency=USD","Period=FQ","BEST_FPERIOD_OVERRIDE=FQ","FILING_STATUS=MR","SCALING_FORMAT=MLN","Sort=A","Dates=H","DateFormat=P","Fill=—","Direction=H","UseDPDF=Y")</f>
        <v>0</v>
      </c>
      <c r="O40" s="13">
        <f>_xll.BDH("NBIX US Equity","XO_GL_NET_OF_TAX","FQ2 2022","FQ2 2022","Currency=USD","Period=FQ","BEST_FPERIOD_OVERRIDE=FQ","FILING_STATUS=MR","SCALING_FORMAT=MLN","Sort=A","Dates=H","DateFormat=P","Fill=—","Direction=H","UseDPDF=Y")</f>
        <v>0</v>
      </c>
      <c r="P40" s="13">
        <f>_xll.BDH("NBIX US Equity","XO_GL_NET_OF_TAX","FQ3 2022","FQ3 2022","Currency=USD","Period=FQ","BEST_FPERIOD_OVERRIDE=FQ","FILING_STATUS=MR","SCALING_FORMAT=MLN","Sort=A","Dates=H","DateFormat=P","Fill=—","Direction=H","UseDPDF=Y")</f>
        <v>0</v>
      </c>
      <c r="Q40" s="13">
        <f>_xll.BDH("NBIX US Equity","XO_GL_NET_OF_TAX","FQ4 2022","FQ4 2022","Currency=USD","Period=FQ","BEST_FPERIOD_OVERRIDE=FQ","FILING_STATUS=MR","SCALING_FORMAT=MLN","Sort=A","Dates=H","DateFormat=P","Fill=—","Direction=H","UseDPDF=Y")</f>
        <v>0</v>
      </c>
      <c r="R40" s="13">
        <f>_xll.BDH("NBIX US Equity","XO_GL_NET_OF_TAX","FQ1 2023","FQ1 2023","Currency=USD","Period=FQ","BEST_FPERIOD_OVERRIDE=FQ","FILING_STATUS=MR","SCALING_FORMAT=MLN","Sort=A","Dates=H","DateFormat=P","Fill=—","Direction=H","UseDPDF=Y")</f>
        <v>0</v>
      </c>
      <c r="S40" s="13">
        <f>_xll.BDH("NBIX US Equity","XO_GL_NET_OF_TAX","FQ2 2023","FQ2 2023","Currency=USD","Period=FQ","BEST_FPERIOD_OVERRIDE=FQ","FILING_STATUS=MR","SCALING_FORMAT=MLN","Sort=A","Dates=H","DateFormat=P","Fill=—","Direction=H","UseDPDF=Y")</f>
        <v>0</v>
      </c>
      <c r="T40" s="13">
        <f>_xll.BDH("NBIX US Equity","XO_GL_NET_OF_TAX","FQ3 2023","FQ3 2023","Currency=USD","Period=FQ","BEST_FPERIOD_OVERRIDE=FQ","FILING_STATUS=MR","SCALING_FORMAT=MLN","Sort=A","Dates=H","DateFormat=P","Fill=—","Direction=H","UseDPDF=Y")</f>
        <v>0</v>
      </c>
      <c r="U40" s="13">
        <f>_xll.BDH("NBIX US Equity","XO_GL_NET_OF_TAX","FQ4 2023","FQ4 2023","Currency=USD","Period=FQ","BEST_FPERIOD_OVERRIDE=FQ","FILING_STATUS=MR","SCALING_FORMAT=MLN","Sort=A","Dates=H","DateFormat=P","Fill=—","Direction=H","UseDPDF=Y")</f>
        <v>0</v>
      </c>
      <c r="V40" s="13">
        <f>_xll.BDH("NBIX US Equity","XO_GL_NET_OF_TAX","FQ1 2024","FQ1 2024","Currency=USD","Period=FQ","BEST_FPERIOD_OVERRIDE=FQ","FILING_STATUS=MR","SCALING_FORMAT=MLN","Sort=A","Dates=H","DateFormat=P","Fill=—","Direction=H","UseDPDF=Y")</f>
        <v>0</v>
      </c>
      <c r="W40" s="13">
        <f>_xll.BDH("NBIX US Equity","XO_GL_NET_OF_TAX","FQ2 2024","FQ2 2024","Currency=USD","Period=FQ","BEST_FPERIOD_OVERRIDE=FQ","FILING_STATUS=MR","SCALING_FORMAT=MLN","Sort=A","Dates=H","DateFormat=P","Fill=—","Direction=H","UseDPDF=Y")</f>
        <v>0</v>
      </c>
      <c r="X40" s="13">
        <f>_xll.BDH("NBIX US Equity","XO_GL_NET_OF_TAX","FQ3 2024","FQ3 2024","Currency=USD","Period=FQ","BEST_FPERIOD_OVERRIDE=FQ","FILING_STATUS=MR","SCALING_FORMAT=MLN","Sort=A","Dates=H","DateFormat=P","Fill=—","Direction=H","UseDPDF=Y")</f>
        <v>0</v>
      </c>
      <c r="Y40" s="13">
        <f>_xll.BDH("NBIX US Equity","XO_GL_NET_OF_TAX","FQ4 2024","FQ4 2024","Currency=USD","Period=FQ","BEST_FPERIOD_OVERRIDE=FQ","FILING_STATUS=MR","SCALING_FORMAT=MLN","Sort=A","Dates=H","DateFormat=P","Fill=—","Direction=H","UseDPDF=Y")</f>
        <v>0</v>
      </c>
      <c r="Z40" s="13"/>
      <c r="AA40" s="13"/>
    </row>
    <row r="41" spans="1:27" x14ac:dyDescent="0.25">
      <c r="A41" s="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259</v>
      </c>
      <c r="B42" s="10" t="s">
        <v>106</v>
      </c>
      <c r="C42" s="13">
        <f>_xll.BDH("NBIX US Equity","IS_AVG_NUM_SH_FOR_EPS","FQ2 2019","FQ2 2019","Currency=USD","Period=FQ","BEST_FPERIOD_OVERRIDE=FQ","FILING_STATUS=MR","Sort=A","Dates=H","DateFormat=P","Fill=—","Direction=H","UseDPDF=Y")</f>
        <v>91.388999999999996</v>
      </c>
      <c r="D42" s="13">
        <f>_xll.BDH("NBIX US Equity","IS_AVG_NUM_SH_FOR_EPS","FQ3 2019","FQ3 2019","Currency=USD","Period=FQ","BEST_FPERIOD_OVERRIDE=FQ","FILING_STATUS=MR","Sort=A","Dates=H","DateFormat=P","Fill=—","Direction=H","UseDPDF=Y")</f>
        <v>91.858999999999995</v>
      </c>
      <c r="E42" s="13">
        <f>_xll.BDH("NBIX US Equity","IS_AVG_NUM_SH_FOR_EPS","FQ4 2019","FQ4 2019","Currency=USD","Period=FQ","BEST_FPERIOD_OVERRIDE=FQ","FILING_STATUS=MR","Sort=A","Dates=H","DateFormat=P","Fill=—","Direction=H","UseDPDF=Y")</f>
        <v>92.2</v>
      </c>
      <c r="F42" s="13">
        <f>_xll.BDH("NBIX US Equity","IS_AVG_NUM_SH_FOR_EPS","FQ1 2020","FQ1 2020","Currency=USD","Period=FQ","BEST_FPERIOD_OVERRIDE=FQ","FILING_STATUS=MR","Sort=A","Dates=H","DateFormat=P","Fill=—","Direction=H","UseDPDF=Y")</f>
        <v>92.6</v>
      </c>
      <c r="G42" s="13">
        <f>_xll.BDH("NBIX US Equity","IS_AVG_NUM_SH_FOR_EPS","FQ2 2020","FQ2 2020","Currency=USD","Period=FQ","BEST_FPERIOD_OVERRIDE=FQ","FILING_STATUS=MR","Sort=A","Dates=H","DateFormat=P","Fill=—","Direction=H","UseDPDF=Y")</f>
        <v>93</v>
      </c>
      <c r="H42" s="13">
        <f>_xll.BDH("NBIX US Equity","IS_AVG_NUM_SH_FOR_EPS","FQ3 2020","FQ3 2020","Currency=USD","Period=FQ","BEST_FPERIOD_OVERRIDE=FQ","FILING_STATUS=MR","Sort=A","Dates=H","DateFormat=P","Fill=—","Direction=H","UseDPDF=Y")</f>
        <v>93.3</v>
      </c>
      <c r="I42" s="13">
        <f>_xll.BDH("NBIX US Equity","IS_AVG_NUM_SH_FOR_EPS","FQ4 2020","FQ4 2020","Currency=USD","Period=FQ","BEST_FPERIOD_OVERRIDE=FQ","FILING_STATUS=MR","Sort=A","Dates=H","DateFormat=P","Fill=—","Direction=H","UseDPDF=Y")</f>
        <v>93.5</v>
      </c>
      <c r="J42" s="13">
        <f>_xll.BDH("NBIX US Equity","IS_AVG_NUM_SH_FOR_EPS","FQ1 2021","FQ1 2021","Currency=USD","Period=FQ","BEST_FPERIOD_OVERRIDE=FQ","FILING_STATUS=MR","Sort=A","Dates=H","DateFormat=P","Fill=—","Direction=H","UseDPDF=Y")</f>
        <v>94.2</v>
      </c>
      <c r="K42" s="13">
        <f>_xll.BDH("NBIX US Equity","IS_AVG_NUM_SH_FOR_EPS","FQ2 2021","FQ2 2021","Currency=USD","Period=FQ","BEST_FPERIOD_OVERRIDE=FQ","FILING_STATUS=MR","Sort=A","Dates=H","DateFormat=P","Fill=—","Direction=H","UseDPDF=Y")</f>
        <v>94.6</v>
      </c>
      <c r="L42" s="13">
        <f>_xll.BDH("NBIX US Equity","IS_AVG_NUM_SH_FOR_EPS","FQ3 2021","FQ3 2021","Currency=USD","Period=FQ","BEST_FPERIOD_OVERRIDE=FQ","FILING_STATUS=MR","Sort=A","Dates=H","DateFormat=P","Fill=—","Direction=H","UseDPDF=Y")</f>
        <v>94.7</v>
      </c>
      <c r="M42" s="13">
        <f>_xll.BDH("NBIX US Equity","IS_AVG_NUM_SH_FOR_EPS","FQ4 2021","FQ4 2021","Currency=USD","Period=FQ","BEST_FPERIOD_OVERRIDE=FQ","FILING_STATUS=MR","Sort=A","Dates=H","DateFormat=P","Fill=—","Direction=H","UseDPDF=Y")</f>
        <v>94.9</v>
      </c>
      <c r="N42" s="13">
        <f>_xll.BDH("NBIX US Equity","IS_AVG_NUM_SH_FOR_EPS","FQ1 2022","FQ1 2022","Currency=USD","Period=FQ","BEST_FPERIOD_OVERRIDE=FQ","FILING_STATUS=MR","Sort=A","Dates=H","DateFormat=P","Fill=—","Direction=H","UseDPDF=Y")</f>
        <v>95.3</v>
      </c>
      <c r="O42" s="13">
        <f>_xll.BDH("NBIX US Equity","IS_AVG_NUM_SH_FOR_EPS","FQ2 2022","FQ2 2022","Currency=USD","Period=FQ","BEST_FPERIOD_OVERRIDE=FQ","FILING_STATUS=MR","Sort=A","Dates=H","DateFormat=P","Fill=—","Direction=H","UseDPDF=Y")</f>
        <v>95.6</v>
      </c>
      <c r="P42" s="13">
        <f>_xll.BDH("NBIX US Equity","IS_AVG_NUM_SH_FOR_EPS","FQ3 2022","FQ3 2022","Currency=USD","Period=FQ","BEST_FPERIOD_OVERRIDE=FQ","FILING_STATUS=MR","Sort=A","Dates=H","DateFormat=P","Fill=—","Direction=H","UseDPDF=Y")</f>
        <v>95.8</v>
      </c>
      <c r="Q42" s="13">
        <f>_xll.BDH("NBIX US Equity","IS_AVG_NUM_SH_FOR_EPS","FQ4 2022","FQ4 2022","Currency=USD","Period=FQ","BEST_FPERIOD_OVERRIDE=FQ","FILING_STATUS=MR","Sort=A","Dates=H","DateFormat=P","Fill=—","Direction=H","UseDPDF=Y")</f>
        <v>96.3</v>
      </c>
      <c r="R42" s="13">
        <f>_xll.BDH("NBIX US Equity","IS_AVG_NUM_SH_FOR_EPS","FQ1 2023","FQ1 2023","Currency=USD","Period=FQ","BEST_FPERIOD_OVERRIDE=FQ","FILING_STATUS=MR","Sort=A","Dates=H","DateFormat=P","Fill=—","Direction=H","UseDPDF=Y")</f>
        <v>97.1</v>
      </c>
      <c r="S42" s="13">
        <f>_xll.BDH("NBIX US Equity","IS_AVG_NUM_SH_FOR_EPS","FQ2 2023","FQ2 2023","Currency=USD","Period=FQ","BEST_FPERIOD_OVERRIDE=FQ","FILING_STATUS=MR","Sort=A","Dates=H","DateFormat=P","Fill=—","Direction=H","UseDPDF=Y")</f>
        <v>97.6</v>
      </c>
      <c r="T42" s="13">
        <f>_xll.BDH("NBIX US Equity","IS_AVG_NUM_SH_FOR_EPS","FQ3 2023","FQ3 2023","Currency=USD","Period=FQ","BEST_FPERIOD_OVERRIDE=FQ","FILING_STATUS=MR","Sort=A","Dates=H","DateFormat=P","Fill=—","Direction=H","UseDPDF=Y")</f>
        <v>97.9</v>
      </c>
      <c r="U42" s="13">
        <f>_xll.BDH("NBIX US Equity","IS_AVG_NUM_SH_FOR_EPS","FQ4 2023","FQ4 2023","Currency=USD","Period=FQ","BEST_FPERIOD_OVERRIDE=FQ","FILING_STATUS=MR","Sort=A","Dates=H","DateFormat=P","Fill=—","Direction=H","UseDPDF=Y")</f>
        <v>98.4</v>
      </c>
      <c r="V42" s="13">
        <f>_xll.BDH("NBIX US Equity","IS_AVG_NUM_SH_FOR_EPS","FQ1 2024","FQ1 2024","Currency=USD","Period=FQ","BEST_FPERIOD_OVERRIDE=FQ","FILING_STATUS=MR","Sort=A","Dates=H","DateFormat=P","Fill=—","Direction=H","UseDPDF=Y")</f>
        <v>99.8</v>
      </c>
      <c r="W42" s="13">
        <f>_xll.BDH("NBIX US Equity","IS_AVG_NUM_SH_FOR_EPS","FQ2 2024","FQ2 2024","Currency=USD","Period=FQ","BEST_FPERIOD_OVERRIDE=FQ","FILING_STATUS=MR","Sort=A","Dates=H","DateFormat=P","Fill=—","Direction=H","UseDPDF=Y")</f>
        <v>100.8</v>
      </c>
      <c r="X42" s="13">
        <f>_xll.BDH("NBIX US Equity","IS_AVG_NUM_SH_FOR_EPS","FQ3 2024","FQ3 2024","Currency=USD","Period=FQ","BEST_FPERIOD_OVERRIDE=FQ","FILING_STATUS=MR","Sort=A","Dates=H","DateFormat=P","Fill=—","Direction=H","UseDPDF=Y")</f>
        <v>101.1</v>
      </c>
      <c r="Y42" s="13">
        <f>_xll.BDH("NBIX US Equity","IS_AVG_NUM_SH_FOR_EPS","FQ4 2024","FQ4 2024","Currency=USD","Period=FQ","BEST_FPERIOD_OVERRIDE=FQ","FILING_STATUS=MR","Sort=A","Dates=H","DateFormat=P","Fill=—","Direction=H","UseDPDF=Y")</f>
        <v>100</v>
      </c>
      <c r="Z42" s="13"/>
      <c r="AA42" s="13"/>
    </row>
    <row r="43" spans="1:27" x14ac:dyDescent="0.25">
      <c r="A43" s="6" t="s">
        <v>101</v>
      </c>
      <c r="B43" s="6" t="s">
        <v>102</v>
      </c>
      <c r="C43" s="20">
        <f>_xll.BDH("NBIX US Equity","IS_EPS","FQ2 2019","FQ2 2019","Currency=USD","Period=FQ","BEST_FPERIOD_OVERRIDE=FQ","FILING_STATUS=MR","FA_ADJUSTED=GAAP","Sort=A","Dates=H","DateFormat=P","Fill=—","Direction=H","UseDPDF=Y")</f>
        <v>0.56000000000000005</v>
      </c>
      <c r="D43" s="20">
        <f>_xll.BDH("NBIX US Equity","IS_EPS","FQ3 2019","FQ3 2019","Currency=USD","Period=FQ","BEST_FPERIOD_OVERRIDE=FQ","FILING_STATUS=MR","FA_ADJUSTED=GAAP","Sort=A","Dates=H","DateFormat=P","Fill=—","Direction=H","UseDPDF=Y")</f>
        <v>0.59</v>
      </c>
      <c r="E43" s="20">
        <f>_xll.BDH("NBIX US Equity","IS_EPS","FQ4 2019","FQ4 2019","Currency=USD","Period=FQ","BEST_FPERIOD_OVERRIDE=FQ","FILING_STATUS=MR","FA_ADJUSTED=GAAP","Sort=A","Dates=H","DateFormat=P","Fill=—","Direction=H","UseDPDF=Y")</f>
        <v>0.37</v>
      </c>
      <c r="F43" s="20">
        <f>_xll.BDH("NBIX US Equity","IS_EPS","FQ1 2020","FQ1 2020","Currency=USD","Period=FQ","BEST_FPERIOD_OVERRIDE=FQ","FILING_STATUS=MR","FA_ADJUSTED=GAAP","Sort=A","Dates=H","DateFormat=P","Fill=—","Direction=H","UseDPDF=Y")</f>
        <v>0.4</v>
      </c>
      <c r="G43" s="20">
        <f>_xll.BDH("NBIX US Equity","IS_EPS","FQ2 2020","FQ2 2020","Currency=USD","Period=FQ","BEST_FPERIOD_OVERRIDE=FQ","FILING_STATUS=MR","FA_ADJUSTED=GAAP","Sort=A","Dates=H","DateFormat=P","Fill=—","Direction=H","UseDPDF=Y")</f>
        <v>0.86</v>
      </c>
      <c r="H43" s="20">
        <f>_xll.BDH("NBIX US Equity","IS_EPS","FQ3 2020","FQ3 2020","Currency=USD","Period=FQ","BEST_FPERIOD_OVERRIDE=FQ","FILING_STATUS=MR","FA_ADJUSTED=GAAP","Sort=A","Dates=H","DateFormat=P","Fill=—","Direction=H","UseDPDF=Y")</f>
        <v>-0.62</v>
      </c>
      <c r="I43" s="20">
        <f>_xll.BDH("NBIX US Equity","IS_EPS","FQ4 2020","FQ4 2020","Currency=USD","Period=FQ","BEST_FPERIOD_OVERRIDE=FQ","FILING_STATUS=MR","FA_ADJUSTED=GAAP","Sort=A","Dates=H","DateFormat=P","Fill=—","Direction=H","UseDPDF=Y")</f>
        <v>3.72</v>
      </c>
      <c r="J43" s="20">
        <f>_xll.BDH("NBIX US Equity","IS_EPS","FQ1 2021","FQ1 2021","Currency=USD","Period=FQ","BEST_FPERIOD_OVERRIDE=FQ","FILING_STATUS=MR","FA_ADJUSTED=GAAP","Sort=A","Dates=H","DateFormat=P","Fill=—","Direction=H","UseDPDF=Y")</f>
        <v>0.34</v>
      </c>
      <c r="K43" s="20">
        <f>_xll.BDH("NBIX US Equity","IS_EPS","FQ2 2021","FQ2 2021","Currency=USD","Period=FQ","BEST_FPERIOD_OVERRIDE=FQ","FILING_STATUS=MR","FA_ADJUSTED=GAAP","Sort=A","Dates=H","DateFormat=P","Fill=—","Direction=H","UseDPDF=Y")</f>
        <v>0.45</v>
      </c>
      <c r="L43" s="20">
        <f>_xll.BDH("NBIX US Equity","IS_EPS","FQ3 2021","FQ3 2021","Currency=USD","Period=FQ","BEST_FPERIOD_OVERRIDE=FQ","FILING_STATUS=MR","FA_ADJUSTED=GAAP","Sort=A","Dates=H","DateFormat=P","Fill=—","Direction=H","UseDPDF=Y")</f>
        <v>0.24</v>
      </c>
      <c r="M43" s="20">
        <f>_xll.BDH("NBIX US Equity","IS_EPS","FQ4 2021","FQ4 2021","Currency=USD","Period=FQ","BEST_FPERIOD_OVERRIDE=FQ","FILING_STATUS=MR","FA_ADJUSTED=GAAP","Sort=A","Dates=H","DateFormat=P","Fill=—","Direction=H","UseDPDF=Y")</f>
        <v>-0.08</v>
      </c>
      <c r="N43" s="20">
        <f>_xll.BDH("NBIX US Equity","IS_EPS","FQ1 2022","FQ1 2022","Currency=USD","Period=FQ","BEST_FPERIOD_OVERRIDE=FQ","FILING_STATUS=MR","FA_ADJUSTED=GAAP","Sort=A","Dates=H","DateFormat=P","Fill=—","Direction=H","UseDPDF=Y")</f>
        <v>0.15</v>
      </c>
      <c r="O43" s="20">
        <f>_xll.BDH("NBIX US Equity","IS_EPS","FQ2 2022","FQ2 2022","Currency=USD","Period=FQ","BEST_FPERIOD_OVERRIDE=FQ","FILING_STATUS=MR","FA_ADJUSTED=GAAP","Sort=A","Dates=H","DateFormat=P","Fill=—","Direction=H","UseDPDF=Y")</f>
        <v>-0.18</v>
      </c>
      <c r="P43" s="20">
        <f>_xll.BDH("NBIX US Equity","IS_EPS","FQ3 2022","FQ3 2022","Currency=USD","Period=FQ","BEST_FPERIOD_OVERRIDE=FQ","FILING_STATUS=MR","FA_ADJUSTED=GAAP","Sort=A","Dates=H","DateFormat=P","Fill=—","Direction=H","UseDPDF=Y")</f>
        <v>0.72</v>
      </c>
      <c r="Q43" s="20">
        <f>_xll.BDH("NBIX US Equity","IS_EPS","FQ4 2022","FQ4 2022","Currency=USD","Period=FQ","BEST_FPERIOD_OVERRIDE=FQ","FILING_STATUS=MR","FA_ADJUSTED=GAAP","Sort=A","Dates=H","DateFormat=P","Fill=—","Direction=H","UseDPDF=Y")</f>
        <v>0.92</v>
      </c>
      <c r="R43" s="20">
        <f>_xll.BDH("NBIX US Equity","IS_EPS","FQ1 2023","FQ1 2023","Currency=USD","Period=FQ","BEST_FPERIOD_OVERRIDE=FQ","FILING_STATUS=MR","FA_ADJUSTED=GAAP","Sort=A","Dates=H","DateFormat=P","Fill=—","Direction=H","UseDPDF=Y")</f>
        <v>-0.79</v>
      </c>
      <c r="S43" s="20">
        <f>_xll.BDH("NBIX US Equity","IS_EPS","FQ2 2023","FQ2 2023","Currency=USD","Period=FQ","BEST_FPERIOD_OVERRIDE=FQ","FILING_STATUS=MR","FA_ADJUSTED=GAAP","Sort=A","Dates=H","DateFormat=P","Fill=—","Direction=H","UseDPDF=Y")</f>
        <v>0.98</v>
      </c>
      <c r="T43" s="20">
        <f>_xll.BDH("NBIX US Equity","IS_EPS","FQ3 2023","FQ3 2023","Currency=USD","Period=FQ","BEST_FPERIOD_OVERRIDE=FQ","FILING_STATUS=MR","FA_ADJUSTED=GAAP","Sort=A","Dates=H","DateFormat=P","Fill=—","Direction=H","UseDPDF=Y")</f>
        <v>0.85</v>
      </c>
      <c r="U43" s="20">
        <f>_xll.BDH("NBIX US Equity","IS_EPS","FQ4 2023","FQ4 2023","Currency=USD","Period=FQ","BEST_FPERIOD_OVERRIDE=FQ","FILING_STATUS=MR","FA_ADJUSTED=GAAP","Sort=A","Dates=H","DateFormat=P","Fill=—","Direction=H","UseDPDF=Y")</f>
        <v>1.5</v>
      </c>
      <c r="V43" s="20">
        <f>_xll.BDH("NBIX US Equity","IS_EPS","FQ1 2024","FQ1 2024","Currency=USD","Period=FQ","BEST_FPERIOD_OVERRIDE=FQ","FILING_STATUS=MR","FA_ADJUSTED=GAAP","Sort=A","Dates=H","DateFormat=P","Fill=—","Direction=H","UseDPDF=Y")</f>
        <v>0.43</v>
      </c>
      <c r="W43" s="20">
        <f>_xll.BDH("NBIX US Equity","IS_EPS","FQ2 2024","FQ2 2024","Currency=USD","Period=FQ","BEST_FPERIOD_OVERRIDE=FQ","FILING_STATUS=MR","FA_ADJUSTED=GAAP","Sort=A","Dates=H","DateFormat=P","Fill=—","Direction=H","UseDPDF=Y")</f>
        <v>0.64</v>
      </c>
      <c r="X43" s="20">
        <f>_xll.BDH("NBIX US Equity","IS_EPS","FQ3 2024","FQ3 2024","Currency=USD","Period=FQ","BEST_FPERIOD_OVERRIDE=FQ","FILING_STATUS=MR","FA_ADJUSTED=GAAP","Sort=A","Dates=H","DateFormat=P","Fill=—","Direction=H","UseDPDF=Y")</f>
        <v>1.28</v>
      </c>
      <c r="Y43" s="20">
        <f>_xll.BDH("NBIX US Equity","IS_EPS","FQ4 2024","FQ4 2024","Currency=USD","Period=FQ","BEST_FPERIOD_OVERRIDE=FQ","FILING_STATUS=MR","FA_ADJUSTED=GAAP","Sort=A","Dates=H","DateFormat=P","Fill=—","Direction=H","UseDPDF=Y")</f>
        <v>1.03</v>
      </c>
      <c r="Z43" s="20">
        <v>0.81399999999999995</v>
      </c>
      <c r="AA43" s="20">
        <v>0.97199999999999998</v>
      </c>
    </row>
    <row r="44" spans="1:27" x14ac:dyDescent="0.25">
      <c r="A44" s="6" t="s">
        <v>387</v>
      </c>
      <c r="B44" s="6" t="s">
        <v>266</v>
      </c>
      <c r="C44" s="20">
        <f>_xll.BDH("NBIX US Equity","IS_EARN_BEF_XO_ITEMS_PER_SH","FQ2 2019","FQ2 2019","Currency=USD","Period=FQ","BEST_FPERIOD_OVERRIDE=FQ","FILING_STATUS=MR","Sort=A","Dates=H","DateFormat=P","Fill=—","Direction=H","UseDPDF=Y")</f>
        <v>0.56000000000000005</v>
      </c>
      <c r="D44" s="20">
        <f>_xll.BDH("NBIX US Equity","IS_EARN_BEF_XO_ITEMS_PER_SH","FQ3 2019","FQ3 2019","Currency=USD","Period=FQ","BEST_FPERIOD_OVERRIDE=FQ","FILING_STATUS=MR","Sort=A","Dates=H","DateFormat=P","Fill=—","Direction=H","UseDPDF=Y")</f>
        <v>0.59</v>
      </c>
      <c r="E44" s="20">
        <f>_xll.BDH("NBIX US Equity","IS_EARN_BEF_XO_ITEMS_PER_SH","FQ4 2019","FQ4 2019","Currency=USD","Period=FQ","BEST_FPERIOD_OVERRIDE=FQ","FILING_STATUS=MR","Sort=A","Dates=H","DateFormat=P","Fill=—","Direction=H","UseDPDF=Y")</f>
        <v>0.37</v>
      </c>
      <c r="F44" s="20">
        <f>_xll.BDH("NBIX US Equity","IS_EARN_BEF_XO_ITEMS_PER_SH","FQ1 2020","FQ1 2020","Currency=USD","Period=FQ","BEST_FPERIOD_OVERRIDE=FQ","FILING_STATUS=MR","Sort=A","Dates=H","DateFormat=P","Fill=—","Direction=H","UseDPDF=Y")</f>
        <v>0.4</v>
      </c>
      <c r="G44" s="20">
        <f>_xll.BDH("NBIX US Equity","IS_EARN_BEF_XO_ITEMS_PER_SH","FQ2 2020","FQ2 2020","Currency=USD","Period=FQ","BEST_FPERIOD_OVERRIDE=FQ","FILING_STATUS=MR","Sort=A","Dates=H","DateFormat=P","Fill=—","Direction=H","UseDPDF=Y")</f>
        <v>0.86</v>
      </c>
      <c r="H44" s="20">
        <f>_xll.BDH("NBIX US Equity","IS_EARN_BEF_XO_ITEMS_PER_SH","FQ3 2020","FQ3 2020","Currency=USD","Period=FQ","BEST_FPERIOD_OVERRIDE=FQ","FILING_STATUS=MR","Sort=A","Dates=H","DateFormat=P","Fill=—","Direction=H","UseDPDF=Y")</f>
        <v>-0.62</v>
      </c>
      <c r="I44" s="20">
        <f>_xll.BDH("NBIX US Equity","IS_EARN_BEF_XO_ITEMS_PER_SH","FQ4 2020","FQ4 2020","Currency=USD","Period=FQ","BEST_FPERIOD_OVERRIDE=FQ","FILING_STATUS=MR","Sort=A","Dates=H","DateFormat=P","Fill=—","Direction=H","UseDPDF=Y")</f>
        <v>3.72</v>
      </c>
      <c r="J44" s="20">
        <f>_xll.BDH("NBIX US Equity","IS_EARN_BEF_XO_ITEMS_PER_SH","FQ1 2021","FQ1 2021","Currency=USD","Period=FQ","BEST_FPERIOD_OVERRIDE=FQ","FILING_STATUS=MR","Sort=A","Dates=H","DateFormat=P","Fill=—","Direction=H","UseDPDF=Y")</f>
        <v>0.34</v>
      </c>
      <c r="K44" s="20">
        <f>_xll.BDH("NBIX US Equity","IS_EARN_BEF_XO_ITEMS_PER_SH","FQ2 2021","FQ2 2021","Currency=USD","Period=FQ","BEST_FPERIOD_OVERRIDE=FQ","FILING_STATUS=MR","Sort=A","Dates=H","DateFormat=P","Fill=—","Direction=H","UseDPDF=Y")</f>
        <v>0.45</v>
      </c>
      <c r="L44" s="20">
        <f>_xll.BDH("NBIX US Equity","IS_EARN_BEF_XO_ITEMS_PER_SH","FQ3 2021","FQ3 2021","Currency=USD","Period=FQ","BEST_FPERIOD_OVERRIDE=FQ","FILING_STATUS=MR","Sort=A","Dates=H","DateFormat=P","Fill=—","Direction=H","UseDPDF=Y")</f>
        <v>0.24</v>
      </c>
      <c r="M44" s="20">
        <f>_xll.BDH("NBIX US Equity","IS_EARN_BEF_XO_ITEMS_PER_SH","FQ4 2021","FQ4 2021","Currency=USD","Period=FQ","BEST_FPERIOD_OVERRIDE=FQ","FILING_STATUS=MR","Sort=A","Dates=H","DateFormat=P","Fill=—","Direction=H","UseDPDF=Y")</f>
        <v>-0.08</v>
      </c>
      <c r="N44" s="20">
        <f>_xll.BDH("NBIX US Equity","IS_EARN_BEF_XO_ITEMS_PER_SH","FQ1 2022","FQ1 2022","Currency=USD","Period=FQ","BEST_FPERIOD_OVERRIDE=FQ","FILING_STATUS=MR","Sort=A","Dates=H","DateFormat=P","Fill=—","Direction=H","UseDPDF=Y")</f>
        <v>0.15</v>
      </c>
      <c r="O44" s="20">
        <f>_xll.BDH("NBIX US Equity","IS_EARN_BEF_XO_ITEMS_PER_SH","FQ2 2022","FQ2 2022","Currency=USD","Period=FQ","BEST_FPERIOD_OVERRIDE=FQ","FILING_STATUS=MR","Sort=A","Dates=H","DateFormat=P","Fill=—","Direction=H","UseDPDF=Y")</f>
        <v>-0.18</v>
      </c>
      <c r="P44" s="20">
        <f>_xll.BDH("NBIX US Equity","IS_EARN_BEF_XO_ITEMS_PER_SH","FQ3 2022","FQ3 2022","Currency=USD","Period=FQ","BEST_FPERIOD_OVERRIDE=FQ","FILING_STATUS=MR","Sort=A","Dates=H","DateFormat=P","Fill=—","Direction=H","UseDPDF=Y")</f>
        <v>0.72</v>
      </c>
      <c r="Q44" s="20">
        <f>_xll.BDH("NBIX US Equity","IS_EARN_BEF_XO_ITEMS_PER_SH","FQ4 2022","FQ4 2022","Currency=USD","Period=FQ","BEST_FPERIOD_OVERRIDE=FQ","FILING_STATUS=MR","Sort=A","Dates=H","DateFormat=P","Fill=—","Direction=H","UseDPDF=Y")</f>
        <v>0.92</v>
      </c>
      <c r="R44" s="20">
        <f>_xll.BDH("NBIX US Equity","IS_EARN_BEF_XO_ITEMS_PER_SH","FQ1 2023","FQ1 2023","Currency=USD","Period=FQ","BEST_FPERIOD_OVERRIDE=FQ","FILING_STATUS=MR","Sort=A","Dates=H","DateFormat=P","Fill=—","Direction=H","UseDPDF=Y")</f>
        <v>-0.79</v>
      </c>
      <c r="S44" s="20">
        <f>_xll.BDH("NBIX US Equity","IS_EARN_BEF_XO_ITEMS_PER_SH","FQ2 2023","FQ2 2023","Currency=USD","Period=FQ","BEST_FPERIOD_OVERRIDE=FQ","FILING_STATUS=MR","Sort=A","Dates=H","DateFormat=P","Fill=—","Direction=H","UseDPDF=Y")</f>
        <v>0.98</v>
      </c>
      <c r="T44" s="20">
        <f>_xll.BDH("NBIX US Equity","IS_EARN_BEF_XO_ITEMS_PER_SH","FQ3 2023","FQ3 2023","Currency=USD","Period=FQ","BEST_FPERIOD_OVERRIDE=FQ","FILING_STATUS=MR","Sort=A","Dates=H","DateFormat=P","Fill=—","Direction=H","UseDPDF=Y")</f>
        <v>0.85</v>
      </c>
      <c r="U44" s="20">
        <f>_xll.BDH("NBIX US Equity","IS_EARN_BEF_XO_ITEMS_PER_SH","FQ4 2023","FQ4 2023","Currency=USD","Period=FQ","BEST_FPERIOD_OVERRIDE=FQ","FILING_STATUS=MR","Sort=A","Dates=H","DateFormat=P","Fill=—","Direction=H","UseDPDF=Y")</f>
        <v>1.5</v>
      </c>
      <c r="V44" s="20">
        <f>_xll.BDH("NBIX US Equity","IS_EARN_BEF_XO_ITEMS_PER_SH","FQ1 2024","FQ1 2024","Currency=USD","Period=FQ","BEST_FPERIOD_OVERRIDE=FQ","FILING_STATUS=MR","Sort=A","Dates=H","DateFormat=P","Fill=—","Direction=H","UseDPDF=Y")</f>
        <v>0.43</v>
      </c>
      <c r="W44" s="20">
        <f>_xll.BDH("NBIX US Equity","IS_EARN_BEF_XO_ITEMS_PER_SH","FQ2 2024","FQ2 2024","Currency=USD","Period=FQ","BEST_FPERIOD_OVERRIDE=FQ","FILING_STATUS=MR","Sort=A","Dates=H","DateFormat=P","Fill=—","Direction=H","UseDPDF=Y")</f>
        <v>0.64</v>
      </c>
      <c r="X44" s="20">
        <f>_xll.BDH("NBIX US Equity","IS_EARN_BEF_XO_ITEMS_PER_SH","FQ3 2024","FQ3 2024","Currency=USD","Period=FQ","BEST_FPERIOD_OVERRIDE=FQ","FILING_STATUS=MR","Sort=A","Dates=H","DateFormat=P","Fill=—","Direction=H","UseDPDF=Y")</f>
        <v>1.28</v>
      </c>
      <c r="Y44" s="20">
        <f>_xll.BDH("NBIX US Equity","IS_EARN_BEF_XO_ITEMS_PER_SH","FQ4 2024","FQ4 2024","Currency=USD","Period=FQ","BEST_FPERIOD_OVERRIDE=FQ","FILING_STATUS=MR","Sort=A","Dates=H","DateFormat=P","Fill=—","Direction=H","UseDPDF=Y")</f>
        <v>1.03</v>
      </c>
      <c r="Z44" s="20">
        <v>0.81399999999999995</v>
      </c>
      <c r="AA44" s="20">
        <v>0.97199999999999998</v>
      </c>
    </row>
    <row r="45" spans="1:27" x14ac:dyDescent="0.25">
      <c r="A45" s="6" t="s">
        <v>388</v>
      </c>
      <c r="B45" s="6" t="s">
        <v>268</v>
      </c>
      <c r="C45" s="20">
        <f>_xll.BDH("NBIX US Equity","IS_BASIC_EPS_CONT_OPS","FQ2 2019","FQ2 2019","Currency=USD","Period=FQ","BEST_FPERIOD_OVERRIDE=FQ","FILING_STATUS=MR","Sort=A","Dates=H","DateFormat=P","Fill=—","Direction=H","UseDPDF=Y")</f>
        <v>0.42370000000000002</v>
      </c>
      <c r="D45" s="20">
        <f>_xll.BDH("NBIX US Equity","IS_BASIC_EPS_CONT_OPS","FQ3 2019","FQ3 2019","Currency=USD","Period=FQ","BEST_FPERIOD_OVERRIDE=FQ","FILING_STATUS=MR","Sort=A","Dates=H","DateFormat=P","Fill=—","Direction=H","UseDPDF=Y")</f>
        <v>0.83020000000000005</v>
      </c>
      <c r="E45" s="20">
        <f>_xll.BDH("NBIX US Equity","IS_BASIC_EPS_CONT_OPS","FQ4 2019","FQ4 2019","Currency=USD","Period=FQ","BEST_FPERIOD_OVERRIDE=FQ","FILING_STATUS=MR","Sort=A","Dates=H","DateFormat=P","Fill=—","Direction=H","UseDPDF=Y")</f>
        <v>0.83399999999999996</v>
      </c>
      <c r="F45" s="20">
        <f>_xll.BDH("NBIX US Equity","IS_BASIC_EPS_CONT_OPS","FQ1 2020","FQ1 2020","Currency=USD","Period=FQ","BEST_FPERIOD_OVERRIDE=FQ","FILING_STATUS=MR","Sort=A","Dates=H","DateFormat=P","Fill=—","Direction=H","UseDPDF=Y")</f>
        <v>0.57550000000000001</v>
      </c>
      <c r="G45" s="20">
        <f>_xll.BDH("NBIX US Equity","IS_BASIC_EPS_CONT_OPS","FQ2 2020","FQ2 2020","Currency=USD","Period=FQ","BEST_FPERIOD_OVERRIDE=FQ","FILING_STATUS=MR","Sort=A","Dates=H","DateFormat=P","Fill=—","Direction=H","UseDPDF=Y")</f>
        <v>1.2283999999999999</v>
      </c>
      <c r="H45" s="20">
        <f>_xll.BDH("NBIX US Equity","IS_BASIC_EPS_CONT_OPS","FQ3 2020","FQ3 2020","Currency=USD","Period=FQ","BEST_FPERIOD_OVERRIDE=FQ","FILING_STATUS=MR","Sort=A","Dates=H","DateFormat=P","Fill=—","Direction=H","UseDPDF=Y")</f>
        <v>0.69699999999999995</v>
      </c>
      <c r="I45" s="20">
        <f>_xll.BDH("NBIX US Equity","IS_BASIC_EPS_CONT_OPS","FQ4 2020","FQ4 2020","Currency=USD","Period=FQ","BEST_FPERIOD_OVERRIDE=FQ","FILING_STATUS=MR","Sort=A","Dates=H","DateFormat=P","Fill=—","Direction=H","UseDPDF=Y")</f>
        <v>2.3711000000000002</v>
      </c>
      <c r="J45" s="20">
        <f>_xll.BDH("NBIX US Equity","IS_BASIC_EPS_CONT_OPS","FQ1 2021","FQ1 2021","Currency=USD","Period=FQ","BEST_FPERIOD_OVERRIDE=FQ","FILING_STATUS=MR","Sort=A","Dates=H","DateFormat=P","Fill=—","Direction=H","UseDPDF=Y")</f>
        <v>0.33739999999999998</v>
      </c>
      <c r="K45" s="20">
        <f>_xll.BDH("NBIX US Equity","IS_BASIC_EPS_CONT_OPS","FQ2 2021","FQ2 2021","Currency=USD","Period=FQ","BEST_FPERIOD_OVERRIDE=FQ","FILING_STATUS=MR","Sort=A","Dates=H","DateFormat=P","Fill=—","Direction=H","UseDPDF=Y")</f>
        <v>0.49359999999999998</v>
      </c>
      <c r="L45" s="20">
        <f>_xll.BDH("NBIX US Equity","IS_BASIC_EPS_CONT_OPS","FQ3 2021","FQ3 2021","Currency=USD","Period=FQ","BEST_FPERIOD_OVERRIDE=FQ","FILING_STATUS=MR","Sort=A","Dates=H","DateFormat=P","Fill=—","Direction=H","UseDPDF=Y")</f>
        <v>0.31630000000000003</v>
      </c>
      <c r="M45" s="20">
        <f>_xll.BDH("NBIX US Equity","IS_BASIC_EPS_CONT_OPS","FQ4 2021","FQ4 2021","Currency=USD","Period=FQ","BEST_FPERIOD_OVERRIDE=FQ","FILING_STATUS=MR","Sort=A","Dates=H","DateFormat=P","Fill=—","Direction=H","UseDPDF=Y")</f>
        <v>0.52159999999999995</v>
      </c>
      <c r="N45" s="20">
        <f>_xll.BDH("NBIX US Equity","IS_BASIC_EPS_CONT_OPS","FQ1 2022","FQ1 2022","Currency=USD","Period=FQ","BEST_FPERIOD_OVERRIDE=FQ","FILING_STATUS=MR","Sort=A","Dates=H","DateFormat=P","Fill=—","Direction=H","UseDPDF=Y")</f>
        <v>-4.2700000000000002E-2</v>
      </c>
      <c r="O45" s="20">
        <f>_xll.BDH("NBIX US Equity","IS_BASIC_EPS_CONT_OPS","FQ2 2022","FQ2 2022","Currency=USD","Period=FQ","BEST_FPERIOD_OVERRIDE=FQ","FILING_STATUS=MR","Sort=A","Dates=H","DateFormat=P","Fill=—","Direction=H","UseDPDF=Y")</f>
        <v>-0.11559999999999999</v>
      </c>
      <c r="P45" s="20">
        <f>_xll.BDH("NBIX US Equity","IS_BASIC_EPS_CONT_OPS","FQ3 2022","FQ3 2022","Currency=USD","Period=FQ","BEST_FPERIOD_OVERRIDE=FQ","FILING_STATUS=MR","Sort=A","Dates=H","DateFormat=P","Fill=—","Direction=H","UseDPDF=Y")</f>
        <v>0.82240000000000002</v>
      </c>
      <c r="Q45" s="20">
        <f>_xll.BDH("NBIX US Equity","IS_BASIC_EPS_CONT_OPS","FQ4 2022","FQ4 2022","Currency=USD","Period=FQ","BEST_FPERIOD_OVERRIDE=FQ","FILING_STATUS=MR","Sort=A","Dates=H","DateFormat=P","Fill=—","Direction=H","UseDPDF=Y")</f>
        <v>0.93489999999999995</v>
      </c>
      <c r="R45" s="20">
        <f>_xll.BDH("NBIX US Equity","IS_BASIC_EPS_CONT_OPS","FQ1 2023","FQ1 2023","Currency=USD","Period=FQ","BEST_FPERIOD_OVERRIDE=FQ","FILING_STATUS=MR","Sort=A","Dates=H","DateFormat=P","Fill=—","Direction=H","UseDPDF=Y")</f>
        <v>0.36609999999999998</v>
      </c>
      <c r="S45" s="20">
        <f>_xll.BDH("NBIX US Equity","IS_BASIC_EPS_CONT_OPS","FQ2 2023","FQ2 2023","Currency=USD","Period=FQ","BEST_FPERIOD_OVERRIDE=FQ","FILING_STATUS=MR","Sort=A","Dates=H","DateFormat=P","Fill=—","Direction=H","UseDPDF=Y")</f>
        <v>0.67659999999999998</v>
      </c>
      <c r="T45" s="20">
        <f>_xll.BDH("NBIX US Equity","IS_BASIC_EPS_CONT_OPS","FQ3 2023","FQ3 2023","Currency=USD","Period=FQ","BEST_FPERIOD_OVERRIDE=FQ","FILING_STATUS=MR","Sort=A","Dates=H","DateFormat=P","Fill=—","Direction=H","UseDPDF=Y")</f>
        <v>1.4097999999999999</v>
      </c>
      <c r="U45" s="20">
        <f>_xll.BDH("NBIX US Equity","IS_BASIC_EPS_CONT_OPS","FQ4 2023","FQ4 2023","Currency=USD","Period=FQ","BEST_FPERIOD_OVERRIDE=FQ","FILING_STATUS=MR","Sort=A","Dates=H","DateFormat=P","Fill=—","Direction=H","UseDPDF=Y")</f>
        <v>1.2682</v>
      </c>
      <c r="V45" s="20">
        <f>_xll.BDH("NBIX US Equity","IS_BASIC_EPS_CONT_OPS","FQ1 2024","FQ1 2024","Currency=USD","Period=FQ","BEST_FPERIOD_OVERRIDE=FQ","FILING_STATUS=MR","Sort=A","Dates=H","DateFormat=P","Fill=—","Direction=H","UseDPDF=Y")</f>
        <v>0.47249999999999998</v>
      </c>
      <c r="W45" s="20">
        <f>_xll.BDH("NBIX US Equity","IS_BASIC_EPS_CONT_OPS","FQ2 2024","FQ2 2024","Currency=USD","Period=FQ","BEST_FPERIOD_OVERRIDE=FQ","FILING_STATUS=MR","Sort=A","Dates=H","DateFormat=P","Fill=—","Direction=H","UseDPDF=Y")</f>
        <v>1.7286999999999999</v>
      </c>
      <c r="X45" s="20">
        <f>_xll.BDH("NBIX US Equity","IS_BASIC_EPS_CONT_OPS","FQ3 2024","FQ3 2024","Currency=USD","Period=FQ","BEST_FPERIOD_OVERRIDE=FQ","FILING_STATUS=MR","Sort=A","Dates=H","DateFormat=P","Fill=—","Direction=H","UseDPDF=Y")</f>
        <v>1.5556000000000001</v>
      </c>
      <c r="Y45" s="20">
        <f>_xll.BDH("NBIX US Equity","IS_BASIC_EPS_CONT_OPS","FQ4 2024","FQ4 2024","Currency=USD","Period=FQ","BEST_FPERIOD_OVERRIDE=FQ","FILING_STATUS=MR","Sort=A","Dates=H","DateFormat=P","Fill=—","Direction=H","UseDPDF=Y")</f>
        <v>1.0737000000000001</v>
      </c>
      <c r="Z45" s="20">
        <v>1.2450000000000001</v>
      </c>
      <c r="AA45" s="20">
        <v>1.444</v>
      </c>
    </row>
    <row r="46" spans="1:27" x14ac:dyDescent="0.25">
      <c r="A46" s="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x14ac:dyDescent="0.25">
      <c r="A47" s="10" t="s">
        <v>258</v>
      </c>
      <c r="B47" s="10" t="s">
        <v>108</v>
      </c>
      <c r="C47" s="13">
        <f>_xll.BDH("NBIX US Equity","IS_SH_FOR_DILUTED_EPS","FQ2 2019","FQ2 2019","Currency=USD","Period=FQ","BEST_FPERIOD_OVERRIDE=FQ","FILING_STATUS=MR","Sort=A","Dates=H","DateFormat=P","Fill=—","Direction=H","UseDPDF=Y")</f>
        <v>94.778999999999996</v>
      </c>
      <c r="D47" s="13">
        <f>_xll.BDH("NBIX US Equity","IS_SH_FOR_DILUTED_EPS","FQ3 2019","FQ3 2019","Currency=USD","Period=FQ","BEST_FPERIOD_OVERRIDE=FQ","FILING_STATUS=MR","Sort=A","Dates=H","DateFormat=P","Fill=—","Direction=H","UseDPDF=Y")</f>
        <v>96.073999999999998</v>
      </c>
      <c r="E47" s="13">
        <f>_xll.BDH("NBIX US Equity","IS_SH_FOR_DILUTED_EPS","FQ4 2019","FQ4 2019","Currency=USD","Period=FQ","BEST_FPERIOD_OVERRIDE=FQ","FILING_STATUS=MR","Sort=A","Dates=H","DateFormat=P","Fill=—","Direction=H","UseDPDF=Y")</f>
        <v>97.2</v>
      </c>
      <c r="F47" s="13">
        <f>_xll.BDH("NBIX US Equity","IS_SH_FOR_DILUTED_EPS","FQ1 2020","FQ1 2020","Currency=USD","Period=FQ","BEST_FPERIOD_OVERRIDE=FQ","FILING_STATUS=MR","Sort=A","Dates=H","DateFormat=P","Fill=—","Direction=H","UseDPDF=Y")</f>
        <v>97</v>
      </c>
      <c r="G47" s="13">
        <f>_xll.BDH("NBIX US Equity","IS_SH_FOR_DILUTED_EPS","FQ2 2020","FQ2 2020","Currency=USD","Period=FQ","BEST_FPERIOD_OVERRIDE=FQ","FILING_STATUS=MR","Sort=A","Dates=H","DateFormat=P","Fill=—","Direction=H","UseDPDF=Y")</f>
        <v>98.2</v>
      </c>
      <c r="H47" s="13">
        <f>_xll.BDH("NBIX US Equity","IS_SH_FOR_DILUTED_EPS","FQ3 2020","FQ3 2020","Currency=USD","Period=FQ","BEST_FPERIOD_OVERRIDE=FQ","FILING_STATUS=MR","Sort=A","Dates=H","DateFormat=P","Fill=—","Direction=H","UseDPDF=Y")</f>
        <v>93.3</v>
      </c>
      <c r="I47" s="13">
        <f>_xll.BDH("NBIX US Equity","IS_SH_FOR_DILUTED_EPS","FQ4 2020","FQ4 2020","Currency=USD","Period=FQ","BEST_FPERIOD_OVERRIDE=FQ","FILING_STATUS=MR","Sort=A","Dates=H","DateFormat=P","Fill=—","Direction=H","UseDPDF=Y")</f>
        <v>97.2</v>
      </c>
      <c r="J47" s="13">
        <f>_xll.BDH("NBIX US Equity","IS_SH_FOR_DILUTED_EPS","FQ1 2021","FQ1 2021","Currency=USD","Period=FQ","BEST_FPERIOD_OVERRIDE=FQ","FILING_STATUS=MR","Sort=A","Dates=H","DateFormat=P","Fill=—","Direction=H","UseDPDF=Y")</f>
        <v>98.2</v>
      </c>
      <c r="K47" s="13">
        <f>_xll.BDH("NBIX US Equity","IS_SH_FOR_DILUTED_EPS","FQ2 2021","FQ2 2021","Currency=USD","Period=FQ","BEST_FPERIOD_OVERRIDE=FQ","FILING_STATUS=MR","Sort=A","Dates=H","DateFormat=P","Fill=—","Direction=H","UseDPDF=Y")</f>
        <v>97.7</v>
      </c>
      <c r="L47" s="13">
        <f>_xll.BDH("NBIX US Equity","IS_SH_FOR_DILUTED_EPS","FQ3 2021","FQ3 2021","Currency=USD","Period=FQ","BEST_FPERIOD_OVERRIDE=FQ","FILING_STATUS=MR","Sort=A","Dates=H","DateFormat=P","Fill=—","Direction=H","UseDPDF=Y")</f>
        <v>97.7</v>
      </c>
      <c r="M47" s="13">
        <f>_xll.BDH("NBIX US Equity","IS_SH_FOR_DILUTED_EPS","FQ4 2021","FQ4 2021","Currency=USD","Period=FQ","BEST_FPERIOD_OVERRIDE=FQ","FILING_STATUS=MR","Sort=A","Dates=H","DateFormat=P","Fill=—","Direction=H","UseDPDF=Y")</f>
        <v>94.9</v>
      </c>
      <c r="N47" s="13">
        <f>_xll.BDH("NBIX US Equity","IS_SH_FOR_DILUTED_EPS","FQ1 2022","FQ1 2022","Currency=USD","Period=FQ","BEST_FPERIOD_OVERRIDE=FQ","FILING_STATUS=MR","Sort=A","Dates=H","DateFormat=P","Fill=—","Direction=H","UseDPDF=Y")</f>
        <v>97.6</v>
      </c>
      <c r="O47" s="13">
        <f>_xll.BDH("NBIX US Equity","IS_SH_FOR_DILUTED_EPS","FQ2 2022","FQ2 2022","Currency=USD","Period=FQ","BEST_FPERIOD_OVERRIDE=FQ","FILING_STATUS=MR","Sort=A","Dates=H","DateFormat=P","Fill=—","Direction=H","UseDPDF=Y")</f>
        <v>95.6</v>
      </c>
      <c r="P47" s="13">
        <f>_xll.BDH("NBIX US Equity","IS_SH_FOR_DILUTED_EPS","FQ3 2022","FQ3 2022","Currency=USD","Period=FQ","BEST_FPERIOD_OVERRIDE=FQ","FILING_STATUS=MR","Sort=A","Dates=H","DateFormat=P","Fill=—","Direction=H","UseDPDF=Y")</f>
        <v>99</v>
      </c>
      <c r="Q47" s="13">
        <f>_xll.BDH("NBIX US Equity","IS_SH_FOR_DILUTED_EPS","FQ4 2022","FQ4 2022","Currency=USD","Period=FQ","BEST_FPERIOD_OVERRIDE=FQ","FILING_STATUS=MR","Sort=A","Dates=H","DateFormat=P","Fill=—","Direction=H","UseDPDF=Y")</f>
        <v>100.8</v>
      </c>
      <c r="R47" s="13">
        <f>_xll.BDH("NBIX US Equity","IS_SH_FOR_DILUTED_EPS","FQ1 2023","FQ1 2023","Currency=USD","Period=FQ","BEST_FPERIOD_OVERRIDE=FQ","FILING_STATUS=MR","Sort=A","Dates=H","DateFormat=P","Fill=—","Direction=H","UseDPDF=Y")</f>
        <v>97.1</v>
      </c>
      <c r="S47" s="13">
        <f>_xll.BDH("NBIX US Equity","IS_SH_FOR_DILUTED_EPS","FQ2 2023","FQ2 2023","Currency=USD","Period=FQ","BEST_FPERIOD_OVERRIDE=FQ","FILING_STATUS=MR","Sort=A","Dates=H","DateFormat=P","Fill=—","Direction=H","UseDPDF=Y")</f>
        <v>100.2</v>
      </c>
      <c r="T47" s="13">
        <f>_xll.BDH("NBIX US Equity","IS_SH_FOR_DILUTED_EPS","FQ3 2023","FQ3 2023","Currency=USD","Period=FQ","BEST_FPERIOD_OVERRIDE=FQ","FILING_STATUS=MR","Sort=A","Dates=H","DateFormat=P","Fill=—","Direction=H","UseDPDF=Y")</f>
        <v>101.1</v>
      </c>
      <c r="U47" s="13">
        <f>_xll.BDH("NBIX US Equity","IS_SH_FOR_DILUTED_EPS","FQ4 2023","FQ4 2023","Currency=USD","Period=FQ","BEST_FPERIOD_OVERRIDE=FQ","FILING_STATUS=MR","Sort=A","Dates=H","DateFormat=P","Fill=—","Direction=H","UseDPDF=Y")</f>
        <v>102.3</v>
      </c>
      <c r="V47" s="13">
        <f>_xll.BDH("NBIX US Equity","IS_SH_FOR_DILUTED_EPS","FQ1 2024","FQ1 2024","Currency=USD","Period=FQ","BEST_FPERIOD_OVERRIDE=FQ","FILING_STATUS=MR","Sort=A","Dates=H","DateFormat=P","Fill=—","Direction=H","UseDPDF=Y")</f>
        <v>103.6</v>
      </c>
      <c r="W47" s="13">
        <f>_xll.BDH("NBIX US Equity","IS_SH_FOR_DILUTED_EPS","FQ2 2024","FQ2 2024","Currency=USD","Period=FQ","BEST_FPERIOD_OVERRIDE=FQ","FILING_STATUS=MR","Sort=A","Dates=H","DateFormat=P","Fill=—","Direction=H","UseDPDF=Y")</f>
        <v>103.9</v>
      </c>
      <c r="X47" s="13">
        <f>_xll.BDH("NBIX US Equity","IS_SH_FOR_DILUTED_EPS","FQ3 2024","FQ3 2024","Currency=USD","Period=FQ","BEST_FPERIOD_OVERRIDE=FQ","FILING_STATUS=MR","Sort=A","Dates=H","DateFormat=P","Fill=—","Direction=H","UseDPDF=Y")</f>
        <v>104.3</v>
      </c>
      <c r="Y47" s="13">
        <f>_xll.BDH("NBIX US Equity","IS_SH_FOR_DILUTED_EPS","FQ4 2024","FQ4 2024","Currency=USD","Period=FQ","BEST_FPERIOD_OVERRIDE=FQ","FILING_STATUS=MR","Sort=A","Dates=H","DateFormat=P","Fill=—","Direction=H","UseDPDF=Y")</f>
        <v>102.9</v>
      </c>
      <c r="Z47" s="13"/>
      <c r="AA47" s="13"/>
    </row>
    <row r="48" spans="1:27" x14ac:dyDescent="0.25">
      <c r="A48" s="6" t="s">
        <v>103</v>
      </c>
      <c r="B48" s="6" t="s">
        <v>104</v>
      </c>
      <c r="C48" s="20">
        <f>_xll.BDH("NBIX US Equity","IS_DILUTED_EPS","FQ2 2019","FQ2 2019","Currency=USD","Period=FQ","BEST_FPERIOD_OVERRIDE=FQ","FILING_STATUS=MR","FA_ADJUSTED=GAAP","Sort=A","Dates=H","DateFormat=P","Fill=—","Direction=H","UseDPDF=Y")</f>
        <v>0.54</v>
      </c>
      <c r="D48" s="20">
        <f>_xll.BDH("NBIX US Equity","IS_DILUTED_EPS","FQ3 2019","FQ3 2019","Currency=USD","Period=FQ","BEST_FPERIOD_OVERRIDE=FQ","FILING_STATUS=MR","FA_ADJUSTED=GAAP","Sort=A","Dates=H","DateFormat=P","Fill=—","Direction=H","UseDPDF=Y")</f>
        <v>0.56000000000000005</v>
      </c>
      <c r="E48" s="20">
        <f>_xll.BDH("NBIX US Equity","IS_DILUTED_EPS","FQ4 2019","FQ4 2019","Currency=USD","Period=FQ","BEST_FPERIOD_OVERRIDE=FQ","FILING_STATUS=MR","FA_ADJUSTED=GAAP","Sort=A","Dates=H","DateFormat=P","Fill=—","Direction=H","UseDPDF=Y")</f>
        <v>0.35</v>
      </c>
      <c r="F48" s="20">
        <f>_xll.BDH("NBIX US Equity","IS_DILUTED_EPS","FQ1 2020","FQ1 2020","Currency=USD","Period=FQ","BEST_FPERIOD_OVERRIDE=FQ","FILING_STATUS=MR","FA_ADJUSTED=GAAP","Sort=A","Dates=H","DateFormat=P","Fill=—","Direction=H","UseDPDF=Y")</f>
        <v>0.39</v>
      </c>
      <c r="G48" s="20">
        <f>_xll.BDH("NBIX US Equity","IS_DILUTED_EPS","FQ2 2020","FQ2 2020","Currency=USD","Period=FQ","BEST_FPERIOD_OVERRIDE=FQ","FILING_STATUS=MR","FA_ADJUSTED=GAAP","Sort=A","Dates=H","DateFormat=P","Fill=—","Direction=H","UseDPDF=Y")</f>
        <v>0.81</v>
      </c>
      <c r="H48" s="20">
        <f>_xll.BDH("NBIX US Equity","IS_DILUTED_EPS","FQ3 2020","FQ3 2020","Currency=USD","Period=FQ","BEST_FPERIOD_OVERRIDE=FQ","FILING_STATUS=MR","FA_ADJUSTED=GAAP","Sort=A","Dates=H","DateFormat=P","Fill=—","Direction=H","UseDPDF=Y")</f>
        <v>-0.62</v>
      </c>
      <c r="I48" s="20">
        <f>_xll.BDH("NBIX US Equity","IS_DILUTED_EPS","FQ4 2020","FQ4 2020","Currency=USD","Period=FQ","BEST_FPERIOD_OVERRIDE=FQ","FILING_STATUS=MR","FA_ADJUSTED=GAAP","Sort=A","Dates=H","DateFormat=P","Fill=—","Direction=H","UseDPDF=Y")</f>
        <v>3.58</v>
      </c>
      <c r="J48" s="20">
        <f>_xll.BDH("NBIX US Equity","IS_DILUTED_EPS","FQ1 2021","FQ1 2021","Currency=USD","Period=FQ","BEST_FPERIOD_OVERRIDE=FQ","FILING_STATUS=MR","FA_ADJUSTED=GAAP","Sort=A","Dates=H","DateFormat=P","Fill=—","Direction=H","UseDPDF=Y")</f>
        <v>0.33</v>
      </c>
      <c r="K48" s="20">
        <f>_xll.BDH("NBIX US Equity","IS_DILUTED_EPS","FQ2 2021","FQ2 2021","Currency=USD","Period=FQ","BEST_FPERIOD_OVERRIDE=FQ","FILING_STATUS=MR","FA_ADJUSTED=GAAP","Sort=A","Dates=H","DateFormat=P","Fill=—","Direction=H","UseDPDF=Y")</f>
        <v>0.43</v>
      </c>
      <c r="L48" s="20">
        <f>_xll.BDH("NBIX US Equity","IS_DILUTED_EPS","FQ3 2021","FQ3 2021","Currency=USD","Period=FQ","BEST_FPERIOD_OVERRIDE=FQ","FILING_STATUS=MR","FA_ADJUSTED=GAAP","Sort=A","Dates=H","DateFormat=P","Fill=—","Direction=H","UseDPDF=Y")</f>
        <v>0.23</v>
      </c>
      <c r="M48" s="20">
        <f>_xll.BDH("NBIX US Equity","IS_DILUTED_EPS","FQ4 2021","FQ4 2021","Currency=USD","Period=FQ","BEST_FPERIOD_OVERRIDE=FQ","FILING_STATUS=MR","FA_ADJUSTED=GAAP","Sort=A","Dates=H","DateFormat=P","Fill=—","Direction=H","UseDPDF=Y")</f>
        <v>-0.08</v>
      </c>
      <c r="N48" s="20">
        <f>_xll.BDH("NBIX US Equity","IS_DILUTED_EPS","FQ1 2022","FQ1 2022","Currency=USD","Period=FQ","BEST_FPERIOD_OVERRIDE=FQ","FILING_STATUS=MR","FA_ADJUSTED=GAAP","Sort=A","Dates=H","DateFormat=P","Fill=—","Direction=H","UseDPDF=Y")</f>
        <v>0.14000000000000001</v>
      </c>
      <c r="O48" s="20">
        <f>_xll.BDH("NBIX US Equity","IS_DILUTED_EPS","FQ2 2022","FQ2 2022","Currency=USD","Period=FQ","BEST_FPERIOD_OVERRIDE=FQ","FILING_STATUS=MR","FA_ADJUSTED=GAAP","Sort=A","Dates=H","DateFormat=P","Fill=—","Direction=H","UseDPDF=Y")</f>
        <v>-0.18</v>
      </c>
      <c r="P48" s="20">
        <f>_xll.BDH("NBIX US Equity","IS_DILUTED_EPS","FQ3 2022","FQ3 2022","Currency=USD","Period=FQ","BEST_FPERIOD_OVERRIDE=FQ","FILING_STATUS=MR","FA_ADJUSTED=GAAP","Sort=A","Dates=H","DateFormat=P","Fill=—","Direction=H","UseDPDF=Y")</f>
        <v>0.69</v>
      </c>
      <c r="Q48" s="20">
        <f>_xll.BDH("NBIX US Equity","IS_DILUTED_EPS","FQ4 2022","FQ4 2022","Currency=USD","Period=FQ","BEST_FPERIOD_OVERRIDE=FQ","FILING_STATUS=MR","FA_ADJUSTED=GAAP","Sort=A","Dates=H","DateFormat=P","Fill=—","Direction=H","UseDPDF=Y")</f>
        <v>0.88</v>
      </c>
      <c r="R48" s="20">
        <f>_xll.BDH("NBIX US Equity","IS_DILUTED_EPS","FQ1 2023","FQ1 2023","Currency=USD","Period=FQ","BEST_FPERIOD_OVERRIDE=FQ","FILING_STATUS=MR","FA_ADJUSTED=GAAP","Sort=A","Dates=H","DateFormat=P","Fill=—","Direction=H","UseDPDF=Y")</f>
        <v>-0.79</v>
      </c>
      <c r="S48" s="20">
        <f>_xll.BDH("NBIX US Equity","IS_DILUTED_EPS","FQ2 2023","FQ2 2023","Currency=USD","Period=FQ","BEST_FPERIOD_OVERRIDE=FQ","FILING_STATUS=MR","FA_ADJUSTED=GAAP","Sort=A","Dates=H","DateFormat=P","Fill=—","Direction=H","UseDPDF=Y")</f>
        <v>0.95</v>
      </c>
      <c r="T48" s="20">
        <f>_xll.BDH("NBIX US Equity","IS_DILUTED_EPS","FQ3 2023","FQ3 2023","Currency=USD","Period=FQ","BEST_FPERIOD_OVERRIDE=FQ","FILING_STATUS=MR","FA_ADJUSTED=GAAP","Sort=A","Dates=H","DateFormat=P","Fill=—","Direction=H","UseDPDF=Y")</f>
        <v>0.82</v>
      </c>
      <c r="U48" s="20">
        <f>_xll.BDH("NBIX US Equity","IS_DILUTED_EPS","FQ4 2023","FQ4 2023","Currency=USD","Period=FQ","BEST_FPERIOD_OVERRIDE=FQ","FILING_STATUS=MR","FA_ADJUSTED=GAAP","Sort=A","Dates=H","DateFormat=P","Fill=—","Direction=H","UseDPDF=Y")</f>
        <v>1.44</v>
      </c>
      <c r="V48" s="20">
        <f>_xll.BDH("NBIX US Equity","IS_DILUTED_EPS","FQ1 2024","FQ1 2024","Currency=USD","Period=FQ","BEST_FPERIOD_OVERRIDE=FQ","FILING_STATUS=MR","FA_ADJUSTED=GAAP","Sort=A","Dates=H","DateFormat=P","Fill=—","Direction=H","UseDPDF=Y")</f>
        <v>0.42</v>
      </c>
      <c r="W48" s="20">
        <f>_xll.BDH("NBIX US Equity","IS_DILUTED_EPS","FQ2 2024","FQ2 2024","Currency=USD","Period=FQ","BEST_FPERIOD_OVERRIDE=FQ","FILING_STATUS=MR","FA_ADJUSTED=GAAP","Sort=A","Dates=H","DateFormat=P","Fill=—","Direction=H","UseDPDF=Y")</f>
        <v>0.63</v>
      </c>
      <c r="X48" s="20">
        <f>_xll.BDH("NBIX US Equity","IS_DILUTED_EPS","FQ3 2024","FQ3 2024","Currency=USD","Period=FQ","BEST_FPERIOD_OVERRIDE=FQ","FILING_STATUS=MR","FA_ADJUSTED=GAAP","Sort=A","Dates=H","DateFormat=P","Fill=—","Direction=H","UseDPDF=Y")</f>
        <v>1.24</v>
      </c>
      <c r="Y48" s="20">
        <f>_xll.BDH("NBIX US Equity","IS_DILUTED_EPS","FQ4 2024","FQ4 2024","Currency=USD","Period=FQ","BEST_FPERIOD_OVERRIDE=FQ","FILING_STATUS=MR","FA_ADJUSTED=GAAP","Sort=A","Dates=H","DateFormat=P","Fill=—","Direction=H","UseDPDF=Y")</f>
        <v>1</v>
      </c>
      <c r="Z48" s="20">
        <v>0.81399999999999995</v>
      </c>
      <c r="AA48" s="20">
        <v>0.97199999999999998</v>
      </c>
    </row>
    <row r="49" spans="1:27" x14ac:dyDescent="0.25">
      <c r="A49" s="6" t="s">
        <v>389</v>
      </c>
      <c r="B49" s="6" t="s">
        <v>271</v>
      </c>
      <c r="C49" s="20">
        <f>_xll.BDH("NBIX US Equity","IS_DIL_EPS_BEF_XO","FQ2 2019","FQ2 2019","Currency=USD","Period=FQ","BEST_FPERIOD_OVERRIDE=FQ","FILING_STATUS=MR","Sort=A","Dates=H","DateFormat=P","Fill=—","Direction=H","UseDPDF=Y")</f>
        <v>0.54</v>
      </c>
      <c r="D49" s="20">
        <f>_xll.BDH("NBIX US Equity","IS_DIL_EPS_BEF_XO","FQ3 2019","FQ3 2019","Currency=USD","Period=FQ","BEST_FPERIOD_OVERRIDE=FQ","FILING_STATUS=MR","Sort=A","Dates=H","DateFormat=P","Fill=—","Direction=H","UseDPDF=Y")</f>
        <v>0.56000000000000005</v>
      </c>
      <c r="E49" s="20">
        <f>_xll.BDH("NBIX US Equity","IS_DIL_EPS_BEF_XO","FQ4 2019","FQ4 2019","Currency=USD","Period=FQ","BEST_FPERIOD_OVERRIDE=FQ","FILING_STATUS=MR","Sort=A","Dates=H","DateFormat=P","Fill=—","Direction=H","UseDPDF=Y")</f>
        <v>0.35</v>
      </c>
      <c r="F49" s="20">
        <f>_xll.BDH("NBIX US Equity","IS_DIL_EPS_BEF_XO","FQ1 2020","FQ1 2020","Currency=USD","Period=FQ","BEST_FPERIOD_OVERRIDE=FQ","FILING_STATUS=MR","Sort=A","Dates=H","DateFormat=P","Fill=—","Direction=H","UseDPDF=Y")</f>
        <v>0.39</v>
      </c>
      <c r="G49" s="20">
        <f>_xll.BDH("NBIX US Equity","IS_DIL_EPS_BEF_XO","FQ2 2020","FQ2 2020","Currency=USD","Period=FQ","BEST_FPERIOD_OVERRIDE=FQ","FILING_STATUS=MR","Sort=A","Dates=H","DateFormat=P","Fill=—","Direction=H","UseDPDF=Y")</f>
        <v>0.81</v>
      </c>
      <c r="H49" s="20">
        <f>_xll.BDH("NBIX US Equity","IS_DIL_EPS_BEF_XO","FQ3 2020","FQ3 2020","Currency=USD","Period=FQ","BEST_FPERIOD_OVERRIDE=FQ","FILING_STATUS=MR","Sort=A","Dates=H","DateFormat=P","Fill=—","Direction=H","UseDPDF=Y")</f>
        <v>-0.62</v>
      </c>
      <c r="I49" s="20">
        <f>_xll.BDH("NBIX US Equity","IS_DIL_EPS_BEF_XO","FQ4 2020","FQ4 2020","Currency=USD","Period=FQ","BEST_FPERIOD_OVERRIDE=FQ","FILING_STATUS=MR","Sort=A","Dates=H","DateFormat=P","Fill=—","Direction=H","UseDPDF=Y")</f>
        <v>3.58</v>
      </c>
      <c r="J49" s="20">
        <f>_xll.BDH("NBIX US Equity","IS_DIL_EPS_BEF_XO","FQ1 2021","FQ1 2021","Currency=USD","Period=FQ","BEST_FPERIOD_OVERRIDE=FQ","FILING_STATUS=MR","Sort=A","Dates=H","DateFormat=P","Fill=—","Direction=H","UseDPDF=Y")</f>
        <v>0.33</v>
      </c>
      <c r="K49" s="20">
        <f>_xll.BDH("NBIX US Equity","IS_DIL_EPS_BEF_XO","FQ2 2021","FQ2 2021","Currency=USD","Period=FQ","BEST_FPERIOD_OVERRIDE=FQ","FILING_STATUS=MR","Sort=A","Dates=H","DateFormat=P","Fill=—","Direction=H","UseDPDF=Y")</f>
        <v>0.43</v>
      </c>
      <c r="L49" s="20">
        <f>_xll.BDH("NBIX US Equity","IS_DIL_EPS_BEF_XO","FQ3 2021","FQ3 2021","Currency=USD","Period=FQ","BEST_FPERIOD_OVERRIDE=FQ","FILING_STATUS=MR","Sort=A","Dates=H","DateFormat=P","Fill=—","Direction=H","UseDPDF=Y")</f>
        <v>0.23</v>
      </c>
      <c r="M49" s="20">
        <f>_xll.BDH("NBIX US Equity","IS_DIL_EPS_BEF_XO","FQ4 2021","FQ4 2021","Currency=USD","Period=FQ","BEST_FPERIOD_OVERRIDE=FQ","FILING_STATUS=MR","Sort=A","Dates=H","DateFormat=P","Fill=—","Direction=H","UseDPDF=Y")</f>
        <v>-0.08</v>
      </c>
      <c r="N49" s="20">
        <f>_xll.BDH("NBIX US Equity","IS_DIL_EPS_BEF_XO","FQ1 2022","FQ1 2022","Currency=USD","Period=FQ","BEST_FPERIOD_OVERRIDE=FQ","FILING_STATUS=MR","Sort=A","Dates=H","DateFormat=P","Fill=—","Direction=H","UseDPDF=Y")</f>
        <v>0.14000000000000001</v>
      </c>
      <c r="O49" s="20">
        <f>_xll.BDH("NBIX US Equity","IS_DIL_EPS_BEF_XO","FQ2 2022","FQ2 2022","Currency=USD","Period=FQ","BEST_FPERIOD_OVERRIDE=FQ","FILING_STATUS=MR","Sort=A","Dates=H","DateFormat=P","Fill=—","Direction=H","UseDPDF=Y")</f>
        <v>-0.18</v>
      </c>
      <c r="P49" s="20">
        <f>_xll.BDH("NBIX US Equity","IS_DIL_EPS_BEF_XO","FQ3 2022","FQ3 2022","Currency=USD","Period=FQ","BEST_FPERIOD_OVERRIDE=FQ","FILING_STATUS=MR","Sort=A","Dates=H","DateFormat=P","Fill=—","Direction=H","UseDPDF=Y")</f>
        <v>0.69</v>
      </c>
      <c r="Q49" s="20">
        <f>_xll.BDH("NBIX US Equity","IS_DIL_EPS_BEF_XO","FQ4 2022","FQ4 2022","Currency=USD","Period=FQ","BEST_FPERIOD_OVERRIDE=FQ","FILING_STATUS=MR","Sort=A","Dates=H","DateFormat=P","Fill=—","Direction=H","UseDPDF=Y")</f>
        <v>0.88</v>
      </c>
      <c r="R49" s="20">
        <f>_xll.BDH("NBIX US Equity","IS_DIL_EPS_BEF_XO","FQ1 2023","FQ1 2023","Currency=USD","Period=FQ","BEST_FPERIOD_OVERRIDE=FQ","FILING_STATUS=MR","Sort=A","Dates=H","DateFormat=P","Fill=—","Direction=H","UseDPDF=Y")</f>
        <v>-0.79</v>
      </c>
      <c r="S49" s="20">
        <f>_xll.BDH("NBIX US Equity","IS_DIL_EPS_BEF_XO","FQ2 2023","FQ2 2023","Currency=USD","Period=FQ","BEST_FPERIOD_OVERRIDE=FQ","FILING_STATUS=MR","Sort=A","Dates=H","DateFormat=P","Fill=—","Direction=H","UseDPDF=Y")</f>
        <v>0.95</v>
      </c>
      <c r="T49" s="20">
        <f>_xll.BDH("NBIX US Equity","IS_DIL_EPS_BEF_XO","FQ3 2023","FQ3 2023","Currency=USD","Period=FQ","BEST_FPERIOD_OVERRIDE=FQ","FILING_STATUS=MR","Sort=A","Dates=H","DateFormat=P","Fill=—","Direction=H","UseDPDF=Y")</f>
        <v>0.82</v>
      </c>
      <c r="U49" s="20">
        <f>_xll.BDH("NBIX US Equity","IS_DIL_EPS_BEF_XO","FQ4 2023","FQ4 2023","Currency=USD","Period=FQ","BEST_FPERIOD_OVERRIDE=FQ","FILING_STATUS=MR","Sort=A","Dates=H","DateFormat=P","Fill=—","Direction=H","UseDPDF=Y")</f>
        <v>1.44</v>
      </c>
      <c r="V49" s="20">
        <f>_xll.BDH("NBIX US Equity","IS_DIL_EPS_BEF_XO","FQ1 2024","FQ1 2024","Currency=USD","Period=FQ","BEST_FPERIOD_OVERRIDE=FQ","FILING_STATUS=MR","Sort=A","Dates=H","DateFormat=P","Fill=—","Direction=H","UseDPDF=Y")</f>
        <v>0.42</v>
      </c>
      <c r="W49" s="20">
        <f>_xll.BDH("NBIX US Equity","IS_DIL_EPS_BEF_XO","FQ2 2024","FQ2 2024","Currency=USD","Period=FQ","BEST_FPERIOD_OVERRIDE=FQ","FILING_STATUS=MR","Sort=A","Dates=H","DateFormat=P","Fill=—","Direction=H","UseDPDF=Y")</f>
        <v>0.63</v>
      </c>
      <c r="X49" s="20">
        <f>_xll.BDH("NBIX US Equity","IS_DIL_EPS_BEF_XO","FQ3 2024","FQ3 2024","Currency=USD","Period=FQ","BEST_FPERIOD_OVERRIDE=FQ","FILING_STATUS=MR","Sort=A","Dates=H","DateFormat=P","Fill=—","Direction=H","UseDPDF=Y")</f>
        <v>1.24</v>
      </c>
      <c r="Y49" s="20">
        <f>_xll.BDH("NBIX US Equity","IS_DIL_EPS_BEF_XO","FQ4 2024","FQ4 2024","Currency=USD","Period=FQ","BEST_FPERIOD_OVERRIDE=FQ","FILING_STATUS=MR","Sort=A","Dates=H","DateFormat=P","Fill=—","Direction=H","UseDPDF=Y")</f>
        <v>1</v>
      </c>
      <c r="Z49" s="20">
        <v>0.81399999999999995</v>
      </c>
      <c r="AA49" s="20">
        <v>0.97199999999999998</v>
      </c>
    </row>
    <row r="50" spans="1:27" x14ac:dyDescent="0.25">
      <c r="A50" s="6" t="s">
        <v>390</v>
      </c>
      <c r="B50" s="6" t="s">
        <v>82</v>
      </c>
      <c r="C50" s="20">
        <f>_xll.BDH("NBIX US Equity","IS_DIL_EPS_CONT_OPS","FQ2 2019","FQ2 2019","Currency=USD","Period=FQ","BEST_FPERIOD_OVERRIDE=FQ","FILING_STATUS=MR","Sort=A","Dates=H","DateFormat=P","Fill=—","Direction=H","UseDPDF=Y")</f>
        <v>0.40689999999999998</v>
      </c>
      <c r="D50" s="20">
        <f>_xll.BDH("NBIX US Equity","IS_DIL_EPS_CONT_OPS","FQ3 2019","FQ3 2019","Currency=USD","Period=FQ","BEST_FPERIOD_OVERRIDE=FQ","FILING_STATUS=MR","Sort=A","Dates=H","DateFormat=P","Fill=—","Direction=H","UseDPDF=Y")</f>
        <v>0.79390000000000005</v>
      </c>
      <c r="E50" s="20">
        <f>_xll.BDH("NBIX US Equity","IS_DIL_EPS_CONT_OPS","FQ4 2019","FQ4 2019","Currency=USD","Period=FQ","BEST_FPERIOD_OVERRIDE=FQ","FILING_STATUS=MR","Sort=A","Dates=H","DateFormat=P","Fill=—","Direction=H","UseDPDF=Y")</f>
        <v>0.7913</v>
      </c>
      <c r="F50" s="20">
        <f>_xll.BDH("NBIX US Equity","IS_DIL_EPS_CONT_OPS","FQ1 2020","FQ1 2020","Currency=USD","Period=FQ","BEST_FPERIOD_OVERRIDE=FQ","FILING_STATUS=MR","Sort=A","Dates=H","DateFormat=P","Fill=—","Direction=H","UseDPDF=Y")</f>
        <v>0.55379999999999996</v>
      </c>
      <c r="G50" s="20">
        <f>_xll.BDH("NBIX US Equity","IS_DIL_EPS_CONT_OPS","FQ2 2020","FQ2 2020","Currency=USD","Period=FQ","BEST_FPERIOD_OVERRIDE=FQ","FILING_STATUS=MR","Sort=A","Dates=H","DateFormat=P","Fill=—","Direction=H","UseDPDF=Y")</f>
        <v>1.1628000000000001</v>
      </c>
      <c r="H50" s="20">
        <f>_xll.BDH("NBIX US Equity","IS_DIL_EPS_CONT_OPS","FQ3 2020","FQ3 2020","Currency=USD","Period=FQ","BEST_FPERIOD_OVERRIDE=FQ","FILING_STATUS=MR","Sort=A","Dates=H","DateFormat=P","Fill=—","Direction=H","UseDPDF=Y")</f>
        <v>0.69430000000000003</v>
      </c>
      <c r="I50" s="20">
        <f>_xll.BDH("NBIX US Equity","IS_DIL_EPS_CONT_OPS","FQ4 2020","FQ4 2020","Currency=USD","Period=FQ","BEST_FPERIOD_OVERRIDE=FQ","FILING_STATUS=MR","Sort=A","Dates=H","DateFormat=P","Fill=—","Direction=H","UseDPDF=Y")</f>
        <v>2.2816000000000001</v>
      </c>
      <c r="J50" s="20">
        <f>_xll.BDH("NBIX US Equity","IS_DIL_EPS_CONT_OPS","FQ1 2021","FQ1 2021","Currency=USD","Period=FQ","BEST_FPERIOD_OVERRIDE=FQ","FILING_STATUS=MR","Sort=A","Dates=H","DateFormat=P","Fill=—","Direction=H","UseDPDF=Y")</f>
        <v>0.32679999999999998</v>
      </c>
      <c r="K50" s="20">
        <f>_xll.BDH("NBIX US Equity","IS_DIL_EPS_CONT_OPS","FQ2 2021","FQ2 2021","Currency=USD","Period=FQ","BEST_FPERIOD_OVERRIDE=FQ","FILING_STATUS=MR","Sort=A","Dates=H","DateFormat=P","Fill=—","Direction=H","UseDPDF=Y")</f>
        <v>0.47499999999999998</v>
      </c>
      <c r="L50" s="20">
        <f>_xll.BDH("NBIX US Equity","IS_DIL_EPS_CONT_OPS","FQ3 2021","FQ3 2021","Currency=USD","Period=FQ","BEST_FPERIOD_OVERRIDE=FQ","FILING_STATUS=MR","Sort=A","Dates=H","DateFormat=P","Fill=—","Direction=H","UseDPDF=Y")</f>
        <v>0.30630000000000002</v>
      </c>
      <c r="M50" s="20">
        <f>_xll.BDH("NBIX US Equity","IS_DIL_EPS_CONT_OPS","FQ4 2021","FQ4 2021","Currency=USD","Period=FQ","BEST_FPERIOD_OVERRIDE=FQ","FILING_STATUS=MR","Sort=A","Dates=H","DateFormat=P","Fill=—","Direction=H","UseDPDF=Y")</f>
        <v>0.51849999999999996</v>
      </c>
      <c r="N50" s="20">
        <f>_xll.BDH("NBIX US Equity","IS_DIL_EPS_CONT_OPS","FQ1 2022","FQ1 2022","Currency=USD","Period=FQ","BEST_FPERIOD_OVERRIDE=FQ","FILING_STATUS=MR","Sort=A","Dates=H","DateFormat=P","Fill=—","Direction=H","UseDPDF=Y")</f>
        <v>-4.41E-2</v>
      </c>
      <c r="O50" s="20">
        <f>_xll.BDH("NBIX US Equity","IS_DIL_EPS_CONT_OPS","FQ2 2022","FQ2 2022","Currency=USD","Period=FQ","BEST_FPERIOD_OVERRIDE=FQ","FILING_STATUS=MR","Sort=A","Dates=H","DateFormat=P","Fill=—","Direction=H","UseDPDF=Y")</f>
        <v>-0.1188</v>
      </c>
      <c r="P50" s="20">
        <f>_xll.BDH("NBIX US Equity","IS_DIL_EPS_CONT_OPS","FQ3 2022","FQ3 2022","Currency=USD","Period=FQ","BEST_FPERIOD_OVERRIDE=FQ","FILING_STATUS=MR","Sort=A","Dates=H","DateFormat=P","Fill=—","Direction=H","UseDPDF=Y")</f>
        <v>0.79390000000000005</v>
      </c>
      <c r="Q50" s="20">
        <f>_xll.BDH("NBIX US Equity","IS_DIL_EPS_CONT_OPS","FQ4 2022","FQ4 2022","Currency=USD","Period=FQ","BEST_FPERIOD_OVERRIDE=FQ","FILING_STATUS=MR","Sort=A","Dates=H","DateFormat=P","Fill=—","Direction=H","UseDPDF=Y")</f>
        <v>0.89029999999999998</v>
      </c>
      <c r="R50" s="20">
        <f>_xll.BDH("NBIX US Equity","IS_DIL_EPS_CONT_OPS","FQ1 2023","FQ1 2023","Currency=USD","Period=FQ","BEST_FPERIOD_OVERRIDE=FQ","FILING_STATUS=MR","Sort=A","Dates=H","DateFormat=P","Fill=—","Direction=H","UseDPDF=Y")</f>
        <v>0.3649</v>
      </c>
      <c r="S50" s="20">
        <f>_xll.BDH("NBIX US Equity","IS_DIL_EPS_CONT_OPS","FQ2 2023","FQ2 2023","Currency=USD","Period=FQ","BEST_FPERIOD_OVERRIDE=FQ","FILING_STATUS=MR","Sort=A","Dates=H","DateFormat=P","Fill=—","Direction=H","UseDPDF=Y")</f>
        <v>0.65590000000000004</v>
      </c>
      <c r="T50" s="20">
        <f>_xll.BDH("NBIX US Equity","IS_DIL_EPS_CONT_OPS","FQ3 2023","FQ3 2023","Currency=USD","Period=FQ","BEST_FPERIOD_OVERRIDE=FQ","FILING_STATUS=MR","Sort=A","Dates=H","DateFormat=P","Fill=—","Direction=H","UseDPDF=Y")</f>
        <v>1.3632</v>
      </c>
      <c r="U50" s="20">
        <f>_xll.BDH("NBIX US Equity","IS_DIL_EPS_CONT_OPS","FQ4 2023","FQ4 2023","Currency=USD","Period=FQ","BEST_FPERIOD_OVERRIDE=FQ","FILING_STATUS=MR","Sort=A","Dates=H","DateFormat=P","Fill=—","Direction=H","UseDPDF=Y")</f>
        <v>1.2161</v>
      </c>
      <c r="V50" s="20">
        <f>_xll.BDH("NBIX US Equity","IS_DIL_EPS_CONT_OPS","FQ1 2024","FQ1 2024","Currency=USD","Period=FQ","BEST_FPERIOD_OVERRIDE=FQ","FILING_STATUS=MR","Sort=A","Dates=H","DateFormat=P","Fill=—","Direction=H","UseDPDF=Y")</f>
        <v>0.45629999999999998</v>
      </c>
      <c r="W50" s="20">
        <f>_xll.BDH("NBIX US Equity","IS_DIL_EPS_CONT_OPS","FQ2 2024","FQ2 2024","Currency=USD","Period=FQ","BEST_FPERIOD_OVERRIDE=FQ","FILING_STATUS=MR","Sort=A","Dates=H","DateFormat=P","Fill=—","Direction=H","UseDPDF=Y")</f>
        <v>1.6816</v>
      </c>
      <c r="X50" s="20">
        <f>_xll.BDH("NBIX US Equity","IS_DIL_EPS_CONT_OPS","FQ3 2024","FQ3 2024","Currency=USD","Period=FQ","BEST_FPERIOD_OVERRIDE=FQ","FILING_STATUS=MR","Sort=A","Dates=H","DateFormat=P","Fill=—","Direction=H","UseDPDF=Y")</f>
        <v>1.5034000000000001</v>
      </c>
      <c r="Y50" s="20">
        <f>_xll.BDH("NBIX US Equity","IS_DIL_EPS_CONT_OPS","FQ4 2024","FQ4 2024","Currency=USD","Period=FQ","BEST_FPERIOD_OVERRIDE=FQ","FILING_STATUS=MR","Sort=A","Dates=H","DateFormat=P","Fill=—","Direction=H","UseDPDF=Y")</f>
        <v>1.0415000000000001</v>
      </c>
      <c r="Z50" s="20">
        <v>1.2450000000000001</v>
      </c>
      <c r="AA50" s="20">
        <v>1.444</v>
      </c>
    </row>
    <row r="51" spans="1:27" x14ac:dyDescent="0.25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6" t="s">
        <v>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0" t="s">
        <v>391</v>
      </c>
      <c r="B53" s="10" t="s">
        <v>392</v>
      </c>
      <c r="C53" s="12" t="s">
        <v>393</v>
      </c>
      <c r="D53" s="12" t="s">
        <v>393</v>
      </c>
      <c r="E53" s="12" t="s">
        <v>393</v>
      </c>
      <c r="F53" s="12" t="s">
        <v>393</v>
      </c>
      <c r="G53" s="12" t="s">
        <v>393</v>
      </c>
      <c r="H53" s="12" t="s">
        <v>393</v>
      </c>
      <c r="I53" s="12" t="s">
        <v>393</v>
      </c>
      <c r="J53" s="12" t="s">
        <v>393</v>
      </c>
      <c r="K53" s="12" t="s">
        <v>393</v>
      </c>
      <c r="L53" s="12" t="s">
        <v>393</v>
      </c>
      <c r="M53" s="12" t="s">
        <v>393</v>
      </c>
      <c r="N53" s="12" t="s">
        <v>393</v>
      </c>
      <c r="O53" s="12" t="s">
        <v>393</v>
      </c>
      <c r="P53" s="12" t="s">
        <v>393</v>
      </c>
      <c r="Q53" s="12" t="s">
        <v>393</v>
      </c>
      <c r="R53" s="12" t="s">
        <v>393</v>
      </c>
      <c r="S53" s="12" t="s">
        <v>393</v>
      </c>
      <c r="T53" s="12" t="s">
        <v>393</v>
      </c>
      <c r="U53" s="12" t="s">
        <v>393</v>
      </c>
      <c r="V53" s="12" t="s">
        <v>393</v>
      </c>
      <c r="W53" s="12" t="s">
        <v>393</v>
      </c>
      <c r="X53" s="12" t="s">
        <v>393</v>
      </c>
      <c r="Y53" s="12" t="s">
        <v>393</v>
      </c>
      <c r="Z53" s="12"/>
      <c r="AA53" s="12"/>
    </row>
    <row r="54" spans="1:27" x14ac:dyDescent="0.25">
      <c r="A54" s="10" t="s">
        <v>78</v>
      </c>
      <c r="B54" s="10" t="s">
        <v>78</v>
      </c>
      <c r="C54" s="13">
        <f>_xll.BDH("NBIX US Equity","EBITDA","FQ2 2019","FQ2 2019","Currency=USD","Period=FQ","BEST_FPERIOD_OVERRIDE=FQ","FILING_STATUS=MR","SCALING_FORMAT=MLN","FA_ADJUSTED=GAAP","Sort=A","Dates=H","DateFormat=P","Fill=—","Direction=H","UseDPDF=Y")</f>
        <v>38.247</v>
      </c>
      <c r="D54" s="13">
        <f>_xll.BDH("NBIX US Equity","EBITDA","FQ3 2019","FQ3 2019","Currency=USD","Period=FQ","BEST_FPERIOD_OVERRIDE=FQ","FILING_STATUS=MR","SCALING_FORMAT=MLN","FA_ADJUSTED=GAAP","Sort=A","Dates=H","DateFormat=P","Fill=—","Direction=H","UseDPDF=Y")</f>
        <v>94.106999999999999</v>
      </c>
      <c r="E54" s="13">
        <f>_xll.BDH("NBIX US Equity","EBITDA","FQ4 2019","FQ4 2019","Currency=USD","Period=FQ","BEST_FPERIOD_OVERRIDE=FQ","FILING_STATUS=MR","SCALING_FORMAT=MLN","FA_ADJUSTED=GAAP","Sort=A","Dates=H","DateFormat=P","Fill=—","Direction=H","UseDPDF=Y")</f>
        <v>53.039000000000001</v>
      </c>
      <c r="F54" s="13">
        <f>_xll.BDH("NBIX US Equity","EBITDA","FQ1 2020","FQ1 2020","Currency=USD","Period=FQ","BEST_FPERIOD_OVERRIDE=FQ","FILING_STATUS=MR","SCALING_FORMAT=MLN","FA_ADJUSTED=GAAP","Sort=A","Dates=H","DateFormat=P","Fill=—","Direction=H","UseDPDF=Y")</f>
        <v>63.5</v>
      </c>
      <c r="G54" s="13">
        <f>_xll.BDH("NBIX US Equity","EBITDA","FQ2 2020","FQ2 2020","Currency=USD","Period=FQ","BEST_FPERIOD_OVERRIDE=FQ","FILING_STATUS=MR","SCALING_FORMAT=MLN","FA_ADJUSTED=GAAP","Sort=A","Dates=H","DateFormat=P","Fill=—","Direction=H","UseDPDF=Y")</f>
        <v>81.2</v>
      </c>
      <c r="H54" s="13">
        <f>_xll.BDH("NBIX US Equity","EBITDA","FQ3 2020","FQ3 2020","Currency=USD","Period=FQ","BEST_FPERIOD_OVERRIDE=FQ","FILING_STATUS=MR","SCALING_FORMAT=MLN","FA_ADJUSTED=GAAP","Sort=A","Dates=H","DateFormat=P","Fill=—","Direction=H","UseDPDF=Y")</f>
        <v>-39.700000000000003</v>
      </c>
      <c r="I54" s="13">
        <f>_xll.BDH("NBIX US Equity","EBITDA","FQ4 2020","FQ4 2020","Currency=USD","Period=FQ","BEST_FPERIOD_OVERRIDE=FQ","FILING_STATUS=MR","SCALING_FORMAT=MLN","FA_ADJUSTED=GAAP","Sort=A","Dates=H","DateFormat=P","Fill=—","Direction=H","UseDPDF=Y")</f>
        <v>76.7</v>
      </c>
      <c r="J54" s="13">
        <f>_xll.BDH("NBIX US Equity","EBITDA","FQ1 2021","FQ1 2021","Currency=USD","Period=FQ","BEST_FPERIOD_OVERRIDE=FQ","FILING_STATUS=MR","SCALING_FORMAT=MLN","FA_ADJUSTED=GAAP","Sort=A","Dates=H","DateFormat=P","Fill=—","Direction=H","UseDPDF=Y")</f>
        <v>37.4</v>
      </c>
      <c r="K54" s="13">
        <f>_xll.BDH("NBIX US Equity","EBITDA","FQ2 2021","FQ2 2021","Currency=USD","Period=FQ","BEST_FPERIOD_OVERRIDE=FQ","FILING_STATUS=MR","SCALING_FORMAT=MLN","FA_ADJUSTED=GAAP","Sort=A","Dates=H","DateFormat=P","Fill=—","Direction=H","UseDPDF=Y")</f>
        <v>69.3</v>
      </c>
      <c r="L54" s="13">
        <f>_xll.BDH("NBIX US Equity","EBITDA","FQ3 2021","FQ3 2021","Currency=USD","Period=FQ","BEST_FPERIOD_OVERRIDE=FQ","FILING_STATUS=MR","SCALING_FORMAT=MLN","FA_ADJUSTED=GAAP","Sort=A","Dates=H","DateFormat=P","Fill=—","Direction=H","UseDPDF=Y")</f>
        <v>51.2</v>
      </c>
      <c r="M54" s="13">
        <f>_xll.BDH("NBIX US Equity","EBITDA","FQ4 2021","FQ4 2021","Currency=USD","Period=FQ","BEST_FPERIOD_OVERRIDE=FQ","FILING_STATUS=MR","SCALING_FORMAT=MLN","FA_ADJUSTED=GAAP","Sort=A","Dates=H","DateFormat=P","Fill=—","Direction=H","UseDPDF=Y")</f>
        <v>-29.2</v>
      </c>
      <c r="N54" s="13">
        <f>_xll.BDH("NBIX US Equity","EBITDA","FQ1 2022","FQ1 2022","Currency=USD","Period=FQ","BEST_FPERIOD_OVERRIDE=FQ","FILING_STATUS=MR","SCALING_FORMAT=MLN","FA_ADJUSTED=GAAP","Sort=A","Dates=H","DateFormat=P","Fill=—","Direction=H","UseDPDF=Y")</f>
        <v>10.5</v>
      </c>
      <c r="O54" s="13">
        <f>_xll.BDH("NBIX US Equity","EBITDA","FQ2 2022","FQ2 2022","Currency=USD","Period=FQ","BEST_FPERIOD_OVERRIDE=FQ","FILING_STATUS=MR","SCALING_FORMAT=MLN","FA_ADJUSTED=GAAP","Sort=A","Dates=H","DateFormat=P","Fill=—","Direction=H","UseDPDF=Y")</f>
        <v>62.7</v>
      </c>
      <c r="P54" s="13">
        <f>_xll.BDH("NBIX US Equity","EBITDA","FQ3 2022","FQ3 2022","Currency=USD","Period=FQ","BEST_FPERIOD_OVERRIDE=FQ","FILING_STATUS=MR","SCALING_FORMAT=MLN","FA_ADJUSTED=GAAP","Sort=A","Dates=H","DateFormat=P","Fill=—","Direction=H","UseDPDF=Y")</f>
        <v>96.1</v>
      </c>
      <c r="Q54" s="13">
        <f>_xll.BDH("NBIX US Equity","EBITDA","FQ4 2022","FQ4 2022","Currency=USD","Period=FQ","BEST_FPERIOD_OVERRIDE=FQ","FILING_STATUS=MR","SCALING_FORMAT=MLN","FA_ADJUSTED=GAAP","Sort=A","Dates=H","DateFormat=P","Fill=—","Direction=H","UseDPDF=Y")</f>
        <v>111.6</v>
      </c>
      <c r="R54" s="13">
        <f>_xll.BDH("NBIX US Equity","EBITDA","FQ1 2023","FQ1 2023","Currency=USD","Period=FQ","BEST_FPERIOD_OVERRIDE=FQ","FILING_STATUS=MR","SCALING_FORMAT=MLN","FA_ADJUSTED=GAAP","Sort=A","Dates=H","DateFormat=P","Fill=—","Direction=H","UseDPDF=Y")</f>
        <v>-105.1</v>
      </c>
      <c r="S54" s="13">
        <f>_xll.BDH("NBIX US Equity","EBITDA","FQ2 2023","FQ2 2023","Currency=USD","Period=FQ","BEST_FPERIOD_OVERRIDE=FQ","FILING_STATUS=MR","SCALING_FORMAT=MLN","FA_ADJUSTED=GAAP","Sort=A","Dates=H","DateFormat=P","Fill=—","Direction=H","UseDPDF=Y")</f>
        <v>82.8</v>
      </c>
      <c r="T54" s="13">
        <f>_xll.BDH("NBIX US Equity","EBITDA","FQ3 2023","FQ3 2023","Currency=USD","Period=FQ","BEST_FPERIOD_OVERRIDE=FQ","FILING_STATUS=MR","SCALING_FORMAT=MLN","FA_ADJUSTED=GAAP","Sort=A","Dates=H","DateFormat=P","Fill=—","Direction=H","UseDPDF=Y")</f>
        <v>150.5</v>
      </c>
      <c r="U54" s="13">
        <f>_xll.BDH("NBIX US Equity","EBITDA","FQ4 2023","FQ4 2023","Currency=USD","Period=FQ","BEST_FPERIOD_OVERRIDE=FQ","FILING_STATUS=MR","SCALING_FORMAT=MLN","FA_ADJUSTED=GAAP","Sort=A","Dates=H","DateFormat=P","Fill=—","Direction=H","UseDPDF=Y")</f>
        <v>160.4</v>
      </c>
      <c r="V54" s="13">
        <f>_xll.BDH("NBIX US Equity","EBITDA","FQ1 2024","FQ1 2024","Currency=USD","Period=FQ","BEST_FPERIOD_OVERRIDE=FQ","FILING_STATUS=MR","SCALING_FORMAT=MLN","FA_ADJUSTED=GAAP","Sort=A","Dates=H","DateFormat=P","Fill=—","Direction=H","UseDPDF=Y")</f>
        <v>114.5</v>
      </c>
      <c r="W54" s="13">
        <f>_xll.BDH("NBIX US Equity","EBITDA","FQ2 2024","FQ2 2024","Currency=USD","Period=FQ","BEST_FPERIOD_OVERRIDE=FQ","FILING_STATUS=MR","SCALING_FORMAT=MLN","FA_ADJUSTED=GAAP","Sort=A","Dates=H","DateFormat=P","Fill=—","Direction=H","UseDPDF=Y")</f>
        <v>161.9</v>
      </c>
      <c r="X54" s="13">
        <f>_xll.BDH("NBIX US Equity","EBITDA","FQ3 2024","FQ3 2024","Currency=USD","Period=FQ","BEST_FPERIOD_OVERRIDE=FQ","FILING_STATUS=MR","SCALING_FORMAT=MLN","FA_ADJUSTED=GAAP","Sort=A","Dates=H","DateFormat=P","Fill=—","Direction=H","UseDPDF=Y")</f>
        <v>199.1</v>
      </c>
      <c r="Y54" s="13">
        <f>_xll.BDH("NBIX US Equity","EBITDA","FQ4 2024","FQ4 2024","Currency=USD","Period=FQ","BEST_FPERIOD_OVERRIDE=FQ","FILING_STATUS=MR","SCALING_FORMAT=MLN","FA_ADJUSTED=GAAP","Sort=A","Dates=H","DateFormat=P","Fill=—","Direction=H","UseDPDF=Y")</f>
        <v>164.1</v>
      </c>
      <c r="Z54" s="13">
        <v>149.143</v>
      </c>
      <c r="AA54" s="13">
        <v>170.429</v>
      </c>
    </row>
    <row r="55" spans="1:27" x14ac:dyDescent="0.25">
      <c r="A55" s="10" t="s">
        <v>394</v>
      </c>
      <c r="B55" s="10" t="s">
        <v>395</v>
      </c>
      <c r="C55" s="14">
        <f>_xll.BDH("NBIX US Equity","EBITDA_MARGIN","FQ2 2019","FQ2 2019","Currency=USD","Period=FQ","BEST_FPERIOD_OVERRIDE=FQ","FILING_STATUS=MR","FA_ADJUSTED=GAAP","Sort=A","Dates=H","DateFormat=P","Fill=—","Direction=H","UseDPDF=Y")</f>
        <v>3.1831</v>
      </c>
      <c r="D55" s="14">
        <f>_xll.BDH("NBIX US Equity","EBITDA_MARGIN","FQ3 2019","FQ3 2019","Currency=USD","Period=FQ","BEST_FPERIOD_OVERRIDE=FQ","FILING_STATUS=MR","FA_ADJUSTED=GAAP","Sort=A","Dates=H","DateFormat=P","Fill=—","Direction=H","UseDPDF=Y")</f>
        <v>8.5808</v>
      </c>
      <c r="E55" s="14">
        <f>_xll.BDH("NBIX US Equity","EBITDA_MARGIN","FQ4 2019","FQ4 2019","Currency=USD","Period=FQ","BEST_FPERIOD_OVERRIDE=FQ","FILING_STATUS=MR","FA_ADJUSTED=GAAP","Sort=A","Dates=H","DateFormat=P","Fill=—","Direction=H","UseDPDF=Y")</f>
        <v>11.147500000000001</v>
      </c>
      <c r="F55" s="14">
        <f>_xll.BDH("NBIX US Equity","EBITDA_MARGIN","FQ1 2020","FQ1 2020","Currency=USD","Period=FQ","BEST_FPERIOD_OVERRIDE=FQ","FILING_STATUS=MR","FA_ADJUSTED=GAAP","Sort=A","Dates=H","DateFormat=P","Fill=—","Direction=H","UseDPDF=Y")</f>
        <v>28.0641</v>
      </c>
      <c r="G55" s="14">
        <f>_xll.BDH("NBIX US Equity","EBITDA_MARGIN","FQ2 2020","FQ2 2020","Currency=USD","Period=FQ","BEST_FPERIOD_OVERRIDE=FQ","FILING_STATUS=MR","FA_ADJUSTED=GAAP","Sort=A","Dates=H","DateFormat=P","Fill=—","Direction=H","UseDPDF=Y")</f>
        <v>29.019400000000001</v>
      </c>
      <c r="H55" s="14">
        <f>_xll.BDH("NBIX US Equity","EBITDA_MARGIN","FQ3 2020","FQ3 2020","Currency=USD","Period=FQ","BEST_FPERIOD_OVERRIDE=FQ","FILING_STATUS=MR","FA_ADJUSTED=GAAP","Sort=A","Dates=H","DateFormat=P","Fill=—","Direction=H","UseDPDF=Y")</f>
        <v>15.1654</v>
      </c>
      <c r="I55" s="14">
        <f>_xll.BDH("NBIX US Equity","EBITDA_MARGIN","FQ4 2020","FQ4 2020","Currency=USD","Period=FQ","BEST_FPERIOD_OVERRIDE=FQ","FILING_STATUS=MR","FA_ADJUSTED=GAAP","Sort=A","Dates=H","DateFormat=P","Fill=—","Direction=H","UseDPDF=Y")</f>
        <v>17.372599999999998</v>
      </c>
      <c r="J55" s="14">
        <f>_xll.BDH("NBIX US Equity","EBITDA_MARGIN","FQ1 2021","FQ1 2021","Currency=USD","Period=FQ","BEST_FPERIOD_OVERRIDE=FQ","FILING_STATUS=MR","FA_ADJUSTED=GAAP","Sort=A","Dates=H","DateFormat=P","Fill=—","Direction=H","UseDPDF=Y")</f>
        <v>14.8843</v>
      </c>
      <c r="K55" s="14">
        <f>_xll.BDH("NBIX US Equity","EBITDA_MARGIN","FQ2 2021","FQ2 2021","Currency=USD","Period=FQ","BEST_FPERIOD_OVERRIDE=FQ","FILING_STATUS=MR","FA_ADJUSTED=GAAP","Sort=A","Dates=H","DateFormat=P","Fill=—","Direction=H","UseDPDF=Y")</f>
        <v>13.925800000000001</v>
      </c>
      <c r="L55" s="14">
        <f>_xll.BDH("NBIX US Equity","EBITDA_MARGIN","FQ3 2021","FQ3 2021","Currency=USD","Period=FQ","BEST_FPERIOD_OVERRIDE=FQ","FILING_STATUS=MR","FA_ADJUSTED=GAAP","Sort=A","Dates=H","DateFormat=P","Fill=—","Direction=H","UseDPDF=Y")</f>
        <v>21.9375</v>
      </c>
      <c r="M55" s="14">
        <f>_xll.BDH("NBIX US Equity","EBITDA_MARGIN","FQ4 2021","FQ4 2021","Currency=USD","Period=FQ","BEST_FPERIOD_OVERRIDE=FQ","FILING_STATUS=MR","FA_ADJUSTED=GAAP","Sort=A","Dates=H","DateFormat=P","Fill=—","Direction=H","UseDPDF=Y")</f>
        <v>11.354200000000001</v>
      </c>
      <c r="N55" s="14">
        <f>_xll.BDH("NBIX US Equity","EBITDA_MARGIN","FQ1 2022","FQ1 2022","Currency=USD","Period=FQ","BEST_FPERIOD_OVERRIDE=FQ","FILING_STATUS=MR","FA_ADJUSTED=GAAP","Sort=A","Dates=H","DateFormat=P","Fill=—","Direction=H","UseDPDF=Y")</f>
        <v>8.4306000000000001</v>
      </c>
      <c r="O55" s="14">
        <f>_xll.BDH("NBIX US Equity","EBITDA_MARGIN","FQ2 2022","FQ2 2022","Currency=USD","Period=FQ","BEST_FPERIOD_OVERRIDE=FQ","FILING_STATUS=MR","FA_ADJUSTED=GAAP","Sort=A","Dates=H","DateFormat=P","Fill=—","Direction=H","UseDPDF=Y")</f>
        <v>7.3411</v>
      </c>
      <c r="P55" s="14">
        <f>_xll.BDH("NBIX US Equity","EBITDA_MARGIN","FQ3 2022","FQ3 2022","Currency=USD","Period=FQ","BEST_FPERIOD_OVERRIDE=FQ","FILING_STATUS=MR","FA_ADJUSTED=GAAP","Sort=A","Dates=H","DateFormat=P","Fill=—","Direction=H","UseDPDF=Y")</f>
        <v>10.0886</v>
      </c>
      <c r="Q55" s="14">
        <f>_xll.BDH("NBIX US Equity","EBITDA_MARGIN","FQ4 2022","FQ4 2022","Currency=USD","Period=FQ","BEST_FPERIOD_OVERRIDE=FQ","FILING_STATUS=MR","FA_ADJUSTED=GAAP","Sort=A","Dates=H","DateFormat=P","Fill=—","Direction=H","UseDPDF=Y")</f>
        <v>18.8688</v>
      </c>
      <c r="R55" s="14">
        <f>_xll.BDH("NBIX US Equity","EBITDA_MARGIN","FQ1 2023","FQ1 2023","Currency=USD","Period=FQ","BEST_FPERIOD_OVERRIDE=FQ","FILING_STATUS=MR","FA_ADJUSTED=GAAP","Sort=A","Dates=H","DateFormat=P","Fill=—","Direction=H","UseDPDF=Y")</f>
        <v>10.3409</v>
      </c>
      <c r="S55" s="14">
        <f>_xll.BDH("NBIX US Equity","EBITDA_MARGIN","FQ2 2023","FQ2 2023","Currency=USD","Period=FQ","BEST_FPERIOD_OVERRIDE=FQ","FILING_STATUS=MR","FA_ADJUSTED=GAAP","Sort=A","Dates=H","DateFormat=P","Fill=—","Direction=H","UseDPDF=Y")</f>
        <v>11.081899999999999</v>
      </c>
      <c r="T55" s="14">
        <f>_xll.BDH("NBIX US Equity","EBITDA_MARGIN","FQ3 2023","FQ3 2023","Currency=USD","Period=FQ","BEST_FPERIOD_OVERRIDE=FQ","FILING_STATUS=MR","FA_ADJUSTED=GAAP","Sort=A","Dates=H","DateFormat=P","Fill=—","Direction=H","UseDPDF=Y")</f>
        <v>13.442500000000001</v>
      </c>
      <c r="U55" s="14">
        <f>_xll.BDH("NBIX US Equity","EBITDA_MARGIN","FQ4 2023","FQ4 2023","Currency=USD","Period=FQ","BEST_FPERIOD_OVERRIDE=FQ","FILING_STATUS=MR","FA_ADJUSTED=GAAP","Sort=A","Dates=H","DateFormat=P","Fill=—","Direction=H","UseDPDF=Y")</f>
        <v>15.2933</v>
      </c>
      <c r="V55" s="14">
        <f>_xll.BDH("NBIX US Equity","EBITDA_MARGIN","FQ1 2024","FQ1 2024","Currency=USD","Period=FQ","BEST_FPERIOD_OVERRIDE=FQ","FILING_STATUS=MR","FA_ADJUSTED=GAAP","Sort=A","Dates=H","DateFormat=P","Fill=—","Direction=H","UseDPDF=Y")</f>
        <v>25.640799999999999</v>
      </c>
      <c r="W55" s="14">
        <f>_xll.BDH("NBIX US Equity","EBITDA_MARGIN","FQ2 2024","FQ2 2024","Currency=USD","Period=FQ","BEST_FPERIOD_OVERRIDE=FQ","FILING_STATUS=MR","FA_ADJUSTED=GAAP","Sort=A","Dates=H","DateFormat=P","Fill=—","Direction=H","UseDPDF=Y")</f>
        <v>27.709399999999999</v>
      </c>
      <c r="X55" s="14">
        <f>_xll.BDH("NBIX US Equity","EBITDA_MARGIN","FQ3 2024","FQ3 2024","Currency=USD","Period=FQ","BEST_FPERIOD_OVERRIDE=FQ","FILING_STATUS=MR","FA_ADJUSTED=GAAP","Sort=A","Dates=H","DateFormat=P","Fill=—","Direction=H","UseDPDF=Y")</f>
        <v>28.353000000000002</v>
      </c>
      <c r="Y55" s="14">
        <f>_xll.BDH("NBIX US Equity","EBITDA_MARGIN","FQ4 2024","FQ4 2024","Currency=USD","Period=FQ","BEST_FPERIOD_OVERRIDE=FQ","FILING_STATUS=MR","FA_ADJUSTED=GAAP","Sort=A","Dates=H","DateFormat=P","Fill=—","Direction=H","UseDPDF=Y")</f>
        <v>27.155799999999999</v>
      </c>
      <c r="Z55" s="14">
        <v>25.738356111463901</v>
      </c>
      <c r="AA55" s="14">
        <v>31.1730419965808</v>
      </c>
    </row>
    <row r="56" spans="1:27" x14ac:dyDescent="0.25">
      <c r="A56" s="10" t="s">
        <v>396</v>
      </c>
      <c r="B56" s="10" t="s">
        <v>396</v>
      </c>
      <c r="C56" s="13" t="str">
        <f>_xll.BDH("NBIX US Equity","EBITA","FQ2 2019","FQ2 2019","Currency=USD","Period=FQ","BEST_FPERIOD_OVERRIDE=FQ","FILING_STATUS=MR","SCALING_FORMAT=MLN","FA_ADJUSTED=GAAP","Sort=A","Dates=H","DateFormat=P","Fill=—","Direction=H","UseDPDF=Y")</f>
        <v>—</v>
      </c>
      <c r="D56" s="13" t="str">
        <f>_xll.BDH("NBIX US Equity","EBITA","FQ3 2019","FQ3 2019","Currency=USD","Period=FQ","BEST_FPERIOD_OVERRIDE=FQ","FILING_STATUS=MR","SCALING_FORMAT=MLN","FA_ADJUSTED=GAAP","Sort=A","Dates=H","DateFormat=P","Fill=—","Direction=H","UseDPDF=Y")</f>
        <v>—</v>
      </c>
      <c r="E56" s="13">
        <f>_xll.BDH("NBIX US Equity","EBITA","FQ4 2019","FQ4 2019","Currency=USD","Period=FQ","BEST_FPERIOD_OVERRIDE=FQ","FILING_STATUS=MR","SCALING_FORMAT=MLN","FA_ADJUSTED=GAAP","Sort=A","Dates=H","DateFormat=P","Fill=—","Direction=H","UseDPDF=Y")</f>
        <v>51</v>
      </c>
      <c r="F56" s="13">
        <f>_xll.BDH("NBIX US Equity","EBITA","FQ1 2020","FQ1 2020","Currency=USD","Period=FQ","BEST_FPERIOD_OVERRIDE=FQ","FILING_STATUS=MR","SCALING_FORMAT=MLN","FA_ADJUSTED=GAAP","Sort=A","Dates=H","DateFormat=P","Fill=—","Direction=H","UseDPDF=Y")</f>
        <v>61.4</v>
      </c>
      <c r="G56" s="13">
        <f>_xll.BDH("NBIX US Equity","EBITA","FQ2 2020","FQ2 2020","Currency=USD","Period=FQ","BEST_FPERIOD_OVERRIDE=FQ","FILING_STATUS=MR","SCALING_FORMAT=MLN","FA_ADJUSTED=GAAP","Sort=A","Dates=H","DateFormat=P","Fill=—","Direction=H","UseDPDF=Y")</f>
        <v>79.099999999999994</v>
      </c>
      <c r="H56" s="13">
        <f>_xll.BDH("NBIX US Equity","EBITA","FQ3 2020","FQ3 2020","Currency=USD","Period=FQ","BEST_FPERIOD_OVERRIDE=FQ","FILING_STATUS=MR","SCALING_FORMAT=MLN","FA_ADJUSTED=GAAP","Sort=A","Dates=H","DateFormat=P","Fill=—","Direction=H","UseDPDF=Y")</f>
        <v>-41.9</v>
      </c>
      <c r="I56" s="13">
        <f>_xll.BDH("NBIX US Equity","EBITA","FQ4 2020","FQ4 2020","Currency=USD","Period=FQ","BEST_FPERIOD_OVERRIDE=FQ","FILING_STATUS=MR","SCALING_FORMAT=MLN","FA_ADJUSTED=GAAP","Sort=A","Dates=H","DateFormat=P","Fill=—","Direction=H","UseDPDF=Y")</f>
        <v>74.5</v>
      </c>
      <c r="J56" s="13">
        <f>_xll.BDH("NBIX US Equity","EBITA","FQ1 2021","FQ1 2021","Currency=USD","Period=FQ","BEST_FPERIOD_OVERRIDE=FQ","FILING_STATUS=MR","SCALING_FORMAT=MLN","FA_ADJUSTED=GAAP","Sort=A","Dates=H","DateFormat=P","Fill=—","Direction=H","UseDPDF=Y")</f>
        <v>34.9</v>
      </c>
      <c r="K56" s="13">
        <f>_xll.BDH("NBIX US Equity","EBITA","FQ2 2021","FQ2 2021","Currency=USD","Period=FQ","BEST_FPERIOD_OVERRIDE=FQ","FILING_STATUS=MR","SCALING_FORMAT=MLN","FA_ADJUSTED=GAAP","Sort=A","Dates=H","DateFormat=P","Fill=—","Direction=H","UseDPDF=Y")</f>
        <v>66.7</v>
      </c>
      <c r="L56" s="13">
        <f>_xll.BDH("NBIX US Equity","EBITA","FQ3 2021","FQ3 2021","Currency=USD","Period=FQ","BEST_FPERIOD_OVERRIDE=FQ","FILING_STATUS=MR","SCALING_FORMAT=MLN","FA_ADJUSTED=GAAP","Sort=A","Dates=H","DateFormat=P","Fill=—","Direction=H","UseDPDF=Y")</f>
        <v>48.4</v>
      </c>
      <c r="M56" s="13">
        <f>_xll.BDH("NBIX US Equity","EBITA","FQ4 2021","FQ4 2021","Currency=USD","Period=FQ","BEST_FPERIOD_OVERRIDE=FQ","FILING_STATUS=MR","SCALING_FORMAT=MLN","FA_ADJUSTED=GAAP","Sort=A","Dates=H","DateFormat=P","Fill=—","Direction=H","UseDPDF=Y")</f>
        <v>-32.200000000000003</v>
      </c>
      <c r="N56" s="13">
        <f>_xll.BDH("NBIX US Equity","EBITA","FQ1 2022","FQ1 2022","Currency=USD","Period=FQ","BEST_FPERIOD_OVERRIDE=FQ","FILING_STATUS=MR","SCALING_FORMAT=MLN","FA_ADJUSTED=GAAP","Sort=A","Dates=H","DateFormat=P","Fill=—","Direction=H","UseDPDF=Y")</f>
        <v>7.2</v>
      </c>
      <c r="O56" s="13">
        <f>_xll.BDH("NBIX US Equity","EBITA","FQ2 2022","FQ2 2022","Currency=USD","Period=FQ","BEST_FPERIOD_OVERRIDE=FQ","FILING_STATUS=MR","SCALING_FORMAT=MLN","FA_ADJUSTED=GAAP","Sort=A","Dates=H","DateFormat=P","Fill=—","Direction=H","UseDPDF=Y")</f>
        <v>58.8</v>
      </c>
      <c r="P56" s="13">
        <f>_xll.BDH("NBIX US Equity","EBITA","FQ3 2022","FQ3 2022","Currency=USD","Period=FQ","BEST_FPERIOD_OVERRIDE=FQ","FILING_STATUS=MR","SCALING_FORMAT=MLN","FA_ADJUSTED=GAAP","Sort=A","Dates=H","DateFormat=P","Fill=—","Direction=H","UseDPDF=Y")</f>
        <v>92.1</v>
      </c>
      <c r="Q56" s="13">
        <f>_xll.BDH("NBIX US Equity","EBITA","FQ4 2022","FQ4 2022","Currency=USD","Period=FQ","BEST_FPERIOD_OVERRIDE=FQ","FILING_STATUS=MR","SCALING_FORMAT=MLN","FA_ADJUSTED=GAAP","Sort=A","Dates=H","DateFormat=P","Fill=—","Direction=H","UseDPDF=Y")</f>
        <v>107.7</v>
      </c>
      <c r="R56" s="13">
        <f>_xll.BDH("NBIX US Equity","EBITA","FQ1 2023","FQ1 2023","Currency=USD","Period=FQ","BEST_FPERIOD_OVERRIDE=FQ","FILING_STATUS=MR","SCALING_FORMAT=MLN","FA_ADJUSTED=GAAP","Sort=A","Dates=H","DateFormat=P","Fill=—","Direction=H","UseDPDF=Y")</f>
        <v>-109.2</v>
      </c>
      <c r="S56" s="13">
        <f>_xll.BDH("NBIX US Equity","EBITA","FQ2 2023","FQ2 2023","Currency=USD","Period=FQ","BEST_FPERIOD_OVERRIDE=FQ","FILING_STATUS=MR","SCALING_FORMAT=MLN","FA_ADJUSTED=GAAP","Sort=A","Dates=H","DateFormat=P","Fill=—","Direction=H","UseDPDF=Y")</f>
        <v>78.599999999999994</v>
      </c>
      <c r="T56" s="13">
        <f>_xll.BDH("NBIX US Equity","EBITA","FQ3 2023","FQ3 2023","Currency=USD","Period=FQ","BEST_FPERIOD_OVERRIDE=FQ","FILING_STATUS=MR","SCALING_FORMAT=MLN","FA_ADJUSTED=GAAP","Sort=A","Dates=H","DateFormat=P","Fill=—","Direction=H","UseDPDF=Y")</f>
        <v>145.9</v>
      </c>
      <c r="U56" s="13">
        <f>_xll.BDH("NBIX US Equity","EBITA","FQ4 2023","FQ4 2023","Currency=USD","Period=FQ","BEST_FPERIOD_OVERRIDE=FQ","FILING_STATUS=MR","SCALING_FORMAT=MLN","FA_ADJUSTED=GAAP","Sort=A","Dates=H","DateFormat=P","Fill=—","Direction=H","UseDPDF=Y")</f>
        <v>155.5</v>
      </c>
      <c r="V56" s="13">
        <f>_xll.BDH("NBIX US Equity","EBITA","FQ1 2024","FQ1 2024","Currency=USD","Period=FQ","BEST_FPERIOD_OVERRIDE=FQ","FILING_STATUS=MR","SCALING_FORMAT=MLN","FA_ADJUSTED=GAAP","Sort=A","Dates=H","DateFormat=P","Fill=—","Direction=H","UseDPDF=Y")</f>
        <v>109.2</v>
      </c>
      <c r="W56" s="13">
        <f>_xll.BDH("NBIX US Equity","EBITA","FQ2 2024","FQ2 2024","Currency=USD","Period=FQ","BEST_FPERIOD_OVERRIDE=FQ","FILING_STATUS=MR","SCALING_FORMAT=MLN","FA_ADJUSTED=GAAP","Sort=A","Dates=H","DateFormat=P","Fill=—","Direction=H","UseDPDF=Y")</f>
        <v>155.5</v>
      </c>
      <c r="X56" s="13">
        <f>_xll.BDH("NBIX US Equity","EBITA","FQ3 2024","FQ3 2024","Currency=USD","Period=FQ","BEST_FPERIOD_OVERRIDE=FQ","FILING_STATUS=MR","SCALING_FORMAT=MLN","FA_ADJUSTED=GAAP","Sort=A","Dates=H","DateFormat=P","Fill=—","Direction=H","UseDPDF=Y")</f>
        <v>193.5</v>
      </c>
      <c r="Y56" s="13">
        <f>_xll.BDH("NBIX US Equity","EBITA","FQ4 2024","FQ4 2024","Currency=USD","Period=FQ","BEST_FPERIOD_OVERRIDE=FQ","FILING_STATUS=MR","SCALING_FORMAT=MLN","FA_ADJUSTED=GAAP","Sort=A","Dates=H","DateFormat=P","Fill=—","Direction=H","UseDPDF=Y")</f>
        <v>157.9</v>
      </c>
      <c r="Z56" s="13"/>
      <c r="AA56" s="13"/>
    </row>
    <row r="57" spans="1:27" x14ac:dyDescent="0.25">
      <c r="A57" s="10" t="s">
        <v>142</v>
      </c>
      <c r="B57" s="10" t="s">
        <v>142</v>
      </c>
      <c r="C57" s="13">
        <f>_xll.BDH("NBIX US Equity","EBIT","FQ2 2019","FQ2 2019","Currency=USD","Period=FQ","BEST_FPERIOD_OVERRIDE=FQ","FILING_STATUS=MR","SCALING_FORMAT=MLN","FA_ADJUSTED=GAAP","Sort=A","Dates=H","DateFormat=P","Fill=—","Direction=H","UseDPDF=Y")</f>
        <v>34.460999999999999</v>
      </c>
      <c r="D57" s="13">
        <f>_xll.BDH("NBIX US Equity","EBIT","FQ3 2019","FQ3 2019","Currency=USD","Period=FQ","BEST_FPERIOD_OVERRIDE=FQ","FILING_STATUS=MR","SCALING_FORMAT=MLN","FA_ADJUSTED=GAAP","Sort=A","Dates=H","DateFormat=P","Fill=—","Direction=H","UseDPDF=Y")</f>
        <v>90.097999999999999</v>
      </c>
      <c r="E57" s="13">
        <f>_xll.BDH("NBIX US Equity","EBIT","FQ4 2019","FQ4 2019","Currency=USD","Period=FQ","BEST_FPERIOD_OVERRIDE=FQ","FILING_STATUS=MR","SCALING_FORMAT=MLN","FA_ADJUSTED=GAAP","Sort=A","Dates=H","DateFormat=P","Fill=—","Direction=H","UseDPDF=Y")</f>
        <v>48.8</v>
      </c>
      <c r="F57" s="13">
        <f>_xll.BDH("NBIX US Equity","EBIT","FQ1 2020","FQ1 2020","Currency=USD","Period=FQ","BEST_FPERIOD_OVERRIDE=FQ","FILING_STATUS=MR","SCALING_FORMAT=MLN","FA_ADJUSTED=GAAP","Sort=A","Dates=H","DateFormat=P","Fill=—","Direction=H","UseDPDF=Y")</f>
        <v>58.9</v>
      </c>
      <c r="G57" s="13">
        <f>_xll.BDH("NBIX US Equity","EBIT","FQ2 2020","FQ2 2020","Currency=USD","Period=FQ","BEST_FPERIOD_OVERRIDE=FQ","FILING_STATUS=MR","SCALING_FORMAT=MLN","FA_ADJUSTED=GAAP","Sort=A","Dates=H","DateFormat=P","Fill=—","Direction=H","UseDPDF=Y")</f>
        <v>76.599999999999994</v>
      </c>
      <c r="H57" s="13">
        <f>_xll.BDH("NBIX US Equity","EBIT","FQ3 2020","FQ3 2020","Currency=USD","Period=FQ","BEST_FPERIOD_OVERRIDE=FQ","FILING_STATUS=MR","SCALING_FORMAT=MLN","FA_ADJUSTED=GAAP","Sort=A","Dates=H","DateFormat=P","Fill=—","Direction=H","UseDPDF=Y")</f>
        <v>-44.3</v>
      </c>
      <c r="I57" s="13">
        <f>_xll.BDH("NBIX US Equity","EBIT","FQ4 2020","FQ4 2020","Currency=USD","Period=FQ","BEST_FPERIOD_OVERRIDE=FQ","FILING_STATUS=MR","SCALING_FORMAT=MLN","FA_ADJUSTED=GAAP","Sort=A","Dates=H","DateFormat=P","Fill=—","Direction=H","UseDPDF=Y")</f>
        <v>71.8</v>
      </c>
      <c r="J57" s="13">
        <f>_xll.BDH("NBIX US Equity","EBIT","FQ1 2021","FQ1 2021","Currency=USD","Period=FQ","BEST_FPERIOD_OVERRIDE=FQ","FILING_STATUS=MR","SCALING_FORMAT=MLN","FA_ADJUSTED=GAAP","Sort=A","Dates=H","DateFormat=P","Fill=—","Direction=H","UseDPDF=Y")</f>
        <v>31.5</v>
      </c>
      <c r="K57" s="13">
        <f>_xll.BDH("NBIX US Equity","EBIT","FQ2 2021","FQ2 2021","Currency=USD","Period=FQ","BEST_FPERIOD_OVERRIDE=FQ","FILING_STATUS=MR","SCALING_FORMAT=MLN","FA_ADJUSTED=GAAP","Sort=A","Dates=H","DateFormat=P","Fill=—","Direction=H","UseDPDF=Y")</f>
        <v>62.8</v>
      </c>
      <c r="L57" s="13">
        <f>_xll.BDH("NBIX US Equity","EBIT","FQ3 2021","FQ3 2021","Currency=USD","Period=FQ","BEST_FPERIOD_OVERRIDE=FQ","FILING_STATUS=MR","SCALING_FORMAT=MLN","FA_ADJUSTED=GAAP","Sort=A","Dates=H","DateFormat=P","Fill=—","Direction=H","UseDPDF=Y")</f>
        <v>44.5</v>
      </c>
      <c r="M57" s="13">
        <f>_xll.BDH("NBIX US Equity","EBIT","FQ4 2021","FQ4 2021","Currency=USD","Period=FQ","BEST_FPERIOD_OVERRIDE=FQ","FILING_STATUS=MR","SCALING_FORMAT=MLN","FA_ADJUSTED=GAAP","Sort=A","Dates=H","DateFormat=P","Fill=—","Direction=H","UseDPDF=Y")</f>
        <v>-36.299999999999997</v>
      </c>
      <c r="N57" s="13">
        <f>_xll.BDH("NBIX US Equity","EBIT","FQ1 2022","FQ1 2022","Currency=USD","Period=FQ","BEST_FPERIOD_OVERRIDE=FQ","FILING_STATUS=MR","SCALING_FORMAT=MLN","FA_ADJUSTED=GAAP","Sort=A","Dates=H","DateFormat=P","Fill=—","Direction=H","UseDPDF=Y")</f>
        <v>3.1</v>
      </c>
      <c r="O57" s="13">
        <f>_xll.BDH("NBIX US Equity","EBIT","FQ2 2022","FQ2 2022","Currency=USD","Period=FQ","BEST_FPERIOD_OVERRIDE=FQ","FILING_STATUS=MR","SCALING_FORMAT=MLN","FA_ADJUSTED=GAAP","Sort=A","Dates=H","DateFormat=P","Fill=—","Direction=H","UseDPDF=Y")</f>
        <v>54.7</v>
      </c>
      <c r="P57" s="13">
        <f>_xll.BDH("NBIX US Equity","EBIT","FQ3 2022","FQ3 2022","Currency=USD","Period=FQ","BEST_FPERIOD_OVERRIDE=FQ","FILING_STATUS=MR","SCALING_FORMAT=MLN","FA_ADJUSTED=GAAP","Sort=A","Dates=H","DateFormat=P","Fill=—","Direction=H","UseDPDF=Y")</f>
        <v>87.8</v>
      </c>
      <c r="Q57" s="13">
        <f>_xll.BDH("NBIX US Equity","EBIT","FQ4 2022","FQ4 2022","Currency=USD","Period=FQ","BEST_FPERIOD_OVERRIDE=FQ","FILING_STATUS=MR","SCALING_FORMAT=MLN","FA_ADJUSTED=GAAP","Sort=A","Dates=H","DateFormat=P","Fill=—","Direction=H","UseDPDF=Y")</f>
        <v>103.4</v>
      </c>
      <c r="R57" s="13">
        <f>_xll.BDH("NBIX US Equity","EBIT","FQ1 2023","FQ1 2023","Currency=USD","Period=FQ","BEST_FPERIOD_OVERRIDE=FQ","FILING_STATUS=MR","SCALING_FORMAT=MLN","FA_ADJUSTED=GAAP","Sort=A","Dates=H","DateFormat=P","Fill=—","Direction=H","UseDPDF=Y")</f>
        <v>-114.2</v>
      </c>
      <c r="S57" s="13">
        <f>_xll.BDH("NBIX US Equity","EBIT","FQ2 2023","FQ2 2023","Currency=USD","Period=FQ","BEST_FPERIOD_OVERRIDE=FQ","FILING_STATUS=MR","SCALING_FORMAT=MLN","FA_ADJUSTED=GAAP","Sort=A","Dates=H","DateFormat=P","Fill=—","Direction=H","UseDPDF=Y")</f>
        <v>73.599999999999994</v>
      </c>
      <c r="T57" s="13">
        <f>_xll.BDH("NBIX US Equity","EBIT","FQ3 2023","FQ3 2023","Currency=USD","Period=FQ","BEST_FPERIOD_OVERRIDE=FQ","FILING_STATUS=MR","SCALING_FORMAT=MLN","FA_ADJUSTED=GAAP","Sort=A","Dates=H","DateFormat=P","Fill=—","Direction=H","UseDPDF=Y")</f>
        <v>141.19999999999999</v>
      </c>
      <c r="U57" s="13">
        <f>_xll.BDH("NBIX US Equity","EBIT","FQ4 2023","FQ4 2023","Currency=USD","Period=FQ","BEST_FPERIOD_OVERRIDE=FQ","FILING_STATUS=MR","SCALING_FORMAT=MLN","FA_ADJUSTED=GAAP","Sort=A","Dates=H","DateFormat=P","Fill=—","Direction=H","UseDPDF=Y")</f>
        <v>150.30000000000001</v>
      </c>
      <c r="V57" s="13">
        <f>_xll.BDH("NBIX US Equity","EBIT","FQ1 2024","FQ1 2024","Currency=USD","Period=FQ","BEST_FPERIOD_OVERRIDE=FQ","FILING_STATUS=MR","SCALING_FORMAT=MLN","FA_ADJUSTED=GAAP","Sort=A","Dates=H","DateFormat=P","Fill=—","Direction=H","UseDPDF=Y")</f>
        <v>99.3</v>
      </c>
      <c r="W57" s="13">
        <f>_xll.BDH("NBIX US Equity","EBIT","FQ2 2024","FQ2 2024","Currency=USD","Period=FQ","BEST_FPERIOD_OVERRIDE=FQ","FILING_STATUS=MR","SCALING_FORMAT=MLN","FA_ADJUSTED=GAAP","Sort=A","Dates=H","DateFormat=P","Fill=—","Direction=H","UseDPDF=Y")</f>
        <v>145.4</v>
      </c>
      <c r="X57" s="13">
        <f>_xll.BDH("NBIX US Equity","EBIT","FQ3 2024","FQ3 2024","Currency=USD","Period=FQ","BEST_FPERIOD_OVERRIDE=FQ","FILING_STATUS=MR","SCALING_FORMAT=MLN","FA_ADJUSTED=GAAP","Sort=A","Dates=H","DateFormat=P","Fill=—","Direction=H","UseDPDF=Y")</f>
        <v>183.8</v>
      </c>
      <c r="Y57" s="13">
        <f>_xll.BDH("NBIX US Equity","EBIT","FQ4 2024","FQ4 2024","Currency=USD","Period=FQ","BEST_FPERIOD_OVERRIDE=FQ","FILING_STATUS=MR","SCALING_FORMAT=MLN","FA_ADJUSTED=GAAP","Sort=A","Dates=H","DateFormat=P","Fill=—","Direction=H","UseDPDF=Y")</f>
        <v>142</v>
      </c>
      <c r="Z57" s="13">
        <v>106.59699999999999</v>
      </c>
      <c r="AA57" s="13">
        <v>133.08600000000001</v>
      </c>
    </row>
    <row r="58" spans="1:27" x14ac:dyDescent="0.25">
      <c r="A58" s="10" t="s">
        <v>397</v>
      </c>
      <c r="B58" s="10" t="s">
        <v>153</v>
      </c>
      <c r="C58" s="14">
        <f>_xll.BDH("NBIX US Equity","GROSS_MARGIN","FQ2 2019","FQ2 2019","Currency=USD","Period=FQ","BEST_FPERIOD_OVERRIDE=FQ","FILING_STATUS=MR","FA_ADJUSTED=GAAP","Sort=A","Dates=H","DateFormat=P","Fill=—","Direction=H","UseDPDF=Y")</f>
        <v>99.124099999999999</v>
      </c>
      <c r="D58" s="14">
        <f>_xll.BDH("NBIX US Equity","GROSS_MARGIN","FQ3 2019","FQ3 2019","Currency=USD","Period=FQ","BEST_FPERIOD_OVERRIDE=FQ","FILING_STATUS=MR","FA_ADJUSTED=GAAP","Sort=A","Dates=H","DateFormat=P","Fill=—","Direction=H","UseDPDF=Y")</f>
        <v>98.996399999999994</v>
      </c>
      <c r="E58" s="14">
        <f>_xll.BDH("NBIX US Equity","GROSS_MARGIN","FQ4 2019","FQ4 2019","Currency=USD","Period=FQ","BEST_FPERIOD_OVERRIDE=FQ","FILING_STATUS=MR","FA_ADJUSTED=GAAP","Sort=A","Dates=H","DateFormat=P","Fill=—","Direction=H","UseDPDF=Y")</f>
        <v>98.975800000000007</v>
      </c>
      <c r="F58" s="14">
        <f>_xll.BDH("NBIX US Equity","GROSS_MARGIN","FQ1 2020","FQ1 2020","Currency=USD","Period=FQ","BEST_FPERIOD_OVERRIDE=FQ","FILING_STATUS=MR","FA_ADJUSTED=GAAP","Sort=A","Dates=H","DateFormat=P","Fill=—","Direction=H","UseDPDF=Y")</f>
        <v>99.1143</v>
      </c>
      <c r="G58" s="14">
        <f>_xll.BDH("NBIX US Equity","GROSS_MARGIN","FQ2 2020","FQ2 2020","Currency=USD","Period=FQ","BEST_FPERIOD_OVERRIDE=FQ","FILING_STATUS=MR","FA_ADJUSTED=GAAP","Sort=A","Dates=H","DateFormat=P","Fill=—","Direction=H","UseDPDF=Y")</f>
        <v>99.206299999999999</v>
      </c>
      <c r="H58" s="14">
        <f>_xll.BDH("NBIX US Equity","GROSS_MARGIN","FQ3 2020","FQ3 2020","Currency=USD","Period=FQ","BEST_FPERIOD_OVERRIDE=FQ","FILING_STATUS=MR","FA_ADJUSTED=GAAP","Sort=A","Dates=H","DateFormat=P","Fill=—","Direction=H","UseDPDF=Y")</f>
        <v>98.955500000000001</v>
      </c>
      <c r="I58" s="14">
        <f>_xll.BDH("NBIX US Equity","GROSS_MARGIN","FQ4 2020","FQ4 2020","Currency=USD","Period=FQ","BEST_FPERIOD_OVERRIDE=FQ","FILING_STATUS=MR","FA_ADJUSTED=GAAP","Sort=A","Dates=H","DateFormat=P","Fill=—","Direction=H","UseDPDF=Y")</f>
        <v>98.830200000000005</v>
      </c>
      <c r="J58" s="14">
        <f>_xll.BDH("NBIX US Equity","GROSS_MARGIN","FQ1 2021","FQ1 2021","Currency=USD","Period=FQ","BEST_FPERIOD_OVERRIDE=FQ","FILING_STATUS=MR","FA_ADJUSTED=GAAP","Sort=A","Dates=H","DateFormat=P","Fill=—","Direction=H","UseDPDF=Y")</f>
        <v>98.774299999999997</v>
      </c>
      <c r="K58" s="14">
        <f>_xll.BDH("NBIX US Equity","GROSS_MARGIN","FQ2 2021","FQ2 2021","Currency=USD","Period=FQ","BEST_FPERIOD_OVERRIDE=FQ","FILING_STATUS=MR","FA_ADJUSTED=GAAP","Sort=A","Dates=H","DateFormat=P","Fill=—","Direction=H","UseDPDF=Y")</f>
        <v>98.927000000000007</v>
      </c>
      <c r="L58" s="14">
        <f>_xll.BDH("NBIX US Equity","GROSS_MARGIN","FQ3 2021","FQ3 2021","Currency=USD","Period=FQ","BEST_FPERIOD_OVERRIDE=FQ","FILING_STATUS=MR","FA_ADJUSTED=GAAP","Sort=A","Dates=H","DateFormat=P","Fill=—","Direction=H","UseDPDF=Y")</f>
        <v>98.581100000000006</v>
      </c>
      <c r="M58" s="14">
        <f>_xll.BDH("NBIX US Equity","GROSS_MARGIN","FQ4 2021","FQ4 2021","Currency=USD","Period=FQ","BEST_FPERIOD_OVERRIDE=FQ","FILING_STATUS=MR","FA_ADJUSTED=GAAP","Sort=A","Dates=H","DateFormat=P","Fill=—","Direction=H","UseDPDF=Y")</f>
        <v>98.685900000000004</v>
      </c>
      <c r="N58" s="14">
        <f>_xll.BDH("NBIX US Equity","GROSS_MARGIN","FQ1 2022","FQ1 2022","Currency=USD","Period=FQ","BEST_FPERIOD_OVERRIDE=FQ","FILING_STATUS=MR","FA_ADJUSTED=GAAP","Sort=A","Dates=H","DateFormat=P","Fill=—","Direction=H","UseDPDF=Y")</f>
        <v>98.519000000000005</v>
      </c>
      <c r="O58" s="14">
        <f>_xll.BDH("NBIX US Equity","GROSS_MARGIN","FQ2 2022","FQ2 2022","Currency=USD","Period=FQ","BEST_FPERIOD_OVERRIDE=FQ","FILING_STATUS=MR","FA_ADJUSTED=GAAP","Sort=A","Dates=H","DateFormat=P","Fill=—","Direction=H","UseDPDF=Y")</f>
        <v>98.730800000000002</v>
      </c>
      <c r="P58" s="14">
        <f>_xll.BDH("NBIX US Equity","GROSS_MARGIN","FQ3 2022","FQ3 2022","Currency=USD","Period=FQ","BEST_FPERIOD_OVERRIDE=FQ","FILING_STATUS=MR","FA_ADJUSTED=GAAP","Sort=A","Dates=H","DateFormat=P","Fill=—","Direction=H","UseDPDF=Y")</f>
        <v>98.427400000000006</v>
      </c>
      <c r="Q58" s="14">
        <f>_xll.BDH("NBIX US Equity","GROSS_MARGIN","FQ4 2022","FQ4 2022","Currency=USD","Period=FQ","BEST_FPERIOD_OVERRIDE=FQ","FILING_STATUS=MR","FA_ADJUSTED=GAAP","Sort=A","Dates=H","DateFormat=P","Fill=—","Direction=H","UseDPDF=Y")</f>
        <v>98.131100000000004</v>
      </c>
      <c r="R58" s="14">
        <f>_xll.BDH("NBIX US Equity","GROSS_MARGIN","FQ1 2023","FQ1 2023","Currency=USD","Period=FQ","BEST_FPERIOD_OVERRIDE=FQ","FILING_STATUS=MR","FA_ADJUSTED=GAAP","Sort=A","Dates=H","DateFormat=P","Fill=—","Direction=H","UseDPDF=Y")</f>
        <v>97.978099999999998</v>
      </c>
      <c r="S58" s="14">
        <f>_xll.BDH("NBIX US Equity","GROSS_MARGIN","FQ2 2023","FQ2 2023","Currency=USD","Period=FQ","BEST_FPERIOD_OVERRIDE=FQ","FILING_STATUS=MR","FA_ADJUSTED=GAAP","Sort=A","Dates=H","DateFormat=P","Fill=—","Direction=H","UseDPDF=Y")</f>
        <v>97.459699999999998</v>
      </c>
      <c r="T58" s="14">
        <f>_xll.BDH("NBIX US Equity","GROSS_MARGIN","FQ3 2023","FQ3 2023","Currency=USD","Period=FQ","BEST_FPERIOD_OVERRIDE=FQ","FILING_STATUS=MR","FA_ADJUSTED=GAAP","Sort=A","Dates=H","DateFormat=P","Fill=—","Direction=H","UseDPDF=Y")</f>
        <v>97.754599999999996</v>
      </c>
      <c r="U58" s="14">
        <f>_xll.BDH("NBIX US Equity","GROSS_MARGIN","FQ4 2023","FQ4 2023","Currency=USD","Period=FQ","BEST_FPERIOD_OVERRIDE=FQ","FILING_STATUS=MR","FA_ADJUSTED=GAAP","Sort=A","Dates=H","DateFormat=P","Fill=—","Direction=H","UseDPDF=Y")</f>
        <v>98.350200000000001</v>
      </c>
      <c r="V58" s="14">
        <f>_xll.BDH("NBIX US Equity","GROSS_MARGIN","FQ1 2024","FQ1 2024","Currency=USD","Period=FQ","BEST_FPERIOD_OVERRIDE=FQ","FILING_STATUS=MR","FA_ADJUSTED=GAAP","Sort=A","Dates=H","DateFormat=P","Fill=—","Direction=H","UseDPDF=Y")</f>
        <v>98.544499999999999</v>
      </c>
      <c r="W58" s="14">
        <f>_xll.BDH("NBIX US Equity","GROSS_MARGIN","FQ2 2024","FQ2 2024","Currency=USD","Period=FQ","BEST_FPERIOD_OVERRIDE=FQ","FILING_STATUS=MR","FA_ADJUSTED=GAAP","Sort=A","Dates=H","DateFormat=P","Fill=—","Direction=H","UseDPDF=Y")</f>
        <v>98.441199999999995</v>
      </c>
      <c r="X58" s="14">
        <f>_xll.BDH("NBIX US Equity","GROSS_MARGIN","FQ3 2024","FQ3 2024","Currency=USD","Period=FQ","BEST_FPERIOD_OVERRIDE=FQ","FILING_STATUS=MR","FA_ADJUSTED=GAAP","Sort=A","Dates=H","DateFormat=P","Fill=—","Direction=H","UseDPDF=Y")</f>
        <v>98.713999999999999</v>
      </c>
      <c r="Y58" s="14">
        <f>_xll.BDH("NBIX US Equity","GROSS_MARGIN","FQ4 2024","FQ4 2024","Currency=USD","Period=FQ","BEST_FPERIOD_OVERRIDE=FQ","FILING_STATUS=MR","FA_ADJUSTED=GAAP","Sort=A","Dates=H","DateFormat=P","Fill=—","Direction=H","UseDPDF=Y")</f>
        <v>98.5184</v>
      </c>
      <c r="Z58" s="14"/>
      <c r="AA58" s="14"/>
    </row>
    <row r="59" spans="1:27" x14ac:dyDescent="0.25">
      <c r="A59" s="10" t="s">
        <v>398</v>
      </c>
      <c r="B59" s="10" t="s">
        <v>399</v>
      </c>
      <c r="C59" s="14">
        <f>_xll.BDH("NBIX US Equity","OPER_MARGIN","FQ2 2019","FQ2 2019","Currency=USD","Period=FQ","BEST_FPERIOD_OVERRIDE=FQ","FILING_STATUS=MR","FA_ADJUSTED=GAAP","Sort=A","Dates=H","DateFormat=P","Fill=—","Direction=H","UseDPDF=Y")</f>
        <v>18.771699999999999</v>
      </c>
      <c r="D59" s="14">
        <f>_xll.BDH("NBIX US Equity","OPER_MARGIN","FQ3 2019","FQ3 2019","Currency=USD","Period=FQ","BEST_FPERIOD_OVERRIDE=FQ","FILING_STATUS=MR","FA_ADJUSTED=GAAP","Sort=A","Dates=H","DateFormat=P","Fill=—","Direction=H","UseDPDF=Y")</f>
        <v>40.567500000000003</v>
      </c>
      <c r="E59" s="14">
        <f>_xll.BDH("NBIX US Equity","OPER_MARGIN","FQ4 2019","FQ4 2019","Currency=USD","Period=FQ","BEST_FPERIOD_OVERRIDE=FQ","FILING_STATUS=MR","FA_ADJUSTED=GAAP","Sort=A","Dates=H","DateFormat=P","Fill=—","Direction=H","UseDPDF=Y")</f>
        <v>19.991800000000001</v>
      </c>
      <c r="F59" s="14">
        <f>_xll.BDH("NBIX US Equity","OPER_MARGIN","FQ1 2020","FQ1 2020","Currency=USD","Period=FQ","BEST_FPERIOD_OVERRIDE=FQ","FILING_STATUS=MR","FA_ADJUSTED=GAAP","Sort=A","Dates=H","DateFormat=P","Fill=—","Direction=H","UseDPDF=Y")</f>
        <v>24.841799999999999</v>
      </c>
      <c r="G59" s="14">
        <f>_xll.BDH("NBIX US Equity","OPER_MARGIN","FQ2 2020","FQ2 2020","Currency=USD","Period=FQ","BEST_FPERIOD_OVERRIDE=FQ","FILING_STATUS=MR","FA_ADJUSTED=GAAP","Sort=A","Dates=H","DateFormat=P","Fill=—","Direction=H","UseDPDF=Y")</f>
        <v>25.3307</v>
      </c>
      <c r="H59" s="14">
        <f>_xll.BDH("NBIX US Equity","OPER_MARGIN","FQ3 2020","FQ3 2020","Currency=USD","Period=FQ","BEST_FPERIOD_OVERRIDE=FQ","FILING_STATUS=MR","FA_ADJUSTED=GAAP","Sort=A","Dates=H","DateFormat=P","Fill=—","Direction=H","UseDPDF=Y")</f>
        <v>-17.1373</v>
      </c>
      <c r="I59" s="14">
        <f>_xll.BDH("NBIX US Equity","OPER_MARGIN","FQ4 2020","FQ4 2020","Currency=USD","Period=FQ","BEST_FPERIOD_OVERRIDE=FQ","FILING_STATUS=MR","FA_ADJUSTED=GAAP","Sort=A","Dates=H","DateFormat=P","Fill=—","Direction=H","UseDPDF=Y")</f>
        <v>28.9633</v>
      </c>
      <c r="J59" s="14">
        <f>_xll.BDH("NBIX US Equity","OPER_MARGIN","FQ1 2021","FQ1 2021","Currency=USD","Period=FQ","BEST_FPERIOD_OVERRIDE=FQ","FILING_STATUS=MR","FA_ADJUSTED=GAAP","Sort=A","Dates=H","DateFormat=P","Fill=—","Direction=H","UseDPDF=Y")</f>
        <v>13.313599999999999</v>
      </c>
      <c r="K59" s="14">
        <f>_xll.BDH("NBIX US Equity","OPER_MARGIN","FQ2 2021","FQ2 2021","Currency=USD","Period=FQ","BEST_FPERIOD_OVERRIDE=FQ","FILING_STATUS=MR","FA_ADJUSTED=GAAP","Sort=A","Dates=H","DateFormat=P","Fill=—","Direction=H","UseDPDF=Y")</f>
        <v>21.7376</v>
      </c>
      <c r="L59" s="14">
        <f>_xll.BDH("NBIX US Equity","OPER_MARGIN","FQ3 2021","FQ3 2021","Currency=USD","Period=FQ","BEST_FPERIOD_OVERRIDE=FQ","FILING_STATUS=MR","FA_ADJUSTED=GAAP","Sort=A","Dates=H","DateFormat=P","Fill=—","Direction=H","UseDPDF=Y")</f>
        <v>15.033799999999999</v>
      </c>
      <c r="M59" s="14">
        <f>_xll.BDH("NBIX US Equity","OPER_MARGIN","FQ4 2021","FQ4 2021","Currency=USD","Period=FQ","BEST_FPERIOD_OVERRIDE=FQ","FILING_STATUS=MR","FA_ADJUSTED=GAAP","Sort=A","Dates=H","DateFormat=P","Fill=—","Direction=H","UseDPDF=Y")</f>
        <v>-11.634600000000001</v>
      </c>
      <c r="N59" s="14">
        <f>_xll.BDH("NBIX US Equity","OPER_MARGIN","FQ1 2022","FQ1 2022","Currency=USD","Period=FQ","BEST_FPERIOD_OVERRIDE=FQ","FILING_STATUS=MR","FA_ADJUSTED=GAAP","Sort=A","Dates=H","DateFormat=P","Fill=—","Direction=H","UseDPDF=Y")</f>
        <v>0.99809999999999999</v>
      </c>
      <c r="O59" s="14">
        <f>_xll.BDH("NBIX US Equity","OPER_MARGIN","FQ2 2022","FQ2 2022","Currency=USD","Period=FQ","BEST_FPERIOD_OVERRIDE=FQ","FILING_STATUS=MR","FA_ADJUSTED=GAAP","Sort=A","Dates=H","DateFormat=P","Fill=—","Direction=H","UseDPDF=Y")</f>
        <v>14.463200000000001</v>
      </c>
      <c r="P59" s="14">
        <f>_xll.BDH("NBIX US Equity","OPER_MARGIN","FQ3 2022","FQ3 2022","Currency=USD","Period=FQ","BEST_FPERIOD_OVERRIDE=FQ","FILING_STATUS=MR","FA_ADJUSTED=GAAP","Sort=A","Dates=H","DateFormat=P","Fill=—","Direction=H","UseDPDF=Y")</f>
        <v>22.634699999999999</v>
      </c>
      <c r="Q59" s="14">
        <f>_xll.BDH("NBIX US Equity","OPER_MARGIN","FQ4 2022","FQ4 2022","Currency=USD","Period=FQ","BEST_FPERIOD_OVERRIDE=FQ","FILING_STATUS=MR","FA_ADJUSTED=GAAP","Sort=A","Dates=H","DateFormat=P","Fill=—","Direction=H","UseDPDF=Y")</f>
        <v>25.097100000000001</v>
      </c>
      <c r="R59" s="14">
        <f>_xll.BDH("NBIX US Equity","OPER_MARGIN","FQ1 2023","FQ1 2023","Currency=USD","Period=FQ","BEST_FPERIOD_OVERRIDE=FQ","FILING_STATUS=MR","FA_ADJUSTED=GAAP","Sort=A","Dates=H","DateFormat=P","Fill=—","Direction=H","UseDPDF=Y")</f>
        <v>-27.1646</v>
      </c>
      <c r="S59" s="14">
        <f>_xll.BDH("NBIX US Equity","OPER_MARGIN","FQ2 2023","FQ2 2023","Currency=USD","Period=FQ","BEST_FPERIOD_OVERRIDE=FQ","FILING_STATUS=MR","FA_ADJUSTED=GAAP","Sort=A","Dates=H","DateFormat=P","Fill=—","Direction=H","UseDPDF=Y")</f>
        <v>16.257999999999999</v>
      </c>
      <c r="T59" s="14">
        <f>_xll.BDH("NBIX US Equity","OPER_MARGIN","FQ3 2023","FQ3 2023","Currency=USD","Period=FQ","BEST_FPERIOD_OVERRIDE=FQ","FILING_STATUS=MR","FA_ADJUSTED=GAAP","Sort=A","Dates=H","DateFormat=P","Fill=—","Direction=H","UseDPDF=Y")</f>
        <v>28.3079</v>
      </c>
      <c r="U59" s="14">
        <f>_xll.BDH("NBIX US Equity","OPER_MARGIN","FQ4 2023","FQ4 2023","Currency=USD","Period=FQ","BEST_FPERIOD_OVERRIDE=FQ","FILING_STATUS=MR","FA_ADJUSTED=GAAP","Sort=A","Dates=H","DateFormat=P","Fill=—","Direction=H","UseDPDF=Y")</f>
        <v>29.173100000000002</v>
      </c>
      <c r="V59" s="14">
        <f>_xll.BDH("NBIX US Equity","OPER_MARGIN","FQ1 2024","FQ1 2024","Currency=USD","Period=FQ","BEST_FPERIOD_OVERRIDE=FQ","FILING_STATUS=MR","FA_ADJUSTED=GAAP","Sort=A","Dates=H","DateFormat=P","Fill=—","Direction=H","UseDPDF=Y")</f>
        <v>19.270299999999999</v>
      </c>
      <c r="W59" s="14">
        <f>_xll.BDH("NBIX US Equity","OPER_MARGIN","FQ2 2024","FQ2 2024","Currency=USD","Period=FQ","BEST_FPERIOD_OVERRIDE=FQ","FILING_STATUS=MR","FA_ADJUSTED=GAAP","Sort=A","Dates=H","DateFormat=P","Fill=—","Direction=H","UseDPDF=Y")</f>
        <v>24.6357</v>
      </c>
      <c r="X59" s="14">
        <f>_xll.BDH("NBIX US Equity","OPER_MARGIN","FQ3 2024","FQ3 2024","Currency=USD","Period=FQ","BEST_FPERIOD_OVERRIDE=FQ","FILING_STATUS=MR","FA_ADJUSTED=GAAP","Sort=A","Dates=H","DateFormat=P","Fill=—","Direction=H","UseDPDF=Y")</f>
        <v>29.545100000000001</v>
      </c>
      <c r="Y59" s="14">
        <f>_xll.BDH("NBIX US Equity","OPER_MARGIN","FQ4 2024","FQ4 2024","Currency=USD","Period=FQ","BEST_FPERIOD_OVERRIDE=FQ","FILING_STATUS=MR","FA_ADJUSTED=GAAP","Sort=A","Dates=H","DateFormat=P","Fill=—","Direction=H","UseDPDF=Y")</f>
        <v>22.622299999999999</v>
      </c>
      <c r="Z59" s="14">
        <v>17.899067240930599</v>
      </c>
      <c r="AA59" s="14">
        <v>20.537962962963</v>
      </c>
    </row>
    <row r="60" spans="1:27" x14ac:dyDescent="0.25">
      <c r="A60" s="10" t="s">
        <v>400</v>
      </c>
      <c r="B60" s="10" t="s">
        <v>401</v>
      </c>
      <c r="C60" s="14">
        <f>_xll.BDH("NBIX US Equity","PROF_MARGIN","FQ2 2019","FQ2 2019","Currency=USD","Period=FQ","BEST_FPERIOD_OVERRIDE=FQ","FILING_STATUS=MR","FA_ADJUSTED=GAAP","Sort=A","Dates=H","DateFormat=P","Fill=—","Direction=H","UseDPDF=Y")</f>
        <v>27.9649</v>
      </c>
      <c r="D60" s="14">
        <f>_xll.BDH("NBIX US Equity","PROF_MARGIN","FQ3 2019","FQ3 2019","Currency=USD","Period=FQ","BEST_FPERIOD_OVERRIDE=FQ","FILING_STATUS=MR","FA_ADJUSTED=GAAP","Sort=A","Dates=H","DateFormat=P","Fill=—","Direction=H","UseDPDF=Y")</f>
        <v>24.219000000000001</v>
      </c>
      <c r="E60" s="14">
        <f>_xll.BDH("NBIX US Equity","PROF_MARGIN","FQ4 2019","FQ4 2019","Currency=USD","Period=FQ","BEST_FPERIOD_OVERRIDE=FQ","FILING_STATUS=MR","FA_ADJUSTED=GAAP","Sort=A","Dates=H","DateFormat=P","Fill=—","Direction=H","UseDPDF=Y")</f>
        <v>13.928699999999999</v>
      </c>
      <c r="F60" s="14">
        <f>_xll.BDH("NBIX US Equity","PROF_MARGIN","FQ1 2020","FQ1 2020","Currency=USD","Period=FQ","BEST_FPERIOD_OVERRIDE=FQ","FILING_STATUS=MR","FA_ADJUSTED=GAAP","Sort=A","Dates=H","DateFormat=P","Fill=—","Direction=H","UseDPDF=Y")</f>
        <v>15.773899999999999</v>
      </c>
      <c r="G60" s="14">
        <f>_xll.BDH("NBIX US Equity","PROF_MARGIN","FQ2 2020","FQ2 2020","Currency=USD","Period=FQ","BEST_FPERIOD_OVERRIDE=FQ","FILING_STATUS=MR","FA_ADJUSTED=GAAP","Sort=A","Dates=H","DateFormat=P","Fill=—","Direction=H","UseDPDF=Y")</f>
        <v>26.322800000000001</v>
      </c>
      <c r="H60" s="14">
        <f>_xll.BDH("NBIX US Equity","PROF_MARGIN","FQ3 2020","FQ3 2020","Currency=USD","Period=FQ","BEST_FPERIOD_OVERRIDE=FQ","FILING_STATUS=MR","FA_ADJUSTED=GAAP","Sort=A","Dates=H","DateFormat=P","Fill=—","Direction=H","UseDPDF=Y")</f>
        <v>-22.282399999999999</v>
      </c>
      <c r="I60" s="14">
        <f>_xll.BDH("NBIX US Equity","PROF_MARGIN","FQ4 2020","FQ4 2020","Currency=USD","Period=FQ","BEST_FPERIOD_OVERRIDE=FQ","FILING_STATUS=MR","FA_ADJUSTED=GAAP","Sort=A","Dates=H","DateFormat=P","Fill=—","Direction=H","UseDPDF=Y")</f>
        <v>140.33879999999999</v>
      </c>
      <c r="J60" s="14">
        <f>_xll.BDH("NBIX US Equity","PROF_MARGIN","FQ1 2021","FQ1 2021","Currency=USD","Period=FQ","BEST_FPERIOD_OVERRIDE=FQ","FILING_STATUS=MR","FA_ADJUSTED=GAAP","Sort=A","Dates=H","DateFormat=P","Fill=—","Direction=H","UseDPDF=Y")</f>
        <v>13.5672</v>
      </c>
      <c r="K60" s="14">
        <f>_xll.BDH("NBIX US Equity","PROF_MARGIN","FQ2 2021","FQ2 2021","Currency=USD","Period=FQ","BEST_FPERIOD_OVERRIDE=FQ","FILING_STATUS=MR","FA_ADJUSTED=GAAP","Sort=A","Dates=H","DateFormat=P","Fill=—","Direction=H","UseDPDF=Y")</f>
        <v>14.6417</v>
      </c>
      <c r="L60" s="14">
        <f>_xll.BDH("NBIX US Equity","PROF_MARGIN","FQ3 2021","FQ3 2021","Currency=USD","Period=FQ","BEST_FPERIOD_OVERRIDE=FQ","FILING_STATUS=MR","FA_ADJUSTED=GAAP","Sort=A","Dates=H","DateFormat=P","Fill=—","Direction=H","UseDPDF=Y")</f>
        <v>7.6013999999999999</v>
      </c>
      <c r="M60" s="14">
        <f>_xll.BDH("NBIX US Equity","PROF_MARGIN","FQ4 2021","FQ4 2021","Currency=USD","Period=FQ","BEST_FPERIOD_OVERRIDE=FQ","FILING_STATUS=MR","FA_ADJUSTED=GAAP","Sort=A","Dates=H","DateFormat=P","Fill=—","Direction=H","UseDPDF=Y")</f>
        <v>-2.3397000000000001</v>
      </c>
      <c r="N60" s="14">
        <f>_xll.BDH("NBIX US Equity","PROF_MARGIN","FQ1 2022","FQ1 2022","Currency=USD","Period=FQ","BEST_FPERIOD_OVERRIDE=FQ","FILING_STATUS=MR","FA_ADJUSTED=GAAP","Sort=A","Dates=H","DateFormat=P","Fill=—","Direction=H","UseDPDF=Y")</f>
        <v>4.4752000000000001</v>
      </c>
      <c r="O60" s="14">
        <f>_xll.BDH("NBIX US Equity","PROF_MARGIN","FQ2 2022","FQ2 2022","Currency=USD","Period=FQ","BEST_FPERIOD_OVERRIDE=FQ","FILING_STATUS=MR","FA_ADJUSTED=GAAP","Sort=A","Dates=H","DateFormat=P","Fill=—","Direction=H","UseDPDF=Y")</f>
        <v>-4.4684999999999997</v>
      </c>
      <c r="P60" s="14">
        <f>_xll.BDH("NBIX US Equity","PROF_MARGIN","FQ3 2022","FQ3 2022","Currency=USD","Period=FQ","BEST_FPERIOD_OVERRIDE=FQ","FILING_STATUS=MR","FA_ADJUSTED=GAAP","Sort=A","Dates=H","DateFormat=P","Fill=—","Direction=H","UseDPDF=Y")</f>
        <v>17.659199999999998</v>
      </c>
      <c r="Q60" s="14">
        <f>_xll.BDH("NBIX US Equity","PROF_MARGIN","FQ4 2022","FQ4 2022","Currency=USD","Period=FQ","BEST_FPERIOD_OVERRIDE=FQ","FILING_STATUS=MR","FA_ADJUSTED=GAAP","Sort=A","Dates=H","DateFormat=P","Fill=—","Direction=H","UseDPDF=Y")</f>
        <v>21.601900000000001</v>
      </c>
      <c r="R60" s="14">
        <f>_xll.BDH("NBIX US Equity","PROF_MARGIN","FQ1 2023","FQ1 2023","Currency=USD","Period=FQ","BEST_FPERIOD_OVERRIDE=FQ","FILING_STATUS=MR","FA_ADJUSTED=GAAP","Sort=A","Dates=H","DateFormat=P","Fill=—","Direction=H","UseDPDF=Y")</f>
        <v>-18.220700000000001</v>
      </c>
      <c r="S60" s="14">
        <f>_xll.BDH("NBIX US Equity","PROF_MARGIN","FQ2 2023","FQ2 2023","Currency=USD","Period=FQ","BEST_FPERIOD_OVERRIDE=FQ","FILING_STATUS=MR","FA_ADJUSTED=GAAP","Sort=A","Dates=H","DateFormat=P","Fill=—","Direction=H","UseDPDF=Y")</f>
        <v>21.095600000000001</v>
      </c>
      <c r="T60" s="14">
        <f>_xll.BDH("NBIX US Equity","PROF_MARGIN","FQ3 2023","FQ3 2023","Currency=USD","Period=FQ","BEST_FPERIOD_OVERRIDE=FQ","FILING_STATUS=MR","FA_ADJUSTED=GAAP","Sort=A","Dates=H","DateFormat=P","Fill=—","Direction=H","UseDPDF=Y")</f>
        <v>16.66</v>
      </c>
      <c r="U60" s="14">
        <f>_xll.BDH("NBIX US Equity","PROF_MARGIN","FQ4 2023","FQ4 2023","Currency=USD","Period=FQ","BEST_FPERIOD_OVERRIDE=FQ","FILING_STATUS=MR","FA_ADJUSTED=GAAP","Sort=A","Dates=H","DateFormat=P","Fill=—","Direction=H","UseDPDF=Y")</f>
        <v>28.668500000000002</v>
      </c>
      <c r="V60" s="14">
        <f>_xll.BDH("NBIX US Equity","PROF_MARGIN","FQ1 2024","FQ1 2024","Currency=USD","Period=FQ","BEST_FPERIOD_OVERRIDE=FQ","FILING_STATUS=MR","FA_ADJUSTED=GAAP","Sort=A","Dates=H","DateFormat=P","Fill=—","Direction=H","UseDPDF=Y")</f>
        <v>8.4222999999999999</v>
      </c>
      <c r="W60" s="14">
        <f>_xll.BDH("NBIX US Equity","PROF_MARGIN","FQ2 2024","FQ2 2024","Currency=USD","Period=FQ","BEST_FPERIOD_OVERRIDE=FQ","FILING_STATUS=MR","FA_ADJUSTED=GAAP","Sort=A","Dates=H","DateFormat=P","Fill=—","Direction=H","UseDPDF=Y")</f>
        <v>11.013199999999999</v>
      </c>
      <c r="X60" s="14">
        <f>_xll.BDH("NBIX US Equity","PROF_MARGIN","FQ3 2024","FQ3 2024","Currency=USD","Period=FQ","BEST_FPERIOD_OVERRIDE=FQ","FILING_STATUS=MR","FA_ADJUSTED=GAAP","Sort=A","Dates=H","DateFormat=P","Fill=—","Direction=H","UseDPDF=Y")</f>
        <v>20.864799999999999</v>
      </c>
      <c r="Y60" s="14">
        <f>_xll.BDH("NBIX US Equity","PROF_MARGIN","FQ4 2024","FQ4 2024","Currency=USD","Period=FQ","BEST_FPERIOD_OVERRIDE=FQ","FILING_STATUS=MR","FA_ADJUSTED=GAAP","Sort=A","Dates=H","DateFormat=P","Fill=—","Direction=H","UseDPDF=Y")</f>
        <v>16.425000000000001</v>
      </c>
      <c r="Z60" s="14">
        <v>19.385604782174301</v>
      </c>
      <c r="AA60" s="14">
        <v>20.839506172839499</v>
      </c>
    </row>
    <row r="61" spans="1:27" x14ac:dyDescent="0.25">
      <c r="A61" s="10" t="s">
        <v>402</v>
      </c>
      <c r="B61" s="10" t="s">
        <v>403</v>
      </c>
      <c r="C61" s="14" t="str">
        <f>_xll.BDH("NBIX US Equity","ACTUAL_SALES_PER_EMPL","FQ2 2019","FQ2 2019","Currency=USD","Period=FQ","BEST_FPERIOD_OVERRIDE=FQ","FILING_STATUS=MR","FA_ADJUSTED=GAAP","Sort=A","Dates=H","DateFormat=P","Fill=—","Direction=H","UseDPDF=Y")</f>
        <v>—</v>
      </c>
      <c r="D61" s="14" t="str">
        <f>_xll.BDH("NBIX US Equity","ACTUAL_SALES_PER_EMPL","FQ3 2019","FQ3 2019","Currency=USD","Period=FQ","BEST_FPERIOD_OVERRIDE=FQ","FILING_STATUS=MR","FA_ADJUSTED=GAAP","Sort=A","Dates=H","DateFormat=P","Fill=—","Direction=H","UseDPDF=Y")</f>
        <v>—</v>
      </c>
      <c r="E61" s="14">
        <f>_xll.BDH("NBIX US Equity","ACTUAL_SALES_PER_EMPL","FQ4 2019","FQ4 2019","Currency=USD","Period=FQ","BEST_FPERIOD_OVERRIDE=FQ","FILING_STATUS=MR","FA_ADJUSTED=GAAP","Sort=A","Dates=H","DateFormat=P","Fill=—","Direction=H","UseDPDF=Y")</f>
        <v>348714.28570000001</v>
      </c>
      <c r="F61" s="14" t="str">
        <f>_xll.BDH("NBIX US Equity","ACTUAL_SALES_PER_EMPL","FQ1 2020","FQ1 2020","Currency=USD","Period=FQ","BEST_FPERIOD_OVERRIDE=FQ","FILING_STATUS=MR","FA_ADJUSTED=GAAP","Sort=A","Dates=H","DateFormat=P","Fill=—","Direction=H","UseDPDF=Y")</f>
        <v>—</v>
      </c>
      <c r="G61" s="14" t="str">
        <f>_xll.BDH("NBIX US Equity","ACTUAL_SALES_PER_EMPL","FQ2 2020","FQ2 2020","Currency=USD","Period=FQ","BEST_FPERIOD_OVERRIDE=FQ","FILING_STATUS=MR","FA_ADJUSTED=GAAP","Sort=A","Dates=H","DateFormat=P","Fill=—","Direction=H","UseDPDF=Y")</f>
        <v>—</v>
      </c>
      <c r="H61" s="14" t="str">
        <f>_xll.BDH("NBIX US Equity","ACTUAL_SALES_PER_EMPL","FQ3 2020","FQ3 2020","Currency=USD","Period=FQ","BEST_FPERIOD_OVERRIDE=FQ","FILING_STATUS=MR","FA_ADJUSTED=GAAP","Sort=A","Dates=H","DateFormat=P","Fill=—","Direction=H","UseDPDF=Y")</f>
        <v>—</v>
      </c>
      <c r="I61" s="14">
        <f>_xll.BDH("NBIX US Equity","ACTUAL_SALES_PER_EMPL","FQ4 2020","FQ4 2020","Currency=USD","Period=FQ","BEST_FPERIOD_OVERRIDE=FQ","FILING_STATUS=MR","FA_ADJUSTED=GAAP","Sort=A","Dates=H","DateFormat=P","Fill=—","Direction=H","UseDPDF=Y")</f>
        <v>293372.78110000002</v>
      </c>
      <c r="J61" s="14" t="str">
        <f>_xll.BDH("NBIX US Equity","ACTUAL_SALES_PER_EMPL","FQ1 2021","FQ1 2021","Currency=USD","Period=FQ","BEST_FPERIOD_OVERRIDE=FQ","FILING_STATUS=MR","FA_ADJUSTED=GAAP","Sort=A","Dates=H","DateFormat=P","Fill=—","Direction=H","UseDPDF=Y")</f>
        <v>—</v>
      </c>
      <c r="K61" s="14" t="str">
        <f>_xll.BDH("NBIX US Equity","ACTUAL_SALES_PER_EMPL","FQ2 2021","FQ2 2021","Currency=USD","Period=FQ","BEST_FPERIOD_OVERRIDE=FQ","FILING_STATUS=MR","FA_ADJUSTED=GAAP","Sort=A","Dates=H","DateFormat=P","Fill=—","Direction=H","UseDPDF=Y")</f>
        <v>—</v>
      </c>
      <c r="L61" s="14" t="str">
        <f>_xll.BDH("NBIX US Equity","ACTUAL_SALES_PER_EMPL","FQ3 2021","FQ3 2021","Currency=USD","Period=FQ","BEST_FPERIOD_OVERRIDE=FQ","FILING_STATUS=MR","FA_ADJUSTED=GAAP","Sort=A","Dates=H","DateFormat=P","Fill=—","Direction=H","UseDPDF=Y")</f>
        <v>—</v>
      </c>
      <c r="M61" s="14">
        <f>_xll.BDH("NBIX US Equity","ACTUAL_SALES_PER_EMPL","FQ4 2021","FQ4 2021","Currency=USD","Period=FQ","BEST_FPERIOD_OVERRIDE=FQ","FILING_STATUS=MR","FA_ADJUSTED=GAAP","Sort=A","Dates=H","DateFormat=P","Fill=—","Direction=H","UseDPDF=Y")</f>
        <v>346666.6667</v>
      </c>
      <c r="N61" s="14" t="str">
        <f>_xll.BDH("NBIX US Equity","ACTUAL_SALES_PER_EMPL","FQ1 2022","FQ1 2022","Currency=USD","Period=FQ","BEST_FPERIOD_OVERRIDE=FQ","FILING_STATUS=MR","FA_ADJUSTED=GAAP","Sort=A","Dates=H","DateFormat=P","Fill=—","Direction=H","UseDPDF=Y")</f>
        <v>—</v>
      </c>
      <c r="O61" s="14" t="str">
        <f>_xll.BDH("NBIX US Equity","ACTUAL_SALES_PER_EMPL","FQ2 2022","FQ2 2022","Currency=USD","Period=FQ","BEST_FPERIOD_OVERRIDE=FQ","FILING_STATUS=MR","FA_ADJUSTED=GAAP","Sort=A","Dates=H","DateFormat=P","Fill=—","Direction=H","UseDPDF=Y")</f>
        <v>—</v>
      </c>
      <c r="P61" s="14" t="str">
        <f>_xll.BDH("NBIX US Equity","ACTUAL_SALES_PER_EMPL","FQ3 2022","FQ3 2022","Currency=USD","Period=FQ","BEST_FPERIOD_OVERRIDE=FQ","FILING_STATUS=MR","FA_ADJUSTED=GAAP","Sort=A","Dates=H","DateFormat=P","Fill=—","Direction=H","UseDPDF=Y")</f>
        <v>—</v>
      </c>
      <c r="Q61" s="14">
        <f>_xll.BDH("NBIX US Equity","ACTUAL_SALES_PER_EMPL","FQ4 2022","FQ4 2022","Currency=USD","Period=FQ","BEST_FPERIOD_OVERRIDE=FQ","FILING_STATUS=MR","FA_ADJUSTED=GAAP","Sort=A","Dates=H","DateFormat=P","Fill=—","Direction=H","UseDPDF=Y")</f>
        <v>343333.3333</v>
      </c>
      <c r="R61" s="14" t="str">
        <f>_xll.BDH("NBIX US Equity","ACTUAL_SALES_PER_EMPL","FQ1 2023","FQ1 2023","Currency=USD","Period=FQ","BEST_FPERIOD_OVERRIDE=FQ","FILING_STATUS=MR","FA_ADJUSTED=GAAP","Sort=A","Dates=H","DateFormat=P","Fill=—","Direction=H","UseDPDF=Y")</f>
        <v>—</v>
      </c>
      <c r="S61" s="14" t="str">
        <f>_xll.BDH("NBIX US Equity","ACTUAL_SALES_PER_EMPL","FQ2 2023","FQ2 2023","Currency=USD","Period=FQ","BEST_FPERIOD_OVERRIDE=FQ","FILING_STATUS=MR","FA_ADJUSTED=GAAP","Sort=A","Dates=H","DateFormat=P","Fill=—","Direction=H","UseDPDF=Y")</f>
        <v>—</v>
      </c>
      <c r="T61" s="14" t="str">
        <f>_xll.BDH("NBIX US Equity","ACTUAL_SALES_PER_EMPL","FQ3 2023","FQ3 2023","Currency=USD","Period=FQ","BEST_FPERIOD_OVERRIDE=FQ","FILING_STATUS=MR","FA_ADJUSTED=GAAP","Sort=A","Dates=H","DateFormat=P","Fill=—","Direction=H","UseDPDF=Y")</f>
        <v>—</v>
      </c>
      <c r="U61" s="14">
        <f>_xll.BDH("NBIX US Equity","ACTUAL_SALES_PER_EMPL","FQ4 2023","FQ4 2023","Currency=USD","Period=FQ","BEST_FPERIOD_OVERRIDE=FQ","FILING_STATUS=MR","FA_ADJUSTED=GAAP","Sort=A","Dates=H","DateFormat=P","Fill=—","Direction=H","UseDPDF=Y")</f>
        <v>368000</v>
      </c>
      <c r="V61" s="14" t="str">
        <f>_xll.BDH("NBIX US Equity","ACTUAL_SALES_PER_EMPL","FQ1 2024","FQ1 2024","Currency=USD","Period=FQ","BEST_FPERIOD_OVERRIDE=FQ","FILING_STATUS=MR","FA_ADJUSTED=GAAP","Sort=A","Dates=H","DateFormat=P","Fill=—","Direction=H","UseDPDF=Y")</f>
        <v>—</v>
      </c>
      <c r="W61" s="14" t="str">
        <f>_xll.BDH("NBIX US Equity","ACTUAL_SALES_PER_EMPL","FQ2 2024","FQ2 2024","Currency=USD","Period=FQ","BEST_FPERIOD_OVERRIDE=FQ","FILING_STATUS=MR","FA_ADJUSTED=GAAP","Sort=A","Dates=H","DateFormat=P","Fill=—","Direction=H","UseDPDF=Y")</f>
        <v>—</v>
      </c>
      <c r="X61" s="14">
        <f>_xll.BDH("NBIX US Equity","ACTUAL_SALES_PER_EMPL","FQ3 2024","FQ3 2024","Currency=USD","Period=FQ","BEST_FPERIOD_OVERRIDE=FQ","FILING_STATUS=MR","FA_ADJUSTED=GAAP","Sort=A","Dates=H","DateFormat=P","Fill=—","Direction=H","UseDPDF=Y")</f>
        <v>365941.1765</v>
      </c>
      <c r="Y61" s="14">
        <f>_xll.BDH("NBIX US Equity","ACTUAL_SALES_PER_EMPL","FQ4 2024","FQ4 2024","Currency=USD","Period=FQ","BEST_FPERIOD_OVERRIDE=FQ","FILING_STATUS=MR","FA_ADJUSTED=GAAP","Sort=A","Dates=H","DateFormat=P","Fill=—","Direction=H","UseDPDF=Y")</f>
        <v>348722.22220000002</v>
      </c>
      <c r="Z61" s="14"/>
      <c r="AA61" s="14"/>
    </row>
    <row r="62" spans="1:27" x14ac:dyDescent="0.25">
      <c r="A62" s="10" t="s">
        <v>404</v>
      </c>
      <c r="B62" s="10" t="s">
        <v>274</v>
      </c>
      <c r="C62" s="14">
        <f>_xll.BDH("NBIX US Equity","EQY_DPS","FQ2 2019","FQ2 2019","Currency=USD","Period=FQ","BEST_FPERIOD_OVERRIDE=FQ","FILING_STATUS=MR","Sort=A","Dates=H","DateFormat=P","Fill=—","Direction=H","UseDPDF=Y")</f>
        <v>0</v>
      </c>
      <c r="D62" s="14">
        <f>_xll.BDH("NBIX US Equity","EQY_DPS","FQ3 2019","FQ3 2019","Currency=USD","Period=FQ","BEST_FPERIOD_OVERRIDE=FQ","FILING_STATUS=MR","Sort=A","Dates=H","DateFormat=P","Fill=—","Direction=H","UseDPDF=Y")</f>
        <v>0</v>
      </c>
      <c r="E62" s="14">
        <f>_xll.BDH("NBIX US Equity","EQY_DPS","FQ4 2019","FQ4 2019","Currency=USD","Period=FQ","BEST_FPERIOD_OVERRIDE=FQ","FILING_STATUS=MR","Sort=A","Dates=H","DateFormat=P","Fill=—","Direction=H","UseDPDF=Y")</f>
        <v>0</v>
      </c>
      <c r="F62" s="14">
        <f>_xll.BDH("NBIX US Equity","EQY_DPS","FQ1 2020","FQ1 2020","Currency=USD","Period=FQ","BEST_FPERIOD_OVERRIDE=FQ","FILING_STATUS=MR","Sort=A","Dates=H","DateFormat=P","Fill=—","Direction=H","UseDPDF=Y")</f>
        <v>0</v>
      </c>
      <c r="G62" s="14">
        <f>_xll.BDH("NBIX US Equity","EQY_DPS","FQ2 2020","FQ2 2020","Currency=USD","Period=FQ","BEST_FPERIOD_OVERRIDE=FQ","FILING_STATUS=MR","Sort=A","Dates=H","DateFormat=P","Fill=—","Direction=H","UseDPDF=Y")</f>
        <v>0</v>
      </c>
      <c r="H62" s="14">
        <f>_xll.BDH("NBIX US Equity","EQY_DPS","FQ3 2020","FQ3 2020","Currency=USD","Period=FQ","BEST_FPERIOD_OVERRIDE=FQ","FILING_STATUS=MR","Sort=A","Dates=H","DateFormat=P","Fill=—","Direction=H","UseDPDF=Y")</f>
        <v>0</v>
      </c>
      <c r="I62" s="14">
        <f>_xll.BDH("NBIX US Equity","EQY_DPS","FQ4 2020","FQ4 2020","Currency=USD","Period=FQ","BEST_FPERIOD_OVERRIDE=FQ","FILING_STATUS=MR","Sort=A","Dates=H","DateFormat=P","Fill=—","Direction=H","UseDPDF=Y")</f>
        <v>0</v>
      </c>
      <c r="J62" s="14">
        <f>_xll.BDH("NBIX US Equity","EQY_DPS","FQ1 2021","FQ1 2021","Currency=USD","Period=FQ","BEST_FPERIOD_OVERRIDE=FQ","FILING_STATUS=MR","Sort=A","Dates=H","DateFormat=P","Fill=—","Direction=H","UseDPDF=Y")</f>
        <v>0</v>
      </c>
      <c r="K62" s="14">
        <f>_xll.BDH("NBIX US Equity","EQY_DPS","FQ2 2021","FQ2 2021","Currency=USD","Period=FQ","BEST_FPERIOD_OVERRIDE=FQ","FILING_STATUS=MR","Sort=A","Dates=H","DateFormat=P","Fill=—","Direction=H","UseDPDF=Y")</f>
        <v>0</v>
      </c>
      <c r="L62" s="14">
        <f>_xll.BDH("NBIX US Equity","EQY_DPS","FQ3 2021","FQ3 2021","Currency=USD","Period=FQ","BEST_FPERIOD_OVERRIDE=FQ","FILING_STATUS=MR","Sort=A","Dates=H","DateFormat=P","Fill=—","Direction=H","UseDPDF=Y")</f>
        <v>0</v>
      </c>
      <c r="M62" s="14">
        <f>_xll.BDH("NBIX US Equity","EQY_DPS","FQ4 2021","FQ4 2021","Currency=USD","Period=FQ","BEST_FPERIOD_OVERRIDE=FQ","FILING_STATUS=MR","Sort=A","Dates=H","DateFormat=P","Fill=—","Direction=H","UseDPDF=Y")</f>
        <v>0</v>
      </c>
      <c r="N62" s="14">
        <f>_xll.BDH("NBIX US Equity","EQY_DPS","FQ1 2022","FQ1 2022","Currency=USD","Period=FQ","BEST_FPERIOD_OVERRIDE=FQ","FILING_STATUS=MR","Sort=A","Dates=H","DateFormat=P","Fill=—","Direction=H","UseDPDF=Y")</f>
        <v>0</v>
      </c>
      <c r="O62" s="14">
        <f>_xll.BDH("NBIX US Equity","EQY_DPS","FQ2 2022","FQ2 2022","Currency=USD","Period=FQ","BEST_FPERIOD_OVERRIDE=FQ","FILING_STATUS=MR","Sort=A","Dates=H","DateFormat=P","Fill=—","Direction=H","UseDPDF=Y")</f>
        <v>0</v>
      </c>
      <c r="P62" s="14">
        <f>_xll.BDH("NBIX US Equity","EQY_DPS","FQ3 2022","FQ3 2022","Currency=USD","Period=FQ","BEST_FPERIOD_OVERRIDE=FQ","FILING_STATUS=MR","Sort=A","Dates=H","DateFormat=P","Fill=—","Direction=H","UseDPDF=Y")</f>
        <v>0</v>
      </c>
      <c r="Q62" s="14">
        <f>_xll.BDH("NBIX US Equity","EQY_DPS","FQ4 2022","FQ4 2022","Currency=USD","Period=FQ","BEST_FPERIOD_OVERRIDE=FQ","FILING_STATUS=MR","Sort=A","Dates=H","DateFormat=P","Fill=—","Direction=H","UseDPDF=Y")</f>
        <v>0</v>
      </c>
      <c r="R62" s="14">
        <f>_xll.BDH("NBIX US Equity","EQY_DPS","FQ1 2023","FQ1 2023","Currency=USD","Period=FQ","BEST_FPERIOD_OVERRIDE=FQ","FILING_STATUS=MR","Sort=A","Dates=H","DateFormat=P","Fill=—","Direction=H","UseDPDF=Y")</f>
        <v>0</v>
      </c>
      <c r="S62" s="14">
        <f>_xll.BDH("NBIX US Equity","EQY_DPS","FQ2 2023","FQ2 2023","Currency=USD","Period=FQ","BEST_FPERIOD_OVERRIDE=FQ","FILING_STATUS=MR","Sort=A","Dates=H","DateFormat=P","Fill=—","Direction=H","UseDPDF=Y")</f>
        <v>0</v>
      </c>
      <c r="T62" s="14">
        <f>_xll.BDH("NBIX US Equity","EQY_DPS","FQ3 2023","FQ3 2023","Currency=USD","Period=FQ","BEST_FPERIOD_OVERRIDE=FQ","FILING_STATUS=MR","Sort=A","Dates=H","DateFormat=P","Fill=—","Direction=H","UseDPDF=Y")</f>
        <v>0</v>
      </c>
      <c r="U62" s="14">
        <f>_xll.BDH("NBIX US Equity","EQY_DPS","FQ4 2023","FQ4 2023","Currency=USD","Period=FQ","BEST_FPERIOD_OVERRIDE=FQ","FILING_STATUS=MR","Sort=A","Dates=H","DateFormat=P","Fill=—","Direction=H","UseDPDF=Y")</f>
        <v>0</v>
      </c>
      <c r="V62" s="14">
        <f>_xll.BDH("NBIX US Equity","EQY_DPS","FQ1 2024","FQ1 2024","Currency=USD","Period=FQ","BEST_FPERIOD_OVERRIDE=FQ","FILING_STATUS=MR","Sort=A","Dates=H","DateFormat=P","Fill=—","Direction=H","UseDPDF=Y")</f>
        <v>0</v>
      </c>
      <c r="W62" s="14">
        <f>_xll.BDH("NBIX US Equity","EQY_DPS","FQ2 2024","FQ2 2024","Currency=USD","Period=FQ","BEST_FPERIOD_OVERRIDE=FQ","FILING_STATUS=MR","Sort=A","Dates=H","DateFormat=P","Fill=—","Direction=H","UseDPDF=Y")</f>
        <v>0</v>
      </c>
      <c r="X62" s="14">
        <f>_xll.BDH("NBIX US Equity","EQY_DPS","FQ3 2024","FQ3 2024","Currency=USD","Period=FQ","BEST_FPERIOD_OVERRIDE=FQ","FILING_STATUS=MR","Sort=A","Dates=H","DateFormat=P","Fill=—","Direction=H","UseDPDF=Y")</f>
        <v>0</v>
      </c>
      <c r="Y62" s="14">
        <f>_xll.BDH("NBIX US Equity","EQY_DPS","FQ4 2024","FQ4 2024","Currency=USD","Period=FQ","BEST_FPERIOD_OVERRIDE=FQ","FILING_STATUS=MR","Sort=A","Dates=H","DateFormat=P","Fill=—","Direction=H","UseDPDF=Y")</f>
        <v>0</v>
      </c>
      <c r="Z62" s="14"/>
      <c r="AA62" s="14"/>
    </row>
    <row r="63" spans="1:27" x14ac:dyDescent="0.25">
      <c r="A63" s="10" t="s">
        <v>405</v>
      </c>
      <c r="B63" s="10" t="s">
        <v>406</v>
      </c>
      <c r="C63" s="13">
        <f>_xll.BDH("NBIX US Equity","IS_TOT_CASH_COM_DVD","FQ2 2019","FQ2 2019","Currency=USD","Period=FQ","BEST_FPERIOD_OVERRIDE=FQ","FILING_STATUS=MR","SCALING_FORMAT=MLN","Sort=A","Dates=H","DateFormat=P","Fill=—","Direction=H","UseDPDF=Y")</f>
        <v>0</v>
      </c>
      <c r="D63" s="13">
        <f>_xll.BDH("NBIX US Equity","IS_TOT_CASH_COM_DVD","FQ3 2019","FQ3 2019","Currency=USD","Period=FQ","BEST_FPERIOD_OVERRIDE=FQ","FILING_STATUS=MR","SCALING_FORMAT=MLN","Sort=A","Dates=H","DateFormat=P","Fill=—","Direction=H","UseDPDF=Y")</f>
        <v>0</v>
      </c>
      <c r="E63" s="13">
        <f>_xll.BDH("NBIX US Equity","IS_TOT_CASH_COM_DVD","FQ4 2019","FQ4 2019","Currency=USD","Period=FQ","BEST_FPERIOD_OVERRIDE=FQ","FILING_STATUS=MR","SCALING_FORMAT=MLN","Sort=A","Dates=H","DateFormat=P","Fill=—","Direction=H","UseDPDF=Y")</f>
        <v>0</v>
      </c>
      <c r="F63" s="13">
        <f>_xll.BDH("NBIX US Equity","IS_TOT_CASH_COM_DVD","FQ1 2020","FQ1 2020","Currency=USD","Period=FQ","BEST_FPERIOD_OVERRIDE=FQ","FILING_STATUS=MR","SCALING_FORMAT=MLN","Sort=A","Dates=H","DateFormat=P","Fill=—","Direction=H","UseDPDF=Y")</f>
        <v>0</v>
      </c>
      <c r="G63" s="13">
        <f>_xll.BDH("NBIX US Equity","IS_TOT_CASH_COM_DVD","FQ2 2020","FQ2 2020","Currency=USD","Period=FQ","BEST_FPERIOD_OVERRIDE=FQ","FILING_STATUS=MR","SCALING_FORMAT=MLN","Sort=A","Dates=H","DateFormat=P","Fill=—","Direction=H","UseDPDF=Y")</f>
        <v>0</v>
      </c>
      <c r="H63" s="13">
        <f>_xll.BDH("NBIX US Equity","IS_TOT_CASH_COM_DVD","FQ3 2020","FQ3 2020","Currency=USD","Period=FQ","BEST_FPERIOD_OVERRIDE=FQ","FILING_STATUS=MR","SCALING_FORMAT=MLN","Sort=A","Dates=H","DateFormat=P","Fill=—","Direction=H","UseDPDF=Y")</f>
        <v>0</v>
      </c>
      <c r="I63" s="13">
        <f>_xll.BDH("NBIX US Equity","IS_TOT_CASH_COM_DVD","FQ4 2020","FQ4 2020","Currency=USD","Period=FQ","BEST_FPERIOD_OVERRIDE=FQ","FILING_STATUS=MR","SCALING_FORMAT=MLN","Sort=A","Dates=H","DateFormat=P","Fill=—","Direction=H","UseDPDF=Y")</f>
        <v>0</v>
      </c>
      <c r="J63" s="13">
        <f>_xll.BDH("NBIX US Equity","IS_TOT_CASH_COM_DVD","FQ1 2021","FQ1 2021","Currency=USD","Period=FQ","BEST_FPERIOD_OVERRIDE=FQ","FILING_STATUS=MR","SCALING_FORMAT=MLN","Sort=A","Dates=H","DateFormat=P","Fill=—","Direction=H","UseDPDF=Y")</f>
        <v>0</v>
      </c>
      <c r="K63" s="13">
        <f>_xll.BDH("NBIX US Equity","IS_TOT_CASH_COM_DVD","FQ2 2021","FQ2 2021","Currency=USD","Period=FQ","BEST_FPERIOD_OVERRIDE=FQ","FILING_STATUS=MR","SCALING_FORMAT=MLN","Sort=A","Dates=H","DateFormat=P","Fill=—","Direction=H","UseDPDF=Y")</f>
        <v>0</v>
      </c>
      <c r="L63" s="13">
        <f>_xll.BDH("NBIX US Equity","IS_TOT_CASH_COM_DVD","FQ3 2021","FQ3 2021","Currency=USD","Period=FQ","BEST_FPERIOD_OVERRIDE=FQ","FILING_STATUS=MR","SCALING_FORMAT=MLN","Sort=A","Dates=H","DateFormat=P","Fill=—","Direction=H","UseDPDF=Y")</f>
        <v>0</v>
      </c>
      <c r="M63" s="13">
        <f>_xll.BDH("NBIX US Equity","IS_TOT_CASH_COM_DVD","FQ4 2021","FQ4 2021","Currency=USD","Period=FQ","BEST_FPERIOD_OVERRIDE=FQ","FILING_STATUS=MR","SCALING_FORMAT=MLN","Sort=A","Dates=H","DateFormat=P","Fill=—","Direction=H","UseDPDF=Y")</f>
        <v>0</v>
      </c>
      <c r="N63" s="13">
        <f>_xll.BDH("NBIX US Equity","IS_TOT_CASH_COM_DVD","FQ1 2022","FQ1 2022","Currency=USD","Period=FQ","BEST_FPERIOD_OVERRIDE=FQ","FILING_STATUS=MR","SCALING_FORMAT=MLN","Sort=A","Dates=H","DateFormat=P","Fill=—","Direction=H","UseDPDF=Y")</f>
        <v>0</v>
      </c>
      <c r="O63" s="13">
        <f>_xll.BDH("NBIX US Equity","IS_TOT_CASH_COM_DVD","FQ2 2022","FQ2 2022","Currency=USD","Period=FQ","BEST_FPERIOD_OVERRIDE=FQ","FILING_STATUS=MR","SCALING_FORMAT=MLN","Sort=A","Dates=H","DateFormat=P","Fill=—","Direction=H","UseDPDF=Y")</f>
        <v>0</v>
      </c>
      <c r="P63" s="13">
        <f>_xll.BDH("NBIX US Equity","IS_TOT_CASH_COM_DVD","FQ3 2022","FQ3 2022","Currency=USD","Period=FQ","BEST_FPERIOD_OVERRIDE=FQ","FILING_STATUS=MR","SCALING_FORMAT=MLN","Sort=A","Dates=H","DateFormat=P","Fill=—","Direction=H","UseDPDF=Y")</f>
        <v>0</v>
      </c>
      <c r="Q63" s="13">
        <f>_xll.BDH("NBIX US Equity","IS_TOT_CASH_COM_DVD","FQ4 2022","FQ4 2022","Currency=USD","Period=FQ","BEST_FPERIOD_OVERRIDE=FQ","FILING_STATUS=MR","SCALING_FORMAT=MLN","Sort=A","Dates=H","DateFormat=P","Fill=—","Direction=H","UseDPDF=Y")</f>
        <v>0</v>
      </c>
      <c r="R63" s="13">
        <f>_xll.BDH("NBIX US Equity","IS_TOT_CASH_COM_DVD","FQ1 2023","FQ1 2023","Currency=USD","Period=FQ","BEST_FPERIOD_OVERRIDE=FQ","FILING_STATUS=MR","SCALING_FORMAT=MLN","Sort=A","Dates=H","DateFormat=P","Fill=—","Direction=H","UseDPDF=Y")</f>
        <v>0</v>
      </c>
      <c r="S63" s="13">
        <f>_xll.BDH("NBIX US Equity","IS_TOT_CASH_COM_DVD","FQ2 2023","FQ2 2023","Currency=USD","Period=FQ","BEST_FPERIOD_OVERRIDE=FQ","FILING_STATUS=MR","SCALING_FORMAT=MLN","Sort=A","Dates=H","DateFormat=P","Fill=—","Direction=H","UseDPDF=Y")</f>
        <v>0</v>
      </c>
      <c r="T63" s="13">
        <f>_xll.BDH("NBIX US Equity","IS_TOT_CASH_COM_DVD","FQ3 2023","FQ3 2023","Currency=USD","Period=FQ","BEST_FPERIOD_OVERRIDE=FQ","FILING_STATUS=MR","SCALING_FORMAT=MLN","Sort=A","Dates=H","DateFormat=P","Fill=—","Direction=H","UseDPDF=Y")</f>
        <v>0</v>
      </c>
      <c r="U63" s="13">
        <f>_xll.BDH("NBIX US Equity","IS_TOT_CASH_COM_DVD","FQ4 2023","FQ4 2023","Currency=USD","Period=FQ","BEST_FPERIOD_OVERRIDE=FQ","FILING_STATUS=MR","SCALING_FORMAT=MLN","Sort=A","Dates=H","DateFormat=P","Fill=—","Direction=H","UseDPDF=Y")</f>
        <v>0</v>
      </c>
      <c r="V63" s="13">
        <f>_xll.BDH("NBIX US Equity","IS_TOT_CASH_COM_DVD","FQ1 2024","FQ1 2024","Currency=USD","Period=FQ","BEST_FPERIOD_OVERRIDE=FQ","FILING_STATUS=MR","SCALING_FORMAT=MLN","Sort=A","Dates=H","DateFormat=P","Fill=—","Direction=H","UseDPDF=Y")</f>
        <v>0</v>
      </c>
      <c r="W63" s="13">
        <f>_xll.BDH("NBIX US Equity","IS_TOT_CASH_COM_DVD","FQ2 2024","FQ2 2024","Currency=USD","Period=FQ","BEST_FPERIOD_OVERRIDE=FQ","FILING_STATUS=MR","SCALING_FORMAT=MLN","Sort=A","Dates=H","DateFormat=P","Fill=—","Direction=H","UseDPDF=Y")</f>
        <v>0</v>
      </c>
      <c r="X63" s="13">
        <f>_xll.BDH("NBIX US Equity","IS_TOT_CASH_COM_DVD","FQ3 2024","FQ3 2024","Currency=USD","Period=FQ","BEST_FPERIOD_OVERRIDE=FQ","FILING_STATUS=MR","SCALING_FORMAT=MLN","Sort=A","Dates=H","DateFormat=P","Fill=—","Direction=H","UseDPDF=Y")</f>
        <v>0</v>
      </c>
      <c r="Y63" s="13">
        <f>_xll.BDH("NBIX US Equity","IS_TOT_CASH_COM_DVD","FQ4 2024","FQ4 2024","Currency=USD","Period=FQ","BEST_FPERIOD_OVERRIDE=FQ","FILING_STATUS=MR","SCALING_FORMAT=MLN","Sort=A","Dates=H","DateFormat=P","Fill=—","Direction=H","UseDPDF=Y")</f>
        <v>0</v>
      </c>
      <c r="Z63" s="13"/>
      <c r="AA63" s="13"/>
    </row>
    <row r="64" spans="1:27" x14ac:dyDescent="0.25">
      <c r="A64" s="10" t="s">
        <v>407</v>
      </c>
      <c r="B64" s="10" t="s">
        <v>408</v>
      </c>
      <c r="C64" s="13">
        <f>_xll.BDH("NBIX US Equity","IS_CAP_INT_EXP","FQ2 2019","FQ2 2019","Currency=USD","Period=FQ","BEST_FPERIOD_OVERRIDE=FQ","FILING_STATUS=MR","SCALING_FORMAT=MLN","Sort=A","Dates=H","DateFormat=P","Fill=—","Direction=H","UseDPDF=Y")</f>
        <v>0</v>
      </c>
      <c r="D64" s="13">
        <f>_xll.BDH("NBIX US Equity","IS_CAP_INT_EXP","FQ3 2019","FQ3 2019","Currency=USD","Period=FQ","BEST_FPERIOD_OVERRIDE=FQ","FILING_STATUS=MR","SCALING_FORMAT=MLN","Sort=A","Dates=H","DateFormat=P","Fill=—","Direction=H","UseDPDF=Y")</f>
        <v>0</v>
      </c>
      <c r="E64" s="13" t="str">
        <f>_xll.BDH("NBIX US Equity","IS_CAP_INT_EXP","FQ4 2019","FQ4 2019","Currency=USD","Period=FQ","BEST_FPERIOD_OVERRIDE=FQ","FILING_STATUS=MR","SCALING_FORMAT=MLN","Sort=A","Dates=H","DateFormat=P","Fill=—","Direction=H","UseDPDF=Y")</f>
        <v>—</v>
      </c>
      <c r="F64" s="13" t="str">
        <f>_xll.BDH("NBIX US Equity","IS_CAP_INT_EXP","FQ1 2020","FQ1 2020","Currency=USD","Period=FQ","BEST_FPERIOD_OVERRIDE=FQ","FILING_STATUS=MR","SCALING_FORMAT=MLN","Sort=A","Dates=H","DateFormat=P","Fill=—","Direction=H","UseDPDF=Y")</f>
        <v>—</v>
      </c>
      <c r="G64" s="13" t="str">
        <f>_xll.BDH("NBIX US Equity","IS_CAP_INT_EXP","FQ2 2020","FQ2 2020","Currency=USD","Period=FQ","BEST_FPERIOD_OVERRIDE=FQ","FILING_STATUS=MR","SCALING_FORMAT=MLN","Sort=A","Dates=H","DateFormat=P","Fill=—","Direction=H","UseDPDF=Y")</f>
        <v>—</v>
      </c>
      <c r="H64" s="13" t="str">
        <f>_xll.BDH("NBIX US Equity","IS_CAP_INT_EXP","FQ3 2020","FQ3 2020","Currency=USD","Period=FQ","BEST_FPERIOD_OVERRIDE=FQ","FILING_STATUS=MR","SCALING_FORMAT=MLN","Sort=A","Dates=H","DateFormat=P","Fill=—","Direction=H","UseDPDF=Y")</f>
        <v>—</v>
      </c>
      <c r="I64" s="13" t="str">
        <f>_xll.BDH("NBIX US Equity","IS_CAP_INT_EXP","FQ4 2020","FQ4 2020","Currency=USD","Period=FQ","BEST_FPERIOD_OVERRIDE=FQ","FILING_STATUS=MR","SCALING_FORMAT=MLN","Sort=A","Dates=H","DateFormat=P","Fill=—","Direction=H","UseDPDF=Y")</f>
        <v>—</v>
      </c>
      <c r="J64" s="13" t="str">
        <f>_xll.BDH("NBIX US Equity","IS_CAP_INT_EXP","FQ1 2021","FQ1 2021","Currency=USD","Period=FQ","BEST_FPERIOD_OVERRIDE=FQ","FILING_STATUS=MR","SCALING_FORMAT=MLN","Sort=A","Dates=H","DateFormat=P","Fill=—","Direction=H","UseDPDF=Y")</f>
        <v>—</v>
      </c>
      <c r="K64" s="13" t="str">
        <f>_xll.BDH("NBIX US Equity","IS_CAP_INT_EXP","FQ2 2021","FQ2 2021","Currency=USD","Period=FQ","BEST_FPERIOD_OVERRIDE=FQ","FILING_STATUS=MR","SCALING_FORMAT=MLN","Sort=A","Dates=H","DateFormat=P","Fill=—","Direction=H","UseDPDF=Y")</f>
        <v>—</v>
      </c>
      <c r="L64" s="13" t="str">
        <f>_xll.BDH("NBIX US Equity","IS_CAP_INT_EXP","FQ3 2021","FQ3 2021","Currency=USD","Period=FQ","BEST_FPERIOD_OVERRIDE=FQ","FILING_STATUS=MR","SCALING_FORMAT=MLN","Sort=A","Dates=H","DateFormat=P","Fill=—","Direction=H","UseDPDF=Y")</f>
        <v>—</v>
      </c>
      <c r="M64" s="13" t="str">
        <f>_xll.BDH("NBIX US Equity","IS_CAP_INT_EXP","FQ4 2021","FQ4 2021","Currency=USD","Period=FQ","BEST_FPERIOD_OVERRIDE=FQ","FILING_STATUS=MR","SCALING_FORMAT=MLN","Sort=A","Dates=H","DateFormat=P","Fill=—","Direction=H","UseDPDF=Y")</f>
        <v>—</v>
      </c>
      <c r="N64" s="13" t="str">
        <f>_xll.BDH("NBIX US Equity","IS_CAP_INT_EXP","FQ1 2022","FQ1 2022","Currency=USD","Period=FQ","BEST_FPERIOD_OVERRIDE=FQ","FILING_STATUS=MR","SCALING_FORMAT=MLN","Sort=A","Dates=H","DateFormat=P","Fill=—","Direction=H","UseDPDF=Y")</f>
        <v>—</v>
      </c>
      <c r="O64" s="13" t="str">
        <f>_xll.BDH("NBIX US Equity","IS_CAP_INT_EXP","FQ2 2022","FQ2 2022","Currency=USD","Period=FQ","BEST_FPERIOD_OVERRIDE=FQ","FILING_STATUS=MR","SCALING_FORMAT=MLN","Sort=A","Dates=H","DateFormat=P","Fill=—","Direction=H","UseDPDF=Y")</f>
        <v>—</v>
      </c>
      <c r="P64" s="13" t="str">
        <f>_xll.BDH("NBIX US Equity","IS_CAP_INT_EXP","FQ3 2022","FQ3 2022","Currency=USD","Period=FQ","BEST_FPERIOD_OVERRIDE=FQ","FILING_STATUS=MR","SCALING_FORMAT=MLN","Sort=A","Dates=H","DateFormat=P","Fill=—","Direction=H","UseDPDF=Y")</f>
        <v>—</v>
      </c>
      <c r="Q64" s="13" t="str">
        <f>_xll.BDH("NBIX US Equity","IS_CAP_INT_EXP","FQ4 2022","FQ4 2022","Currency=USD","Period=FQ","BEST_FPERIOD_OVERRIDE=FQ","FILING_STATUS=MR","SCALING_FORMAT=MLN","Sort=A","Dates=H","DateFormat=P","Fill=—","Direction=H","UseDPDF=Y")</f>
        <v>—</v>
      </c>
      <c r="R64" s="13" t="str">
        <f>_xll.BDH("NBIX US Equity","IS_CAP_INT_EXP","FQ1 2023","FQ1 2023","Currency=USD","Period=FQ","BEST_FPERIOD_OVERRIDE=FQ","FILING_STATUS=MR","SCALING_FORMAT=MLN","Sort=A","Dates=H","DateFormat=P","Fill=—","Direction=H","UseDPDF=Y")</f>
        <v>—</v>
      </c>
      <c r="S64" s="13" t="str">
        <f>_xll.BDH("NBIX US Equity","IS_CAP_INT_EXP","FQ2 2023","FQ2 2023","Currency=USD","Period=FQ","BEST_FPERIOD_OVERRIDE=FQ","FILING_STATUS=MR","SCALING_FORMAT=MLN","Sort=A","Dates=H","DateFormat=P","Fill=—","Direction=H","UseDPDF=Y")</f>
        <v>—</v>
      </c>
      <c r="T64" s="13" t="str">
        <f>_xll.BDH("NBIX US Equity","IS_CAP_INT_EXP","FQ3 2023","FQ3 2023","Currency=USD","Period=FQ","BEST_FPERIOD_OVERRIDE=FQ","FILING_STATUS=MR","SCALING_FORMAT=MLN","Sort=A","Dates=H","DateFormat=P","Fill=—","Direction=H","UseDPDF=Y")</f>
        <v>—</v>
      </c>
      <c r="U64" s="13" t="str">
        <f>_xll.BDH("NBIX US Equity","IS_CAP_INT_EXP","FQ4 2023","FQ4 2023","Currency=USD","Period=FQ","BEST_FPERIOD_OVERRIDE=FQ","FILING_STATUS=MR","SCALING_FORMAT=MLN","Sort=A","Dates=H","DateFormat=P","Fill=—","Direction=H","UseDPDF=Y")</f>
        <v>—</v>
      </c>
      <c r="V64" s="13" t="str">
        <f>_xll.BDH("NBIX US Equity","IS_CAP_INT_EXP","FQ1 2024","FQ1 2024","Currency=USD","Period=FQ","BEST_FPERIOD_OVERRIDE=FQ","FILING_STATUS=MR","SCALING_FORMAT=MLN","Sort=A","Dates=H","DateFormat=P","Fill=—","Direction=H","UseDPDF=Y")</f>
        <v>—</v>
      </c>
      <c r="W64" s="13" t="str">
        <f>_xll.BDH("NBIX US Equity","IS_CAP_INT_EXP","FQ2 2024","FQ2 2024","Currency=USD","Period=FQ","BEST_FPERIOD_OVERRIDE=FQ","FILING_STATUS=MR","SCALING_FORMAT=MLN","Sort=A","Dates=H","DateFormat=P","Fill=—","Direction=H","UseDPDF=Y")</f>
        <v>—</v>
      </c>
      <c r="X64" s="13" t="str">
        <f>_xll.BDH("NBIX US Equity","IS_CAP_INT_EXP","FQ3 2024","FQ3 2024","Currency=USD","Period=FQ","BEST_FPERIOD_OVERRIDE=FQ","FILING_STATUS=MR","SCALING_FORMAT=MLN","Sort=A","Dates=H","DateFormat=P","Fill=—","Direction=H","UseDPDF=Y")</f>
        <v>—</v>
      </c>
      <c r="Y64" s="13" t="str">
        <f>_xll.BDH("NBIX US Equity","IS_CAP_INT_EXP","FQ4 2024","FQ4 2024","Currency=USD","Period=FQ","BEST_FPERIOD_OVERRIDE=FQ","FILING_STATUS=MR","SCALING_FORMAT=MLN","Sort=A","Dates=H","DateFormat=P","Fill=—","Direction=H","UseDPDF=Y")</f>
        <v>—</v>
      </c>
      <c r="Z64" s="13"/>
      <c r="AA64" s="13"/>
    </row>
    <row r="65" spans="1:27" x14ac:dyDescent="0.25">
      <c r="A65" s="10" t="s">
        <v>409</v>
      </c>
      <c r="B65" s="10" t="s">
        <v>410</v>
      </c>
      <c r="C65" s="13" t="str">
        <f>_xll.BDH("NBIX US Equity","IS_DEPR_EXP","FQ2 2019","FQ2 2019","Currency=USD","Period=FQ","BEST_FPERIOD_OVERRIDE=FQ","FILING_STATUS=MR","SCALING_FORMAT=MLN","Sort=A","Dates=H","DateFormat=P","Fill=—","Direction=H","UseDPDF=Y")</f>
        <v>—</v>
      </c>
      <c r="D65" s="13" t="str">
        <f>_xll.BDH("NBIX US Equity","IS_DEPR_EXP","FQ3 2019","FQ3 2019","Currency=USD","Period=FQ","BEST_FPERIOD_OVERRIDE=FQ","FILING_STATUS=MR","SCALING_FORMAT=MLN","Sort=A","Dates=H","DateFormat=P","Fill=—","Direction=H","UseDPDF=Y")</f>
        <v>—</v>
      </c>
      <c r="E65" s="13">
        <f>_xll.BDH("NBIX US Equity","IS_DEPR_EXP","FQ4 2019","FQ4 2019","Currency=USD","Period=FQ","BEST_FPERIOD_OVERRIDE=FQ","FILING_STATUS=MR","SCALING_FORMAT=MLN","Sort=A","Dates=H","DateFormat=P","Fill=—","Direction=H","UseDPDF=Y")</f>
        <v>2.0390000000000001</v>
      </c>
      <c r="F65" s="13">
        <f>_xll.BDH("NBIX US Equity","IS_DEPR_EXP","FQ1 2020","FQ1 2020","Currency=USD","Period=FQ","BEST_FPERIOD_OVERRIDE=FQ","FILING_STATUS=MR","SCALING_FORMAT=MLN","Sort=A","Dates=H","DateFormat=P","Fill=—","Direction=H","UseDPDF=Y")</f>
        <v>2.1</v>
      </c>
      <c r="G65" s="13">
        <f>_xll.BDH("NBIX US Equity","IS_DEPR_EXP","FQ2 2020","FQ2 2020","Currency=USD","Period=FQ","BEST_FPERIOD_OVERRIDE=FQ","FILING_STATUS=MR","SCALING_FORMAT=MLN","Sort=A","Dates=H","DateFormat=P","Fill=—","Direction=H","UseDPDF=Y")</f>
        <v>2.1</v>
      </c>
      <c r="H65" s="13">
        <f>_xll.BDH("NBIX US Equity","IS_DEPR_EXP","FQ3 2020","FQ3 2020","Currency=USD","Period=FQ","BEST_FPERIOD_OVERRIDE=FQ","FILING_STATUS=MR","SCALING_FORMAT=MLN","Sort=A","Dates=H","DateFormat=P","Fill=—","Direction=H","UseDPDF=Y")</f>
        <v>2.2000000000000002</v>
      </c>
      <c r="I65" s="13">
        <f>_xll.BDH("NBIX US Equity","IS_DEPR_EXP","FQ4 2020","FQ4 2020","Currency=USD","Period=FQ","BEST_FPERIOD_OVERRIDE=FQ","FILING_STATUS=MR","SCALING_FORMAT=MLN","Sort=A","Dates=H","DateFormat=P","Fill=—","Direction=H","UseDPDF=Y")</f>
        <v>2.2000000000000002</v>
      </c>
      <c r="J65" s="13">
        <f>_xll.BDH("NBIX US Equity","IS_DEPR_EXP","FQ1 2021","FQ1 2021","Currency=USD","Period=FQ","BEST_FPERIOD_OVERRIDE=FQ","FILING_STATUS=MR","SCALING_FORMAT=MLN","Sort=A","Dates=H","DateFormat=P","Fill=—","Direction=H","UseDPDF=Y")</f>
        <v>2.5</v>
      </c>
      <c r="K65" s="13">
        <f>_xll.BDH("NBIX US Equity","IS_DEPR_EXP","FQ2 2021","FQ2 2021","Currency=USD","Period=FQ","BEST_FPERIOD_OVERRIDE=FQ","FILING_STATUS=MR","SCALING_FORMAT=MLN","Sort=A","Dates=H","DateFormat=P","Fill=—","Direction=H","UseDPDF=Y")</f>
        <v>2.6</v>
      </c>
      <c r="L65" s="13">
        <f>_xll.BDH("NBIX US Equity","IS_DEPR_EXP","FQ3 2021","FQ3 2021","Currency=USD","Period=FQ","BEST_FPERIOD_OVERRIDE=FQ","FILING_STATUS=MR","SCALING_FORMAT=MLN","Sort=A","Dates=H","DateFormat=P","Fill=—","Direction=H","UseDPDF=Y")</f>
        <v>2.8</v>
      </c>
      <c r="M65" s="13">
        <f>_xll.BDH("NBIX US Equity","IS_DEPR_EXP","FQ4 2021","FQ4 2021","Currency=USD","Period=FQ","BEST_FPERIOD_OVERRIDE=FQ","FILING_STATUS=MR","SCALING_FORMAT=MLN","Sort=A","Dates=H","DateFormat=P","Fill=—","Direction=H","UseDPDF=Y")</f>
        <v>3</v>
      </c>
      <c r="N65" s="13">
        <f>_xll.BDH("NBIX US Equity","IS_DEPR_EXP","FQ1 2022","FQ1 2022","Currency=USD","Period=FQ","BEST_FPERIOD_OVERRIDE=FQ","FILING_STATUS=MR","SCALING_FORMAT=MLN","Sort=A","Dates=H","DateFormat=P","Fill=—","Direction=H","UseDPDF=Y")</f>
        <v>3.3</v>
      </c>
      <c r="O65" s="13">
        <f>_xll.BDH("NBIX US Equity","IS_DEPR_EXP","FQ2 2022","FQ2 2022","Currency=USD","Period=FQ","BEST_FPERIOD_OVERRIDE=FQ","FILING_STATUS=MR","SCALING_FORMAT=MLN","Sort=A","Dates=H","DateFormat=P","Fill=—","Direction=H","UseDPDF=Y")</f>
        <v>3.9</v>
      </c>
      <c r="P65" s="13">
        <f>_xll.BDH("NBIX US Equity","IS_DEPR_EXP","FQ3 2022","FQ3 2022","Currency=USD","Period=FQ","BEST_FPERIOD_OVERRIDE=FQ","FILING_STATUS=MR","SCALING_FORMAT=MLN","Sort=A","Dates=H","DateFormat=P","Fill=—","Direction=H","UseDPDF=Y")</f>
        <v>4</v>
      </c>
      <c r="Q65" s="13">
        <f>_xll.BDH("NBIX US Equity","IS_DEPR_EXP","FQ4 2022","FQ4 2022","Currency=USD","Period=FQ","BEST_FPERIOD_OVERRIDE=FQ","FILING_STATUS=MR","SCALING_FORMAT=MLN","Sort=A","Dates=H","DateFormat=P","Fill=—","Direction=H","UseDPDF=Y")</f>
        <v>3.9</v>
      </c>
      <c r="R65" s="13">
        <f>_xll.BDH("NBIX US Equity","IS_DEPR_EXP","FQ1 2023","FQ1 2023","Currency=USD","Period=FQ","BEST_FPERIOD_OVERRIDE=FQ","FILING_STATUS=MR","SCALING_FORMAT=MLN","Sort=A","Dates=H","DateFormat=P","Fill=—","Direction=H","UseDPDF=Y")</f>
        <v>4.0999999999999996</v>
      </c>
      <c r="S65" s="13">
        <f>_xll.BDH("NBIX US Equity","IS_DEPR_EXP","FQ2 2023","FQ2 2023","Currency=USD","Period=FQ","BEST_FPERIOD_OVERRIDE=FQ","FILING_STATUS=MR","SCALING_FORMAT=MLN","Sort=A","Dates=H","DateFormat=P","Fill=—","Direction=H","UseDPDF=Y")</f>
        <v>4.2</v>
      </c>
      <c r="T65" s="13">
        <f>_xll.BDH("NBIX US Equity","IS_DEPR_EXP","FQ3 2023","FQ3 2023","Currency=USD","Period=FQ","BEST_FPERIOD_OVERRIDE=FQ","FILING_STATUS=MR","SCALING_FORMAT=MLN","Sort=A","Dates=H","DateFormat=P","Fill=—","Direction=H","UseDPDF=Y")</f>
        <v>4.5999999999999996</v>
      </c>
      <c r="U65" s="13">
        <f>_xll.BDH("NBIX US Equity","IS_DEPR_EXP","FQ4 2023","FQ4 2023","Currency=USD","Period=FQ","BEST_FPERIOD_OVERRIDE=FQ","FILING_STATUS=MR","SCALING_FORMAT=MLN","Sort=A","Dates=H","DateFormat=P","Fill=—","Direction=H","UseDPDF=Y")</f>
        <v>4.9000000000000004</v>
      </c>
      <c r="V65" s="13">
        <f>_xll.BDH("NBIX US Equity","IS_DEPR_EXP","FQ1 2024","FQ1 2024","Currency=USD","Period=FQ","BEST_FPERIOD_OVERRIDE=FQ","FILING_STATUS=MR","SCALING_FORMAT=MLN","Sort=A","Dates=H","DateFormat=P","Fill=—","Direction=H","UseDPDF=Y")</f>
        <v>5.3</v>
      </c>
      <c r="W65" s="13">
        <f>_xll.BDH("NBIX US Equity","IS_DEPR_EXP","FQ2 2024","FQ2 2024","Currency=USD","Period=FQ","BEST_FPERIOD_OVERRIDE=FQ","FILING_STATUS=MR","SCALING_FORMAT=MLN","Sort=A","Dates=H","DateFormat=P","Fill=—","Direction=H","UseDPDF=Y")</f>
        <v>6.4</v>
      </c>
      <c r="X65" s="13">
        <f>_xll.BDH("NBIX US Equity","IS_DEPR_EXP","FQ3 2024","FQ3 2024","Currency=USD","Period=FQ","BEST_FPERIOD_OVERRIDE=FQ","FILING_STATUS=MR","SCALING_FORMAT=MLN","Sort=A","Dates=H","DateFormat=P","Fill=—","Direction=H","UseDPDF=Y")</f>
        <v>5.6</v>
      </c>
      <c r="Y65" s="13">
        <f>_xll.BDH("NBIX US Equity","IS_DEPR_EXP","FQ4 2024","FQ4 2024","Currency=USD","Period=FQ","BEST_FPERIOD_OVERRIDE=FQ","FILING_STATUS=MR","SCALING_FORMAT=MLN","Sort=A","Dates=H","DateFormat=P","Fill=—","Direction=H","UseDPDF=Y")</f>
        <v>6.2</v>
      </c>
      <c r="Z65" s="13"/>
      <c r="AA65" s="13"/>
    </row>
    <row r="66" spans="1:27" x14ac:dyDescent="0.25">
      <c r="A66" s="10" t="s">
        <v>411</v>
      </c>
      <c r="B66" s="10" t="s">
        <v>412</v>
      </c>
      <c r="C66" s="13">
        <f>_xll.BDH("NBIX US Equity","BS_CURR_RENTAL_EXPENSE","FQ2 2019","FQ2 2019","Currency=USD","Period=FQ","BEST_FPERIOD_OVERRIDE=FQ","FILING_STATUS=MR","SCALING_FORMAT=MLN","Sort=A","Dates=H","DateFormat=P","Fill=—","Direction=H","UseDPDF=Y")</f>
        <v>2</v>
      </c>
      <c r="D66" s="13">
        <f>_xll.BDH("NBIX US Equity","BS_CURR_RENTAL_EXPENSE","FQ3 2019","FQ3 2019","Currency=USD","Period=FQ","BEST_FPERIOD_OVERRIDE=FQ","FILING_STATUS=MR","SCALING_FORMAT=MLN","Sort=A","Dates=H","DateFormat=P","Fill=—","Direction=H","UseDPDF=Y")</f>
        <v>2</v>
      </c>
      <c r="E66" s="13">
        <f>_xll.BDH("NBIX US Equity","BS_CURR_RENTAL_EXPENSE","FQ4 2019","FQ4 2019","Currency=USD","Period=FQ","BEST_FPERIOD_OVERRIDE=FQ","FILING_STATUS=MR","SCALING_FORMAT=MLN","Sort=A","Dates=H","DateFormat=P","Fill=—","Direction=H","UseDPDF=Y")</f>
        <v>2.2000000000000002</v>
      </c>
      <c r="F66" s="13">
        <f>_xll.BDH("NBIX US Equity","BS_CURR_RENTAL_EXPENSE","FQ1 2020","FQ1 2020","Currency=USD","Period=FQ","BEST_FPERIOD_OVERRIDE=FQ","FILING_STATUS=MR","SCALING_FORMAT=MLN","Sort=A","Dates=H","DateFormat=P","Fill=—","Direction=H","UseDPDF=Y")</f>
        <v>2.5</v>
      </c>
      <c r="G66" s="13">
        <f>_xll.BDH("NBIX US Equity","BS_CURR_RENTAL_EXPENSE","FQ2 2020","FQ2 2020","Currency=USD","Period=FQ","BEST_FPERIOD_OVERRIDE=FQ","FILING_STATUS=MR","SCALING_FORMAT=MLN","Sort=A","Dates=H","DateFormat=P","Fill=—","Direction=H","UseDPDF=Y")</f>
        <v>2.5</v>
      </c>
      <c r="H66" s="13">
        <f>_xll.BDH("NBIX US Equity","BS_CURR_RENTAL_EXPENSE","FQ3 2020","FQ3 2020","Currency=USD","Period=FQ","BEST_FPERIOD_OVERRIDE=FQ","FILING_STATUS=MR","SCALING_FORMAT=MLN","Sort=A","Dates=H","DateFormat=P","Fill=—","Direction=H","UseDPDF=Y")</f>
        <v>2.4</v>
      </c>
      <c r="I66" s="13">
        <f>_xll.BDH("NBIX US Equity","BS_CURR_RENTAL_EXPENSE","FQ4 2020","FQ4 2020","Currency=USD","Period=FQ","BEST_FPERIOD_OVERRIDE=FQ","FILING_STATUS=MR","SCALING_FORMAT=MLN","Sort=A","Dates=H","DateFormat=P","Fill=—","Direction=H","UseDPDF=Y")</f>
        <v>2.7</v>
      </c>
      <c r="J66" s="13">
        <f>_xll.BDH("NBIX US Equity","BS_CURR_RENTAL_EXPENSE","FQ1 2021","FQ1 2021","Currency=USD","Period=FQ","BEST_FPERIOD_OVERRIDE=FQ","FILING_STATUS=MR","SCALING_FORMAT=MLN","Sort=A","Dates=H","DateFormat=P","Fill=—","Direction=H","UseDPDF=Y")</f>
        <v>3.4</v>
      </c>
      <c r="K66" s="13">
        <f>_xll.BDH("NBIX US Equity","BS_CURR_RENTAL_EXPENSE","FQ2 2021","FQ2 2021","Currency=USD","Period=FQ","BEST_FPERIOD_OVERRIDE=FQ","FILING_STATUS=MR","SCALING_FORMAT=MLN","Sort=A","Dates=H","DateFormat=P","Fill=—","Direction=H","UseDPDF=Y")</f>
        <v>3.9</v>
      </c>
      <c r="L66" s="13">
        <f>_xll.BDH("NBIX US Equity","BS_CURR_RENTAL_EXPENSE","FQ3 2021","FQ3 2021","Currency=USD","Period=FQ","BEST_FPERIOD_OVERRIDE=FQ","FILING_STATUS=MR","SCALING_FORMAT=MLN","Sort=A","Dates=H","DateFormat=P","Fill=—","Direction=H","UseDPDF=Y")</f>
        <v>3.9</v>
      </c>
      <c r="M66" s="13">
        <f>_xll.BDH("NBIX US Equity","BS_CURR_RENTAL_EXPENSE","FQ4 2021","FQ4 2021","Currency=USD","Period=FQ","BEST_FPERIOD_OVERRIDE=FQ","FILING_STATUS=MR","SCALING_FORMAT=MLN","Sort=A","Dates=H","DateFormat=P","Fill=—","Direction=H","UseDPDF=Y")</f>
        <v>4.0999999999999996</v>
      </c>
      <c r="N66" s="13">
        <f>_xll.BDH("NBIX US Equity","BS_CURR_RENTAL_EXPENSE","FQ1 2022","FQ1 2022","Currency=USD","Period=FQ","BEST_FPERIOD_OVERRIDE=FQ","FILING_STATUS=MR","SCALING_FORMAT=MLN","Sort=A","Dates=H","DateFormat=P","Fill=—","Direction=H","UseDPDF=Y")</f>
        <v>4.0999999999999996</v>
      </c>
      <c r="O66" s="13">
        <f>_xll.BDH("NBIX US Equity","BS_CURR_RENTAL_EXPENSE","FQ2 2022","FQ2 2022","Currency=USD","Period=FQ","BEST_FPERIOD_OVERRIDE=FQ","FILING_STATUS=MR","SCALING_FORMAT=MLN","Sort=A","Dates=H","DateFormat=P","Fill=—","Direction=H","UseDPDF=Y")</f>
        <v>4.0999999999999996</v>
      </c>
      <c r="P66" s="13">
        <f>_xll.BDH("NBIX US Equity","BS_CURR_RENTAL_EXPENSE","FQ3 2022","FQ3 2022","Currency=USD","Period=FQ","BEST_FPERIOD_OVERRIDE=FQ","FILING_STATUS=MR","SCALING_FORMAT=MLN","Sort=A","Dates=H","DateFormat=P","Fill=—","Direction=H","UseDPDF=Y")</f>
        <v>4.3</v>
      </c>
      <c r="Q66" s="13">
        <f>_xll.BDH("NBIX US Equity","BS_CURR_RENTAL_EXPENSE","FQ4 2022","FQ4 2022","Currency=USD","Period=FQ","BEST_FPERIOD_OVERRIDE=FQ","FILING_STATUS=MR","SCALING_FORMAT=MLN","Sort=A","Dates=H","DateFormat=P","Fill=—","Direction=H","UseDPDF=Y")</f>
        <v>3.8</v>
      </c>
      <c r="R66" s="13">
        <f>_xll.BDH("NBIX US Equity","BS_CURR_RENTAL_EXPENSE","FQ1 2023","FQ1 2023","Currency=USD","Period=FQ","BEST_FPERIOD_OVERRIDE=FQ","FILING_STATUS=MR","SCALING_FORMAT=MLN","Sort=A","Dates=H","DateFormat=P","Fill=—","Direction=H","UseDPDF=Y")</f>
        <v>4.0999999999999996</v>
      </c>
      <c r="S66" s="13">
        <f>_xll.BDH("NBIX US Equity","BS_CURR_RENTAL_EXPENSE","FQ2 2023","FQ2 2023","Currency=USD","Period=FQ","BEST_FPERIOD_OVERRIDE=FQ","FILING_STATUS=MR","SCALING_FORMAT=MLN","Sort=A","Dates=H","DateFormat=P","Fill=—","Direction=H","UseDPDF=Y")</f>
        <v>4.0999999999999996</v>
      </c>
      <c r="T66" s="13">
        <f>_xll.BDH("NBIX US Equity","BS_CURR_RENTAL_EXPENSE","FQ3 2023","FQ3 2023","Currency=USD","Period=FQ","BEST_FPERIOD_OVERRIDE=FQ","FILING_STATUS=MR","SCALING_FORMAT=MLN","Sort=A","Dates=H","DateFormat=P","Fill=—","Direction=H","UseDPDF=Y")</f>
        <v>3.8</v>
      </c>
      <c r="U66" s="13">
        <f>_xll.BDH("NBIX US Equity","BS_CURR_RENTAL_EXPENSE","FQ4 2023","FQ4 2023","Currency=USD","Period=FQ","BEST_FPERIOD_OVERRIDE=FQ","FILING_STATUS=MR","SCALING_FORMAT=MLN","Sort=A","Dates=H","DateFormat=P","Fill=—","Direction=H","UseDPDF=Y")</f>
        <v>4.4000000000000004</v>
      </c>
      <c r="V66" s="13">
        <f>_xll.BDH("NBIX US Equity","BS_CURR_RENTAL_EXPENSE","FQ1 2024","FQ1 2024","Currency=USD","Period=FQ","BEST_FPERIOD_OVERRIDE=FQ","FILING_STATUS=MR","SCALING_FORMAT=MLN","Sort=A","Dates=H","DateFormat=P","Fill=—","Direction=H","UseDPDF=Y")</f>
        <v>9</v>
      </c>
      <c r="W66" s="13">
        <f>_xll.BDH("NBIX US Equity","BS_CURR_RENTAL_EXPENSE","FQ2 2024","FQ2 2024","Currency=USD","Period=FQ","BEST_FPERIOD_OVERRIDE=FQ","FILING_STATUS=MR","SCALING_FORMAT=MLN","Sort=A","Dates=H","DateFormat=P","Fill=—","Direction=H","UseDPDF=Y")</f>
        <v>9.1999999999999993</v>
      </c>
      <c r="X66" s="13">
        <f>_xll.BDH("NBIX US Equity","BS_CURR_RENTAL_EXPENSE","FQ3 2024","FQ3 2024","Currency=USD","Period=FQ","BEST_FPERIOD_OVERRIDE=FQ","FILING_STATUS=MR","SCALING_FORMAT=MLN","Sort=A","Dates=H","DateFormat=P","Fill=—","Direction=H","UseDPDF=Y")</f>
        <v>8.8000000000000007</v>
      </c>
      <c r="Y66" s="13">
        <f>_xll.BDH("NBIX US Equity","BS_CURR_RENTAL_EXPENSE","FQ4 2024","FQ4 2024","Currency=USD","Period=FQ","BEST_FPERIOD_OVERRIDE=FQ","FILING_STATUS=MR","SCALING_FORMAT=MLN","Sort=A","Dates=H","DateFormat=P","Fill=—","Direction=H","UseDPDF=Y")</f>
        <v>15</v>
      </c>
      <c r="Z66" s="13"/>
      <c r="AA66" s="13"/>
    </row>
    <row r="67" spans="1:27" x14ac:dyDescent="0.25">
      <c r="A67" s="7" t="s">
        <v>90</v>
      </c>
      <c r="B67" s="7"/>
      <c r="C67" s="7" t="s">
        <v>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420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421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422</v>
      </c>
      <c r="B8" s="10" t="s">
        <v>423</v>
      </c>
      <c r="C8" s="13">
        <f>_xll.BDH("NBIX US Equity","ARD_REVENUES","FQ4 2018","FQ4 2018","Currency=USD","Period=FQ","BEST_FPERIOD_OVERRIDE=FQ","FILING_STATUS=MR","SCALING_FORMAT=MLN","Sort=A","Dates=H","DateFormat=P","Fill=—","Direction=H","UseDPDF=Y")</f>
        <v>130.32599999999999</v>
      </c>
      <c r="D8" s="13">
        <f>_xll.BDH("NBIX US Equity","ARD_REVENUES","FQ1 2019","FQ1 2019","Currency=USD","Period=FQ","BEST_FPERIOD_OVERRIDE=FQ","FILING_STATUS=MR","SCALING_FORMAT=MLN","Sort=A","Dates=H","DateFormat=P","Fill=—","Direction=H","UseDPDF=Y")</f>
        <v>136.43100000000001</v>
      </c>
      <c r="E8" s="13">
        <f>_xll.BDH("NBIX US Equity","ARD_REVENUES","FQ2 2019","FQ2 2019","Currency=USD","Period=FQ","BEST_FPERIOD_OVERRIDE=FQ","FILING_STATUS=MR","SCALING_FORMAT=MLN","Sort=A","Dates=H","DateFormat=P","Fill=—","Direction=H","UseDPDF=Y")</f>
        <v>180.54400000000001</v>
      </c>
      <c r="F8" s="13" t="str">
        <f>_xll.BDH("NBIX US Equity","ARD_REVENUES","FQ3 2019","FQ3 2019","Currency=USD","Period=FQ","BEST_FPERIOD_OVERRIDE=FQ","FILING_STATUS=MR","SCALING_FORMAT=MLN","Sort=A","Dates=H","DateFormat=P","Fill=—","Direction=H","UseDPDF=Y")</f>
        <v>—</v>
      </c>
      <c r="G8" s="13" t="str">
        <f>_xll.BDH("NBIX US Equity","ARD_REVENUES","FQ4 2019","FQ4 2019","Currency=USD","Period=FQ","BEST_FPERIOD_OVERRIDE=FQ","FILING_STATUS=MR","SCALING_FORMAT=MLN","Sort=A","Dates=H","DateFormat=P","Fill=—","Direction=H","UseDPDF=Y")</f>
        <v>—</v>
      </c>
      <c r="H8" s="13">
        <f>_xll.BDH("NBIX US Equity","ARD_REVENUES","FQ1 2020","FQ1 2020","Currency=USD","Period=FQ","BEST_FPERIOD_OVERRIDE=FQ","FILING_STATUS=MR","SCALING_FORMAT=MLN","Sort=A","Dates=H","DateFormat=P","Fill=—","Direction=H","UseDPDF=Y")</f>
        <v>231.1</v>
      </c>
      <c r="I8" s="13" t="str">
        <f>_xll.BDH("NBIX US Equity","ARD_REVENUES","FQ2 2020","FQ2 2020","Currency=USD","Period=FQ","BEST_FPERIOD_OVERRIDE=FQ","FILING_STATUS=MR","SCALING_FORMAT=MLN","Sort=A","Dates=H","DateFormat=P","Fill=—","Direction=H","UseDPDF=Y")</f>
        <v>—</v>
      </c>
      <c r="J8" s="13" t="str">
        <f>_xll.BDH("NBIX US Equity","ARD_REVENUES","FQ3 2020","FQ3 2020","Currency=USD","Period=FQ","BEST_FPERIOD_OVERRIDE=FQ","FILING_STATUS=MR","SCALING_FORMAT=MLN","Sort=A","Dates=H","DateFormat=P","Fill=—","Direction=H","UseDPDF=Y")</f>
        <v>—</v>
      </c>
      <c r="K8" s="13" t="str">
        <f>_xll.BDH("NBIX US Equity","ARD_REVENUES","FQ4 2020","FQ4 2020","Currency=USD","Period=FQ","BEST_FPERIOD_OVERRIDE=FQ","FILING_STATUS=MR","SCALING_FORMAT=MLN","Sort=A","Dates=H","DateFormat=P","Fill=—","Direction=H","UseDPDF=Y")</f>
        <v>—</v>
      </c>
      <c r="L8" s="13">
        <f>_xll.BDH("NBIX US Equity","ARD_REVENUES","FQ1 2021","FQ1 2021","Currency=USD","Period=FQ","BEST_FPERIOD_OVERRIDE=FQ","FILING_STATUS=MR","SCALING_FORMAT=MLN","Sort=A","Dates=H","DateFormat=P","Fill=—","Direction=H","UseDPDF=Y")</f>
        <v>231</v>
      </c>
      <c r="M8" s="13" t="str">
        <f>_xll.BDH("NBIX US Equity","ARD_REVENUES","FQ2 2021","FQ2 2021","Currency=USD","Period=FQ","BEST_FPERIOD_OVERRIDE=FQ","FILING_STATUS=MR","SCALING_FORMAT=MLN","Sort=A","Dates=H","DateFormat=P","Fill=—","Direction=H","UseDPDF=Y")</f>
        <v>—</v>
      </c>
      <c r="N8" s="13" t="str">
        <f>_xll.BDH("NBIX US Equity","ARD_REVENUES","FQ3 2021","FQ3 2021","Currency=USD","Period=FQ","BEST_FPERIOD_OVERRIDE=FQ","FILING_STATUS=MR","SCALING_FORMAT=MLN","Sort=A","Dates=H","DateFormat=P","Fill=—","Direction=H","UseDPDF=Y")</f>
        <v>—</v>
      </c>
      <c r="O8" s="13" t="str">
        <f>_xll.BDH("NBIX US Equity","ARD_REVENUES","FQ4 2021","FQ4 2021","Currency=USD","Period=FQ","BEST_FPERIOD_OVERRIDE=FQ","FILING_STATUS=MR","SCALING_FORMAT=MLN","Sort=A","Dates=H","DateFormat=P","Fill=—","Direction=H","UseDPDF=Y")</f>
        <v>—</v>
      </c>
      <c r="P8" s="13" t="str">
        <f>_xll.BDH("NBIX US Equity","ARD_REVENUES","FQ1 2022","FQ1 2022","Currency=USD","Period=FQ","BEST_FPERIOD_OVERRIDE=FQ","FILING_STATUS=MR","SCALING_FORMAT=MLN","Sort=A","Dates=H","DateFormat=P","Fill=—","Direction=H","UseDPDF=Y")</f>
        <v>—</v>
      </c>
      <c r="Q8" s="13" t="str">
        <f>_xll.BDH("NBIX US Equity","ARD_REVENUES","FQ2 2022","FQ2 2022","Currency=USD","Period=FQ","BEST_FPERIOD_OVERRIDE=FQ","FILING_STATUS=MR","SCALING_FORMAT=MLN","Sort=A","Dates=H","DateFormat=P","Fill=—","Direction=H","UseDPDF=Y")</f>
        <v>—</v>
      </c>
      <c r="R8" s="13" t="str">
        <f>_xll.BDH("NBIX US Equity","ARD_REVENUES","FQ3 2022","FQ3 2022","Currency=USD","Period=FQ","BEST_FPERIOD_OVERRIDE=FQ","FILING_STATUS=MR","SCALING_FORMAT=MLN","Sort=A","Dates=H","DateFormat=P","Fill=—","Direction=H","UseDPDF=Y")</f>
        <v>—</v>
      </c>
      <c r="S8" s="13" t="str">
        <f>_xll.BDH("NBIX US Equity","ARD_REVENUES","FQ4 2022","FQ4 2022","Currency=USD","Period=FQ","BEST_FPERIOD_OVERRIDE=FQ","FILING_STATUS=MR","SCALING_FORMAT=MLN","Sort=A","Dates=H","DateFormat=P","Fill=—","Direction=H","UseDPDF=Y")</f>
        <v>—</v>
      </c>
      <c r="T8" s="13" t="str">
        <f>_xll.BDH("NBIX US Equity","ARD_REVENUES","FQ1 2023","FQ1 2023","Currency=USD","Period=FQ","BEST_FPERIOD_OVERRIDE=FQ","FILING_STATUS=MR","SCALING_FORMAT=MLN","Sort=A","Dates=H","DateFormat=P","Fill=—","Direction=H","UseDPDF=Y")</f>
        <v>—</v>
      </c>
      <c r="U8" s="13" t="str">
        <f>_xll.BDH("NBIX US Equity","ARD_REVENUES","FQ2 2023","FQ2 2023","Currency=USD","Period=FQ","BEST_FPERIOD_OVERRIDE=FQ","FILING_STATUS=MR","SCALING_FORMAT=MLN","Sort=A","Dates=H","DateFormat=P","Fill=—","Direction=H","UseDPDF=Y")</f>
        <v>—</v>
      </c>
      <c r="V8" s="13" t="str">
        <f>_xll.BDH("NBIX US Equity","ARD_REVENUES","FQ3 2023","FQ3 2023","Currency=USD","Period=FQ","BEST_FPERIOD_OVERRIDE=FQ","FILING_STATUS=MR","SCALING_FORMAT=MLN","Sort=A","Dates=H","DateFormat=P","Fill=—","Direction=H","UseDPDF=Y")</f>
        <v>—</v>
      </c>
      <c r="W8" s="13" t="str">
        <f>_xll.BDH("NBIX US Equity","ARD_REVENUES","FQ4 2023","FQ4 2023","Currency=USD","Period=FQ","BEST_FPERIOD_OVERRIDE=FQ","FILING_STATUS=MR","SCALING_FORMAT=MLN","Sort=A","Dates=H","DateFormat=P","Fill=—","Direction=H","UseDPDF=Y")</f>
        <v>—</v>
      </c>
      <c r="X8" s="13" t="str">
        <f>_xll.BDH("NBIX US Equity","ARD_REVENUES","FQ1 2024","FQ1 2024","Currency=USD","Period=FQ","BEST_FPERIOD_OVERRIDE=FQ","FILING_STATUS=MR","SCALING_FORMAT=MLN","Sort=A","Dates=H","DateFormat=P","Fill=—","Direction=H","UseDPDF=Y")</f>
        <v>—</v>
      </c>
      <c r="Y8" s="13" t="str">
        <f>_xll.BDH("NBIX US Equity","ARD_REVENUES","FQ2 2024","FQ2 2024","Currency=USD","Period=FQ","BEST_FPERIOD_OVERRIDE=FQ","FILING_STATUS=MR","SCALING_FORMAT=MLN","Sort=A","Dates=H","DateFormat=P","Fill=—","Direction=H","UseDPDF=Y")</f>
        <v>—</v>
      </c>
      <c r="Z8" s="13" t="str">
        <f>_xll.BDH("NBIX US Equity","ARD_REVENUES","FQ3 2024","FQ3 2024","Currency=USD","Period=FQ","BEST_FPERIOD_OVERRIDE=FQ","FILING_STATUS=MR","SCALING_FORMAT=MLN","Sort=A","Dates=H","DateFormat=P","Fill=—","Direction=H","UseDPDF=Y")</f>
        <v>—</v>
      </c>
      <c r="AA8" s="13" t="str">
        <f>_xll.BDH("NBIX US Equity","ARD_REVENUES","FQ4 2024","FQ4 2024","Currency=USD","Period=FQ","BEST_FPERIOD_OVERRIDE=FQ","FILING_STATUS=MR","SCALING_FORMAT=MLN","Sort=A","Dates=H","DateFormat=P","Fill=—","Direction=H","UseDPDF=Y")</f>
        <v>—</v>
      </c>
    </row>
    <row r="9" spans="1:27" x14ac:dyDescent="0.25">
      <c r="A9" s="10" t="s">
        <v>424</v>
      </c>
      <c r="B9" s="10" t="s">
        <v>425</v>
      </c>
      <c r="C9" s="13" t="str">
        <f>_xll.BDH("NBIX US Equity","ARD_OTHER_REV","FQ4 2018","FQ4 2018","Currency=USD","Period=FQ","BEST_FPERIOD_OVERRIDE=FQ","FILING_STATUS=MR","SCALING_FORMAT=MLN","Sort=A","Dates=H","DateFormat=P","Fill=—","Direction=H","UseDPDF=Y")</f>
        <v>—</v>
      </c>
      <c r="D9" s="13" t="str">
        <f>_xll.BDH("NBIX US Equity","ARD_OTHER_REV","FQ1 2019","FQ1 2019","Currency=USD","Period=FQ","BEST_FPERIOD_OVERRIDE=FQ","FILING_STATUS=MR","SCALING_FORMAT=MLN","Sort=A","Dates=H","DateFormat=P","Fill=—","Direction=H","UseDPDF=Y")</f>
        <v>—</v>
      </c>
      <c r="E9" s="13">
        <f>_xll.BDH("NBIX US Equity","ARD_OTHER_REV","FQ2 2019","FQ2 2019","Currency=USD","Period=FQ","BEST_FPERIOD_OVERRIDE=FQ","FILING_STATUS=MR","SCALING_FORMAT=MLN","Sort=A","Dates=H","DateFormat=P","Fill=—","Direction=H","UseDPDF=Y")</f>
        <v>3.036</v>
      </c>
      <c r="F9" s="13" t="str">
        <f>_xll.BDH("NBIX US Equity","ARD_OTHER_REV","FQ3 2019","FQ3 2019","Currency=USD","Period=FQ","BEST_FPERIOD_OVERRIDE=FQ","FILING_STATUS=MR","SCALING_FORMAT=MLN","Sort=A","Dates=H","DateFormat=P","Fill=—","Direction=H","UseDPDF=Y")</f>
        <v>—</v>
      </c>
      <c r="G9" s="13" t="str">
        <f>_xll.BDH("NBIX US Equity","ARD_OTHER_REV","FQ4 2019","FQ4 2019","Currency=USD","Period=FQ","BEST_FPERIOD_OVERRIDE=FQ","FILING_STATUS=MR","SCALING_FORMAT=MLN","Sort=A","Dates=H","DateFormat=P","Fill=—","Direction=H","UseDPDF=Y")</f>
        <v>—</v>
      </c>
      <c r="H9" s="13" t="str">
        <f>_xll.BDH("NBIX US Equity","ARD_OTHER_REV","FQ1 2020","FQ1 2020","Currency=USD","Period=FQ","BEST_FPERIOD_OVERRIDE=FQ","FILING_STATUS=MR","SCALING_FORMAT=MLN","Sort=A","Dates=H","DateFormat=P","Fill=—","Direction=H","UseDPDF=Y")</f>
        <v>—</v>
      </c>
      <c r="I9" s="13" t="str">
        <f>_xll.BDH("NBIX US Equity","ARD_OTHER_REV","FQ2 2020","FQ2 2020","Currency=USD","Period=FQ","BEST_FPERIOD_OVERRIDE=FQ","FILING_STATUS=MR","SCALING_FORMAT=MLN","Sort=A","Dates=H","DateFormat=P","Fill=—","Direction=H","UseDPDF=Y")</f>
        <v>—</v>
      </c>
      <c r="J9" s="13" t="str">
        <f>_xll.BDH("NBIX US Equity","ARD_OTHER_REV","FQ3 2020","FQ3 2020","Currency=USD","Period=FQ","BEST_FPERIOD_OVERRIDE=FQ","FILING_STATUS=MR","SCALING_FORMAT=MLN","Sort=A","Dates=H","DateFormat=P","Fill=—","Direction=H","UseDPDF=Y")</f>
        <v>—</v>
      </c>
      <c r="K9" s="13" t="str">
        <f>_xll.BDH("NBIX US Equity","ARD_OTHER_REV","FQ4 2020","FQ4 2020","Currency=USD","Period=FQ","BEST_FPERIOD_OVERRIDE=FQ","FILING_STATUS=MR","SCALING_FORMAT=MLN","Sort=A","Dates=H","DateFormat=P","Fill=—","Direction=H","UseDPDF=Y")</f>
        <v>—</v>
      </c>
      <c r="L9" s="13" t="str">
        <f>_xll.BDH("NBIX US Equity","ARD_OTHER_REV","FQ1 2021","FQ1 2021","Currency=USD","Period=FQ","BEST_FPERIOD_OVERRIDE=FQ","FILING_STATUS=MR","SCALING_FORMAT=MLN","Sort=A","Dates=H","DateFormat=P","Fill=—","Direction=H","UseDPDF=Y")</f>
        <v>—</v>
      </c>
      <c r="M9" s="13" t="str">
        <f>_xll.BDH("NBIX US Equity","ARD_OTHER_REV","FQ2 2021","FQ2 2021","Currency=USD","Period=FQ","BEST_FPERIOD_OVERRIDE=FQ","FILING_STATUS=MR","SCALING_FORMAT=MLN","Sort=A","Dates=H","DateFormat=P","Fill=—","Direction=H","UseDPDF=Y")</f>
        <v>—</v>
      </c>
      <c r="N9" s="13" t="str">
        <f>_xll.BDH("NBIX US Equity","ARD_OTHER_REV","FQ3 2021","FQ3 2021","Currency=USD","Period=FQ","BEST_FPERIOD_OVERRIDE=FQ","FILING_STATUS=MR","SCALING_FORMAT=MLN","Sort=A","Dates=H","DateFormat=P","Fill=—","Direction=H","UseDPDF=Y")</f>
        <v>—</v>
      </c>
      <c r="O9" s="13" t="str">
        <f>_xll.BDH("NBIX US Equity","ARD_OTHER_REV","FQ4 2021","FQ4 2021","Currency=USD","Period=FQ","BEST_FPERIOD_OVERRIDE=FQ","FILING_STATUS=MR","SCALING_FORMAT=MLN","Sort=A","Dates=H","DateFormat=P","Fill=—","Direction=H","UseDPDF=Y")</f>
        <v>—</v>
      </c>
      <c r="P9" s="13" t="str">
        <f>_xll.BDH("NBIX US Equity","ARD_OTHER_REV","FQ1 2022","FQ1 2022","Currency=USD","Period=FQ","BEST_FPERIOD_OVERRIDE=FQ","FILING_STATUS=MR","SCALING_FORMAT=MLN","Sort=A","Dates=H","DateFormat=P","Fill=—","Direction=H","UseDPDF=Y")</f>
        <v>—</v>
      </c>
      <c r="Q9" s="13" t="str">
        <f>_xll.BDH("NBIX US Equity","ARD_OTHER_REV","FQ2 2022","FQ2 2022","Currency=USD","Period=FQ","BEST_FPERIOD_OVERRIDE=FQ","FILING_STATUS=MR","SCALING_FORMAT=MLN","Sort=A","Dates=H","DateFormat=P","Fill=—","Direction=H","UseDPDF=Y")</f>
        <v>—</v>
      </c>
      <c r="R9" s="13" t="str">
        <f>_xll.BDH("NBIX US Equity","ARD_OTHER_REV","FQ3 2022","FQ3 2022","Currency=USD","Period=FQ","BEST_FPERIOD_OVERRIDE=FQ","FILING_STATUS=MR","SCALING_FORMAT=MLN","Sort=A","Dates=H","DateFormat=P","Fill=—","Direction=H","UseDPDF=Y")</f>
        <v>—</v>
      </c>
      <c r="S9" s="13" t="str">
        <f>_xll.BDH("NBIX US Equity","ARD_OTHER_REV","FQ4 2022","FQ4 2022","Currency=USD","Period=FQ","BEST_FPERIOD_OVERRIDE=FQ","FILING_STATUS=MR","SCALING_FORMAT=MLN","Sort=A","Dates=H","DateFormat=P","Fill=—","Direction=H","UseDPDF=Y")</f>
        <v>—</v>
      </c>
      <c r="T9" s="13" t="str">
        <f>_xll.BDH("NBIX US Equity","ARD_OTHER_REV","FQ1 2023","FQ1 2023","Currency=USD","Period=FQ","BEST_FPERIOD_OVERRIDE=FQ","FILING_STATUS=MR","SCALING_FORMAT=MLN","Sort=A","Dates=H","DateFormat=P","Fill=—","Direction=H","UseDPDF=Y")</f>
        <v>—</v>
      </c>
      <c r="U9" s="13" t="str">
        <f>_xll.BDH("NBIX US Equity","ARD_OTHER_REV","FQ2 2023","FQ2 2023","Currency=USD","Period=FQ","BEST_FPERIOD_OVERRIDE=FQ","FILING_STATUS=MR","SCALING_FORMAT=MLN","Sort=A","Dates=H","DateFormat=P","Fill=—","Direction=H","UseDPDF=Y")</f>
        <v>—</v>
      </c>
      <c r="V9" s="13" t="str">
        <f>_xll.BDH("NBIX US Equity","ARD_OTHER_REV","FQ3 2023","FQ3 2023","Currency=USD","Period=FQ","BEST_FPERIOD_OVERRIDE=FQ","FILING_STATUS=MR","SCALING_FORMAT=MLN","Sort=A","Dates=H","DateFormat=P","Fill=—","Direction=H","UseDPDF=Y")</f>
        <v>—</v>
      </c>
      <c r="W9" s="13" t="str">
        <f>_xll.BDH("NBIX US Equity","ARD_OTHER_REV","FQ4 2023","FQ4 2023","Currency=USD","Period=FQ","BEST_FPERIOD_OVERRIDE=FQ","FILING_STATUS=MR","SCALING_FORMAT=MLN","Sort=A","Dates=H","DateFormat=P","Fill=—","Direction=H","UseDPDF=Y")</f>
        <v>—</v>
      </c>
      <c r="X9" s="13" t="str">
        <f>_xll.BDH("NBIX US Equity","ARD_OTHER_REV","FQ1 2024","FQ1 2024","Currency=USD","Period=FQ","BEST_FPERIOD_OVERRIDE=FQ","FILING_STATUS=MR","SCALING_FORMAT=MLN","Sort=A","Dates=H","DateFormat=P","Fill=—","Direction=H","UseDPDF=Y")</f>
        <v>—</v>
      </c>
      <c r="Y9" s="13" t="str">
        <f>_xll.BDH("NBIX US Equity","ARD_OTHER_REV","FQ2 2024","FQ2 2024","Currency=USD","Period=FQ","BEST_FPERIOD_OVERRIDE=FQ","FILING_STATUS=MR","SCALING_FORMAT=MLN","Sort=A","Dates=H","DateFormat=P","Fill=—","Direction=H","UseDPDF=Y")</f>
        <v>—</v>
      </c>
      <c r="Z9" s="13" t="str">
        <f>_xll.BDH("NBIX US Equity","ARD_OTHER_REV","FQ3 2024","FQ3 2024","Currency=USD","Period=FQ","BEST_FPERIOD_OVERRIDE=FQ","FILING_STATUS=MR","SCALING_FORMAT=MLN","Sort=A","Dates=H","DateFormat=P","Fill=—","Direction=H","UseDPDF=Y")</f>
        <v>—</v>
      </c>
      <c r="AA9" s="13" t="str">
        <f>_xll.BDH("NBIX US Equity","ARD_OTHER_REV","FQ4 2024","FQ4 2024","Currency=USD","Period=FQ","BEST_FPERIOD_OVERRIDE=FQ","FILING_STATUS=MR","SCALING_FORMAT=MLN","Sort=A","Dates=H","DateFormat=P","Fill=—","Direction=H","UseDPDF=Y")</f>
        <v>—</v>
      </c>
    </row>
    <row r="10" spans="1:27" x14ac:dyDescent="0.25">
      <c r="A10" s="10" t="s">
        <v>426</v>
      </c>
      <c r="B10" s="10" t="s">
        <v>427</v>
      </c>
      <c r="C10" s="13" t="str">
        <f>_xll.BDH("NBIX US Equity","ARD_PRODUCT_REVENUE","FQ4 2018","FQ4 2018","Currency=USD","Period=FQ","BEST_FPERIOD_OVERRIDE=FQ","FILING_STATUS=MR","SCALING_FORMAT=MLN","Sort=A","Dates=H","DateFormat=P","Fill=—","Direction=H","UseDPDF=Y")</f>
        <v>—</v>
      </c>
      <c r="D10" s="13" t="str">
        <f>_xll.BDH("NBIX US Equity","ARD_PRODUCT_REVENUE","FQ1 2019","FQ1 2019","Currency=USD","Period=FQ","BEST_FPERIOD_OVERRIDE=FQ","FILING_STATUS=MR","SCALING_FORMAT=MLN","Sort=A","Dates=H","DateFormat=P","Fill=—","Direction=H","UseDPDF=Y")</f>
        <v>—</v>
      </c>
      <c r="E10" s="13" t="str">
        <f>_xll.BDH("NBIX US Equity","ARD_PRODUCT_REVENUE","FQ2 2019","FQ2 2019","Currency=USD","Period=FQ","BEST_FPERIOD_OVERRIDE=FQ","FILING_STATUS=MR","SCALING_FORMAT=MLN","Sort=A","Dates=H","DateFormat=P","Fill=—","Direction=H","UseDPDF=Y")</f>
        <v>—</v>
      </c>
      <c r="F10" s="13">
        <f>_xll.BDH("NBIX US Equity","ARD_PRODUCT_REVENUE","FQ3 2019","FQ3 2019","Currency=USD","Period=FQ","BEST_FPERIOD_OVERRIDE=FQ","FILING_STATUS=MR","SCALING_FORMAT=MLN","Sort=A","Dates=H","DateFormat=P","Fill=—","Direction=H","UseDPDF=Y")</f>
        <v>198.09399999999999</v>
      </c>
      <c r="G10" s="13">
        <f>_xll.BDH("NBIX US Equity","ARD_PRODUCT_REVENUE","FQ4 2019","FQ4 2019","Currency=USD","Period=FQ","BEST_FPERIOD_OVERRIDE=FQ","FILING_STATUS=MR","SCALING_FORMAT=MLN","Sort=A","Dates=H","DateFormat=P","Fill=—","Direction=H","UseDPDF=Y")</f>
        <v>237.9</v>
      </c>
      <c r="H10" s="13" t="str">
        <f>_xll.BDH("NBIX US Equity","ARD_PRODUCT_REVENUE","FQ1 2020","FQ1 2020","Currency=USD","Period=FQ","BEST_FPERIOD_OVERRIDE=FQ","FILING_STATUS=MR","SCALING_FORMAT=MLN","Sort=A","Dates=H","DateFormat=P","Fill=—","Direction=H","UseDPDF=Y")</f>
        <v>—</v>
      </c>
      <c r="I10" s="13">
        <f>_xll.BDH("NBIX US Equity","ARD_PRODUCT_REVENUE","FQ2 2020","FQ2 2020","Currency=USD","Period=FQ","BEST_FPERIOD_OVERRIDE=FQ","FILING_STATUS=MR","SCALING_FORMAT=MLN","Sort=A","Dates=H","DateFormat=P","Fill=—","Direction=H","UseDPDF=Y")</f>
        <v>267.60000000000002</v>
      </c>
      <c r="J10" s="13">
        <f>_xll.BDH("NBIX US Equity","ARD_PRODUCT_REVENUE","FQ3 2020","FQ3 2020","Currency=USD","Period=FQ","BEST_FPERIOD_OVERRIDE=FQ","FILING_STATUS=MR","SCALING_FORMAT=MLN","Sort=A","Dates=H","DateFormat=P","Fill=—","Direction=H","UseDPDF=Y")</f>
        <v>254.1</v>
      </c>
      <c r="K10" s="13">
        <f>_xll.BDH("NBIX US Equity","ARD_PRODUCT_REVENUE","FQ4 2020","FQ4 2020","Currency=USD","Period=FQ","BEST_FPERIOD_OVERRIDE=FQ","FILING_STATUS=MR","SCALING_FORMAT=MLN","Sort=A","Dates=H","DateFormat=P","Fill=—","Direction=H","UseDPDF=Y")</f>
        <v>241.3</v>
      </c>
      <c r="L10" s="13" t="str">
        <f>_xll.BDH("NBIX US Equity","ARD_PRODUCT_REVENUE","FQ1 2021","FQ1 2021","Currency=USD","Period=FQ","BEST_FPERIOD_OVERRIDE=FQ","FILING_STATUS=MR","SCALING_FORMAT=MLN","Sort=A","Dates=H","DateFormat=P","Fill=—","Direction=H","UseDPDF=Y")</f>
        <v>—</v>
      </c>
      <c r="M10" s="13">
        <f>_xll.BDH("NBIX US Equity","ARD_PRODUCT_REVENUE","FQ2 2021","FQ2 2021","Currency=USD","Period=FQ","BEST_FPERIOD_OVERRIDE=FQ","FILING_STATUS=MR","SCALING_FORMAT=MLN","Sort=A","Dates=H","DateFormat=P","Fill=—","Direction=H","UseDPDF=Y")</f>
        <v>266.8</v>
      </c>
      <c r="N10" s="13">
        <f>_xll.BDH("NBIX US Equity","ARD_PRODUCT_REVENUE","FQ3 2021","FQ3 2021","Currency=USD","Period=FQ","BEST_FPERIOD_OVERRIDE=FQ","FILING_STATUS=MR","SCALING_FORMAT=MLN","Sort=A","Dates=H","DateFormat=P","Fill=—","Direction=H","UseDPDF=Y")</f>
        <v>288.8</v>
      </c>
      <c r="O10" s="13">
        <f>_xll.BDH("NBIX US Equity","ARD_PRODUCT_REVENUE","FQ4 2021","FQ4 2021","Currency=USD","Period=FQ","BEST_FPERIOD_OVERRIDE=FQ","FILING_STATUS=MR","SCALING_FORMAT=MLN","Sort=A","Dates=H","DateFormat=P","Fill=—","Direction=H","UseDPDF=Y")</f>
        <v>303.5</v>
      </c>
      <c r="P10" s="13">
        <f>_xll.BDH("NBIX US Equity","ARD_PRODUCT_REVENUE","FQ1 2022","FQ1 2022","Currency=USD","Period=FQ","BEST_FPERIOD_OVERRIDE=FQ","FILING_STATUS=MR","SCALING_FORMAT=MLN","Sort=A","Dates=H","DateFormat=P","Fill=—","Direction=H","UseDPDF=Y")</f>
        <v>305</v>
      </c>
      <c r="Q10" s="13">
        <f>_xll.BDH("NBIX US Equity","ARD_PRODUCT_REVENUE","FQ2 2022","FQ2 2022","Currency=USD","Period=FQ","BEST_FPERIOD_OVERRIDE=FQ","FILING_STATUS=MR","SCALING_FORMAT=MLN","Sort=A","Dates=H","DateFormat=P","Fill=—","Direction=H","UseDPDF=Y")</f>
        <v>352</v>
      </c>
      <c r="R10" s="13">
        <f>_xll.BDH("NBIX US Equity","ARD_PRODUCT_REVENUE","FQ3 2022","FQ3 2022","Currency=USD","Period=FQ","BEST_FPERIOD_OVERRIDE=FQ","FILING_STATUS=MR","SCALING_FORMAT=MLN","Sort=A","Dates=H","DateFormat=P","Fill=—","Direction=H","UseDPDF=Y")</f>
        <v>379.3</v>
      </c>
      <c r="S10" s="13">
        <f>_xll.BDH("NBIX US Equity","ARD_PRODUCT_REVENUE","FQ4 2022","FQ4 2022","Currency=USD","Period=FQ","BEST_FPERIOD_OVERRIDE=FQ","FILING_STATUS=MR","SCALING_FORMAT=MLN","Sort=A","Dates=H","DateFormat=P","Fill=—","Direction=H","UseDPDF=Y")</f>
        <v>404.6</v>
      </c>
      <c r="T10" s="13">
        <f>_xll.BDH("NBIX US Equity","ARD_PRODUCT_REVENUE","FQ1 2023","FQ1 2023","Currency=USD","Period=FQ","BEST_FPERIOD_OVERRIDE=FQ","FILING_STATUS=MR","SCALING_FORMAT=MLN","Sort=A","Dates=H","DateFormat=P","Fill=—","Direction=H","UseDPDF=Y")</f>
        <v>415.3</v>
      </c>
      <c r="U10" s="13">
        <f>_xll.BDH("NBIX US Equity","ARD_PRODUCT_REVENUE","FQ2 2023","FQ2 2023","Currency=USD","Period=FQ","BEST_FPERIOD_OVERRIDE=FQ","FILING_STATUS=MR","SCALING_FORMAT=MLN","Sort=A","Dates=H","DateFormat=P","Fill=—","Direction=H","UseDPDF=Y")</f>
        <v>446.3</v>
      </c>
      <c r="V10" s="13">
        <f>_xll.BDH("NBIX US Equity","ARD_PRODUCT_REVENUE","FQ3 2023","FQ3 2023","Currency=USD","Period=FQ","BEST_FPERIOD_OVERRIDE=FQ","FILING_STATUS=MR","SCALING_FORMAT=MLN","Sort=A","Dates=H","DateFormat=P","Fill=—","Direction=H","UseDPDF=Y")</f>
        <v>491.8</v>
      </c>
      <c r="W10" s="13">
        <f>_xll.BDH("NBIX US Equity","ARD_PRODUCT_REVENUE","FQ4 2023","FQ4 2023","Currency=USD","Period=FQ","BEST_FPERIOD_OVERRIDE=FQ","FILING_STATUS=MR","SCALING_FORMAT=MLN","Sort=A","Dates=H","DateFormat=P","Fill=—","Direction=H","UseDPDF=Y")</f>
        <v>507.2</v>
      </c>
      <c r="X10" s="13">
        <f>_xll.BDH("NBIX US Equity","ARD_PRODUCT_REVENUE","FQ1 2024","FQ1 2024","Currency=USD","Period=FQ","BEST_FPERIOD_OVERRIDE=FQ","FILING_STATUS=MR","SCALING_FORMAT=MLN","Sort=A","Dates=H","DateFormat=P","Fill=—","Direction=H","UseDPDF=Y")</f>
        <v>509</v>
      </c>
      <c r="Y10" s="13">
        <f>_xll.BDH("NBIX US Equity","ARD_PRODUCT_REVENUE","FQ2 2024","FQ2 2024","Currency=USD","Period=FQ","BEST_FPERIOD_OVERRIDE=FQ","FILING_STATUS=MR","SCALING_FORMAT=MLN","Sort=A","Dates=H","DateFormat=P","Fill=—","Direction=H","UseDPDF=Y")</f>
        <v>583.79999999999995</v>
      </c>
      <c r="Z10" s="13">
        <f>_xll.BDH("NBIX US Equity","ARD_PRODUCT_REVENUE","FQ3 2024","FQ3 2024","Currency=USD","Period=FQ","BEST_FPERIOD_OVERRIDE=FQ","FILING_STATUS=MR","SCALING_FORMAT=MLN","Sort=A","Dates=H","DateFormat=P","Fill=—","Direction=H","UseDPDF=Y")</f>
        <v>616.6</v>
      </c>
      <c r="AA10" s="13">
        <f>_xll.BDH("NBIX US Equity","ARD_PRODUCT_REVENUE","FQ4 2024","FQ4 2024","Currency=USD","Period=FQ","BEST_FPERIOD_OVERRIDE=FQ","FILING_STATUS=MR","SCALING_FORMAT=MLN","Sort=A","Dates=H","DateFormat=P","Fill=—","Direction=H","UseDPDF=Y")</f>
        <v>621.20000000000005</v>
      </c>
    </row>
    <row r="11" spans="1:27" x14ac:dyDescent="0.25">
      <c r="A11" s="10" t="s">
        <v>428</v>
      </c>
      <c r="B11" s="10" t="s">
        <v>429</v>
      </c>
      <c r="C11" s="13">
        <f>_xll.BDH("NBIX US Equity","ARD_LICENSE_CONTRACT_FEE_REV","FQ4 2018","FQ4 2018","Currency=USD","Period=FQ","BEST_FPERIOD_OVERRIDE=FQ","FILING_STATUS=MR","SCALING_FORMAT=MLN","Sort=A","Dates=H","DateFormat=P","Fill=—","Direction=H","UseDPDF=Y")</f>
        <v>1.1659999999999999</v>
      </c>
      <c r="D11" s="13">
        <f>_xll.BDH("NBIX US Equity","ARD_LICENSE_CONTRACT_FEE_REV","FQ1 2019","FQ1 2019","Currency=USD","Period=FQ","BEST_FPERIOD_OVERRIDE=FQ","FILING_STATUS=MR","SCALING_FORMAT=MLN","Sort=A","Dates=H","DateFormat=P","Fill=—","Direction=H","UseDPDF=Y")</f>
        <v>1.972</v>
      </c>
      <c r="E11" s="13">
        <f>_xll.BDH("NBIX US Equity","ARD_LICENSE_CONTRACT_FEE_REV","FQ2 2019","FQ2 2019","Currency=USD","Period=FQ","BEST_FPERIOD_OVERRIDE=FQ","FILING_STATUS=MR","SCALING_FORMAT=MLN","Sort=A","Dates=H","DateFormat=P","Fill=—","Direction=H","UseDPDF=Y")</f>
        <v>3.036</v>
      </c>
      <c r="F11" s="13">
        <f>_xll.BDH("NBIX US Equity","ARD_LICENSE_CONTRACT_FEE_REV","FQ3 2019","FQ3 2019","Currency=USD","Period=FQ","BEST_FPERIOD_OVERRIDE=FQ","FILING_STATUS=MR","SCALING_FORMAT=MLN","Sort=A","Dates=H","DateFormat=P","Fill=—","Direction=H","UseDPDF=Y")</f>
        <v>24</v>
      </c>
      <c r="G11" s="13">
        <f>_xll.BDH("NBIX US Equity","ARD_LICENSE_CONTRACT_FEE_REV","FQ4 2019","FQ4 2019","Currency=USD","Period=FQ","BEST_FPERIOD_OVERRIDE=FQ","FILING_STATUS=MR","SCALING_FORMAT=MLN","Sort=A","Dates=H","DateFormat=P","Fill=—","Direction=H","UseDPDF=Y")</f>
        <v>6.2</v>
      </c>
      <c r="H11" s="13">
        <f>_xll.BDH("NBIX US Equity","ARD_LICENSE_CONTRACT_FEE_REV","FQ1 2020","FQ1 2020","Currency=USD","Period=FQ","BEST_FPERIOD_OVERRIDE=FQ","FILING_STATUS=MR","SCALING_FORMAT=MLN","Sort=A","Dates=H","DateFormat=P","Fill=—","Direction=H","UseDPDF=Y")</f>
        <v>6</v>
      </c>
      <c r="I11" s="13">
        <f>_xll.BDH("NBIX US Equity","ARD_LICENSE_CONTRACT_FEE_REV","FQ2 2020","FQ2 2020","Currency=USD","Period=FQ","BEST_FPERIOD_OVERRIDE=FQ","FILING_STATUS=MR","SCALING_FORMAT=MLN","Sort=A","Dates=H","DateFormat=P","Fill=—","Direction=H","UseDPDF=Y")</f>
        <v>34.799999999999997</v>
      </c>
      <c r="J11" s="13">
        <f>_xll.BDH("NBIX US Equity","ARD_LICENSE_CONTRACT_FEE_REV","FQ3 2020","FQ3 2020","Currency=USD","Period=FQ","BEST_FPERIOD_OVERRIDE=FQ","FILING_STATUS=MR","SCALING_FORMAT=MLN","Sort=A","Dates=H","DateFormat=P","Fill=—","Direction=H","UseDPDF=Y")</f>
        <v>4.4000000000000004</v>
      </c>
      <c r="K11" s="13">
        <f>_xll.BDH("NBIX US Equity","ARD_LICENSE_CONTRACT_FEE_REV","FQ4 2020","FQ4 2020","Currency=USD","Period=FQ","BEST_FPERIOD_OVERRIDE=FQ","FILING_STATUS=MR","SCALING_FORMAT=MLN","Sort=A","Dates=H","DateFormat=P","Fill=—","Direction=H","UseDPDF=Y")</f>
        <v>6.6</v>
      </c>
      <c r="L11" s="13">
        <f>_xll.BDH("NBIX US Equity","ARD_LICENSE_CONTRACT_FEE_REV","FQ1 2021","FQ1 2021","Currency=USD","Period=FQ","BEST_FPERIOD_OVERRIDE=FQ","FILING_STATUS=MR","SCALING_FORMAT=MLN","Sort=A","Dates=H","DateFormat=P","Fill=—","Direction=H","UseDPDF=Y")</f>
        <v>5.6</v>
      </c>
      <c r="M11" s="13">
        <f>_xll.BDH("NBIX US Equity","ARD_LICENSE_CONTRACT_FEE_REV","FQ2 2021","FQ2 2021","Currency=USD","Period=FQ","BEST_FPERIOD_OVERRIDE=FQ","FILING_STATUS=MR","SCALING_FORMAT=MLN","Sort=A","Dates=H","DateFormat=P","Fill=—","Direction=H","UseDPDF=Y")</f>
        <v>22.1</v>
      </c>
      <c r="N11" s="13">
        <f>_xll.BDH("NBIX US Equity","ARD_LICENSE_CONTRACT_FEE_REV","FQ3 2021","FQ3 2021","Currency=USD","Period=FQ","BEST_FPERIOD_OVERRIDE=FQ","FILING_STATUS=MR","SCALING_FORMAT=MLN","Sort=A","Dates=H","DateFormat=P","Fill=—","Direction=H","UseDPDF=Y")</f>
        <v>7.2</v>
      </c>
      <c r="O11" s="13">
        <f>_xll.BDH("NBIX US Equity","ARD_LICENSE_CONTRACT_FEE_REV","FQ4 2021","FQ4 2021","Currency=USD","Period=FQ","BEST_FPERIOD_OVERRIDE=FQ","FILING_STATUS=MR","SCALING_FORMAT=MLN","Sort=A","Dates=H","DateFormat=P","Fill=—","Direction=H","UseDPDF=Y")</f>
        <v>8.5</v>
      </c>
      <c r="P11" s="13">
        <f>_xll.BDH("NBIX US Equity","ARD_LICENSE_CONTRACT_FEE_REV","FQ1 2022","FQ1 2022","Currency=USD","Period=FQ","BEST_FPERIOD_OVERRIDE=FQ","FILING_STATUS=MR","SCALING_FORMAT=MLN","Sort=A","Dates=H","DateFormat=P","Fill=—","Direction=H","UseDPDF=Y")</f>
        <v>5.6</v>
      </c>
      <c r="Q11" s="13">
        <f>_xll.BDH("NBIX US Equity","ARD_LICENSE_CONTRACT_FEE_REV","FQ2 2022","FQ2 2022","Currency=USD","Period=FQ","BEST_FPERIOD_OVERRIDE=FQ","FILING_STATUS=MR","SCALING_FORMAT=MLN","Sort=A","Dates=H","DateFormat=P","Fill=—","Direction=H","UseDPDF=Y")</f>
        <v>26.2</v>
      </c>
      <c r="R11" s="13">
        <f>_xll.BDH("NBIX US Equity","ARD_LICENSE_CONTRACT_FEE_REV","FQ3 2022","FQ3 2022","Currency=USD","Period=FQ","BEST_FPERIOD_OVERRIDE=FQ","FILING_STATUS=MR","SCALING_FORMAT=MLN","Sort=A","Dates=H","DateFormat=P","Fill=—","Direction=H","UseDPDF=Y")</f>
        <v>8.6</v>
      </c>
      <c r="S11" s="13">
        <f>_xll.BDH("NBIX US Equity","ARD_LICENSE_CONTRACT_FEE_REV","FQ4 2022","FQ4 2022","Currency=USD","Period=FQ","BEST_FPERIOD_OVERRIDE=FQ","FILING_STATUS=MR","SCALING_FORMAT=MLN","Sort=A","Dates=H","DateFormat=P","Fill=—","Direction=H","UseDPDF=Y")</f>
        <v>7.4</v>
      </c>
      <c r="T11" s="13">
        <f>_xll.BDH("NBIX US Equity","ARD_LICENSE_CONTRACT_FEE_REV","FQ1 2023","FQ1 2023","Currency=USD","Period=FQ","BEST_FPERIOD_OVERRIDE=FQ","FILING_STATUS=MR","SCALING_FORMAT=MLN","Sort=A","Dates=H","DateFormat=P","Fill=—","Direction=H","UseDPDF=Y")</f>
        <v>5.0999999999999996</v>
      </c>
      <c r="U11" s="13">
        <f>_xll.BDH("NBIX US Equity","ARD_LICENSE_CONTRACT_FEE_REV","FQ2 2023","FQ2 2023","Currency=USD","Period=FQ","BEST_FPERIOD_OVERRIDE=FQ","FILING_STATUS=MR","SCALING_FORMAT=MLN","Sort=A","Dates=H","DateFormat=P","Fill=—","Direction=H","UseDPDF=Y")</f>
        <v>6.4</v>
      </c>
      <c r="V11" s="13">
        <f>_xll.BDH("NBIX US Equity","ARD_LICENSE_CONTRACT_FEE_REV","FQ3 2023","FQ3 2023","Currency=USD","Period=FQ","BEST_FPERIOD_OVERRIDE=FQ","FILING_STATUS=MR","SCALING_FORMAT=MLN","Sort=A","Dates=H","DateFormat=P","Fill=—","Direction=H","UseDPDF=Y")</f>
        <v>7</v>
      </c>
      <c r="W11" s="13">
        <f>_xll.BDH("NBIX US Equity","ARD_LICENSE_CONTRACT_FEE_REV","FQ4 2023","FQ4 2023","Currency=USD","Period=FQ","BEST_FPERIOD_OVERRIDE=FQ","FILING_STATUS=MR","SCALING_FORMAT=MLN","Sort=A","Dates=H","DateFormat=P","Fill=—","Direction=H","UseDPDF=Y")</f>
        <v>8</v>
      </c>
      <c r="X11" s="13">
        <f>_xll.BDH("NBIX US Equity","ARD_LICENSE_CONTRACT_FEE_REV","FQ1 2024","FQ1 2024","Currency=USD","Period=FQ","BEST_FPERIOD_OVERRIDE=FQ","FILING_STATUS=MR","SCALING_FORMAT=MLN","Sort=A","Dates=H","DateFormat=P","Fill=—","Direction=H","UseDPDF=Y")</f>
        <v>6.3</v>
      </c>
      <c r="Y11" s="13">
        <f>_xll.BDH("NBIX US Equity","ARD_LICENSE_CONTRACT_FEE_REV","FQ2 2024","FQ2 2024","Currency=USD","Period=FQ","BEST_FPERIOD_OVERRIDE=FQ","FILING_STATUS=MR","SCALING_FORMAT=MLN","Sort=A","Dates=H","DateFormat=P","Fill=—","Direction=H","UseDPDF=Y")</f>
        <v>6.4</v>
      </c>
      <c r="Z11" s="13">
        <f>_xll.BDH("NBIX US Equity","ARD_LICENSE_CONTRACT_FEE_REV","FQ3 2024","FQ3 2024","Currency=USD","Period=FQ","BEST_FPERIOD_OVERRIDE=FQ","FILING_STATUS=MR","SCALING_FORMAT=MLN","Sort=A","Dates=H","DateFormat=P","Fill=—","Direction=H","UseDPDF=Y")</f>
        <v>5.5</v>
      </c>
      <c r="AA11" s="13">
        <f>_xll.BDH("NBIX US Equity","ARD_LICENSE_CONTRACT_FEE_REV","FQ4 2024","FQ4 2024","Currency=USD","Period=FQ","BEST_FPERIOD_OVERRIDE=FQ","FILING_STATUS=MR","SCALING_FORMAT=MLN","Sort=A","Dates=H","DateFormat=P","Fill=—","Direction=H","UseDPDF=Y")</f>
        <v>6.5</v>
      </c>
    </row>
    <row r="12" spans="1:27" x14ac:dyDescent="0.25">
      <c r="A12" s="6" t="s">
        <v>1</v>
      </c>
      <c r="B12" s="6" t="s">
        <v>430</v>
      </c>
      <c r="C12" s="19">
        <f>_xll.BDH("NBIX US Equity","ARD_TOTAL_REVENUES","FQ4 2018","FQ4 2018","Currency=USD","Period=FQ","BEST_FPERIOD_OVERRIDE=FQ","FILING_STATUS=MR","SCALING_FORMAT=MLN","Sort=A","Dates=H","DateFormat=P","Fill=—","Direction=H","UseDPDF=Y")</f>
        <v>131.49199999999999</v>
      </c>
      <c r="D12" s="19">
        <f>_xll.BDH("NBIX US Equity","ARD_TOTAL_REVENUES","FQ1 2019","FQ1 2019","Currency=USD","Period=FQ","BEST_FPERIOD_OVERRIDE=FQ","FILING_STATUS=MR","SCALING_FORMAT=MLN","Sort=A","Dates=H","DateFormat=P","Fill=—","Direction=H","UseDPDF=Y")</f>
        <v>138.40299999999999</v>
      </c>
      <c r="E12" s="19">
        <f>_xll.BDH("NBIX US Equity","ARD_TOTAL_REVENUES","FQ2 2019","FQ2 2019","Currency=USD","Period=FQ","BEST_FPERIOD_OVERRIDE=FQ","FILING_STATUS=MR","SCALING_FORMAT=MLN","Sort=A","Dates=H","DateFormat=P","Fill=—","Direction=H","UseDPDF=Y")</f>
        <v>183.58</v>
      </c>
      <c r="F12" s="19">
        <f>_xll.BDH("NBIX US Equity","ARD_TOTAL_REVENUES","FQ3 2019","FQ3 2019","Currency=USD","Period=FQ","BEST_FPERIOD_OVERRIDE=FQ","FILING_STATUS=MR","SCALING_FORMAT=MLN","Sort=A","Dates=H","DateFormat=P","Fill=—","Direction=H","UseDPDF=Y")</f>
        <v>222.09399999999999</v>
      </c>
      <c r="G12" s="19">
        <f>_xll.BDH("NBIX US Equity","ARD_TOTAL_REVENUES","FQ4 2019","FQ4 2019","Currency=USD","Period=FQ","BEST_FPERIOD_OVERRIDE=FQ","FILING_STATUS=MR","SCALING_FORMAT=MLN","Sort=A","Dates=H","DateFormat=P","Fill=—","Direction=H","UseDPDF=Y")</f>
        <v>244.1</v>
      </c>
      <c r="H12" s="19">
        <f>_xll.BDH("NBIX US Equity","ARD_TOTAL_REVENUES","FQ1 2020","FQ1 2020","Currency=USD","Period=FQ","BEST_FPERIOD_OVERRIDE=FQ","FILING_STATUS=MR","SCALING_FORMAT=MLN","Sort=A","Dates=H","DateFormat=P","Fill=—","Direction=H","UseDPDF=Y")</f>
        <v>237.1</v>
      </c>
      <c r="I12" s="19">
        <f>_xll.BDH("NBIX US Equity","ARD_TOTAL_REVENUES","FQ2 2020","FQ2 2020","Currency=USD","Period=FQ","BEST_FPERIOD_OVERRIDE=FQ","FILING_STATUS=MR","SCALING_FORMAT=MLN","Sort=A","Dates=H","DateFormat=P","Fill=—","Direction=H","UseDPDF=Y")</f>
        <v>302.39999999999998</v>
      </c>
      <c r="J12" s="19">
        <f>_xll.BDH("NBIX US Equity","ARD_TOTAL_REVENUES","FQ3 2020","FQ3 2020","Currency=USD","Period=FQ","BEST_FPERIOD_OVERRIDE=FQ","FILING_STATUS=MR","SCALING_FORMAT=MLN","Sort=A","Dates=H","DateFormat=P","Fill=—","Direction=H","UseDPDF=Y")</f>
        <v>258.5</v>
      </c>
      <c r="K12" s="19">
        <f>_xll.BDH("NBIX US Equity","ARD_TOTAL_REVENUES","FQ4 2020","FQ4 2020","Currency=USD","Period=FQ","BEST_FPERIOD_OVERRIDE=FQ","FILING_STATUS=MR","SCALING_FORMAT=MLN","Sort=A","Dates=H","DateFormat=P","Fill=—","Direction=H","UseDPDF=Y")</f>
        <v>247.9</v>
      </c>
      <c r="L12" s="19">
        <f>_xll.BDH("NBIX US Equity","ARD_TOTAL_REVENUES","FQ1 2021","FQ1 2021","Currency=USD","Period=FQ","BEST_FPERIOD_OVERRIDE=FQ","FILING_STATUS=MR","SCALING_FORMAT=MLN","Sort=A","Dates=H","DateFormat=P","Fill=—","Direction=H","UseDPDF=Y")</f>
        <v>236.6</v>
      </c>
      <c r="M12" s="19">
        <f>_xll.BDH("NBIX US Equity","ARD_TOTAL_REVENUES","FQ2 2021","FQ2 2021","Currency=USD","Period=FQ","BEST_FPERIOD_OVERRIDE=FQ","FILING_STATUS=MR","SCALING_FORMAT=MLN","Sort=A","Dates=H","DateFormat=P","Fill=—","Direction=H","UseDPDF=Y")</f>
        <v>288.89999999999998</v>
      </c>
      <c r="N12" s="19">
        <f>_xll.BDH("NBIX US Equity","ARD_TOTAL_REVENUES","FQ3 2021","FQ3 2021","Currency=USD","Period=FQ","BEST_FPERIOD_OVERRIDE=FQ","FILING_STATUS=MR","SCALING_FORMAT=MLN","Sort=A","Dates=H","DateFormat=P","Fill=—","Direction=H","UseDPDF=Y")</f>
        <v>296</v>
      </c>
      <c r="O12" s="19">
        <f>_xll.BDH("NBIX US Equity","ARD_TOTAL_REVENUES","FQ4 2021","FQ4 2021","Currency=USD","Period=FQ","BEST_FPERIOD_OVERRIDE=FQ","FILING_STATUS=MR","SCALING_FORMAT=MLN","Sort=A","Dates=H","DateFormat=P","Fill=—","Direction=H","UseDPDF=Y")</f>
        <v>312</v>
      </c>
      <c r="P12" s="19">
        <f>_xll.BDH("NBIX US Equity","ARD_TOTAL_REVENUES","FQ1 2022","FQ1 2022","Currency=USD","Period=FQ","BEST_FPERIOD_OVERRIDE=FQ","FILING_STATUS=MR","SCALING_FORMAT=MLN","Sort=A","Dates=H","DateFormat=P","Fill=—","Direction=H","UseDPDF=Y")</f>
        <v>310.60000000000002</v>
      </c>
      <c r="Q12" s="19">
        <f>_xll.BDH("NBIX US Equity","ARD_TOTAL_REVENUES","FQ2 2022","FQ2 2022","Currency=USD","Period=FQ","BEST_FPERIOD_OVERRIDE=FQ","FILING_STATUS=MR","SCALING_FORMAT=MLN","Sort=A","Dates=H","DateFormat=P","Fill=—","Direction=H","UseDPDF=Y")</f>
        <v>378.2</v>
      </c>
      <c r="R12" s="19">
        <f>_xll.BDH("NBIX US Equity","ARD_TOTAL_REVENUES","FQ3 2022","FQ3 2022","Currency=USD","Period=FQ","BEST_FPERIOD_OVERRIDE=FQ","FILING_STATUS=MR","SCALING_FORMAT=MLN","Sort=A","Dates=H","DateFormat=P","Fill=—","Direction=H","UseDPDF=Y")</f>
        <v>387.9</v>
      </c>
      <c r="S12" s="19">
        <f>_xll.BDH("NBIX US Equity","ARD_TOTAL_REVENUES","FQ4 2022","FQ4 2022","Currency=USD","Period=FQ","BEST_FPERIOD_OVERRIDE=FQ","FILING_STATUS=MR","SCALING_FORMAT=MLN","Sort=A","Dates=H","DateFormat=P","Fill=—","Direction=H","UseDPDF=Y")</f>
        <v>412</v>
      </c>
      <c r="T12" s="19">
        <f>_xll.BDH("NBIX US Equity","ARD_TOTAL_REVENUES","FQ1 2023","FQ1 2023","Currency=USD","Period=FQ","BEST_FPERIOD_OVERRIDE=FQ","FILING_STATUS=MR","SCALING_FORMAT=MLN","Sort=A","Dates=H","DateFormat=P","Fill=—","Direction=H","UseDPDF=Y")</f>
        <v>420.4</v>
      </c>
      <c r="U12" s="19">
        <f>_xll.BDH("NBIX US Equity","ARD_TOTAL_REVENUES","FQ2 2023","FQ2 2023","Currency=USD","Period=FQ","BEST_FPERIOD_OVERRIDE=FQ","FILING_STATUS=MR","SCALING_FORMAT=MLN","Sort=A","Dates=H","DateFormat=P","Fill=—","Direction=H","UseDPDF=Y")</f>
        <v>452.7</v>
      </c>
      <c r="V12" s="19">
        <f>_xll.BDH("NBIX US Equity","ARD_TOTAL_REVENUES","FQ3 2023","FQ3 2023","Currency=USD","Period=FQ","BEST_FPERIOD_OVERRIDE=FQ","FILING_STATUS=MR","SCALING_FORMAT=MLN","Sort=A","Dates=H","DateFormat=P","Fill=—","Direction=H","UseDPDF=Y")</f>
        <v>498.8</v>
      </c>
      <c r="W12" s="19">
        <f>_xll.BDH("NBIX US Equity","ARD_TOTAL_REVENUES","FQ4 2023","FQ4 2023","Currency=USD","Period=FQ","BEST_FPERIOD_OVERRIDE=FQ","FILING_STATUS=MR","SCALING_FORMAT=MLN","Sort=A","Dates=H","DateFormat=P","Fill=—","Direction=H","UseDPDF=Y")</f>
        <v>515.20000000000005</v>
      </c>
      <c r="X12" s="19">
        <f>_xll.BDH("NBIX US Equity","ARD_TOTAL_REVENUES","FQ1 2024","FQ1 2024","Currency=USD","Period=FQ","BEST_FPERIOD_OVERRIDE=FQ","FILING_STATUS=MR","SCALING_FORMAT=MLN","Sort=A","Dates=H","DateFormat=P","Fill=—","Direction=H","UseDPDF=Y")</f>
        <v>515.29999999999995</v>
      </c>
      <c r="Y12" s="19">
        <f>_xll.BDH("NBIX US Equity","ARD_TOTAL_REVENUES","FQ2 2024","FQ2 2024","Currency=USD","Period=FQ","BEST_FPERIOD_OVERRIDE=FQ","FILING_STATUS=MR","SCALING_FORMAT=MLN","Sort=A","Dates=H","DateFormat=P","Fill=—","Direction=H","UseDPDF=Y")</f>
        <v>590.20000000000005</v>
      </c>
      <c r="Z12" s="19">
        <f>_xll.BDH("NBIX US Equity","ARD_TOTAL_REVENUES","FQ3 2024","FQ3 2024","Currency=USD","Period=FQ","BEST_FPERIOD_OVERRIDE=FQ","FILING_STATUS=MR","SCALING_FORMAT=MLN","Sort=A","Dates=H","DateFormat=P","Fill=—","Direction=H","UseDPDF=Y")</f>
        <v>622.1</v>
      </c>
      <c r="AA12" s="19">
        <f>_xll.BDH("NBIX US Equity","ARD_TOTAL_REVENUES","FQ4 2024","FQ4 2024","Currency=USD","Period=FQ","BEST_FPERIOD_OVERRIDE=FQ","FILING_STATUS=MR","SCALING_FORMAT=MLN","Sort=A","Dates=H","DateFormat=P","Fill=—","Direction=H","UseDPDF=Y")</f>
        <v>627.70000000000005</v>
      </c>
    </row>
    <row r="13" spans="1:27" x14ac:dyDescent="0.25">
      <c r="A13" s="10" t="s">
        <v>431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432</v>
      </c>
      <c r="B14" s="10" t="s">
        <v>433</v>
      </c>
      <c r="C14" s="13">
        <f>_xll.BDH("NBIX US Equity","ARD_TOTAL_OPERATING_EXPENSES","FQ4 2018","FQ4 2018","Currency=USD","Period=FQ","BEST_FPERIOD_OVERRIDE=FQ","FILING_STATUS=MR","SCALING_FORMAT=MLN","Sort=A","Dates=H","DateFormat=P","Fill=—","Direction=H","UseDPDF=Y")</f>
        <v>109.621</v>
      </c>
      <c r="D14" s="13">
        <f>_xll.BDH("NBIX US Equity","ARD_TOTAL_OPERATING_EXPENSES","FQ1 2019","FQ1 2019","Currency=USD","Period=FQ","BEST_FPERIOD_OVERRIDE=FQ","FILING_STATUS=MR","SCALING_FORMAT=MLN","Sort=A","Dates=H","DateFormat=P","Fill=—","Direction=H","UseDPDF=Y")</f>
        <v>239.4</v>
      </c>
      <c r="E14" s="13">
        <f>_xll.BDH("NBIX US Equity","ARD_TOTAL_OPERATING_EXPENSES","FQ2 2019","FQ2 2019","Currency=USD","Period=FQ","BEST_FPERIOD_OVERRIDE=FQ","FILING_STATUS=MR","SCALING_FORMAT=MLN","Sort=A","Dates=H","DateFormat=P","Fill=—","Direction=H","UseDPDF=Y")</f>
        <v>149.119</v>
      </c>
      <c r="F14" s="13">
        <f>_xll.BDH("NBIX US Equity","ARD_TOTAL_OPERATING_EXPENSES","FQ3 2019","FQ3 2019","Currency=USD","Period=FQ","BEST_FPERIOD_OVERRIDE=FQ","FILING_STATUS=MR","SCALING_FORMAT=MLN","Sort=A","Dates=H","DateFormat=P","Fill=—","Direction=H","UseDPDF=Y")</f>
        <v>131.99600000000001</v>
      </c>
      <c r="G14" s="13">
        <f>_xll.BDH("NBIX US Equity","ARD_TOTAL_OPERATING_EXPENSES","FQ4 2019","FQ4 2019","Currency=USD","Period=FQ","BEST_FPERIOD_OVERRIDE=FQ","FILING_STATUS=MR","SCALING_FORMAT=MLN","Sort=A","Dates=H","DateFormat=P","Fill=—","Direction=H","UseDPDF=Y")</f>
        <v>195.3</v>
      </c>
      <c r="H14" s="13">
        <f>_xll.BDH("NBIX US Equity","ARD_TOTAL_OPERATING_EXPENSES","FQ1 2020","FQ1 2020","Currency=USD","Period=FQ","BEST_FPERIOD_OVERRIDE=FQ","FILING_STATUS=MR","SCALING_FORMAT=MLN","Sort=A","Dates=H","DateFormat=P","Fill=—","Direction=H","UseDPDF=Y")</f>
        <v>178.2</v>
      </c>
      <c r="I14" s="13">
        <f>_xll.BDH("NBIX US Equity","ARD_TOTAL_OPERATING_EXPENSES","FQ2 2020","FQ2 2020","Currency=USD","Period=FQ","BEST_FPERIOD_OVERRIDE=FQ","FILING_STATUS=MR","SCALING_FORMAT=MLN","Sort=A","Dates=H","DateFormat=P","Fill=—","Direction=H","UseDPDF=Y")</f>
        <v>225.8</v>
      </c>
      <c r="J14" s="13">
        <f>_xll.BDH("NBIX US Equity","ARD_TOTAL_OPERATING_EXPENSES","FQ3 2020","FQ3 2020","Currency=USD","Period=FQ","BEST_FPERIOD_OVERRIDE=FQ","FILING_STATUS=MR","SCALING_FORMAT=MLN","Sort=A","Dates=H","DateFormat=P","Fill=—","Direction=H","UseDPDF=Y")</f>
        <v>302.8</v>
      </c>
      <c r="K14" s="13">
        <f>_xll.BDH("NBIX US Equity","ARD_TOTAL_OPERATING_EXPENSES","FQ4 2020","FQ4 2020","Currency=USD","Period=FQ","BEST_FPERIOD_OVERRIDE=FQ","FILING_STATUS=MR","SCALING_FORMAT=MLN","Sort=A","Dates=H","DateFormat=P","Fill=—","Direction=H","UseDPDF=Y")</f>
        <v>176.1</v>
      </c>
      <c r="L14" s="13">
        <f>_xll.BDH("NBIX US Equity","ARD_TOTAL_OPERATING_EXPENSES","FQ1 2021","FQ1 2021","Currency=USD","Period=FQ","BEST_FPERIOD_OVERRIDE=FQ","FILING_STATUS=MR","SCALING_FORMAT=MLN","Sort=A","Dates=H","DateFormat=P","Fill=—","Direction=H","UseDPDF=Y")</f>
        <v>205.1</v>
      </c>
      <c r="M14" s="13">
        <f>_xll.BDH("NBIX US Equity","ARD_TOTAL_OPERATING_EXPENSES","FQ2 2021","FQ2 2021","Currency=USD","Period=FQ","BEST_FPERIOD_OVERRIDE=FQ","FILING_STATUS=MR","SCALING_FORMAT=MLN","Sort=A","Dates=H","DateFormat=P","Fill=—","Direction=H","UseDPDF=Y")</f>
        <v>226.1</v>
      </c>
      <c r="N14" s="13">
        <f>_xll.BDH("NBIX US Equity","ARD_TOTAL_OPERATING_EXPENSES","FQ3 2021","FQ3 2021","Currency=USD","Period=FQ","BEST_FPERIOD_OVERRIDE=FQ","FILING_STATUS=MR","SCALING_FORMAT=MLN","Sort=A","Dates=H","DateFormat=P","Fill=—","Direction=H","UseDPDF=Y")</f>
        <v>251.5</v>
      </c>
      <c r="O14" s="13">
        <f>_xll.BDH("NBIX US Equity","ARD_TOTAL_OPERATING_EXPENSES","FQ4 2021","FQ4 2021","Currency=USD","Period=FQ","BEST_FPERIOD_OVERRIDE=FQ","FILING_STATUS=MR","SCALING_FORMAT=MLN","Sort=A","Dates=H","DateFormat=P","Fill=—","Direction=H","UseDPDF=Y")</f>
        <v>348.3</v>
      </c>
      <c r="P14" s="13">
        <f>_xll.BDH("NBIX US Equity","ARD_TOTAL_OPERATING_EXPENSES","FQ1 2022","FQ1 2022","Currency=USD","Period=FQ","BEST_FPERIOD_OVERRIDE=FQ","FILING_STATUS=MR","SCALING_FORMAT=MLN","Sort=A","Dates=H","DateFormat=P","Fill=—","Direction=H","UseDPDF=Y")</f>
        <v>307.5</v>
      </c>
      <c r="Q14" s="13">
        <f>_xll.BDH("NBIX US Equity","ARD_TOTAL_OPERATING_EXPENSES","FQ2 2022","FQ2 2022","Currency=USD","Period=FQ","BEST_FPERIOD_OVERRIDE=FQ","FILING_STATUS=MR","SCALING_FORMAT=MLN","Sort=A","Dates=H","DateFormat=P","Fill=—","Direction=H","UseDPDF=Y")</f>
        <v>323.5</v>
      </c>
      <c r="R14" s="13">
        <f>_xll.BDH("NBIX US Equity","ARD_TOTAL_OPERATING_EXPENSES","FQ3 2022","FQ3 2022","Currency=USD","Period=FQ","BEST_FPERIOD_OVERRIDE=FQ","FILING_STATUS=MR","SCALING_FORMAT=MLN","Sort=A","Dates=H","DateFormat=P","Fill=—","Direction=H","UseDPDF=Y")</f>
        <v>300.10000000000002</v>
      </c>
      <c r="S14" s="13">
        <f>_xll.BDH("NBIX US Equity","ARD_TOTAL_OPERATING_EXPENSES","FQ4 2022","FQ4 2022","Currency=USD","Period=FQ","BEST_FPERIOD_OVERRIDE=FQ","FILING_STATUS=MR","SCALING_FORMAT=MLN","Sort=A","Dates=H","DateFormat=P","Fill=—","Direction=H","UseDPDF=Y")</f>
        <v>308.60000000000002</v>
      </c>
      <c r="T14" s="13">
        <f>_xll.BDH("NBIX US Equity","ARD_TOTAL_OPERATING_EXPENSES","FQ1 2023","FQ1 2023","Currency=USD","Period=FQ","BEST_FPERIOD_OVERRIDE=FQ","FILING_STATUS=MR","SCALING_FORMAT=MLN","Sort=A","Dates=H","DateFormat=P","Fill=—","Direction=H","UseDPDF=Y")</f>
        <v>534.6</v>
      </c>
      <c r="U14" s="13">
        <f>_xll.BDH("NBIX US Equity","ARD_TOTAL_OPERATING_EXPENSES","FQ2 2023","FQ2 2023","Currency=USD","Period=FQ","BEST_FPERIOD_OVERRIDE=FQ","FILING_STATUS=MR","SCALING_FORMAT=MLN","Sort=A","Dates=H","DateFormat=P","Fill=—","Direction=H","UseDPDF=Y")</f>
        <v>379.1</v>
      </c>
      <c r="V14" s="13">
        <f>_xll.BDH("NBIX US Equity","ARD_TOTAL_OPERATING_EXPENSES","FQ3 2023","FQ3 2023","Currency=USD","Period=FQ","BEST_FPERIOD_OVERRIDE=FQ","FILING_STATUS=MR","SCALING_FORMAT=MLN","Sort=A","Dates=H","DateFormat=P","Fill=—","Direction=H","UseDPDF=Y")</f>
        <v>357.6</v>
      </c>
      <c r="W14" s="13">
        <f>_xll.BDH("NBIX US Equity","ARD_TOTAL_OPERATING_EXPENSES","FQ4 2023","FQ4 2023","Currency=USD","Period=FQ","BEST_FPERIOD_OVERRIDE=FQ","FILING_STATUS=MR","SCALING_FORMAT=MLN","Sort=A","Dates=H","DateFormat=P","Fill=—","Direction=H","UseDPDF=Y")</f>
        <v>364.9</v>
      </c>
      <c r="X14" s="13">
        <f>_xll.BDH("NBIX US Equity","ARD_TOTAL_OPERATING_EXPENSES","FQ1 2024","FQ1 2024","Currency=USD","Period=FQ","BEST_FPERIOD_OVERRIDE=FQ","FILING_STATUS=MR","SCALING_FORMAT=MLN","Sort=A","Dates=H","DateFormat=P","Fill=—","Direction=H","UseDPDF=Y")</f>
        <v>416</v>
      </c>
      <c r="Y14" s="13">
        <f>_xll.BDH("NBIX US Equity","ARD_TOTAL_OPERATING_EXPENSES","FQ2 2024","FQ2 2024","Currency=USD","Period=FQ","BEST_FPERIOD_OVERRIDE=FQ","FILING_STATUS=MR","SCALING_FORMAT=MLN","Sort=A","Dates=H","DateFormat=P","Fill=—","Direction=H","UseDPDF=Y")</f>
        <v>444.8</v>
      </c>
      <c r="Z14" s="13">
        <f>_xll.BDH("NBIX US Equity","ARD_TOTAL_OPERATING_EXPENSES","FQ3 2024","FQ3 2024","Currency=USD","Period=FQ","BEST_FPERIOD_OVERRIDE=FQ","FILING_STATUS=MR","SCALING_FORMAT=MLN","Sort=A","Dates=H","DateFormat=P","Fill=—","Direction=H","UseDPDF=Y")</f>
        <v>438.3</v>
      </c>
      <c r="AA14" s="13">
        <f>_xll.BDH("NBIX US Equity","ARD_TOTAL_OPERATING_EXPENSES","FQ4 2024","FQ4 2024","Currency=USD","Period=FQ","BEST_FPERIOD_OVERRIDE=FQ","FILING_STATUS=MR","SCALING_FORMAT=MLN","Sort=A","Dates=H","DateFormat=P","Fill=—","Direction=H","UseDPDF=Y")</f>
        <v>485.7</v>
      </c>
    </row>
    <row r="15" spans="1:27" x14ac:dyDescent="0.25">
      <c r="A15" s="10" t="s">
        <v>434</v>
      </c>
      <c r="B15" s="10" t="s">
        <v>435</v>
      </c>
      <c r="C15" s="13">
        <f>_xll.BDH("NBIX US Equity","ARD_R&amp;D_EXPENDITURES","FQ4 2018","FQ4 2018","Currency=USD","Period=FQ","BEST_FPERIOD_OVERRIDE=FQ","FILING_STATUS=MR","SCALING_FORMAT=MLN","Sort=A","Dates=H","DateFormat=P","Fill=—","Direction=H","UseDPDF=Y")</f>
        <v>39.106999999999999</v>
      </c>
      <c r="D15" s="13">
        <f>_xll.BDH("NBIX US Equity","ARD_R&amp;D_EXPENDITURES","FQ1 2019","FQ1 2019","Currency=USD","Period=FQ","BEST_FPERIOD_OVERRIDE=FQ","FILING_STATUS=MR","SCALING_FORMAT=MLN","Sort=A","Dates=H","DateFormat=P","Fill=—","Direction=H","UseDPDF=Y")</f>
        <v>37.652000000000001</v>
      </c>
      <c r="E15" s="13">
        <f>_xll.BDH("NBIX US Equity","ARD_R&amp;D_EXPENDITURES","FQ2 2019","FQ2 2019","Currency=USD","Period=FQ","BEST_FPERIOD_OVERRIDE=FQ","FILING_STATUS=MR","SCALING_FORMAT=MLN","Sort=A","Dates=H","DateFormat=P","Fill=—","Direction=H","UseDPDF=Y")</f>
        <v>61.686999999999998</v>
      </c>
      <c r="F15" s="13">
        <f>_xll.BDH("NBIX US Equity","ARD_R&amp;D_EXPENDITURES","FQ3 2019","FQ3 2019","Currency=USD","Period=FQ","BEST_FPERIOD_OVERRIDE=FQ","FILING_STATUS=MR","SCALING_FORMAT=MLN","Sort=A","Dates=H","DateFormat=P","Fill=—","Direction=H","UseDPDF=Y")</f>
        <v>45.277999999999999</v>
      </c>
      <c r="G15" s="13">
        <f>_xll.BDH("NBIX US Equity","ARD_R&amp;D_EXPENDITURES","FQ4 2019","FQ4 2019","Currency=USD","Period=FQ","BEST_FPERIOD_OVERRIDE=FQ","FILING_STATUS=MR","SCALING_FORMAT=MLN","Sort=A","Dates=H","DateFormat=P","Fill=—","Direction=H","UseDPDF=Y")</f>
        <v>55.3</v>
      </c>
      <c r="H15" s="13">
        <f>_xll.BDH("NBIX US Equity","ARD_R&amp;D_EXPENDITURES","FQ1 2020","FQ1 2020","Currency=USD","Period=FQ","BEST_FPERIOD_OVERRIDE=FQ","FILING_STATUS=MR","SCALING_FORMAT=MLN","Sort=A","Dates=H","DateFormat=P","Fill=—","Direction=H","UseDPDF=Y")</f>
        <v>58.3</v>
      </c>
      <c r="I15" s="13">
        <f>_xll.BDH("NBIX US Equity","ARD_R&amp;D_EXPENDITURES","FQ2 2020","FQ2 2020","Currency=USD","Period=FQ","BEST_FPERIOD_OVERRIDE=FQ","FILING_STATUS=MR","SCALING_FORMAT=MLN","Sort=A","Dates=H","DateFormat=P","Fill=—","Direction=H","UseDPDF=Y")</f>
        <v>80.900000000000006</v>
      </c>
      <c r="J15" s="13">
        <f>_xll.BDH("NBIX US Equity","ARD_R&amp;D_EXPENDITURES","FQ3 2020","FQ3 2020","Currency=USD","Period=FQ","BEST_FPERIOD_OVERRIDE=FQ","FILING_STATUS=MR","SCALING_FORMAT=MLN","Sort=A","Dates=H","DateFormat=P","Fill=—","Direction=H","UseDPDF=Y")</f>
        <v>69.099999999999994</v>
      </c>
      <c r="K15" s="13">
        <f>_xll.BDH("NBIX US Equity","ARD_R&amp;D_EXPENDITURES","FQ4 2020","FQ4 2020","Currency=USD","Period=FQ","BEST_FPERIOD_OVERRIDE=FQ","FILING_STATUS=MR","SCALING_FORMAT=MLN","Sort=A","Dates=H","DateFormat=P","Fill=—","Direction=H","UseDPDF=Y")</f>
        <v>66.7</v>
      </c>
      <c r="L15" s="13">
        <f>_xll.BDH("NBIX US Equity","ARD_R&amp;D_EXPENDITURES","FQ1 2021","FQ1 2021","Currency=USD","Period=FQ","BEST_FPERIOD_OVERRIDE=FQ","FILING_STATUS=MR","SCALING_FORMAT=MLN","Sort=A","Dates=H","DateFormat=P","Fill=—","Direction=H","UseDPDF=Y")</f>
        <v>73.2</v>
      </c>
      <c r="M15" s="13">
        <f>_xll.BDH("NBIX US Equity","ARD_R&amp;D_EXPENDITURES","FQ2 2021","FQ2 2021","Currency=USD","Period=FQ","BEST_FPERIOD_OVERRIDE=FQ","FILING_STATUS=MR","SCALING_FORMAT=MLN","Sort=A","Dates=H","DateFormat=P","Fill=—","Direction=H","UseDPDF=Y")</f>
        <v>74.8</v>
      </c>
      <c r="N15" s="13">
        <f>_xll.BDH("NBIX US Equity","ARD_R&amp;D_EXPENDITURES","FQ3 2021","FQ3 2021","Currency=USD","Period=FQ","BEST_FPERIOD_OVERRIDE=FQ","FILING_STATUS=MR","SCALING_FORMAT=MLN","Sort=A","Dates=H","DateFormat=P","Fill=—","Direction=H","UseDPDF=Y")</f>
        <v>92.7</v>
      </c>
      <c r="O15" s="13">
        <f>_xll.BDH("NBIX US Equity","ARD_R&amp;D_EXPENDITURES","FQ4 2021","FQ4 2021","Currency=USD","Period=FQ","BEST_FPERIOD_OVERRIDE=FQ","FILING_STATUS=MR","SCALING_FORMAT=MLN","Sort=A","Dates=H","DateFormat=P","Fill=—","Direction=H","UseDPDF=Y")</f>
        <v>87.4</v>
      </c>
      <c r="P15" s="13">
        <f>_xll.BDH("NBIX US Equity","ARD_R&amp;D_EXPENDITURES","FQ1 2022","FQ1 2022","Currency=USD","Period=FQ","BEST_FPERIOD_OVERRIDE=FQ","FILING_STATUS=MR","SCALING_FORMAT=MLN","Sort=A","Dates=H","DateFormat=P","Fill=—","Direction=H","UseDPDF=Y")</f>
        <v>102.2</v>
      </c>
      <c r="Q15" s="13">
        <f>_xll.BDH("NBIX US Equity","ARD_R&amp;D_EXPENDITURES","FQ2 2022","FQ2 2022","Currency=USD","Period=FQ","BEST_FPERIOD_OVERRIDE=FQ","FILING_STATUS=MR","SCALING_FORMAT=MLN","Sort=A","Dates=H","DateFormat=P","Fill=—","Direction=H","UseDPDF=Y")</f>
        <v>135.9</v>
      </c>
      <c r="R15" s="13">
        <f>_xll.BDH("NBIX US Equity","ARD_R&amp;D_EXPENDITURES","FQ3 2022","FQ3 2022","Currency=USD","Period=FQ","BEST_FPERIOD_OVERRIDE=FQ","FILING_STATUS=MR","SCALING_FORMAT=MLN","Sort=A","Dates=H","DateFormat=P","Fill=—","Direction=H","UseDPDF=Y")</f>
        <v>107.7</v>
      </c>
      <c r="S15" s="13">
        <f>_xll.BDH("NBIX US Equity","ARD_R&amp;D_EXPENDITURES","FQ4 2022","FQ4 2022","Currency=USD","Period=FQ","BEST_FPERIOD_OVERRIDE=FQ","FILING_STATUS=MR","SCALING_FORMAT=MLN","Sort=A","Dates=H","DateFormat=P","Fill=—","Direction=H","UseDPDF=Y")</f>
        <v>118</v>
      </c>
      <c r="T15" s="13">
        <f>_xll.BDH("NBIX US Equity","ARD_R&amp;D_EXPENDITURES","FQ1 2023","FQ1 2023","Currency=USD","Period=FQ","BEST_FPERIOD_OVERRIDE=FQ","FILING_STATUS=MR","SCALING_FORMAT=MLN","Sort=A","Dates=H","DateFormat=P","Fill=—","Direction=H","UseDPDF=Y")</f>
        <v>139.5</v>
      </c>
      <c r="U15" s="13">
        <f>_xll.BDH("NBIX US Equity","ARD_R&amp;D_EXPENDITURES","FQ2 2023","FQ2 2023","Currency=USD","Period=FQ","BEST_FPERIOD_OVERRIDE=FQ","FILING_STATUS=MR","SCALING_FORMAT=MLN","Sort=A","Dates=H","DateFormat=P","Fill=—","Direction=H","UseDPDF=Y")</f>
        <v>145.80000000000001</v>
      </c>
      <c r="V15" s="13">
        <f>_xll.BDH("NBIX US Equity","ARD_R&amp;D_EXPENDITURES","FQ3 2023","FQ3 2023","Currency=USD","Period=FQ","BEST_FPERIOD_OVERRIDE=FQ","FILING_STATUS=MR","SCALING_FORMAT=MLN","Sort=A","Dates=H","DateFormat=P","Fill=—","Direction=H","UseDPDF=Y")</f>
        <v>142.19999999999999</v>
      </c>
      <c r="W15" s="13">
        <f>_xll.BDH("NBIX US Equity","ARD_R&amp;D_EXPENDITURES","FQ4 2023","FQ4 2023","Currency=USD","Period=FQ","BEST_FPERIOD_OVERRIDE=FQ","FILING_STATUS=MR","SCALING_FORMAT=MLN","Sort=A","Dates=H","DateFormat=P","Fill=—","Direction=H","UseDPDF=Y")</f>
        <v>137.5</v>
      </c>
      <c r="X15" s="13">
        <f>_xll.BDH("NBIX US Equity","ARD_R&amp;D_EXPENDITURES","FQ1 2024","FQ1 2024","Currency=USD","Period=FQ","BEST_FPERIOD_OVERRIDE=FQ","FILING_STATUS=MR","SCALING_FORMAT=MLN","Sort=A","Dates=H","DateFormat=P","Fill=—","Direction=H","UseDPDF=Y")</f>
        <v>159.4</v>
      </c>
      <c r="Y15" s="13">
        <f>_xll.BDH("NBIX US Equity","ARD_R&amp;D_EXPENDITURES","FQ2 2024","FQ2 2024","Currency=USD","Period=FQ","BEST_FPERIOD_OVERRIDE=FQ","FILING_STATUS=MR","SCALING_FORMAT=MLN","Sort=A","Dates=H","DateFormat=P","Fill=—","Direction=H","UseDPDF=Y")</f>
        <v>191.1</v>
      </c>
      <c r="Z15" s="13">
        <f>_xll.BDH("NBIX US Equity","ARD_R&amp;D_EXPENDITURES","FQ3 2024","FQ3 2024","Currency=USD","Period=FQ","BEST_FPERIOD_OVERRIDE=FQ","FILING_STATUS=MR","SCALING_FORMAT=MLN","Sort=A","Dates=H","DateFormat=P","Fill=—","Direction=H","UseDPDF=Y")</f>
        <v>195</v>
      </c>
      <c r="AA15" s="13">
        <f>_xll.BDH("NBIX US Equity","ARD_R&amp;D_EXPENDITURES","FQ4 2024","FQ4 2024","Currency=USD","Period=FQ","BEST_FPERIOD_OVERRIDE=FQ","FILING_STATUS=MR","SCALING_FORMAT=MLN","Sort=A","Dates=H","DateFormat=P","Fill=—","Direction=H","UseDPDF=Y")</f>
        <v>185.6</v>
      </c>
    </row>
    <row r="16" spans="1:27" x14ac:dyDescent="0.25">
      <c r="A16" s="10" t="s">
        <v>436</v>
      </c>
      <c r="B16" s="10" t="s">
        <v>437</v>
      </c>
      <c r="C16" s="13" t="str">
        <f>_xll.BDH("NBIX US Equity","ARD_ACQUIRED_IN_PROCESS_R&amp;D","FQ4 2018","FQ4 2018","Currency=USD","Period=FQ","BEST_FPERIOD_OVERRIDE=FQ","FILING_STATUS=MR","SCALING_FORMAT=MLN","Sort=A","Dates=H","DateFormat=P","Fill=—","Direction=H","UseDPDF=Y")</f>
        <v>—</v>
      </c>
      <c r="D16" s="13">
        <f>_xll.BDH("NBIX US Equity","ARD_ACQUIRED_IN_PROCESS_R&amp;D","FQ1 2019","FQ1 2019","Currency=USD","Period=FQ","BEST_FPERIOD_OVERRIDE=FQ","FILING_STATUS=MR","SCALING_FORMAT=MLN","Sort=A","Dates=H","DateFormat=P","Fill=—","Direction=H","UseDPDF=Y")</f>
        <v>113.081</v>
      </c>
      <c r="E16" s="13">
        <f>_xll.BDH("NBIX US Equity","ARD_ACQUIRED_IN_PROCESS_R&amp;D","FQ2 2019","FQ2 2019","Currency=USD","Period=FQ","BEST_FPERIOD_OVERRIDE=FQ","FILING_STATUS=MR","SCALING_FORMAT=MLN","Sort=A","Dates=H","DateFormat=P","Fill=—","Direction=H","UseDPDF=Y")</f>
        <v>5</v>
      </c>
      <c r="F16" s="13">
        <f>_xll.BDH("NBIX US Equity","ARD_ACQUIRED_IN_PROCESS_R&amp;D","FQ3 2019","FQ3 2019","Currency=USD","Period=FQ","BEST_FPERIOD_OVERRIDE=FQ","FILING_STATUS=MR","SCALING_FORMAT=MLN","Sort=A","Dates=H","DateFormat=P","Fill=—","Direction=H","UseDPDF=Y")</f>
        <v>0</v>
      </c>
      <c r="G16" s="13">
        <f>_xll.BDH("NBIX US Equity","ARD_ACQUIRED_IN_PROCESS_R&amp;D","FQ4 2019","FQ4 2019","Currency=USD","Period=FQ","BEST_FPERIOD_OVERRIDE=FQ","FILING_STATUS=MR","SCALING_FORMAT=MLN","Sort=A","Dates=H","DateFormat=P","Fill=—","Direction=H","UseDPDF=Y")</f>
        <v>36.200000000000003</v>
      </c>
      <c r="H16" s="13" t="str">
        <f>_xll.BDH("NBIX US Equity","ARD_ACQUIRED_IN_PROCESS_R&amp;D","FQ1 2020","FQ1 2020","Currency=USD","Period=FQ","BEST_FPERIOD_OVERRIDE=FQ","FILING_STATUS=MR","SCALING_FORMAT=MLN","Sort=A","Dates=H","DateFormat=P","Fill=—","Direction=H","UseDPDF=Y")</f>
        <v>—</v>
      </c>
      <c r="I16" s="13">
        <f>_xll.BDH("NBIX US Equity","ARD_ACQUIRED_IN_PROCESS_R&amp;D","FQ2 2020","FQ2 2020","Currency=USD","Period=FQ","BEST_FPERIOD_OVERRIDE=FQ","FILING_STATUS=MR","SCALING_FORMAT=MLN","Sort=A","Dates=H","DateFormat=P","Fill=—","Direction=H","UseDPDF=Y")</f>
        <v>46</v>
      </c>
      <c r="J16" s="13">
        <f>_xll.BDH("NBIX US Equity","ARD_ACQUIRED_IN_PROCESS_R&amp;D","FQ3 2020","FQ3 2020","Currency=USD","Period=FQ","BEST_FPERIOD_OVERRIDE=FQ","FILING_STATUS=MR","SCALING_FORMAT=MLN","Sort=A","Dates=H","DateFormat=P","Fill=—","Direction=H","UseDPDF=Y")</f>
        <v>118.5</v>
      </c>
      <c r="K16" s="13">
        <f>_xll.BDH("NBIX US Equity","ARD_ACQUIRED_IN_PROCESS_R&amp;D","FQ4 2020","FQ4 2020","Currency=USD","Period=FQ","BEST_FPERIOD_OVERRIDE=FQ","FILING_STATUS=MR","SCALING_FORMAT=MLN","Sort=A","Dates=H","DateFormat=P","Fill=—","Direction=H","UseDPDF=Y")</f>
        <v>0</v>
      </c>
      <c r="L16" s="13" t="str">
        <f>_xll.BDH("NBIX US Equity","ARD_ACQUIRED_IN_PROCESS_R&amp;D","FQ1 2021","FQ1 2021","Currency=USD","Period=FQ","BEST_FPERIOD_OVERRIDE=FQ","FILING_STATUS=MR","SCALING_FORMAT=MLN","Sort=A","Dates=H","DateFormat=P","Fill=—","Direction=H","UseDPDF=Y")</f>
        <v>—</v>
      </c>
      <c r="M16" s="13">
        <f>_xll.BDH("NBIX US Equity","ARD_ACQUIRED_IN_PROCESS_R&amp;D","FQ2 2021","FQ2 2021","Currency=USD","Period=FQ","BEST_FPERIOD_OVERRIDE=FQ","FILING_STATUS=MR","SCALING_FORMAT=MLN","Sort=A","Dates=H","DateFormat=P","Fill=—","Direction=H","UseDPDF=Y")</f>
        <v>5</v>
      </c>
      <c r="N16" s="13">
        <f>_xll.BDH("NBIX US Equity","ARD_ACQUIRED_IN_PROCESS_R&amp;D","FQ3 2021","FQ3 2021","Currency=USD","Period=FQ","BEST_FPERIOD_OVERRIDE=FQ","FILING_STATUS=MR","SCALING_FORMAT=MLN","Sort=A","Dates=H","DateFormat=P","Fill=—","Direction=H","UseDPDF=Y")</f>
        <v>0</v>
      </c>
      <c r="O16" s="13">
        <f>_xll.BDH("NBIX US Equity","ARD_ACQUIRED_IN_PROCESS_R&amp;D","FQ4 2021","FQ4 2021","Currency=USD","Period=FQ","BEST_FPERIOD_OVERRIDE=FQ","FILING_STATUS=MR","SCALING_FORMAT=MLN","Sort=A","Dates=H","DateFormat=P","Fill=—","Direction=H","UseDPDF=Y")</f>
        <v>100.3</v>
      </c>
      <c r="P16" s="13" t="str">
        <f>_xll.BDH("NBIX US Equity","ARD_ACQUIRED_IN_PROCESS_R&amp;D","FQ1 2022","FQ1 2022","Currency=USD","Period=FQ","BEST_FPERIOD_OVERRIDE=FQ","FILING_STATUS=MR","SCALING_FORMAT=MLN","Sort=A","Dates=H","DateFormat=P","Fill=—","Direction=H","UseDPDF=Y")</f>
        <v>—</v>
      </c>
      <c r="Q16" s="13">
        <f>_xll.BDH("NBIX US Equity","ARD_ACQUIRED_IN_PROCESS_R&amp;D","FQ2 2022","FQ2 2022","Currency=USD","Period=FQ","BEST_FPERIOD_OVERRIDE=FQ","FILING_STATUS=MR","SCALING_FORMAT=MLN","Sort=A","Dates=H","DateFormat=P","Fill=—","Direction=H","UseDPDF=Y")</f>
        <v>0</v>
      </c>
      <c r="R16" s="13">
        <f>_xll.BDH("NBIX US Equity","ARD_ACQUIRED_IN_PROCESS_R&amp;D","FQ3 2022","FQ3 2022","Currency=USD","Period=FQ","BEST_FPERIOD_OVERRIDE=FQ","FILING_STATUS=MR","SCALING_FORMAT=MLN","Sort=A","Dates=H","DateFormat=P","Fill=—","Direction=H","UseDPDF=Y")</f>
        <v>0</v>
      </c>
      <c r="S16" s="13">
        <f>_xll.BDH("NBIX US Equity","ARD_ACQUIRED_IN_PROCESS_R&amp;D","FQ4 2022","FQ4 2022","Currency=USD","Period=FQ","BEST_FPERIOD_OVERRIDE=FQ","FILING_STATUS=MR","SCALING_FORMAT=MLN","Sort=A","Dates=H","DateFormat=P","Fill=—","Direction=H","UseDPDF=Y")</f>
        <v>0</v>
      </c>
      <c r="T16" s="13">
        <f>_xll.BDH("NBIX US Equity","ARD_ACQUIRED_IN_PROCESS_R&amp;D","FQ1 2023","FQ1 2023","Currency=USD","Period=FQ","BEST_FPERIOD_OVERRIDE=FQ","FILING_STATUS=MR","SCALING_FORMAT=MLN","Sort=A","Dates=H","DateFormat=P","Fill=—","Direction=H","UseDPDF=Y")</f>
        <v>143.9</v>
      </c>
      <c r="U16" s="13">
        <f>_xll.BDH("NBIX US Equity","ARD_ACQUIRED_IN_PROCESS_R&amp;D","FQ2 2023","FQ2 2023","Currency=USD","Period=FQ","BEST_FPERIOD_OVERRIDE=FQ","FILING_STATUS=MR","SCALING_FORMAT=MLN","Sort=A","Dates=H","DateFormat=P","Fill=—","Direction=H","UseDPDF=Y")</f>
        <v>0</v>
      </c>
      <c r="V16" s="13">
        <f>_xll.BDH("NBIX US Equity","ARD_ACQUIRED_IN_PROCESS_R&amp;D","FQ3 2023","FQ3 2023","Currency=USD","Period=FQ","BEST_FPERIOD_OVERRIDE=FQ","FILING_STATUS=MR","SCALING_FORMAT=MLN","Sort=A","Dates=H","DateFormat=P","Fill=—","Direction=H","UseDPDF=Y")</f>
        <v>0</v>
      </c>
      <c r="W16" s="13">
        <f>_xll.BDH("NBIX US Equity","ARD_ACQUIRED_IN_PROCESS_R&amp;D","FQ4 2023","FQ4 2023","Currency=USD","Period=FQ","BEST_FPERIOD_OVERRIDE=FQ","FILING_STATUS=MR","SCALING_FORMAT=MLN","Sort=A","Dates=H","DateFormat=P","Fill=—","Direction=H","UseDPDF=Y")</f>
        <v>0</v>
      </c>
      <c r="X16" s="13">
        <f>_xll.BDH("NBIX US Equity","ARD_ACQUIRED_IN_PROCESS_R&amp;D","FQ1 2024","FQ1 2024","Currency=USD","Period=FQ","BEST_FPERIOD_OVERRIDE=FQ","FILING_STATUS=MR","SCALING_FORMAT=MLN","Sort=A","Dates=H","DateFormat=P","Fill=—","Direction=H","UseDPDF=Y")</f>
        <v>6</v>
      </c>
      <c r="Y16" s="13">
        <f>_xll.BDH("NBIX US Equity","ARD_ACQUIRED_IN_PROCESS_R&amp;D","FQ2 2024","FQ2 2024","Currency=USD","Period=FQ","BEST_FPERIOD_OVERRIDE=FQ","FILING_STATUS=MR","SCALING_FORMAT=MLN","Sort=A","Dates=H","DateFormat=P","Fill=—","Direction=H","UseDPDF=Y")</f>
        <v>2.5</v>
      </c>
      <c r="Z16" s="13">
        <f>_xll.BDH("NBIX US Equity","ARD_ACQUIRED_IN_PROCESS_R&amp;D","FQ3 2024","FQ3 2024","Currency=USD","Period=FQ","BEST_FPERIOD_OVERRIDE=FQ","FILING_STATUS=MR","SCALING_FORMAT=MLN","Sort=A","Dates=H","DateFormat=P","Fill=—","Direction=H","UseDPDF=Y")</f>
        <v>1</v>
      </c>
      <c r="AA16" s="13">
        <f>_xll.BDH("NBIX US Equity","ARD_ACQUIRED_IN_PROCESS_R&amp;D","FQ4 2024","FQ4 2024","Currency=USD","Period=FQ","BEST_FPERIOD_OVERRIDE=FQ","FILING_STATUS=MR","SCALING_FORMAT=MLN","Sort=A","Dates=H","DateFormat=P","Fill=—","Direction=H","UseDPDF=Y")</f>
        <v>3</v>
      </c>
    </row>
    <row r="17" spans="1:27" x14ac:dyDescent="0.25">
      <c r="A17" s="10" t="s">
        <v>438</v>
      </c>
      <c r="B17" s="10" t="s">
        <v>439</v>
      </c>
      <c r="C17" s="13">
        <f>_xll.BDH("NBIX US Equity","ARD_GENERAL_ADMINISTRATIVE_EXP","FQ4 2018","FQ4 2018","Currency=USD","Period=FQ","BEST_FPERIOD_OVERRIDE=FQ","FILING_STATUS=MR","SCALING_FORMAT=MLN","Sort=A","Dates=H","DateFormat=P","Fill=—","Direction=H","UseDPDF=Y")</f>
        <v>68.98</v>
      </c>
      <c r="D17" s="13">
        <f>_xll.BDH("NBIX US Equity","ARD_GENERAL_ADMINISTRATIVE_EXP","FQ1 2019","FQ1 2019","Currency=USD","Period=FQ","BEST_FPERIOD_OVERRIDE=FQ","FILING_STATUS=MR","SCALING_FORMAT=MLN","Sort=A","Dates=H","DateFormat=P","Fill=—","Direction=H","UseDPDF=Y")</f>
        <v>87.537999999999997</v>
      </c>
      <c r="E17" s="13">
        <f>_xll.BDH("NBIX US Equity","ARD_GENERAL_ADMINISTRATIVE_EXP","FQ2 2019","FQ2 2019","Currency=USD","Period=FQ","BEST_FPERIOD_OVERRIDE=FQ","FILING_STATUS=MR","SCALING_FORMAT=MLN","Sort=A","Dates=H","DateFormat=P","Fill=—","Direction=H","UseDPDF=Y")</f>
        <v>80.823999999999998</v>
      </c>
      <c r="F17" s="13">
        <f>_xll.BDH("NBIX US Equity","ARD_GENERAL_ADMINISTRATIVE_EXP","FQ3 2019","FQ3 2019","Currency=USD","Period=FQ","BEST_FPERIOD_OVERRIDE=FQ","FILING_STATUS=MR","SCALING_FORMAT=MLN","Sort=A","Dates=H","DateFormat=P","Fill=—","Direction=H","UseDPDF=Y")</f>
        <v>84.489000000000004</v>
      </c>
      <c r="G17" s="13">
        <f>_xll.BDH("NBIX US Equity","ARD_GENERAL_ADMINISTRATIVE_EXP","FQ4 2019","FQ4 2019","Currency=USD","Period=FQ","BEST_FPERIOD_OVERRIDE=FQ","FILING_STATUS=MR","SCALING_FORMAT=MLN","Sort=A","Dates=H","DateFormat=P","Fill=—","Direction=H","UseDPDF=Y")</f>
        <v>101.3</v>
      </c>
      <c r="H17" s="13">
        <f>_xll.BDH("NBIX US Equity","ARD_GENERAL_ADMINISTRATIVE_EXP","FQ1 2020","FQ1 2020","Currency=USD","Period=FQ","BEST_FPERIOD_OVERRIDE=FQ","FILING_STATUS=MR","SCALING_FORMAT=MLN","Sort=A","Dates=H","DateFormat=P","Fill=—","Direction=H","UseDPDF=Y")</f>
        <v>117.8</v>
      </c>
      <c r="I17" s="13">
        <f>_xll.BDH("NBIX US Equity","ARD_GENERAL_ADMINISTRATIVE_EXP","FQ2 2020","FQ2 2020","Currency=USD","Period=FQ","BEST_FPERIOD_OVERRIDE=FQ","FILING_STATUS=MR","SCALING_FORMAT=MLN","Sort=A","Dates=H","DateFormat=P","Fill=—","Direction=H","UseDPDF=Y")</f>
        <v>96.5</v>
      </c>
      <c r="J17" s="13">
        <f>_xll.BDH("NBIX US Equity","ARD_GENERAL_ADMINISTRATIVE_EXP","FQ3 2020","FQ3 2020","Currency=USD","Period=FQ","BEST_FPERIOD_OVERRIDE=FQ","FILING_STATUS=MR","SCALING_FORMAT=MLN","Sort=A","Dates=H","DateFormat=P","Fill=—","Direction=H","UseDPDF=Y")</f>
        <v>112.5</v>
      </c>
      <c r="K17" s="13">
        <f>_xll.BDH("NBIX US Equity","ARD_GENERAL_ADMINISTRATIVE_EXP","FQ4 2020","FQ4 2020","Currency=USD","Period=FQ","BEST_FPERIOD_OVERRIDE=FQ","FILING_STATUS=MR","SCALING_FORMAT=MLN","Sort=A","Dates=H","DateFormat=P","Fill=—","Direction=H","UseDPDF=Y")</f>
        <v>106.5</v>
      </c>
      <c r="L17" s="13">
        <f>_xll.BDH("NBIX US Equity","ARD_GENERAL_ADMINISTRATIVE_EXP","FQ1 2021","FQ1 2021","Currency=USD","Period=FQ","BEST_FPERIOD_OVERRIDE=FQ","FILING_STATUS=MR","SCALING_FORMAT=MLN","Sort=A","Dates=H","DateFormat=P","Fill=—","Direction=H","UseDPDF=Y")</f>
        <v>129</v>
      </c>
      <c r="M17" s="13">
        <f>_xll.BDH("NBIX US Equity","ARD_GENERAL_ADMINISTRATIVE_EXP","FQ2 2021","FQ2 2021","Currency=USD","Period=FQ","BEST_FPERIOD_OVERRIDE=FQ","FILING_STATUS=MR","SCALING_FORMAT=MLN","Sort=A","Dates=H","DateFormat=P","Fill=—","Direction=H","UseDPDF=Y")</f>
        <v>143.19999999999999</v>
      </c>
      <c r="N17" s="13">
        <f>_xll.BDH("NBIX US Equity","ARD_GENERAL_ADMINISTRATIVE_EXP","FQ3 2021","FQ3 2021","Currency=USD","Period=FQ","BEST_FPERIOD_OVERRIDE=FQ","FILING_STATUS=MR","SCALING_FORMAT=MLN","Sort=A","Dates=H","DateFormat=P","Fill=—","Direction=H","UseDPDF=Y")</f>
        <v>154.6</v>
      </c>
      <c r="O17" s="13">
        <f>_xll.BDH("NBIX US Equity","ARD_GENERAL_ADMINISTRATIVE_EXP","FQ4 2021","FQ4 2021","Currency=USD","Period=FQ","BEST_FPERIOD_OVERRIDE=FQ","FILING_STATUS=MR","SCALING_FORMAT=MLN","Sort=A","Dates=H","DateFormat=P","Fill=—","Direction=H","UseDPDF=Y")</f>
        <v>156.5</v>
      </c>
      <c r="P17" s="13">
        <f>_xll.BDH("NBIX US Equity","ARD_GENERAL_ADMINISTRATIVE_EXP","FQ1 2022","FQ1 2022","Currency=USD","Period=FQ","BEST_FPERIOD_OVERRIDE=FQ","FILING_STATUS=MR","SCALING_FORMAT=MLN","Sort=A","Dates=H","DateFormat=P","Fill=—","Direction=H","UseDPDF=Y")</f>
        <v>200.7</v>
      </c>
      <c r="Q17" s="13">
        <f>_xll.BDH("NBIX US Equity","ARD_GENERAL_ADMINISTRATIVE_EXP","FQ2 2022","FQ2 2022","Currency=USD","Period=FQ","BEST_FPERIOD_OVERRIDE=FQ","FILING_STATUS=MR","SCALING_FORMAT=MLN","Sort=A","Dates=H","DateFormat=P","Fill=—","Direction=H","UseDPDF=Y")</f>
        <v>182.8</v>
      </c>
      <c r="R17" s="13">
        <f>_xll.BDH("NBIX US Equity","ARD_GENERAL_ADMINISTRATIVE_EXP","FQ3 2022","FQ3 2022","Currency=USD","Period=FQ","BEST_FPERIOD_OVERRIDE=FQ","FILING_STATUS=MR","SCALING_FORMAT=MLN","Sort=A","Dates=H","DateFormat=P","Fill=—","Direction=H","UseDPDF=Y")</f>
        <v>186.3</v>
      </c>
      <c r="S17" s="13">
        <f>_xll.BDH("NBIX US Equity","ARD_GENERAL_ADMINISTRATIVE_EXP","FQ4 2022","FQ4 2022","Currency=USD","Period=FQ","BEST_FPERIOD_OVERRIDE=FQ","FILING_STATUS=MR","SCALING_FORMAT=MLN","Sort=A","Dates=H","DateFormat=P","Fill=—","Direction=H","UseDPDF=Y")</f>
        <v>182.9</v>
      </c>
      <c r="T17" s="13">
        <f>_xll.BDH("NBIX US Equity","ARD_GENERAL_ADMINISTRATIVE_EXP","FQ1 2023","FQ1 2023","Currency=USD","Period=FQ","BEST_FPERIOD_OVERRIDE=FQ","FILING_STATUS=MR","SCALING_FORMAT=MLN","Sort=A","Dates=H","DateFormat=P","Fill=—","Direction=H","UseDPDF=Y")</f>
        <v>242.7</v>
      </c>
      <c r="U17" s="13">
        <f>_xll.BDH("NBIX US Equity","ARD_GENERAL_ADMINISTRATIVE_EXP","FQ2 2023","FQ2 2023","Currency=USD","Period=FQ","BEST_FPERIOD_OVERRIDE=FQ","FILING_STATUS=MR","SCALING_FORMAT=MLN","Sort=A","Dates=H","DateFormat=P","Fill=—","Direction=H","UseDPDF=Y")</f>
        <v>221.8</v>
      </c>
      <c r="V17" s="13">
        <f>_xll.BDH("NBIX US Equity","ARD_GENERAL_ADMINISTRATIVE_EXP","FQ3 2023","FQ3 2023","Currency=USD","Period=FQ","BEST_FPERIOD_OVERRIDE=FQ","FILING_STATUS=MR","SCALING_FORMAT=MLN","Sort=A","Dates=H","DateFormat=P","Fill=—","Direction=H","UseDPDF=Y")</f>
        <v>204.2</v>
      </c>
      <c r="W17" s="13">
        <f>_xll.BDH("NBIX US Equity","ARD_GENERAL_ADMINISTRATIVE_EXP","FQ4 2023","FQ4 2023","Currency=USD","Period=FQ","BEST_FPERIOD_OVERRIDE=FQ","FILING_STATUS=MR","SCALING_FORMAT=MLN","Sort=A","Dates=H","DateFormat=P","Fill=—","Direction=H","UseDPDF=Y")</f>
        <v>218.9</v>
      </c>
      <c r="X17" s="13">
        <f>_xll.BDH("NBIX US Equity","ARD_GENERAL_ADMINISTRATIVE_EXP","FQ1 2024","FQ1 2024","Currency=USD","Period=FQ","BEST_FPERIOD_OVERRIDE=FQ","FILING_STATUS=MR","SCALING_FORMAT=MLN","Sort=A","Dates=H","DateFormat=P","Fill=—","Direction=H","UseDPDF=Y")</f>
        <v>243.1</v>
      </c>
      <c r="Y17" s="13">
        <f>_xll.BDH("NBIX US Equity","ARD_GENERAL_ADMINISTRATIVE_EXP","FQ2 2024","FQ2 2024","Currency=USD","Period=FQ","BEST_FPERIOD_OVERRIDE=FQ","FILING_STATUS=MR","SCALING_FORMAT=MLN","Sort=A","Dates=H","DateFormat=P","Fill=—","Direction=H","UseDPDF=Y")</f>
        <v>242</v>
      </c>
      <c r="Z17" s="13">
        <f>_xll.BDH("NBIX US Equity","ARD_GENERAL_ADMINISTRATIVE_EXP","FQ3 2024","FQ3 2024","Currency=USD","Period=FQ","BEST_FPERIOD_OVERRIDE=FQ","FILING_STATUS=MR","SCALING_FORMAT=MLN","Sort=A","Dates=H","DateFormat=P","Fill=—","Direction=H","UseDPDF=Y")</f>
        <v>234.3</v>
      </c>
      <c r="AA17" s="13">
        <f>_xll.BDH("NBIX US Equity","ARD_GENERAL_ADMINISTRATIVE_EXP","FQ4 2024","FQ4 2024","Currency=USD","Period=FQ","BEST_FPERIOD_OVERRIDE=FQ","FILING_STATUS=MR","SCALING_FORMAT=MLN","Sort=A","Dates=H","DateFormat=P","Fill=—","Direction=H","UseDPDF=Y")</f>
        <v>287.8</v>
      </c>
    </row>
    <row r="18" spans="1:27" x14ac:dyDescent="0.25">
      <c r="A18" s="10" t="s">
        <v>98</v>
      </c>
      <c r="B18" s="10" t="s">
        <v>440</v>
      </c>
      <c r="C18" s="13">
        <f>_xll.BDH("NBIX US Equity","ARD_OPERATING_INCOME","FQ4 2018","FQ4 2018","Currency=USD","Period=FQ","BEST_FPERIOD_OVERRIDE=FQ","FILING_STATUS=MR","SCALING_FORMAT=MLN","Sort=A","Dates=H","DateFormat=P","Fill=—","Direction=H","UseDPDF=Y")</f>
        <v>21.870999999999999</v>
      </c>
      <c r="D18" s="13">
        <f>_xll.BDH("NBIX US Equity","ARD_OPERATING_INCOME","FQ1 2019","FQ1 2019","Currency=USD","Period=FQ","BEST_FPERIOD_OVERRIDE=FQ","FILING_STATUS=MR","SCALING_FORMAT=MLN","Sort=A","Dates=H","DateFormat=P","Fill=—","Direction=H","UseDPDF=Y")</f>
        <v>-100.997</v>
      </c>
      <c r="E18" s="13">
        <f>_xll.BDH("NBIX US Equity","ARD_OPERATING_INCOME","FQ2 2019","FQ2 2019","Currency=USD","Period=FQ","BEST_FPERIOD_OVERRIDE=FQ","FILING_STATUS=MR","SCALING_FORMAT=MLN","Sort=A","Dates=H","DateFormat=P","Fill=—","Direction=H","UseDPDF=Y")</f>
        <v>34.460999999999999</v>
      </c>
      <c r="F18" s="13">
        <f>_xll.BDH("NBIX US Equity","ARD_OPERATING_INCOME","FQ3 2019","FQ3 2019","Currency=USD","Period=FQ","BEST_FPERIOD_OVERRIDE=FQ","FILING_STATUS=MR","SCALING_FORMAT=MLN","Sort=A","Dates=H","DateFormat=P","Fill=—","Direction=H","UseDPDF=Y")</f>
        <v>90.097999999999999</v>
      </c>
      <c r="G18" s="13">
        <f>_xll.BDH("NBIX US Equity","ARD_OPERATING_INCOME","FQ4 2019","FQ4 2019","Currency=USD","Period=FQ","BEST_FPERIOD_OVERRIDE=FQ","FILING_STATUS=MR","SCALING_FORMAT=MLN","Sort=A","Dates=H","DateFormat=P","Fill=—","Direction=H","UseDPDF=Y")</f>
        <v>48.8</v>
      </c>
      <c r="H18" s="13">
        <f>_xll.BDH("NBIX US Equity","ARD_OPERATING_INCOME","FQ1 2020","FQ1 2020","Currency=USD","Period=FQ","BEST_FPERIOD_OVERRIDE=FQ","FILING_STATUS=MR","SCALING_FORMAT=MLN","Sort=A","Dates=H","DateFormat=P","Fill=—","Direction=H","UseDPDF=Y")</f>
        <v>58.9</v>
      </c>
      <c r="I18" s="13">
        <f>_xll.BDH("NBIX US Equity","ARD_OPERATING_INCOME","FQ2 2020","FQ2 2020","Currency=USD","Period=FQ","BEST_FPERIOD_OVERRIDE=FQ","FILING_STATUS=MR","SCALING_FORMAT=MLN","Sort=A","Dates=H","DateFormat=P","Fill=—","Direction=H","UseDPDF=Y")</f>
        <v>76.599999999999994</v>
      </c>
      <c r="J18" s="13">
        <f>_xll.BDH("NBIX US Equity","ARD_OPERATING_INCOME","FQ3 2020","FQ3 2020","Currency=USD","Period=FQ","BEST_FPERIOD_OVERRIDE=FQ","FILING_STATUS=MR","SCALING_FORMAT=MLN","Sort=A","Dates=H","DateFormat=P","Fill=—","Direction=H","UseDPDF=Y")</f>
        <v>-44.3</v>
      </c>
      <c r="K18" s="13">
        <f>_xll.BDH("NBIX US Equity","ARD_OPERATING_INCOME","FQ4 2020","FQ4 2020","Currency=USD","Period=FQ","BEST_FPERIOD_OVERRIDE=FQ","FILING_STATUS=MR","SCALING_FORMAT=MLN","Sort=A","Dates=H","DateFormat=P","Fill=—","Direction=H","UseDPDF=Y")</f>
        <v>71.8</v>
      </c>
      <c r="L18" s="13">
        <f>_xll.BDH("NBIX US Equity","ARD_OPERATING_INCOME","FQ1 2021","FQ1 2021","Currency=USD","Period=FQ","BEST_FPERIOD_OVERRIDE=FQ","FILING_STATUS=MR","SCALING_FORMAT=MLN","Sort=A","Dates=H","DateFormat=P","Fill=—","Direction=H","UseDPDF=Y")</f>
        <v>31.5</v>
      </c>
      <c r="M18" s="13">
        <f>_xll.BDH("NBIX US Equity","ARD_OPERATING_INCOME","FQ2 2021","FQ2 2021","Currency=USD","Period=FQ","BEST_FPERIOD_OVERRIDE=FQ","FILING_STATUS=MR","SCALING_FORMAT=MLN","Sort=A","Dates=H","DateFormat=P","Fill=—","Direction=H","UseDPDF=Y")</f>
        <v>62.8</v>
      </c>
      <c r="N18" s="13">
        <f>_xll.BDH("NBIX US Equity","ARD_OPERATING_INCOME","FQ3 2021","FQ3 2021","Currency=USD","Period=FQ","BEST_FPERIOD_OVERRIDE=FQ","FILING_STATUS=MR","SCALING_FORMAT=MLN","Sort=A","Dates=H","DateFormat=P","Fill=—","Direction=H","UseDPDF=Y")</f>
        <v>44.5</v>
      </c>
      <c r="O18" s="13">
        <f>_xll.BDH("NBIX US Equity","ARD_OPERATING_INCOME","FQ4 2021","FQ4 2021","Currency=USD","Period=FQ","BEST_FPERIOD_OVERRIDE=FQ","FILING_STATUS=MR","SCALING_FORMAT=MLN","Sort=A","Dates=H","DateFormat=P","Fill=—","Direction=H","UseDPDF=Y")</f>
        <v>-36.299999999999997</v>
      </c>
      <c r="P18" s="13">
        <f>_xll.BDH("NBIX US Equity","ARD_OPERATING_INCOME","FQ1 2022","FQ1 2022","Currency=USD","Period=FQ","BEST_FPERIOD_OVERRIDE=FQ","FILING_STATUS=MR","SCALING_FORMAT=MLN","Sort=A","Dates=H","DateFormat=P","Fill=—","Direction=H","UseDPDF=Y")</f>
        <v>3.1</v>
      </c>
      <c r="Q18" s="13">
        <f>_xll.BDH("NBIX US Equity","ARD_OPERATING_INCOME","FQ2 2022","FQ2 2022","Currency=USD","Period=FQ","BEST_FPERIOD_OVERRIDE=FQ","FILING_STATUS=MR","SCALING_FORMAT=MLN","Sort=A","Dates=H","DateFormat=P","Fill=—","Direction=H","UseDPDF=Y")</f>
        <v>54.7</v>
      </c>
      <c r="R18" s="13">
        <f>_xll.BDH("NBIX US Equity","ARD_OPERATING_INCOME","FQ3 2022","FQ3 2022","Currency=USD","Period=FQ","BEST_FPERIOD_OVERRIDE=FQ","FILING_STATUS=MR","SCALING_FORMAT=MLN","Sort=A","Dates=H","DateFormat=P","Fill=—","Direction=H","UseDPDF=Y")</f>
        <v>87.8</v>
      </c>
      <c r="S18" s="13">
        <f>_xll.BDH("NBIX US Equity","ARD_OPERATING_INCOME","FQ4 2022","FQ4 2022","Currency=USD","Period=FQ","BEST_FPERIOD_OVERRIDE=FQ","FILING_STATUS=MR","SCALING_FORMAT=MLN","Sort=A","Dates=H","DateFormat=P","Fill=—","Direction=H","UseDPDF=Y")</f>
        <v>103.4</v>
      </c>
      <c r="T18" s="13">
        <f>_xll.BDH("NBIX US Equity","ARD_OPERATING_INCOME","FQ1 2023","FQ1 2023","Currency=USD","Period=FQ","BEST_FPERIOD_OVERRIDE=FQ","FILING_STATUS=MR","SCALING_FORMAT=MLN","Sort=A","Dates=H","DateFormat=P","Fill=—","Direction=H","UseDPDF=Y")</f>
        <v>-114.2</v>
      </c>
      <c r="U18" s="13">
        <f>_xll.BDH("NBIX US Equity","ARD_OPERATING_INCOME","FQ2 2023","FQ2 2023","Currency=USD","Period=FQ","BEST_FPERIOD_OVERRIDE=FQ","FILING_STATUS=MR","SCALING_FORMAT=MLN","Sort=A","Dates=H","DateFormat=P","Fill=—","Direction=H","UseDPDF=Y")</f>
        <v>73.599999999999994</v>
      </c>
      <c r="V18" s="13">
        <f>_xll.BDH("NBIX US Equity","ARD_OPERATING_INCOME","FQ3 2023","FQ3 2023","Currency=USD","Period=FQ","BEST_FPERIOD_OVERRIDE=FQ","FILING_STATUS=MR","SCALING_FORMAT=MLN","Sort=A","Dates=H","DateFormat=P","Fill=—","Direction=H","UseDPDF=Y")</f>
        <v>141.19999999999999</v>
      </c>
      <c r="W18" s="13">
        <f>_xll.BDH("NBIX US Equity","ARD_OPERATING_INCOME","FQ4 2023","FQ4 2023","Currency=USD","Period=FQ","BEST_FPERIOD_OVERRIDE=FQ","FILING_STATUS=MR","SCALING_FORMAT=MLN","Sort=A","Dates=H","DateFormat=P","Fill=—","Direction=H","UseDPDF=Y")</f>
        <v>150.30000000000001</v>
      </c>
      <c r="X18" s="13">
        <f>_xll.BDH("NBIX US Equity","ARD_OPERATING_INCOME","FQ1 2024","FQ1 2024","Currency=USD","Period=FQ","BEST_FPERIOD_OVERRIDE=FQ","FILING_STATUS=MR","SCALING_FORMAT=MLN","Sort=A","Dates=H","DateFormat=P","Fill=—","Direction=H","UseDPDF=Y")</f>
        <v>99.3</v>
      </c>
      <c r="Y18" s="13">
        <f>_xll.BDH("NBIX US Equity","ARD_OPERATING_INCOME","FQ2 2024","FQ2 2024","Currency=USD","Period=FQ","BEST_FPERIOD_OVERRIDE=FQ","FILING_STATUS=MR","SCALING_FORMAT=MLN","Sort=A","Dates=H","DateFormat=P","Fill=—","Direction=H","UseDPDF=Y")</f>
        <v>145.4</v>
      </c>
      <c r="Z18" s="13">
        <f>_xll.BDH("NBIX US Equity","ARD_OPERATING_INCOME","FQ3 2024","FQ3 2024","Currency=USD","Period=FQ","BEST_FPERIOD_OVERRIDE=FQ","FILING_STATUS=MR","SCALING_FORMAT=MLN","Sort=A","Dates=H","DateFormat=P","Fill=—","Direction=H","UseDPDF=Y")</f>
        <v>183.8</v>
      </c>
      <c r="AA18" s="13">
        <f>_xll.BDH("NBIX US Equity","ARD_OPERATING_INCOME","FQ4 2024","FQ4 2024","Currency=USD","Period=FQ","BEST_FPERIOD_OVERRIDE=FQ","FILING_STATUS=MR","SCALING_FORMAT=MLN","Sort=A","Dates=H","DateFormat=P","Fill=—","Direction=H","UseDPDF=Y")</f>
        <v>142</v>
      </c>
    </row>
    <row r="19" spans="1:27" x14ac:dyDescent="0.25">
      <c r="A19" s="10" t="s">
        <v>441</v>
      </c>
      <c r="B19" s="10" t="s">
        <v>442</v>
      </c>
      <c r="C19" s="13">
        <f>_xll.BDH("NBIX US Equity","ARD_COST_OF_PRODUCTS_SOLD","FQ4 2018","FQ4 2018","Currency=USD","Period=FQ","BEST_FPERIOD_OVERRIDE=FQ","FILING_STATUS=MR","SCALING_FORMAT=MLN","Sort=A","Dates=H","DateFormat=P","Fill=—","Direction=H","UseDPDF=Y")</f>
        <v>1.534</v>
      </c>
      <c r="D19" s="13">
        <f>_xll.BDH("NBIX US Equity","ARD_COST_OF_PRODUCTS_SOLD","FQ1 2019","FQ1 2019","Currency=USD","Period=FQ","BEST_FPERIOD_OVERRIDE=FQ","FILING_STATUS=MR","SCALING_FORMAT=MLN","Sort=A","Dates=H","DateFormat=P","Fill=—","Direction=H","UseDPDF=Y")</f>
        <v>1.129</v>
      </c>
      <c r="E19" s="13">
        <f>_xll.BDH("NBIX US Equity","ARD_COST_OF_PRODUCTS_SOLD","FQ2 2019","FQ2 2019","Currency=USD","Period=FQ","BEST_FPERIOD_OVERRIDE=FQ","FILING_STATUS=MR","SCALING_FORMAT=MLN","Sort=A","Dates=H","DateFormat=P","Fill=—","Direction=H","UseDPDF=Y")</f>
        <v>1.6080000000000001</v>
      </c>
      <c r="F19" s="13">
        <f>_xll.BDH("NBIX US Equity","ARD_COST_OF_PRODUCTS_SOLD","FQ3 2019","FQ3 2019","Currency=USD","Period=FQ","BEST_FPERIOD_OVERRIDE=FQ","FILING_STATUS=MR","SCALING_FORMAT=MLN","Sort=A","Dates=H","DateFormat=P","Fill=—","Direction=H","UseDPDF=Y")</f>
        <v>2.2290000000000001</v>
      </c>
      <c r="G19" s="13">
        <f>_xll.BDH("NBIX US Equity","ARD_COST_OF_PRODUCTS_SOLD","FQ4 2019","FQ4 2019","Currency=USD","Period=FQ","BEST_FPERIOD_OVERRIDE=FQ","FILING_STATUS=MR","SCALING_FORMAT=MLN","Sort=A","Dates=H","DateFormat=P","Fill=—","Direction=H","UseDPDF=Y")</f>
        <v>2.5</v>
      </c>
      <c r="H19" s="13">
        <f>_xll.BDH("NBIX US Equity","ARD_COST_OF_PRODUCTS_SOLD","FQ1 2020","FQ1 2020","Currency=USD","Period=FQ","BEST_FPERIOD_OVERRIDE=FQ","FILING_STATUS=MR","SCALING_FORMAT=MLN","Sort=A","Dates=H","DateFormat=P","Fill=—","Direction=H","UseDPDF=Y")</f>
        <v>2.1</v>
      </c>
      <c r="I19" s="13">
        <f>_xll.BDH("NBIX US Equity","ARD_COST_OF_PRODUCTS_SOLD","FQ2 2020","FQ2 2020","Currency=USD","Period=FQ","BEST_FPERIOD_OVERRIDE=FQ","FILING_STATUS=MR","SCALING_FORMAT=MLN","Sort=A","Dates=H","DateFormat=P","Fill=—","Direction=H","UseDPDF=Y")</f>
        <v>2.4</v>
      </c>
      <c r="J19" s="13">
        <f>_xll.BDH("NBIX US Equity","ARD_COST_OF_PRODUCTS_SOLD","FQ3 2020","FQ3 2020","Currency=USD","Period=FQ","BEST_FPERIOD_OVERRIDE=FQ","FILING_STATUS=MR","SCALING_FORMAT=MLN","Sort=A","Dates=H","DateFormat=P","Fill=—","Direction=H","UseDPDF=Y")</f>
        <v>2.7</v>
      </c>
      <c r="K19" s="13">
        <f>_xll.BDH("NBIX US Equity","ARD_COST_OF_PRODUCTS_SOLD","FQ4 2020","FQ4 2020","Currency=USD","Period=FQ","BEST_FPERIOD_OVERRIDE=FQ","FILING_STATUS=MR","SCALING_FORMAT=MLN","Sort=A","Dates=H","DateFormat=P","Fill=—","Direction=H","UseDPDF=Y")</f>
        <v>2.9</v>
      </c>
      <c r="L19" s="13">
        <f>_xll.BDH("NBIX US Equity","ARD_COST_OF_PRODUCTS_SOLD","FQ1 2021","FQ1 2021","Currency=USD","Period=FQ","BEST_FPERIOD_OVERRIDE=FQ","FILING_STATUS=MR","SCALING_FORMAT=MLN","Sort=A","Dates=H","DateFormat=P","Fill=—","Direction=H","UseDPDF=Y")</f>
        <v>2.9</v>
      </c>
      <c r="M19" s="13">
        <f>_xll.BDH("NBIX US Equity","ARD_COST_OF_PRODUCTS_SOLD","FQ2 2021","FQ2 2021","Currency=USD","Period=FQ","BEST_FPERIOD_OVERRIDE=FQ","FILING_STATUS=MR","SCALING_FORMAT=MLN","Sort=A","Dates=H","DateFormat=P","Fill=—","Direction=H","UseDPDF=Y")</f>
        <v>3.1</v>
      </c>
      <c r="N19" s="13">
        <f>_xll.BDH("NBIX US Equity","ARD_COST_OF_PRODUCTS_SOLD","FQ3 2021","FQ3 2021","Currency=USD","Period=FQ","BEST_FPERIOD_OVERRIDE=FQ","FILING_STATUS=MR","SCALING_FORMAT=MLN","Sort=A","Dates=H","DateFormat=P","Fill=—","Direction=H","UseDPDF=Y")</f>
        <v>4.2</v>
      </c>
      <c r="O19" s="13">
        <f>_xll.BDH("NBIX US Equity","ARD_COST_OF_PRODUCTS_SOLD","FQ4 2021","FQ4 2021","Currency=USD","Period=FQ","BEST_FPERIOD_OVERRIDE=FQ","FILING_STATUS=MR","SCALING_FORMAT=MLN","Sort=A","Dates=H","DateFormat=P","Fill=—","Direction=H","UseDPDF=Y")</f>
        <v>4.0999999999999996</v>
      </c>
      <c r="P19" s="13">
        <f>_xll.BDH("NBIX US Equity","ARD_COST_OF_PRODUCTS_SOLD","FQ1 2022","FQ1 2022","Currency=USD","Period=FQ","BEST_FPERIOD_OVERRIDE=FQ","FILING_STATUS=MR","SCALING_FORMAT=MLN","Sort=A","Dates=H","DateFormat=P","Fill=—","Direction=H","UseDPDF=Y")</f>
        <v>4.5999999999999996</v>
      </c>
      <c r="Q19" s="13">
        <f>_xll.BDH("NBIX US Equity","ARD_COST_OF_PRODUCTS_SOLD","FQ2 2022","FQ2 2022","Currency=USD","Period=FQ","BEST_FPERIOD_OVERRIDE=FQ","FILING_STATUS=MR","SCALING_FORMAT=MLN","Sort=A","Dates=H","DateFormat=P","Fill=—","Direction=H","UseDPDF=Y")</f>
        <v>4.8</v>
      </c>
      <c r="R19" s="13">
        <f>_xll.BDH("NBIX US Equity","ARD_COST_OF_PRODUCTS_SOLD","FQ3 2022","FQ3 2022","Currency=USD","Period=FQ","BEST_FPERIOD_OVERRIDE=FQ","FILING_STATUS=MR","SCALING_FORMAT=MLN","Sort=A","Dates=H","DateFormat=P","Fill=—","Direction=H","UseDPDF=Y")</f>
        <v>6.1</v>
      </c>
      <c r="S19" s="13">
        <f>_xll.BDH("NBIX US Equity","ARD_COST_OF_PRODUCTS_SOLD","FQ4 2022","FQ4 2022","Currency=USD","Period=FQ","BEST_FPERIOD_OVERRIDE=FQ","FILING_STATUS=MR","SCALING_FORMAT=MLN","Sort=A","Dates=H","DateFormat=P","Fill=—","Direction=H","UseDPDF=Y")</f>
        <v>7.7</v>
      </c>
      <c r="T19" s="13">
        <f>_xll.BDH("NBIX US Equity","ARD_COST_OF_PRODUCTS_SOLD","FQ1 2023","FQ1 2023","Currency=USD","Period=FQ","BEST_FPERIOD_OVERRIDE=FQ","FILING_STATUS=MR","SCALING_FORMAT=MLN","Sort=A","Dates=H","DateFormat=P","Fill=—","Direction=H","UseDPDF=Y")</f>
        <v>8.5</v>
      </c>
      <c r="U19" s="13">
        <f>_xll.BDH("NBIX US Equity","ARD_COST_OF_PRODUCTS_SOLD","FQ2 2023","FQ2 2023","Currency=USD","Period=FQ","BEST_FPERIOD_OVERRIDE=FQ","FILING_STATUS=MR","SCALING_FORMAT=MLN","Sort=A","Dates=H","DateFormat=P","Fill=—","Direction=H","UseDPDF=Y")</f>
        <v>11.5</v>
      </c>
      <c r="V19" s="13">
        <f>_xll.BDH("NBIX US Equity","ARD_COST_OF_PRODUCTS_SOLD","FQ3 2023","FQ3 2023","Currency=USD","Period=FQ","BEST_FPERIOD_OVERRIDE=FQ","FILING_STATUS=MR","SCALING_FORMAT=MLN","Sort=A","Dates=H","DateFormat=P","Fill=—","Direction=H","UseDPDF=Y")</f>
        <v>11.2</v>
      </c>
      <c r="W19" s="13">
        <f>_xll.BDH("NBIX US Equity","ARD_COST_OF_PRODUCTS_SOLD","FQ4 2023","FQ4 2023","Currency=USD","Period=FQ","BEST_FPERIOD_OVERRIDE=FQ","FILING_STATUS=MR","SCALING_FORMAT=MLN","Sort=A","Dates=H","DateFormat=P","Fill=—","Direction=H","UseDPDF=Y")</f>
        <v>8.5</v>
      </c>
      <c r="X19" s="13">
        <f>_xll.BDH("NBIX US Equity","ARD_COST_OF_PRODUCTS_SOLD","FQ1 2024","FQ1 2024","Currency=USD","Period=FQ","BEST_FPERIOD_OVERRIDE=FQ","FILING_STATUS=MR","SCALING_FORMAT=MLN","Sort=A","Dates=H","DateFormat=P","Fill=—","Direction=H","UseDPDF=Y")</f>
        <v>7.5</v>
      </c>
      <c r="Y19" s="13">
        <f>_xll.BDH("NBIX US Equity","ARD_COST_OF_PRODUCTS_SOLD","FQ2 2024","FQ2 2024","Currency=USD","Period=FQ","BEST_FPERIOD_OVERRIDE=FQ","FILING_STATUS=MR","SCALING_FORMAT=MLN","Sort=A","Dates=H","DateFormat=P","Fill=—","Direction=H","UseDPDF=Y")</f>
        <v>9.1999999999999993</v>
      </c>
      <c r="Z19" s="13">
        <f>_xll.BDH("NBIX US Equity","ARD_COST_OF_PRODUCTS_SOLD","FQ3 2024","FQ3 2024","Currency=USD","Period=FQ","BEST_FPERIOD_OVERRIDE=FQ","FILING_STATUS=MR","SCALING_FORMAT=MLN","Sort=A","Dates=H","DateFormat=P","Fill=—","Direction=H","UseDPDF=Y")</f>
        <v>8</v>
      </c>
      <c r="AA19" s="13">
        <f>_xll.BDH("NBIX US Equity","ARD_COST_OF_PRODUCTS_SOLD","FQ4 2024","FQ4 2024","Currency=USD","Period=FQ","BEST_FPERIOD_OVERRIDE=FQ","FILING_STATUS=MR","SCALING_FORMAT=MLN","Sort=A","Dates=H","DateFormat=P","Fill=—","Direction=H","UseDPDF=Y")</f>
        <v>9.3000000000000007</v>
      </c>
    </row>
    <row r="20" spans="1:27" x14ac:dyDescent="0.25">
      <c r="A20" s="10" t="s">
        <v>443</v>
      </c>
      <c r="B20" s="10" t="s">
        <v>444</v>
      </c>
      <c r="C20" s="13" t="str">
        <f>_xll.BDH("NBIX US Equity","ARD_EBIT","FQ4 2018","FQ4 2018","Currency=USD","Period=FQ","BEST_FPERIOD_OVERRIDE=FQ","FILING_STATUS=MR","SCALING_FORMAT=MLN","Sort=A","Dates=H","DateFormat=P","Fill=—","Direction=H","UseDPDF=Y")</f>
        <v>—</v>
      </c>
      <c r="D20" s="13" t="str">
        <f>_xll.BDH("NBIX US Equity","ARD_EBIT","FQ1 2019","FQ1 2019","Currency=USD","Period=FQ","BEST_FPERIOD_OVERRIDE=FQ","FILING_STATUS=MR","SCALING_FORMAT=MLN","Sort=A","Dates=H","DateFormat=P","Fill=—","Direction=H","UseDPDF=Y")</f>
        <v>—</v>
      </c>
      <c r="E20" s="13" t="str">
        <f>_xll.BDH("NBIX US Equity","ARD_EBIT","FQ2 2019","FQ2 2019","Currency=USD","Period=FQ","BEST_FPERIOD_OVERRIDE=FQ","FILING_STATUS=MR","SCALING_FORMAT=MLN","Sort=A","Dates=H","DateFormat=P","Fill=—","Direction=H","UseDPDF=Y")</f>
        <v>—</v>
      </c>
      <c r="F20" s="13" t="str">
        <f>_xll.BDH("NBIX US Equity","ARD_EBIT","FQ3 2019","FQ3 2019","Currency=USD","Period=FQ","BEST_FPERIOD_OVERRIDE=FQ","FILING_STATUS=MR","SCALING_FORMAT=MLN","Sort=A","Dates=H","DateFormat=P","Fill=—","Direction=H","UseDPDF=Y")</f>
        <v>—</v>
      </c>
      <c r="G20" s="13" t="str">
        <f>_xll.BDH("NBIX US Equity","ARD_EBIT","FQ4 2019","FQ4 2019","Currency=USD","Period=FQ","BEST_FPERIOD_OVERRIDE=FQ","FILING_STATUS=MR","SCALING_FORMAT=MLN","Sort=A","Dates=H","DateFormat=P","Fill=—","Direction=H","UseDPDF=Y")</f>
        <v>—</v>
      </c>
      <c r="H20" s="13" t="str">
        <f>_xll.BDH("NBIX US Equity","ARD_EBIT","FQ1 2020","FQ1 2020","Currency=USD","Period=FQ","BEST_FPERIOD_OVERRIDE=FQ","FILING_STATUS=MR","SCALING_FORMAT=MLN","Sort=A","Dates=H","DateFormat=P","Fill=—","Direction=H","UseDPDF=Y")</f>
        <v>—</v>
      </c>
      <c r="I20" s="13" t="str">
        <f>_xll.BDH("NBIX US Equity","ARD_EBIT","FQ2 2020","FQ2 2020","Currency=USD","Period=FQ","BEST_FPERIOD_OVERRIDE=FQ","FILING_STATUS=MR","SCALING_FORMAT=MLN","Sort=A","Dates=H","DateFormat=P","Fill=—","Direction=H","UseDPDF=Y")</f>
        <v>—</v>
      </c>
      <c r="J20" s="13" t="str">
        <f>_xll.BDH("NBIX US Equity","ARD_EBIT","FQ3 2020","FQ3 2020","Currency=USD","Period=FQ","BEST_FPERIOD_OVERRIDE=FQ","FILING_STATUS=MR","SCALING_FORMAT=MLN","Sort=A","Dates=H","DateFormat=P","Fill=—","Direction=H","UseDPDF=Y")</f>
        <v>—</v>
      </c>
      <c r="K20" s="13" t="str">
        <f>_xll.BDH("NBIX US Equity","ARD_EBIT","FQ4 2020","FQ4 2020","Currency=USD","Period=FQ","BEST_FPERIOD_OVERRIDE=FQ","FILING_STATUS=MR","SCALING_FORMAT=MLN","Sort=A","Dates=H","DateFormat=P","Fill=—","Direction=H","UseDPDF=Y")</f>
        <v>—</v>
      </c>
      <c r="L20" s="13" t="str">
        <f>_xll.BDH("NBIX US Equity","ARD_EBIT","FQ1 2021","FQ1 2021","Currency=USD","Period=FQ","BEST_FPERIOD_OVERRIDE=FQ","FILING_STATUS=MR","SCALING_FORMAT=MLN","Sort=A","Dates=H","DateFormat=P","Fill=—","Direction=H","UseDPDF=Y")</f>
        <v>—</v>
      </c>
      <c r="M20" s="13" t="str">
        <f>_xll.BDH("NBIX US Equity","ARD_EBIT","FQ2 2021","FQ2 2021","Currency=USD","Period=FQ","BEST_FPERIOD_OVERRIDE=FQ","FILING_STATUS=MR","SCALING_FORMAT=MLN","Sort=A","Dates=H","DateFormat=P","Fill=—","Direction=H","UseDPDF=Y")</f>
        <v>—</v>
      </c>
      <c r="N20" s="13" t="str">
        <f>_xll.BDH("NBIX US Equity","ARD_EBIT","FQ3 2021","FQ3 2021","Currency=USD","Period=FQ","BEST_FPERIOD_OVERRIDE=FQ","FILING_STATUS=MR","SCALING_FORMAT=MLN","Sort=A","Dates=H","DateFormat=P","Fill=—","Direction=H","UseDPDF=Y")</f>
        <v>—</v>
      </c>
      <c r="O20" s="13" t="str">
        <f>_xll.BDH("NBIX US Equity","ARD_EBIT","FQ4 2021","FQ4 2021","Currency=USD","Period=FQ","BEST_FPERIOD_OVERRIDE=FQ","FILING_STATUS=MR","SCALING_FORMAT=MLN","Sort=A","Dates=H","DateFormat=P","Fill=—","Direction=H","UseDPDF=Y")</f>
        <v>—</v>
      </c>
      <c r="P20" s="13" t="str">
        <f>_xll.BDH("NBIX US Equity","ARD_EBIT","FQ1 2022","FQ1 2022","Currency=USD","Period=FQ","BEST_FPERIOD_OVERRIDE=FQ","FILING_STATUS=MR","SCALING_FORMAT=MLN","Sort=A","Dates=H","DateFormat=P","Fill=—","Direction=H","UseDPDF=Y")</f>
        <v>—</v>
      </c>
      <c r="Q20" s="13" t="str">
        <f>_xll.BDH("NBIX US Equity","ARD_EBIT","FQ2 2022","FQ2 2022","Currency=USD","Period=FQ","BEST_FPERIOD_OVERRIDE=FQ","FILING_STATUS=MR","SCALING_FORMAT=MLN","Sort=A","Dates=H","DateFormat=P","Fill=—","Direction=H","UseDPDF=Y")</f>
        <v>—</v>
      </c>
      <c r="R20" s="13" t="str">
        <f>_xll.BDH("NBIX US Equity","ARD_EBIT","FQ3 2022","FQ3 2022","Currency=USD","Period=FQ","BEST_FPERIOD_OVERRIDE=FQ","FILING_STATUS=MR","SCALING_FORMAT=MLN","Sort=A","Dates=H","DateFormat=P","Fill=—","Direction=H","UseDPDF=Y")</f>
        <v>—</v>
      </c>
      <c r="S20" s="13" t="str">
        <f>_xll.BDH("NBIX US Equity","ARD_EBIT","FQ4 2022","FQ4 2022","Currency=USD","Period=FQ","BEST_FPERIOD_OVERRIDE=FQ","FILING_STATUS=MR","SCALING_FORMAT=MLN","Sort=A","Dates=H","DateFormat=P","Fill=—","Direction=H","UseDPDF=Y")</f>
        <v>—</v>
      </c>
      <c r="T20" s="13" t="str">
        <f>_xll.BDH("NBIX US Equity","ARD_EBIT","FQ1 2023","FQ1 2023","Currency=USD","Period=FQ","BEST_FPERIOD_OVERRIDE=FQ","FILING_STATUS=MR","SCALING_FORMAT=MLN","Sort=A","Dates=H","DateFormat=P","Fill=—","Direction=H","UseDPDF=Y")</f>
        <v>—</v>
      </c>
      <c r="U20" s="13" t="str">
        <f>_xll.BDH("NBIX US Equity","ARD_EBIT","FQ2 2023","FQ2 2023","Currency=USD","Period=FQ","BEST_FPERIOD_OVERRIDE=FQ","FILING_STATUS=MR","SCALING_FORMAT=MLN","Sort=A","Dates=H","DateFormat=P","Fill=—","Direction=H","UseDPDF=Y")</f>
        <v>—</v>
      </c>
      <c r="V20" s="13" t="str">
        <f>_xll.BDH("NBIX US Equity","ARD_EBIT","FQ3 2023","FQ3 2023","Currency=USD","Period=FQ","BEST_FPERIOD_OVERRIDE=FQ","FILING_STATUS=MR","SCALING_FORMAT=MLN","Sort=A","Dates=H","DateFormat=P","Fill=—","Direction=H","UseDPDF=Y")</f>
        <v>—</v>
      </c>
      <c r="W20" s="13">
        <f>_xll.BDH("NBIX US Equity","ARD_EBIT","FQ4 2023","FQ4 2023","Currency=USD","Period=FQ","BEST_FPERIOD_OVERRIDE=FQ","FILING_STATUS=MR","SCALING_FORMAT=MLN","Sort=A","Dates=H","DateFormat=P","Fill=—","Direction=H","UseDPDF=Y")</f>
        <v>150.30000000000001</v>
      </c>
      <c r="X20" s="13" t="str">
        <f>_xll.BDH("NBIX US Equity","ARD_EBIT","FQ1 2024","FQ1 2024","Currency=USD","Period=FQ","BEST_FPERIOD_OVERRIDE=FQ","FILING_STATUS=MR","SCALING_FORMAT=MLN","Sort=A","Dates=H","DateFormat=P","Fill=—","Direction=H","UseDPDF=Y")</f>
        <v>—</v>
      </c>
      <c r="Y20" s="13" t="str">
        <f>_xll.BDH("NBIX US Equity","ARD_EBIT","FQ2 2024","FQ2 2024","Currency=USD","Period=FQ","BEST_FPERIOD_OVERRIDE=FQ","FILING_STATUS=MR","SCALING_FORMAT=MLN","Sort=A","Dates=H","DateFormat=P","Fill=—","Direction=H","UseDPDF=Y")</f>
        <v>—</v>
      </c>
      <c r="Z20" s="13" t="str">
        <f>_xll.BDH("NBIX US Equity","ARD_EBIT","FQ3 2024","FQ3 2024","Currency=USD","Period=FQ","BEST_FPERIOD_OVERRIDE=FQ","FILING_STATUS=MR","SCALING_FORMAT=MLN","Sort=A","Dates=H","DateFormat=P","Fill=—","Direction=H","UseDPDF=Y")</f>
        <v>—</v>
      </c>
      <c r="AA20" s="13">
        <f>_xll.BDH("NBIX US Equity","ARD_EBIT","FQ4 2024","FQ4 2024","Currency=USD","Period=FQ","BEST_FPERIOD_OVERRIDE=FQ","FILING_STATUS=MR","SCALING_FORMAT=MLN","Sort=A","Dates=H","DateFormat=P","Fill=—","Direction=H","UseDPDF=Y")</f>
        <v>142</v>
      </c>
    </row>
    <row r="21" spans="1:27" x14ac:dyDescent="0.25">
      <c r="A21" s="10" t="s">
        <v>445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446</v>
      </c>
      <c r="B22" s="10" t="s">
        <v>447</v>
      </c>
      <c r="C22" s="13">
        <f>_xll.BDH("NBIX US Equity","ARD_INT_EXP","FQ4 2018","FQ4 2018","Currency=USD","Period=FQ","BEST_FPERIOD_OVERRIDE=FQ","FILING_STATUS=MR","SCALING_FORMAT=MLN","Sort=A","Dates=H","DateFormat=P","Fill=—","Direction=H","UseDPDF=Y")</f>
        <v>7.7629999999999999</v>
      </c>
      <c r="D22" s="13">
        <f>_xll.BDH("NBIX US Equity","ARD_INT_EXP","FQ1 2019","FQ1 2019","Currency=USD","Period=FQ","BEST_FPERIOD_OVERRIDE=FQ","FILING_STATUS=MR","SCALING_FORMAT=MLN","Sort=A","Dates=H","DateFormat=P","Fill=—","Direction=H","UseDPDF=Y")</f>
        <v>7.8529999999999998</v>
      </c>
      <c r="E22" s="13">
        <f>_xll.BDH("NBIX US Equity","ARD_INT_EXP","FQ2 2019","FQ2 2019","Currency=USD","Period=FQ","BEST_FPERIOD_OVERRIDE=FQ","FILING_STATUS=MR","SCALING_FORMAT=MLN","Sort=A","Dates=H","DateFormat=P","Fill=—","Direction=H","UseDPDF=Y")</f>
        <v>7.9420000000000002</v>
      </c>
      <c r="F22" s="13">
        <f>_xll.BDH("NBIX US Equity","ARD_INT_EXP","FQ3 2019","FQ3 2019","Currency=USD","Period=FQ","BEST_FPERIOD_OVERRIDE=FQ","FILING_STATUS=MR","SCALING_FORMAT=MLN","Sort=A","Dates=H","DateFormat=P","Fill=—","Direction=H","UseDPDF=Y")</f>
        <v>8.0380000000000003</v>
      </c>
      <c r="G22" s="13">
        <f>_xll.BDH("NBIX US Equity","ARD_INT_EXP","FQ4 2019","FQ4 2019","Currency=USD","Period=FQ","BEST_FPERIOD_OVERRIDE=FQ","FILING_STATUS=MR","SCALING_FORMAT=MLN","Sort=A","Dates=H","DateFormat=P","Fill=—","Direction=H","UseDPDF=Y")</f>
        <v>8.1999999999999993</v>
      </c>
      <c r="H22" s="13">
        <f>_xll.BDH("NBIX US Equity","ARD_INT_EXP","FQ1 2020","FQ1 2020","Currency=USD","Period=FQ","BEST_FPERIOD_OVERRIDE=FQ","FILING_STATUS=MR","SCALING_FORMAT=MLN","Sort=A","Dates=H","DateFormat=P","Fill=—","Direction=H","UseDPDF=Y")</f>
        <v>8.1999999999999993</v>
      </c>
      <c r="I22" s="13">
        <f>_xll.BDH("NBIX US Equity","ARD_INT_EXP","FQ2 2020","FQ2 2020","Currency=USD","Period=FQ","BEST_FPERIOD_OVERRIDE=FQ","FILING_STATUS=MR","SCALING_FORMAT=MLN","Sort=A","Dates=H","DateFormat=P","Fill=—","Direction=H","UseDPDF=Y")</f>
        <v>8.3000000000000007</v>
      </c>
      <c r="J22" s="13">
        <f>_xll.BDH("NBIX US Equity","ARD_INT_EXP","FQ3 2020","FQ3 2020","Currency=USD","Period=FQ","BEST_FPERIOD_OVERRIDE=FQ","FILING_STATUS=MR","SCALING_FORMAT=MLN","Sort=A","Dates=H","DateFormat=P","Fill=—","Direction=H","UseDPDF=Y")</f>
        <v>8.5</v>
      </c>
      <c r="K22" s="13">
        <f>_xll.BDH("NBIX US Equity","ARD_INT_EXP","FQ4 2020","FQ4 2020","Currency=USD","Period=FQ","BEST_FPERIOD_OVERRIDE=FQ","FILING_STATUS=MR","SCALING_FORMAT=MLN","Sort=A","Dates=H","DateFormat=P","Fill=—","Direction=H","UseDPDF=Y")</f>
        <v>7.8</v>
      </c>
      <c r="L22" s="13">
        <f>_xll.BDH("NBIX US Equity","ARD_INT_EXP","FQ1 2021","FQ1 2021","Currency=USD","Period=FQ","BEST_FPERIOD_OVERRIDE=FQ","FILING_STATUS=MR","SCALING_FORMAT=MLN","Sort=A","Dates=H","DateFormat=P","Fill=—","Direction=H","UseDPDF=Y")</f>
        <v>6.4</v>
      </c>
      <c r="M22" s="13">
        <f>_xll.BDH("NBIX US Equity","ARD_INT_EXP","FQ2 2021","FQ2 2021","Currency=USD","Period=FQ","BEST_FPERIOD_OVERRIDE=FQ","FILING_STATUS=MR","SCALING_FORMAT=MLN","Sort=A","Dates=H","DateFormat=P","Fill=—","Direction=H","UseDPDF=Y")</f>
        <v>6.2</v>
      </c>
      <c r="N22" s="13">
        <f>_xll.BDH("NBIX US Equity","ARD_INT_EXP","FQ3 2021","FQ3 2021","Currency=USD","Period=FQ","BEST_FPERIOD_OVERRIDE=FQ","FILING_STATUS=MR","SCALING_FORMAT=MLN","Sort=A","Dates=H","DateFormat=P","Fill=—","Direction=H","UseDPDF=Y")</f>
        <v>6.6</v>
      </c>
      <c r="O22" s="13">
        <f>_xll.BDH("NBIX US Equity","ARD_INT_EXP","FQ4 2021","FQ4 2021","Currency=USD","Period=FQ","BEST_FPERIOD_OVERRIDE=FQ","FILING_STATUS=MR","SCALING_FORMAT=MLN","Sort=A","Dates=H","DateFormat=P","Fill=—","Direction=H","UseDPDF=Y")</f>
        <v>6.6</v>
      </c>
      <c r="P22" s="13">
        <f>_xll.BDH("NBIX US Equity","ARD_INT_EXP","FQ1 2022","FQ1 2022","Currency=USD","Period=FQ","BEST_FPERIOD_OVERRIDE=FQ","FILING_STATUS=MR","SCALING_FORMAT=MLN","Sort=A","Dates=H","DateFormat=P","Fill=—","Direction=H","UseDPDF=Y")</f>
        <v>2.6</v>
      </c>
      <c r="Q22" s="13">
        <f>_xll.BDH("NBIX US Equity","ARD_INT_EXP","FQ2 2022","FQ2 2022","Currency=USD","Period=FQ","BEST_FPERIOD_OVERRIDE=FQ","FILING_STATUS=MR","SCALING_FORMAT=MLN","Sort=A","Dates=H","DateFormat=P","Fill=—","Direction=H","UseDPDF=Y")</f>
        <v>2.2000000000000002</v>
      </c>
      <c r="R22" s="13">
        <f>_xll.BDH("NBIX US Equity","ARD_INT_EXP","FQ3 2022","FQ3 2022","Currency=USD","Period=FQ","BEST_FPERIOD_OVERRIDE=FQ","FILING_STATUS=MR","SCALING_FORMAT=MLN","Sort=A","Dates=H","DateFormat=P","Fill=—","Direction=H","UseDPDF=Y")</f>
        <v>1.2</v>
      </c>
      <c r="S22" s="13">
        <f>_xll.BDH("NBIX US Equity","ARD_INT_EXP","FQ4 2022","FQ4 2022","Currency=USD","Period=FQ","BEST_FPERIOD_OVERRIDE=FQ","FILING_STATUS=MR","SCALING_FORMAT=MLN","Sort=A","Dates=H","DateFormat=P","Fill=—","Direction=H","UseDPDF=Y")</f>
        <v>1.1000000000000001</v>
      </c>
      <c r="T22" s="13">
        <f>_xll.BDH("NBIX US Equity","ARD_INT_EXP","FQ1 2023","FQ1 2023","Currency=USD","Period=FQ","BEST_FPERIOD_OVERRIDE=FQ","FILING_STATUS=MR","SCALING_FORMAT=MLN","Sort=A","Dates=H","DateFormat=P","Fill=—","Direction=H","UseDPDF=Y")</f>
        <v>1.1000000000000001</v>
      </c>
      <c r="U22" s="13">
        <f>_xll.BDH("NBIX US Equity","ARD_INT_EXP","FQ2 2023","FQ2 2023","Currency=USD","Period=FQ","BEST_FPERIOD_OVERRIDE=FQ","FILING_STATUS=MR","SCALING_FORMAT=MLN","Sort=A","Dates=H","DateFormat=P","Fill=—","Direction=H","UseDPDF=Y")</f>
        <v>1.3</v>
      </c>
      <c r="V22" s="13">
        <f>_xll.BDH("NBIX US Equity","ARD_INT_EXP","FQ3 2023","FQ3 2023","Currency=USD","Period=FQ","BEST_FPERIOD_OVERRIDE=FQ","FILING_STATUS=MR","SCALING_FORMAT=MLN","Sort=A","Dates=H","DateFormat=P","Fill=—","Direction=H","UseDPDF=Y")</f>
        <v>1.1000000000000001</v>
      </c>
      <c r="W22" s="13">
        <f>_xll.BDH("NBIX US Equity","ARD_INT_EXP","FQ4 2023","FQ4 2023","Currency=USD","Period=FQ","BEST_FPERIOD_OVERRIDE=FQ","FILING_STATUS=MR","SCALING_FORMAT=MLN","Sort=A","Dates=H","DateFormat=P","Fill=—","Direction=H","UseDPDF=Y")</f>
        <v>1.1000000000000001</v>
      </c>
      <c r="X22" s="13">
        <f>_xll.BDH("NBIX US Equity","ARD_INT_EXP","FQ1 2024","FQ1 2024","Currency=USD","Period=FQ","BEST_FPERIOD_OVERRIDE=FQ","FILING_STATUS=MR","SCALING_FORMAT=MLN","Sort=A","Dates=H","DateFormat=P","Fill=—","Direction=H","UseDPDF=Y")</f>
        <v>1.1000000000000001</v>
      </c>
      <c r="Y22" s="13" t="str">
        <f>_xll.BDH("NBIX US Equity","ARD_INT_EXP","FQ2 2024","FQ2 2024","Currency=USD","Period=FQ","BEST_FPERIOD_OVERRIDE=FQ","FILING_STATUS=MR","SCALING_FORMAT=MLN","Sort=A","Dates=H","DateFormat=P","Fill=—","Direction=H","UseDPDF=Y")</f>
        <v>—</v>
      </c>
      <c r="Z22" s="13" t="str">
        <f>_xll.BDH("NBIX US Equity","ARD_INT_EXP","FQ3 2024","FQ3 2024","Currency=USD","Period=FQ","BEST_FPERIOD_OVERRIDE=FQ","FILING_STATUS=MR","SCALING_FORMAT=MLN","Sort=A","Dates=H","DateFormat=P","Fill=—","Direction=H","UseDPDF=Y")</f>
        <v>—</v>
      </c>
      <c r="AA22" s="13" t="str">
        <f>_xll.BDH("NBIX US Equity","ARD_INT_EXP","FQ4 2024","FQ4 2024","Currency=USD","Period=FQ","BEST_FPERIOD_OVERRIDE=FQ","FILING_STATUS=MR","SCALING_FORMAT=MLN","Sort=A","Dates=H","DateFormat=P","Fill=—","Direction=H","UseDPDF=Y")</f>
        <v>—</v>
      </c>
    </row>
    <row r="23" spans="1:27" x14ac:dyDescent="0.25">
      <c r="A23" s="10" t="s">
        <v>448</v>
      </c>
      <c r="B23" s="10" t="s">
        <v>449</v>
      </c>
      <c r="C23" s="13">
        <f>_xll.BDH("NBIX US Equity","ARD_INCOME_TAX_EXP_BENEFIT","FQ4 2018","FQ4 2018","Currency=USD","Period=FQ","BEST_FPERIOD_OVERRIDE=FQ","FILING_STATUS=MR","SCALING_FORMAT=MLN","Sort=A","Dates=H","DateFormat=P","Fill=—","Direction=H","UseDPDF=Y")</f>
        <v>0.73</v>
      </c>
      <c r="D23" s="13">
        <f>_xll.BDH("NBIX US Equity","ARD_INCOME_TAX_EXP_BENEFIT","FQ1 2019","FQ1 2019","Currency=USD","Period=FQ","BEST_FPERIOD_OVERRIDE=FQ","FILING_STATUS=MR","SCALING_FORMAT=MLN","Sort=A","Dates=H","DateFormat=P","Fill=—","Direction=H","UseDPDF=Y")</f>
        <v>-0.47899999999999998</v>
      </c>
      <c r="E23" s="13">
        <f>_xll.BDH("NBIX US Equity","ARD_INCOME_TAX_EXP_BENEFIT","FQ2 2019","FQ2 2019","Currency=USD","Period=FQ","BEST_FPERIOD_OVERRIDE=FQ","FILING_STATUS=MR","SCALING_FORMAT=MLN","Sort=A","Dates=H","DateFormat=P","Fill=—","Direction=H","UseDPDF=Y")</f>
        <v>0.753</v>
      </c>
      <c r="F23" s="13">
        <f>_xll.BDH("NBIX US Equity","ARD_INCOME_TAX_EXP_BENEFIT","FQ3 2019","FQ3 2019","Currency=USD","Period=FQ","BEST_FPERIOD_OVERRIDE=FQ","FILING_STATUS=MR","SCALING_FORMAT=MLN","Sort=A","Dates=H","DateFormat=P","Fill=—","Direction=H","UseDPDF=Y")</f>
        <v>4.6180000000000003</v>
      </c>
      <c r="G23" s="13">
        <f>_xll.BDH("NBIX US Equity","ARD_INCOME_TAX_EXP_BENEFIT","FQ4 2019","FQ4 2019","Currency=USD","Period=FQ","BEST_FPERIOD_OVERRIDE=FQ","FILING_STATUS=MR","SCALING_FORMAT=MLN","Sort=A","Dates=H","DateFormat=P","Fill=—","Direction=H","UseDPDF=Y")</f>
        <v>4.5999999999999996</v>
      </c>
      <c r="H23" s="13">
        <f>_xll.BDH("NBIX US Equity","ARD_INCOME_TAX_EXP_BENEFIT","FQ1 2020","FQ1 2020","Currency=USD","Period=FQ","BEST_FPERIOD_OVERRIDE=FQ","FILING_STATUS=MR","SCALING_FORMAT=MLN","Sort=A","Dates=H","DateFormat=P","Fill=—","Direction=H","UseDPDF=Y")</f>
        <v>1.5</v>
      </c>
      <c r="I23" s="13">
        <f>_xll.BDH("NBIX US Equity","ARD_INCOME_TAX_EXP_BENEFIT","FQ2 2020","FQ2 2020","Currency=USD","Period=FQ","BEST_FPERIOD_OVERRIDE=FQ","FILING_STATUS=MR","SCALING_FORMAT=MLN","Sort=A","Dates=H","DateFormat=P","Fill=—","Direction=H","UseDPDF=Y")</f>
        <v>3.6</v>
      </c>
      <c r="J23" s="13">
        <f>_xll.BDH("NBIX US Equity","ARD_INCOME_TAX_EXP_BENEFIT","FQ3 2020","FQ3 2020","Currency=USD","Period=FQ","BEST_FPERIOD_OVERRIDE=FQ","FILING_STATUS=MR","SCALING_FORMAT=MLN","Sort=A","Dates=H","DateFormat=P","Fill=—","Direction=H","UseDPDF=Y")</f>
        <v>0.5</v>
      </c>
      <c r="K23" s="13">
        <f>_xll.BDH("NBIX US Equity","ARD_INCOME_TAX_EXP_BENEFIT","FQ4 2020","FQ4 2020","Currency=USD","Period=FQ","BEST_FPERIOD_OVERRIDE=FQ","FILING_STATUS=MR","SCALING_FORMAT=MLN","Sort=A","Dates=H","DateFormat=P","Fill=—","Direction=H","UseDPDF=Y")</f>
        <v>-306.2</v>
      </c>
      <c r="L23" s="13">
        <f>_xll.BDH("NBIX US Equity","ARD_INCOME_TAX_EXP_BENEFIT","FQ1 2021","FQ1 2021","Currency=USD","Period=FQ","BEST_FPERIOD_OVERRIDE=FQ","FILING_STATUS=MR","SCALING_FORMAT=MLN","Sort=A","Dates=H","DateFormat=P","Fill=—","Direction=H","UseDPDF=Y")</f>
        <v>-4.9000000000000004</v>
      </c>
      <c r="M23" s="13">
        <f>_xll.BDH("NBIX US Equity","ARD_INCOME_TAX_EXP_BENEFIT","FQ2 2021","FQ2 2021","Currency=USD","Period=FQ","BEST_FPERIOD_OVERRIDE=FQ","FILING_STATUS=MR","SCALING_FORMAT=MLN","Sort=A","Dates=H","DateFormat=P","Fill=—","Direction=H","UseDPDF=Y")</f>
        <v>15.2</v>
      </c>
      <c r="N23" s="13">
        <f>_xll.BDH("NBIX US Equity","ARD_INCOME_TAX_EXP_BENEFIT","FQ3 2021","FQ3 2021","Currency=USD","Period=FQ","BEST_FPERIOD_OVERRIDE=FQ","FILING_STATUS=MR","SCALING_FORMAT=MLN","Sort=A","Dates=H","DateFormat=P","Fill=—","Direction=H","UseDPDF=Y")</f>
        <v>8</v>
      </c>
      <c r="O23" s="13">
        <f>_xll.BDH("NBIX US Equity","ARD_INCOME_TAX_EXP_BENEFIT","FQ4 2021","FQ4 2021","Currency=USD","Period=FQ","BEST_FPERIOD_OVERRIDE=FQ","FILING_STATUS=MR","SCALING_FORMAT=MLN","Sort=A","Dates=H","DateFormat=P","Fill=—","Direction=H","UseDPDF=Y")</f>
        <v>-6.5</v>
      </c>
      <c r="P23" s="13">
        <f>_xll.BDH("NBIX US Equity","ARD_INCOME_TAX_EXP_BENEFIT","FQ1 2022","FQ1 2022","Currency=USD","Period=FQ","BEST_FPERIOD_OVERRIDE=FQ","FILING_STATUS=MR","SCALING_FORMAT=MLN","Sort=A","Dates=H","DateFormat=P","Fill=—","Direction=H","UseDPDF=Y")</f>
        <v>7.5</v>
      </c>
      <c r="Q23" s="13">
        <f>_xll.BDH("NBIX US Equity","ARD_INCOME_TAX_EXP_BENEFIT","FQ2 2022","FQ2 2022","Currency=USD","Period=FQ","BEST_FPERIOD_OVERRIDE=FQ","FILING_STATUS=MR","SCALING_FORMAT=MLN","Sort=A","Dates=H","DateFormat=P","Fill=—","Direction=H","UseDPDF=Y")</f>
        <v>-6.4</v>
      </c>
      <c r="R23" s="13">
        <f>_xll.BDH("NBIX US Equity","ARD_INCOME_TAX_EXP_BENEFIT","FQ3 2022","FQ3 2022","Currency=USD","Period=FQ","BEST_FPERIOD_OVERRIDE=FQ","FILING_STATUS=MR","SCALING_FORMAT=MLN","Sort=A","Dates=H","DateFormat=P","Fill=—","Direction=H","UseDPDF=Y")</f>
        <v>29.4</v>
      </c>
      <c r="S23" s="13">
        <f>_xll.BDH("NBIX US Equity","ARD_INCOME_TAX_EXP_BENEFIT","FQ4 2022","FQ4 2022","Currency=USD","Period=FQ","BEST_FPERIOD_OVERRIDE=FQ","FILING_STATUS=MR","SCALING_FORMAT=MLN","Sort=A","Dates=H","DateFormat=P","Fill=—","Direction=H","UseDPDF=Y")</f>
        <v>28.9</v>
      </c>
      <c r="T23" s="13">
        <f>_xll.BDH("NBIX US Equity","ARD_INCOME_TAX_EXP_BENEFIT","FQ1 2023","FQ1 2023","Currency=USD","Period=FQ","BEST_FPERIOD_OVERRIDE=FQ","FILING_STATUS=MR","SCALING_FORMAT=MLN","Sort=A","Dates=H","DateFormat=P","Fill=—","Direction=H","UseDPDF=Y")</f>
        <v>-26.7</v>
      </c>
      <c r="U23" s="13">
        <f>_xll.BDH("NBIX US Equity","ARD_INCOME_TAX_EXP_BENEFIT","FQ2 2023","FQ2 2023","Currency=USD","Period=FQ","BEST_FPERIOD_OVERRIDE=FQ","FILING_STATUS=MR","SCALING_FORMAT=MLN","Sort=A","Dates=H","DateFormat=P","Fill=—","Direction=H","UseDPDF=Y")</f>
        <v>26.1</v>
      </c>
      <c r="V23" s="13">
        <f>_xll.BDH("NBIX US Equity","ARD_INCOME_TAX_EXP_BENEFIT","FQ3 2023","FQ3 2023","Currency=USD","Period=FQ","BEST_FPERIOD_OVERRIDE=FQ","FILING_STATUS=MR","SCALING_FORMAT=MLN","Sort=A","Dates=H","DateFormat=P","Fill=—","Direction=H","UseDPDF=Y")</f>
        <v>32.5</v>
      </c>
      <c r="W23" s="13">
        <f>_xll.BDH("NBIX US Equity","ARD_INCOME_TAX_EXP_BENEFIT","FQ4 2023","FQ4 2023","Currency=USD","Period=FQ","BEST_FPERIOD_OVERRIDE=FQ","FILING_STATUS=MR","SCALING_FORMAT=MLN","Sort=A","Dates=H","DateFormat=P","Fill=—","Direction=H","UseDPDF=Y")</f>
        <v>50.5</v>
      </c>
      <c r="X23" s="13">
        <f>_xll.BDH("NBIX US Equity","ARD_INCOME_TAX_EXP_BENEFIT","FQ1 2024","FQ1 2024","Currency=USD","Period=FQ","BEST_FPERIOD_OVERRIDE=FQ","FILING_STATUS=MR","SCALING_FORMAT=MLN","Sort=A","Dates=H","DateFormat=P","Fill=—","Direction=H","UseDPDF=Y")</f>
        <v>-8.9</v>
      </c>
      <c r="Y23" s="13">
        <f>_xll.BDH("NBIX US Equity","ARD_INCOME_TAX_EXP_BENEFIT","FQ2 2024","FQ2 2024","Currency=USD","Period=FQ","BEST_FPERIOD_OVERRIDE=FQ","FILING_STATUS=MR","SCALING_FORMAT=MLN","Sort=A","Dates=H","DateFormat=P","Fill=—","Direction=H","UseDPDF=Y")</f>
        <v>33.6</v>
      </c>
      <c r="Z23" s="13">
        <f>_xll.BDH("NBIX US Equity","ARD_INCOME_TAX_EXP_BENEFIT","FQ3 2024","FQ3 2024","Currency=USD","Period=FQ","BEST_FPERIOD_OVERRIDE=FQ","FILING_STATUS=MR","SCALING_FORMAT=MLN","Sort=A","Dates=H","DateFormat=P","Fill=—","Direction=H","UseDPDF=Y")</f>
        <v>60.5</v>
      </c>
      <c r="AA23" s="13">
        <f>_xll.BDH("NBIX US Equity","ARD_INCOME_TAX_EXP_BENEFIT","FQ4 2024","FQ4 2024","Currency=USD","Period=FQ","BEST_FPERIOD_OVERRIDE=FQ","FILING_STATUS=MR","SCALING_FORMAT=MLN","Sort=A","Dates=H","DateFormat=P","Fill=—","Direction=H","UseDPDF=Y")</f>
        <v>59.5</v>
      </c>
    </row>
    <row r="24" spans="1:27" x14ac:dyDescent="0.25">
      <c r="A24" s="10" t="s">
        <v>450</v>
      </c>
      <c r="B24" s="10" t="s">
        <v>451</v>
      </c>
      <c r="C24" s="13">
        <f>_xll.BDH("NBIX US Equity","ARD_INVESTMENT_INCOME","FQ4 2018","FQ4 2018","Currency=USD","Period=FQ","BEST_FPERIOD_OVERRIDE=FQ","FILING_STATUS=MR","SCALING_FORMAT=MLN","Sort=A","Dates=H","DateFormat=P","Fill=—","Direction=H","UseDPDF=Y")</f>
        <v>-4.7</v>
      </c>
      <c r="D24" s="13">
        <f>_xll.BDH("NBIX US Equity","ARD_INVESTMENT_INCOME","FQ1 2019","FQ1 2019","Currency=USD","Period=FQ","BEST_FPERIOD_OVERRIDE=FQ","FILING_STATUS=MR","SCALING_FORMAT=MLN","Sort=A","Dates=H","DateFormat=P","Fill=—","Direction=H","UseDPDF=Y")</f>
        <v>-4.5759999999999996</v>
      </c>
      <c r="E24" s="13">
        <f>_xll.BDH("NBIX US Equity","ARD_INVESTMENT_INCOME","FQ2 2019","FQ2 2019","Currency=USD","Period=FQ","BEST_FPERIOD_OVERRIDE=FQ","FILING_STATUS=MR","SCALING_FORMAT=MLN","Sort=A","Dates=H","DateFormat=P","Fill=—","Direction=H","UseDPDF=Y")</f>
        <v>-4.6070000000000002</v>
      </c>
      <c r="F24" s="13">
        <f>_xll.BDH("NBIX US Equity","ARD_INVESTMENT_INCOME","FQ3 2019","FQ3 2019","Currency=USD","Period=FQ","BEST_FPERIOD_OVERRIDE=FQ","FILING_STATUS=MR","SCALING_FORMAT=MLN","Sort=A","Dates=H","DateFormat=P","Fill=—","Direction=H","UseDPDF=Y")</f>
        <v>-4.7969999999999997</v>
      </c>
      <c r="G24" s="13">
        <f>_xll.BDH("NBIX US Equity","ARD_INVESTMENT_INCOME","FQ4 2019","FQ4 2019","Currency=USD","Period=FQ","BEST_FPERIOD_OVERRIDE=FQ","FILING_STATUS=MR","SCALING_FORMAT=MLN","Sort=A","Dates=H","DateFormat=P","Fill=—","Direction=H","UseDPDF=Y")</f>
        <v>-5.2</v>
      </c>
      <c r="H24" s="13">
        <f>_xll.BDH("NBIX US Equity","ARD_INVESTMENT_INCOME","FQ1 2020","FQ1 2020","Currency=USD","Period=FQ","BEST_FPERIOD_OVERRIDE=FQ","FILING_STATUS=MR","SCALING_FORMAT=MLN","Sort=A","Dates=H","DateFormat=P","Fill=—","Direction=H","UseDPDF=Y")</f>
        <v>-4.7</v>
      </c>
      <c r="I24" s="13">
        <f>_xll.BDH("NBIX US Equity","ARD_INVESTMENT_INCOME","FQ2 2020","FQ2 2020","Currency=USD","Period=FQ","BEST_FPERIOD_OVERRIDE=FQ","FILING_STATUS=MR","SCALING_FORMAT=MLN","Sort=A","Dates=H","DateFormat=P","Fill=—","Direction=H","UseDPDF=Y")</f>
        <v>-3.6</v>
      </c>
      <c r="J24" s="13">
        <f>_xll.BDH("NBIX US Equity","ARD_INVESTMENT_INCOME","FQ3 2020","FQ3 2020","Currency=USD","Period=FQ","BEST_FPERIOD_OVERRIDE=FQ","FILING_STATUS=MR","SCALING_FORMAT=MLN","Sort=A","Dates=H","DateFormat=P","Fill=—","Direction=H","UseDPDF=Y")</f>
        <v>-2.7</v>
      </c>
      <c r="K24" s="13">
        <f>_xll.BDH("NBIX US Equity","ARD_INVESTMENT_INCOME","FQ4 2020","FQ4 2020","Currency=USD","Period=FQ","BEST_FPERIOD_OVERRIDE=FQ","FILING_STATUS=MR","SCALING_FORMAT=MLN","Sort=A","Dates=H","DateFormat=P","Fill=—","Direction=H","UseDPDF=Y")</f>
        <v>-1.6</v>
      </c>
      <c r="L24" s="13">
        <f>_xll.BDH("NBIX US Equity","ARD_INVESTMENT_INCOME","FQ1 2021","FQ1 2021","Currency=USD","Period=FQ","BEST_FPERIOD_OVERRIDE=FQ","FILING_STATUS=MR","SCALING_FORMAT=MLN","Sort=A","Dates=H","DateFormat=P","Fill=—","Direction=H","UseDPDF=Y")</f>
        <v>-1.4</v>
      </c>
      <c r="M24" s="13">
        <f>_xll.BDH("NBIX US Equity","ARD_INVESTMENT_INCOME","FQ2 2021","FQ2 2021","Currency=USD","Period=FQ","BEST_FPERIOD_OVERRIDE=FQ","FILING_STATUS=MR","SCALING_FORMAT=MLN","Sort=A","Dates=H","DateFormat=P","Fill=—","Direction=H","UseDPDF=Y")</f>
        <v>-0.9</v>
      </c>
      <c r="N24" s="13">
        <f>_xll.BDH("NBIX US Equity","ARD_INVESTMENT_INCOME","FQ3 2021","FQ3 2021","Currency=USD","Period=FQ","BEST_FPERIOD_OVERRIDE=FQ","FILING_STATUS=MR","SCALING_FORMAT=MLN","Sort=A","Dates=H","DateFormat=P","Fill=—","Direction=H","UseDPDF=Y")</f>
        <v>-0.8</v>
      </c>
      <c r="O24" s="13">
        <f>_xll.BDH("NBIX US Equity","ARD_INVESTMENT_INCOME","FQ4 2021","FQ4 2021","Currency=USD","Period=FQ","BEST_FPERIOD_OVERRIDE=FQ","FILING_STATUS=MR","SCALING_FORMAT=MLN","Sort=A","Dates=H","DateFormat=P","Fill=—","Direction=H","UseDPDF=Y")</f>
        <v>-0.7</v>
      </c>
      <c r="P24" s="13">
        <f>_xll.BDH("NBIX US Equity","ARD_INVESTMENT_INCOME","FQ1 2022","FQ1 2022","Currency=USD","Period=FQ","BEST_FPERIOD_OVERRIDE=FQ","FILING_STATUS=MR","SCALING_FORMAT=MLN","Sort=A","Dates=H","DateFormat=P","Fill=—","Direction=H","UseDPDF=Y")</f>
        <v>-1</v>
      </c>
      <c r="Q24" s="13">
        <f>_xll.BDH("NBIX US Equity","ARD_INVESTMENT_INCOME","FQ2 2022","FQ2 2022","Currency=USD","Period=FQ","BEST_FPERIOD_OVERRIDE=FQ","FILING_STATUS=MR","SCALING_FORMAT=MLN","Sort=A","Dates=H","DateFormat=P","Fill=—","Direction=H","UseDPDF=Y")</f>
        <v>-1.6</v>
      </c>
      <c r="R24" s="13">
        <f>_xll.BDH("NBIX US Equity","ARD_INVESTMENT_INCOME","FQ3 2022","FQ3 2022","Currency=USD","Period=FQ","BEST_FPERIOD_OVERRIDE=FQ","FILING_STATUS=MR","SCALING_FORMAT=MLN","Sort=A","Dates=H","DateFormat=P","Fill=—","Direction=H","UseDPDF=Y")</f>
        <v>-0.2</v>
      </c>
      <c r="S24" s="13">
        <f>_xll.BDH("NBIX US Equity","ARD_INVESTMENT_INCOME","FQ4 2022","FQ4 2022","Currency=USD","Period=FQ","BEST_FPERIOD_OVERRIDE=FQ","FILING_STATUS=MR","SCALING_FORMAT=MLN","Sort=A","Dates=H","DateFormat=P","Fill=—","Direction=H","UseDPDF=Y")</f>
        <v>-8.4</v>
      </c>
      <c r="T24" s="13">
        <f>_xll.BDH("NBIX US Equity","ARD_INVESTMENT_INCOME","FQ1 2023","FQ1 2023","Currency=USD","Period=FQ","BEST_FPERIOD_OVERRIDE=FQ","FILING_STATUS=MR","SCALING_FORMAT=MLN","Sort=A","Dates=H","DateFormat=P","Fill=—","Direction=H","UseDPDF=Y")</f>
        <v>-9.8000000000000007</v>
      </c>
      <c r="U24" s="13">
        <f>_xll.BDH("NBIX US Equity","ARD_INVESTMENT_INCOME","FQ2 2023","FQ2 2023","Currency=USD","Period=FQ","BEST_FPERIOD_OVERRIDE=FQ","FILING_STATUS=MR","SCALING_FORMAT=MLN","Sort=A","Dates=H","DateFormat=P","Fill=—","Direction=H","UseDPDF=Y")</f>
        <v>-12</v>
      </c>
      <c r="V24" s="13">
        <f>_xll.BDH("NBIX US Equity","ARD_INVESTMENT_INCOME","FQ3 2023","FQ3 2023","Currency=USD","Period=FQ","BEST_FPERIOD_OVERRIDE=FQ","FILING_STATUS=MR","SCALING_FORMAT=MLN","Sort=A","Dates=H","DateFormat=P","Fill=—","Direction=H","UseDPDF=Y")</f>
        <v>-15.6</v>
      </c>
      <c r="W24" s="13">
        <f>_xll.BDH("NBIX US Equity","ARD_INVESTMENT_INCOME","FQ4 2023","FQ4 2023","Currency=USD","Period=FQ","BEST_FPERIOD_OVERRIDE=FQ","FILING_STATUS=MR","SCALING_FORMAT=MLN","Sort=A","Dates=H","DateFormat=P","Fill=—","Direction=H","UseDPDF=Y")</f>
        <v>-20</v>
      </c>
      <c r="X24" s="13">
        <f>_xll.BDH("NBIX US Equity","ARD_INVESTMENT_INCOME","FQ1 2024","FQ1 2024","Currency=USD","Period=FQ","BEST_FPERIOD_OVERRIDE=FQ","FILING_STATUS=MR","SCALING_FORMAT=MLN","Sort=A","Dates=H","DateFormat=P","Fill=—","Direction=H","UseDPDF=Y")</f>
        <v>-23.4</v>
      </c>
      <c r="Y24" s="13">
        <f>_xll.BDH("NBIX US Equity","ARD_INVESTMENT_INCOME","FQ2 2024","FQ2 2024","Currency=USD","Period=FQ","BEST_FPERIOD_OVERRIDE=FQ","FILING_STATUS=MR","SCALING_FORMAT=MLN","Sort=A","Dates=H","DateFormat=P","Fill=—","Direction=H","UseDPDF=Y")</f>
        <v>-22.8</v>
      </c>
      <c r="Z24" s="13">
        <f>_xll.BDH("NBIX US Equity","ARD_INVESTMENT_INCOME","FQ3 2024","FQ3 2024","Currency=USD","Period=FQ","BEST_FPERIOD_OVERRIDE=FQ","FILING_STATUS=MR","SCALING_FORMAT=MLN","Sort=A","Dates=H","DateFormat=P","Fill=—","Direction=H","UseDPDF=Y")</f>
        <v>-23.4</v>
      </c>
      <c r="AA24" s="13">
        <f>_xll.BDH("NBIX US Equity","ARD_INVESTMENT_INCOME","FQ4 2024","FQ4 2024","Currency=USD","Period=FQ","BEST_FPERIOD_OVERRIDE=FQ","FILING_STATUS=MR","SCALING_FORMAT=MLN","Sort=A","Dates=H","DateFormat=P","Fill=—","Direction=H","UseDPDF=Y")</f>
        <v>-22.5</v>
      </c>
    </row>
    <row r="25" spans="1:27" x14ac:dyDescent="0.25">
      <c r="A25" s="10" t="s">
        <v>452</v>
      </c>
      <c r="B25" s="10" t="s">
        <v>453</v>
      </c>
      <c r="C25" s="13">
        <f>_xll.BDH("NBIX US Equity","ARD_INCOME_BEFORE_INCOME_TAXES","FQ4 2018","FQ4 2018","Currency=USD","Period=FQ","BEST_FPERIOD_OVERRIDE=FQ","FILING_STATUS=MR","SCALING_FORMAT=MLN","Sort=A","Dates=H","DateFormat=P","Fill=—","Direction=H","UseDPDF=Y")</f>
        <v>18.808</v>
      </c>
      <c r="D25" s="13">
        <f>_xll.BDH("NBIX US Equity","ARD_INCOME_BEFORE_INCOME_TAXES","FQ1 2019","FQ1 2019","Currency=USD","Period=FQ","BEST_FPERIOD_OVERRIDE=FQ","FILING_STATUS=MR","SCALING_FORMAT=MLN","Sort=A","Dates=H","DateFormat=P","Fill=—","Direction=H","UseDPDF=Y")</f>
        <v>-102.59399999999999</v>
      </c>
      <c r="E25" s="13">
        <f>_xll.BDH("NBIX US Equity","ARD_INCOME_BEFORE_INCOME_TAXES","FQ2 2019","FQ2 2019","Currency=USD","Period=FQ","BEST_FPERIOD_OVERRIDE=FQ","FILING_STATUS=MR","SCALING_FORMAT=MLN","Sort=A","Dates=H","DateFormat=P","Fill=—","Direction=H","UseDPDF=Y")</f>
        <v>52.091000000000001</v>
      </c>
      <c r="F25" s="13">
        <f>_xll.BDH("NBIX US Equity","ARD_INCOME_BEFORE_INCOME_TAXES","FQ3 2019","FQ3 2019","Currency=USD","Period=FQ","BEST_FPERIOD_OVERRIDE=FQ","FILING_STATUS=MR","SCALING_FORMAT=MLN","Sort=A","Dates=H","DateFormat=P","Fill=—","Direction=H","UseDPDF=Y")</f>
        <v>58.406999999999996</v>
      </c>
      <c r="G25" s="13">
        <f>_xll.BDH("NBIX US Equity","ARD_INCOME_BEFORE_INCOME_TAXES","FQ4 2019","FQ4 2019","Currency=USD","Period=FQ","BEST_FPERIOD_OVERRIDE=FQ","FILING_STATUS=MR","SCALING_FORMAT=MLN","Sort=A","Dates=H","DateFormat=P","Fill=—","Direction=H","UseDPDF=Y")</f>
        <v>38.6</v>
      </c>
      <c r="H25" s="13">
        <f>_xll.BDH("NBIX US Equity","ARD_INCOME_BEFORE_INCOME_TAXES","FQ1 2020","FQ1 2020","Currency=USD","Period=FQ","BEST_FPERIOD_OVERRIDE=FQ","FILING_STATUS=MR","SCALING_FORMAT=MLN","Sort=A","Dates=H","DateFormat=P","Fill=—","Direction=H","UseDPDF=Y")</f>
        <v>38.9</v>
      </c>
      <c r="I25" s="13">
        <f>_xll.BDH("NBIX US Equity","ARD_INCOME_BEFORE_INCOME_TAXES","FQ2 2020","FQ2 2020","Currency=USD","Period=FQ","BEST_FPERIOD_OVERRIDE=FQ","FILING_STATUS=MR","SCALING_FORMAT=MLN","Sort=A","Dates=H","DateFormat=P","Fill=—","Direction=H","UseDPDF=Y")</f>
        <v>83.2</v>
      </c>
      <c r="J25" s="13">
        <f>_xll.BDH("NBIX US Equity","ARD_INCOME_BEFORE_INCOME_TAXES","FQ3 2020","FQ3 2020","Currency=USD","Period=FQ","BEST_FPERIOD_OVERRIDE=FQ","FILING_STATUS=MR","SCALING_FORMAT=MLN","Sort=A","Dates=H","DateFormat=P","Fill=—","Direction=H","UseDPDF=Y")</f>
        <v>-57.1</v>
      </c>
      <c r="K25" s="13">
        <f>_xll.BDH("NBIX US Equity","ARD_INCOME_BEFORE_INCOME_TAXES","FQ4 2020","FQ4 2020","Currency=USD","Period=FQ","BEST_FPERIOD_OVERRIDE=FQ","FILING_STATUS=MR","SCALING_FORMAT=MLN","Sort=A","Dates=H","DateFormat=P","Fill=—","Direction=H","UseDPDF=Y")</f>
        <v>41.7</v>
      </c>
      <c r="L25" s="13">
        <f>_xll.BDH("NBIX US Equity","ARD_INCOME_BEFORE_INCOME_TAXES","FQ1 2021","FQ1 2021","Currency=USD","Period=FQ","BEST_FPERIOD_OVERRIDE=FQ","FILING_STATUS=MR","SCALING_FORMAT=MLN","Sort=A","Dates=H","DateFormat=P","Fill=—","Direction=H","UseDPDF=Y")</f>
        <v>27.2</v>
      </c>
      <c r="M25" s="13">
        <f>_xll.BDH("NBIX US Equity","ARD_INCOME_BEFORE_INCOME_TAXES","FQ2 2021","FQ2 2021","Currency=USD","Period=FQ","BEST_FPERIOD_OVERRIDE=FQ","FILING_STATUS=MR","SCALING_FORMAT=MLN","Sort=A","Dates=H","DateFormat=P","Fill=—","Direction=H","UseDPDF=Y")</f>
        <v>57.5</v>
      </c>
      <c r="N25" s="13">
        <f>_xll.BDH("NBIX US Equity","ARD_INCOME_BEFORE_INCOME_TAXES","FQ3 2021","FQ3 2021","Currency=USD","Period=FQ","BEST_FPERIOD_OVERRIDE=FQ","FILING_STATUS=MR","SCALING_FORMAT=MLN","Sort=A","Dates=H","DateFormat=P","Fill=—","Direction=H","UseDPDF=Y")</f>
        <v>30.5</v>
      </c>
      <c r="O25" s="13">
        <f>_xll.BDH("NBIX US Equity","ARD_INCOME_BEFORE_INCOME_TAXES","FQ4 2021","FQ4 2021","Currency=USD","Period=FQ","BEST_FPERIOD_OVERRIDE=FQ","FILING_STATUS=MR","SCALING_FORMAT=MLN","Sort=A","Dates=H","DateFormat=P","Fill=—","Direction=H","UseDPDF=Y")</f>
        <v>-13.8</v>
      </c>
      <c r="P25" s="13">
        <f>_xll.BDH("NBIX US Equity","ARD_INCOME_BEFORE_INCOME_TAXES","FQ1 2022","FQ1 2022","Currency=USD","Period=FQ","BEST_FPERIOD_OVERRIDE=FQ","FILING_STATUS=MR","SCALING_FORMAT=MLN","Sort=A","Dates=H","DateFormat=P","Fill=—","Direction=H","UseDPDF=Y")</f>
        <v>21.4</v>
      </c>
      <c r="Q25" s="13">
        <f>_xll.BDH("NBIX US Equity","ARD_INCOME_BEFORE_INCOME_TAXES","FQ2 2022","FQ2 2022","Currency=USD","Period=FQ","BEST_FPERIOD_OVERRIDE=FQ","FILING_STATUS=MR","SCALING_FORMAT=MLN","Sort=A","Dates=H","DateFormat=P","Fill=—","Direction=H","UseDPDF=Y")</f>
        <v>-23.3</v>
      </c>
      <c r="R25" s="13">
        <f>_xll.BDH("NBIX US Equity","ARD_INCOME_BEFORE_INCOME_TAXES","FQ3 2022","FQ3 2022","Currency=USD","Period=FQ","BEST_FPERIOD_OVERRIDE=FQ","FILING_STATUS=MR","SCALING_FORMAT=MLN","Sort=A","Dates=H","DateFormat=P","Fill=—","Direction=H","UseDPDF=Y")</f>
        <v>97.9</v>
      </c>
      <c r="S25" s="13">
        <f>_xll.BDH("NBIX US Equity","ARD_INCOME_BEFORE_INCOME_TAXES","FQ4 2022","FQ4 2022","Currency=USD","Period=FQ","BEST_FPERIOD_OVERRIDE=FQ","FILING_STATUS=MR","SCALING_FORMAT=MLN","Sort=A","Dates=H","DateFormat=P","Fill=—","Direction=H","UseDPDF=Y")</f>
        <v>117.9</v>
      </c>
      <c r="T25" s="13">
        <f>_xll.BDH("NBIX US Equity","ARD_INCOME_BEFORE_INCOME_TAXES","FQ1 2023","FQ1 2023","Currency=USD","Period=FQ","BEST_FPERIOD_OVERRIDE=FQ","FILING_STATUS=MR","SCALING_FORMAT=MLN","Sort=A","Dates=H","DateFormat=P","Fill=—","Direction=H","UseDPDF=Y")</f>
        <v>-103.3</v>
      </c>
      <c r="U25" s="13">
        <f>_xll.BDH("NBIX US Equity","ARD_INCOME_BEFORE_INCOME_TAXES","FQ2 2023","FQ2 2023","Currency=USD","Period=FQ","BEST_FPERIOD_OVERRIDE=FQ","FILING_STATUS=MR","SCALING_FORMAT=MLN","Sort=A","Dates=H","DateFormat=P","Fill=—","Direction=H","UseDPDF=Y")</f>
        <v>121.6</v>
      </c>
      <c r="V25" s="13">
        <f>_xll.BDH("NBIX US Equity","ARD_INCOME_BEFORE_INCOME_TAXES","FQ3 2023","FQ3 2023","Currency=USD","Period=FQ","BEST_FPERIOD_OVERRIDE=FQ","FILING_STATUS=MR","SCALING_FORMAT=MLN","Sort=A","Dates=H","DateFormat=P","Fill=—","Direction=H","UseDPDF=Y")</f>
        <v>115.6</v>
      </c>
      <c r="W25" s="13">
        <f>_xll.BDH("NBIX US Equity","ARD_INCOME_BEFORE_INCOME_TAXES","FQ4 2023","FQ4 2023","Currency=USD","Period=FQ","BEST_FPERIOD_OVERRIDE=FQ","FILING_STATUS=MR","SCALING_FORMAT=MLN","Sort=A","Dates=H","DateFormat=P","Fill=—","Direction=H","UseDPDF=Y")</f>
        <v>198.2</v>
      </c>
      <c r="X25" s="13">
        <f>_xll.BDH("NBIX US Equity","ARD_INCOME_BEFORE_INCOME_TAXES","FQ1 2024","FQ1 2024","Currency=USD","Period=FQ","BEST_FPERIOD_OVERRIDE=FQ","FILING_STATUS=MR","SCALING_FORMAT=MLN","Sort=A","Dates=H","DateFormat=P","Fill=—","Direction=H","UseDPDF=Y")</f>
        <v>34.5</v>
      </c>
      <c r="Y25" s="13">
        <f>_xll.BDH("NBIX US Equity","ARD_INCOME_BEFORE_INCOME_TAXES","FQ2 2024","FQ2 2024","Currency=USD","Period=FQ","BEST_FPERIOD_OVERRIDE=FQ","FILING_STATUS=MR","SCALING_FORMAT=MLN","Sort=A","Dates=H","DateFormat=P","Fill=—","Direction=H","UseDPDF=Y")</f>
        <v>98.6</v>
      </c>
      <c r="Z25" s="13">
        <f>_xll.BDH("NBIX US Equity","ARD_INCOME_BEFORE_INCOME_TAXES","FQ3 2024","FQ3 2024","Currency=USD","Period=FQ","BEST_FPERIOD_OVERRIDE=FQ","FILING_STATUS=MR","SCALING_FORMAT=MLN","Sort=A","Dates=H","DateFormat=P","Fill=—","Direction=H","UseDPDF=Y")</f>
        <v>190.3</v>
      </c>
      <c r="AA25" s="13">
        <f>_xll.BDH("NBIX US Equity","ARD_INCOME_BEFORE_INCOME_TAXES","FQ4 2024","FQ4 2024","Currency=USD","Period=FQ","BEST_FPERIOD_OVERRIDE=FQ","FILING_STATUS=MR","SCALING_FORMAT=MLN","Sort=A","Dates=H","DateFormat=P","Fill=—","Direction=H","UseDPDF=Y")</f>
        <v>162.6</v>
      </c>
    </row>
    <row r="26" spans="1:27" x14ac:dyDescent="0.25">
      <c r="A26" s="10" t="s">
        <v>454</v>
      </c>
      <c r="B26" s="10" t="s">
        <v>455</v>
      </c>
      <c r="C26" s="13" t="str">
        <f>_xll.BDH("NBIX US Equity","ARD_INCOME_BEFORE_XO_ITEMS","FQ4 2018","FQ4 2018","Currency=USD","Period=FQ","BEST_FPERIOD_OVERRIDE=FQ","FILING_STATUS=MR","SCALING_FORMAT=MLN","Sort=A","Dates=H","DateFormat=P","Fill=—","Direction=H","UseDPDF=Y")</f>
        <v>—</v>
      </c>
      <c r="D26" s="13" t="str">
        <f>_xll.BDH("NBIX US Equity","ARD_INCOME_BEFORE_XO_ITEMS","FQ1 2019","FQ1 2019","Currency=USD","Period=FQ","BEST_FPERIOD_OVERRIDE=FQ","FILING_STATUS=MR","SCALING_FORMAT=MLN","Sort=A","Dates=H","DateFormat=P","Fill=—","Direction=H","UseDPDF=Y")</f>
        <v>—</v>
      </c>
      <c r="E26" s="13" t="str">
        <f>_xll.BDH("NBIX US Equity","ARD_INCOME_BEFORE_XO_ITEMS","FQ2 2019","FQ2 2019","Currency=USD","Period=FQ","BEST_FPERIOD_OVERRIDE=FQ","FILING_STATUS=MR","SCALING_FORMAT=MLN","Sort=A","Dates=H","DateFormat=P","Fill=—","Direction=H","UseDPDF=Y")</f>
        <v>—</v>
      </c>
      <c r="F26" s="13" t="str">
        <f>_xll.BDH("NBIX US Equity","ARD_INCOME_BEFORE_XO_ITEMS","FQ3 2019","FQ3 2019","Currency=USD","Period=FQ","BEST_FPERIOD_OVERRIDE=FQ","FILING_STATUS=MR","SCALING_FORMAT=MLN","Sort=A","Dates=H","DateFormat=P","Fill=—","Direction=H","UseDPDF=Y")</f>
        <v>—</v>
      </c>
      <c r="G26" s="13" t="str">
        <f>_xll.BDH("NBIX US Equity","ARD_INCOME_BEFORE_XO_ITEMS","FQ4 2019","FQ4 2019","Currency=USD","Period=FQ","BEST_FPERIOD_OVERRIDE=FQ","FILING_STATUS=MR","SCALING_FORMAT=MLN","Sort=A","Dates=H","DateFormat=P","Fill=—","Direction=H","UseDPDF=Y")</f>
        <v>—</v>
      </c>
      <c r="H26" s="13" t="str">
        <f>_xll.BDH("NBIX US Equity","ARD_INCOME_BEFORE_XO_ITEMS","FQ1 2020","FQ1 2020","Currency=USD","Period=FQ","BEST_FPERIOD_OVERRIDE=FQ","FILING_STATUS=MR","SCALING_FORMAT=MLN","Sort=A","Dates=H","DateFormat=P","Fill=—","Direction=H","UseDPDF=Y")</f>
        <v>—</v>
      </c>
      <c r="I26" s="13" t="str">
        <f>_xll.BDH("NBIX US Equity","ARD_INCOME_BEFORE_XO_ITEMS","FQ2 2020","FQ2 2020","Currency=USD","Period=FQ","BEST_FPERIOD_OVERRIDE=FQ","FILING_STATUS=MR","SCALING_FORMAT=MLN","Sort=A","Dates=H","DateFormat=P","Fill=—","Direction=H","UseDPDF=Y")</f>
        <v>—</v>
      </c>
      <c r="J26" s="13" t="str">
        <f>_xll.BDH("NBIX US Equity","ARD_INCOME_BEFORE_XO_ITEMS","FQ3 2020","FQ3 2020","Currency=USD","Period=FQ","BEST_FPERIOD_OVERRIDE=FQ","FILING_STATUS=MR","SCALING_FORMAT=MLN","Sort=A","Dates=H","DateFormat=P","Fill=—","Direction=H","UseDPDF=Y")</f>
        <v>—</v>
      </c>
      <c r="K26" s="13" t="str">
        <f>_xll.BDH("NBIX US Equity","ARD_INCOME_BEFORE_XO_ITEMS","FQ4 2020","FQ4 2020","Currency=USD","Period=FQ","BEST_FPERIOD_OVERRIDE=FQ","FILING_STATUS=MR","SCALING_FORMAT=MLN","Sort=A","Dates=H","DateFormat=P","Fill=—","Direction=H","UseDPDF=Y")</f>
        <v>—</v>
      </c>
      <c r="L26" s="13" t="str">
        <f>_xll.BDH("NBIX US Equity","ARD_INCOME_BEFORE_XO_ITEMS","FQ1 2021","FQ1 2021","Currency=USD","Period=FQ","BEST_FPERIOD_OVERRIDE=FQ","FILING_STATUS=MR","SCALING_FORMAT=MLN","Sort=A","Dates=H","DateFormat=P","Fill=—","Direction=H","UseDPDF=Y")</f>
        <v>—</v>
      </c>
      <c r="M26" s="13" t="str">
        <f>_xll.BDH("NBIX US Equity","ARD_INCOME_BEFORE_XO_ITEMS","FQ2 2021","FQ2 2021","Currency=USD","Period=FQ","BEST_FPERIOD_OVERRIDE=FQ","FILING_STATUS=MR","SCALING_FORMAT=MLN","Sort=A","Dates=H","DateFormat=P","Fill=—","Direction=H","UseDPDF=Y")</f>
        <v>—</v>
      </c>
      <c r="N26" s="13" t="str">
        <f>_xll.BDH("NBIX US Equity","ARD_INCOME_BEFORE_XO_ITEMS","FQ3 2021","FQ3 2021","Currency=USD","Period=FQ","BEST_FPERIOD_OVERRIDE=FQ","FILING_STATUS=MR","SCALING_FORMAT=MLN","Sort=A","Dates=H","DateFormat=P","Fill=—","Direction=H","UseDPDF=Y")</f>
        <v>—</v>
      </c>
      <c r="O26" s="13" t="str">
        <f>_xll.BDH("NBIX US Equity","ARD_INCOME_BEFORE_XO_ITEMS","FQ4 2021","FQ4 2021","Currency=USD","Period=FQ","BEST_FPERIOD_OVERRIDE=FQ","FILING_STATUS=MR","SCALING_FORMAT=MLN","Sort=A","Dates=H","DateFormat=P","Fill=—","Direction=H","UseDPDF=Y")</f>
        <v>—</v>
      </c>
      <c r="P26" s="13" t="str">
        <f>_xll.BDH("NBIX US Equity","ARD_INCOME_BEFORE_XO_ITEMS","FQ1 2022","FQ1 2022","Currency=USD","Period=FQ","BEST_FPERIOD_OVERRIDE=FQ","FILING_STATUS=MR","SCALING_FORMAT=MLN","Sort=A","Dates=H","DateFormat=P","Fill=—","Direction=H","UseDPDF=Y")</f>
        <v>—</v>
      </c>
      <c r="Q26" s="13" t="str">
        <f>_xll.BDH("NBIX US Equity","ARD_INCOME_BEFORE_XO_ITEMS","FQ2 2022","FQ2 2022","Currency=USD","Period=FQ","BEST_FPERIOD_OVERRIDE=FQ","FILING_STATUS=MR","SCALING_FORMAT=MLN","Sort=A","Dates=H","DateFormat=P","Fill=—","Direction=H","UseDPDF=Y")</f>
        <v>—</v>
      </c>
      <c r="R26" s="13" t="str">
        <f>_xll.BDH("NBIX US Equity","ARD_INCOME_BEFORE_XO_ITEMS","FQ3 2022","FQ3 2022","Currency=USD","Period=FQ","BEST_FPERIOD_OVERRIDE=FQ","FILING_STATUS=MR","SCALING_FORMAT=MLN","Sort=A","Dates=H","DateFormat=P","Fill=—","Direction=H","UseDPDF=Y")</f>
        <v>—</v>
      </c>
      <c r="S26" s="13" t="str">
        <f>_xll.BDH("NBIX US Equity","ARD_INCOME_BEFORE_XO_ITEMS","FQ4 2022","FQ4 2022","Currency=USD","Period=FQ","BEST_FPERIOD_OVERRIDE=FQ","FILING_STATUS=MR","SCALING_FORMAT=MLN","Sort=A","Dates=H","DateFormat=P","Fill=—","Direction=H","UseDPDF=Y")</f>
        <v>—</v>
      </c>
      <c r="T26" s="13" t="str">
        <f>_xll.BDH("NBIX US Equity","ARD_INCOME_BEFORE_XO_ITEMS","FQ1 2023","FQ1 2023","Currency=USD","Period=FQ","BEST_FPERIOD_OVERRIDE=FQ","FILING_STATUS=MR","SCALING_FORMAT=MLN","Sort=A","Dates=H","DateFormat=P","Fill=—","Direction=H","UseDPDF=Y")</f>
        <v>—</v>
      </c>
      <c r="U26" s="13" t="str">
        <f>_xll.BDH("NBIX US Equity","ARD_INCOME_BEFORE_XO_ITEMS","FQ2 2023","FQ2 2023","Currency=USD","Period=FQ","BEST_FPERIOD_OVERRIDE=FQ","FILING_STATUS=MR","SCALING_FORMAT=MLN","Sort=A","Dates=H","DateFormat=P","Fill=—","Direction=H","UseDPDF=Y")</f>
        <v>—</v>
      </c>
      <c r="V26" s="13" t="str">
        <f>_xll.BDH("NBIX US Equity","ARD_INCOME_BEFORE_XO_ITEMS","FQ3 2023","FQ3 2023","Currency=USD","Period=FQ","BEST_FPERIOD_OVERRIDE=FQ","FILING_STATUS=MR","SCALING_FORMAT=MLN","Sort=A","Dates=H","DateFormat=P","Fill=—","Direction=H","UseDPDF=Y")</f>
        <v>—</v>
      </c>
      <c r="W26" s="13">
        <f>_xll.BDH("NBIX US Equity","ARD_INCOME_BEFORE_XO_ITEMS","FQ4 2023","FQ4 2023","Currency=USD","Period=FQ","BEST_FPERIOD_OVERRIDE=FQ","FILING_STATUS=MR","SCALING_FORMAT=MLN","Sort=A","Dates=H","DateFormat=P","Fill=—","Direction=H","UseDPDF=Y")</f>
        <v>147.69999999999999</v>
      </c>
      <c r="X26" s="13" t="str">
        <f>_xll.BDH("NBIX US Equity","ARD_INCOME_BEFORE_XO_ITEMS","FQ1 2024","FQ1 2024","Currency=USD","Period=FQ","BEST_FPERIOD_OVERRIDE=FQ","FILING_STATUS=MR","SCALING_FORMAT=MLN","Sort=A","Dates=H","DateFormat=P","Fill=—","Direction=H","UseDPDF=Y")</f>
        <v>—</v>
      </c>
      <c r="Y26" s="13" t="str">
        <f>_xll.BDH("NBIX US Equity","ARD_INCOME_BEFORE_XO_ITEMS","FQ2 2024","FQ2 2024","Currency=USD","Period=FQ","BEST_FPERIOD_OVERRIDE=FQ","FILING_STATUS=MR","SCALING_FORMAT=MLN","Sort=A","Dates=H","DateFormat=P","Fill=—","Direction=H","UseDPDF=Y")</f>
        <v>—</v>
      </c>
      <c r="Z26" s="13" t="str">
        <f>_xll.BDH("NBIX US Equity","ARD_INCOME_BEFORE_XO_ITEMS","FQ3 2024","FQ3 2024","Currency=USD","Period=FQ","BEST_FPERIOD_OVERRIDE=FQ","FILING_STATUS=MR","SCALING_FORMAT=MLN","Sort=A","Dates=H","DateFormat=P","Fill=—","Direction=H","UseDPDF=Y")</f>
        <v>—</v>
      </c>
      <c r="AA26" s="13">
        <f>_xll.BDH("NBIX US Equity","ARD_INCOME_BEFORE_XO_ITEMS","FQ4 2024","FQ4 2024","Currency=USD","Period=FQ","BEST_FPERIOD_OVERRIDE=FQ","FILING_STATUS=MR","SCALING_FORMAT=MLN","Sort=A","Dates=H","DateFormat=P","Fill=—","Direction=H","UseDPDF=Y")</f>
        <v>103.1</v>
      </c>
    </row>
    <row r="27" spans="1:27" x14ac:dyDescent="0.25">
      <c r="A27" s="10" t="s">
        <v>456</v>
      </c>
      <c r="B27" s="10" t="s">
        <v>457</v>
      </c>
      <c r="C27" s="13" t="str">
        <f>_xll.BDH("NBIX US Equity","ARD_GL_ON_EARLY_EXT_DEBT_NON_OP","FQ4 2018","FQ4 2018","Currency=USD","Period=FQ","BEST_FPERIOD_OVERRIDE=FQ","FILING_STATUS=MR","SCALING_FORMAT=MLN","Sort=A","Dates=H","DateFormat=P","Fill=—","Direction=H","UseDPDF=Y")</f>
        <v>—</v>
      </c>
      <c r="D27" s="13" t="str">
        <f>_xll.BDH("NBIX US Equity","ARD_GL_ON_EARLY_EXT_DEBT_NON_OP","FQ1 2019","FQ1 2019","Currency=USD","Period=FQ","BEST_FPERIOD_OVERRIDE=FQ","FILING_STATUS=MR","SCALING_FORMAT=MLN","Sort=A","Dates=H","DateFormat=P","Fill=—","Direction=H","UseDPDF=Y")</f>
        <v>—</v>
      </c>
      <c r="E27" s="13" t="str">
        <f>_xll.BDH("NBIX US Equity","ARD_GL_ON_EARLY_EXT_DEBT_NON_OP","FQ2 2019","FQ2 2019","Currency=USD","Period=FQ","BEST_FPERIOD_OVERRIDE=FQ","FILING_STATUS=MR","SCALING_FORMAT=MLN","Sort=A","Dates=H","DateFormat=P","Fill=—","Direction=H","UseDPDF=Y")</f>
        <v>—</v>
      </c>
      <c r="F27" s="13" t="str">
        <f>_xll.BDH("NBIX US Equity","ARD_GL_ON_EARLY_EXT_DEBT_NON_OP","FQ3 2019","FQ3 2019","Currency=USD","Period=FQ","BEST_FPERIOD_OVERRIDE=FQ","FILING_STATUS=MR","SCALING_FORMAT=MLN","Sort=A","Dates=H","DateFormat=P","Fill=—","Direction=H","UseDPDF=Y")</f>
        <v>—</v>
      </c>
      <c r="G27" s="13" t="str">
        <f>_xll.BDH("NBIX US Equity","ARD_GL_ON_EARLY_EXT_DEBT_NON_OP","FQ4 2019","FQ4 2019","Currency=USD","Period=FQ","BEST_FPERIOD_OVERRIDE=FQ","FILING_STATUS=MR","SCALING_FORMAT=MLN","Sort=A","Dates=H","DateFormat=P","Fill=—","Direction=H","UseDPDF=Y")</f>
        <v>—</v>
      </c>
      <c r="H27" s="13" t="str">
        <f>_xll.BDH("NBIX US Equity","ARD_GL_ON_EARLY_EXT_DEBT_NON_OP","FQ1 2020","FQ1 2020","Currency=USD","Period=FQ","BEST_FPERIOD_OVERRIDE=FQ","FILING_STATUS=MR","SCALING_FORMAT=MLN","Sort=A","Dates=H","DateFormat=P","Fill=—","Direction=H","UseDPDF=Y")</f>
        <v>—</v>
      </c>
      <c r="I27" s="13" t="str">
        <f>_xll.BDH("NBIX US Equity","ARD_GL_ON_EARLY_EXT_DEBT_NON_OP","FQ2 2020","FQ2 2020","Currency=USD","Period=FQ","BEST_FPERIOD_OVERRIDE=FQ","FILING_STATUS=MR","SCALING_FORMAT=MLN","Sort=A","Dates=H","DateFormat=P","Fill=—","Direction=H","UseDPDF=Y")</f>
        <v>—</v>
      </c>
      <c r="J27" s="13" t="str">
        <f>_xll.BDH("NBIX US Equity","ARD_GL_ON_EARLY_EXT_DEBT_NON_OP","FQ3 2020","FQ3 2020","Currency=USD","Period=FQ","BEST_FPERIOD_OVERRIDE=FQ","FILING_STATUS=MR","SCALING_FORMAT=MLN","Sort=A","Dates=H","DateFormat=P","Fill=—","Direction=H","UseDPDF=Y")</f>
        <v>—</v>
      </c>
      <c r="K27" s="13">
        <f>_xll.BDH("NBIX US Equity","ARD_GL_ON_EARLY_EXT_DEBT_NON_OP","FQ4 2020","FQ4 2020","Currency=USD","Period=FQ","BEST_FPERIOD_OVERRIDE=FQ","FILING_STATUS=MR","SCALING_FORMAT=MLN","Sort=A","Dates=H","DateFormat=P","Fill=—","Direction=H","UseDPDF=Y")</f>
        <v>18.399999999999999</v>
      </c>
      <c r="L27" s="13" t="str">
        <f>_xll.BDH("NBIX US Equity","ARD_GL_ON_EARLY_EXT_DEBT_NON_OP","FQ1 2021","FQ1 2021","Currency=USD","Period=FQ","BEST_FPERIOD_OVERRIDE=FQ","FILING_STATUS=MR","SCALING_FORMAT=MLN","Sort=A","Dates=H","DateFormat=P","Fill=—","Direction=H","UseDPDF=Y")</f>
        <v>—</v>
      </c>
      <c r="M27" s="13" t="str">
        <f>_xll.BDH("NBIX US Equity","ARD_GL_ON_EARLY_EXT_DEBT_NON_OP","FQ2 2021","FQ2 2021","Currency=USD","Period=FQ","BEST_FPERIOD_OVERRIDE=FQ","FILING_STATUS=MR","SCALING_FORMAT=MLN","Sort=A","Dates=H","DateFormat=P","Fill=—","Direction=H","UseDPDF=Y")</f>
        <v>—</v>
      </c>
      <c r="N27" s="13" t="str">
        <f>_xll.BDH("NBIX US Equity","ARD_GL_ON_EARLY_EXT_DEBT_NON_OP","FQ3 2021","FQ3 2021","Currency=USD","Period=FQ","BEST_FPERIOD_OVERRIDE=FQ","FILING_STATUS=MR","SCALING_FORMAT=MLN","Sort=A","Dates=H","DateFormat=P","Fill=—","Direction=H","UseDPDF=Y")</f>
        <v>—</v>
      </c>
      <c r="O27" s="13">
        <f>_xll.BDH("NBIX US Equity","ARD_GL_ON_EARLY_EXT_DEBT_NON_OP","FQ4 2021","FQ4 2021","Currency=USD","Period=FQ","BEST_FPERIOD_OVERRIDE=FQ","FILING_STATUS=MR","SCALING_FORMAT=MLN","Sort=A","Dates=H","DateFormat=P","Fill=—","Direction=H","UseDPDF=Y")</f>
        <v>0</v>
      </c>
      <c r="P27" s="13" t="str">
        <f>_xll.BDH("NBIX US Equity","ARD_GL_ON_EARLY_EXT_DEBT_NON_OP","FQ1 2022","FQ1 2022","Currency=USD","Period=FQ","BEST_FPERIOD_OVERRIDE=FQ","FILING_STATUS=MR","SCALING_FORMAT=MLN","Sort=A","Dates=H","DateFormat=P","Fill=—","Direction=H","UseDPDF=Y")</f>
        <v>—</v>
      </c>
      <c r="Q27" s="13" t="str">
        <f>_xll.BDH("NBIX US Equity","ARD_GL_ON_EARLY_EXT_DEBT_NON_OP","FQ2 2022","FQ2 2022","Currency=USD","Period=FQ","BEST_FPERIOD_OVERRIDE=FQ","FILING_STATUS=MR","SCALING_FORMAT=MLN","Sort=A","Dates=H","DateFormat=P","Fill=—","Direction=H","UseDPDF=Y")</f>
        <v>—</v>
      </c>
      <c r="R27" s="13">
        <f>_xll.BDH("NBIX US Equity","ARD_GL_ON_EARLY_EXT_DEBT_NON_OP","FQ3 2022","FQ3 2022","Currency=USD","Period=FQ","BEST_FPERIOD_OVERRIDE=FQ","FILING_STATUS=MR","SCALING_FORMAT=MLN","Sort=A","Dates=H","DateFormat=P","Fill=—","Direction=H","UseDPDF=Y")</f>
        <v>0</v>
      </c>
      <c r="S27" s="13">
        <f>_xll.BDH("NBIX US Equity","ARD_GL_ON_EARLY_EXT_DEBT_NON_OP","FQ4 2022","FQ4 2022","Currency=USD","Period=FQ","BEST_FPERIOD_OVERRIDE=FQ","FILING_STATUS=MR","SCALING_FORMAT=MLN","Sort=A","Dates=H","DateFormat=P","Fill=—","Direction=H","UseDPDF=Y")</f>
        <v>0</v>
      </c>
      <c r="T27" s="13" t="str">
        <f>_xll.BDH("NBIX US Equity","ARD_GL_ON_EARLY_EXT_DEBT_NON_OP","FQ1 2023","FQ1 2023","Currency=USD","Period=FQ","BEST_FPERIOD_OVERRIDE=FQ","FILING_STATUS=MR","SCALING_FORMAT=MLN","Sort=A","Dates=H","DateFormat=P","Fill=—","Direction=H","UseDPDF=Y")</f>
        <v>—</v>
      </c>
      <c r="U27" s="13">
        <f>_xll.BDH("NBIX US Equity","ARD_GL_ON_EARLY_EXT_DEBT_NON_OP","FQ2 2023","FQ2 2023","Currency=USD","Period=FQ","BEST_FPERIOD_OVERRIDE=FQ","FILING_STATUS=MR","SCALING_FORMAT=MLN","Sort=A","Dates=H","DateFormat=P","Fill=—","Direction=H","UseDPDF=Y")</f>
        <v>0</v>
      </c>
      <c r="V27" s="13">
        <f>_xll.BDH("NBIX US Equity","ARD_GL_ON_EARLY_EXT_DEBT_NON_OP","FQ3 2023","FQ3 2023","Currency=USD","Period=FQ","BEST_FPERIOD_OVERRIDE=FQ","FILING_STATUS=MR","SCALING_FORMAT=MLN","Sort=A","Dates=H","DateFormat=P","Fill=—","Direction=H","UseDPDF=Y")</f>
        <v>0</v>
      </c>
      <c r="W27" s="13">
        <f>_xll.BDH("NBIX US Equity","ARD_GL_ON_EARLY_EXT_DEBT_NON_OP","FQ4 2023","FQ4 2023","Currency=USD","Period=FQ","BEST_FPERIOD_OVERRIDE=FQ","FILING_STATUS=MR","SCALING_FORMAT=MLN","Sort=A","Dates=H","DateFormat=P","Fill=—","Direction=H","UseDPDF=Y")</f>
        <v>0</v>
      </c>
      <c r="X27" s="13" t="str">
        <f>_xll.BDH("NBIX US Equity","ARD_GL_ON_EARLY_EXT_DEBT_NON_OP","FQ1 2024","FQ1 2024","Currency=USD","Period=FQ","BEST_FPERIOD_OVERRIDE=FQ","FILING_STATUS=MR","SCALING_FORMAT=MLN","Sort=A","Dates=H","DateFormat=P","Fill=—","Direction=H","UseDPDF=Y")</f>
        <v>—</v>
      </c>
      <c r="Y27" s="13" t="str">
        <f>_xll.BDH("NBIX US Equity","ARD_GL_ON_EARLY_EXT_DEBT_NON_OP","FQ2 2024","FQ2 2024","Currency=USD","Period=FQ","BEST_FPERIOD_OVERRIDE=FQ","FILING_STATUS=MR","SCALING_FORMAT=MLN","Sort=A","Dates=H","DateFormat=P","Fill=—","Direction=H","UseDPDF=Y")</f>
        <v>—</v>
      </c>
      <c r="Z27" s="13" t="str">
        <f>_xll.BDH("NBIX US Equity","ARD_GL_ON_EARLY_EXT_DEBT_NON_OP","FQ3 2024","FQ3 2024","Currency=USD","Period=FQ","BEST_FPERIOD_OVERRIDE=FQ","FILING_STATUS=MR","SCALING_FORMAT=MLN","Sort=A","Dates=H","DateFormat=P","Fill=—","Direction=H","UseDPDF=Y")</f>
        <v>—</v>
      </c>
      <c r="AA27" s="13" t="str">
        <f>_xll.BDH("NBIX US Equity","ARD_GL_ON_EARLY_EXT_DEBT_NON_OP","FQ4 2024","FQ4 2024","Currency=USD","Period=FQ","BEST_FPERIOD_OVERRIDE=FQ","FILING_STATUS=MR","SCALING_FORMAT=MLN","Sort=A","Dates=H","DateFormat=P","Fill=—","Direction=H","UseDPDF=Y")</f>
        <v>—</v>
      </c>
    </row>
    <row r="28" spans="1:27" x14ac:dyDescent="0.25">
      <c r="A28" s="10" t="s">
        <v>458</v>
      </c>
      <c r="B28" s="10" t="s">
        <v>459</v>
      </c>
      <c r="C28" s="13" t="str">
        <f>_xll.BDH("NBIX US Equity","ARD_OTH_NON_OPER_INC_EXP_NET","FQ4 2018","FQ4 2018","Currency=USD","Period=FQ","BEST_FPERIOD_OVERRIDE=FQ","FILING_STATUS=MR","SCALING_FORMAT=MLN","Sort=A","Dates=H","DateFormat=P","Fill=—","Direction=H","UseDPDF=Y")</f>
        <v>—</v>
      </c>
      <c r="D28" s="13" t="str">
        <f>_xll.BDH("NBIX US Equity","ARD_OTH_NON_OPER_INC_EXP_NET","FQ1 2019","FQ1 2019","Currency=USD","Period=FQ","BEST_FPERIOD_OVERRIDE=FQ","FILING_STATUS=MR","SCALING_FORMAT=MLN","Sort=A","Dates=H","DateFormat=P","Fill=—","Direction=H","UseDPDF=Y")</f>
        <v>—</v>
      </c>
      <c r="E28" s="13" t="str">
        <f>_xll.BDH("NBIX US Equity","ARD_OTH_NON_OPER_INC_EXP_NET","FQ2 2019","FQ2 2019","Currency=USD","Period=FQ","BEST_FPERIOD_OVERRIDE=FQ","FILING_STATUS=MR","SCALING_FORMAT=MLN","Sort=A","Dates=H","DateFormat=P","Fill=—","Direction=H","UseDPDF=Y")</f>
        <v>—</v>
      </c>
      <c r="F28" s="13" t="str">
        <f>_xll.BDH("NBIX US Equity","ARD_OTH_NON_OPER_INC_EXP_NET","FQ3 2019","FQ3 2019","Currency=USD","Period=FQ","BEST_FPERIOD_OVERRIDE=FQ","FILING_STATUS=MR","SCALING_FORMAT=MLN","Sort=A","Dates=H","DateFormat=P","Fill=—","Direction=H","UseDPDF=Y")</f>
        <v>—</v>
      </c>
      <c r="G28" s="13" t="str">
        <f>_xll.BDH("NBIX US Equity","ARD_OTH_NON_OPER_INC_EXP_NET","FQ4 2019","FQ4 2019","Currency=USD","Period=FQ","BEST_FPERIOD_OVERRIDE=FQ","FILING_STATUS=MR","SCALING_FORMAT=MLN","Sort=A","Dates=H","DateFormat=P","Fill=—","Direction=H","UseDPDF=Y")</f>
        <v>—</v>
      </c>
      <c r="H28" s="13" t="str">
        <f>_xll.BDH("NBIX US Equity","ARD_OTH_NON_OPER_INC_EXP_NET","FQ1 2020","FQ1 2020","Currency=USD","Period=FQ","BEST_FPERIOD_OVERRIDE=FQ","FILING_STATUS=MR","SCALING_FORMAT=MLN","Sort=A","Dates=H","DateFormat=P","Fill=—","Direction=H","UseDPDF=Y")</f>
        <v>—</v>
      </c>
      <c r="I28" s="13" t="str">
        <f>_xll.BDH("NBIX US Equity","ARD_OTH_NON_OPER_INC_EXP_NET","FQ2 2020","FQ2 2020","Currency=USD","Period=FQ","BEST_FPERIOD_OVERRIDE=FQ","FILING_STATUS=MR","SCALING_FORMAT=MLN","Sort=A","Dates=H","DateFormat=P","Fill=—","Direction=H","UseDPDF=Y")</f>
        <v>—</v>
      </c>
      <c r="J28" s="13" t="str">
        <f>_xll.BDH("NBIX US Equity","ARD_OTH_NON_OPER_INC_EXP_NET","FQ3 2020","FQ3 2020","Currency=USD","Period=FQ","BEST_FPERIOD_OVERRIDE=FQ","FILING_STATUS=MR","SCALING_FORMAT=MLN","Sort=A","Dates=H","DateFormat=P","Fill=—","Direction=H","UseDPDF=Y")</f>
        <v>—</v>
      </c>
      <c r="K28" s="13" t="str">
        <f>_xll.BDH("NBIX US Equity","ARD_OTH_NON_OPER_INC_EXP_NET","FQ4 2020","FQ4 2020","Currency=USD","Period=FQ","BEST_FPERIOD_OVERRIDE=FQ","FILING_STATUS=MR","SCALING_FORMAT=MLN","Sort=A","Dates=H","DateFormat=P","Fill=—","Direction=H","UseDPDF=Y")</f>
        <v>—</v>
      </c>
      <c r="L28" s="13" t="str">
        <f>_xll.BDH("NBIX US Equity","ARD_OTH_NON_OPER_INC_EXP_NET","FQ1 2021","FQ1 2021","Currency=USD","Period=FQ","BEST_FPERIOD_OVERRIDE=FQ","FILING_STATUS=MR","SCALING_FORMAT=MLN","Sort=A","Dates=H","DateFormat=P","Fill=—","Direction=H","UseDPDF=Y")</f>
        <v>—</v>
      </c>
      <c r="M28" s="13" t="str">
        <f>_xll.BDH("NBIX US Equity","ARD_OTH_NON_OPER_INC_EXP_NET","FQ2 2021","FQ2 2021","Currency=USD","Period=FQ","BEST_FPERIOD_OVERRIDE=FQ","FILING_STATUS=MR","SCALING_FORMAT=MLN","Sort=A","Dates=H","DateFormat=P","Fill=—","Direction=H","UseDPDF=Y")</f>
        <v>—</v>
      </c>
      <c r="N28" s="13" t="str">
        <f>_xll.BDH("NBIX US Equity","ARD_OTH_NON_OPER_INC_EXP_NET","FQ3 2021","FQ3 2021","Currency=USD","Period=FQ","BEST_FPERIOD_OVERRIDE=FQ","FILING_STATUS=MR","SCALING_FORMAT=MLN","Sort=A","Dates=H","DateFormat=P","Fill=—","Direction=H","UseDPDF=Y")</f>
        <v>—</v>
      </c>
      <c r="O28" s="13" t="str">
        <f>_xll.BDH("NBIX US Equity","ARD_OTH_NON_OPER_INC_EXP_NET","FQ4 2021","FQ4 2021","Currency=USD","Period=FQ","BEST_FPERIOD_OVERRIDE=FQ","FILING_STATUS=MR","SCALING_FORMAT=MLN","Sort=A","Dates=H","DateFormat=P","Fill=—","Direction=H","UseDPDF=Y")</f>
        <v>—</v>
      </c>
      <c r="P28" s="13" t="str">
        <f>_xll.BDH("NBIX US Equity","ARD_OTH_NON_OPER_INC_EXP_NET","FQ1 2022","FQ1 2022","Currency=USD","Period=FQ","BEST_FPERIOD_OVERRIDE=FQ","FILING_STATUS=MR","SCALING_FORMAT=MLN","Sort=A","Dates=H","DateFormat=P","Fill=—","Direction=H","UseDPDF=Y")</f>
        <v>—</v>
      </c>
      <c r="Q28" s="13">
        <f>_xll.BDH("NBIX US Equity","ARD_OTH_NON_OPER_INC_EXP_NET","FQ2 2022","FQ2 2022","Currency=USD","Period=FQ","BEST_FPERIOD_OVERRIDE=FQ","FILING_STATUS=MR","SCALING_FORMAT=MLN","Sort=A","Dates=H","DateFormat=P","Fill=—","Direction=H","UseDPDF=Y")</f>
        <v>70</v>
      </c>
      <c r="R28" s="13">
        <f>_xll.BDH("NBIX US Equity","ARD_OTH_NON_OPER_INC_EXP_NET","FQ3 2022","FQ3 2022","Currency=USD","Period=FQ","BEST_FPERIOD_OVERRIDE=FQ","FILING_STATUS=MR","SCALING_FORMAT=MLN","Sort=A","Dates=H","DateFormat=P","Fill=—","Direction=H","UseDPDF=Y")</f>
        <v>0</v>
      </c>
      <c r="S28" s="13" t="str">
        <f>_xll.BDH("NBIX US Equity","ARD_OTH_NON_OPER_INC_EXP_NET","FQ4 2022","FQ4 2022","Currency=USD","Period=FQ","BEST_FPERIOD_OVERRIDE=FQ","FILING_STATUS=MR","SCALING_FORMAT=MLN","Sort=A","Dates=H","DateFormat=P","Fill=—","Direction=H","UseDPDF=Y")</f>
        <v>—</v>
      </c>
      <c r="T28" s="13" t="str">
        <f>_xll.BDH("NBIX US Equity","ARD_OTH_NON_OPER_INC_EXP_NET","FQ1 2023","FQ1 2023","Currency=USD","Period=FQ","BEST_FPERIOD_OVERRIDE=FQ","FILING_STATUS=MR","SCALING_FORMAT=MLN","Sort=A","Dates=H","DateFormat=P","Fill=—","Direction=H","UseDPDF=Y")</f>
        <v>—</v>
      </c>
      <c r="U28" s="13" t="str">
        <f>_xll.BDH("NBIX US Equity","ARD_OTH_NON_OPER_INC_EXP_NET","FQ2 2023","FQ2 2023","Currency=USD","Period=FQ","BEST_FPERIOD_OVERRIDE=FQ","FILING_STATUS=MR","SCALING_FORMAT=MLN","Sort=A","Dates=H","DateFormat=P","Fill=—","Direction=H","UseDPDF=Y")</f>
        <v>—</v>
      </c>
      <c r="V28" s="13">
        <f>_xll.BDH("NBIX US Equity","ARD_OTH_NON_OPER_INC_EXP_NET","FQ3 2023","FQ3 2023","Currency=USD","Period=FQ","BEST_FPERIOD_OVERRIDE=FQ","FILING_STATUS=MR","SCALING_FORMAT=MLN","Sort=A","Dates=H","DateFormat=P","Fill=—","Direction=H","UseDPDF=Y")</f>
        <v>0</v>
      </c>
      <c r="W28" s="13" t="str">
        <f>_xll.BDH("NBIX US Equity","ARD_OTH_NON_OPER_INC_EXP_NET","FQ4 2023","FQ4 2023","Currency=USD","Period=FQ","BEST_FPERIOD_OVERRIDE=FQ","FILING_STATUS=MR","SCALING_FORMAT=MLN","Sort=A","Dates=H","DateFormat=P","Fill=—","Direction=H","UseDPDF=Y")</f>
        <v>—</v>
      </c>
      <c r="X28" s="13">
        <f>_xll.BDH("NBIX US Equity","ARD_OTH_NON_OPER_INC_EXP_NET","FQ1 2024","FQ1 2024","Currency=USD","Period=FQ","BEST_FPERIOD_OVERRIDE=FQ","FILING_STATUS=MR","SCALING_FORMAT=MLN","Sort=A","Dates=H","DateFormat=P","Fill=—","Direction=H","UseDPDF=Y")</f>
        <v>88.7</v>
      </c>
      <c r="Y28" s="13" t="str">
        <f>_xll.BDH("NBIX US Equity","ARD_OTH_NON_OPER_INC_EXP_NET","FQ2 2024","FQ2 2024","Currency=USD","Period=FQ","BEST_FPERIOD_OVERRIDE=FQ","FILING_STATUS=MR","SCALING_FORMAT=MLN","Sort=A","Dates=H","DateFormat=P","Fill=—","Direction=H","UseDPDF=Y")</f>
        <v>—</v>
      </c>
      <c r="Z28" s="13" t="str">
        <f>_xll.BDH("NBIX US Equity","ARD_OTH_NON_OPER_INC_EXP_NET","FQ3 2024","FQ3 2024","Currency=USD","Period=FQ","BEST_FPERIOD_OVERRIDE=FQ","FILING_STATUS=MR","SCALING_FORMAT=MLN","Sort=A","Dates=H","DateFormat=P","Fill=—","Direction=H","UseDPDF=Y")</f>
        <v>—</v>
      </c>
      <c r="AA28" s="13" t="str">
        <f>_xll.BDH("NBIX US Equity","ARD_OTH_NON_OPER_INC_EXP_NET","FQ4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10" t="s">
        <v>460</v>
      </c>
      <c r="B29" s="10" t="s">
        <v>461</v>
      </c>
      <c r="C29" s="13" t="str">
        <f>_xll.BDH("NBIX US Equity","ARD_UNREAL_GL_FROM_SECS_NON_OP","FQ4 2018","FQ4 2018","Currency=USD","Period=FQ","BEST_FPERIOD_OVERRIDE=FQ","FILING_STATUS=MR","SCALING_FORMAT=MLN","Sort=A","Dates=H","DateFormat=P","Fill=—","Direction=H","UseDPDF=Y")</f>
        <v>—</v>
      </c>
      <c r="D29" s="13">
        <f>_xll.BDH("NBIX US Equity","ARD_UNREAL_GL_FROM_SECS_NON_OP","FQ1 2019","FQ1 2019","Currency=USD","Period=FQ","BEST_FPERIOD_OVERRIDE=FQ","FILING_STATUS=MR","SCALING_FORMAT=MLN","Sort=A","Dates=H","DateFormat=P","Fill=—","Direction=H","UseDPDF=Y")</f>
        <v>-1.68</v>
      </c>
      <c r="E29" s="13">
        <f>_xll.BDH("NBIX US Equity","ARD_UNREAL_GL_FROM_SECS_NON_OP","FQ2 2019","FQ2 2019","Currency=USD","Period=FQ","BEST_FPERIOD_OVERRIDE=FQ","FILING_STATUS=MR","SCALING_FORMAT=MLN","Sort=A","Dates=H","DateFormat=P","Fill=—","Direction=H","UseDPDF=Y")</f>
        <v>-20.965</v>
      </c>
      <c r="F29" s="13">
        <f>_xll.BDH("NBIX US Equity","ARD_UNREAL_GL_FROM_SECS_NON_OP","FQ3 2019","FQ3 2019","Currency=USD","Period=FQ","BEST_FPERIOD_OVERRIDE=FQ","FILING_STATUS=MR","SCALING_FORMAT=MLN","Sort=A","Dates=H","DateFormat=P","Fill=—","Direction=H","UseDPDF=Y")</f>
        <v>28.45</v>
      </c>
      <c r="G29" s="13">
        <f>_xll.BDH("NBIX US Equity","ARD_UNREAL_GL_FROM_SECS_NON_OP","FQ4 2019","FQ4 2019","Currency=USD","Period=FQ","BEST_FPERIOD_OVERRIDE=FQ","FILING_STATUS=MR","SCALING_FORMAT=MLN","Sort=A","Dates=H","DateFormat=P","Fill=—","Direction=H","UseDPDF=Y")</f>
        <v>7.2</v>
      </c>
      <c r="H29" s="13">
        <f>_xll.BDH("NBIX US Equity","ARD_UNREAL_GL_FROM_SECS_NON_OP","FQ1 2020","FQ1 2020","Currency=USD","Period=FQ","BEST_FPERIOD_OVERRIDE=FQ","FILING_STATUS=MR","SCALING_FORMAT=MLN","Sort=A","Dates=H","DateFormat=P","Fill=—","Direction=H","UseDPDF=Y")</f>
        <v>16.5</v>
      </c>
      <c r="I29" s="13">
        <f>_xll.BDH("NBIX US Equity","ARD_UNREAL_GL_FROM_SECS_NON_OP","FQ2 2020","FQ2 2020","Currency=USD","Period=FQ","BEST_FPERIOD_OVERRIDE=FQ","FILING_STATUS=MR","SCALING_FORMAT=MLN","Sort=A","Dates=H","DateFormat=P","Fill=—","Direction=H","UseDPDF=Y")</f>
        <v>-11.3</v>
      </c>
      <c r="J29" s="13">
        <f>_xll.BDH("NBIX US Equity","ARD_UNREAL_GL_FROM_SECS_NON_OP","FQ3 2020","FQ3 2020","Currency=USD","Period=FQ","BEST_FPERIOD_OVERRIDE=FQ","FILING_STATUS=MR","SCALING_FORMAT=MLN","Sort=A","Dates=H","DateFormat=P","Fill=—","Direction=H","UseDPDF=Y")</f>
        <v>7</v>
      </c>
      <c r="K29" s="13">
        <f>_xll.BDH("NBIX US Equity","ARD_UNREAL_GL_FROM_SECS_NON_OP","FQ4 2020","FQ4 2020","Currency=USD","Period=FQ","BEST_FPERIOD_OVERRIDE=FQ","FILING_STATUS=MR","SCALING_FORMAT=MLN","Sort=A","Dates=H","DateFormat=P","Fill=—","Direction=H","UseDPDF=Y")</f>
        <v>5.5</v>
      </c>
      <c r="L29" s="13">
        <f>_xll.BDH("NBIX US Equity","ARD_UNREAL_GL_FROM_SECS_NON_OP","FQ1 2021","FQ1 2021","Currency=USD","Period=FQ","BEST_FPERIOD_OVERRIDE=FQ","FILING_STATUS=MR","SCALING_FORMAT=MLN","Sort=A","Dates=H","DateFormat=P","Fill=—","Direction=H","UseDPDF=Y")</f>
        <v>-0.7</v>
      </c>
      <c r="M29" s="13">
        <f>_xll.BDH("NBIX US Equity","ARD_UNREAL_GL_FROM_SECS_NON_OP","FQ2 2021","FQ2 2021","Currency=USD","Period=FQ","BEST_FPERIOD_OVERRIDE=FQ","FILING_STATUS=MR","SCALING_FORMAT=MLN","Sort=A","Dates=H","DateFormat=P","Fill=—","Direction=H","UseDPDF=Y")</f>
        <v>0</v>
      </c>
      <c r="N29" s="13">
        <f>_xll.BDH("NBIX US Equity","ARD_UNREAL_GL_FROM_SECS_NON_OP","FQ3 2021","FQ3 2021","Currency=USD","Period=FQ","BEST_FPERIOD_OVERRIDE=FQ","FILING_STATUS=MR","SCALING_FORMAT=MLN","Sort=A","Dates=H","DateFormat=P","Fill=—","Direction=H","UseDPDF=Y")</f>
        <v>8.1999999999999993</v>
      </c>
      <c r="O29" s="13">
        <f>_xll.BDH("NBIX US Equity","ARD_UNREAL_GL_FROM_SECS_NON_OP","FQ4 2021","FQ4 2021","Currency=USD","Period=FQ","BEST_FPERIOD_OVERRIDE=FQ","FILING_STATUS=MR","SCALING_FORMAT=MLN","Sort=A","Dates=H","DateFormat=P","Fill=—","Direction=H","UseDPDF=Y")</f>
        <v>-28.4</v>
      </c>
      <c r="P29" s="13">
        <f>_xll.BDH("NBIX US Equity","ARD_UNREAL_GL_FROM_SECS_NON_OP","FQ1 2022","FQ1 2022","Currency=USD","Period=FQ","BEST_FPERIOD_OVERRIDE=FQ","FILING_STATUS=MR","SCALING_FORMAT=MLN","Sort=A","Dates=H","DateFormat=P","Fill=—","Direction=H","UseDPDF=Y")</f>
        <v>-19.899999999999999</v>
      </c>
      <c r="Q29" s="13">
        <f>_xll.BDH("NBIX US Equity","ARD_UNREAL_GL_FROM_SECS_NON_OP","FQ2 2022","FQ2 2022","Currency=USD","Period=FQ","BEST_FPERIOD_OVERRIDE=FQ","FILING_STATUS=MR","SCALING_FORMAT=MLN","Sort=A","Dates=H","DateFormat=P","Fill=—","Direction=H","UseDPDF=Y")</f>
        <v>7.4</v>
      </c>
      <c r="R29" s="13">
        <f>_xll.BDH("NBIX US Equity","ARD_UNREAL_GL_FROM_SECS_NON_OP","FQ3 2022","FQ3 2022","Currency=USD","Period=FQ","BEST_FPERIOD_OVERRIDE=FQ","FILING_STATUS=MR","SCALING_FORMAT=MLN","Sort=A","Dates=H","DateFormat=P","Fill=—","Direction=H","UseDPDF=Y")</f>
        <v>-11.1</v>
      </c>
      <c r="S29" s="13">
        <f>_xll.BDH("NBIX US Equity","ARD_UNREAL_GL_FROM_SECS_NON_OP","FQ4 2022","FQ4 2022","Currency=USD","Period=FQ","BEST_FPERIOD_OVERRIDE=FQ","FILING_STATUS=MR","SCALING_FORMAT=MLN","Sort=A","Dates=H","DateFormat=P","Fill=—","Direction=H","UseDPDF=Y")</f>
        <v>-7.2</v>
      </c>
      <c r="T29" s="13">
        <f>_xll.BDH("NBIX US Equity","ARD_UNREAL_GL_FROM_SECS_NON_OP","FQ1 2023","FQ1 2023","Currency=USD","Period=FQ","BEST_FPERIOD_OVERRIDE=FQ","FILING_STATUS=MR","SCALING_FORMAT=MLN","Sort=A","Dates=H","DateFormat=P","Fill=—","Direction=H","UseDPDF=Y")</f>
        <v>-2.2000000000000002</v>
      </c>
      <c r="U29" s="13">
        <f>_xll.BDH("NBIX US Equity","ARD_UNREAL_GL_FROM_SECS_NON_OP","FQ2 2023","FQ2 2023","Currency=USD","Period=FQ","BEST_FPERIOD_OVERRIDE=FQ","FILING_STATUS=MR","SCALING_FORMAT=MLN","Sort=A","Dates=H","DateFormat=P","Fill=—","Direction=H","UseDPDF=Y")</f>
        <v>-37.299999999999997</v>
      </c>
      <c r="V29" s="13">
        <f>_xll.BDH("NBIX US Equity","ARD_UNREAL_GL_FROM_SECS_NON_OP","FQ3 2023","FQ3 2023","Currency=USD","Period=FQ","BEST_FPERIOD_OVERRIDE=FQ","FILING_STATUS=MR","SCALING_FORMAT=MLN","Sort=A","Dates=H","DateFormat=P","Fill=—","Direction=H","UseDPDF=Y")</f>
        <v>40.1</v>
      </c>
      <c r="W29" s="13">
        <f>_xll.BDH("NBIX US Equity","ARD_UNREAL_GL_FROM_SECS_NON_OP","FQ4 2023","FQ4 2023","Currency=USD","Period=FQ","BEST_FPERIOD_OVERRIDE=FQ","FILING_STATUS=MR","SCALING_FORMAT=MLN","Sort=A","Dates=H","DateFormat=P","Fill=—","Direction=H","UseDPDF=Y")</f>
        <v>-29</v>
      </c>
      <c r="X29" s="13">
        <f>_xll.BDH("NBIX US Equity","ARD_UNREAL_GL_FROM_SECS_NON_OP","FQ1 2024","FQ1 2024","Currency=USD","Period=FQ","BEST_FPERIOD_OVERRIDE=FQ","FILING_STATUS=MR","SCALING_FORMAT=MLN","Sort=A","Dates=H","DateFormat=P","Fill=—","Direction=H","UseDPDF=Y")</f>
        <v>-1.6</v>
      </c>
      <c r="Y29" s="13">
        <f>_xll.BDH("NBIX US Equity","ARD_UNREAL_GL_FROM_SECS_NON_OP","FQ2 2024","FQ2 2024","Currency=USD","Period=FQ","BEST_FPERIOD_OVERRIDE=FQ","FILING_STATUS=MR","SCALING_FORMAT=MLN","Sort=A","Dates=H","DateFormat=P","Fill=—","Direction=H","UseDPDF=Y")</f>
        <v>19.899999999999999</v>
      </c>
      <c r="Z29" s="13">
        <f>_xll.BDH("NBIX US Equity","ARD_UNREAL_GL_FROM_SECS_NON_OP","FQ3 2024","FQ3 2024","Currency=USD","Period=FQ","BEST_FPERIOD_OVERRIDE=FQ","FILING_STATUS=MR","SCALING_FORMAT=MLN","Sort=A","Dates=H","DateFormat=P","Fill=—","Direction=H","UseDPDF=Y")</f>
        <v>16.899999999999999</v>
      </c>
      <c r="AA29" s="13">
        <f>_xll.BDH("NBIX US Equity","ARD_UNREAL_GL_FROM_SECS_NON_OP","FQ4 2024","FQ4 2024","Currency=USD","Period=FQ","BEST_FPERIOD_OVERRIDE=FQ","FILING_STATUS=MR","SCALING_FORMAT=MLN","Sort=A","Dates=H","DateFormat=P","Fill=—","Direction=H","UseDPDF=Y")</f>
        <v>1.9</v>
      </c>
    </row>
    <row r="30" spans="1:27" x14ac:dyDescent="0.25">
      <c r="A30" s="10" t="s">
        <v>462</v>
      </c>
      <c r="B30" s="10" t="s">
        <v>463</v>
      </c>
      <c r="C30" s="13" t="str">
        <f>_xll.BDH("NBIX US Equity","ARD_OTHER_ONE_TIME_ITEMS_NON_OP","FQ4 2018","FQ4 2018","Currency=USD","Period=FQ","BEST_FPERIOD_OVERRIDE=FQ","FILING_STATUS=MR","Sort=A","Dates=H","DateFormat=P","Fill=—","Direction=H","UseDPDF=Y")</f>
        <v>—</v>
      </c>
      <c r="D30" s="13" t="str">
        <f>_xll.BDH("NBIX US Equity","ARD_OTHER_ONE_TIME_ITEMS_NON_OP","FQ1 2019","FQ1 2019","Currency=USD","Period=FQ","BEST_FPERIOD_OVERRIDE=FQ","FILING_STATUS=MR","Sort=A","Dates=H","DateFormat=P","Fill=—","Direction=H","UseDPDF=Y")</f>
        <v>—</v>
      </c>
      <c r="E30" s="13" t="str">
        <f>_xll.BDH("NBIX US Equity","ARD_OTHER_ONE_TIME_ITEMS_NON_OP","FQ2 2019","FQ2 2019","Currency=USD","Period=FQ","BEST_FPERIOD_OVERRIDE=FQ","FILING_STATUS=MR","Sort=A","Dates=H","DateFormat=P","Fill=—","Direction=H","UseDPDF=Y")</f>
        <v>—</v>
      </c>
      <c r="F30" s="13" t="str">
        <f>_xll.BDH("NBIX US Equity","ARD_OTHER_ONE_TIME_ITEMS_NON_OP","FQ3 2019","FQ3 2019","Currency=USD","Period=FQ","BEST_FPERIOD_OVERRIDE=FQ","FILING_STATUS=MR","Sort=A","Dates=H","DateFormat=P","Fill=—","Direction=H","UseDPDF=Y")</f>
        <v>—</v>
      </c>
      <c r="G30" s="13" t="str">
        <f>_xll.BDH("NBIX US Equity","ARD_OTHER_ONE_TIME_ITEMS_NON_OP","FQ4 2019","FQ4 2019","Currency=USD","Period=FQ","BEST_FPERIOD_OVERRIDE=FQ","FILING_STATUS=MR","Sort=A","Dates=H","DateFormat=P","Fill=—","Direction=H","UseDPDF=Y")</f>
        <v>—</v>
      </c>
      <c r="H30" s="13" t="str">
        <f>_xll.BDH("NBIX US Equity","ARD_OTHER_ONE_TIME_ITEMS_NON_OP","FQ1 2020","FQ1 2020","Currency=USD","Period=FQ","BEST_FPERIOD_OVERRIDE=FQ","FILING_STATUS=MR","Sort=A","Dates=H","DateFormat=P","Fill=—","Direction=H","UseDPDF=Y")</f>
        <v>—</v>
      </c>
      <c r="I30" s="13" t="str">
        <f>_xll.BDH("NBIX US Equity","ARD_OTHER_ONE_TIME_ITEMS_NON_OP","FQ2 2020","FQ2 2020","Currency=USD","Period=FQ","BEST_FPERIOD_OVERRIDE=FQ","FILING_STATUS=MR","Sort=A","Dates=H","DateFormat=P","Fill=—","Direction=H","UseDPDF=Y")</f>
        <v>—</v>
      </c>
      <c r="J30" s="13" t="str">
        <f>_xll.BDH("NBIX US Equity","ARD_OTHER_ONE_TIME_ITEMS_NON_OP","FQ3 2020","FQ3 2020","Currency=USD","Period=FQ","BEST_FPERIOD_OVERRIDE=FQ","FILING_STATUS=MR","Sort=A","Dates=H","DateFormat=P","Fill=—","Direction=H","UseDPDF=Y")</f>
        <v>—</v>
      </c>
      <c r="K30" s="13" t="str">
        <f>_xll.BDH("NBIX US Equity","ARD_OTHER_ONE_TIME_ITEMS_NON_OP","FQ4 2020","FQ4 2020","Currency=USD","Period=FQ","BEST_FPERIOD_OVERRIDE=FQ","FILING_STATUS=MR","Sort=A","Dates=H","DateFormat=P","Fill=—","Direction=H","UseDPDF=Y")</f>
        <v>—</v>
      </c>
      <c r="L30" s="13" t="str">
        <f>_xll.BDH("NBIX US Equity","ARD_OTHER_ONE_TIME_ITEMS_NON_OP","FQ1 2021","FQ1 2021","Currency=USD","Period=FQ","BEST_FPERIOD_OVERRIDE=FQ","FILING_STATUS=MR","Sort=A","Dates=H","DateFormat=P","Fill=—","Direction=H","UseDPDF=Y")</f>
        <v>—</v>
      </c>
      <c r="M30" s="13" t="str">
        <f>_xll.BDH("NBIX US Equity","ARD_OTHER_ONE_TIME_ITEMS_NON_OP","FQ2 2021","FQ2 2021","Currency=USD","Period=FQ","BEST_FPERIOD_OVERRIDE=FQ","FILING_STATUS=MR","Sort=A","Dates=H","DateFormat=P","Fill=—","Direction=H","UseDPDF=Y")</f>
        <v>—</v>
      </c>
      <c r="N30" s="13" t="str">
        <f>_xll.BDH("NBIX US Equity","ARD_OTHER_ONE_TIME_ITEMS_NON_OP","FQ3 2021","FQ3 2021","Currency=USD","Period=FQ","BEST_FPERIOD_OVERRIDE=FQ","FILING_STATUS=MR","Sort=A","Dates=H","DateFormat=P","Fill=—","Direction=H","UseDPDF=Y")</f>
        <v>—</v>
      </c>
      <c r="O30" s="13" t="str">
        <f>_xll.BDH("NBIX US Equity","ARD_OTHER_ONE_TIME_ITEMS_NON_OP","FQ4 2021","FQ4 2021","Currency=USD","Period=FQ","BEST_FPERIOD_OVERRIDE=FQ","FILING_STATUS=MR","Sort=A","Dates=H","DateFormat=P","Fill=—","Direction=H","UseDPDF=Y")</f>
        <v>—</v>
      </c>
      <c r="P30" s="13" t="str">
        <f>_xll.BDH("NBIX US Equity","ARD_OTHER_ONE_TIME_ITEMS_NON_OP","FQ1 2022","FQ1 2022","Currency=USD","Period=FQ","BEST_FPERIOD_OVERRIDE=FQ","FILING_STATUS=MR","Sort=A","Dates=H","DateFormat=P","Fill=—","Direction=H","UseDPDF=Y")</f>
        <v>—</v>
      </c>
      <c r="Q30" s="13" t="str">
        <f>_xll.BDH("NBIX US Equity","ARD_OTHER_ONE_TIME_ITEMS_NON_OP","FQ2 2022","FQ2 2022","Currency=USD","Period=FQ","BEST_FPERIOD_OVERRIDE=FQ","FILING_STATUS=MR","Sort=A","Dates=H","DateFormat=P","Fill=—","Direction=H","UseDPDF=Y")</f>
        <v>—</v>
      </c>
      <c r="R30" s="13" t="str">
        <f>_xll.BDH("NBIX US Equity","ARD_OTHER_ONE_TIME_ITEMS_NON_OP","FQ3 2022","FQ3 2022","Currency=USD","Period=FQ","BEST_FPERIOD_OVERRIDE=FQ","FILING_STATUS=MR","Sort=A","Dates=H","DateFormat=P","Fill=—","Direction=H","UseDPDF=Y")</f>
        <v>—</v>
      </c>
      <c r="S30" s="13" t="str">
        <f>_xll.BDH("NBIX US Equity","ARD_OTHER_ONE_TIME_ITEMS_NON_OP","FQ4 2022","FQ4 2022","Currency=USD","Period=FQ","BEST_FPERIOD_OVERRIDE=FQ","FILING_STATUS=MR","Sort=A","Dates=H","DateFormat=P","Fill=—","Direction=H","UseDPDF=Y")</f>
        <v>—</v>
      </c>
      <c r="T30" s="13" t="str">
        <f>_xll.BDH("NBIX US Equity","ARD_OTHER_ONE_TIME_ITEMS_NON_OP","FQ1 2023","FQ1 2023","Currency=USD","Period=FQ","BEST_FPERIOD_OVERRIDE=FQ","FILING_STATUS=MR","Sort=A","Dates=H","DateFormat=P","Fill=—","Direction=H","UseDPDF=Y")</f>
        <v>—</v>
      </c>
      <c r="U30" s="13" t="str">
        <f>_xll.BDH("NBIX US Equity","ARD_OTHER_ONE_TIME_ITEMS_NON_OP","FQ2 2023","FQ2 2023","Currency=USD","Period=FQ","BEST_FPERIOD_OVERRIDE=FQ","FILING_STATUS=MR","Sort=A","Dates=H","DateFormat=P","Fill=—","Direction=H","UseDPDF=Y")</f>
        <v>—</v>
      </c>
      <c r="V30" s="13" t="str">
        <f>_xll.BDH("NBIX US Equity","ARD_OTHER_ONE_TIME_ITEMS_NON_OP","FQ3 2023","FQ3 2023","Currency=USD","Period=FQ","BEST_FPERIOD_OVERRIDE=FQ","FILING_STATUS=MR","Sort=A","Dates=H","DateFormat=P","Fill=—","Direction=H","UseDPDF=Y")</f>
        <v>—</v>
      </c>
      <c r="W30" s="13" t="str">
        <f>_xll.BDH("NBIX US Equity","ARD_OTHER_ONE_TIME_ITEMS_NON_OP","FQ4 2023","FQ4 2023","Currency=USD","Period=FQ","BEST_FPERIOD_OVERRIDE=FQ","FILING_STATUS=MR","Sort=A","Dates=H","DateFormat=P","Fill=—","Direction=H","UseDPDF=Y")</f>
        <v>—</v>
      </c>
      <c r="X30" s="13" t="str">
        <f>_xll.BDH("NBIX US Equity","ARD_OTHER_ONE_TIME_ITEMS_NON_OP","FQ1 2024","FQ1 2024","Currency=USD","Period=FQ","BEST_FPERIOD_OVERRIDE=FQ","FILING_STATUS=MR","Sort=A","Dates=H","DateFormat=P","Fill=—","Direction=H","UseDPDF=Y")</f>
        <v>—</v>
      </c>
      <c r="Y30" s="13">
        <f>_xll.BDH("NBIX US Equity","ARD_OTHER_ONE_TIME_ITEMS_NON_OP","FQ2 2024","FQ2 2024","Currency=USD","Period=FQ","BEST_FPERIOD_OVERRIDE=FQ","FILING_STATUS=MR","Sort=A","Dates=H","DateFormat=P","Fill=—","Direction=H","UseDPDF=Y")</f>
        <v>49.7</v>
      </c>
      <c r="Z30" s="13">
        <f>_xll.BDH("NBIX US Equity","ARD_OTHER_ONE_TIME_ITEMS_NON_OP","FQ3 2024","FQ3 2024","Currency=USD","Period=FQ","BEST_FPERIOD_OVERRIDE=FQ","FILING_STATUS=MR","Sort=A","Dates=H","DateFormat=P","Fill=—","Direction=H","UseDPDF=Y")</f>
        <v>0</v>
      </c>
      <c r="AA30" s="13">
        <f>_xll.BDH("NBIX US Equity","ARD_OTHER_ONE_TIME_ITEMS_NON_OP","FQ4 2024","FQ4 2024","Currency=USD","Period=FQ","BEST_FPERIOD_OVERRIDE=FQ","FILING_STATUS=MR","Sort=A","Dates=H","DateFormat=P","Fill=—","Direction=H","UseDPDF=Y")</f>
        <v>0</v>
      </c>
    </row>
    <row r="31" spans="1:27" x14ac:dyDescent="0.25">
      <c r="A31" s="10" t="s">
        <v>464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10" t="s">
        <v>465</v>
      </c>
      <c r="B32" s="10" t="s">
        <v>466</v>
      </c>
      <c r="C32" s="14">
        <f>_xll.BDH("NBIX US Equity","ARD_BASIC_EPS","FQ4 2018","FQ4 2018","Currency=USD","Period=FQ","BEST_FPERIOD_OVERRIDE=FQ","FILING_STATUS=MR","Sort=A","Dates=H","DateFormat=P","Fill=—","Direction=H","UseDPDF=Y")</f>
        <v>0.2</v>
      </c>
      <c r="D32" s="14" t="str">
        <f>_xll.BDH("NBIX US Equity","ARD_BASIC_EPS","FQ1 2019","FQ1 2019","Currency=USD","Period=FQ","BEST_FPERIOD_OVERRIDE=FQ","FILING_STATUS=MR","Sort=A","Dates=H","DateFormat=P","Fill=—","Direction=H","UseDPDF=Y")</f>
        <v>—</v>
      </c>
      <c r="E32" s="14">
        <f>_xll.BDH("NBIX US Equity","ARD_BASIC_EPS","FQ2 2019","FQ2 2019","Currency=USD","Period=FQ","BEST_FPERIOD_OVERRIDE=FQ","FILING_STATUS=MR","Sort=A","Dates=H","DateFormat=P","Fill=—","Direction=H","UseDPDF=Y")</f>
        <v>0.56000000000000005</v>
      </c>
      <c r="F32" s="14">
        <f>_xll.BDH("NBIX US Equity","ARD_BASIC_EPS","FQ3 2019","FQ3 2019","Currency=USD","Period=FQ","BEST_FPERIOD_OVERRIDE=FQ","FILING_STATUS=MR","Sort=A","Dates=H","DateFormat=P","Fill=—","Direction=H","UseDPDF=Y")</f>
        <v>0.59</v>
      </c>
      <c r="G32" s="14">
        <f>_xll.BDH("NBIX US Equity","ARD_BASIC_EPS","FQ4 2019","FQ4 2019","Currency=USD","Period=FQ","BEST_FPERIOD_OVERRIDE=FQ","FILING_STATUS=MR","Sort=A","Dates=H","DateFormat=P","Fill=—","Direction=H","UseDPDF=Y")</f>
        <v>0.37</v>
      </c>
      <c r="H32" s="14">
        <f>_xll.BDH("NBIX US Equity","ARD_BASIC_EPS","FQ1 2020","FQ1 2020","Currency=USD","Period=FQ","BEST_FPERIOD_OVERRIDE=FQ","FILING_STATUS=MR","Sort=A","Dates=H","DateFormat=P","Fill=—","Direction=H","UseDPDF=Y")</f>
        <v>0.4</v>
      </c>
      <c r="I32" s="14">
        <f>_xll.BDH("NBIX US Equity","ARD_BASIC_EPS","FQ2 2020","FQ2 2020","Currency=USD","Period=FQ","BEST_FPERIOD_OVERRIDE=FQ","FILING_STATUS=MR","Sort=A","Dates=H","DateFormat=P","Fill=—","Direction=H","UseDPDF=Y")</f>
        <v>0.86</v>
      </c>
      <c r="J32" s="14">
        <f>_xll.BDH("NBIX US Equity","ARD_BASIC_EPS","FQ3 2020","FQ3 2020","Currency=USD","Period=FQ","BEST_FPERIOD_OVERRIDE=FQ","FILING_STATUS=MR","Sort=A","Dates=H","DateFormat=P","Fill=—","Direction=H","UseDPDF=Y")</f>
        <v>-0.62</v>
      </c>
      <c r="K32" s="14">
        <f>_xll.BDH("NBIX US Equity","ARD_BASIC_EPS","FQ4 2020","FQ4 2020","Currency=USD","Period=FQ","BEST_FPERIOD_OVERRIDE=FQ","FILING_STATUS=MR","Sort=A","Dates=H","DateFormat=P","Fill=—","Direction=H","UseDPDF=Y")</f>
        <v>3.72</v>
      </c>
      <c r="L32" s="14">
        <f>_xll.BDH("NBIX US Equity","ARD_BASIC_EPS","FQ1 2021","FQ1 2021","Currency=USD","Period=FQ","BEST_FPERIOD_OVERRIDE=FQ","FILING_STATUS=MR","Sort=A","Dates=H","DateFormat=P","Fill=—","Direction=H","UseDPDF=Y")</f>
        <v>0.34</v>
      </c>
      <c r="M32" s="14">
        <f>_xll.BDH("NBIX US Equity","ARD_BASIC_EPS","FQ2 2021","FQ2 2021","Currency=USD","Period=FQ","BEST_FPERIOD_OVERRIDE=FQ","FILING_STATUS=MR","Sort=A","Dates=H","DateFormat=P","Fill=—","Direction=H","UseDPDF=Y")</f>
        <v>0.45</v>
      </c>
      <c r="N32" s="14">
        <f>_xll.BDH("NBIX US Equity","ARD_BASIC_EPS","FQ3 2021","FQ3 2021","Currency=USD","Period=FQ","BEST_FPERIOD_OVERRIDE=FQ","FILING_STATUS=MR","Sort=A","Dates=H","DateFormat=P","Fill=—","Direction=H","UseDPDF=Y")</f>
        <v>0.24</v>
      </c>
      <c r="O32" s="14">
        <f>_xll.BDH("NBIX US Equity","ARD_BASIC_EPS","FQ4 2021","FQ4 2021","Currency=USD","Period=FQ","BEST_FPERIOD_OVERRIDE=FQ","FILING_STATUS=MR","Sort=A","Dates=H","DateFormat=P","Fill=—","Direction=H","UseDPDF=Y")</f>
        <v>-0.08</v>
      </c>
      <c r="P32" s="14">
        <f>_xll.BDH("NBIX US Equity","ARD_BASIC_EPS","FQ1 2022","FQ1 2022","Currency=USD","Period=FQ","BEST_FPERIOD_OVERRIDE=FQ","FILING_STATUS=MR","Sort=A","Dates=H","DateFormat=P","Fill=—","Direction=H","UseDPDF=Y")</f>
        <v>0.15</v>
      </c>
      <c r="Q32" s="14">
        <f>_xll.BDH("NBIX US Equity","ARD_BASIC_EPS","FQ2 2022","FQ2 2022","Currency=USD","Period=FQ","BEST_FPERIOD_OVERRIDE=FQ","FILING_STATUS=MR","Sort=A","Dates=H","DateFormat=P","Fill=—","Direction=H","UseDPDF=Y")</f>
        <v>-0.18</v>
      </c>
      <c r="R32" s="14">
        <f>_xll.BDH("NBIX US Equity","ARD_BASIC_EPS","FQ3 2022","FQ3 2022","Currency=USD","Period=FQ","BEST_FPERIOD_OVERRIDE=FQ","FILING_STATUS=MR","Sort=A","Dates=H","DateFormat=P","Fill=—","Direction=H","UseDPDF=Y")</f>
        <v>0.72</v>
      </c>
      <c r="S32" s="14">
        <f>_xll.BDH("NBIX US Equity","ARD_BASIC_EPS","FQ4 2022","FQ4 2022","Currency=USD","Period=FQ","BEST_FPERIOD_OVERRIDE=FQ","FILING_STATUS=MR","Sort=A","Dates=H","DateFormat=P","Fill=—","Direction=H","UseDPDF=Y")</f>
        <v>0.92</v>
      </c>
      <c r="T32" s="14">
        <f>_xll.BDH("NBIX US Equity","ARD_BASIC_EPS","FQ1 2023","FQ1 2023","Currency=USD","Period=FQ","BEST_FPERIOD_OVERRIDE=FQ","FILING_STATUS=MR","Sort=A","Dates=H","DateFormat=P","Fill=—","Direction=H","UseDPDF=Y")</f>
        <v>-0.79</v>
      </c>
      <c r="U32" s="14">
        <f>_xll.BDH("NBIX US Equity","ARD_BASIC_EPS","FQ2 2023","FQ2 2023","Currency=USD","Period=FQ","BEST_FPERIOD_OVERRIDE=FQ","FILING_STATUS=MR","Sort=A","Dates=H","DateFormat=P","Fill=—","Direction=H","UseDPDF=Y")</f>
        <v>0.98</v>
      </c>
      <c r="V32" s="14">
        <f>_xll.BDH("NBIX US Equity","ARD_BASIC_EPS","FQ3 2023","FQ3 2023","Currency=USD","Period=FQ","BEST_FPERIOD_OVERRIDE=FQ","FILING_STATUS=MR","Sort=A","Dates=H","DateFormat=P","Fill=—","Direction=H","UseDPDF=Y")</f>
        <v>0.85</v>
      </c>
      <c r="W32" s="14">
        <f>_xll.BDH("NBIX US Equity","ARD_BASIC_EPS","FQ4 2023","FQ4 2023","Currency=USD","Period=FQ","BEST_FPERIOD_OVERRIDE=FQ","FILING_STATUS=MR","Sort=A","Dates=H","DateFormat=P","Fill=—","Direction=H","UseDPDF=Y")</f>
        <v>1.5</v>
      </c>
      <c r="X32" s="14">
        <f>_xll.BDH("NBIX US Equity","ARD_BASIC_EPS","FQ1 2024","FQ1 2024","Currency=USD","Period=FQ","BEST_FPERIOD_OVERRIDE=FQ","FILING_STATUS=MR","Sort=A","Dates=H","DateFormat=P","Fill=—","Direction=H","UseDPDF=Y")</f>
        <v>0.43</v>
      </c>
      <c r="Y32" s="14">
        <f>_xll.BDH("NBIX US Equity","ARD_BASIC_EPS","FQ2 2024","FQ2 2024","Currency=USD","Period=FQ","BEST_FPERIOD_OVERRIDE=FQ","FILING_STATUS=MR","Sort=A","Dates=H","DateFormat=P","Fill=—","Direction=H","UseDPDF=Y")</f>
        <v>0.64</v>
      </c>
      <c r="Z32" s="14">
        <f>_xll.BDH("NBIX US Equity","ARD_BASIC_EPS","FQ3 2024","FQ3 2024","Currency=USD","Period=FQ","BEST_FPERIOD_OVERRIDE=FQ","FILING_STATUS=MR","Sort=A","Dates=H","DateFormat=P","Fill=—","Direction=H","UseDPDF=Y")</f>
        <v>1.28</v>
      </c>
      <c r="AA32" s="14">
        <f>_xll.BDH("NBIX US Equity","ARD_BASIC_EPS","FQ4 2024","FQ4 2024","Currency=USD","Period=FQ","BEST_FPERIOD_OVERRIDE=FQ","FILING_STATUS=MR","Sort=A","Dates=H","DateFormat=P","Fill=—","Direction=H","UseDPDF=Y")</f>
        <v>1.03</v>
      </c>
    </row>
    <row r="33" spans="1:27" x14ac:dyDescent="0.25">
      <c r="A33" s="10" t="s">
        <v>467</v>
      </c>
      <c r="B33" s="10" t="s">
        <v>468</v>
      </c>
      <c r="C33" s="13">
        <f>_xll.BDH("NBIX US Equity","ARD_WEIGHTED_AVG_SHARES_BASIC","FQ4 2018","FQ4 2018","Currency=USD","Period=FQ","BEST_FPERIOD_OVERRIDE=FQ","FILING_STATUS=MR","Sort=A","Dates=H","DateFormat=P","Fill=—","Direction=H","UseDPDF=Y")</f>
        <v>90.742000000000004</v>
      </c>
      <c r="D33" s="13" t="str">
        <f>_xll.BDH("NBIX US Equity","ARD_WEIGHTED_AVG_SHARES_BASIC","FQ1 2019","FQ1 2019","Currency=USD","Period=FQ","BEST_FPERIOD_OVERRIDE=FQ","FILING_STATUS=MR","Sort=A","Dates=H","DateFormat=P","Fill=—","Direction=H","UseDPDF=Y")</f>
        <v>—</v>
      </c>
      <c r="E33" s="13">
        <f>_xll.BDH("NBIX US Equity","ARD_WEIGHTED_AVG_SHARES_BASIC","FQ2 2019","FQ2 2019","Currency=USD","Period=FQ","BEST_FPERIOD_OVERRIDE=FQ","FILING_STATUS=MR","Sort=A","Dates=H","DateFormat=P","Fill=—","Direction=H","UseDPDF=Y")</f>
        <v>91.388999999999996</v>
      </c>
      <c r="F33" s="13">
        <f>_xll.BDH("NBIX US Equity","ARD_WEIGHTED_AVG_SHARES_BASIC","FQ3 2019","FQ3 2019","Currency=USD","Period=FQ","BEST_FPERIOD_OVERRIDE=FQ","FILING_STATUS=MR","Sort=A","Dates=H","DateFormat=P","Fill=—","Direction=H","UseDPDF=Y")</f>
        <v>91.858999999999995</v>
      </c>
      <c r="G33" s="13">
        <f>_xll.BDH("NBIX US Equity","ARD_WEIGHTED_AVG_SHARES_BASIC","FQ4 2019","FQ4 2019","Currency=USD","Period=FQ","BEST_FPERIOD_OVERRIDE=FQ","FILING_STATUS=MR","Sort=A","Dates=H","DateFormat=P","Fill=—","Direction=H","UseDPDF=Y")</f>
        <v>92.2</v>
      </c>
      <c r="H33" s="13">
        <f>_xll.BDH("NBIX US Equity","ARD_WEIGHTED_AVG_SHARES_BASIC","FQ1 2020","FQ1 2020","Currency=USD","Period=FQ","BEST_FPERIOD_OVERRIDE=FQ","FILING_STATUS=MR","Sort=A","Dates=H","DateFormat=P","Fill=—","Direction=H","UseDPDF=Y")</f>
        <v>92.6</v>
      </c>
      <c r="I33" s="13">
        <f>_xll.BDH("NBIX US Equity","ARD_WEIGHTED_AVG_SHARES_BASIC","FQ2 2020","FQ2 2020","Currency=USD","Period=FQ","BEST_FPERIOD_OVERRIDE=FQ","FILING_STATUS=MR","Sort=A","Dates=H","DateFormat=P","Fill=—","Direction=H","UseDPDF=Y")</f>
        <v>93</v>
      </c>
      <c r="J33" s="13">
        <f>_xll.BDH("NBIX US Equity","ARD_WEIGHTED_AVG_SHARES_BASIC","FQ3 2020","FQ3 2020","Currency=USD","Period=FQ","BEST_FPERIOD_OVERRIDE=FQ","FILING_STATUS=MR","Sort=A","Dates=H","DateFormat=P","Fill=—","Direction=H","UseDPDF=Y")</f>
        <v>93.3</v>
      </c>
      <c r="K33" s="13">
        <f>_xll.BDH("NBIX US Equity","ARD_WEIGHTED_AVG_SHARES_BASIC","FQ4 2020","FQ4 2020","Currency=USD","Period=FQ","BEST_FPERIOD_OVERRIDE=FQ","FILING_STATUS=MR","Sort=A","Dates=H","DateFormat=P","Fill=—","Direction=H","UseDPDF=Y")</f>
        <v>93.5</v>
      </c>
      <c r="L33" s="13">
        <f>_xll.BDH("NBIX US Equity","ARD_WEIGHTED_AVG_SHARES_BASIC","FQ1 2021","FQ1 2021","Currency=USD","Period=FQ","BEST_FPERIOD_OVERRIDE=FQ","FILING_STATUS=MR","Sort=A","Dates=H","DateFormat=P","Fill=—","Direction=H","UseDPDF=Y")</f>
        <v>94.2</v>
      </c>
      <c r="M33" s="13">
        <f>_xll.BDH("NBIX US Equity","ARD_WEIGHTED_AVG_SHARES_BASIC","FQ2 2021","FQ2 2021","Currency=USD","Period=FQ","BEST_FPERIOD_OVERRIDE=FQ","FILING_STATUS=MR","Sort=A","Dates=H","DateFormat=P","Fill=—","Direction=H","UseDPDF=Y")</f>
        <v>94.6</v>
      </c>
      <c r="N33" s="13">
        <f>_xll.BDH("NBIX US Equity","ARD_WEIGHTED_AVG_SHARES_BASIC","FQ3 2021","FQ3 2021","Currency=USD","Period=FQ","BEST_FPERIOD_OVERRIDE=FQ","FILING_STATUS=MR","Sort=A","Dates=H","DateFormat=P","Fill=—","Direction=H","UseDPDF=Y")</f>
        <v>94.7</v>
      </c>
      <c r="O33" s="13">
        <f>_xll.BDH("NBIX US Equity","ARD_WEIGHTED_AVG_SHARES_BASIC","FQ4 2021","FQ4 2021","Currency=USD","Period=FQ","BEST_FPERIOD_OVERRIDE=FQ","FILING_STATUS=MR","Sort=A","Dates=H","DateFormat=P","Fill=—","Direction=H","UseDPDF=Y")</f>
        <v>94.9</v>
      </c>
      <c r="P33" s="13">
        <f>_xll.BDH("NBIX US Equity","ARD_WEIGHTED_AVG_SHARES_BASIC","FQ1 2022","FQ1 2022","Currency=USD","Period=FQ","BEST_FPERIOD_OVERRIDE=FQ","FILING_STATUS=MR","Sort=A","Dates=H","DateFormat=P","Fill=—","Direction=H","UseDPDF=Y")</f>
        <v>95.3</v>
      </c>
      <c r="Q33" s="13">
        <f>_xll.BDH("NBIX US Equity","ARD_WEIGHTED_AVG_SHARES_BASIC","FQ2 2022","FQ2 2022","Currency=USD","Period=FQ","BEST_FPERIOD_OVERRIDE=FQ","FILING_STATUS=MR","Sort=A","Dates=H","DateFormat=P","Fill=—","Direction=H","UseDPDF=Y")</f>
        <v>95.6</v>
      </c>
      <c r="R33" s="13">
        <f>_xll.BDH("NBIX US Equity","ARD_WEIGHTED_AVG_SHARES_BASIC","FQ3 2022","FQ3 2022","Currency=USD","Period=FQ","BEST_FPERIOD_OVERRIDE=FQ","FILING_STATUS=MR","Sort=A","Dates=H","DateFormat=P","Fill=—","Direction=H","UseDPDF=Y")</f>
        <v>95.8</v>
      </c>
      <c r="S33" s="13">
        <f>_xll.BDH("NBIX US Equity","ARD_WEIGHTED_AVG_SHARES_BASIC","FQ4 2022","FQ4 2022","Currency=USD","Period=FQ","BEST_FPERIOD_OVERRIDE=FQ","FILING_STATUS=MR","Sort=A","Dates=H","DateFormat=P","Fill=—","Direction=H","UseDPDF=Y")</f>
        <v>96.3</v>
      </c>
      <c r="T33" s="13">
        <f>_xll.BDH("NBIX US Equity","ARD_WEIGHTED_AVG_SHARES_BASIC","FQ1 2023","FQ1 2023","Currency=USD","Period=FQ","BEST_FPERIOD_OVERRIDE=FQ","FILING_STATUS=MR","Sort=A","Dates=H","DateFormat=P","Fill=—","Direction=H","UseDPDF=Y")</f>
        <v>97.1</v>
      </c>
      <c r="U33" s="13">
        <f>_xll.BDH("NBIX US Equity","ARD_WEIGHTED_AVG_SHARES_BASIC","FQ2 2023","FQ2 2023","Currency=USD","Period=FQ","BEST_FPERIOD_OVERRIDE=FQ","FILING_STATUS=MR","Sort=A","Dates=H","DateFormat=P","Fill=—","Direction=H","UseDPDF=Y")</f>
        <v>97.6</v>
      </c>
      <c r="V33" s="13">
        <f>_xll.BDH("NBIX US Equity","ARD_WEIGHTED_AVG_SHARES_BASIC","FQ3 2023","FQ3 2023","Currency=USD","Period=FQ","BEST_FPERIOD_OVERRIDE=FQ","FILING_STATUS=MR","Sort=A","Dates=H","DateFormat=P","Fill=—","Direction=H","UseDPDF=Y")</f>
        <v>97.9</v>
      </c>
      <c r="W33" s="13">
        <f>_xll.BDH("NBIX US Equity","ARD_WEIGHTED_AVG_SHARES_BASIC","FQ4 2023","FQ4 2023","Currency=USD","Period=FQ","BEST_FPERIOD_OVERRIDE=FQ","FILING_STATUS=MR","Sort=A","Dates=H","DateFormat=P","Fill=—","Direction=H","UseDPDF=Y")</f>
        <v>98.4</v>
      </c>
      <c r="X33" s="13">
        <f>_xll.BDH("NBIX US Equity","ARD_WEIGHTED_AVG_SHARES_BASIC","FQ1 2024","FQ1 2024","Currency=USD","Period=FQ","BEST_FPERIOD_OVERRIDE=FQ","FILING_STATUS=MR","Sort=A","Dates=H","DateFormat=P","Fill=—","Direction=H","UseDPDF=Y")</f>
        <v>99.8</v>
      </c>
      <c r="Y33" s="13">
        <f>_xll.BDH("NBIX US Equity","ARD_WEIGHTED_AVG_SHARES_BASIC","FQ2 2024","FQ2 2024","Currency=USD","Period=FQ","BEST_FPERIOD_OVERRIDE=FQ","FILING_STATUS=MR","Sort=A","Dates=H","DateFormat=P","Fill=—","Direction=H","UseDPDF=Y")</f>
        <v>100.8</v>
      </c>
      <c r="Z33" s="13">
        <f>_xll.BDH("NBIX US Equity","ARD_WEIGHTED_AVG_SHARES_BASIC","FQ3 2024","FQ3 2024","Currency=USD","Period=FQ","BEST_FPERIOD_OVERRIDE=FQ","FILING_STATUS=MR","Sort=A","Dates=H","DateFormat=P","Fill=—","Direction=H","UseDPDF=Y")</f>
        <v>101.1</v>
      </c>
      <c r="AA33" s="13">
        <f>_xll.BDH("NBIX US Equity","ARD_WEIGHTED_AVG_SHARES_BASIC","FQ4 2024","FQ4 2024","Currency=USD","Period=FQ","BEST_FPERIOD_OVERRIDE=FQ","FILING_STATUS=MR","Sort=A","Dates=H","DateFormat=P","Fill=—","Direction=H","UseDPDF=Y")</f>
        <v>100</v>
      </c>
    </row>
    <row r="34" spans="1:27" x14ac:dyDescent="0.25">
      <c r="A34" s="10" t="s">
        <v>469</v>
      </c>
      <c r="B34" s="10" t="s">
        <v>470</v>
      </c>
      <c r="C34" s="14">
        <f>_xll.BDH("NBIX US Equity","ARD_DILUTED_EPS","FQ4 2018","FQ4 2018","Currency=USD","Period=FQ","BEST_FPERIOD_OVERRIDE=FQ","FILING_STATUS=MR","Sort=A","Dates=H","DateFormat=P","Fill=—","Direction=H","UseDPDF=Y")</f>
        <v>0.19</v>
      </c>
      <c r="D34" s="14" t="str">
        <f>_xll.BDH("NBIX US Equity","ARD_DILUTED_EPS","FQ1 2019","FQ1 2019","Currency=USD","Period=FQ","BEST_FPERIOD_OVERRIDE=FQ","FILING_STATUS=MR","Sort=A","Dates=H","DateFormat=P","Fill=—","Direction=H","UseDPDF=Y")</f>
        <v>—</v>
      </c>
      <c r="E34" s="14">
        <f>_xll.BDH("NBIX US Equity","ARD_DILUTED_EPS","FQ2 2019","FQ2 2019","Currency=USD","Period=FQ","BEST_FPERIOD_OVERRIDE=FQ","FILING_STATUS=MR","Sort=A","Dates=H","DateFormat=P","Fill=—","Direction=H","UseDPDF=Y")</f>
        <v>0.54</v>
      </c>
      <c r="F34" s="14">
        <f>_xll.BDH("NBIX US Equity","ARD_DILUTED_EPS","FQ3 2019","FQ3 2019","Currency=USD","Period=FQ","BEST_FPERIOD_OVERRIDE=FQ","FILING_STATUS=MR","Sort=A","Dates=H","DateFormat=P","Fill=—","Direction=H","UseDPDF=Y")</f>
        <v>0.56000000000000005</v>
      </c>
      <c r="G34" s="14">
        <f>_xll.BDH("NBIX US Equity","ARD_DILUTED_EPS","FQ4 2019","FQ4 2019","Currency=USD","Period=FQ","BEST_FPERIOD_OVERRIDE=FQ","FILING_STATUS=MR","Sort=A","Dates=H","DateFormat=P","Fill=—","Direction=H","UseDPDF=Y")</f>
        <v>0.35</v>
      </c>
      <c r="H34" s="14">
        <f>_xll.BDH("NBIX US Equity","ARD_DILUTED_EPS","FQ1 2020","FQ1 2020","Currency=USD","Period=FQ","BEST_FPERIOD_OVERRIDE=FQ","FILING_STATUS=MR","Sort=A","Dates=H","DateFormat=P","Fill=—","Direction=H","UseDPDF=Y")</f>
        <v>0.39</v>
      </c>
      <c r="I34" s="14">
        <f>_xll.BDH("NBIX US Equity","ARD_DILUTED_EPS","FQ2 2020","FQ2 2020","Currency=USD","Period=FQ","BEST_FPERIOD_OVERRIDE=FQ","FILING_STATUS=MR","Sort=A","Dates=H","DateFormat=P","Fill=—","Direction=H","UseDPDF=Y")</f>
        <v>0.81</v>
      </c>
      <c r="J34" s="14">
        <f>_xll.BDH("NBIX US Equity","ARD_DILUTED_EPS","FQ3 2020","FQ3 2020","Currency=USD","Period=FQ","BEST_FPERIOD_OVERRIDE=FQ","FILING_STATUS=MR","Sort=A","Dates=H","DateFormat=P","Fill=—","Direction=H","UseDPDF=Y")</f>
        <v>-0.62</v>
      </c>
      <c r="K34" s="14">
        <f>_xll.BDH("NBIX US Equity","ARD_DILUTED_EPS","FQ4 2020","FQ4 2020","Currency=USD","Period=FQ","BEST_FPERIOD_OVERRIDE=FQ","FILING_STATUS=MR","Sort=A","Dates=H","DateFormat=P","Fill=—","Direction=H","UseDPDF=Y")</f>
        <v>3.58</v>
      </c>
      <c r="L34" s="14">
        <f>_xll.BDH("NBIX US Equity","ARD_DILUTED_EPS","FQ1 2021","FQ1 2021","Currency=USD","Period=FQ","BEST_FPERIOD_OVERRIDE=FQ","FILING_STATUS=MR","Sort=A","Dates=H","DateFormat=P","Fill=—","Direction=H","UseDPDF=Y")</f>
        <v>0.33</v>
      </c>
      <c r="M34" s="14">
        <f>_xll.BDH("NBIX US Equity","ARD_DILUTED_EPS","FQ2 2021","FQ2 2021","Currency=USD","Period=FQ","BEST_FPERIOD_OVERRIDE=FQ","FILING_STATUS=MR","Sort=A","Dates=H","DateFormat=P","Fill=—","Direction=H","UseDPDF=Y")</f>
        <v>0.43</v>
      </c>
      <c r="N34" s="14">
        <f>_xll.BDH("NBIX US Equity","ARD_DILUTED_EPS","FQ3 2021","FQ3 2021","Currency=USD","Period=FQ","BEST_FPERIOD_OVERRIDE=FQ","FILING_STATUS=MR","Sort=A","Dates=H","DateFormat=P","Fill=—","Direction=H","UseDPDF=Y")</f>
        <v>0.23</v>
      </c>
      <c r="O34" s="14">
        <f>_xll.BDH("NBIX US Equity","ARD_DILUTED_EPS","FQ4 2021","FQ4 2021","Currency=USD","Period=FQ","BEST_FPERIOD_OVERRIDE=FQ","FILING_STATUS=MR","Sort=A","Dates=H","DateFormat=P","Fill=—","Direction=H","UseDPDF=Y")</f>
        <v>-0.08</v>
      </c>
      <c r="P34" s="14">
        <f>_xll.BDH("NBIX US Equity","ARD_DILUTED_EPS","FQ1 2022","FQ1 2022","Currency=USD","Period=FQ","BEST_FPERIOD_OVERRIDE=FQ","FILING_STATUS=MR","Sort=A","Dates=H","DateFormat=P","Fill=—","Direction=H","UseDPDF=Y")</f>
        <v>0.14000000000000001</v>
      </c>
      <c r="Q34" s="14">
        <f>_xll.BDH("NBIX US Equity","ARD_DILUTED_EPS","FQ2 2022","FQ2 2022","Currency=USD","Period=FQ","BEST_FPERIOD_OVERRIDE=FQ","FILING_STATUS=MR","Sort=A","Dates=H","DateFormat=P","Fill=—","Direction=H","UseDPDF=Y")</f>
        <v>-0.18</v>
      </c>
      <c r="R34" s="14">
        <f>_xll.BDH("NBIX US Equity","ARD_DILUTED_EPS","FQ3 2022","FQ3 2022","Currency=USD","Period=FQ","BEST_FPERIOD_OVERRIDE=FQ","FILING_STATUS=MR","Sort=A","Dates=H","DateFormat=P","Fill=—","Direction=H","UseDPDF=Y")</f>
        <v>0.69</v>
      </c>
      <c r="S34" s="14">
        <f>_xll.BDH("NBIX US Equity","ARD_DILUTED_EPS","FQ4 2022","FQ4 2022","Currency=USD","Period=FQ","BEST_FPERIOD_OVERRIDE=FQ","FILING_STATUS=MR","Sort=A","Dates=H","DateFormat=P","Fill=—","Direction=H","UseDPDF=Y")</f>
        <v>0.88</v>
      </c>
      <c r="T34" s="14">
        <f>_xll.BDH("NBIX US Equity","ARD_DILUTED_EPS","FQ1 2023","FQ1 2023","Currency=USD","Period=FQ","BEST_FPERIOD_OVERRIDE=FQ","FILING_STATUS=MR","Sort=A","Dates=H","DateFormat=P","Fill=—","Direction=H","UseDPDF=Y")</f>
        <v>-0.79</v>
      </c>
      <c r="U34" s="14">
        <f>_xll.BDH("NBIX US Equity","ARD_DILUTED_EPS","FQ2 2023","FQ2 2023","Currency=USD","Period=FQ","BEST_FPERIOD_OVERRIDE=FQ","FILING_STATUS=MR","Sort=A","Dates=H","DateFormat=P","Fill=—","Direction=H","UseDPDF=Y")</f>
        <v>0.95</v>
      </c>
      <c r="V34" s="14">
        <f>_xll.BDH("NBIX US Equity","ARD_DILUTED_EPS","FQ3 2023","FQ3 2023","Currency=USD","Period=FQ","BEST_FPERIOD_OVERRIDE=FQ","FILING_STATUS=MR","Sort=A","Dates=H","DateFormat=P","Fill=—","Direction=H","UseDPDF=Y")</f>
        <v>0.82</v>
      </c>
      <c r="W34" s="14">
        <f>_xll.BDH("NBIX US Equity","ARD_DILUTED_EPS","FQ4 2023","FQ4 2023","Currency=USD","Period=FQ","BEST_FPERIOD_OVERRIDE=FQ","FILING_STATUS=MR","Sort=A","Dates=H","DateFormat=P","Fill=—","Direction=H","UseDPDF=Y")</f>
        <v>1.44</v>
      </c>
      <c r="X34" s="14">
        <f>_xll.BDH("NBIX US Equity","ARD_DILUTED_EPS","FQ1 2024","FQ1 2024","Currency=USD","Period=FQ","BEST_FPERIOD_OVERRIDE=FQ","FILING_STATUS=MR","Sort=A","Dates=H","DateFormat=P","Fill=—","Direction=H","UseDPDF=Y")</f>
        <v>0.42</v>
      </c>
      <c r="Y34" s="14">
        <f>_xll.BDH("NBIX US Equity","ARD_DILUTED_EPS","FQ2 2024","FQ2 2024","Currency=USD","Period=FQ","BEST_FPERIOD_OVERRIDE=FQ","FILING_STATUS=MR","Sort=A","Dates=H","DateFormat=P","Fill=—","Direction=H","UseDPDF=Y")</f>
        <v>0.63</v>
      </c>
      <c r="Z34" s="14">
        <f>_xll.BDH("NBIX US Equity","ARD_DILUTED_EPS","FQ3 2024","FQ3 2024","Currency=USD","Period=FQ","BEST_FPERIOD_OVERRIDE=FQ","FILING_STATUS=MR","Sort=A","Dates=H","DateFormat=P","Fill=—","Direction=H","UseDPDF=Y")</f>
        <v>1.24</v>
      </c>
      <c r="AA34" s="14">
        <f>_xll.BDH("NBIX US Equity","ARD_DILUTED_EPS","FQ4 2024","FQ4 2024","Currency=USD","Period=FQ","BEST_FPERIOD_OVERRIDE=FQ","FILING_STATUS=MR","Sort=A","Dates=H","DateFormat=P","Fill=—","Direction=H","UseDPDF=Y")</f>
        <v>1</v>
      </c>
    </row>
    <row r="35" spans="1:27" x14ac:dyDescent="0.25">
      <c r="A35" s="10" t="s">
        <v>471</v>
      </c>
      <c r="B35" s="10" t="s">
        <v>472</v>
      </c>
      <c r="C35" s="13">
        <f>_xll.BDH("NBIX US Equity","ARD_WEIGHTED_AVG_SHARE_DILUTED","FQ4 2018","FQ4 2018","Currency=USD","Period=FQ","BEST_FPERIOD_OVERRIDE=FQ","FILING_STATUS=MR","Sort=A","Dates=H","DateFormat=P","Fill=—","Direction=H","UseDPDF=Y")</f>
        <v>95.724000000000004</v>
      </c>
      <c r="D35" s="13" t="str">
        <f>_xll.BDH("NBIX US Equity","ARD_WEIGHTED_AVG_SHARE_DILUTED","FQ1 2019","FQ1 2019","Currency=USD","Period=FQ","BEST_FPERIOD_OVERRIDE=FQ","FILING_STATUS=MR","Sort=A","Dates=H","DateFormat=P","Fill=—","Direction=H","UseDPDF=Y")</f>
        <v>—</v>
      </c>
      <c r="E35" s="13">
        <f>_xll.BDH("NBIX US Equity","ARD_WEIGHTED_AVG_SHARE_DILUTED","FQ2 2019","FQ2 2019","Currency=USD","Period=FQ","BEST_FPERIOD_OVERRIDE=FQ","FILING_STATUS=MR","Sort=A","Dates=H","DateFormat=P","Fill=—","Direction=H","UseDPDF=Y")</f>
        <v>94.778999999999996</v>
      </c>
      <c r="F35" s="13">
        <f>_xll.BDH("NBIX US Equity","ARD_WEIGHTED_AVG_SHARE_DILUTED","FQ3 2019","FQ3 2019","Currency=USD","Period=FQ","BEST_FPERIOD_OVERRIDE=FQ","FILING_STATUS=MR","Sort=A","Dates=H","DateFormat=P","Fill=—","Direction=H","UseDPDF=Y")</f>
        <v>96.073999999999998</v>
      </c>
      <c r="G35" s="13">
        <f>_xll.BDH("NBIX US Equity","ARD_WEIGHTED_AVG_SHARE_DILUTED","FQ4 2019","FQ4 2019","Currency=USD","Period=FQ","BEST_FPERIOD_OVERRIDE=FQ","FILING_STATUS=MR","Sort=A","Dates=H","DateFormat=P","Fill=—","Direction=H","UseDPDF=Y")</f>
        <v>97.2</v>
      </c>
      <c r="H35" s="13">
        <f>_xll.BDH("NBIX US Equity","ARD_WEIGHTED_AVG_SHARE_DILUTED","FQ1 2020","FQ1 2020","Currency=USD","Period=FQ","BEST_FPERIOD_OVERRIDE=FQ","FILING_STATUS=MR","Sort=A","Dates=H","DateFormat=P","Fill=—","Direction=H","UseDPDF=Y")</f>
        <v>97</v>
      </c>
      <c r="I35" s="13">
        <f>_xll.BDH("NBIX US Equity","ARD_WEIGHTED_AVG_SHARE_DILUTED","FQ2 2020","FQ2 2020","Currency=USD","Period=FQ","BEST_FPERIOD_OVERRIDE=FQ","FILING_STATUS=MR","Sort=A","Dates=H","DateFormat=P","Fill=—","Direction=H","UseDPDF=Y")</f>
        <v>98.2</v>
      </c>
      <c r="J35" s="13">
        <f>_xll.BDH("NBIX US Equity","ARD_WEIGHTED_AVG_SHARE_DILUTED","FQ3 2020","FQ3 2020","Currency=USD","Period=FQ","BEST_FPERIOD_OVERRIDE=FQ","FILING_STATUS=MR","Sort=A","Dates=H","DateFormat=P","Fill=—","Direction=H","UseDPDF=Y")</f>
        <v>93.3</v>
      </c>
      <c r="K35" s="13">
        <f>_xll.BDH("NBIX US Equity","ARD_WEIGHTED_AVG_SHARE_DILUTED","FQ4 2020","FQ4 2020","Currency=USD","Period=FQ","BEST_FPERIOD_OVERRIDE=FQ","FILING_STATUS=MR","Sort=A","Dates=H","DateFormat=P","Fill=—","Direction=H","UseDPDF=Y")</f>
        <v>97.2</v>
      </c>
      <c r="L35" s="13">
        <f>_xll.BDH("NBIX US Equity","ARD_WEIGHTED_AVG_SHARE_DILUTED","FQ1 2021","FQ1 2021","Currency=USD","Period=FQ","BEST_FPERIOD_OVERRIDE=FQ","FILING_STATUS=MR","Sort=A","Dates=H","DateFormat=P","Fill=—","Direction=H","UseDPDF=Y")</f>
        <v>98.2</v>
      </c>
      <c r="M35" s="13">
        <f>_xll.BDH("NBIX US Equity","ARD_WEIGHTED_AVG_SHARE_DILUTED","FQ2 2021","FQ2 2021","Currency=USD","Period=FQ","BEST_FPERIOD_OVERRIDE=FQ","FILING_STATUS=MR","Sort=A","Dates=H","DateFormat=P","Fill=—","Direction=H","UseDPDF=Y")</f>
        <v>97.7</v>
      </c>
      <c r="N35" s="13">
        <f>_xll.BDH("NBIX US Equity","ARD_WEIGHTED_AVG_SHARE_DILUTED","FQ3 2021","FQ3 2021","Currency=USD","Period=FQ","BEST_FPERIOD_OVERRIDE=FQ","FILING_STATUS=MR","Sort=A","Dates=H","DateFormat=P","Fill=—","Direction=H","UseDPDF=Y")</f>
        <v>97.7</v>
      </c>
      <c r="O35" s="13">
        <f>_xll.BDH("NBIX US Equity","ARD_WEIGHTED_AVG_SHARE_DILUTED","FQ4 2021","FQ4 2021","Currency=USD","Period=FQ","BEST_FPERIOD_OVERRIDE=FQ","FILING_STATUS=MR","Sort=A","Dates=H","DateFormat=P","Fill=—","Direction=H","UseDPDF=Y")</f>
        <v>94.9</v>
      </c>
      <c r="P35" s="13">
        <f>_xll.BDH("NBIX US Equity","ARD_WEIGHTED_AVG_SHARE_DILUTED","FQ1 2022","FQ1 2022","Currency=USD","Period=FQ","BEST_FPERIOD_OVERRIDE=FQ","FILING_STATUS=MR","Sort=A","Dates=H","DateFormat=P","Fill=—","Direction=H","UseDPDF=Y")</f>
        <v>97.6</v>
      </c>
      <c r="Q35" s="13">
        <f>_xll.BDH("NBIX US Equity","ARD_WEIGHTED_AVG_SHARE_DILUTED","FQ2 2022","FQ2 2022","Currency=USD","Period=FQ","BEST_FPERIOD_OVERRIDE=FQ","FILING_STATUS=MR","Sort=A","Dates=H","DateFormat=P","Fill=—","Direction=H","UseDPDF=Y")</f>
        <v>95.6</v>
      </c>
      <c r="R35" s="13">
        <f>_xll.BDH("NBIX US Equity","ARD_WEIGHTED_AVG_SHARE_DILUTED","FQ3 2022","FQ3 2022","Currency=USD","Period=FQ","BEST_FPERIOD_OVERRIDE=FQ","FILING_STATUS=MR","Sort=A","Dates=H","DateFormat=P","Fill=—","Direction=H","UseDPDF=Y")</f>
        <v>99</v>
      </c>
      <c r="S35" s="13">
        <f>_xll.BDH("NBIX US Equity","ARD_WEIGHTED_AVG_SHARE_DILUTED","FQ4 2022","FQ4 2022","Currency=USD","Period=FQ","BEST_FPERIOD_OVERRIDE=FQ","FILING_STATUS=MR","Sort=A","Dates=H","DateFormat=P","Fill=—","Direction=H","UseDPDF=Y")</f>
        <v>100.8</v>
      </c>
      <c r="T35" s="13">
        <f>_xll.BDH("NBIX US Equity","ARD_WEIGHTED_AVG_SHARE_DILUTED","FQ1 2023","FQ1 2023","Currency=USD","Period=FQ","BEST_FPERIOD_OVERRIDE=FQ","FILING_STATUS=MR","Sort=A","Dates=H","DateFormat=P","Fill=—","Direction=H","UseDPDF=Y")</f>
        <v>97.1</v>
      </c>
      <c r="U35" s="13">
        <f>_xll.BDH("NBIX US Equity","ARD_WEIGHTED_AVG_SHARE_DILUTED","FQ2 2023","FQ2 2023","Currency=USD","Period=FQ","BEST_FPERIOD_OVERRIDE=FQ","FILING_STATUS=MR","Sort=A","Dates=H","DateFormat=P","Fill=—","Direction=H","UseDPDF=Y")</f>
        <v>100.2</v>
      </c>
      <c r="V35" s="13">
        <f>_xll.BDH("NBIX US Equity","ARD_WEIGHTED_AVG_SHARE_DILUTED","FQ3 2023","FQ3 2023","Currency=USD","Period=FQ","BEST_FPERIOD_OVERRIDE=FQ","FILING_STATUS=MR","Sort=A","Dates=H","DateFormat=P","Fill=—","Direction=H","UseDPDF=Y")</f>
        <v>101.1</v>
      </c>
      <c r="W35" s="13">
        <f>_xll.BDH("NBIX US Equity","ARD_WEIGHTED_AVG_SHARE_DILUTED","FQ4 2023","FQ4 2023","Currency=USD","Period=FQ","BEST_FPERIOD_OVERRIDE=FQ","FILING_STATUS=MR","Sort=A","Dates=H","DateFormat=P","Fill=—","Direction=H","UseDPDF=Y")</f>
        <v>102.3</v>
      </c>
      <c r="X35" s="13">
        <f>_xll.BDH("NBIX US Equity","ARD_WEIGHTED_AVG_SHARE_DILUTED","FQ1 2024","FQ1 2024","Currency=USD","Period=FQ","BEST_FPERIOD_OVERRIDE=FQ","FILING_STATUS=MR","Sort=A","Dates=H","DateFormat=P","Fill=—","Direction=H","UseDPDF=Y")</f>
        <v>103.6</v>
      </c>
      <c r="Y35" s="13">
        <f>_xll.BDH("NBIX US Equity","ARD_WEIGHTED_AVG_SHARE_DILUTED","FQ2 2024","FQ2 2024","Currency=USD","Period=FQ","BEST_FPERIOD_OVERRIDE=FQ","FILING_STATUS=MR","Sort=A","Dates=H","DateFormat=P","Fill=—","Direction=H","UseDPDF=Y")</f>
        <v>103.9</v>
      </c>
      <c r="Z35" s="13">
        <f>_xll.BDH("NBIX US Equity","ARD_WEIGHTED_AVG_SHARE_DILUTED","FQ3 2024","FQ3 2024","Currency=USD","Period=FQ","BEST_FPERIOD_OVERRIDE=FQ","FILING_STATUS=MR","Sort=A","Dates=H","DateFormat=P","Fill=—","Direction=H","UseDPDF=Y")</f>
        <v>104.3</v>
      </c>
      <c r="AA35" s="13">
        <f>_xll.BDH("NBIX US Equity","ARD_WEIGHTED_AVG_SHARE_DILUTED","FQ4 2024","FQ4 2024","Currency=USD","Period=FQ","BEST_FPERIOD_OVERRIDE=FQ","FILING_STATUS=MR","Sort=A","Dates=H","DateFormat=P","Fill=—","Direction=H","UseDPDF=Y")</f>
        <v>102.9</v>
      </c>
    </row>
    <row r="36" spans="1:27" x14ac:dyDescent="0.25">
      <c r="A36" s="10" t="s">
        <v>473</v>
      </c>
      <c r="B36" s="10" t="s">
        <v>474</v>
      </c>
      <c r="C36" s="14" t="str">
        <f>_xll.BDH("NBIX US Equity","ARD_BASIC_AND_DILUTED_EPS","FQ4 2018","FQ4 2018","Currency=USD","Period=FQ","BEST_FPERIOD_OVERRIDE=FQ","FILING_STATUS=MR","Sort=A","Dates=H","DateFormat=P","Fill=—","Direction=H","UseDPDF=Y")</f>
        <v>—</v>
      </c>
      <c r="D36" s="14">
        <f>_xll.BDH("NBIX US Equity","ARD_BASIC_AND_DILUTED_EPS","FQ1 2019","FQ1 2019","Currency=USD","Period=FQ","BEST_FPERIOD_OVERRIDE=FQ","FILING_STATUS=MR","Sort=A","Dates=H","DateFormat=P","Fill=—","Direction=H","UseDPDF=Y")</f>
        <v>-1.1200000000000001</v>
      </c>
      <c r="E36" s="14" t="str">
        <f>_xll.BDH("NBIX US Equity","ARD_BASIC_AND_DILUTED_EPS","FQ2 2019","FQ2 2019","Currency=USD","Period=FQ","BEST_FPERIOD_OVERRIDE=FQ","FILING_STATUS=MR","Sort=A","Dates=H","DateFormat=P","Fill=—","Direction=H","UseDPDF=Y")</f>
        <v>—</v>
      </c>
      <c r="F36" s="14" t="str">
        <f>_xll.BDH("NBIX US Equity","ARD_BASIC_AND_DILUTED_EPS","FQ3 2019","FQ3 2019","Currency=USD","Period=FQ","BEST_FPERIOD_OVERRIDE=FQ","FILING_STATUS=MR","Sort=A","Dates=H","DateFormat=P","Fill=—","Direction=H","UseDPDF=Y")</f>
        <v>—</v>
      </c>
      <c r="G36" s="14" t="str">
        <f>_xll.BDH("NBIX US Equity","ARD_BASIC_AND_DILUTED_EPS","FQ4 2019","FQ4 2019","Currency=USD","Period=FQ","BEST_FPERIOD_OVERRIDE=FQ","FILING_STATUS=MR","Sort=A","Dates=H","DateFormat=P","Fill=—","Direction=H","UseDPDF=Y")</f>
        <v>—</v>
      </c>
      <c r="H36" s="14" t="str">
        <f>_xll.BDH("NBIX US Equity","ARD_BASIC_AND_DILUTED_EPS","FQ1 2020","FQ1 2020","Currency=USD","Period=FQ","BEST_FPERIOD_OVERRIDE=FQ","FILING_STATUS=MR","Sort=A","Dates=H","DateFormat=P","Fill=—","Direction=H","UseDPDF=Y")</f>
        <v>—</v>
      </c>
      <c r="I36" s="14" t="str">
        <f>_xll.BDH("NBIX US Equity","ARD_BASIC_AND_DILUTED_EPS","FQ2 2020","FQ2 2020","Currency=USD","Period=FQ","BEST_FPERIOD_OVERRIDE=FQ","FILING_STATUS=MR","Sort=A","Dates=H","DateFormat=P","Fill=—","Direction=H","UseDPDF=Y")</f>
        <v>—</v>
      </c>
      <c r="J36" s="14" t="str">
        <f>_xll.BDH("NBIX US Equity","ARD_BASIC_AND_DILUTED_EPS","FQ3 2020","FQ3 2020","Currency=USD","Period=FQ","BEST_FPERIOD_OVERRIDE=FQ","FILING_STATUS=MR","Sort=A","Dates=H","DateFormat=P","Fill=—","Direction=H","UseDPDF=Y")</f>
        <v>—</v>
      </c>
      <c r="K36" s="14" t="str">
        <f>_xll.BDH("NBIX US Equity","ARD_BASIC_AND_DILUTED_EPS","FQ4 2020","FQ4 2020","Currency=USD","Period=FQ","BEST_FPERIOD_OVERRIDE=FQ","FILING_STATUS=MR","Sort=A","Dates=H","DateFormat=P","Fill=—","Direction=H","UseDPDF=Y")</f>
        <v>—</v>
      </c>
      <c r="L36" s="14" t="str">
        <f>_xll.BDH("NBIX US Equity","ARD_BASIC_AND_DILUTED_EPS","FQ1 2021","FQ1 2021","Currency=USD","Period=FQ","BEST_FPERIOD_OVERRIDE=FQ","FILING_STATUS=MR","Sort=A","Dates=H","DateFormat=P","Fill=—","Direction=H","UseDPDF=Y")</f>
        <v>—</v>
      </c>
      <c r="M36" s="14" t="str">
        <f>_xll.BDH("NBIX US Equity","ARD_BASIC_AND_DILUTED_EPS","FQ2 2021","FQ2 2021","Currency=USD","Period=FQ","BEST_FPERIOD_OVERRIDE=FQ","FILING_STATUS=MR","Sort=A","Dates=H","DateFormat=P","Fill=—","Direction=H","UseDPDF=Y")</f>
        <v>—</v>
      </c>
      <c r="N36" s="14" t="str">
        <f>_xll.BDH("NBIX US Equity","ARD_BASIC_AND_DILUTED_EPS","FQ3 2021","FQ3 2021","Currency=USD","Period=FQ","BEST_FPERIOD_OVERRIDE=FQ","FILING_STATUS=MR","Sort=A","Dates=H","DateFormat=P","Fill=—","Direction=H","UseDPDF=Y")</f>
        <v>—</v>
      </c>
      <c r="O36" s="14" t="str">
        <f>_xll.BDH("NBIX US Equity","ARD_BASIC_AND_DILUTED_EPS","FQ4 2021","FQ4 2021","Currency=USD","Period=FQ","BEST_FPERIOD_OVERRIDE=FQ","FILING_STATUS=MR","Sort=A","Dates=H","DateFormat=P","Fill=—","Direction=H","UseDPDF=Y")</f>
        <v>—</v>
      </c>
      <c r="P36" s="14" t="str">
        <f>_xll.BDH("NBIX US Equity","ARD_BASIC_AND_DILUTED_EPS","FQ1 2022","FQ1 2022","Currency=USD","Period=FQ","BEST_FPERIOD_OVERRIDE=FQ","FILING_STATUS=MR","Sort=A","Dates=H","DateFormat=P","Fill=—","Direction=H","UseDPDF=Y")</f>
        <v>—</v>
      </c>
      <c r="Q36" s="14" t="str">
        <f>_xll.BDH("NBIX US Equity","ARD_BASIC_AND_DILUTED_EPS","FQ2 2022","FQ2 2022","Currency=USD","Period=FQ","BEST_FPERIOD_OVERRIDE=FQ","FILING_STATUS=MR","Sort=A","Dates=H","DateFormat=P","Fill=—","Direction=H","UseDPDF=Y")</f>
        <v>—</v>
      </c>
      <c r="R36" s="14" t="str">
        <f>_xll.BDH("NBIX US Equity","ARD_BASIC_AND_DILUTED_EPS","FQ3 2022","FQ3 2022","Currency=USD","Period=FQ","BEST_FPERIOD_OVERRIDE=FQ","FILING_STATUS=MR","Sort=A","Dates=H","DateFormat=P","Fill=—","Direction=H","UseDPDF=Y")</f>
        <v>—</v>
      </c>
      <c r="S36" s="14" t="str">
        <f>_xll.BDH("NBIX US Equity","ARD_BASIC_AND_DILUTED_EPS","FQ4 2022","FQ4 2022","Currency=USD","Period=FQ","BEST_FPERIOD_OVERRIDE=FQ","FILING_STATUS=MR","Sort=A","Dates=H","DateFormat=P","Fill=—","Direction=H","UseDPDF=Y")</f>
        <v>—</v>
      </c>
      <c r="T36" s="14" t="str">
        <f>_xll.BDH("NBIX US Equity","ARD_BASIC_AND_DILUTED_EPS","FQ1 2023","FQ1 2023","Currency=USD","Period=FQ","BEST_FPERIOD_OVERRIDE=FQ","FILING_STATUS=MR","Sort=A","Dates=H","DateFormat=P","Fill=—","Direction=H","UseDPDF=Y")</f>
        <v>—</v>
      </c>
      <c r="U36" s="14" t="str">
        <f>_xll.BDH("NBIX US Equity","ARD_BASIC_AND_DILUTED_EPS","FQ2 2023","FQ2 2023","Currency=USD","Period=FQ","BEST_FPERIOD_OVERRIDE=FQ","FILING_STATUS=MR","Sort=A","Dates=H","DateFormat=P","Fill=—","Direction=H","UseDPDF=Y")</f>
        <v>—</v>
      </c>
      <c r="V36" s="14" t="str">
        <f>_xll.BDH("NBIX US Equity","ARD_BASIC_AND_DILUTED_EPS","FQ3 2023","FQ3 2023","Currency=USD","Period=FQ","BEST_FPERIOD_OVERRIDE=FQ","FILING_STATUS=MR","Sort=A","Dates=H","DateFormat=P","Fill=—","Direction=H","UseDPDF=Y")</f>
        <v>—</v>
      </c>
      <c r="W36" s="14" t="str">
        <f>_xll.BDH("NBIX US Equity","ARD_BASIC_AND_DILUTED_EPS","FQ4 2023","FQ4 2023","Currency=USD","Period=FQ","BEST_FPERIOD_OVERRIDE=FQ","FILING_STATUS=MR","Sort=A","Dates=H","DateFormat=P","Fill=—","Direction=H","UseDPDF=Y")</f>
        <v>—</v>
      </c>
      <c r="X36" s="14" t="str">
        <f>_xll.BDH("NBIX US Equity","ARD_BASIC_AND_DILUTED_EPS","FQ1 2024","FQ1 2024","Currency=USD","Period=FQ","BEST_FPERIOD_OVERRIDE=FQ","FILING_STATUS=MR","Sort=A","Dates=H","DateFormat=P","Fill=—","Direction=H","UseDPDF=Y")</f>
        <v>—</v>
      </c>
      <c r="Y36" s="14" t="str">
        <f>_xll.BDH("NBIX US Equity","ARD_BASIC_AND_DILUTED_EPS","FQ2 2024","FQ2 2024","Currency=USD","Period=FQ","BEST_FPERIOD_OVERRIDE=FQ","FILING_STATUS=MR","Sort=A","Dates=H","DateFormat=P","Fill=—","Direction=H","UseDPDF=Y")</f>
        <v>—</v>
      </c>
      <c r="Z36" s="14" t="str">
        <f>_xll.BDH("NBIX US Equity","ARD_BASIC_AND_DILUTED_EPS","FQ3 2024","FQ3 2024","Currency=USD","Period=FQ","BEST_FPERIOD_OVERRIDE=FQ","FILING_STATUS=MR","Sort=A","Dates=H","DateFormat=P","Fill=—","Direction=H","UseDPDF=Y")</f>
        <v>—</v>
      </c>
      <c r="AA36" s="14" t="str">
        <f>_xll.BDH("NBIX US Equity","ARD_BASIC_AND_DILUTED_EPS","FQ4 2024","FQ4 2024","Currency=USD","Period=FQ","BEST_FPERIOD_OVERRIDE=FQ","FILING_STATUS=MR","Sort=A","Dates=H","DateFormat=P","Fill=—","Direction=H","UseDPDF=Y")</f>
        <v>—</v>
      </c>
    </row>
    <row r="37" spans="1:27" x14ac:dyDescent="0.25">
      <c r="A37" s="10" t="s">
        <v>475</v>
      </c>
      <c r="B37" s="10" t="s">
        <v>476</v>
      </c>
      <c r="C37" s="13" t="str">
        <f>_xll.BDH("NBIX US Equity","ARD_WTD_AVG_SHS_BASIC_DILUTED","FQ4 2018","FQ4 2018","Currency=USD","Period=FQ","BEST_FPERIOD_OVERRIDE=FQ","FILING_STATUS=MR","Sort=A","Dates=H","DateFormat=P","Fill=—","Direction=H","UseDPDF=Y")</f>
        <v>—</v>
      </c>
      <c r="D37" s="13">
        <f>_xll.BDH("NBIX US Equity","ARD_WTD_AVG_SHS_BASIC_DILUTED","FQ1 2019","FQ1 2019","Currency=USD","Period=FQ","BEST_FPERIOD_OVERRIDE=FQ","FILING_STATUS=MR","Sort=A","Dates=H","DateFormat=P","Fill=—","Direction=H","UseDPDF=Y")</f>
        <v>91.055999999999997</v>
      </c>
      <c r="E37" s="13" t="str">
        <f>_xll.BDH("NBIX US Equity","ARD_WTD_AVG_SHS_BASIC_DILUTED","FQ2 2019","FQ2 2019","Currency=USD","Period=FQ","BEST_FPERIOD_OVERRIDE=FQ","FILING_STATUS=MR","Sort=A","Dates=H","DateFormat=P","Fill=—","Direction=H","UseDPDF=Y")</f>
        <v>—</v>
      </c>
      <c r="F37" s="13" t="str">
        <f>_xll.BDH("NBIX US Equity","ARD_WTD_AVG_SHS_BASIC_DILUTED","FQ3 2019","FQ3 2019","Currency=USD","Period=FQ","BEST_FPERIOD_OVERRIDE=FQ","FILING_STATUS=MR","Sort=A","Dates=H","DateFormat=P","Fill=—","Direction=H","UseDPDF=Y")</f>
        <v>—</v>
      </c>
      <c r="G37" s="13" t="str">
        <f>_xll.BDH("NBIX US Equity","ARD_WTD_AVG_SHS_BASIC_DILUTED","FQ4 2019","FQ4 2019","Currency=USD","Period=FQ","BEST_FPERIOD_OVERRIDE=FQ","FILING_STATUS=MR","Sort=A","Dates=H","DateFormat=P","Fill=—","Direction=H","UseDPDF=Y")</f>
        <v>—</v>
      </c>
      <c r="H37" s="13" t="str">
        <f>_xll.BDH("NBIX US Equity","ARD_WTD_AVG_SHS_BASIC_DILUTED","FQ1 2020","FQ1 2020","Currency=USD","Period=FQ","BEST_FPERIOD_OVERRIDE=FQ","FILING_STATUS=MR","Sort=A","Dates=H","DateFormat=P","Fill=—","Direction=H","UseDPDF=Y")</f>
        <v>—</v>
      </c>
      <c r="I37" s="13" t="str">
        <f>_xll.BDH("NBIX US Equity","ARD_WTD_AVG_SHS_BASIC_DILUTED","FQ2 2020","FQ2 2020","Currency=USD","Period=FQ","BEST_FPERIOD_OVERRIDE=FQ","FILING_STATUS=MR","Sort=A","Dates=H","DateFormat=P","Fill=—","Direction=H","UseDPDF=Y")</f>
        <v>—</v>
      </c>
      <c r="J37" s="13" t="str">
        <f>_xll.BDH("NBIX US Equity","ARD_WTD_AVG_SHS_BASIC_DILUTED","FQ3 2020","FQ3 2020","Currency=USD","Period=FQ","BEST_FPERIOD_OVERRIDE=FQ","FILING_STATUS=MR","Sort=A","Dates=H","DateFormat=P","Fill=—","Direction=H","UseDPDF=Y")</f>
        <v>—</v>
      </c>
      <c r="K37" s="13" t="str">
        <f>_xll.BDH("NBIX US Equity","ARD_WTD_AVG_SHS_BASIC_DILUTED","FQ4 2020","FQ4 2020","Currency=USD","Period=FQ","BEST_FPERIOD_OVERRIDE=FQ","FILING_STATUS=MR","Sort=A","Dates=H","DateFormat=P","Fill=—","Direction=H","UseDPDF=Y")</f>
        <v>—</v>
      </c>
      <c r="L37" s="13" t="str">
        <f>_xll.BDH("NBIX US Equity","ARD_WTD_AVG_SHS_BASIC_DILUTED","FQ1 2021","FQ1 2021","Currency=USD","Period=FQ","BEST_FPERIOD_OVERRIDE=FQ","FILING_STATUS=MR","Sort=A","Dates=H","DateFormat=P","Fill=—","Direction=H","UseDPDF=Y")</f>
        <v>—</v>
      </c>
      <c r="M37" s="13" t="str">
        <f>_xll.BDH("NBIX US Equity","ARD_WTD_AVG_SHS_BASIC_DILUTED","FQ2 2021","FQ2 2021","Currency=USD","Period=FQ","BEST_FPERIOD_OVERRIDE=FQ","FILING_STATUS=MR","Sort=A","Dates=H","DateFormat=P","Fill=—","Direction=H","UseDPDF=Y")</f>
        <v>—</v>
      </c>
      <c r="N37" s="13" t="str">
        <f>_xll.BDH("NBIX US Equity","ARD_WTD_AVG_SHS_BASIC_DILUTED","FQ3 2021","FQ3 2021","Currency=USD","Period=FQ","BEST_FPERIOD_OVERRIDE=FQ","FILING_STATUS=MR","Sort=A","Dates=H","DateFormat=P","Fill=—","Direction=H","UseDPDF=Y")</f>
        <v>—</v>
      </c>
      <c r="O37" s="13" t="str">
        <f>_xll.BDH("NBIX US Equity","ARD_WTD_AVG_SHS_BASIC_DILUTED","FQ4 2021","FQ4 2021","Currency=USD","Period=FQ","BEST_FPERIOD_OVERRIDE=FQ","FILING_STATUS=MR","Sort=A","Dates=H","DateFormat=P","Fill=—","Direction=H","UseDPDF=Y")</f>
        <v>—</v>
      </c>
      <c r="P37" s="13" t="str">
        <f>_xll.BDH("NBIX US Equity","ARD_WTD_AVG_SHS_BASIC_DILUTED","FQ1 2022","FQ1 2022","Currency=USD","Period=FQ","BEST_FPERIOD_OVERRIDE=FQ","FILING_STATUS=MR","Sort=A","Dates=H","DateFormat=P","Fill=—","Direction=H","UseDPDF=Y")</f>
        <v>—</v>
      </c>
      <c r="Q37" s="13" t="str">
        <f>_xll.BDH("NBIX US Equity","ARD_WTD_AVG_SHS_BASIC_DILUTED","FQ2 2022","FQ2 2022","Currency=USD","Period=FQ","BEST_FPERIOD_OVERRIDE=FQ","FILING_STATUS=MR","Sort=A","Dates=H","DateFormat=P","Fill=—","Direction=H","UseDPDF=Y")</f>
        <v>—</v>
      </c>
      <c r="R37" s="13" t="str">
        <f>_xll.BDH("NBIX US Equity","ARD_WTD_AVG_SHS_BASIC_DILUTED","FQ3 2022","FQ3 2022","Currency=USD","Period=FQ","BEST_FPERIOD_OVERRIDE=FQ","FILING_STATUS=MR","Sort=A","Dates=H","DateFormat=P","Fill=—","Direction=H","UseDPDF=Y")</f>
        <v>—</v>
      </c>
      <c r="S37" s="13" t="str">
        <f>_xll.BDH("NBIX US Equity","ARD_WTD_AVG_SHS_BASIC_DILUTED","FQ4 2022","FQ4 2022","Currency=USD","Period=FQ","BEST_FPERIOD_OVERRIDE=FQ","FILING_STATUS=MR","Sort=A","Dates=H","DateFormat=P","Fill=—","Direction=H","UseDPDF=Y")</f>
        <v>—</v>
      </c>
      <c r="T37" s="13" t="str">
        <f>_xll.BDH("NBIX US Equity","ARD_WTD_AVG_SHS_BASIC_DILUTED","FQ1 2023","FQ1 2023","Currency=USD","Period=FQ","BEST_FPERIOD_OVERRIDE=FQ","FILING_STATUS=MR","Sort=A","Dates=H","DateFormat=P","Fill=—","Direction=H","UseDPDF=Y")</f>
        <v>—</v>
      </c>
      <c r="U37" s="13" t="str">
        <f>_xll.BDH("NBIX US Equity","ARD_WTD_AVG_SHS_BASIC_DILUTED","FQ2 2023","FQ2 2023","Currency=USD","Period=FQ","BEST_FPERIOD_OVERRIDE=FQ","FILING_STATUS=MR","Sort=A","Dates=H","DateFormat=P","Fill=—","Direction=H","UseDPDF=Y")</f>
        <v>—</v>
      </c>
      <c r="V37" s="13" t="str">
        <f>_xll.BDH("NBIX US Equity","ARD_WTD_AVG_SHS_BASIC_DILUTED","FQ3 2023","FQ3 2023","Currency=USD","Period=FQ","BEST_FPERIOD_OVERRIDE=FQ","FILING_STATUS=MR","Sort=A","Dates=H","DateFormat=P","Fill=—","Direction=H","UseDPDF=Y")</f>
        <v>—</v>
      </c>
      <c r="W37" s="13" t="str">
        <f>_xll.BDH("NBIX US Equity","ARD_WTD_AVG_SHS_BASIC_DILUTED","FQ4 2023","FQ4 2023","Currency=USD","Period=FQ","BEST_FPERIOD_OVERRIDE=FQ","FILING_STATUS=MR","Sort=A","Dates=H","DateFormat=P","Fill=—","Direction=H","UseDPDF=Y")</f>
        <v>—</v>
      </c>
      <c r="X37" s="13" t="str">
        <f>_xll.BDH("NBIX US Equity","ARD_WTD_AVG_SHS_BASIC_DILUTED","FQ1 2024","FQ1 2024","Currency=USD","Period=FQ","BEST_FPERIOD_OVERRIDE=FQ","FILING_STATUS=MR","Sort=A","Dates=H","DateFormat=P","Fill=—","Direction=H","UseDPDF=Y")</f>
        <v>—</v>
      </c>
      <c r="Y37" s="13" t="str">
        <f>_xll.BDH("NBIX US Equity","ARD_WTD_AVG_SHS_BASIC_DILUTED","FQ2 2024","FQ2 2024","Currency=USD","Period=FQ","BEST_FPERIOD_OVERRIDE=FQ","FILING_STATUS=MR","Sort=A","Dates=H","DateFormat=P","Fill=—","Direction=H","UseDPDF=Y")</f>
        <v>—</v>
      </c>
      <c r="Z37" s="13" t="str">
        <f>_xll.BDH("NBIX US Equity","ARD_WTD_AVG_SHS_BASIC_DILUTED","FQ3 2024","FQ3 2024","Currency=USD","Period=FQ","BEST_FPERIOD_OVERRIDE=FQ","FILING_STATUS=MR","Sort=A","Dates=H","DateFormat=P","Fill=—","Direction=H","UseDPDF=Y")</f>
        <v>—</v>
      </c>
      <c r="AA37" s="13" t="str">
        <f>_xll.BDH("NBIX US Equity","ARD_WTD_AVG_SHS_BASIC_DILUTED","FQ4 2024","FQ4 2024","Currency=USD","Period=FQ","BEST_FPERIOD_OVERRIDE=FQ","FILING_STATUS=MR","Sort=A","Dates=H","DateFormat=P","Fill=—","Direction=H","UseDPDF=Y")</f>
        <v>—</v>
      </c>
    </row>
    <row r="38" spans="1:27" x14ac:dyDescent="0.25">
      <c r="A38" s="10" t="s">
        <v>477</v>
      </c>
      <c r="B38" s="10" t="s">
        <v>478</v>
      </c>
      <c r="C38" s="13" t="str">
        <f>_xll.BDH("NBIX US Equity","ARD_NET_INC_AVAIL_COM_SHRHLDR","FQ4 2018","FQ4 2018","Currency=USD","Period=FQ","BEST_FPERIOD_OVERRIDE=FQ","FILING_STATUS=MR","SCALING_FORMAT=MLN","Sort=A","Dates=H","DateFormat=P","Fill=—","Direction=H","UseDPDF=Y")</f>
        <v>—</v>
      </c>
      <c r="D38" s="13" t="str">
        <f>_xll.BDH("NBIX US Equity","ARD_NET_INC_AVAIL_COM_SHRHLDR","FQ1 2019","FQ1 2019","Currency=USD","Period=FQ","BEST_FPERIOD_OVERRIDE=FQ","FILING_STATUS=MR","SCALING_FORMAT=MLN","Sort=A","Dates=H","DateFormat=P","Fill=—","Direction=H","UseDPDF=Y")</f>
        <v>—</v>
      </c>
      <c r="E38" s="13" t="str">
        <f>_xll.BDH("NBIX US Equity","ARD_NET_INC_AVAIL_COM_SHRHLDR","FQ2 2019","FQ2 2019","Currency=USD","Period=FQ","BEST_FPERIOD_OVERRIDE=FQ","FILING_STATUS=MR","SCALING_FORMAT=MLN","Sort=A","Dates=H","DateFormat=P","Fill=—","Direction=H","UseDPDF=Y")</f>
        <v>—</v>
      </c>
      <c r="F38" s="13" t="str">
        <f>_xll.BDH("NBIX US Equity","ARD_NET_INC_AVAIL_COM_SHRHLDR","FQ3 2019","FQ3 2019","Currency=USD","Period=FQ","BEST_FPERIOD_OVERRIDE=FQ","FILING_STATUS=MR","SCALING_FORMAT=MLN","Sort=A","Dates=H","DateFormat=P","Fill=—","Direction=H","UseDPDF=Y")</f>
        <v>—</v>
      </c>
      <c r="G38" s="13" t="str">
        <f>_xll.BDH("NBIX US Equity","ARD_NET_INC_AVAIL_COM_SHRHLDR","FQ4 2019","FQ4 2019","Currency=USD","Period=FQ","BEST_FPERIOD_OVERRIDE=FQ","FILING_STATUS=MR","SCALING_FORMAT=MLN","Sort=A","Dates=H","DateFormat=P","Fill=—","Direction=H","UseDPDF=Y")</f>
        <v>—</v>
      </c>
      <c r="H38" s="13" t="str">
        <f>_xll.BDH("NBIX US Equity","ARD_NET_INC_AVAIL_COM_SHRHLDR","FQ1 2020","FQ1 2020","Currency=USD","Period=FQ","BEST_FPERIOD_OVERRIDE=FQ","FILING_STATUS=MR","SCALING_FORMAT=MLN","Sort=A","Dates=H","DateFormat=P","Fill=—","Direction=H","UseDPDF=Y")</f>
        <v>—</v>
      </c>
      <c r="I38" s="13" t="str">
        <f>_xll.BDH("NBIX US Equity","ARD_NET_INC_AVAIL_COM_SHRHLDR","FQ2 2020","FQ2 2020","Currency=USD","Period=FQ","BEST_FPERIOD_OVERRIDE=FQ","FILING_STATUS=MR","SCALING_FORMAT=MLN","Sort=A","Dates=H","DateFormat=P","Fill=—","Direction=H","UseDPDF=Y")</f>
        <v>—</v>
      </c>
      <c r="J38" s="13">
        <f>_xll.BDH("NBIX US Equity","ARD_NET_INC_AVAIL_COM_SHRHLDR","FQ3 2020","FQ3 2020","Currency=USD","Period=FQ","BEST_FPERIOD_OVERRIDE=FQ","FILING_STATUS=MR","SCALING_FORMAT=MLN","Sort=A","Dates=H","DateFormat=P","Fill=—","Direction=H","UseDPDF=Y")</f>
        <v>-57.6</v>
      </c>
      <c r="K38" s="13" t="str">
        <f>_xll.BDH("NBIX US Equity","ARD_NET_INC_AVAIL_COM_SHRHLDR","FQ4 2020","FQ4 2020","Currency=USD","Period=FQ","BEST_FPERIOD_OVERRIDE=FQ","FILING_STATUS=MR","SCALING_FORMAT=MLN","Sort=A","Dates=H","DateFormat=P","Fill=—","Direction=H","UseDPDF=Y")</f>
        <v>—</v>
      </c>
      <c r="L38" s="13" t="str">
        <f>_xll.BDH("NBIX US Equity","ARD_NET_INC_AVAIL_COM_SHRHLDR","FQ1 2021","FQ1 2021","Currency=USD","Period=FQ","BEST_FPERIOD_OVERRIDE=FQ","FILING_STATUS=MR","SCALING_FORMAT=MLN","Sort=A","Dates=H","DateFormat=P","Fill=—","Direction=H","UseDPDF=Y")</f>
        <v>—</v>
      </c>
      <c r="M38" s="13" t="str">
        <f>_xll.BDH("NBIX US Equity","ARD_NET_INC_AVAIL_COM_SHRHLDR","FQ2 2021","FQ2 2021","Currency=USD","Period=FQ","BEST_FPERIOD_OVERRIDE=FQ","FILING_STATUS=MR","SCALING_FORMAT=MLN","Sort=A","Dates=H","DateFormat=P","Fill=—","Direction=H","UseDPDF=Y")</f>
        <v>—</v>
      </c>
      <c r="N38" s="13">
        <f>_xll.BDH("NBIX US Equity","ARD_NET_INC_AVAIL_COM_SHRHLDR","FQ3 2021","FQ3 2021","Currency=USD","Period=FQ","BEST_FPERIOD_OVERRIDE=FQ","FILING_STATUS=MR","SCALING_FORMAT=MLN","Sort=A","Dates=H","DateFormat=P","Fill=—","Direction=H","UseDPDF=Y")</f>
        <v>22.5</v>
      </c>
      <c r="O38" s="13">
        <f>_xll.BDH("NBIX US Equity","ARD_NET_INC_AVAIL_COM_SHRHLDR","FQ4 2021","FQ4 2021","Currency=USD","Period=FQ","BEST_FPERIOD_OVERRIDE=FQ","FILING_STATUS=MR","SCALING_FORMAT=MLN","Sort=A","Dates=H","DateFormat=P","Fill=—","Direction=H","UseDPDF=Y")</f>
        <v>-7.3</v>
      </c>
      <c r="P38" s="13">
        <f>_xll.BDH("NBIX US Equity","ARD_NET_INC_AVAIL_COM_SHRHLDR","FQ1 2022","FQ1 2022","Currency=USD","Period=FQ","BEST_FPERIOD_OVERRIDE=FQ","FILING_STATUS=MR","SCALING_FORMAT=MLN","Sort=A","Dates=H","DateFormat=P","Fill=—","Direction=H","UseDPDF=Y")</f>
        <v>13.9</v>
      </c>
      <c r="Q38" s="13">
        <f>_xll.BDH("NBIX US Equity","ARD_NET_INC_AVAIL_COM_SHRHLDR","FQ2 2022","FQ2 2022","Currency=USD","Period=FQ","BEST_FPERIOD_OVERRIDE=FQ","FILING_STATUS=MR","SCALING_FORMAT=MLN","Sort=A","Dates=H","DateFormat=P","Fill=—","Direction=H","UseDPDF=Y")</f>
        <v>-16.899999999999999</v>
      </c>
      <c r="R38" s="13">
        <f>_xll.BDH("NBIX US Equity","ARD_NET_INC_AVAIL_COM_SHRHLDR","FQ3 2022","FQ3 2022","Currency=USD","Period=FQ","BEST_FPERIOD_OVERRIDE=FQ","FILING_STATUS=MR","SCALING_FORMAT=MLN","Sort=A","Dates=H","DateFormat=P","Fill=—","Direction=H","UseDPDF=Y")</f>
        <v>68.5</v>
      </c>
      <c r="S38" s="13">
        <f>_xll.BDH("NBIX US Equity","ARD_NET_INC_AVAIL_COM_SHRHLDR","FQ4 2022","FQ4 2022","Currency=USD","Period=FQ","BEST_FPERIOD_OVERRIDE=FQ","FILING_STATUS=MR","SCALING_FORMAT=MLN","Sort=A","Dates=H","DateFormat=P","Fill=—","Direction=H","UseDPDF=Y")</f>
        <v>89</v>
      </c>
      <c r="T38" s="13">
        <f>_xll.BDH("NBIX US Equity","ARD_NET_INC_AVAIL_COM_SHRHLDR","FQ1 2023","FQ1 2023","Currency=USD","Period=FQ","BEST_FPERIOD_OVERRIDE=FQ","FILING_STATUS=MR","SCALING_FORMAT=MLN","Sort=A","Dates=H","DateFormat=P","Fill=—","Direction=H","UseDPDF=Y")</f>
        <v>-76.599999999999994</v>
      </c>
      <c r="U38" s="13">
        <f>_xll.BDH("NBIX US Equity","ARD_NET_INC_AVAIL_COM_SHRHLDR","FQ2 2023","FQ2 2023","Currency=USD","Period=FQ","BEST_FPERIOD_OVERRIDE=FQ","FILING_STATUS=MR","SCALING_FORMAT=MLN","Sort=A","Dates=H","DateFormat=P","Fill=—","Direction=H","UseDPDF=Y")</f>
        <v>95.5</v>
      </c>
      <c r="V38" s="13">
        <f>_xll.BDH("NBIX US Equity","ARD_NET_INC_AVAIL_COM_SHRHLDR","FQ3 2023","FQ3 2023","Currency=USD","Period=FQ","BEST_FPERIOD_OVERRIDE=FQ","FILING_STATUS=MR","SCALING_FORMAT=MLN","Sort=A","Dates=H","DateFormat=P","Fill=—","Direction=H","UseDPDF=Y")</f>
        <v>83.1</v>
      </c>
      <c r="W38" s="13">
        <f>_xll.BDH("NBIX US Equity","ARD_NET_INC_AVAIL_COM_SHRHLDR","FQ4 2023","FQ4 2023","Currency=USD","Period=FQ","BEST_FPERIOD_OVERRIDE=FQ","FILING_STATUS=MR","SCALING_FORMAT=MLN","Sort=A","Dates=H","DateFormat=P","Fill=—","Direction=H","UseDPDF=Y")</f>
        <v>147.69999999999999</v>
      </c>
      <c r="X38" s="13">
        <f>_xll.BDH("NBIX US Equity","ARD_NET_INC_AVAIL_COM_SHRHLDR","FQ1 2024","FQ1 2024","Currency=USD","Period=FQ","BEST_FPERIOD_OVERRIDE=FQ","FILING_STATUS=MR","SCALING_FORMAT=MLN","Sort=A","Dates=H","DateFormat=P","Fill=—","Direction=H","UseDPDF=Y")</f>
        <v>43.4</v>
      </c>
      <c r="Y38" s="13">
        <f>_xll.BDH("NBIX US Equity","ARD_NET_INC_AVAIL_COM_SHRHLDR","FQ2 2024","FQ2 2024","Currency=USD","Period=FQ","BEST_FPERIOD_OVERRIDE=FQ","FILING_STATUS=MR","SCALING_FORMAT=MLN","Sort=A","Dates=H","DateFormat=P","Fill=—","Direction=H","UseDPDF=Y")</f>
        <v>65</v>
      </c>
      <c r="Z38" s="13" t="str">
        <f>_xll.BDH("NBIX US Equity","ARD_NET_INC_AVAIL_COM_SHRHLDR","FQ3 2024","FQ3 2024","Currency=USD","Period=FQ","BEST_FPERIOD_OVERRIDE=FQ","FILING_STATUS=MR","SCALING_FORMAT=MLN","Sort=A","Dates=H","DateFormat=P","Fill=—","Direction=H","UseDPDF=Y")</f>
        <v>—</v>
      </c>
      <c r="AA38" s="13">
        <f>_xll.BDH("NBIX US Equity","ARD_NET_INC_AVAIL_COM_SHRHLDR","FQ4 2024","FQ4 2024","Currency=USD","Period=FQ","BEST_FPERIOD_OVERRIDE=FQ","FILING_STATUS=MR","SCALING_FORMAT=MLN","Sort=A","Dates=H","DateFormat=P","Fill=—","Direction=H","UseDPDF=Y")</f>
        <v>103.1</v>
      </c>
    </row>
    <row r="39" spans="1:27" x14ac:dyDescent="0.25">
      <c r="A39" s="10" t="s">
        <v>479</v>
      </c>
      <c r="B39" s="10" t="s">
        <v>480</v>
      </c>
      <c r="C39" s="13" t="str">
        <f>_xll.BDH("NBIX US Equity","ARD_PROF_AFTER_TAX_BEF_MINORITY","FQ4 2018","FQ4 2018","Currency=USD","Period=FQ","BEST_FPERIOD_OVERRIDE=FQ","FILING_STATUS=MR","SCALING_FORMAT=MLN","Sort=A","Dates=H","DateFormat=P","Fill=—","Direction=H","UseDPDF=Y")</f>
        <v>—</v>
      </c>
      <c r="D39" s="13" t="str">
        <f>_xll.BDH("NBIX US Equity","ARD_PROF_AFTER_TAX_BEF_MINORITY","FQ1 2019","FQ1 2019","Currency=USD","Period=FQ","BEST_FPERIOD_OVERRIDE=FQ","FILING_STATUS=MR","SCALING_FORMAT=MLN","Sort=A","Dates=H","DateFormat=P","Fill=—","Direction=H","UseDPDF=Y")</f>
        <v>—</v>
      </c>
      <c r="E39" s="13" t="str">
        <f>_xll.BDH("NBIX US Equity","ARD_PROF_AFTER_TAX_BEF_MINORITY","FQ2 2019","FQ2 2019","Currency=USD","Period=FQ","BEST_FPERIOD_OVERRIDE=FQ","FILING_STATUS=MR","SCALING_FORMAT=MLN","Sort=A","Dates=H","DateFormat=P","Fill=—","Direction=H","UseDPDF=Y")</f>
        <v>—</v>
      </c>
      <c r="F39" s="13" t="str">
        <f>_xll.BDH("NBIX US Equity","ARD_PROF_AFTER_TAX_BEF_MINORITY","FQ3 2019","FQ3 2019","Currency=USD","Period=FQ","BEST_FPERIOD_OVERRIDE=FQ","FILING_STATUS=MR","SCALING_FORMAT=MLN","Sort=A","Dates=H","DateFormat=P","Fill=—","Direction=H","UseDPDF=Y")</f>
        <v>—</v>
      </c>
      <c r="G39" s="13" t="str">
        <f>_xll.BDH("NBIX US Equity","ARD_PROF_AFTER_TAX_BEF_MINORITY","FQ4 2019","FQ4 2019","Currency=USD","Period=FQ","BEST_FPERIOD_OVERRIDE=FQ","FILING_STATUS=MR","SCALING_FORMAT=MLN","Sort=A","Dates=H","DateFormat=P","Fill=—","Direction=H","UseDPDF=Y")</f>
        <v>—</v>
      </c>
      <c r="H39" s="13" t="str">
        <f>_xll.BDH("NBIX US Equity","ARD_PROF_AFTER_TAX_BEF_MINORITY","FQ1 2020","FQ1 2020","Currency=USD","Period=FQ","BEST_FPERIOD_OVERRIDE=FQ","FILING_STATUS=MR","SCALING_FORMAT=MLN","Sort=A","Dates=H","DateFormat=P","Fill=—","Direction=H","UseDPDF=Y")</f>
        <v>—</v>
      </c>
      <c r="I39" s="13" t="str">
        <f>_xll.BDH("NBIX US Equity","ARD_PROF_AFTER_TAX_BEF_MINORITY","FQ2 2020","FQ2 2020","Currency=USD","Period=FQ","BEST_FPERIOD_OVERRIDE=FQ","FILING_STATUS=MR","SCALING_FORMAT=MLN","Sort=A","Dates=H","DateFormat=P","Fill=—","Direction=H","UseDPDF=Y")</f>
        <v>—</v>
      </c>
      <c r="J39" s="13">
        <f>_xll.BDH("NBIX US Equity","ARD_PROF_AFTER_TAX_BEF_MINORITY","FQ3 2020","FQ3 2020","Currency=USD","Period=FQ","BEST_FPERIOD_OVERRIDE=FQ","FILING_STATUS=MR","SCALING_FORMAT=MLN","Sort=A","Dates=H","DateFormat=P","Fill=—","Direction=H","UseDPDF=Y")</f>
        <v>-57.6</v>
      </c>
      <c r="K39" s="13" t="str">
        <f>_xll.BDH("NBIX US Equity","ARD_PROF_AFTER_TAX_BEF_MINORITY","FQ4 2020","FQ4 2020","Currency=USD","Period=FQ","BEST_FPERIOD_OVERRIDE=FQ","FILING_STATUS=MR","SCALING_FORMAT=MLN","Sort=A","Dates=H","DateFormat=P","Fill=—","Direction=H","UseDPDF=Y")</f>
        <v>—</v>
      </c>
      <c r="L39" s="13" t="str">
        <f>_xll.BDH("NBIX US Equity","ARD_PROF_AFTER_TAX_BEF_MINORITY","FQ1 2021","FQ1 2021","Currency=USD","Period=FQ","BEST_FPERIOD_OVERRIDE=FQ","FILING_STATUS=MR","SCALING_FORMAT=MLN","Sort=A","Dates=H","DateFormat=P","Fill=—","Direction=H","UseDPDF=Y")</f>
        <v>—</v>
      </c>
      <c r="M39" s="13" t="str">
        <f>_xll.BDH("NBIX US Equity","ARD_PROF_AFTER_TAX_BEF_MINORITY","FQ2 2021","FQ2 2021","Currency=USD","Period=FQ","BEST_FPERIOD_OVERRIDE=FQ","FILING_STATUS=MR","SCALING_FORMAT=MLN","Sort=A","Dates=H","DateFormat=P","Fill=—","Direction=H","UseDPDF=Y")</f>
        <v>—</v>
      </c>
      <c r="N39" s="13">
        <f>_xll.BDH("NBIX US Equity","ARD_PROF_AFTER_TAX_BEF_MINORITY","FQ3 2021","FQ3 2021","Currency=USD","Period=FQ","BEST_FPERIOD_OVERRIDE=FQ","FILING_STATUS=MR","SCALING_FORMAT=MLN","Sort=A","Dates=H","DateFormat=P","Fill=—","Direction=H","UseDPDF=Y")</f>
        <v>22.5</v>
      </c>
      <c r="O39" s="13">
        <f>_xll.BDH("NBIX US Equity","ARD_PROF_AFTER_TAX_BEF_MINORITY","FQ4 2021","FQ4 2021","Currency=USD","Period=FQ","BEST_FPERIOD_OVERRIDE=FQ","FILING_STATUS=MR","SCALING_FORMAT=MLN","Sort=A","Dates=H","DateFormat=P","Fill=—","Direction=H","UseDPDF=Y")</f>
        <v>-7.3</v>
      </c>
      <c r="P39" s="13">
        <f>_xll.BDH("NBIX US Equity","ARD_PROF_AFTER_TAX_BEF_MINORITY","FQ1 2022","FQ1 2022","Currency=USD","Period=FQ","BEST_FPERIOD_OVERRIDE=FQ","FILING_STATUS=MR","SCALING_FORMAT=MLN","Sort=A","Dates=H","DateFormat=P","Fill=—","Direction=H","UseDPDF=Y")</f>
        <v>13.9</v>
      </c>
      <c r="Q39" s="13" t="str">
        <f>_xll.BDH("NBIX US Equity","ARD_PROF_AFTER_TAX_BEF_MINORITY","FQ2 2022","FQ2 2022","Currency=USD","Period=FQ","BEST_FPERIOD_OVERRIDE=FQ","FILING_STATUS=MR","SCALING_FORMAT=MLN","Sort=A","Dates=H","DateFormat=P","Fill=—","Direction=H","UseDPDF=Y")</f>
        <v>—</v>
      </c>
      <c r="R39" s="13">
        <f>_xll.BDH("NBIX US Equity","ARD_PROF_AFTER_TAX_BEF_MINORITY","FQ3 2022","FQ3 2022","Currency=USD","Period=FQ","BEST_FPERIOD_OVERRIDE=FQ","FILING_STATUS=MR","SCALING_FORMAT=MLN","Sort=A","Dates=H","DateFormat=P","Fill=—","Direction=H","UseDPDF=Y")</f>
        <v>68.5</v>
      </c>
      <c r="S39" s="13">
        <f>_xll.BDH("NBIX US Equity","ARD_PROF_AFTER_TAX_BEF_MINORITY","FQ4 2022","FQ4 2022","Currency=USD","Period=FQ","BEST_FPERIOD_OVERRIDE=FQ","FILING_STATUS=MR","SCALING_FORMAT=MLN","Sort=A","Dates=H","DateFormat=P","Fill=—","Direction=H","UseDPDF=Y")</f>
        <v>89</v>
      </c>
      <c r="T39" s="13">
        <f>_xll.BDH("NBIX US Equity","ARD_PROF_AFTER_TAX_BEF_MINORITY","FQ1 2023","FQ1 2023","Currency=USD","Period=FQ","BEST_FPERIOD_OVERRIDE=FQ","FILING_STATUS=MR","SCALING_FORMAT=MLN","Sort=A","Dates=H","DateFormat=P","Fill=—","Direction=H","UseDPDF=Y")</f>
        <v>-76.599999999999994</v>
      </c>
      <c r="U39" s="13">
        <f>_xll.BDH("NBIX US Equity","ARD_PROF_AFTER_TAX_BEF_MINORITY","FQ2 2023","FQ2 2023","Currency=USD","Period=FQ","BEST_FPERIOD_OVERRIDE=FQ","FILING_STATUS=MR","SCALING_FORMAT=MLN","Sort=A","Dates=H","DateFormat=P","Fill=—","Direction=H","UseDPDF=Y")</f>
        <v>95.5</v>
      </c>
      <c r="V39" s="13">
        <f>_xll.BDH("NBIX US Equity","ARD_PROF_AFTER_TAX_BEF_MINORITY","FQ3 2023","FQ3 2023","Currency=USD","Period=FQ","BEST_FPERIOD_OVERRIDE=FQ","FILING_STATUS=MR","SCALING_FORMAT=MLN","Sort=A","Dates=H","DateFormat=P","Fill=—","Direction=H","UseDPDF=Y")</f>
        <v>83.1</v>
      </c>
      <c r="W39" s="13">
        <f>_xll.BDH("NBIX US Equity","ARD_PROF_AFTER_TAX_BEF_MINORITY","FQ4 2023","FQ4 2023","Currency=USD","Period=FQ","BEST_FPERIOD_OVERRIDE=FQ","FILING_STATUS=MR","SCALING_FORMAT=MLN","Sort=A","Dates=H","DateFormat=P","Fill=—","Direction=H","UseDPDF=Y")</f>
        <v>147.69999999999999</v>
      </c>
      <c r="X39" s="13">
        <f>_xll.BDH("NBIX US Equity","ARD_PROF_AFTER_TAX_BEF_MINORITY","FQ1 2024","FQ1 2024","Currency=USD","Period=FQ","BEST_FPERIOD_OVERRIDE=FQ","FILING_STATUS=MR","SCALING_FORMAT=MLN","Sort=A","Dates=H","DateFormat=P","Fill=—","Direction=H","UseDPDF=Y")</f>
        <v>43.4</v>
      </c>
      <c r="Y39" s="13">
        <f>_xll.BDH("NBIX US Equity","ARD_PROF_AFTER_TAX_BEF_MINORITY","FQ2 2024","FQ2 2024","Currency=USD","Period=FQ","BEST_FPERIOD_OVERRIDE=FQ","FILING_STATUS=MR","SCALING_FORMAT=MLN","Sort=A","Dates=H","DateFormat=P","Fill=—","Direction=H","UseDPDF=Y")</f>
        <v>65</v>
      </c>
      <c r="Z39" s="13">
        <f>_xll.BDH("NBIX US Equity","ARD_PROF_AFTER_TAX_BEF_MINORITY","FQ3 2024","FQ3 2024","Currency=USD","Period=FQ","BEST_FPERIOD_OVERRIDE=FQ","FILING_STATUS=MR","SCALING_FORMAT=MLN","Sort=A","Dates=H","DateFormat=P","Fill=—","Direction=H","UseDPDF=Y")</f>
        <v>129.80000000000001</v>
      </c>
      <c r="AA39" s="13">
        <f>_xll.BDH("NBIX US Equity","ARD_PROF_AFTER_TAX_BEF_MINORITY","FQ4 2024","FQ4 2024","Currency=USD","Period=FQ","BEST_FPERIOD_OVERRIDE=FQ","FILING_STATUS=MR","SCALING_FORMAT=MLN","Sort=A","Dates=H","DateFormat=P","Fill=—","Direction=H","UseDPDF=Y")</f>
        <v>103.1</v>
      </c>
    </row>
    <row r="40" spans="1:27" x14ac:dyDescent="0.25">
      <c r="A40" s="10" t="s">
        <v>481</v>
      </c>
      <c r="B40" s="10" t="s">
        <v>482</v>
      </c>
      <c r="C40" s="13">
        <f>_xll.BDH("NBIX US Equity","ARD_CUMULATIVE_NET_INCOME","FQ4 2018","FQ4 2018","Currency=USD","Period=FQ","BEST_FPERIOD_OVERRIDE=FQ","FILING_STATUS=MR","SCALING_FORMAT=MLN","Sort=A","Dates=H","DateFormat=P","Fill=—","Direction=H","UseDPDF=Y")</f>
        <v>21.111000000000001</v>
      </c>
      <c r="D40" s="13">
        <f>_xll.BDH("NBIX US Equity","ARD_CUMULATIVE_NET_INCOME","FQ1 2019","FQ1 2019","Currency=USD","Period=FQ","BEST_FPERIOD_OVERRIDE=FQ","FILING_STATUS=MR","SCALING_FORMAT=MLN","Sort=A","Dates=H","DateFormat=P","Fill=—","Direction=H","UseDPDF=Y")</f>
        <v>-102.11499999999999</v>
      </c>
      <c r="E40" s="13">
        <f>_xll.BDH("NBIX US Equity","ARD_CUMULATIVE_NET_INCOME","FQ2 2019","FQ2 2019","Currency=USD","Period=FQ","BEST_FPERIOD_OVERRIDE=FQ","FILING_STATUS=MR","SCALING_FORMAT=MLN","Sort=A","Dates=H","DateFormat=P","Fill=—","Direction=H","UseDPDF=Y")</f>
        <v>-50.777000000000001</v>
      </c>
      <c r="F40" s="13">
        <f>_xll.BDH("NBIX US Equity","ARD_CUMULATIVE_NET_INCOME","FQ3 2019","FQ3 2019","Currency=USD","Period=FQ","BEST_FPERIOD_OVERRIDE=FQ","FILING_STATUS=MR","SCALING_FORMAT=MLN","Sort=A","Dates=H","DateFormat=P","Fill=—","Direction=H","UseDPDF=Y")</f>
        <v>3.012</v>
      </c>
      <c r="G40" s="13">
        <f>_xll.BDH("NBIX US Equity","ARD_CUMULATIVE_NET_INCOME","FQ4 2019","FQ4 2019","Currency=USD","Period=FQ","BEST_FPERIOD_OVERRIDE=FQ","FILING_STATUS=MR","SCALING_FORMAT=MLN","Sort=A","Dates=H","DateFormat=P","Fill=—","Direction=H","UseDPDF=Y")</f>
        <v>37</v>
      </c>
      <c r="H40" s="13">
        <f>_xll.BDH("NBIX US Equity","ARD_CUMULATIVE_NET_INCOME","FQ1 2020","FQ1 2020","Currency=USD","Period=FQ","BEST_FPERIOD_OVERRIDE=FQ","FILING_STATUS=MR","SCALING_FORMAT=MLN","Sort=A","Dates=H","DateFormat=P","Fill=—","Direction=H","UseDPDF=Y")</f>
        <v>37.4</v>
      </c>
      <c r="I40" s="13">
        <f>_xll.BDH("NBIX US Equity","ARD_CUMULATIVE_NET_INCOME","FQ2 2020","FQ2 2020","Currency=USD","Period=FQ","BEST_FPERIOD_OVERRIDE=FQ","FILING_STATUS=MR","SCALING_FORMAT=MLN","Sort=A","Dates=H","DateFormat=P","Fill=—","Direction=H","UseDPDF=Y")</f>
        <v>117</v>
      </c>
      <c r="J40" s="13">
        <f>_xll.BDH("NBIX US Equity","ARD_CUMULATIVE_NET_INCOME","FQ3 2020","FQ3 2020","Currency=USD","Period=FQ","BEST_FPERIOD_OVERRIDE=FQ","FILING_STATUS=MR","SCALING_FORMAT=MLN","Sort=A","Dates=H","DateFormat=P","Fill=—","Direction=H","UseDPDF=Y")</f>
        <v>59.4</v>
      </c>
      <c r="K40" s="13">
        <f>_xll.BDH("NBIX US Equity","ARD_CUMULATIVE_NET_INCOME","FQ4 2020","FQ4 2020","Currency=USD","Period=FQ","BEST_FPERIOD_OVERRIDE=FQ","FILING_STATUS=MR","SCALING_FORMAT=MLN","Sort=A","Dates=H","DateFormat=P","Fill=—","Direction=H","UseDPDF=Y")</f>
        <v>347.9</v>
      </c>
      <c r="L40" s="13">
        <f>_xll.BDH("NBIX US Equity","ARD_CUMULATIVE_NET_INCOME","FQ1 2021","FQ1 2021","Currency=USD","Period=FQ","BEST_FPERIOD_OVERRIDE=FQ","FILING_STATUS=MR","SCALING_FORMAT=MLN","Sort=A","Dates=H","DateFormat=P","Fill=—","Direction=H","UseDPDF=Y")</f>
        <v>32.1</v>
      </c>
      <c r="M40" s="13">
        <f>_xll.BDH("NBIX US Equity","ARD_CUMULATIVE_NET_INCOME","FQ2 2021","FQ2 2021","Currency=USD","Period=FQ","BEST_FPERIOD_OVERRIDE=FQ","FILING_STATUS=MR","SCALING_FORMAT=MLN","Sort=A","Dates=H","DateFormat=P","Fill=—","Direction=H","UseDPDF=Y")</f>
        <v>74.400000000000006</v>
      </c>
      <c r="N40" s="13">
        <f>_xll.BDH("NBIX US Equity","ARD_CUMULATIVE_NET_INCOME","FQ3 2021","FQ3 2021","Currency=USD","Period=FQ","BEST_FPERIOD_OVERRIDE=FQ","FILING_STATUS=MR","SCALING_FORMAT=MLN","Sort=A","Dates=H","DateFormat=P","Fill=—","Direction=H","UseDPDF=Y")</f>
        <v>96.9</v>
      </c>
      <c r="O40" s="13">
        <f>_xll.BDH("NBIX US Equity","ARD_CUMULATIVE_NET_INCOME","FQ4 2021","FQ4 2021","Currency=USD","Period=FQ","BEST_FPERIOD_OVERRIDE=FQ","FILING_STATUS=MR","SCALING_FORMAT=MLN","Sort=A","Dates=H","DateFormat=P","Fill=—","Direction=H","UseDPDF=Y")</f>
        <v>89.6</v>
      </c>
      <c r="P40" s="13">
        <f>_xll.BDH("NBIX US Equity","ARD_CUMULATIVE_NET_INCOME","FQ1 2022","FQ1 2022","Currency=USD","Period=FQ","BEST_FPERIOD_OVERRIDE=FQ","FILING_STATUS=MR","SCALING_FORMAT=MLN","Sort=A","Dates=H","DateFormat=P","Fill=—","Direction=H","UseDPDF=Y")</f>
        <v>13.9</v>
      </c>
      <c r="Q40" s="13">
        <f>_xll.BDH("NBIX US Equity","ARD_CUMULATIVE_NET_INCOME","FQ2 2022","FQ2 2022","Currency=USD","Period=FQ","BEST_FPERIOD_OVERRIDE=FQ","FILING_STATUS=MR","SCALING_FORMAT=MLN","Sort=A","Dates=H","DateFormat=P","Fill=—","Direction=H","UseDPDF=Y")</f>
        <v>-3</v>
      </c>
      <c r="R40" s="13">
        <f>_xll.BDH("NBIX US Equity","ARD_CUMULATIVE_NET_INCOME","FQ3 2022","FQ3 2022","Currency=USD","Period=FQ","BEST_FPERIOD_OVERRIDE=FQ","FILING_STATUS=MR","SCALING_FORMAT=MLN","Sort=A","Dates=H","DateFormat=P","Fill=—","Direction=H","UseDPDF=Y")</f>
        <v>65.5</v>
      </c>
      <c r="S40" s="13">
        <f>_xll.BDH("NBIX US Equity","ARD_CUMULATIVE_NET_INCOME","FQ4 2022","FQ4 2022","Currency=USD","Period=FQ","BEST_FPERIOD_OVERRIDE=FQ","FILING_STATUS=MR","SCALING_FORMAT=MLN","Sort=A","Dates=H","DateFormat=P","Fill=—","Direction=H","UseDPDF=Y")</f>
        <v>154.5</v>
      </c>
      <c r="T40" s="13">
        <f>_xll.BDH("NBIX US Equity","ARD_CUMULATIVE_NET_INCOME","FQ1 2023","FQ1 2023","Currency=USD","Period=FQ","BEST_FPERIOD_OVERRIDE=FQ","FILING_STATUS=MR","SCALING_FORMAT=MLN","Sort=A","Dates=H","DateFormat=P","Fill=—","Direction=H","UseDPDF=Y")</f>
        <v>-76.599999999999994</v>
      </c>
      <c r="U40" s="13">
        <f>_xll.BDH("NBIX US Equity","ARD_CUMULATIVE_NET_INCOME","FQ2 2023","FQ2 2023","Currency=USD","Period=FQ","BEST_FPERIOD_OVERRIDE=FQ","FILING_STATUS=MR","SCALING_FORMAT=MLN","Sort=A","Dates=H","DateFormat=P","Fill=—","Direction=H","UseDPDF=Y")</f>
        <v>18.899999999999999</v>
      </c>
      <c r="V40" s="13">
        <f>_xll.BDH("NBIX US Equity","ARD_CUMULATIVE_NET_INCOME","FQ3 2023","FQ3 2023","Currency=USD","Period=FQ","BEST_FPERIOD_OVERRIDE=FQ","FILING_STATUS=MR","SCALING_FORMAT=MLN","Sort=A","Dates=H","DateFormat=P","Fill=—","Direction=H","UseDPDF=Y")</f>
        <v>102</v>
      </c>
      <c r="W40" s="13">
        <f>_xll.BDH("NBIX US Equity","ARD_CUMULATIVE_NET_INCOME","FQ4 2023","FQ4 2023","Currency=USD","Period=FQ","BEST_FPERIOD_OVERRIDE=FQ","FILING_STATUS=MR","SCALING_FORMAT=MLN","Sort=A","Dates=H","DateFormat=P","Fill=—","Direction=H","UseDPDF=Y")</f>
        <v>249.7</v>
      </c>
      <c r="X40" s="13">
        <f>_xll.BDH("NBIX US Equity","ARD_CUMULATIVE_NET_INCOME","FQ1 2024","FQ1 2024","Currency=USD","Period=FQ","BEST_FPERIOD_OVERRIDE=FQ","FILING_STATUS=MR","SCALING_FORMAT=MLN","Sort=A","Dates=H","DateFormat=P","Fill=—","Direction=H","UseDPDF=Y")</f>
        <v>43.4</v>
      </c>
      <c r="Y40" s="13">
        <f>_xll.BDH("NBIX US Equity","ARD_CUMULATIVE_NET_INCOME","FQ2 2024","FQ2 2024","Currency=USD","Period=FQ","BEST_FPERIOD_OVERRIDE=FQ","FILING_STATUS=MR","SCALING_FORMAT=MLN","Sort=A","Dates=H","DateFormat=P","Fill=—","Direction=H","UseDPDF=Y")</f>
        <v>108.4</v>
      </c>
      <c r="Z40" s="13">
        <f>_xll.BDH("NBIX US Equity","ARD_CUMULATIVE_NET_INCOME","FQ3 2024","FQ3 2024","Currency=USD","Period=FQ","BEST_FPERIOD_OVERRIDE=FQ","FILING_STATUS=MR","SCALING_FORMAT=MLN","Sort=A","Dates=H","DateFormat=P","Fill=—","Direction=H","UseDPDF=Y")</f>
        <v>238.2</v>
      </c>
      <c r="AA40" s="13">
        <f>_xll.BDH("NBIX US Equity","ARD_CUMULATIVE_NET_INCOME","FQ4 2024","FQ4 2024","Currency=USD","Period=FQ","BEST_FPERIOD_OVERRIDE=FQ","FILING_STATUS=MR","SCALING_FORMAT=MLN","Sort=A","Dates=H","DateFormat=P","Fill=—","Direction=H","UseDPDF=Y")</f>
        <v>341.3</v>
      </c>
    </row>
    <row r="41" spans="1:27" x14ac:dyDescent="0.25">
      <c r="A41" s="6" t="s">
        <v>159</v>
      </c>
      <c r="B41" s="6" t="s">
        <v>483</v>
      </c>
      <c r="C41" s="19">
        <f>_xll.BDH("NBIX US Equity","ARD_NET_INC","FQ4 2018","FQ4 2018","Currency=USD","Period=FQ","BEST_FPERIOD_OVERRIDE=FQ","FILING_STATUS=MR","SCALING_FORMAT=MLN","Sort=A","Dates=H","DateFormat=P","Fill=—","Direction=H","UseDPDF=Y")</f>
        <v>18.077999999999999</v>
      </c>
      <c r="D41" s="19">
        <f>_xll.BDH("NBIX US Equity","ARD_NET_INC","FQ1 2019","FQ1 2019","Currency=USD","Period=FQ","BEST_FPERIOD_OVERRIDE=FQ","FILING_STATUS=MR","SCALING_FORMAT=MLN","Sort=A","Dates=H","DateFormat=P","Fill=—","Direction=H","UseDPDF=Y")</f>
        <v>-102.11499999999999</v>
      </c>
      <c r="E41" s="19">
        <f>_xll.BDH("NBIX US Equity","ARD_NET_INC","FQ2 2019","FQ2 2019","Currency=USD","Period=FQ","BEST_FPERIOD_OVERRIDE=FQ","FILING_STATUS=MR","SCALING_FORMAT=MLN","Sort=A","Dates=H","DateFormat=P","Fill=—","Direction=H","UseDPDF=Y")</f>
        <v>51.338000000000001</v>
      </c>
      <c r="F41" s="19">
        <f>_xll.BDH("NBIX US Equity","ARD_NET_INC","FQ3 2019","FQ3 2019","Currency=USD","Period=FQ","BEST_FPERIOD_OVERRIDE=FQ","FILING_STATUS=MR","SCALING_FORMAT=MLN","Sort=A","Dates=H","DateFormat=P","Fill=—","Direction=H","UseDPDF=Y")</f>
        <v>53.789000000000001</v>
      </c>
      <c r="G41" s="19">
        <f>_xll.BDH("NBIX US Equity","ARD_NET_INC","FQ4 2019","FQ4 2019","Currency=USD","Period=FQ","BEST_FPERIOD_OVERRIDE=FQ","FILING_STATUS=MR","SCALING_FORMAT=MLN","Sort=A","Dates=H","DateFormat=P","Fill=—","Direction=H","UseDPDF=Y")</f>
        <v>34</v>
      </c>
      <c r="H41" s="19">
        <f>_xll.BDH("NBIX US Equity","ARD_NET_INC","FQ1 2020","FQ1 2020","Currency=USD","Period=FQ","BEST_FPERIOD_OVERRIDE=FQ","FILING_STATUS=MR","SCALING_FORMAT=MLN","Sort=A","Dates=H","DateFormat=P","Fill=—","Direction=H","UseDPDF=Y")</f>
        <v>37.4</v>
      </c>
      <c r="I41" s="19">
        <f>_xll.BDH("NBIX US Equity","ARD_NET_INC","FQ2 2020","FQ2 2020","Currency=USD","Period=FQ","BEST_FPERIOD_OVERRIDE=FQ","FILING_STATUS=MR","SCALING_FORMAT=MLN","Sort=A","Dates=H","DateFormat=P","Fill=—","Direction=H","UseDPDF=Y")</f>
        <v>79.599999999999994</v>
      </c>
      <c r="J41" s="19">
        <f>_xll.BDH("NBIX US Equity","ARD_NET_INC","FQ3 2020","FQ3 2020","Currency=USD","Period=FQ","BEST_FPERIOD_OVERRIDE=FQ","FILING_STATUS=MR","SCALING_FORMAT=MLN","Sort=A","Dates=H","DateFormat=P","Fill=—","Direction=H","UseDPDF=Y")</f>
        <v>-57.6</v>
      </c>
      <c r="K41" s="19">
        <f>_xll.BDH("NBIX US Equity","ARD_NET_INC","FQ4 2020","FQ4 2020","Currency=USD","Period=FQ","BEST_FPERIOD_OVERRIDE=FQ","FILING_STATUS=MR","SCALING_FORMAT=MLN","Sort=A","Dates=H","DateFormat=P","Fill=—","Direction=H","UseDPDF=Y")</f>
        <v>347.9</v>
      </c>
      <c r="L41" s="19">
        <f>_xll.BDH("NBIX US Equity","ARD_NET_INC","FQ1 2021","FQ1 2021","Currency=USD","Period=FQ","BEST_FPERIOD_OVERRIDE=FQ","FILING_STATUS=MR","SCALING_FORMAT=MLN","Sort=A","Dates=H","DateFormat=P","Fill=—","Direction=H","UseDPDF=Y")</f>
        <v>32.1</v>
      </c>
      <c r="M41" s="19">
        <f>_xll.BDH("NBIX US Equity","ARD_NET_INC","FQ2 2021","FQ2 2021","Currency=USD","Period=FQ","BEST_FPERIOD_OVERRIDE=FQ","FILING_STATUS=MR","SCALING_FORMAT=MLN","Sort=A","Dates=H","DateFormat=P","Fill=—","Direction=H","UseDPDF=Y")</f>
        <v>42.3</v>
      </c>
      <c r="N41" s="19">
        <f>_xll.BDH("NBIX US Equity","ARD_NET_INC","FQ3 2021","FQ3 2021","Currency=USD","Period=FQ","BEST_FPERIOD_OVERRIDE=FQ","FILING_STATUS=MR","SCALING_FORMAT=MLN","Sort=A","Dates=H","DateFormat=P","Fill=—","Direction=H","UseDPDF=Y")</f>
        <v>22.5</v>
      </c>
      <c r="O41" s="19">
        <f>_xll.BDH("NBIX US Equity","ARD_NET_INC","FQ4 2021","FQ4 2021","Currency=USD","Period=FQ","BEST_FPERIOD_OVERRIDE=FQ","FILING_STATUS=MR","SCALING_FORMAT=MLN","Sort=A","Dates=H","DateFormat=P","Fill=—","Direction=H","UseDPDF=Y")</f>
        <v>-7.3</v>
      </c>
      <c r="P41" s="19">
        <f>_xll.BDH("NBIX US Equity","ARD_NET_INC","FQ1 2022","FQ1 2022","Currency=USD","Period=FQ","BEST_FPERIOD_OVERRIDE=FQ","FILING_STATUS=MR","SCALING_FORMAT=MLN","Sort=A","Dates=H","DateFormat=P","Fill=—","Direction=H","UseDPDF=Y")</f>
        <v>13.9</v>
      </c>
      <c r="Q41" s="19">
        <f>_xll.BDH("NBIX US Equity","ARD_NET_INC","FQ2 2022","FQ2 2022","Currency=USD","Period=FQ","BEST_FPERIOD_OVERRIDE=FQ","FILING_STATUS=MR","SCALING_FORMAT=MLN","Sort=A","Dates=H","DateFormat=P","Fill=—","Direction=H","UseDPDF=Y")</f>
        <v>-16.899999999999999</v>
      </c>
      <c r="R41" s="19">
        <f>_xll.BDH("NBIX US Equity","ARD_NET_INC","FQ3 2022","FQ3 2022","Currency=USD","Period=FQ","BEST_FPERIOD_OVERRIDE=FQ","FILING_STATUS=MR","SCALING_FORMAT=MLN","Sort=A","Dates=H","DateFormat=P","Fill=—","Direction=H","UseDPDF=Y")</f>
        <v>68.5</v>
      </c>
      <c r="S41" s="19">
        <f>_xll.BDH("NBIX US Equity","ARD_NET_INC","FQ4 2022","FQ4 2022","Currency=USD","Period=FQ","BEST_FPERIOD_OVERRIDE=FQ","FILING_STATUS=MR","SCALING_FORMAT=MLN","Sort=A","Dates=H","DateFormat=P","Fill=—","Direction=H","UseDPDF=Y")</f>
        <v>89</v>
      </c>
      <c r="T41" s="19">
        <f>_xll.BDH("NBIX US Equity","ARD_NET_INC","FQ1 2023","FQ1 2023","Currency=USD","Period=FQ","BEST_FPERIOD_OVERRIDE=FQ","FILING_STATUS=MR","SCALING_FORMAT=MLN","Sort=A","Dates=H","DateFormat=P","Fill=—","Direction=H","UseDPDF=Y")</f>
        <v>-76.599999999999994</v>
      </c>
      <c r="U41" s="19">
        <f>_xll.BDH("NBIX US Equity","ARD_NET_INC","FQ2 2023","FQ2 2023","Currency=USD","Period=FQ","BEST_FPERIOD_OVERRIDE=FQ","FILING_STATUS=MR","SCALING_FORMAT=MLN","Sort=A","Dates=H","DateFormat=P","Fill=—","Direction=H","UseDPDF=Y")</f>
        <v>95.5</v>
      </c>
      <c r="V41" s="19">
        <f>_xll.BDH("NBIX US Equity","ARD_NET_INC","FQ3 2023","FQ3 2023","Currency=USD","Period=FQ","BEST_FPERIOD_OVERRIDE=FQ","FILING_STATUS=MR","SCALING_FORMAT=MLN","Sort=A","Dates=H","DateFormat=P","Fill=—","Direction=H","UseDPDF=Y")</f>
        <v>83.1</v>
      </c>
      <c r="W41" s="19">
        <f>_xll.BDH("NBIX US Equity","ARD_NET_INC","FQ4 2023","FQ4 2023","Currency=USD","Period=FQ","BEST_FPERIOD_OVERRIDE=FQ","FILING_STATUS=MR","SCALING_FORMAT=MLN","Sort=A","Dates=H","DateFormat=P","Fill=—","Direction=H","UseDPDF=Y")</f>
        <v>147.69999999999999</v>
      </c>
      <c r="X41" s="19">
        <f>_xll.BDH("NBIX US Equity","ARD_NET_INC","FQ1 2024","FQ1 2024","Currency=USD","Period=FQ","BEST_FPERIOD_OVERRIDE=FQ","FILING_STATUS=MR","SCALING_FORMAT=MLN","Sort=A","Dates=H","DateFormat=P","Fill=—","Direction=H","UseDPDF=Y")</f>
        <v>43.4</v>
      </c>
      <c r="Y41" s="19">
        <f>_xll.BDH("NBIX US Equity","ARD_NET_INC","FQ2 2024","FQ2 2024","Currency=USD","Period=FQ","BEST_FPERIOD_OVERRIDE=FQ","FILING_STATUS=MR","SCALING_FORMAT=MLN","Sort=A","Dates=H","DateFormat=P","Fill=—","Direction=H","UseDPDF=Y")</f>
        <v>65</v>
      </c>
      <c r="Z41" s="19">
        <f>_xll.BDH("NBIX US Equity","ARD_NET_INC","FQ3 2024","FQ3 2024","Currency=USD","Period=FQ","BEST_FPERIOD_OVERRIDE=FQ","FILING_STATUS=MR","SCALING_FORMAT=MLN","Sort=A","Dates=H","DateFormat=P","Fill=—","Direction=H","UseDPDF=Y")</f>
        <v>129.80000000000001</v>
      </c>
      <c r="AA41" s="19">
        <f>_xll.BDH("NBIX US Equity","ARD_NET_INC","FQ4 2024","FQ4 2024","Currency=USD","Period=FQ","BEST_FPERIOD_OVERRIDE=FQ","FILING_STATUS=MR","SCALING_FORMAT=MLN","Sort=A","Dates=H","DateFormat=P","Fill=—","Direction=H","UseDPDF=Y")</f>
        <v>103.1</v>
      </c>
    </row>
    <row r="42" spans="1:27" x14ac:dyDescent="0.25">
      <c r="A42" s="10" t="s">
        <v>484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5">
      <c r="A43" s="10" t="s">
        <v>485</v>
      </c>
      <c r="B43" s="10" t="s">
        <v>486</v>
      </c>
      <c r="C43" s="13" t="str">
        <f>_xll.BDH("NBIX US Equity","ARD_FOR_CRNCY_TRANSLATION_ADJ","FQ4 2018","FQ4 2018","Currency=USD","Period=FQ","BEST_FPERIOD_OVERRIDE=FQ","FILING_STATUS=MR","SCALING_FORMAT=MLN","Sort=A","Dates=H","DateFormat=P","Fill=—","Direction=H","UseDPDF=Y")</f>
        <v>—</v>
      </c>
      <c r="D43" s="13" t="str">
        <f>_xll.BDH("NBIX US Equity","ARD_FOR_CRNCY_TRANSLATION_ADJ","FQ1 2019","FQ1 2019","Currency=USD","Period=FQ","BEST_FPERIOD_OVERRIDE=FQ","FILING_STATUS=MR","SCALING_FORMAT=MLN","Sort=A","Dates=H","DateFormat=P","Fill=—","Direction=H","UseDPDF=Y")</f>
        <v>—</v>
      </c>
      <c r="E43" s="13" t="str">
        <f>_xll.BDH("NBIX US Equity","ARD_FOR_CRNCY_TRANSLATION_ADJ","FQ2 2019","FQ2 2019","Currency=USD","Period=FQ","BEST_FPERIOD_OVERRIDE=FQ","FILING_STATUS=MR","SCALING_FORMAT=MLN","Sort=A","Dates=H","DateFormat=P","Fill=—","Direction=H","UseDPDF=Y")</f>
        <v>—</v>
      </c>
      <c r="F43" s="13" t="str">
        <f>_xll.BDH("NBIX US Equity","ARD_FOR_CRNCY_TRANSLATION_ADJ","FQ3 2019","FQ3 2019","Currency=USD","Period=FQ","BEST_FPERIOD_OVERRIDE=FQ","FILING_STATUS=MR","SCALING_FORMAT=MLN","Sort=A","Dates=H","DateFormat=P","Fill=—","Direction=H","UseDPDF=Y")</f>
        <v>—</v>
      </c>
      <c r="G43" s="13" t="str">
        <f>_xll.BDH("NBIX US Equity","ARD_FOR_CRNCY_TRANSLATION_ADJ","FQ4 2019","FQ4 2019","Currency=USD","Period=FQ","BEST_FPERIOD_OVERRIDE=FQ","FILING_STATUS=MR","SCALING_FORMAT=MLN","Sort=A","Dates=H","DateFormat=P","Fill=—","Direction=H","UseDPDF=Y")</f>
        <v>—</v>
      </c>
      <c r="H43" s="13" t="str">
        <f>_xll.BDH("NBIX US Equity","ARD_FOR_CRNCY_TRANSLATION_ADJ","FQ1 2020","FQ1 2020","Currency=USD","Period=FQ","BEST_FPERIOD_OVERRIDE=FQ","FILING_STATUS=MR","SCALING_FORMAT=MLN","Sort=A","Dates=H","DateFormat=P","Fill=—","Direction=H","UseDPDF=Y")</f>
        <v>—</v>
      </c>
      <c r="I43" s="13" t="str">
        <f>_xll.BDH("NBIX US Equity","ARD_FOR_CRNCY_TRANSLATION_ADJ","FQ2 2020","FQ2 2020","Currency=USD","Period=FQ","BEST_FPERIOD_OVERRIDE=FQ","FILING_STATUS=MR","SCALING_FORMAT=MLN","Sort=A","Dates=H","DateFormat=P","Fill=—","Direction=H","UseDPDF=Y")</f>
        <v>—</v>
      </c>
      <c r="J43" s="13" t="str">
        <f>_xll.BDH("NBIX US Equity","ARD_FOR_CRNCY_TRANSLATION_ADJ","FQ3 2020","FQ3 2020","Currency=USD","Period=FQ","BEST_FPERIOD_OVERRIDE=FQ","FILING_STATUS=MR","SCALING_FORMAT=MLN","Sort=A","Dates=H","DateFormat=P","Fill=—","Direction=H","UseDPDF=Y")</f>
        <v>—</v>
      </c>
      <c r="K43" s="13" t="str">
        <f>_xll.BDH("NBIX US Equity","ARD_FOR_CRNCY_TRANSLATION_ADJ","FQ4 2020","FQ4 2020","Currency=USD","Period=FQ","BEST_FPERIOD_OVERRIDE=FQ","FILING_STATUS=MR","SCALING_FORMAT=MLN","Sort=A","Dates=H","DateFormat=P","Fill=—","Direction=H","UseDPDF=Y")</f>
        <v>—</v>
      </c>
      <c r="L43" s="13" t="str">
        <f>_xll.BDH("NBIX US Equity","ARD_FOR_CRNCY_TRANSLATION_ADJ","FQ1 2021","FQ1 2021","Currency=USD","Period=FQ","BEST_FPERIOD_OVERRIDE=FQ","FILING_STATUS=MR","SCALING_FORMAT=MLN","Sort=A","Dates=H","DateFormat=P","Fill=—","Direction=H","UseDPDF=Y")</f>
        <v>—</v>
      </c>
      <c r="M43" s="13" t="str">
        <f>_xll.BDH("NBIX US Equity","ARD_FOR_CRNCY_TRANSLATION_ADJ","FQ2 2021","FQ2 2021","Currency=USD","Period=FQ","BEST_FPERIOD_OVERRIDE=FQ","FILING_STATUS=MR","SCALING_FORMAT=MLN","Sort=A","Dates=H","DateFormat=P","Fill=—","Direction=H","UseDPDF=Y")</f>
        <v>—</v>
      </c>
      <c r="N43" s="13" t="str">
        <f>_xll.BDH("NBIX US Equity","ARD_FOR_CRNCY_TRANSLATION_ADJ","FQ3 2021","FQ3 2021","Currency=USD","Period=FQ","BEST_FPERIOD_OVERRIDE=FQ","FILING_STATUS=MR","SCALING_FORMAT=MLN","Sort=A","Dates=H","DateFormat=P","Fill=—","Direction=H","UseDPDF=Y")</f>
        <v>—</v>
      </c>
      <c r="O43" s="13" t="str">
        <f>_xll.BDH("NBIX US Equity","ARD_FOR_CRNCY_TRANSLATION_ADJ","FQ4 2021","FQ4 2021","Currency=USD","Period=FQ","BEST_FPERIOD_OVERRIDE=FQ","FILING_STATUS=MR","SCALING_FORMAT=MLN","Sort=A","Dates=H","DateFormat=P","Fill=—","Direction=H","UseDPDF=Y")</f>
        <v>—</v>
      </c>
      <c r="P43" s="13" t="str">
        <f>_xll.BDH("NBIX US Equity","ARD_FOR_CRNCY_TRANSLATION_ADJ","FQ1 2022","FQ1 2022","Currency=USD","Period=FQ","BEST_FPERIOD_OVERRIDE=FQ","FILING_STATUS=MR","SCALING_FORMAT=MLN","Sort=A","Dates=H","DateFormat=P","Fill=—","Direction=H","UseDPDF=Y")</f>
        <v>—</v>
      </c>
      <c r="Q43" s="13" t="str">
        <f>_xll.BDH("NBIX US Equity","ARD_FOR_CRNCY_TRANSLATION_ADJ","FQ2 2022","FQ2 2022","Currency=USD","Period=FQ","BEST_FPERIOD_OVERRIDE=FQ","FILING_STATUS=MR","SCALING_FORMAT=MLN","Sort=A","Dates=H","DateFormat=P","Fill=—","Direction=H","UseDPDF=Y")</f>
        <v>—</v>
      </c>
      <c r="R43" s="13" t="str">
        <f>_xll.BDH("NBIX US Equity","ARD_FOR_CRNCY_TRANSLATION_ADJ","FQ3 2022","FQ3 2022","Currency=USD","Period=FQ","BEST_FPERIOD_OVERRIDE=FQ","FILING_STATUS=MR","SCALING_FORMAT=MLN","Sort=A","Dates=H","DateFormat=P","Fill=—","Direction=H","UseDPDF=Y")</f>
        <v>—</v>
      </c>
      <c r="S43" s="13" t="str">
        <f>_xll.BDH("NBIX US Equity","ARD_FOR_CRNCY_TRANSLATION_ADJ","FQ4 2022","FQ4 2022","Currency=USD","Period=FQ","BEST_FPERIOD_OVERRIDE=FQ","FILING_STATUS=MR","SCALING_FORMAT=MLN","Sort=A","Dates=H","DateFormat=P","Fill=—","Direction=H","UseDPDF=Y")</f>
        <v>—</v>
      </c>
      <c r="T43" s="13">
        <f>_xll.BDH("NBIX US Equity","ARD_FOR_CRNCY_TRANSLATION_ADJ","FQ1 2023","FQ1 2023","Currency=USD","Period=FQ","BEST_FPERIOD_OVERRIDE=FQ","FILING_STATUS=MR","SCALING_FORMAT=MLN","Sort=A","Dates=H","DateFormat=P","Fill=—","Direction=H","UseDPDF=Y")</f>
        <v>1.2</v>
      </c>
      <c r="U43" s="13">
        <f>_xll.BDH("NBIX US Equity","ARD_FOR_CRNCY_TRANSLATION_ADJ","FQ2 2023","FQ2 2023","Currency=USD","Period=FQ","BEST_FPERIOD_OVERRIDE=FQ","FILING_STATUS=MR","SCALING_FORMAT=MLN","Sort=A","Dates=H","DateFormat=P","Fill=—","Direction=H","UseDPDF=Y")</f>
        <v>0.9</v>
      </c>
      <c r="V43" s="13">
        <f>_xll.BDH("NBIX US Equity","ARD_FOR_CRNCY_TRANSLATION_ADJ","FQ3 2023","FQ3 2023","Currency=USD","Period=FQ","BEST_FPERIOD_OVERRIDE=FQ","FILING_STATUS=MR","SCALING_FORMAT=MLN","Sort=A","Dates=H","DateFormat=P","Fill=—","Direction=H","UseDPDF=Y")</f>
        <v>-1.4</v>
      </c>
      <c r="W43" s="13">
        <f>_xll.BDH("NBIX US Equity","ARD_FOR_CRNCY_TRANSLATION_ADJ","FQ4 2023","FQ4 2023","Currency=USD","Period=FQ","BEST_FPERIOD_OVERRIDE=FQ","FILING_STATUS=MR","SCALING_FORMAT=MLN","Sort=A","Dates=H","DateFormat=P","Fill=—","Direction=H","UseDPDF=Y")</f>
        <v>1.7</v>
      </c>
      <c r="X43" s="13">
        <f>_xll.BDH("NBIX US Equity","ARD_FOR_CRNCY_TRANSLATION_ADJ","FQ1 2024","FQ1 2024","Currency=USD","Period=FQ","BEST_FPERIOD_OVERRIDE=FQ","FILING_STATUS=MR","SCALING_FORMAT=MLN","Sort=A","Dates=H","DateFormat=P","Fill=—","Direction=H","UseDPDF=Y")</f>
        <v>-0.5</v>
      </c>
      <c r="Y43" s="13">
        <f>_xll.BDH("NBIX US Equity","ARD_FOR_CRNCY_TRANSLATION_ADJ","FQ2 2024","FQ2 2024","Currency=USD","Period=FQ","BEST_FPERIOD_OVERRIDE=FQ","FILING_STATUS=MR","SCALING_FORMAT=MLN","Sort=A","Dates=H","DateFormat=P","Fill=—","Direction=H","UseDPDF=Y")</f>
        <v>0.1</v>
      </c>
      <c r="Z43" s="13">
        <f>_xll.BDH("NBIX US Equity","ARD_FOR_CRNCY_TRANSLATION_ADJ","FQ3 2024","FQ3 2024","Currency=USD","Period=FQ","BEST_FPERIOD_OVERRIDE=FQ","FILING_STATUS=MR","SCALING_FORMAT=MLN","Sort=A","Dates=H","DateFormat=P","Fill=—","Direction=H","UseDPDF=Y")</f>
        <v>2.9</v>
      </c>
      <c r="AA43" s="13">
        <f>_xll.BDH("NBIX US Equity","ARD_FOR_CRNCY_TRANSLATION_ADJ","FQ4 2024","FQ4 2024","Currency=USD","Period=FQ","BEST_FPERIOD_OVERRIDE=FQ","FILING_STATUS=MR","SCALING_FORMAT=MLN","Sort=A","Dates=H","DateFormat=P","Fill=—","Direction=H","UseDPDF=Y")</f>
        <v>-3.6</v>
      </c>
    </row>
    <row r="44" spans="1:27" x14ac:dyDescent="0.25">
      <c r="A44" s="10" t="s">
        <v>487</v>
      </c>
      <c r="B44" s="10" t="s">
        <v>488</v>
      </c>
      <c r="C44" s="13" t="str">
        <f>_xll.BDH("NBIX US Equity","ARD_UNREALIZED_GL_ON_SECS","FQ4 2018","FQ4 2018","Currency=USD","Period=FQ","BEST_FPERIOD_OVERRIDE=FQ","FILING_STATUS=MR","SCALING_FORMAT=MLN","Sort=A","Dates=H","DateFormat=P","Fill=—","Direction=H","UseDPDF=Y")</f>
        <v>—</v>
      </c>
      <c r="D44" s="13">
        <f>_xll.BDH("NBIX US Equity","ARD_UNREALIZED_GL_ON_SECS","FQ1 2019","FQ1 2019","Currency=USD","Period=FQ","BEST_FPERIOD_OVERRIDE=FQ","FILING_STATUS=MR","SCALING_FORMAT=MLN","Sort=A","Dates=H","DateFormat=P","Fill=—","Direction=H","UseDPDF=Y")</f>
        <v>1.6990000000000001</v>
      </c>
      <c r="E44" s="13">
        <f>_xll.BDH("NBIX US Equity","ARD_UNREALIZED_GL_ON_SECS","FQ2 2019","FQ2 2019","Currency=USD","Period=FQ","BEST_FPERIOD_OVERRIDE=FQ","FILING_STATUS=MR","SCALING_FORMAT=MLN","Sort=A","Dates=H","DateFormat=P","Fill=—","Direction=H","UseDPDF=Y")</f>
        <v>0.878</v>
      </c>
      <c r="F44" s="13">
        <f>_xll.BDH("NBIX US Equity","ARD_UNREALIZED_GL_ON_SECS","FQ3 2019","FQ3 2019","Currency=USD","Period=FQ","BEST_FPERIOD_OVERRIDE=FQ","FILING_STATUS=MR","SCALING_FORMAT=MLN","Sort=A","Dates=H","DateFormat=P","Fill=—","Direction=H","UseDPDF=Y")</f>
        <v>0.96099999999999997</v>
      </c>
      <c r="G44" s="13" t="str">
        <f>_xll.BDH("NBIX US Equity","ARD_UNREALIZED_GL_ON_SECS","FQ4 2019","FQ4 2019","Currency=USD","Period=FQ","BEST_FPERIOD_OVERRIDE=FQ","FILING_STATUS=MR","SCALING_FORMAT=MLN","Sort=A","Dates=H","DateFormat=P","Fill=—","Direction=H","UseDPDF=Y")</f>
        <v>—</v>
      </c>
      <c r="H44" s="13">
        <f>_xll.BDH("NBIX US Equity","ARD_UNREALIZED_GL_ON_SECS","FQ1 2020","FQ1 2020","Currency=USD","Period=FQ","BEST_FPERIOD_OVERRIDE=FQ","FILING_STATUS=MR","SCALING_FORMAT=MLN","Sort=A","Dates=H","DateFormat=P","Fill=—","Direction=H","UseDPDF=Y")</f>
        <v>-2.8</v>
      </c>
      <c r="I44" s="13">
        <f>_xll.BDH("NBIX US Equity","ARD_UNREALIZED_GL_ON_SECS","FQ2 2020","FQ2 2020","Currency=USD","Period=FQ","BEST_FPERIOD_OVERRIDE=FQ","FILING_STATUS=MR","SCALING_FORMAT=MLN","Sort=A","Dates=H","DateFormat=P","Fill=—","Direction=H","UseDPDF=Y")</f>
        <v>6</v>
      </c>
      <c r="J44" s="13">
        <f>_xll.BDH("NBIX US Equity","ARD_UNREALIZED_GL_ON_SECS","FQ3 2020","FQ3 2020","Currency=USD","Period=FQ","BEST_FPERIOD_OVERRIDE=FQ","FILING_STATUS=MR","SCALING_FORMAT=MLN","Sort=A","Dates=H","DateFormat=P","Fill=—","Direction=H","UseDPDF=Y")</f>
        <v>-1.4</v>
      </c>
      <c r="K44" s="13" t="str">
        <f>_xll.BDH("NBIX US Equity","ARD_UNREALIZED_GL_ON_SECS","FQ4 2020","FQ4 2020","Currency=USD","Period=FQ","BEST_FPERIOD_OVERRIDE=FQ","FILING_STATUS=MR","SCALING_FORMAT=MLN","Sort=A","Dates=H","DateFormat=P","Fill=—","Direction=H","UseDPDF=Y")</f>
        <v>—</v>
      </c>
      <c r="L44" s="13">
        <f>_xll.BDH("NBIX US Equity","ARD_UNREALIZED_GL_ON_SECS","FQ1 2021","FQ1 2021","Currency=USD","Period=FQ","BEST_FPERIOD_OVERRIDE=FQ","FILING_STATUS=MR","SCALING_FORMAT=MLN","Sort=A","Dates=H","DateFormat=P","Fill=—","Direction=H","UseDPDF=Y")</f>
        <v>-0.8</v>
      </c>
      <c r="M44" s="13">
        <f>_xll.BDH("NBIX US Equity","ARD_UNREALIZED_GL_ON_SECS","FQ2 2021","FQ2 2021","Currency=USD","Period=FQ","BEST_FPERIOD_OVERRIDE=FQ","FILING_STATUS=MR","SCALING_FORMAT=MLN","Sort=A","Dates=H","DateFormat=P","Fill=—","Direction=H","UseDPDF=Y")</f>
        <v>-0.3</v>
      </c>
      <c r="N44" s="13">
        <f>_xll.BDH("NBIX US Equity","ARD_UNREALIZED_GL_ON_SECS","FQ3 2021","FQ3 2021","Currency=USD","Period=FQ","BEST_FPERIOD_OVERRIDE=FQ","FILING_STATUS=MR","SCALING_FORMAT=MLN","Sort=A","Dates=H","DateFormat=P","Fill=—","Direction=H","UseDPDF=Y")</f>
        <v>-0.3</v>
      </c>
      <c r="O44" s="13" t="str">
        <f>_xll.BDH("NBIX US Equity","ARD_UNREALIZED_GL_ON_SECS","FQ4 2021","FQ4 2021","Currency=USD","Period=FQ","BEST_FPERIOD_OVERRIDE=FQ","FILING_STATUS=MR","SCALING_FORMAT=MLN","Sort=A","Dates=H","DateFormat=P","Fill=—","Direction=H","UseDPDF=Y")</f>
        <v>—</v>
      </c>
      <c r="P44" s="13">
        <f>_xll.BDH("NBIX US Equity","ARD_UNREALIZED_GL_ON_SECS","FQ1 2022","FQ1 2022","Currency=USD","Period=FQ","BEST_FPERIOD_OVERRIDE=FQ","FILING_STATUS=MR","SCALING_FORMAT=MLN","Sort=A","Dates=H","DateFormat=P","Fill=—","Direction=H","UseDPDF=Y")</f>
        <v>-7.6</v>
      </c>
      <c r="Q44" s="13">
        <f>_xll.BDH("NBIX US Equity","ARD_UNREALIZED_GL_ON_SECS","FQ2 2022","FQ2 2022","Currency=USD","Period=FQ","BEST_FPERIOD_OVERRIDE=FQ","FILING_STATUS=MR","SCALING_FORMAT=MLN","Sort=A","Dates=H","DateFormat=P","Fill=—","Direction=H","UseDPDF=Y")</f>
        <v>-2.9</v>
      </c>
      <c r="R44" s="13">
        <f>_xll.BDH("NBIX US Equity","ARD_UNREALIZED_GL_ON_SECS","FQ3 2022","FQ3 2022","Currency=USD","Period=FQ","BEST_FPERIOD_OVERRIDE=FQ","FILING_STATUS=MR","SCALING_FORMAT=MLN","Sort=A","Dates=H","DateFormat=P","Fill=—","Direction=H","UseDPDF=Y")</f>
        <v>-1.8</v>
      </c>
      <c r="S44" s="13" t="str">
        <f>_xll.BDH("NBIX US Equity","ARD_UNREALIZED_GL_ON_SECS","FQ4 2022","FQ4 2022","Currency=USD","Period=FQ","BEST_FPERIOD_OVERRIDE=FQ","FILING_STATUS=MR","SCALING_FORMAT=MLN","Sort=A","Dates=H","DateFormat=P","Fill=—","Direction=H","UseDPDF=Y")</f>
        <v>—</v>
      </c>
      <c r="T44" s="13">
        <f>_xll.BDH("NBIX US Equity","ARD_UNREALIZED_GL_ON_SECS","FQ1 2023","FQ1 2023","Currency=USD","Period=FQ","BEST_FPERIOD_OVERRIDE=FQ","FILING_STATUS=MR","SCALING_FORMAT=MLN","Sort=A","Dates=H","DateFormat=P","Fill=—","Direction=H","UseDPDF=Y")</f>
        <v>4</v>
      </c>
      <c r="U44" s="13">
        <f>_xll.BDH("NBIX US Equity","ARD_UNREALIZED_GL_ON_SECS","FQ2 2023","FQ2 2023","Currency=USD","Period=FQ","BEST_FPERIOD_OVERRIDE=FQ","FILING_STATUS=MR","SCALING_FORMAT=MLN","Sort=A","Dates=H","DateFormat=P","Fill=—","Direction=H","UseDPDF=Y")</f>
        <v>0.7</v>
      </c>
      <c r="V44" s="13">
        <f>_xll.BDH("NBIX US Equity","ARD_UNREALIZED_GL_ON_SECS","FQ3 2023","FQ3 2023","Currency=USD","Period=FQ","BEST_FPERIOD_OVERRIDE=FQ","FILING_STATUS=MR","SCALING_FORMAT=MLN","Sort=A","Dates=H","DateFormat=P","Fill=—","Direction=H","UseDPDF=Y")</f>
        <v>0.8</v>
      </c>
      <c r="W44" s="13">
        <f>_xll.BDH("NBIX US Equity","ARD_UNREALIZED_GL_ON_SECS","FQ4 2023","FQ4 2023","Currency=USD","Period=FQ","BEST_FPERIOD_OVERRIDE=FQ","FILING_STATUS=MR","SCALING_FORMAT=MLN","Sort=A","Dates=H","DateFormat=P","Fill=—","Direction=H","UseDPDF=Y")</f>
        <v>7</v>
      </c>
      <c r="X44" s="13">
        <f>_xll.BDH("NBIX US Equity","ARD_UNREALIZED_GL_ON_SECS","FQ1 2024","FQ1 2024","Currency=USD","Period=FQ","BEST_FPERIOD_OVERRIDE=FQ","FILING_STATUS=MR","SCALING_FORMAT=MLN","Sort=A","Dates=H","DateFormat=P","Fill=—","Direction=H","UseDPDF=Y")</f>
        <v>-3.2</v>
      </c>
      <c r="Y44" s="13">
        <f>_xll.BDH("NBIX US Equity","ARD_UNREALIZED_GL_ON_SECS","FQ2 2024","FQ2 2024","Currency=USD","Period=FQ","BEST_FPERIOD_OVERRIDE=FQ","FILING_STATUS=MR","SCALING_FORMAT=MLN","Sort=A","Dates=H","DateFormat=P","Fill=—","Direction=H","UseDPDF=Y")</f>
        <v>-0.9</v>
      </c>
      <c r="Z44" s="13">
        <f>_xll.BDH("NBIX US Equity","ARD_UNREALIZED_GL_ON_SECS","FQ3 2024","FQ3 2024","Currency=USD","Period=FQ","BEST_FPERIOD_OVERRIDE=FQ","FILING_STATUS=MR","SCALING_FORMAT=MLN","Sort=A","Dates=H","DateFormat=P","Fill=—","Direction=H","UseDPDF=Y")</f>
        <v>9.1</v>
      </c>
      <c r="AA44" s="13">
        <f>_xll.BDH("NBIX US Equity","ARD_UNREALIZED_GL_ON_SECS","FQ4 2024","FQ4 2024","Currency=USD","Period=FQ","BEST_FPERIOD_OVERRIDE=FQ","FILING_STATUS=MR","SCALING_FORMAT=MLN","Sort=A","Dates=H","DateFormat=P","Fill=—","Direction=H","UseDPDF=Y")</f>
        <v>-5.0999999999999996</v>
      </c>
    </row>
    <row r="45" spans="1:27" x14ac:dyDescent="0.25">
      <c r="A45" s="10" t="s">
        <v>489</v>
      </c>
      <c r="B45" s="10" t="s">
        <v>490</v>
      </c>
      <c r="C45" s="13">
        <f>_xll.BDH("NBIX US Equity","ARD_TOTAL_COMPREHENSIVE_INCOME","FQ4 2018","FQ4 2018","Currency=USD","Period=FQ","BEST_FPERIOD_OVERRIDE=FQ","FILING_STATUS=MR","SCALING_FORMAT=MLN","Sort=A","Dates=H","DateFormat=P","Fill=—","Direction=H","UseDPDF=Y")</f>
        <v>18.077999999999999</v>
      </c>
      <c r="D45" s="13">
        <f>_xll.BDH("NBIX US Equity","ARD_TOTAL_COMPREHENSIVE_INCOME","FQ1 2019","FQ1 2019","Currency=USD","Period=FQ","BEST_FPERIOD_OVERRIDE=FQ","FILING_STATUS=MR","SCALING_FORMAT=MLN","Sort=A","Dates=H","DateFormat=P","Fill=—","Direction=H","UseDPDF=Y")</f>
        <v>-100.416</v>
      </c>
      <c r="E45" s="13">
        <f>_xll.BDH("NBIX US Equity","ARD_TOTAL_COMPREHENSIVE_INCOME","FQ2 2019","FQ2 2019","Currency=USD","Period=FQ","BEST_FPERIOD_OVERRIDE=FQ","FILING_STATUS=MR","SCALING_FORMAT=MLN","Sort=A","Dates=H","DateFormat=P","Fill=—","Direction=H","UseDPDF=Y")</f>
        <v>52.216000000000001</v>
      </c>
      <c r="F45" s="13">
        <f>_xll.BDH("NBIX US Equity","ARD_TOTAL_COMPREHENSIVE_INCOME","FQ3 2019","FQ3 2019","Currency=USD","Period=FQ","BEST_FPERIOD_OVERRIDE=FQ","FILING_STATUS=MR","SCALING_FORMAT=MLN","Sort=A","Dates=H","DateFormat=P","Fill=—","Direction=H","UseDPDF=Y")</f>
        <v>54.75</v>
      </c>
      <c r="G45" s="13">
        <f>_xll.BDH("NBIX US Equity","ARD_TOTAL_COMPREHENSIVE_INCOME","FQ4 2019","FQ4 2019","Currency=USD","Period=FQ","BEST_FPERIOD_OVERRIDE=FQ","FILING_STATUS=MR","SCALING_FORMAT=MLN","Sort=A","Dates=H","DateFormat=P","Fill=—","Direction=H","UseDPDF=Y")</f>
        <v>34</v>
      </c>
      <c r="H45" s="13">
        <f>_xll.BDH("NBIX US Equity","ARD_TOTAL_COMPREHENSIVE_INCOME","FQ1 2020","FQ1 2020","Currency=USD","Period=FQ","BEST_FPERIOD_OVERRIDE=FQ","FILING_STATUS=MR","SCALING_FORMAT=MLN","Sort=A","Dates=H","DateFormat=P","Fill=—","Direction=H","UseDPDF=Y")</f>
        <v>34.6</v>
      </c>
      <c r="I45" s="13">
        <f>_xll.BDH("NBIX US Equity","ARD_TOTAL_COMPREHENSIVE_INCOME","FQ2 2020","FQ2 2020","Currency=USD","Period=FQ","BEST_FPERIOD_OVERRIDE=FQ","FILING_STATUS=MR","SCALING_FORMAT=MLN","Sort=A","Dates=H","DateFormat=P","Fill=—","Direction=H","UseDPDF=Y")</f>
        <v>85.6</v>
      </c>
      <c r="J45" s="13">
        <f>_xll.BDH("NBIX US Equity","ARD_TOTAL_COMPREHENSIVE_INCOME","FQ3 2020","FQ3 2020","Currency=USD","Period=FQ","BEST_FPERIOD_OVERRIDE=FQ","FILING_STATUS=MR","SCALING_FORMAT=MLN","Sort=A","Dates=H","DateFormat=P","Fill=—","Direction=H","UseDPDF=Y")</f>
        <v>-59</v>
      </c>
      <c r="K45" s="13">
        <f>_xll.BDH("NBIX US Equity","ARD_TOTAL_COMPREHENSIVE_INCOME","FQ4 2020","FQ4 2020","Currency=USD","Period=FQ","BEST_FPERIOD_OVERRIDE=FQ","FILING_STATUS=MR","SCALING_FORMAT=MLN","Sort=A","Dates=H","DateFormat=P","Fill=—","Direction=H","UseDPDF=Y")</f>
        <v>347.9</v>
      </c>
      <c r="L45" s="13">
        <f>_xll.BDH("NBIX US Equity","ARD_TOTAL_COMPREHENSIVE_INCOME","FQ1 2021","FQ1 2021","Currency=USD","Period=FQ","BEST_FPERIOD_OVERRIDE=FQ","FILING_STATUS=MR","SCALING_FORMAT=MLN","Sort=A","Dates=H","DateFormat=P","Fill=—","Direction=H","UseDPDF=Y")</f>
        <v>31.3</v>
      </c>
      <c r="M45" s="13">
        <f>_xll.BDH("NBIX US Equity","ARD_TOTAL_COMPREHENSIVE_INCOME","FQ2 2021","FQ2 2021","Currency=USD","Period=FQ","BEST_FPERIOD_OVERRIDE=FQ","FILING_STATUS=MR","SCALING_FORMAT=MLN","Sort=A","Dates=H","DateFormat=P","Fill=—","Direction=H","UseDPDF=Y")</f>
        <v>42</v>
      </c>
      <c r="N45" s="13">
        <f>_xll.BDH("NBIX US Equity","ARD_TOTAL_COMPREHENSIVE_INCOME","FQ3 2021","FQ3 2021","Currency=USD","Period=FQ","BEST_FPERIOD_OVERRIDE=FQ","FILING_STATUS=MR","SCALING_FORMAT=MLN","Sort=A","Dates=H","DateFormat=P","Fill=—","Direction=H","UseDPDF=Y")</f>
        <v>22.2</v>
      </c>
      <c r="O45" s="13">
        <f>_xll.BDH("NBIX US Equity","ARD_TOTAL_COMPREHENSIVE_INCOME","FQ4 2021","FQ4 2021","Currency=USD","Period=FQ","BEST_FPERIOD_OVERRIDE=FQ","FILING_STATUS=MR","SCALING_FORMAT=MLN","Sort=A","Dates=H","DateFormat=P","Fill=—","Direction=H","UseDPDF=Y")</f>
        <v>-7.3</v>
      </c>
      <c r="P45" s="13">
        <f>_xll.BDH("NBIX US Equity","ARD_TOTAL_COMPREHENSIVE_INCOME","FQ1 2022","FQ1 2022","Currency=USD","Period=FQ","BEST_FPERIOD_OVERRIDE=FQ","FILING_STATUS=MR","SCALING_FORMAT=MLN","Sort=A","Dates=H","DateFormat=P","Fill=—","Direction=H","UseDPDF=Y")</f>
        <v>6.3</v>
      </c>
      <c r="Q45" s="13">
        <f>_xll.BDH("NBIX US Equity","ARD_TOTAL_COMPREHENSIVE_INCOME","FQ2 2022","FQ2 2022","Currency=USD","Period=FQ","BEST_FPERIOD_OVERRIDE=FQ","FILING_STATUS=MR","SCALING_FORMAT=MLN","Sort=A","Dates=H","DateFormat=P","Fill=—","Direction=H","UseDPDF=Y")</f>
        <v>-19.8</v>
      </c>
      <c r="R45" s="13">
        <f>_xll.BDH("NBIX US Equity","ARD_TOTAL_COMPREHENSIVE_INCOME","FQ3 2022","FQ3 2022","Currency=USD","Period=FQ","BEST_FPERIOD_OVERRIDE=FQ","FILING_STATUS=MR","SCALING_FORMAT=MLN","Sort=A","Dates=H","DateFormat=P","Fill=—","Direction=H","UseDPDF=Y")</f>
        <v>66.7</v>
      </c>
      <c r="S45" s="13">
        <f>_xll.BDH("NBIX US Equity","ARD_TOTAL_COMPREHENSIVE_INCOME","FQ4 2022","FQ4 2022","Currency=USD","Period=FQ","BEST_FPERIOD_OVERRIDE=FQ","FILING_STATUS=MR","SCALING_FORMAT=MLN","Sort=A","Dates=H","DateFormat=P","Fill=—","Direction=H","UseDPDF=Y")</f>
        <v>89</v>
      </c>
      <c r="T45" s="13">
        <f>_xll.BDH("NBIX US Equity","ARD_TOTAL_COMPREHENSIVE_INCOME","FQ1 2023","FQ1 2023","Currency=USD","Period=FQ","BEST_FPERIOD_OVERRIDE=FQ","FILING_STATUS=MR","SCALING_FORMAT=MLN","Sort=A","Dates=H","DateFormat=P","Fill=—","Direction=H","UseDPDF=Y")</f>
        <v>-71.400000000000006</v>
      </c>
      <c r="U45" s="13">
        <f>_xll.BDH("NBIX US Equity","ARD_TOTAL_COMPREHENSIVE_INCOME","FQ2 2023","FQ2 2023","Currency=USD","Period=FQ","BEST_FPERIOD_OVERRIDE=FQ","FILING_STATUS=MR","SCALING_FORMAT=MLN","Sort=A","Dates=H","DateFormat=P","Fill=—","Direction=H","UseDPDF=Y")</f>
        <v>97.1</v>
      </c>
      <c r="V45" s="13">
        <f>_xll.BDH("NBIX US Equity","ARD_TOTAL_COMPREHENSIVE_INCOME","FQ3 2023","FQ3 2023","Currency=USD","Period=FQ","BEST_FPERIOD_OVERRIDE=FQ","FILING_STATUS=MR","SCALING_FORMAT=MLN","Sort=A","Dates=H","DateFormat=P","Fill=—","Direction=H","UseDPDF=Y")</f>
        <v>82.5</v>
      </c>
      <c r="W45" s="13">
        <f>_xll.BDH("NBIX US Equity","ARD_TOTAL_COMPREHENSIVE_INCOME","FQ4 2023","FQ4 2023","Currency=USD","Period=FQ","BEST_FPERIOD_OVERRIDE=FQ","FILING_STATUS=MR","SCALING_FORMAT=MLN","Sort=A","Dates=H","DateFormat=P","Fill=—","Direction=H","UseDPDF=Y")</f>
        <v>156.4</v>
      </c>
      <c r="X45" s="13">
        <f>_xll.BDH("NBIX US Equity","ARD_TOTAL_COMPREHENSIVE_INCOME","FQ1 2024","FQ1 2024","Currency=USD","Period=FQ","BEST_FPERIOD_OVERRIDE=FQ","FILING_STATUS=MR","SCALING_FORMAT=MLN","Sort=A","Dates=H","DateFormat=P","Fill=—","Direction=H","UseDPDF=Y")</f>
        <v>39.700000000000003</v>
      </c>
      <c r="Y45" s="13">
        <f>_xll.BDH("NBIX US Equity","ARD_TOTAL_COMPREHENSIVE_INCOME","FQ2 2024","FQ2 2024","Currency=USD","Period=FQ","BEST_FPERIOD_OVERRIDE=FQ","FILING_STATUS=MR","SCALING_FORMAT=MLN","Sort=A","Dates=H","DateFormat=P","Fill=—","Direction=H","UseDPDF=Y")</f>
        <v>64.2</v>
      </c>
      <c r="Z45" s="13">
        <f>_xll.BDH("NBIX US Equity","ARD_TOTAL_COMPREHENSIVE_INCOME","FQ3 2024","FQ3 2024","Currency=USD","Period=FQ","BEST_FPERIOD_OVERRIDE=FQ","FILING_STATUS=MR","SCALING_FORMAT=MLN","Sort=A","Dates=H","DateFormat=P","Fill=—","Direction=H","UseDPDF=Y")</f>
        <v>141.80000000000001</v>
      </c>
      <c r="AA45" s="13">
        <f>_xll.BDH("NBIX US Equity","ARD_TOTAL_COMPREHENSIVE_INCOME","FQ4 2024","FQ4 2024","Currency=USD","Period=FQ","BEST_FPERIOD_OVERRIDE=FQ","FILING_STATUS=MR","SCALING_FORMAT=MLN","Sort=A","Dates=H","DateFormat=P","Fill=—","Direction=H","UseDPDF=Y")</f>
        <v>94.4</v>
      </c>
    </row>
    <row r="46" spans="1:27" x14ac:dyDescent="0.25">
      <c r="A46" s="10" t="s">
        <v>491</v>
      </c>
      <c r="B46" s="10" t="s">
        <v>492</v>
      </c>
      <c r="C46" s="13" t="str">
        <f>_xll.BDH("NBIX US Equity","ARD_COMPREHENSIVE_INCOME_NET_INC","FQ4 2018","FQ4 2018","Currency=USD","Period=FQ","BEST_FPERIOD_OVERRIDE=FQ","FILING_STATUS=MR","SCALING_FORMAT=MLN","Sort=A","Dates=H","DateFormat=P","Fill=—","Direction=H","UseDPDF=Y")</f>
        <v>—</v>
      </c>
      <c r="D46" s="13" t="str">
        <f>_xll.BDH("NBIX US Equity","ARD_COMPREHENSIVE_INCOME_NET_INC","FQ1 2019","FQ1 2019","Currency=USD","Period=FQ","BEST_FPERIOD_OVERRIDE=FQ","FILING_STATUS=MR","SCALING_FORMAT=MLN","Sort=A","Dates=H","DateFormat=P","Fill=—","Direction=H","UseDPDF=Y")</f>
        <v>—</v>
      </c>
      <c r="E46" s="13" t="str">
        <f>_xll.BDH("NBIX US Equity","ARD_COMPREHENSIVE_INCOME_NET_INC","FQ2 2019","FQ2 2019","Currency=USD","Period=FQ","BEST_FPERIOD_OVERRIDE=FQ","FILING_STATUS=MR","SCALING_FORMAT=MLN","Sort=A","Dates=H","DateFormat=P","Fill=—","Direction=H","UseDPDF=Y")</f>
        <v>—</v>
      </c>
      <c r="F46" s="13" t="str">
        <f>_xll.BDH("NBIX US Equity","ARD_COMPREHENSIVE_INCOME_NET_INC","FQ3 2019","FQ3 2019","Currency=USD","Period=FQ","BEST_FPERIOD_OVERRIDE=FQ","FILING_STATUS=MR","SCALING_FORMAT=MLN","Sort=A","Dates=H","DateFormat=P","Fill=—","Direction=H","UseDPDF=Y")</f>
        <v>—</v>
      </c>
      <c r="G46" s="13" t="str">
        <f>_xll.BDH("NBIX US Equity","ARD_COMPREHENSIVE_INCOME_NET_INC","FQ4 2019","FQ4 2019","Currency=USD","Period=FQ","BEST_FPERIOD_OVERRIDE=FQ","FILING_STATUS=MR","SCALING_FORMAT=MLN","Sort=A","Dates=H","DateFormat=P","Fill=—","Direction=H","UseDPDF=Y")</f>
        <v>—</v>
      </c>
      <c r="H46" s="13" t="str">
        <f>_xll.BDH("NBIX US Equity","ARD_COMPREHENSIVE_INCOME_NET_INC","FQ1 2020","FQ1 2020","Currency=USD","Period=FQ","BEST_FPERIOD_OVERRIDE=FQ","FILING_STATUS=MR","SCALING_FORMAT=MLN","Sort=A","Dates=H","DateFormat=P","Fill=—","Direction=H","UseDPDF=Y")</f>
        <v>—</v>
      </c>
      <c r="I46" s="13" t="str">
        <f>_xll.BDH("NBIX US Equity","ARD_COMPREHENSIVE_INCOME_NET_INC","FQ2 2020","FQ2 2020","Currency=USD","Period=FQ","BEST_FPERIOD_OVERRIDE=FQ","FILING_STATUS=MR","SCALING_FORMAT=MLN","Sort=A","Dates=H","DateFormat=P","Fill=—","Direction=H","UseDPDF=Y")</f>
        <v>—</v>
      </c>
      <c r="J46" s="13" t="str">
        <f>_xll.BDH("NBIX US Equity","ARD_COMPREHENSIVE_INCOME_NET_INC","FQ3 2020","FQ3 2020","Currency=USD","Period=FQ","BEST_FPERIOD_OVERRIDE=FQ","FILING_STATUS=MR","SCALING_FORMAT=MLN","Sort=A","Dates=H","DateFormat=P","Fill=—","Direction=H","UseDPDF=Y")</f>
        <v>—</v>
      </c>
      <c r="K46" s="13" t="str">
        <f>_xll.BDH("NBIX US Equity","ARD_COMPREHENSIVE_INCOME_NET_INC","FQ4 2020","FQ4 2020","Currency=USD","Period=FQ","BEST_FPERIOD_OVERRIDE=FQ","FILING_STATUS=MR","SCALING_FORMAT=MLN","Sort=A","Dates=H","DateFormat=P","Fill=—","Direction=H","UseDPDF=Y")</f>
        <v>—</v>
      </c>
      <c r="L46" s="13" t="str">
        <f>_xll.BDH("NBIX US Equity","ARD_COMPREHENSIVE_INCOME_NET_INC","FQ1 2021","FQ1 2021","Currency=USD","Period=FQ","BEST_FPERIOD_OVERRIDE=FQ","FILING_STATUS=MR","SCALING_FORMAT=MLN","Sort=A","Dates=H","DateFormat=P","Fill=—","Direction=H","UseDPDF=Y")</f>
        <v>—</v>
      </c>
      <c r="M46" s="13" t="str">
        <f>_xll.BDH("NBIX US Equity","ARD_COMPREHENSIVE_INCOME_NET_INC","FQ2 2021","FQ2 2021","Currency=USD","Period=FQ","BEST_FPERIOD_OVERRIDE=FQ","FILING_STATUS=MR","SCALING_FORMAT=MLN","Sort=A","Dates=H","DateFormat=P","Fill=—","Direction=H","UseDPDF=Y")</f>
        <v>—</v>
      </c>
      <c r="N46" s="13" t="str">
        <f>_xll.BDH("NBIX US Equity","ARD_COMPREHENSIVE_INCOME_NET_INC","FQ3 2021","FQ3 2021","Currency=USD","Period=FQ","BEST_FPERIOD_OVERRIDE=FQ","FILING_STATUS=MR","SCALING_FORMAT=MLN","Sort=A","Dates=H","DateFormat=P","Fill=—","Direction=H","UseDPDF=Y")</f>
        <v>—</v>
      </c>
      <c r="O46" s="13" t="str">
        <f>_xll.BDH("NBIX US Equity","ARD_COMPREHENSIVE_INCOME_NET_INC","FQ4 2021","FQ4 2021","Currency=USD","Period=FQ","BEST_FPERIOD_OVERRIDE=FQ","FILING_STATUS=MR","SCALING_FORMAT=MLN","Sort=A","Dates=H","DateFormat=P","Fill=—","Direction=H","UseDPDF=Y")</f>
        <v>—</v>
      </c>
      <c r="P46" s="13" t="str">
        <f>_xll.BDH("NBIX US Equity","ARD_COMPREHENSIVE_INCOME_NET_INC","FQ1 2022","FQ1 2022","Currency=USD","Period=FQ","BEST_FPERIOD_OVERRIDE=FQ","FILING_STATUS=MR","SCALING_FORMAT=MLN","Sort=A","Dates=H","DateFormat=P","Fill=—","Direction=H","UseDPDF=Y")</f>
        <v>—</v>
      </c>
      <c r="Q46" s="13" t="str">
        <f>_xll.BDH("NBIX US Equity","ARD_COMPREHENSIVE_INCOME_NET_INC","FQ2 2022","FQ2 2022","Currency=USD","Period=FQ","BEST_FPERIOD_OVERRIDE=FQ","FILING_STATUS=MR","SCALING_FORMAT=MLN","Sort=A","Dates=H","DateFormat=P","Fill=—","Direction=H","UseDPDF=Y")</f>
        <v>—</v>
      </c>
      <c r="R46" s="13">
        <f>_xll.BDH("NBIX US Equity","ARD_COMPREHENSIVE_INCOME_NET_INC","FQ3 2022","FQ3 2022","Currency=USD","Period=FQ","BEST_FPERIOD_OVERRIDE=FQ","FILING_STATUS=MR","SCALING_FORMAT=MLN","Sort=A","Dates=H","DateFormat=P","Fill=—","Direction=H","UseDPDF=Y")</f>
        <v>68.5</v>
      </c>
      <c r="S46" s="13" t="str">
        <f>_xll.BDH("NBIX US Equity","ARD_COMPREHENSIVE_INCOME_NET_INC","FQ4 2022","FQ4 2022","Currency=USD","Period=FQ","BEST_FPERIOD_OVERRIDE=FQ","FILING_STATUS=MR","SCALING_FORMAT=MLN","Sort=A","Dates=H","DateFormat=P","Fill=—","Direction=H","UseDPDF=Y")</f>
        <v>—</v>
      </c>
      <c r="T46" s="13" t="str">
        <f>_xll.BDH("NBIX US Equity","ARD_COMPREHENSIVE_INCOME_NET_INC","FQ1 2023","FQ1 2023","Currency=USD","Period=FQ","BEST_FPERIOD_OVERRIDE=FQ","FILING_STATUS=MR","SCALING_FORMAT=MLN","Sort=A","Dates=H","DateFormat=P","Fill=—","Direction=H","UseDPDF=Y")</f>
        <v>—</v>
      </c>
      <c r="U46" s="13">
        <f>_xll.BDH("NBIX US Equity","ARD_COMPREHENSIVE_INCOME_NET_INC","FQ2 2023","FQ2 2023","Currency=USD","Period=FQ","BEST_FPERIOD_OVERRIDE=FQ","FILING_STATUS=MR","SCALING_FORMAT=MLN","Sort=A","Dates=H","DateFormat=P","Fill=—","Direction=H","UseDPDF=Y")</f>
        <v>95.5</v>
      </c>
      <c r="V46" s="13">
        <f>_xll.BDH("NBIX US Equity","ARD_COMPREHENSIVE_INCOME_NET_INC","FQ3 2023","FQ3 2023","Currency=USD","Period=FQ","BEST_FPERIOD_OVERRIDE=FQ","FILING_STATUS=MR","SCALING_FORMAT=MLN","Sort=A","Dates=H","DateFormat=P","Fill=—","Direction=H","UseDPDF=Y")</f>
        <v>83.1</v>
      </c>
      <c r="W46" s="13">
        <f>_xll.BDH("NBIX US Equity","ARD_COMPREHENSIVE_INCOME_NET_INC","FQ4 2023","FQ4 2023","Currency=USD","Period=FQ","BEST_FPERIOD_OVERRIDE=FQ","FILING_STATUS=MR","SCALING_FORMAT=MLN","Sort=A","Dates=H","DateFormat=P","Fill=—","Direction=H","UseDPDF=Y")</f>
        <v>147.69999999999999</v>
      </c>
      <c r="X46" s="13" t="str">
        <f>_xll.BDH("NBIX US Equity","ARD_COMPREHENSIVE_INCOME_NET_INC","FQ1 2024","FQ1 2024","Currency=USD","Period=FQ","BEST_FPERIOD_OVERRIDE=FQ","FILING_STATUS=MR","SCALING_FORMAT=MLN","Sort=A","Dates=H","DateFormat=P","Fill=—","Direction=H","UseDPDF=Y")</f>
        <v>—</v>
      </c>
      <c r="Y46" s="13">
        <f>_xll.BDH("NBIX US Equity","ARD_COMPREHENSIVE_INCOME_NET_INC","FQ2 2024","FQ2 2024","Currency=USD","Period=FQ","BEST_FPERIOD_OVERRIDE=FQ","FILING_STATUS=MR","SCALING_FORMAT=MLN","Sort=A","Dates=H","DateFormat=P","Fill=—","Direction=H","UseDPDF=Y")</f>
        <v>65</v>
      </c>
      <c r="Z46" s="13">
        <f>_xll.BDH("NBIX US Equity","ARD_COMPREHENSIVE_INCOME_NET_INC","FQ3 2024","FQ3 2024","Currency=USD","Period=FQ","BEST_FPERIOD_OVERRIDE=FQ","FILING_STATUS=MR","SCALING_FORMAT=MLN","Sort=A","Dates=H","DateFormat=P","Fill=—","Direction=H","UseDPDF=Y")</f>
        <v>129.80000000000001</v>
      </c>
      <c r="AA46" s="13">
        <f>_xll.BDH("NBIX US Equity","ARD_COMPREHENSIVE_INCOME_NET_INC","FQ4 2024","FQ4 2024","Currency=USD","Period=FQ","BEST_FPERIOD_OVERRIDE=FQ","FILING_STATUS=MR","SCALING_FORMAT=MLN","Sort=A","Dates=H","DateFormat=P","Fill=—","Direction=H","UseDPDF=Y")</f>
        <v>103.1</v>
      </c>
    </row>
    <row r="47" spans="1:27" x14ac:dyDescent="0.25">
      <c r="A47" s="10" t="s">
        <v>493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10" t="s">
        <v>494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5">
      <c r="A49" s="10" t="s">
        <v>495</v>
      </c>
      <c r="B49" s="10" t="s">
        <v>496</v>
      </c>
      <c r="C49" s="13" t="str">
        <f>_xll.BDH("NBIX US Equity","ARDR_AMORT_EXP","FQ4 2018","FQ4 2018","Currency=USD","Period=FQ","BEST_FPERIOD_OVERRIDE=FQ","FILING_STATUS=MR","SCALING_FORMAT=MLN","Sort=A","Dates=H","DateFormat=P","Fill=—","Direction=H","UseDPDF=Y")</f>
        <v>—</v>
      </c>
      <c r="D49" s="13" t="str">
        <f>_xll.BDH("NBIX US Equity","ARDR_AMORT_EXP","FQ1 2019","FQ1 2019","Currency=USD","Period=FQ","BEST_FPERIOD_OVERRIDE=FQ","FILING_STATUS=MR","SCALING_FORMAT=MLN","Sort=A","Dates=H","DateFormat=P","Fill=—","Direction=H","UseDPDF=Y")</f>
        <v>—</v>
      </c>
      <c r="E49" s="13" t="str">
        <f>_xll.BDH("NBIX US Equity","ARDR_AMORT_EXP","FQ2 2019","FQ2 2019","Currency=USD","Period=FQ","BEST_FPERIOD_OVERRIDE=FQ","FILING_STATUS=MR","SCALING_FORMAT=MLN","Sort=A","Dates=H","DateFormat=P","Fill=—","Direction=H","UseDPDF=Y")</f>
        <v>—</v>
      </c>
      <c r="F49" s="13" t="str">
        <f>_xll.BDH("NBIX US Equity","ARDR_AMORT_EXP","FQ3 2019","FQ3 2019","Currency=USD","Period=FQ","BEST_FPERIOD_OVERRIDE=FQ","FILING_STATUS=MR","SCALING_FORMAT=MLN","Sort=A","Dates=H","DateFormat=P","Fill=—","Direction=H","UseDPDF=Y")</f>
        <v>—</v>
      </c>
      <c r="G49" s="13" t="str">
        <f>_xll.BDH("NBIX US Equity","ARDR_AMORT_EXP","FQ4 2019","FQ4 2019","Currency=USD","Period=FQ","BEST_FPERIOD_OVERRIDE=FQ","FILING_STATUS=MR","SCALING_FORMAT=MLN","Sort=A","Dates=H","DateFormat=P","Fill=—","Direction=H","UseDPDF=Y")</f>
        <v>—</v>
      </c>
      <c r="H49" s="13" t="str">
        <f>_xll.BDH("NBIX US Equity","ARDR_AMORT_EXP","FQ1 2020","FQ1 2020","Currency=USD","Period=FQ","BEST_FPERIOD_OVERRIDE=FQ","FILING_STATUS=MR","SCALING_FORMAT=MLN","Sort=A","Dates=H","DateFormat=P","Fill=—","Direction=H","UseDPDF=Y")</f>
        <v>—</v>
      </c>
      <c r="I49" s="13" t="str">
        <f>_xll.BDH("NBIX US Equity","ARDR_AMORT_EXP","FQ2 2020","FQ2 2020","Currency=USD","Period=FQ","BEST_FPERIOD_OVERRIDE=FQ","FILING_STATUS=MR","SCALING_FORMAT=MLN","Sort=A","Dates=H","DateFormat=P","Fill=—","Direction=H","UseDPDF=Y")</f>
        <v>—</v>
      </c>
      <c r="J49" s="13" t="str">
        <f>_xll.BDH("NBIX US Equity","ARDR_AMORT_EXP","FQ3 2020","FQ3 2020","Currency=USD","Period=FQ","BEST_FPERIOD_OVERRIDE=FQ","FILING_STATUS=MR","SCALING_FORMAT=MLN","Sort=A","Dates=H","DateFormat=P","Fill=—","Direction=H","UseDPDF=Y")</f>
        <v>—</v>
      </c>
      <c r="K49" s="13" t="str">
        <f>_xll.BDH("NBIX US Equity","ARDR_AMORT_EXP","FQ4 2020","FQ4 2020","Currency=USD","Period=FQ","BEST_FPERIOD_OVERRIDE=FQ","FILING_STATUS=MR","SCALING_FORMAT=MLN","Sort=A","Dates=H","DateFormat=P","Fill=—","Direction=H","UseDPDF=Y")</f>
        <v>—</v>
      </c>
      <c r="L49" s="13" t="str">
        <f>_xll.BDH("NBIX US Equity","ARDR_AMORT_EXP","FQ1 2021","FQ1 2021","Currency=USD","Period=FQ","BEST_FPERIOD_OVERRIDE=FQ","FILING_STATUS=MR","SCALING_FORMAT=MLN","Sort=A","Dates=H","DateFormat=P","Fill=—","Direction=H","UseDPDF=Y")</f>
        <v>—</v>
      </c>
      <c r="M49" s="13" t="str">
        <f>_xll.BDH("NBIX US Equity","ARDR_AMORT_EXP","FQ2 2021","FQ2 2021","Currency=USD","Period=FQ","BEST_FPERIOD_OVERRIDE=FQ","FILING_STATUS=MR","SCALING_FORMAT=MLN","Sort=A","Dates=H","DateFormat=P","Fill=—","Direction=H","UseDPDF=Y")</f>
        <v>—</v>
      </c>
      <c r="N49" s="13" t="str">
        <f>_xll.BDH("NBIX US Equity","ARDR_AMORT_EXP","FQ3 2021","FQ3 2021","Currency=USD","Period=FQ","BEST_FPERIOD_OVERRIDE=FQ","FILING_STATUS=MR","SCALING_FORMAT=MLN","Sort=A","Dates=H","DateFormat=P","Fill=—","Direction=H","UseDPDF=Y")</f>
        <v>—</v>
      </c>
      <c r="O49" s="13" t="str">
        <f>_xll.BDH("NBIX US Equity","ARDR_AMORT_EXP","FQ4 2021","FQ4 2021","Currency=USD","Period=FQ","BEST_FPERIOD_OVERRIDE=FQ","FILING_STATUS=MR","SCALING_FORMAT=MLN","Sort=A","Dates=H","DateFormat=P","Fill=—","Direction=H","UseDPDF=Y")</f>
        <v>—</v>
      </c>
      <c r="P49" s="13" t="str">
        <f>_xll.BDH("NBIX US Equity","ARDR_AMORT_EXP","FQ1 2022","FQ1 2022","Currency=USD","Period=FQ","BEST_FPERIOD_OVERRIDE=FQ","FILING_STATUS=MR","SCALING_FORMAT=MLN","Sort=A","Dates=H","DateFormat=P","Fill=—","Direction=H","UseDPDF=Y")</f>
        <v>—</v>
      </c>
      <c r="Q49" s="13" t="str">
        <f>_xll.BDH("NBIX US Equity","ARDR_AMORT_EXP","FQ2 2022","FQ2 2022","Currency=USD","Period=FQ","BEST_FPERIOD_OVERRIDE=FQ","FILING_STATUS=MR","SCALING_FORMAT=MLN","Sort=A","Dates=H","DateFormat=P","Fill=—","Direction=H","UseDPDF=Y")</f>
        <v>—</v>
      </c>
      <c r="R49" s="13" t="str">
        <f>_xll.BDH("NBIX US Equity","ARDR_AMORT_EXP","FQ3 2022","FQ3 2022","Currency=USD","Period=FQ","BEST_FPERIOD_OVERRIDE=FQ","FILING_STATUS=MR","SCALING_FORMAT=MLN","Sort=A","Dates=H","DateFormat=P","Fill=—","Direction=H","UseDPDF=Y")</f>
        <v>—</v>
      </c>
      <c r="S49" s="13" t="str">
        <f>_xll.BDH("NBIX US Equity","ARDR_AMORT_EXP","FQ4 2022","FQ4 2022","Currency=USD","Period=FQ","BEST_FPERIOD_OVERRIDE=FQ","FILING_STATUS=MR","SCALING_FORMAT=MLN","Sort=A","Dates=H","DateFormat=P","Fill=—","Direction=H","UseDPDF=Y")</f>
        <v>—</v>
      </c>
      <c r="T49" s="13" t="str">
        <f>_xll.BDH("NBIX US Equity","ARDR_AMORT_EXP","FQ1 2023","FQ1 2023","Currency=USD","Period=FQ","BEST_FPERIOD_OVERRIDE=FQ","FILING_STATUS=MR","SCALING_FORMAT=MLN","Sort=A","Dates=H","DateFormat=P","Fill=—","Direction=H","UseDPDF=Y")</f>
        <v>—</v>
      </c>
      <c r="U49" s="13" t="str">
        <f>_xll.BDH("NBIX US Equity","ARDR_AMORT_EXP","FQ2 2023","FQ2 2023","Currency=USD","Period=FQ","BEST_FPERIOD_OVERRIDE=FQ","FILING_STATUS=MR","SCALING_FORMAT=MLN","Sort=A","Dates=H","DateFormat=P","Fill=—","Direction=H","UseDPDF=Y")</f>
        <v>—</v>
      </c>
      <c r="V49" s="13" t="str">
        <f>_xll.BDH("NBIX US Equity","ARDR_AMORT_EXP","FQ3 2023","FQ3 2023","Currency=USD","Period=FQ","BEST_FPERIOD_OVERRIDE=FQ","FILING_STATUS=MR","SCALING_FORMAT=MLN","Sort=A","Dates=H","DateFormat=P","Fill=—","Direction=H","UseDPDF=Y")</f>
        <v>—</v>
      </c>
      <c r="W49" s="13">
        <f>_xll.BDH("NBIX US Equity","ARDR_AMORT_EXP","FQ4 2023","FQ4 2023","Currency=USD","Period=FQ","BEST_FPERIOD_OVERRIDE=FQ","FILING_STATUS=MR","SCALING_FORMAT=MLN","Sort=A","Dates=H","DateFormat=P","Fill=—","Direction=H","UseDPDF=Y")</f>
        <v>0.8</v>
      </c>
      <c r="X49" s="13">
        <f>_xll.BDH("NBIX US Equity","ARDR_AMORT_EXP","FQ1 2024","FQ1 2024","Currency=USD","Period=FQ","BEST_FPERIOD_OVERRIDE=FQ","FILING_STATUS=MR","SCALING_FORMAT=MLN","Sort=A","Dates=H","DateFormat=P","Fill=—","Direction=H","UseDPDF=Y")</f>
        <v>0.9</v>
      </c>
      <c r="Y49" s="13" t="str">
        <f>_xll.BDH("NBIX US Equity","ARDR_AMORT_EXP","FQ2 2024","FQ2 2024","Currency=USD","Period=FQ","BEST_FPERIOD_OVERRIDE=FQ","FILING_STATUS=MR","SCALING_FORMAT=MLN","Sort=A","Dates=H","DateFormat=P","Fill=—","Direction=H","UseDPDF=Y")</f>
        <v>—</v>
      </c>
      <c r="Z49" s="13" t="str">
        <f>_xll.BDH("NBIX US Equity","ARDR_AMORT_EXP","FQ3 2024","FQ3 2024","Currency=USD","Period=FQ","BEST_FPERIOD_OVERRIDE=FQ","FILING_STATUS=MR","SCALING_FORMAT=MLN","Sort=A","Dates=H","DateFormat=P","Fill=—","Direction=H","UseDPDF=Y")</f>
        <v>—</v>
      </c>
      <c r="AA49" s="13">
        <f>_xll.BDH("NBIX US Equity","ARDR_AMORT_EXP","FQ4 2024","FQ4 2024","Currency=USD","Period=FQ","BEST_FPERIOD_OVERRIDE=FQ","FILING_STATUS=MR","SCALING_FORMAT=MLN","Sort=A","Dates=H","DateFormat=P","Fill=—","Direction=H","UseDPDF=Y")</f>
        <v>0.9</v>
      </c>
    </row>
    <row r="50" spans="1:27" x14ac:dyDescent="0.25">
      <c r="A50" s="10" t="s">
        <v>434</v>
      </c>
      <c r="B50" s="10" t="s">
        <v>497</v>
      </c>
      <c r="C50" s="13">
        <f>_xll.BDH("NBIX US Equity","ARDR_R&amp;D_EXPENDITURES","FQ4 2018","FQ4 2018","Currency=USD","Period=FQ","BEST_FPERIOD_OVERRIDE=FQ","FILING_STATUS=MR","SCALING_FORMAT=MLN","Sort=A","Dates=H","DateFormat=P","Fill=—","Direction=H","UseDPDF=Y")</f>
        <v>39.106999999999999</v>
      </c>
      <c r="D50" s="13">
        <f>_xll.BDH("NBIX US Equity","ARDR_R&amp;D_EXPENDITURES","FQ1 2019","FQ1 2019","Currency=USD","Period=FQ","BEST_FPERIOD_OVERRIDE=FQ","FILING_STATUS=MR","SCALING_FORMAT=MLN","Sort=A","Dates=H","DateFormat=P","Fill=—","Direction=H","UseDPDF=Y")</f>
        <v>37.652000000000001</v>
      </c>
      <c r="E50" s="13">
        <f>_xll.BDH("NBIX US Equity","ARDR_R&amp;D_EXPENDITURES","FQ2 2019","FQ2 2019","Currency=USD","Period=FQ","BEST_FPERIOD_OVERRIDE=FQ","FILING_STATUS=MR","SCALING_FORMAT=MLN","Sort=A","Dates=H","DateFormat=P","Fill=—","Direction=H","UseDPDF=Y")</f>
        <v>61.686999999999998</v>
      </c>
      <c r="F50" s="13">
        <f>_xll.BDH("NBIX US Equity","ARDR_R&amp;D_EXPENDITURES","FQ3 2019","FQ3 2019","Currency=USD","Period=FQ","BEST_FPERIOD_OVERRIDE=FQ","FILING_STATUS=MR","SCALING_FORMAT=MLN","Sort=A","Dates=H","DateFormat=P","Fill=—","Direction=H","UseDPDF=Y")</f>
        <v>45.277999999999999</v>
      </c>
      <c r="G50" s="13">
        <f>_xll.BDH("NBIX US Equity","ARDR_R&amp;D_EXPENDITURES","FQ4 2019","FQ4 2019","Currency=USD","Period=FQ","BEST_FPERIOD_OVERRIDE=FQ","FILING_STATUS=MR","SCALING_FORMAT=MLN","Sort=A","Dates=H","DateFormat=P","Fill=—","Direction=H","UseDPDF=Y")</f>
        <v>55.3</v>
      </c>
      <c r="H50" s="13">
        <f>_xll.BDH("NBIX US Equity","ARDR_R&amp;D_EXPENDITURES","FQ1 2020","FQ1 2020","Currency=USD","Period=FQ","BEST_FPERIOD_OVERRIDE=FQ","FILING_STATUS=MR","SCALING_FORMAT=MLN","Sort=A","Dates=H","DateFormat=P","Fill=—","Direction=H","UseDPDF=Y")</f>
        <v>58.3</v>
      </c>
      <c r="I50" s="13">
        <f>_xll.BDH("NBIX US Equity","ARDR_R&amp;D_EXPENDITURES","FQ2 2020","FQ2 2020","Currency=USD","Period=FQ","BEST_FPERIOD_OVERRIDE=FQ","FILING_STATUS=MR","SCALING_FORMAT=MLN","Sort=A","Dates=H","DateFormat=P","Fill=—","Direction=H","UseDPDF=Y")</f>
        <v>80.900000000000006</v>
      </c>
      <c r="J50" s="13">
        <f>_xll.BDH("NBIX US Equity","ARDR_R&amp;D_EXPENDITURES","FQ3 2020","FQ3 2020","Currency=USD","Period=FQ","BEST_FPERIOD_OVERRIDE=FQ","FILING_STATUS=MR","SCALING_FORMAT=MLN","Sort=A","Dates=H","DateFormat=P","Fill=—","Direction=H","UseDPDF=Y")</f>
        <v>69.099999999999994</v>
      </c>
      <c r="K50" s="13">
        <f>_xll.BDH("NBIX US Equity","ARDR_R&amp;D_EXPENDITURES","FQ4 2020","FQ4 2020","Currency=USD","Period=FQ","BEST_FPERIOD_OVERRIDE=FQ","FILING_STATUS=MR","SCALING_FORMAT=MLN","Sort=A","Dates=H","DateFormat=P","Fill=—","Direction=H","UseDPDF=Y")</f>
        <v>66.7</v>
      </c>
      <c r="L50" s="13">
        <f>_xll.BDH("NBIX US Equity","ARDR_R&amp;D_EXPENDITURES","FQ1 2021","FQ1 2021","Currency=USD","Period=FQ","BEST_FPERIOD_OVERRIDE=FQ","FILING_STATUS=MR","SCALING_FORMAT=MLN","Sort=A","Dates=H","DateFormat=P","Fill=—","Direction=H","UseDPDF=Y")</f>
        <v>73.2</v>
      </c>
      <c r="M50" s="13">
        <f>_xll.BDH("NBIX US Equity","ARDR_R&amp;D_EXPENDITURES","FQ2 2021","FQ2 2021","Currency=USD","Period=FQ","BEST_FPERIOD_OVERRIDE=FQ","FILING_STATUS=MR","SCALING_FORMAT=MLN","Sort=A","Dates=H","DateFormat=P","Fill=—","Direction=H","UseDPDF=Y")</f>
        <v>74.8</v>
      </c>
      <c r="N50" s="13">
        <f>_xll.BDH("NBIX US Equity","ARDR_R&amp;D_EXPENDITURES","FQ3 2021","FQ3 2021","Currency=USD","Period=FQ","BEST_FPERIOD_OVERRIDE=FQ","FILING_STATUS=MR","SCALING_FORMAT=MLN","Sort=A","Dates=H","DateFormat=P","Fill=—","Direction=H","UseDPDF=Y")</f>
        <v>92.7</v>
      </c>
      <c r="O50" s="13">
        <f>_xll.BDH("NBIX US Equity","ARDR_R&amp;D_EXPENDITURES","FQ4 2021","FQ4 2021","Currency=USD","Period=FQ","BEST_FPERIOD_OVERRIDE=FQ","FILING_STATUS=MR","SCALING_FORMAT=MLN","Sort=A","Dates=H","DateFormat=P","Fill=—","Direction=H","UseDPDF=Y")</f>
        <v>87.4</v>
      </c>
      <c r="P50" s="13">
        <f>_xll.BDH("NBIX US Equity","ARDR_R&amp;D_EXPENDITURES","FQ1 2022","FQ1 2022","Currency=USD","Period=FQ","BEST_FPERIOD_OVERRIDE=FQ","FILING_STATUS=MR","SCALING_FORMAT=MLN","Sort=A","Dates=H","DateFormat=P","Fill=—","Direction=H","UseDPDF=Y")</f>
        <v>102.2</v>
      </c>
      <c r="Q50" s="13">
        <f>_xll.BDH("NBIX US Equity","ARDR_R&amp;D_EXPENDITURES","FQ2 2022","FQ2 2022","Currency=USD","Period=FQ","BEST_FPERIOD_OVERRIDE=FQ","FILING_STATUS=MR","SCALING_FORMAT=MLN","Sort=A","Dates=H","DateFormat=P","Fill=—","Direction=H","UseDPDF=Y")</f>
        <v>135.9</v>
      </c>
      <c r="R50" s="13">
        <f>_xll.BDH("NBIX US Equity","ARDR_R&amp;D_EXPENDITURES","FQ3 2022","FQ3 2022","Currency=USD","Period=FQ","BEST_FPERIOD_OVERRIDE=FQ","FILING_STATUS=MR","SCALING_FORMAT=MLN","Sort=A","Dates=H","DateFormat=P","Fill=—","Direction=H","UseDPDF=Y")</f>
        <v>107.7</v>
      </c>
      <c r="S50" s="13">
        <f>_xll.BDH("NBIX US Equity","ARDR_R&amp;D_EXPENDITURES","FQ4 2022","FQ4 2022","Currency=USD","Period=FQ","BEST_FPERIOD_OVERRIDE=FQ","FILING_STATUS=MR","SCALING_FORMAT=MLN","Sort=A","Dates=H","DateFormat=P","Fill=—","Direction=H","UseDPDF=Y")</f>
        <v>118</v>
      </c>
      <c r="T50" s="13">
        <f>_xll.BDH("NBIX US Equity","ARDR_R&amp;D_EXPENDITURES","FQ1 2023","FQ1 2023","Currency=USD","Period=FQ","BEST_FPERIOD_OVERRIDE=FQ","FILING_STATUS=MR","SCALING_FORMAT=MLN","Sort=A","Dates=H","DateFormat=P","Fill=—","Direction=H","UseDPDF=Y")</f>
        <v>139.5</v>
      </c>
      <c r="U50" s="13">
        <f>_xll.BDH("NBIX US Equity","ARDR_R&amp;D_EXPENDITURES","FQ2 2023","FQ2 2023","Currency=USD","Period=FQ","BEST_FPERIOD_OVERRIDE=FQ","FILING_STATUS=MR","SCALING_FORMAT=MLN","Sort=A","Dates=H","DateFormat=P","Fill=—","Direction=H","UseDPDF=Y")</f>
        <v>145.80000000000001</v>
      </c>
      <c r="V50" s="13">
        <f>_xll.BDH("NBIX US Equity","ARDR_R&amp;D_EXPENDITURES","FQ3 2023","FQ3 2023","Currency=USD","Period=FQ","BEST_FPERIOD_OVERRIDE=FQ","FILING_STATUS=MR","SCALING_FORMAT=MLN","Sort=A","Dates=H","DateFormat=P","Fill=—","Direction=H","UseDPDF=Y")</f>
        <v>142.19999999999999</v>
      </c>
      <c r="W50" s="13">
        <f>_xll.BDH("NBIX US Equity","ARDR_R&amp;D_EXPENDITURES","FQ4 2023","FQ4 2023","Currency=USD","Period=FQ","BEST_FPERIOD_OVERRIDE=FQ","FILING_STATUS=MR","SCALING_FORMAT=MLN","Sort=A","Dates=H","DateFormat=P","Fill=—","Direction=H","UseDPDF=Y")</f>
        <v>137.5</v>
      </c>
      <c r="X50" s="13">
        <f>_xll.BDH("NBIX US Equity","ARDR_R&amp;D_EXPENDITURES","FQ1 2024","FQ1 2024","Currency=USD","Period=FQ","BEST_FPERIOD_OVERRIDE=FQ","FILING_STATUS=MR","SCALING_FORMAT=MLN","Sort=A","Dates=H","DateFormat=P","Fill=—","Direction=H","UseDPDF=Y")</f>
        <v>159.4</v>
      </c>
      <c r="Y50" s="13">
        <f>_xll.BDH("NBIX US Equity","ARDR_R&amp;D_EXPENDITURES","FQ2 2024","FQ2 2024","Currency=USD","Period=FQ","BEST_FPERIOD_OVERRIDE=FQ","FILING_STATUS=MR","SCALING_FORMAT=MLN","Sort=A","Dates=H","DateFormat=P","Fill=—","Direction=H","UseDPDF=Y")</f>
        <v>191.1</v>
      </c>
      <c r="Z50" s="13">
        <f>_xll.BDH("NBIX US Equity","ARDR_R&amp;D_EXPENDITURES","FQ3 2024","FQ3 2024","Currency=USD","Period=FQ","BEST_FPERIOD_OVERRIDE=FQ","FILING_STATUS=MR","SCALING_FORMAT=MLN","Sort=A","Dates=H","DateFormat=P","Fill=—","Direction=H","UseDPDF=Y")</f>
        <v>195</v>
      </c>
      <c r="AA50" s="13">
        <f>_xll.BDH("NBIX US Equity","ARDR_R&amp;D_EXPENDITURES","FQ4 2024","FQ4 2024","Currency=USD","Period=FQ","BEST_FPERIOD_OVERRIDE=FQ","FILING_STATUS=MR","SCALING_FORMAT=MLN","Sort=A","Dates=H","DateFormat=P","Fill=—","Direction=H","UseDPDF=Y")</f>
        <v>185.6</v>
      </c>
    </row>
    <row r="51" spans="1:27" x14ac:dyDescent="0.25">
      <c r="A51" s="10" t="s">
        <v>409</v>
      </c>
      <c r="B51" s="10" t="s">
        <v>498</v>
      </c>
      <c r="C51" s="13" t="str">
        <f>_xll.BDH("NBIX US Equity","ARDR_DEPRECIATION_EXP","FQ4 2018","FQ4 2018","Currency=USD","Period=FQ","BEST_FPERIOD_OVERRIDE=FQ","FILING_STATUS=MR","SCALING_FORMAT=MLN","Sort=A","Dates=H","DateFormat=P","Fill=—","Direction=H","UseDPDF=Y")</f>
        <v>—</v>
      </c>
      <c r="D51" s="13" t="str">
        <f>_xll.BDH("NBIX US Equity","ARDR_DEPRECIATION_EXP","FQ1 2019","FQ1 2019","Currency=USD","Period=FQ","BEST_FPERIOD_OVERRIDE=FQ","FILING_STATUS=MR","SCALING_FORMAT=MLN","Sort=A","Dates=H","DateFormat=P","Fill=—","Direction=H","UseDPDF=Y")</f>
        <v>—</v>
      </c>
      <c r="E51" s="13" t="str">
        <f>_xll.BDH("NBIX US Equity","ARDR_DEPRECIATION_EXP","FQ2 2019","FQ2 2019","Currency=USD","Period=FQ","BEST_FPERIOD_OVERRIDE=FQ","FILING_STATUS=MR","SCALING_FORMAT=MLN","Sort=A","Dates=H","DateFormat=P","Fill=—","Direction=H","UseDPDF=Y")</f>
        <v>—</v>
      </c>
      <c r="F51" s="13" t="str">
        <f>_xll.BDH("NBIX US Equity","ARDR_DEPRECIATION_EXP","FQ3 2019","FQ3 2019","Currency=USD","Period=FQ","BEST_FPERIOD_OVERRIDE=FQ","FILING_STATUS=MR","SCALING_FORMAT=MLN","Sort=A","Dates=H","DateFormat=P","Fill=—","Direction=H","UseDPDF=Y")</f>
        <v>—</v>
      </c>
      <c r="G51" s="13">
        <f>_xll.BDH("NBIX US Equity","ARDR_DEPRECIATION_EXP","FQ4 2019","FQ4 2019","Currency=USD","Period=FQ","BEST_FPERIOD_OVERRIDE=FQ","FILING_STATUS=MR","SCALING_FORMAT=MLN","Sort=A","Dates=H","DateFormat=P","Fill=—","Direction=H","UseDPDF=Y")</f>
        <v>2.0390000000000001</v>
      </c>
      <c r="H51" s="13">
        <f>_xll.BDH("NBIX US Equity","ARDR_DEPRECIATION_EXP","FQ1 2020","FQ1 2020","Currency=USD","Period=FQ","BEST_FPERIOD_OVERRIDE=FQ","FILING_STATUS=MR","SCALING_FORMAT=MLN","Sort=A","Dates=H","DateFormat=P","Fill=—","Direction=H","UseDPDF=Y")</f>
        <v>2.1</v>
      </c>
      <c r="I51" s="13">
        <f>_xll.BDH("NBIX US Equity","ARDR_DEPRECIATION_EXP","FQ2 2020","FQ2 2020","Currency=USD","Period=FQ","BEST_FPERIOD_OVERRIDE=FQ","FILING_STATUS=MR","SCALING_FORMAT=MLN","Sort=A","Dates=H","DateFormat=P","Fill=—","Direction=H","UseDPDF=Y")</f>
        <v>2.1</v>
      </c>
      <c r="J51" s="13">
        <f>_xll.BDH("NBIX US Equity","ARDR_DEPRECIATION_EXP","FQ3 2020","FQ3 2020","Currency=USD","Period=FQ","BEST_FPERIOD_OVERRIDE=FQ","FILING_STATUS=MR","SCALING_FORMAT=MLN","Sort=A","Dates=H","DateFormat=P","Fill=—","Direction=H","UseDPDF=Y")</f>
        <v>2.2000000000000002</v>
      </c>
      <c r="K51" s="13">
        <f>_xll.BDH("NBIX US Equity","ARDR_DEPRECIATION_EXP","FQ4 2020","FQ4 2020","Currency=USD","Period=FQ","BEST_FPERIOD_OVERRIDE=FQ","FILING_STATUS=MR","SCALING_FORMAT=MLN","Sort=A","Dates=H","DateFormat=P","Fill=—","Direction=H","UseDPDF=Y")</f>
        <v>2.2000000000000002</v>
      </c>
      <c r="L51" s="13">
        <f>_xll.BDH("NBIX US Equity","ARDR_DEPRECIATION_EXP","FQ1 2021","FQ1 2021","Currency=USD","Period=FQ","BEST_FPERIOD_OVERRIDE=FQ","FILING_STATUS=MR","SCALING_FORMAT=MLN","Sort=A","Dates=H","DateFormat=P","Fill=—","Direction=H","UseDPDF=Y")</f>
        <v>2.5</v>
      </c>
      <c r="M51" s="13">
        <f>_xll.BDH("NBIX US Equity","ARDR_DEPRECIATION_EXP","FQ2 2021","FQ2 2021","Currency=USD","Period=FQ","BEST_FPERIOD_OVERRIDE=FQ","FILING_STATUS=MR","SCALING_FORMAT=MLN","Sort=A","Dates=H","DateFormat=P","Fill=—","Direction=H","UseDPDF=Y")</f>
        <v>2.6</v>
      </c>
      <c r="N51" s="13">
        <f>_xll.BDH("NBIX US Equity","ARDR_DEPRECIATION_EXP","FQ3 2021","FQ3 2021","Currency=USD","Period=FQ","BEST_FPERIOD_OVERRIDE=FQ","FILING_STATUS=MR","SCALING_FORMAT=MLN","Sort=A","Dates=H","DateFormat=P","Fill=—","Direction=H","UseDPDF=Y")</f>
        <v>2.8</v>
      </c>
      <c r="O51" s="13">
        <f>_xll.BDH("NBIX US Equity","ARDR_DEPRECIATION_EXP","FQ4 2021","FQ4 2021","Currency=USD","Period=FQ","BEST_FPERIOD_OVERRIDE=FQ","FILING_STATUS=MR","SCALING_FORMAT=MLN","Sort=A","Dates=H","DateFormat=P","Fill=—","Direction=H","UseDPDF=Y")</f>
        <v>3</v>
      </c>
      <c r="P51" s="13">
        <f>_xll.BDH("NBIX US Equity","ARDR_DEPRECIATION_EXP","FQ1 2022","FQ1 2022","Currency=USD","Period=FQ","BEST_FPERIOD_OVERRIDE=FQ","FILING_STATUS=MR","SCALING_FORMAT=MLN","Sort=A","Dates=H","DateFormat=P","Fill=—","Direction=H","UseDPDF=Y")</f>
        <v>3.3</v>
      </c>
      <c r="Q51" s="13">
        <f>_xll.BDH("NBIX US Equity","ARDR_DEPRECIATION_EXP","FQ2 2022","FQ2 2022","Currency=USD","Period=FQ","BEST_FPERIOD_OVERRIDE=FQ","FILING_STATUS=MR","SCALING_FORMAT=MLN","Sort=A","Dates=H","DateFormat=P","Fill=—","Direction=H","UseDPDF=Y")</f>
        <v>3.9</v>
      </c>
      <c r="R51" s="13">
        <f>_xll.BDH("NBIX US Equity","ARDR_DEPRECIATION_EXP","FQ3 2022","FQ3 2022","Currency=USD","Period=FQ","BEST_FPERIOD_OVERRIDE=FQ","FILING_STATUS=MR","SCALING_FORMAT=MLN","Sort=A","Dates=H","DateFormat=P","Fill=—","Direction=H","UseDPDF=Y")</f>
        <v>4</v>
      </c>
      <c r="S51" s="13">
        <f>_xll.BDH("NBIX US Equity","ARDR_DEPRECIATION_EXP","FQ4 2022","FQ4 2022","Currency=USD","Period=FQ","BEST_FPERIOD_OVERRIDE=FQ","FILING_STATUS=MR","SCALING_FORMAT=MLN","Sort=A","Dates=H","DateFormat=P","Fill=—","Direction=H","UseDPDF=Y")</f>
        <v>3.9</v>
      </c>
      <c r="T51" s="13">
        <f>_xll.BDH("NBIX US Equity","ARDR_DEPRECIATION_EXP","FQ1 2023","FQ1 2023","Currency=USD","Period=FQ","BEST_FPERIOD_OVERRIDE=FQ","FILING_STATUS=MR","SCALING_FORMAT=MLN","Sort=A","Dates=H","DateFormat=P","Fill=—","Direction=H","UseDPDF=Y")</f>
        <v>4.0999999999999996</v>
      </c>
      <c r="U51" s="13">
        <f>_xll.BDH("NBIX US Equity","ARDR_DEPRECIATION_EXP","FQ2 2023","FQ2 2023","Currency=USD","Period=FQ","BEST_FPERIOD_OVERRIDE=FQ","FILING_STATUS=MR","SCALING_FORMAT=MLN","Sort=A","Dates=H","DateFormat=P","Fill=—","Direction=H","UseDPDF=Y")</f>
        <v>4.2</v>
      </c>
      <c r="V51" s="13">
        <f>_xll.BDH("NBIX US Equity","ARDR_DEPRECIATION_EXP","FQ3 2023","FQ3 2023","Currency=USD","Period=FQ","BEST_FPERIOD_OVERRIDE=FQ","FILING_STATUS=MR","SCALING_FORMAT=MLN","Sort=A","Dates=H","DateFormat=P","Fill=—","Direction=H","UseDPDF=Y")</f>
        <v>4.5999999999999996</v>
      </c>
      <c r="W51" s="13">
        <f>_xll.BDH("NBIX US Equity","ARDR_DEPRECIATION_EXP","FQ4 2023","FQ4 2023","Currency=USD","Period=FQ","BEST_FPERIOD_OVERRIDE=FQ","FILING_STATUS=MR","SCALING_FORMAT=MLN","Sort=A","Dates=H","DateFormat=P","Fill=—","Direction=H","UseDPDF=Y")</f>
        <v>4.9000000000000004</v>
      </c>
      <c r="X51" s="13">
        <f>_xll.BDH("NBIX US Equity","ARDR_DEPRECIATION_EXP","FQ1 2024","FQ1 2024","Currency=USD","Period=FQ","BEST_FPERIOD_OVERRIDE=FQ","FILING_STATUS=MR","SCALING_FORMAT=MLN","Sort=A","Dates=H","DateFormat=P","Fill=—","Direction=H","UseDPDF=Y")</f>
        <v>5.3</v>
      </c>
      <c r="Y51" s="13">
        <f>_xll.BDH("NBIX US Equity","ARDR_DEPRECIATION_EXP","FQ2 2024","FQ2 2024","Currency=USD","Period=FQ","BEST_FPERIOD_OVERRIDE=FQ","FILING_STATUS=MR","SCALING_FORMAT=MLN","Sort=A","Dates=H","DateFormat=P","Fill=—","Direction=H","UseDPDF=Y")</f>
        <v>6.4</v>
      </c>
      <c r="Z51" s="13">
        <f>_xll.BDH("NBIX US Equity","ARDR_DEPRECIATION_EXP","FQ3 2024","FQ3 2024","Currency=USD","Period=FQ","BEST_FPERIOD_OVERRIDE=FQ","FILING_STATUS=MR","SCALING_FORMAT=MLN","Sort=A","Dates=H","DateFormat=P","Fill=—","Direction=H","UseDPDF=Y")</f>
        <v>5.6</v>
      </c>
      <c r="AA51" s="13">
        <f>_xll.BDH("NBIX US Equity","ARDR_DEPRECIATION_EXP","FQ4 2024","FQ4 2024","Currency=USD","Period=FQ","BEST_FPERIOD_OVERRIDE=FQ","FILING_STATUS=MR","SCALING_FORMAT=MLN","Sort=A","Dates=H","DateFormat=P","Fill=—","Direction=H","UseDPDF=Y")</f>
        <v>6.2</v>
      </c>
    </row>
    <row r="52" spans="1:27" x14ac:dyDescent="0.25">
      <c r="A52" s="10" t="s">
        <v>499</v>
      </c>
      <c r="B52" s="10" t="s">
        <v>500</v>
      </c>
      <c r="C52" s="13" t="str">
        <f>_xll.BDH("NBIX US Equity","ARDR_SELLING_GENERAL_ADMIN_EXP","FQ4 2018","FQ4 2018","Currency=USD","Period=FQ","BEST_FPERIOD_OVERRIDE=FQ","FILING_STATUS=MR","SCALING_FORMAT=MLN","Sort=A","Dates=H","DateFormat=P","Fill=—","Direction=H","UseDPDF=Y")</f>
        <v>—</v>
      </c>
      <c r="D52" s="13" t="str">
        <f>_xll.BDH("NBIX US Equity","ARDR_SELLING_GENERAL_ADMIN_EXP","FQ1 2019","FQ1 2019","Currency=USD","Period=FQ","BEST_FPERIOD_OVERRIDE=FQ","FILING_STATUS=MR","SCALING_FORMAT=MLN","Sort=A","Dates=H","DateFormat=P","Fill=—","Direction=H","UseDPDF=Y")</f>
        <v>—</v>
      </c>
      <c r="E52" s="13" t="str">
        <f>_xll.BDH("NBIX US Equity","ARDR_SELLING_GENERAL_ADMIN_EXP","FQ2 2019","FQ2 2019","Currency=USD","Period=FQ","BEST_FPERIOD_OVERRIDE=FQ","FILING_STATUS=MR","SCALING_FORMAT=MLN","Sort=A","Dates=H","DateFormat=P","Fill=—","Direction=H","UseDPDF=Y")</f>
        <v>—</v>
      </c>
      <c r="F52" s="13" t="str">
        <f>_xll.BDH("NBIX US Equity","ARDR_SELLING_GENERAL_ADMIN_EXP","FQ3 2019","FQ3 2019","Currency=USD","Period=FQ","BEST_FPERIOD_OVERRIDE=FQ","FILING_STATUS=MR","SCALING_FORMAT=MLN","Sort=A","Dates=H","DateFormat=P","Fill=—","Direction=H","UseDPDF=Y")</f>
        <v>—</v>
      </c>
      <c r="G52" s="13" t="str">
        <f>_xll.BDH("NBIX US Equity","ARDR_SELLING_GENERAL_ADMIN_EXP","FQ4 2019","FQ4 2019","Currency=USD","Period=FQ","BEST_FPERIOD_OVERRIDE=FQ","FILING_STATUS=MR","SCALING_FORMAT=MLN","Sort=A","Dates=H","DateFormat=P","Fill=—","Direction=H","UseDPDF=Y")</f>
        <v>—</v>
      </c>
      <c r="H52" s="13" t="str">
        <f>_xll.BDH("NBIX US Equity","ARDR_SELLING_GENERAL_ADMIN_EXP","FQ1 2020","FQ1 2020","Currency=USD","Period=FQ","BEST_FPERIOD_OVERRIDE=FQ","FILING_STATUS=MR","SCALING_FORMAT=MLN","Sort=A","Dates=H","DateFormat=P","Fill=—","Direction=H","UseDPDF=Y")</f>
        <v>—</v>
      </c>
      <c r="I52" s="13" t="str">
        <f>_xll.BDH("NBIX US Equity","ARDR_SELLING_GENERAL_ADMIN_EXP","FQ2 2020","FQ2 2020","Currency=USD","Period=FQ","BEST_FPERIOD_OVERRIDE=FQ","FILING_STATUS=MR","SCALING_FORMAT=MLN","Sort=A","Dates=H","DateFormat=P","Fill=—","Direction=H","UseDPDF=Y")</f>
        <v>—</v>
      </c>
      <c r="J52" s="13" t="str">
        <f>_xll.BDH("NBIX US Equity","ARDR_SELLING_GENERAL_ADMIN_EXP","FQ3 2020","FQ3 2020","Currency=USD","Period=FQ","BEST_FPERIOD_OVERRIDE=FQ","FILING_STATUS=MR","SCALING_FORMAT=MLN","Sort=A","Dates=H","DateFormat=P","Fill=—","Direction=H","UseDPDF=Y")</f>
        <v>—</v>
      </c>
      <c r="K52" s="13" t="str">
        <f>_xll.BDH("NBIX US Equity","ARDR_SELLING_GENERAL_ADMIN_EXP","FQ4 2020","FQ4 2020","Currency=USD","Period=FQ","BEST_FPERIOD_OVERRIDE=FQ","FILING_STATUS=MR","SCALING_FORMAT=MLN","Sort=A","Dates=H","DateFormat=P","Fill=—","Direction=H","UseDPDF=Y")</f>
        <v>—</v>
      </c>
      <c r="L52" s="13" t="str">
        <f>_xll.BDH("NBIX US Equity","ARDR_SELLING_GENERAL_ADMIN_EXP","FQ1 2021","FQ1 2021","Currency=USD","Period=FQ","BEST_FPERIOD_OVERRIDE=FQ","FILING_STATUS=MR","SCALING_FORMAT=MLN","Sort=A","Dates=H","DateFormat=P","Fill=—","Direction=H","UseDPDF=Y")</f>
        <v>—</v>
      </c>
      <c r="M52" s="13">
        <f>_xll.BDH("NBIX US Equity","ARDR_SELLING_GENERAL_ADMIN_EXP","FQ2 2021","FQ2 2021","Currency=USD","Period=FQ","BEST_FPERIOD_OVERRIDE=FQ","FILING_STATUS=MR","SCALING_FORMAT=MLN","Sort=A","Dates=H","DateFormat=P","Fill=—","Direction=H","UseDPDF=Y")</f>
        <v>143.19999999999999</v>
      </c>
      <c r="N52" s="13" t="str">
        <f>_xll.BDH("NBIX US Equity","ARDR_SELLING_GENERAL_ADMIN_EXP","FQ3 2021","FQ3 2021","Currency=USD","Period=FQ","BEST_FPERIOD_OVERRIDE=FQ","FILING_STATUS=MR","SCALING_FORMAT=MLN","Sort=A","Dates=H","DateFormat=P","Fill=—","Direction=H","UseDPDF=Y")</f>
        <v>—</v>
      </c>
      <c r="O52" s="13" t="str">
        <f>_xll.BDH("NBIX US Equity","ARDR_SELLING_GENERAL_ADMIN_EXP","FQ4 2021","FQ4 2021","Currency=USD","Period=FQ","BEST_FPERIOD_OVERRIDE=FQ","FILING_STATUS=MR","SCALING_FORMAT=MLN","Sort=A","Dates=H","DateFormat=P","Fill=—","Direction=H","UseDPDF=Y")</f>
        <v>—</v>
      </c>
      <c r="P52" s="13" t="str">
        <f>_xll.BDH("NBIX US Equity","ARDR_SELLING_GENERAL_ADMIN_EXP","FQ1 2022","FQ1 2022","Currency=USD","Period=FQ","BEST_FPERIOD_OVERRIDE=FQ","FILING_STATUS=MR","SCALING_FORMAT=MLN","Sort=A","Dates=H","DateFormat=P","Fill=—","Direction=H","UseDPDF=Y")</f>
        <v>—</v>
      </c>
      <c r="Q52" s="13">
        <f>_xll.BDH("NBIX US Equity","ARDR_SELLING_GENERAL_ADMIN_EXP","FQ2 2022","FQ2 2022","Currency=USD","Period=FQ","BEST_FPERIOD_OVERRIDE=FQ","FILING_STATUS=MR","SCALING_FORMAT=MLN","Sort=A","Dates=H","DateFormat=P","Fill=—","Direction=H","UseDPDF=Y")</f>
        <v>182.8</v>
      </c>
      <c r="R52" s="13">
        <f>_xll.BDH("NBIX US Equity","ARDR_SELLING_GENERAL_ADMIN_EXP","FQ3 2022","FQ3 2022","Currency=USD","Period=FQ","BEST_FPERIOD_OVERRIDE=FQ","FILING_STATUS=MR","SCALING_FORMAT=MLN","Sort=A","Dates=H","DateFormat=P","Fill=—","Direction=H","UseDPDF=Y")</f>
        <v>186.3</v>
      </c>
      <c r="S52" s="13" t="str">
        <f>_xll.BDH("NBIX US Equity","ARDR_SELLING_GENERAL_ADMIN_EXP","FQ4 2022","FQ4 2022","Currency=USD","Period=FQ","BEST_FPERIOD_OVERRIDE=FQ","FILING_STATUS=MR","SCALING_FORMAT=MLN","Sort=A","Dates=H","DateFormat=P","Fill=—","Direction=H","UseDPDF=Y")</f>
        <v>—</v>
      </c>
      <c r="T52" s="13" t="str">
        <f>_xll.BDH("NBIX US Equity","ARDR_SELLING_GENERAL_ADMIN_EXP","FQ1 2023","FQ1 2023","Currency=USD","Period=FQ","BEST_FPERIOD_OVERRIDE=FQ","FILING_STATUS=MR","SCALING_FORMAT=MLN","Sort=A","Dates=H","DateFormat=P","Fill=—","Direction=H","UseDPDF=Y")</f>
        <v>—</v>
      </c>
      <c r="U52" s="13">
        <f>_xll.BDH("NBIX US Equity","ARDR_SELLING_GENERAL_ADMIN_EXP","FQ2 2023","FQ2 2023","Currency=USD","Period=FQ","BEST_FPERIOD_OVERRIDE=FQ","FILING_STATUS=MR","SCALING_FORMAT=MLN","Sort=A","Dates=H","DateFormat=P","Fill=—","Direction=H","UseDPDF=Y")</f>
        <v>221.8</v>
      </c>
      <c r="V52" s="13">
        <f>_xll.BDH("NBIX US Equity","ARDR_SELLING_GENERAL_ADMIN_EXP","FQ3 2023","FQ3 2023","Currency=USD","Period=FQ","BEST_FPERIOD_OVERRIDE=FQ","FILING_STATUS=MR","SCALING_FORMAT=MLN","Sort=A","Dates=H","DateFormat=P","Fill=—","Direction=H","UseDPDF=Y")</f>
        <v>204.2</v>
      </c>
      <c r="W52" s="13">
        <f>_xll.BDH("NBIX US Equity","ARDR_SELLING_GENERAL_ADMIN_EXP","FQ4 2023","FQ4 2023","Currency=USD","Period=FQ","BEST_FPERIOD_OVERRIDE=FQ","FILING_STATUS=MR","SCALING_FORMAT=MLN","Sort=A","Dates=H","DateFormat=P","Fill=—","Direction=H","UseDPDF=Y")</f>
        <v>218.9</v>
      </c>
      <c r="X52" s="13" t="str">
        <f>_xll.BDH("NBIX US Equity","ARDR_SELLING_GENERAL_ADMIN_EXP","FQ1 2024","FQ1 2024","Currency=USD","Period=FQ","BEST_FPERIOD_OVERRIDE=FQ","FILING_STATUS=MR","SCALING_FORMAT=MLN","Sort=A","Dates=H","DateFormat=P","Fill=—","Direction=H","UseDPDF=Y")</f>
        <v>—</v>
      </c>
      <c r="Y52" s="13">
        <f>_xll.BDH("NBIX US Equity","ARDR_SELLING_GENERAL_ADMIN_EXP","FQ2 2024","FQ2 2024","Currency=USD","Period=FQ","BEST_FPERIOD_OVERRIDE=FQ","FILING_STATUS=MR","SCALING_FORMAT=MLN","Sort=A","Dates=H","DateFormat=P","Fill=—","Direction=H","UseDPDF=Y")</f>
        <v>242</v>
      </c>
      <c r="Z52" s="13">
        <f>_xll.BDH("NBIX US Equity","ARDR_SELLING_GENERAL_ADMIN_EXP","FQ3 2024","FQ3 2024","Currency=USD","Period=FQ","BEST_FPERIOD_OVERRIDE=FQ","FILING_STATUS=MR","SCALING_FORMAT=MLN","Sort=A","Dates=H","DateFormat=P","Fill=—","Direction=H","UseDPDF=Y")</f>
        <v>234.3</v>
      </c>
      <c r="AA52" s="13">
        <f>_xll.BDH("NBIX US Equity","ARDR_SELLING_GENERAL_ADMIN_EXP","FQ4 2024","FQ4 2024","Currency=USD","Period=FQ","BEST_FPERIOD_OVERRIDE=FQ","FILING_STATUS=MR","SCALING_FORMAT=MLN","Sort=A","Dates=H","DateFormat=P","Fill=—","Direction=H","UseDPDF=Y")</f>
        <v>287.8</v>
      </c>
    </row>
    <row r="53" spans="1:27" x14ac:dyDescent="0.25">
      <c r="A53" s="10" t="s">
        <v>501</v>
      </c>
      <c r="B53" s="10" t="s">
        <v>502</v>
      </c>
      <c r="C53" s="13" t="str">
        <f>_xll.BDH("NBIX US Equity","ARDR_DEPRECIATION_AMORTIZATION","FQ4 2018","FQ4 2018","Currency=USD","Period=FQ","BEST_FPERIOD_OVERRIDE=FQ","FILING_STATUS=MR","SCALING_FORMAT=MLN","Sort=A","Dates=H","DateFormat=P","Fill=—","Direction=H","UseDPDF=Y")</f>
        <v>—</v>
      </c>
      <c r="D53" s="13">
        <f>_xll.BDH("NBIX US Equity","ARDR_DEPRECIATION_AMORTIZATION","FQ1 2019","FQ1 2019","Currency=USD","Period=FQ","BEST_FPERIOD_OVERRIDE=FQ","FILING_STATUS=MR","SCALING_FORMAT=MLN","Sort=A","Dates=H","DateFormat=P","Fill=—","Direction=H","UseDPDF=Y")</f>
        <v>1.5660000000000001</v>
      </c>
      <c r="E53" s="13">
        <f>_xll.BDH("NBIX US Equity","ARDR_DEPRECIATION_AMORTIZATION","FQ2 2019","FQ2 2019","Currency=USD","Period=FQ","BEST_FPERIOD_OVERRIDE=FQ","FILING_STATUS=MR","SCALING_FORMAT=MLN","Sort=A","Dates=H","DateFormat=P","Fill=—","Direction=H","UseDPDF=Y")</f>
        <v>1.786</v>
      </c>
      <c r="F53" s="13">
        <f>_xll.BDH("NBIX US Equity","ARDR_DEPRECIATION_AMORTIZATION","FQ3 2019","FQ3 2019","Currency=USD","Period=FQ","BEST_FPERIOD_OVERRIDE=FQ","FILING_STATUS=MR","SCALING_FORMAT=MLN","Sort=A","Dates=H","DateFormat=P","Fill=—","Direction=H","UseDPDF=Y")</f>
        <v>2.0089999999999999</v>
      </c>
      <c r="G53" s="13" t="str">
        <f>_xll.BDH("NBIX US Equity","ARDR_DEPRECIATION_AMORTIZATION","FQ4 2019","FQ4 2019","Currency=USD","Period=FQ","BEST_FPERIOD_OVERRIDE=FQ","FILING_STATUS=MR","SCALING_FORMAT=MLN","Sort=A","Dates=H","DateFormat=P","Fill=—","Direction=H","UseDPDF=Y")</f>
        <v>—</v>
      </c>
      <c r="H53" s="13" t="str">
        <f>_xll.BDH("NBIX US Equity","ARDR_DEPRECIATION_AMORTIZATION","FQ1 2020","FQ1 2020","Currency=USD","Period=FQ","BEST_FPERIOD_OVERRIDE=FQ","FILING_STATUS=MR","SCALING_FORMAT=MLN","Sort=A","Dates=H","DateFormat=P","Fill=—","Direction=H","UseDPDF=Y")</f>
        <v>—</v>
      </c>
      <c r="I53" s="13" t="str">
        <f>_xll.BDH("NBIX US Equity","ARDR_DEPRECIATION_AMORTIZATION","FQ2 2020","FQ2 2020","Currency=USD","Period=FQ","BEST_FPERIOD_OVERRIDE=FQ","FILING_STATUS=MR","SCALING_FORMAT=MLN","Sort=A","Dates=H","DateFormat=P","Fill=—","Direction=H","UseDPDF=Y")</f>
        <v>—</v>
      </c>
      <c r="J53" s="13" t="str">
        <f>_xll.BDH("NBIX US Equity","ARDR_DEPRECIATION_AMORTIZATION","FQ3 2020","FQ3 2020","Currency=USD","Period=FQ","BEST_FPERIOD_OVERRIDE=FQ","FILING_STATUS=MR","SCALING_FORMAT=MLN","Sort=A","Dates=H","DateFormat=P","Fill=—","Direction=H","UseDPDF=Y")</f>
        <v>—</v>
      </c>
      <c r="K53" s="13" t="str">
        <f>_xll.BDH("NBIX US Equity","ARDR_DEPRECIATION_AMORTIZATION","FQ4 2020","FQ4 2020","Currency=USD","Period=FQ","BEST_FPERIOD_OVERRIDE=FQ","FILING_STATUS=MR","SCALING_FORMAT=MLN","Sort=A","Dates=H","DateFormat=P","Fill=—","Direction=H","UseDPDF=Y")</f>
        <v>—</v>
      </c>
      <c r="L53" s="13" t="str">
        <f>_xll.BDH("NBIX US Equity","ARDR_DEPRECIATION_AMORTIZATION","FQ1 2021","FQ1 2021","Currency=USD","Period=FQ","BEST_FPERIOD_OVERRIDE=FQ","FILING_STATUS=MR","SCALING_FORMAT=MLN","Sort=A","Dates=H","DateFormat=P","Fill=—","Direction=H","UseDPDF=Y")</f>
        <v>—</v>
      </c>
      <c r="M53" s="13" t="str">
        <f>_xll.BDH("NBIX US Equity","ARDR_DEPRECIATION_AMORTIZATION","FQ2 2021","FQ2 2021","Currency=USD","Period=FQ","BEST_FPERIOD_OVERRIDE=FQ","FILING_STATUS=MR","SCALING_FORMAT=MLN","Sort=A","Dates=H","DateFormat=P","Fill=—","Direction=H","UseDPDF=Y")</f>
        <v>—</v>
      </c>
      <c r="N53" s="13" t="str">
        <f>_xll.BDH("NBIX US Equity","ARDR_DEPRECIATION_AMORTIZATION","FQ3 2021","FQ3 2021","Currency=USD","Period=FQ","BEST_FPERIOD_OVERRIDE=FQ","FILING_STATUS=MR","SCALING_FORMAT=MLN","Sort=A","Dates=H","DateFormat=P","Fill=—","Direction=H","UseDPDF=Y")</f>
        <v>—</v>
      </c>
      <c r="O53" s="13" t="str">
        <f>_xll.BDH("NBIX US Equity","ARDR_DEPRECIATION_AMORTIZATION","FQ4 2021","FQ4 2021","Currency=USD","Period=FQ","BEST_FPERIOD_OVERRIDE=FQ","FILING_STATUS=MR","SCALING_FORMAT=MLN","Sort=A","Dates=H","DateFormat=P","Fill=—","Direction=H","UseDPDF=Y")</f>
        <v>—</v>
      </c>
      <c r="P53" s="13" t="str">
        <f>_xll.BDH("NBIX US Equity","ARDR_DEPRECIATION_AMORTIZATION","FQ1 2022","FQ1 2022","Currency=USD","Period=FQ","BEST_FPERIOD_OVERRIDE=FQ","FILING_STATUS=MR","SCALING_FORMAT=MLN","Sort=A","Dates=H","DateFormat=P","Fill=—","Direction=H","UseDPDF=Y")</f>
        <v>—</v>
      </c>
      <c r="Q53" s="13" t="str">
        <f>_xll.BDH("NBIX US Equity","ARDR_DEPRECIATION_AMORTIZATION","FQ2 2022","FQ2 2022","Currency=USD","Period=FQ","BEST_FPERIOD_OVERRIDE=FQ","FILING_STATUS=MR","SCALING_FORMAT=MLN","Sort=A","Dates=H","DateFormat=P","Fill=—","Direction=H","UseDPDF=Y")</f>
        <v>—</v>
      </c>
      <c r="R53" s="13" t="str">
        <f>_xll.BDH("NBIX US Equity","ARDR_DEPRECIATION_AMORTIZATION","FQ3 2022","FQ3 2022","Currency=USD","Period=FQ","BEST_FPERIOD_OVERRIDE=FQ","FILING_STATUS=MR","SCALING_FORMAT=MLN","Sort=A","Dates=H","DateFormat=P","Fill=—","Direction=H","UseDPDF=Y")</f>
        <v>—</v>
      </c>
      <c r="S53" s="13">
        <f>_xll.BDH("NBIX US Equity","ARDR_DEPRECIATION_AMORTIZATION","FQ4 2022","FQ4 2022","Currency=USD","Period=FQ","BEST_FPERIOD_OVERRIDE=FQ","FILING_STATUS=MR","SCALING_FORMAT=MLN","Sort=A","Dates=H","DateFormat=P","Fill=—","Direction=H","UseDPDF=Y")</f>
        <v>3.9</v>
      </c>
      <c r="T53" s="13" t="str">
        <f>_xll.BDH("NBIX US Equity","ARDR_DEPRECIATION_AMORTIZATION","FQ1 2023","FQ1 2023","Currency=USD","Period=FQ","BEST_FPERIOD_OVERRIDE=FQ","FILING_STATUS=MR","SCALING_FORMAT=MLN","Sort=A","Dates=H","DateFormat=P","Fill=—","Direction=H","UseDPDF=Y")</f>
        <v>—</v>
      </c>
      <c r="U53" s="13" t="str">
        <f>_xll.BDH("NBIX US Equity","ARDR_DEPRECIATION_AMORTIZATION","FQ2 2023","FQ2 2023","Currency=USD","Period=FQ","BEST_FPERIOD_OVERRIDE=FQ","FILING_STATUS=MR","SCALING_FORMAT=MLN","Sort=A","Dates=H","DateFormat=P","Fill=—","Direction=H","UseDPDF=Y")</f>
        <v>—</v>
      </c>
      <c r="V53" s="13" t="str">
        <f>_xll.BDH("NBIX US Equity","ARDR_DEPRECIATION_AMORTIZATION","FQ3 2023","FQ3 2023","Currency=USD","Period=FQ","BEST_FPERIOD_OVERRIDE=FQ","FILING_STATUS=MR","SCALING_FORMAT=MLN","Sort=A","Dates=H","DateFormat=P","Fill=—","Direction=H","UseDPDF=Y")</f>
        <v>—</v>
      </c>
      <c r="W53" s="13">
        <f>_xll.BDH("NBIX US Equity","ARDR_DEPRECIATION_AMORTIZATION","FQ4 2023","FQ4 2023","Currency=USD","Period=FQ","BEST_FPERIOD_OVERRIDE=FQ","FILING_STATUS=MR","SCALING_FORMAT=MLN","Sort=A","Dates=H","DateFormat=P","Fill=—","Direction=H","UseDPDF=Y")</f>
        <v>5.7</v>
      </c>
      <c r="X53" s="13" t="str">
        <f>_xll.BDH("NBIX US Equity","ARDR_DEPRECIATION_AMORTIZATION","FQ1 2024","FQ1 2024","Currency=USD","Period=FQ","BEST_FPERIOD_OVERRIDE=FQ","FILING_STATUS=MR","SCALING_FORMAT=MLN","Sort=A","Dates=H","DateFormat=P","Fill=—","Direction=H","UseDPDF=Y")</f>
        <v>—</v>
      </c>
      <c r="Y53" s="13" t="str">
        <f>_xll.BDH("NBIX US Equity","ARDR_DEPRECIATION_AMORTIZATION","FQ2 2024","FQ2 2024","Currency=USD","Period=FQ","BEST_FPERIOD_OVERRIDE=FQ","FILING_STATUS=MR","SCALING_FORMAT=MLN","Sort=A","Dates=H","DateFormat=P","Fill=—","Direction=H","UseDPDF=Y")</f>
        <v>—</v>
      </c>
      <c r="Z53" s="13" t="str">
        <f>_xll.BDH("NBIX US Equity","ARDR_DEPRECIATION_AMORTIZATION","FQ3 2024","FQ3 2024","Currency=USD","Period=FQ","BEST_FPERIOD_OVERRIDE=FQ","FILING_STATUS=MR","SCALING_FORMAT=MLN","Sort=A","Dates=H","DateFormat=P","Fill=—","Direction=H","UseDPDF=Y")</f>
        <v>—</v>
      </c>
      <c r="AA53" s="13">
        <f>_xll.BDH("NBIX US Equity","ARDR_DEPRECIATION_AMORTIZATION","FQ4 2024","FQ4 2024","Currency=USD","Period=FQ","BEST_FPERIOD_OVERRIDE=FQ","FILING_STATUS=MR","SCALING_FORMAT=MLN","Sort=A","Dates=H","DateFormat=P","Fill=—","Direction=H","UseDPDF=Y")</f>
        <v>7.1</v>
      </c>
    </row>
    <row r="54" spans="1:27" x14ac:dyDescent="0.25">
      <c r="A54" s="10" t="s">
        <v>446</v>
      </c>
      <c r="B54" s="10" t="s">
        <v>503</v>
      </c>
      <c r="C54" s="13" t="str">
        <f>_xll.BDH("NBIX US Equity","ARDR_INT_EXP","FQ4 2018","FQ4 2018","Currency=USD","Period=FQ","BEST_FPERIOD_OVERRIDE=FQ","FILING_STATUS=MR","SCALING_FORMAT=MLN","Sort=A","Dates=H","DateFormat=P","Fill=—","Direction=H","UseDPDF=Y")</f>
        <v>—</v>
      </c>
      <c r="D54" s="13" t="str">
        <f>_xll.BDH("NBIX US Equity","ARDR_INT_EXP","FQ1 2019","FQ1 2019","Currency=USD","Period=FQ","BEST_FPERIOD_OVERRIDE=FQ","FILING_STATUS=MR","SCALING_FORMAT=MLN","Sort=A","Dates=H","DateFormat=P","Fill=—","Direction=H","UseDPDF=Y")</f>
        <v>—</v>
      </c>
      <c r="E54" s="13" t="str">
        <f>_xll.BDH("NBIX US Equity","ARDR_INT_EXP","FQ2 2019","FQ2 2019","Currency=USD","Period=FQ","BEST_FPERIOD_OVERRIDE=FQ","FILING_STATUS=MR","SCALING_FORMAT=MLN","Sort=A","Dates=H","DateFormat=P","Fill=—","Direction=H","UseDPDF=Y")</f>
        <v>—</v>
      </c>
      <c r="F54" s="13" t="str">
        <f>_xll.BDH("NBIX US Equity","ARDR_INT_EXP","FQ3 2019","FQ3 2019","Currency=USD","Period=FQ","BEST_FPERIOD_OVERRIDE=FQ","FILING_STATUS=MR","SCALING_FORMAT=MLN","Sort=A","Dates=H","DateFormat=P","Fill=—","Direction=H","UseDPDF=Y")</f>
        <v>—</v>
      </c>
      <c r="G54" s="13" t="str">
        <f>_xll.BDH("NBIX US Equity","ARDR_INT_EXP","FQ4 2019","FQ4 2019","Currency=USD","Period=FQ","BEST_FPERIOD_OVERRIDE=FQ","FILING_STATUS=MR","SCALING_FORMAT=MLN","Sort=A","Dates=H","DateFormat=P","Fill=—","Direction=H","UseDPDF=Y")</f>
        <v>—</v>
      </c>
      <c r="H54" s="13" t="str">
        <f>_xll.BDH("NBIX US Equity","ARDR_INT_EXP","FQ1 2020","FQ1 2020","Currency=USD","Period=FQ","BEST_FPERIOD_OVERRIDE=FQ","FILING_STATUS=MR","SCALING_FORMAT=MLN","Sort=A","Dates=H","DateFormat=P","Fill=—","Direction=H","UseDPDF=Y")</f>
        <v>—</v>
      </c>
      <c r="I54" s="13" t="str">
        <f>_xll.BDH("NBIX US Equity","ARDR_INT_EXP","FQ2 2020","FQ2 2020","Currency=USD","Period=FQ","BEST_FPERIOD_OVERRIDE=FQ","FILING_STATUS=MR","SCALING_FORMAT=MLN","Sort=A","Dates=H","DateFormat=P","Fill=—","Direction=H","UseDPDF=Y")</f>
        <v>—</v>
      </c>
      <c r="J54" s="13">
        <f>_xll.BDH("NBIX US Equity","ARDR_INT_EXP","FQ3 2020","FQ3 2020","Currency=USD","Period=FQ","BEST_FPERIOD_OVERRIDE=FQ","FILING_STATUS=MR","SCALING_FORMAT=MLN","Sort=A","Dates=H","DateFormat=P","Fill=—","Direction=H","UseDPDF=Y")</f>
        <v>8.5</v>
      </c>
      <c r="K54" s="13" t="str">
        <f>_xll.BDH("NBIX US Equity","ARDR_INT_EXP","FQ4 2020","FQ4 2020","Currency=USD","Period=FQ","BEST_FPERIOD_OVERRIDE=FQ","FILING_STATUS=MR","SCALING_FORMAT=MLN","Sort=A","Dates=H","DateFormat=P","Fill=—","Direction=H","UseDPDF=Y")</f>
        <v>—</v>
      </c>
      <c r="L54" s="13" t="str">
        <f>_xll.BDH("NBIX US Equity","ARDR_INT_EXP","FQ1 2021","FQ1 2021","Currency=USD","Period=FQ","BEST_FPERIOD_OVERRIDE=FQ","FILING_STATUS=MR","SCALING_FORMAT=MLN","Sort=A","Dates=H","DateFormat=P","Fill=—","Direction=H","UseDPDF=Y")</f>
        <v>—</v>
      </c>
      <c r="M54" s="13" t="str">
        <f>_xll.BDH("NBIX US Equity","ARDR_INT_EXP","FQ2 2021","FQ2 2021","Currency=USD","Period=FQ","BEST_FPERIOD_OVERRIDE=FQ","FILING_STATUS=MR","SCALING_FORMAT=MLN","Sort=A","Dates=H","DateFormat=P","Fill=—","Direction=H","UseDPDF=Y")</f>
        <v>—</v>
      </c>
      <c r="N54" s="13">
        <f>_xll.BDH("NBIX US Equity","ARDR_INT_EXP","FQ3 2021","FQ3 2021","Currency=USD","Period=FQ","BEST_FPERIOD_OVERRIDE=FQ","FILING_STATUS=MR","SCALING_FORMAT=MLN","Sort=A","Dates=H","DateFormat=P","Fill=—","Direction=H","UseDPDF=Y")</f>
        <v>6.6</v>
      </c>
      <c r="O54" s="13" t="str">
        <f>_xll.BDH("NBIX US Equity","ARDR_INT_EXP","FQ4 2021","FQ4 2021","Currency=USD","Period=FQ","BEST_FPERIOD_OVERRIDE=FQ","FILING_STATUS=MR","SCALING_FORMAT=MLN","Sort=A","Dates=H","DateFormat=P","Fill=—","Direction=H","UseDPDF=Y")</f>
        <v>—</v>
      </c>
      <c r="P54" s="13" t="str">
        <f>_xll.BDH("NBIX US Equity","ARDR_INT_EXP","FQ1 2022","FQ1 2022","Currency=USD","Period=FQ","BEST_FPERIOD_OVERRIDE=FQ","FILING_STATUS=MR","SCALING_FORMAT=MLN","Sort=A","Dates=H","DateFormat=P","Fill=—","Direction=H","UseDPDF=Y")</f>
        <v>—</v>
      </c>
      <c r="Q54" s="13" t="str">
        <f>_xll.BDH("NBIX US Equity","ARDR_INT_EXP","FQ2 2022","FQ2 2022","Currency=USD","Period=FQ","BEST_FPERIOD_OVERRIDE=FQ","FILING_STATUS=MR","SCALING_FORMAT=MLN","Sort=A","Dates=H","DateFormat=P","Fill=—","Direction=H","UseDPDF=Y")</f>
        <v>—</v>
      </c>
      <c r="R54" s="13">
        <f>_xll.BDH("NBIX US Equity","ARDR_INT_EXP","FQ3 2022","FQ3 2022","Currency=USD","Period=FQ","BEST_FPERIOD_OVERRIDE=FQ","FILING_STATUS=MR","SCALING_FORMAT=MLN","Sort=A","Dates=H","DateFormat=P","Fill=—","Direction=H","UseDPDF=Y")</f>
        <v>1.2</v>
      </c>
      <c r="S54" s="13" t="str">
        <f>_xll.BDH("NBIX US Equity","ARDR_INT_EXP","FQ4 2022","FQ4 2022","Currency=USD","Period=FQ","BEST_FPERIOD_OVERRIDE=FQ","FILING_STATUS=MR","SCALING_FORMAT=MLN","Sort=A","Dates=H","DateFormat=P","Fill=—","Direction=H","UseDPDF=Y")</f>
        <v>—</v>
      </c>
      <c r="T54" s="13" t="str">
        <f>_xll.BDH("NBIX US Equity","ARDR_INT_EXP","FQ1 2023","FQ1 2023","Currency=USD","Period=FQ","BEST_FPERIOD_OVERRIDE=FQ","FILING_STATUS=MR","SCALING_FORMAT=MLN","Sort=A","Dates=H","DateFormat=P","Fill=—","Direction=H","UseDPDF=Y")</f>
        <v>—</v>
      </c>
      <c r="U54" s="13">
        <f>_xll.BDH("NBIX US Equity","ARDR_INT_EXP","FQ2 2023","FQ2 2023","Currency=USD","Period=FQ","BEST_FPERIOD_OVERRIDE=FQ","FILING_STATUS=MR","SCALING_FORMAT=MLN","Sort=A","Dates=H","DateFormat=P","Fill=—","Direction=H","UseDPDF=Y")</f>
        <v>1.3</v>
      </c>
      <c r="V54" s="13">
        <f>_xll.BDH("NBIX US Equity","ARDR_INT_EXP","FQ3 2023","FQ3 2023","Currency=USD","Period=FQ","BEST_FPERIOD_OVERRIDE=FQ","FILING_STATUS=MR","SCALING_FORMAT=MLN","Sort=A","Dates=H","DateFormat=P","Fill=—","Direction=H","UseDPDF=Y")</f>
        <v>1.1000000000000001</v>
      </c>
      <c r="W54" s="13">
        <f>_xll.BDH("NBIX US Equity","ARDR_INT_EXP","FQ4 2023","FQ4 2023","Currency=USD","Period=FQ","BEST_FPERIOD_OVERRIDE=FQ","FILING_STATUS=MR","SCALING_FORMAT=MLN","Sort=A","Dates=H","DateFormat=P","Fill=—","Direction=H","UseDPDF=Y")</f>
        <v>1.1000000000000001</v>
      </c>
      <c r="X54" s="13">
        <f>_xll.BDH("NBIX US Equity","ARDR_INT_EXP","FQ1 2024","FQ1 2024","Currency=USD","Period=FQ","BEST_FPERIOD_OVERRIDE=FQ","FILING_STATUS=MR","SCALING_FORMAT=MLN","Sort=A","Dates=H","DateFormat=P","Fill=—","Direction=H","UseDPDF=Y")</f>
        <v>1.1000000000000001</v>
      </c>
      <c r="Y54" s="13" t="str">
        <f>_xll.BDH("NBIX US Equity","ARDR_INT_EXP","FQ2 2024","FQ2 2024","Currency=USD","Period=FQ","BEST_FPERIOD_OVERRIDE=FQ","FILING_STATUS=MR","SCALING_FORMAT=MLN","Sort=A","Dates=H","DateFormat=P","Fill=—","Direction=H","UseDPDF=Y")</f>
        <v>—</v>
      </c>
      <c r="Z54" s="13" t="str">
        <f>_xll.BDH("NBIX US Equity","ARDR_INT_EXP","FQ3 2024","FQ3 2024","Currency=USD","Period=FQ","BEST_FPERIOD_OVERRIDE=FQ","FILING_STATUS=MR","SCALING_FORMAT=MLN","Sort=A","Dates=H","DateFormat=P","Fill=—","Direction=H","UseDPDF=Y")</f>
        <v>—</v>
      </c>
      <c r="AA54" s="13" t="str">
        <f>_xll.BDH("NBIX US Equity","ARDR_INT_EXP","FQ4 2024","FQ4 2024","Currency=USD","Period=FQ","BEST_FPERIOD_OVERRIDE=FQ","FILING_STATUS=MR","SCALING_FORMAT=MLN","Sort=A","Dates=H","DateFormat=P","Fill=—","Direction=H","UseDPDF=Y")</f>
        <v>—</v>
      </c>
    </row>
    <row r="55" spans="1:27" x14ac:dyDescent="0.25">
      <c r="A55" s="10" t="s">
        <v>436</v>
      </c>
      <c r="B55" s="10" t="s">
        <v>504</v>
      </c>
      <c r="C55" s="13" t="str">
        <f>_xll.BDH("NBIX US Equity","ARDR_ACQUIRED_IN_PROCESS_R&amp;D","FQ4 2018","FQ4 2018","Currency=USD","Period=FQ","BEST_FPERIOD_OVERRIDE=FQ","FILING_STATUS=MR","SCALING_FORMAT=MLN","Sort=A","Dates=H","DateFormat=P","Fill=—","Direction=H","UseDPDF=Y")</f>
        <v>—</v>
      </c>
      <c r="D55" s="13">
        <f>_xll.BDH("NBIX US Equity","ARDR_ACQUIRED_IN_PROCESS_R&amp;D","FQ1 2019","FQ1 2019","Currency=USD","Period=FQ","BEST_FPERIOD_OVERRIDE=FQ","FILING_STATUS=MR","SCALING_FORMAT=MLN","Sort=A","Dates=H","DateFormat=P","Fill=—","Direction=H","UseDPDF=Y")</f>
        <v>113.081</v>
      </c>
      <c r="E55" s="13">
        <f>_xll.BDH("NBIX US Equity","ARDR_ACQUIRED_IN_PROCESS_R&amp;D","FQ2 2019","FQ2 2019","Currency=USD","Period=FQ","BEST_FPERIOD_OVERRIDE=FQ","FILING_STATUS=MR","SCALING_FORMAT=MLN","Sort=A","Dates=H","DateFormat=P","Fill=—","Direction=H","UseDPDF=Y")</f>
        <v>5</v>
      </c>
      <c r="F55" s="13" t="str">
        <f>_xll.BDH("NBIX US Equity","ARDR_ACQUIRED_IN_PROCESS_R&amp;D","FQ3 2019","FQ3 2019","Currency=USD","Period=FQ","BEST_FPERIOD_OVERRIDE=FQ","FILING_STATUS=MR","SCALING_FORMAT=MLN","Sort=A","Dates=H","DateFormat=P","Fill=—","Direction=H","UseDPDF=Y")</f>
        <v>—</v>
      </c>
      <c r="G55" s="13">
        <f>_xll.BDH("NBIX US Equity","ARDR_ACQUIRED_IN_PROCESS_R&amp;D","FQ4 2019","FQ4 2019","Currency=USD","Period=FQ","BEST_FPERIOD_OVERRIDE=FQ","FILING_STATUS=MR","SCALING_FORMAT=MLN","Sort=A","Dates=H","DateFormat=P","Fill=—","Direction=H","UseDPDF=Y")</f>
        <v>36.200000000000003</v>
      </c>
      <c r="H55" s="13" t="str">
        <f>_xll.BDH("NBIX US Equity","ARDR_ACQUIRED_IN_PROCESS_R&amp;D","FQ1 2020","FQ1 2020","Currency=USD","Period=FQ","BEST_FPERIOD_OVERRIDE=FQ","FILING_STATUS=MR","SCALING_FORMAT=MLN","Sort=A","Dates=H","DateFormat=P","Fill=—","Direction=H","UseDPDF=Y")</f>
        <v>—</v>
      </c>
      <c r="I55" s="13">
        <f>_xll.BDH("NBIX US Equity","ARDR_ACQUIRED_IN_PROCESS_R&amp;D","FQ2 2020","FQ2 2020","Currency=USD","Period=FQ","BEST_FPERIOD_OVERRIDE=FQ","FILING_STATUS=MR","SCALING_FORMAT=MLN","Sort=A","Dates=H","DateFormat=P","Fill=—","Direction=H","UseDPDF=Y")</f>
        <v>46</v>
      </c>
      <c r="J55" s="13">
        <f>_xll.BDH("NBIX US Equity","ARDR_ACQUIRED_IN_PROCESS_R&amp;D","FQ3 2020","FQ3 2020","Currency=USD","Period=FQ","BEST_FPERIOD_OVERRIDE=FQ","FILING_STATUS=MR","SCALING_FORMAT=MLN","Sort=A","Dates=H","DateFormat=P","Fill=—","Direction=H","UseDPDF=Y")</f>
        <v>118.5</v>
      </c>
      <c r="K55" s="13">
        <f>_xll.BDH("NBIX US Equity","ARDR_ACQUIRED_IN_PROCESS_R&amp;D","FQ4 2020","FQ4 2020","Currency=USD","Period=FQ","BEST_FPERIOD_OVERRIDE=FQ","FILING_STATUS=MR","SCALING_FORMAT=MLN","Sort=A","Dates=H","DateFormat=P","Fill=—","Direction=H","UseDPDF=Y")</f>
        <v>0</v>
      </c>
      <c r="L55" s="13" t="str">
        <f>_xll.BDH("NBIX US Equity","ARDR_ACQUIRED_IN_PROCESS_R&amp;D","FQ1 2021","FQ1 2021","Currency=USD","Period=FQ","BEST_FPERIOD_OVERRIDE=FQ","FILING_STATUS=MR","SCALING_FORMAT=MLN","Sort=A","Dates=H","DateFormat=P","Fill=—","Direction=H","UseDPDF=Y")</f>
        <v>—</v>
      </c>
      <c r="M55" s="13">
        <f>_xll.BDH("NBIX US Equity","ARDR_ACQUIRED_IN_PROCESS_R&amp;D","FQ2 2021","FQ2 2021","Currency=USD","Period=FQ","BEST_FPERIOD_OVERRIDE=FQ","FILING_STATUS=MR","SCALING_FORMAT=MLN","Sort=A","Dates=H","DateFormat=P","Fill=—","Direction=H","UseDPDF=Y")</f>
        <v>5</v>
      </c>
      <c r="N55" s="13" t="str">
        <f>_xll.BDH("NBIX US Equity","ARDR_ACQUIRED_IN_PROCESS_R&amp;D","FQ3 2021","FQ3 2021","Currency=USD","Period=FQ","BEST_FPERIOD_OVERRIDE=FQ","FILING_STATUS=MR","SCALING_FORMAT=MLN","Sort=A","Dates=H","DateFormat=P","Fill=—","Direction=H","UseDPDF=Y")</f>
        <v>—</v>
      </c>
      <c r="O55" s="13">
        <f>_xll.BDH("NBIX US Equity","ARDR_ACQUIRED_IN_PROCESS_R&amp;D","FQ4 2021","FQ4 2021","Currency=USD","Period=FQ","BEST_FPERIOD_OVERRIDE=FQ","FILING_STATUS=MR","SCALING_FORMAT=MLN","Sort=A","Dates=H","DateFormat=P","Fill=—","Direction=H","UseDPDF=Y")</f>
        <v>100.3</v>
      </c>
      <c r="P55" s="13" t="str">
        <f>_xll.BDH("NBIX US Equity","ARDR_ACQUIRED_IN_PROCESS_R&amp;D","FQ1 2022","FQ1 2022","Currency=USD","Period=FQ","BEST_FPERIOD_OVERRIDE=FQ","FILING_STATUS=MR","SCALING_FORMAT=MLN","Sort=A","Dates=H","DateFormat=P","Fill=—","Direction=H","UseDPDF=Y")</f>
        <v>—</v>
      </c>
      <c r="Q55" s="13">
        <f>_xll.BDH("NBIX US Equity","ARDR_ACQUIRED_IN_PROCESS_R&amp;D","FQ2 2022","FQ2 2022","Currency=USD","Period=FQ","BEST_FPERIOD_OVERRIDE=FQ","FILING_STATUS=MR","SCALING_FORMAT=MLN","Sort=A","Dates=H","DateFormat=P","Fill=—","Direction=H","UseDPDF=Y")</f>
        <v>0</v>
      </c>
      <c r="R55" s="13" t="str">
        <f>_xll.BDH("NBIX US Equity","ARDR_ACQUIRED_IN_PROCESS_R&amp;D","FQ3 2022","FQ3 2022","Currency=USD","Period=FQ","BEST_FPERIOD_OVERRIDE=FQ","FILING_STATUS=MR","SCALING_FORMAT=MLN","Sort=A","Dates=H","DateFormat=P","Fill=—","Direction=H","UseDPDF=Y")</f>
        <v>—</v>
      </c>
      <c r="S55" s="13" t="str">
        <f>_xll.BDH("NBIX US Equity","ARDR_ACQUIRED_IN_PROCESS_R&amp;D","FQ4 2022","FQ4 2022","Currency=USD","Period=FQ","BEST_FPERIOD_OVERRIDE=FQ","FILING_STATUS=MR","SCALING_FORMAT=MLN","Sort=A","Dates=H","DateFormat=P","Fill=—","Direction=H","UseDPDF=Y")</f>
        <v>—</v>
      </c>
      <c r="T55" s="13">
        <f>_xll.BDH("NBIX US Equity","ARDR_ACQUIRED_IN_PROCESS_R&amp;D","FQ1 2023","FQ1 2023","Currency=USD","Period=FQ","BEST_FPERIOD_OVERRIDE=FQ","FILING_STATUS=MR","SCALING_FORMAT=MLN","Sort=A","Dates=H","DateFormat=P","Fill=—","Direction=H","UseDPDF=Y")</f>
        <v>143.9</v>
      </c>
      <c r="U55" s="13">
        <f>_xll.BDH("NBIX US Equity","ARDR_ACQUIRED_IN_PROCESS_R&amp;D","FQ2 2023","FQ2 2023","Currency=USD","Period=FQ","BEST_FPERIOD_OVERRIDE=FQ","FILING_STATUS=MR","SCALING_FORMAT=MLN","Sort=A","Dates=H","DateFormat=P","Fill=—","Direction=H","UseDPDF=Y")</f>
        <v>0</v>
      </c>
      <c r="V55" s="13" t="str">
        <f>_xll.BDH("NBIX US Equity","ARDR_ACQUIRED_IN_PROCESS_R&amp;D","FQ3 2023","FQ3 2023","Currency=USD","Period=FQ","BEST_FPERIOD_OVERRIDE=FQ","FILING_STATUS=MR","SCALING_FORMAT=MLN","Sort=A","Dates=H","DateFormat=P","Fill=—","Direction=H","UseDPDF=Y")</f>
        <v>—</v>
      </c>
      <c r="W55" s="13" t="str">
        <f>_xll.BDH("NBIX US Equity","ARDR_ACQUIRED_IN_PROCESS_R&amp;D","FQ4 2023","FQ4 2023","Currency=USD","Period=FQ","BEST_FPERIOD_OVERRIDE=FQ","FILING_STATUS=MR","SCALING_FORMAT=MLN","Sort=A","Dates=H","DateFormat=P","Fill=—","Direction=H","UseDPDF=Y")</f>
        <v>—</v>
      </c>
      <c r="X55" s="13">
        <f>_xll.BDH("NBIX US Equity","ARDR_ACQUIRED_IN_PROCESS_R&amp;D","FQ1 2024","FQ1 2024","Currency=USD","Period=FQ","BEST_FPERIOD_OVERRIDE=FQ","FILING_STATUS=MR","SCALING_FORMAT=MLN","Sort=A","Dates=H","DateFormat=P","Fill=—","Direction=H","UseDPDF=Y")</f>
        <v>6</v>
      </c>
      <c r="Y55" s="13">
        <f>_xll.BDH("NBIX US Equity","ARDR_ACQUIRED_IN_PROCESS_R&amp;D","FQ2 2024","FQ2 2024","Currency=USD","Period=FQ","BEST_FPERIOD_OVERRIDE=FQ","FILING_STATUS=MR","SCALING_FORMAT=MLN","Sort=A","Dates=H","DateFormat=P","Fill=—","Direction=H","UseDPDF=Y")</f>
        <v>2.5</v>
      </c>
      <c r="Z55" s="13">
        <f>_xll.BDH("NBIX US Equity","ARDR_ACQUIRED_IN_PROCESS_R&amp;D","FQ3 2024","FQ3 2024","Currency=USD","Period=FQ","BEST_FPERIOD_OVERRIDE=FQ","FILING_STATUS=MR","SCALING_FORMAT=MLN","Sort=A","Dates=H","DateFormat=P","Fill=—","Direction=H","UseDPDF=Y")</f>
        <v>1</v>
      </c>
      <c r="AA55" s="13">
        <f>_xll.BDH("NBIX US Equity","ARDR_ACQUIRED_IN_PROCESS_R&amp;D","FQ4 2024","FQ4 2024","Currency=USD","Period=FQ","BEST_FPERIOD_OVERRIDE=FQ","FILING_STATUS=MR","SCALING_FORMAT=MLN","Sort=A","Dates=H","DateFormat=P","Fill=—","Direction=H","UseDPDF=Y")</f>
        <v>3</v>
      </c>
    </row>
    <row r="56" spans="1:27" x14ac:dyDescent="0.25">
      <c r="A56" s="10" t="s">
        <v>505</v>
      </c>
      <c r="B56" s="10" t="s">
        <v>506</v>
      </c>
      <c r="C56" s="13" t="str">
        <f>_xll.BDH("NBIX US Equity","ARDR_OTHER_ONE_TIME_CHARGES","FQ4 2018","FQ4 2018","Currency=USD","Period=FQ","BEST_FPERIOD_OVERRIDE=FQ","FILING_STATUS=MR","SCALING_FORMAT=MLN","Sort=A","Dates=H","DateFormat=P","Fill=—","Direction=H","UseDPDF=Y")</f>
        <v>—</v>
      </c>
      <c r="D56" s="13" t="str">
        <f>_xll.BDH("NBIX US Equity","ARDR_OTHER_ONE_TIME_CHARGES","FQ1 2019","FQ1 2019","Currency=USD","Period=FQ","BEST_FPERIOD_OVERRIDE=FQ","FILING_STATUS=MR","SCALING_FORMAT=MLN","Sort=A","Dates=H","DateFormat=P","Fill=—","Direction=H","UseDPDF=Y")</f>
        <v>—</v>
      </c>
      <c r="E56" s="13" t="str">
        <f>_xll.BDH("NBIX US Equity","ARDR_OTHER_ONE_TIME_CHARGES","FQ2 2019","FQ2 2019","Currency=USD","Period=FQ","BEST_FPERIOD_OVERRIDE=FQ","FILING_STATUS=MR","SCALING_FORMAT=MLN","Sort=A","Dates=H","DateFormat=P","Fill=—","Direction=H","UseDPDF=Y")</f>
        <v>—</v>
      </c>
      <c r="F56" s="13" t="str">
        <f>_xll.BDH("NBIX US Equity","ARDR_OTHER_ONE_TIME_CHARGES","FQ3 2019","FQ3 2019","Currency=USD","Period=FQ","BEST_FPERIOD_OVERRIDE=FQ","FILING_STATUS=MR","SCALING_FORMAT=MLN","Sort=A","Dates=H","DateFormat=P","Fill=—","Direction=H","UseDPDF=Y")</f>
        <v>—</v>
      </c>
      <c r="G56" s="13" t="str">
        <f>_xll.BDH("NBIX US Equity","ARDR_OTHER_ONE_TIME_CHARGES","FQ4 2019","FQ4 2019","Currency=USD","Period=FQ","BEST_FPERIOD_OVERRIDE=FQ","FILING_STATUS=MR","SCALING_FORMAT=MLN","Sort=A","Dates=H","DateFormat=P","Fill=—","Direction=H","UseDPDF=Y")</f>
        <v>—</v>
      </c>
      <c r="H56" s="13" t="str">
        <f>_xll.BDH("NBIX US Equity","ARDR_OTHER_ONE_TIME_CHARGES","FQ1 2020","FQ1 2020","Currency=USD","Period=FQ","BEST_FPERIOD_OVERRIDE=FQ","FILING_STATUS=MR","SCALING_FORMAT=MLN","Sort=A","Dates=H","DateFormat=P","Fill=—","Direction=H","UseDPDF=Y")</f>
        <v>—</v>
      </c>
      <c r="I56" s="13" t="str">
        <f>_xll.BDH("NBIX US Equity","ARDR_OTHER_ONE_TIME_CHARGES","FQ2 2020","FQ2 2020","Currency=USD","Period=FQ","BEST_FPERIOD_OVERRIDE=FQ","FILING_STATUS=MR","SCALING_FORMAT=MLN","Sort=A","Dates=H","DateFormat=P","Fill=—","Direction=H","UseDPDF=Y")</f>
        <v>—</v>
      </c>
      <c r="J56" s="13" t="str">
        <f>_xll.BDH("NBIX US Equity","ARDR_OTHER_ONE_TIME_CHARGES","FQ3 2020","FQ3 2020","Currency=USD","Period=FQ","BEST_FPERIOD_OVERRIDE=FQ","FILING_STATUS=MR","SCALING_FORMAT=MLN","Sort=A","Dates=H","DateFormat=P","Fill=—","Direction=H","UseDPDF=Y")</f>
        <v>—</v>
      </c>
      <c r="K56" s="13" t="str">
        <f>_xll.BDH("NBIX US Equity","ARDR_OTHER_ONE_TIME_CHARGES","FQ4 2020","FQ4 2020","Currency=USD","Period=FQ","BEST_FPERIOD_OVERRIDE=FQ","FILING_STATUS=MR","SCALING_FORMAT=MLN","Sort=A","Dates=H","DateFormat=P","Fill=—","Direction=H","UseDPDF=Y")</f>
        <v>—</v>
      </c>
      <c r="L56" s="13" t="str">
        <f>_xll.BDH("NBIX US Equity","ARDR_OTHER_ONE_TIME_CHARGES","FQ1 2021","FQ1 2021","Currency=USD","Period=FQ","BEST_FPERIOD_OVERRIDE=FQ","FILING_STATUS=MR","SCALING_FORMAT=MLN","Sort=A","Dates=H","DateFormat=P","Fill=—","Direction=H","UseDPDF=Y")</f>
        <v>—</v>
      </c>
      <c r="M56" s="13" t="str">
        <f>_xll.BDH("NBIX US Equity","ARDR_OTHER_ONE_TIME_CHARGES","FQ2 2021","FQ2 2021","Currency=USD","Period=FQ","BEST_FPERIOD_OVERRIDE=FQ","FILING_STATUS=MR","SCALING_FORMAT=MLN","Sort=A","Dates=H","DateFormat=P","Fill=—","Direction=H","UseDPDF=Y")</f>
        <v>—</v>
      </c>
      <c r="N56" s="13" t="str">
        <f>_xll.BDH("NBIX US Equity","ARDR_OTHER_ONE_TIME_CHARGES","FQ3 2021","FQ3 2021","Currency=USD","Period=FQ","BEST_FPERIOD_OVERRIDE=FQ","FILING_STATUS=MR","SCALING_FORMAT=MLN","Sort=A","Dates=H","DateFormat=P","Fill=—","Direction=H","UseDPDF=Y")</f>
        <v>—</v>
      </c>
      <c r="O56" s="13" t="str">
        <f>_xll.BDH("NBIX US Equity","ARDR_OTHER_ONE_TIME_CHARGES","FQ4 2021","FQ4 2021","Currency=USD","Period=FQ","BEST_FPERIOD_OVERRIDE=FQ","FILING_STATUS=MR","SCALING_FORMAT=MLN","Sort=A","Dates=H","DateFormat=P","Fill=—","Direction=H","UseDPDF=Y")</f>
        <v>—</v>
      </c>
      <c r="P56" s="13" t="str">
        <f>_xll.BDH("NBIX US Equity","ARDR_OTHER_ONE_TIME_CHARGES","FQ1 2022","FQ1 2022","Currency=USD","Period=FQ","BEST_FPERIOD_OVERRIDE=FQ","FILING_STATUS=MR","SCALING_FORMAT=MLN","Sort=A","Dates=H","DateFormat=P","Fill=—","Direction=H","UseDPDF=Y")</f>
        <v>—</v>
      </c>
      <c r="Q56" s="13" t="str">
        <f>_xll.BDH("NBIX US Equity","ARDR_OTHER_ONE_TIME_CHARGES","FQ2 2022","FQ2 2022","Currency=USD","Period=FQ","BEST_FPERIOD_OVERRIDE=FQ","FILING_STATUS=MR","SCALING_FORMAT=MLN","Sort=A","Dates=H","DateFormat=P","Fill=—","Direction=H","UseDPDF=Y")</f>
        <v>—</v>
      </c>
      <c r="R56" s="13" t="str">
        <f>_xll.BDH("NBIX US Equity","ARDR_OTHER_ONE_TIME_CHARGES","FQ3 2022","FQ3 2022","Currency=USD","Period=FQ","BEST_FPERIOD_OVERRIDE=FQ","FILING_STATUS=MR","SCALING_FORMAT=MLN","Sort=A","Dates=H","DateFormat=P","Fill=—","Direction=H","UseDPDF=Y")</f>
        <v>—</v>
      </c>
      <c r="S56" s="13" t="str">
        <f>_xll.BDH("NBIX US Equity","ARDR_OTHER_ONE_TIME_CHARGES","FQ4 2022","FQ4 2022","Currency=USD","Period=FQ","BEST_FPERIOD_OVERRIDE=FQ","FILING_STATUS=MR","SCALING_FORMAT=MLN","Sort=A","Dates=H","DateFormat=P","Fill=—","Direction=H","UseDPDF=Y")</f>
        <v>—</v>
      </c>
      <c r="T56" s="13" t="str">
        <f>_xll.BDH("NBIX US Equity","ARDR_OTHER_ONE_TIME_CHARGES","FQ1 2023","FQ1 2023","Currency=USD","Period=FQ","BEST_FPERIOD_OVERRIDE=FQ","FILING_STATUS=MR","SCALING_FORMAT=MLN","Sort=A","Dates=H","DateFormat=P","Fill=—","Direction=H","UseDPDF=Y")</f>
        <v>—</v>
      </c>
      <c r="U56" s="13" t="str">
        <f>_xll.BDH("NBIX US Equity","ARDR_OTHER_ONE_TIME_CHARGES","FQ2 2023","FQ2 2023","Currency=USD","Period=FQ","BEST_FPERIOD_OVERRIDE=FQ","FILING_STATUS=MR","SCALING_FORMAT=MLN","Sort=A","Dates=H","DateFormat=P","Fill=—","Direction=H","UseDPDF=Y")</f>
        <v>—</v>
      </c>
      <c r="V56" s="13" t="str">
        <f>_xll.BDH("NBIX US Equity","ARDR_OTHER_ONE_TIME_CHARGES","FQ3 2023","FQ3 2023","Currency=USD","Period=FQ","BEST_FPERIOD_OVERRIDE=FQ","FILING_STATUS=MR","SCALING_FORMAT=MLN","Sort=A","Dates=H","DateFormat=P","Fill=—","Direction=H","UseDPDF=Y")</f>
        <v>—</v>
      </c>
      <c r="W56" s="13" t="str">
        <f>_xll.BDH("NBIX US Equity","ARDR_OTHER_ONE_TIME_CHARGES","FQ4 2023","FQ4 2023","Currency=USD","Period=FQ","BEST_FPERIOD_OVERRIDE=FQ","FILING_STATUS=MR","SCALING_FORMAT=MLN","Sort=A","Dates=H","DateFormat=P","Fill=—","Direction=H","UseDPDF=Y")</f>
        <v>—</v>
      </c>
      <c r="X56" s="13" t="str">
        <f>_xll.BDH("NBIX US Equity","ARDR_OTHER_ONE_TIME_CHARGES","FQ1 2024","FQ1 2024","Currency=USD","Period=FQ","BEST_FPERIOD_OVERRIDE=FQ","FILING_STATUS=MR","SCALING_FORMAT=MLN","Sort=A","Dates=H","DateFormat=P","Fill=—","Direction=H","UseDPDF=Y")</f>
        <v>—</v>
      </c>
      <c r="Y56" s="13">
        <f>_xll.BDH("NBIX US Equity","ARDR_OTHER_ONE_TIME_CHARGES","FQ2 2024","FQ2 2024","Currency=USD","Period=FQ","BEST_FPERIOD_OVERRIDE=FQ","FILING_STATUS=MR","SCALING_FORMAT=MLN","Sort=A","Dates=H","DateFormat=P","Fill=—","Direction=H","UseDPDF=Y")</f>
        <v>49.7</v>
      </c>
      <c r="Z56" s="13" t="str">
        <f>_xll.BDH("NBIX US Equity","ARDR_OTHER_ONE_TIME_CHARGES","FQ3 2024","FQ3 2024","Currency=USD","Period=FQ","BEST_FPERIOD_OVERRIDE=FQ","FILING_STATUS=MR","SCALING_FORMAT=MLN","Sort=A","Dates=H","DateFormat=P","Fill=—","Direction=H","UseDPDF=Y")</f>
        <v>—</v>
      </c>
      <c r="AA56" s="13" t="str">
        <f>_xll.BDH("NBIX US Equity","ARDR_OTHER_ONE_TIME_CHARGES","FQ4 2024","FQ4 2024","Currency=USD","Period=FQ","BEST_FPERIOD_OVERRIDE=FQ","FILING_STATUS=MR","SCALING_FORMAT=MLN","Sort=A","Dates=H","DateFormat=P","Fill=—","Direction=H","UseDPDF=Y")</f>
        <v>—</v>
      </c>
    </row>
    <row r="57" spans="1:27" x14ac:dyDescent="0.25">
      <c r="A57" s="10" t="s">
        <v>448</v>
      </c>
      <c r="B57" s="10" t="s">
        <v>507</v>
      </c>
      <c r="C57" s="13" t="str">
        <f>_xll.BDH("NBIX US Equity","ARDR_INCOME_TAX_EXP_BENEFIT","FQ4 2018","FQ4 2018","Currency=USD","Period=FQ","BEST_FPERIOD_OVERRIDE=FQ","FILING_STATUS=MR","SCALING_FORMAT=MLN","Sort=A","Dates=H","DateFormat=P","Fill=—","Direction=H","UseDPDF=Y")</f>
        <v>—</v>
      </c>
      <c r="D57" s="13" t="str">
        <f>_xll.BDH("NBIX US Equity","ARDR_INCOME_TAX_EXP_BENEFIT","FQ1 2019","FQ1 2019","Currency=USD","Period=FQ","BEST_FPERIOD_OVERRIDE=FQ","FILING_STATUS=MR","SCALING_FORMAT=MLN","Sort=A","Dates=H","DateFormat=P","Fill=—","Direction=H","UseDPDF=Y")</f>
        <v>—</v>
      </c>
      <c r="E57" s="13" t="str">
        <f>_xll.BDH("NBIX US Equity","ARDR_INCOME_TAX_EXP_BENEFIT","FQ2 2019","FQ2 2019","Currency=USD","Period=FQ","BEST_FPERIOD_OVERRIDE=FQ","FILING_STATUS=MR","SCALING_FORMAT=MLN","Sort=A","Dates=H","DateFormat=P","Fill=—","Direction=H","UseDPDF=Y")</f>
        <v>—</v>
      </c>
      <c r="F57" s="13" t="str">
        <f>_xll.BDH("NBIX US Equity","ARDR_INCOME_TAX_EXP_BENEFIT","FQ3 2019","FQ3 2019","Currency=USD","Period=FQ","BEST_FPERIOD_OVERRIDE=FQ","FILING_STATUS=MR","SCALING_FORMAT=MLN","Sort=A","Dates=H","DateFormat=P","Fill=—","Direction=H","UseDPDF=Y")</f>
        <v>—</v>
      </c>
      <c r="G57" s="13" t="str">
        <f>_xll.BDH("NBIX US Equity","ARDR_INCOME_TAX_EXP_BENEFIT","FQ4 2019","FQ4 2019","Currency=USD","Period=FQ","BEST_FPERIOD_OVERRIDE=FQ","FILING_STATUS=MR","SCALING_FORMAT=MLN","Sort=A","Dates=H","DateFormat=P","Fill=—","Direction=H","UseDPDF=Y")</f>
        <v>—</v>
      </c>
      <c r="H57" s="13" t="str">
        <f>_xll.BDH("NBIX US Equity","ARDR_INCOME_TAX_EXP_BENEFIT","FQ1 2020","FQ1 2020","Currency=USD","Period=FQ","BEST_FPERIOD_OVERRIDE=FQ","FILING_STATUS=MR","SCALING_FORMAT=MLN","Sort=A","Dates=H","DateFormat=P","Fill=—","Direction=H","UseDPDF=Y")</f>
        <v>—</v>
      </c>
      <c r="I57" s="13" t="str">
        <f>_xll.BDH("NBIX US Equity","ARDR_INCOME_TAX_EXP_BENEFIT","FQ2 2020","FQ2 2020","Currency=USD","Period=FQ","BEST_FPERIOD_OVERRIDE=FQ","FILING_STATUS=MR","SCALING_FORMAT=MLN","Sort=A","Dates=H","DateFormat=P","Fill=—","Direction=H","UseDPDF=Y")</f>
        <v>—</v>
      </c>
      <c r="J57" s="13">
        <f>_xll.BDH("NBIX US Equity","ARDR_INCOME_TAX_EXP_BENEFIT","FQ3 2020","FQ3 2020","Currency=USD","Period=FQ","BEST_FPERIOD_OVERRIDE=FQ","FILING_STATUS=MR","SCALING_FORMAT=MLN","Sort=A","Dates=H","DateFormat=P","Fill=—","Direction=H","UseDPDF=Y")</f>
        <v>0.5</v>
      </c>
      <c r="K57" s="13" t="str">
        <f>_xll.BDH("NBIX US Equity","ARDR_INCOME_TAX_EXP_BENEFIT","FQ4 2020","FQ4 2020","Currency=USD","Period=FQ","BEST_FPERIOD_OVERRIDE=FQ","FILING_STATUS=MR","SCALING_FORMAT=MLN","Sort=A","Dates=H","DateFormat=P","Fill=—","Direction=H","UseDPDF=Y")</f>
        <v>—</v>
      </c>
      <c r="L57" s="13" t="str">
        <f>_xll.BDH("NBIX US Equity","ARDR_INCOME_TAX_EXP_BENEFIT","FQ1 2021","FQ1 2021","Currency=USD","Period=FQ","BEST_FPERIOD_OVERRIDE=FQ","FILING_STATUS=MR","SCALING_FORMAT=MLN","Sort=A","Dates=H","DateFormat=P","Fill=—","Direction=H","UseDPDF=Y")</f>
        <v>—</v>
      </c>
      <c r="M57" s="13" t="str">
        <f>_xll.BDH("NBIX US Equity","ARDR_INCOME_TAX_EXP_BENEFIT","FQ2 2021","FQ2 2021","Currency=USD","Period=FQ","BEST_FPERIOD_OVERRIDE=FQ","FILING_STATUS=MR","SCALING_FORMAT=MLN","Sort=A","Dates=H","DateFormat=P","Fill=—","Direction=H","UseDPDF=Y")</f>
        <v>—</v>
      </c>
      <c r="N57" s="13">
        <f>_xll.BDH("NBIX US Equity","ARDR_INCOME_TAX_EXP_BENEFIT","FQ3 2021","FQ3 2021","Currency=USD","Period=FQ","BEST_FPERIOD_OVERRIDE=FQ","FILING_STATUS=MR","SCALING_FORMAT=MLN","Sort=A","Dates=H","DateFormat=P","Fill=—","Direction=H","UseDPDF=Y")</f>
        <v>8</v>
      </c>
      <c r="O57" s="13" t="str">
        <f>_xll.BDH("NBIX US Equity","ARDR_INCOME_TAX_EXP_BENEFIT","FQ4 2021","FQ4 2021","Currency=USD","Period=FQ","BEST_FPERIOD_OVERRIDE=FQ","FILING_STATUS=MR","SCALING_FORMAT=MLN","Sort=A","Dates=H","DateFormat=P","Fill=—","Direction=H","UseDPDF=Y")</f>
        <v>—</v>
      </c>
      <c r="P57" s="13" t="str">
        <f>_xll.BDH("NBIX US Equity","ARDR_INCOME_TAX_EXP_BENEFIT","FQ1 2022","FQ1 2022","Currency=USD","Period=FQ","BEST_FPERIOD_OVERRIDE=FQ","FILING_STATUS=MR","SCALING_FORMAT=MLN","Sort=A","Dates=H","DateFormat=P","Fill=—","Direction=H","UseDPDF=Y")</f>
        <v>—</v>
      </c>
      <c r="Q57" s="13" t="str">
        <f>_xll.BDH("NBIX US Equity","ARDR_INCOME_TAX_EXP_BENEFIT","FQ2 2022","FQ2 2022","Currency=USD","Period=FQ","BEST_FPERIOD_OVERRIDE=FQ","FILING_STATUS=MR","SCALING_FORMAT=MLN","Sort=A","Dates=H","DateFormat=P","Fill=—","Direction=H","UseDPDF=Y")</f>
        <v>—</v>
      </c>
      <c r="R57" s="13">
        <f>_xll.BDH("NBIX US Equity","ARDR_INCOME_TAX_EXP_BENEFIT","FQ3 2022","FQ3 2022","Currency=USD","Period=FQ","BEST_FPERIOD_OVERRIDE=FQ","FILING_STATUS=MR","SCALING_FORMAT=MLN","Sort=A","Dates=H","DateFormat=P","Fill=—","Direction=H","UseDPDF=Y")</f>
        <v>29.4</v>
      </c>
      <c r="S57" s="13" t="str">
        <f>_xll.BDH("NBIX US Equity","ARDR_INCOME_TAX_EXP_BENEFIT","FQ4 2022","FQ4 2022","Currency=USD","Period=FQ","BEST_FPERIOD_OVERRIDE=FQ","FILING_STATUS=MR","SCALING_FORMAT=MLN","Sort=A","Dates=H","DateFormat=P","Fill=—","Direction=H","UseDPDF=Y")</f>
        <v>—</v>
      </c>
      <c r="T57" s="13" t="str">
        <f>_xll.BDH("NBIX US Equity","ARDR_INCOME_TAX_EXP_BENEFIT","FQ1 2023","FQ1 2023","Currency=USD","Period=FQ","BEST_FPERIOD_OVERRIDE=FQ","FILING_STATUS=MR","SCALING_FORMAT=MLN","Sort=A","Dates=H","DateFormat=P","Fill=—","Direction=H","UseDPDF=Y")</f>
        <v>—</v>
      </c>
      <c r="U57" s="13">
        <f>_xll.BDH("NBIX US Equity","ARDR_INCOME_TAX_EXP_BENEFIT","FQ2 2023","FQ2 2023","Currency=USD","Period=FQ","BEST_FPERIOD_OVERRIDE=FQ","FILING_STATUS=MR","SCALING_FORMAT=MLN","Sort=A","Dates=H","DateFormat=P","Fill=—","Direction=H","UseDPDF=Y")</f>
        <v>26.1</v>
      </c>
      <c r="V57" s="13">
        <f>_xll.BDH("NBIX US Equity","ARDR_INCOME_TAX_EXP_BENEFIT","FQ3 2023","FQ3 2023","Currency=USD","Period=FQ","BEST_FPERIOD_OVERRIDE=FQ","FILING_STATUS=MR","SCALING_FORMAT=MLN","Sort=A","Dates=H","DateFormat=P","Fill=—","Direction=H","UseDPDF=Y")</f>
        <v>32.5</v>
      </c>
      <c r="W57" s="13" t="str">
        <f>_xll.BDH("NBIX US Equity","ARDR_INCOME_TAX_EXP_BENEFIT","FQ4 2023","FQ4 2023","Currency=USD","Period=FQ","BEST_FPERIOD_OVERRIDE=FQ","FILING_STATUS=MR","SCALING_FORMAT=MLN","Sort=A","Dates=H","DateFormat=P","Fill=—","Direction=H","UseDPDF=Y")</f>
        <v>—</v>
      </c>
      <c r="X57" s="13" t="str">
        <f>_xll.BDH("NBIX US Equity","ARDR_INCOME_TAX_EXP_BENEFIT","FQ1 2024","FQ1 2024","Currency=USD","Period=FQ","BEST_FPERIOD_OVERRIDE=FQ","FILING_STATUS=MR","SCALING_FORMAT=MLN","Sort=A","Dates=H","DateFormat=P","Fill=—","Direction=H","UseDPDF=Y")</f>
        <v>—</v>
      </c>
      <c r="Y57" s="13">
        <f>_xll.BDH("NBIX US Equity","ARDR_INCOME_TAX_EXP_BENEFIT","FQ2 2024","FQ2 2024","Currency=USD","Period=FQ","BEST_FPERIOD_OVERRIDE=FQ","FILING_STATUS=MR","SCALING_FORMAT=MLN","Sort=A","Dates=H","DateFormat=P","Fill=—","Direction=H","UseDPDF=Y")</f>
        <v>33.6</v>
      </c>
      <c r="Z57" s="13">
        <f>_xll.BDH("NBIX US Equity","ARDR_INCOME_TAX_EXP_BENEFIT","FQ3 2024","FQ3 2024","Currency=USD","Period=FQ","BEST_FPERIOD_OVERRIDE=FQ","FILING_STATUS=MR","SCALING_FORMAT=MLN","Sort=A","Dates=H","DateFormat=P","Fill=—","Direction=H","UseDPDF=Y")</f>
        <v>60.5</v>
      </c>
      <c r="AA57" s="13" t="str">
        <f>_xll.BDH("NBIX US Equity","ARDR_INCOME_TAX_EXP_BENEFIT","FQ4 2024","FQ4 2024","Currency=USD","Period=FQ","BEST_FPERIOD_OVERRIDE=FQ","FILING_STATUS=MR","SCALING_FORMAT=MLN","Sort=A","Dates=H","DateFormat=P","Fill=—","Direction=H","UseDPDF=Y")</f>
        <v>—</v>
      </c>
    </row>
    <row r="58" spans="1:27" x14ac:dyDescent="0.25">
      <c r="A58" s="10" t="s">
        <v>438</v>
      </c>
      <c r="B58" s="10" t="s">
        <v>508</v>
      </c>
      <c r="C58" s="13">
        <f>_xll.BDH("NBIX US Equity","ARDR_GENERAL_ADMINISTRATIVE_EXP","FQ4 2018","FQ4 2018","Currency=USD","Period=FQ","BEST_FPERIOD_OVERRIDE=FQ","FILING_STATUS=MR","SCALING_FORMAT=MLN","Sort=A","Dates=H","DateFormat=P","Fill=—","Direction=H","UseDPDF=Y")</f>
        <v>68.98</v>
      </c>
      <c r="D58" s="13">
        <f>_xll.BDH("NBIX US Equity","ARDR_GENERAL_ADMINISTRATIVE_EXP","FQ1 2019","FQ1 2019","Currency=USD","Period=FQ","BEST_FPERIOD_OVERRIDE=FQ","FILING_STATUS=MR","SCALING_FORMAT=MLN","Sort=A","Dates=H","DateFormat=P","Fill=—","Direction=H","UseDPDF=Y")</f>
        <v>87.537999999999997</v>
      </c>
      <c r="E58" s="13">
        <f>_xll.BDH("NBIX US Equity","ARDR_GENERAL_ADMINISTRATIVE_EXP","FQ2 2019","FQ2 2019","Currency=USD","Period=FQ","BEST_FPERIOD_OVERRIDE=FQ","FILING_STATUS=MR","SCALING_FORMAT=MLN","Sort=A","Dates=H","DateFormat=P","Fill=—","Direction=H","UseDPDF=Y")</f>
        <v>80.823999999999998</v>
      </c>
      <c r="F58" s="13">
        <f>_xll.BDH("NBIX US Equity","ARDR_GENERAL_ADMINISTRATIVE_EXP","FQ3 2019","FQ3 2019","Currency=USD","Period=FQ","BEST_FPERIOD_OVERRIDE=FQ","FILING_STATUS=MR","SCALING_FORMAT=MLN","Sort=A","Dates=H","DateFormat=P","Fill=—","Direction=H","UseDPDF=Y")</f>
        <v>84.489000000000004</v>
      </c>
      <c r="G58" s="13">
        <f>_xll.BDH("NBIX US Equity","ARDR_GENERAL_ADMINISTRATIVE_EXP","FQ4 2019","FQ4 2019","Currency=USD","Period=FQ","BEST_FPERIOD_OVERRIDE=FQ","FILING_STATUS=MR","SCALING_FORMAT=MLN","Sort=A","Dates=H","DateFormat=P","Fill=—","Direction=H","UseDPDF=Y")</f>
        <v>101.3</v>
      </c>
      <c r="H58" s="13">
        <f>_xll.BDH("NBIX US Equity","ARDR_GENERAL_ADMINISTRATIVE_EXP","FQ1 2020","FQ1 2020","Currency=USD","Period=FQ","BEST_FPERIOD_OVERRIDE=FQ","FILING_STATUS=MR","SCALING_FORMAT=MLN","Sort=A","Dates=H","DateFormat=P","Fill=—","Direction=H","UseDPDF=Y")</f>
        <v>117.8</v>
      </c>
      <c r="I58" s="13">
        <f>_xll.BDH("NBIX US Equity","ARDR_GENERAL_ADMINISTRATIVE_EXP","FQ2 2020","FQ2 2020","Currency=USD","Period=FQ","BEST_FPERIOD_OVERRIDE=FQ","FILING_STATUS=MR","SCALING_FORMAT=MLN","Sort=A","Dates=H","DateFormat=P","Fill=—","Direction=H","UseDPDF=Y")</f>
        <v>96.5</v>
      </c>
      <c r="J58" s="13">
        <f>_xll.BDH("NBIX US Equity","ARDR_GENERAL_ADMINISTRATIVE_EXP","FQ3 2020","FQ3 2020","Currency=USD","Period=FQ","BEST_FPERIOD_OVERRIDE=FQ","FILING_STATUS=MR","SCALING_FORMAT=MLN","Sort=A","Dates=H","DateFormat=P","Fill=—","Direction=H","UseDPDF=Y")</f>
        <v>112.5</v>
      </c>
      <c r="K58" s="13">
        <f>_xll.BDH("NBIX US Equity","ARDR_GENERAL_ADMINISTRATIVE_EXP","FQ4 2020","FQ4 2020","Currency=USD","Period=FQ","BEST_FPERIOD_OVERRIDE=FQ","FILING_STATUS=MR","SCALING_FORMAT=MLN","Sort=A","Dates=H","DateFormat=P","Fill=—","Direction=H","UseDPDF=Y")</f>
        <v>106.5</v>
      </c>
      <c r="L58" s="13">
        <f>_xll.BDH("NBIX US Equity","ARDR_GENERAL_ADMINISTRATIVE_EXP","FQ1 2021","FQ1 2021","Currency=USD","Period=FQ","BEST_FPERIOD_OVERRIDE=FQ","FILING_STATUS=MR","SCALING_FORMAT=MLN","Sort=A","Dates=H","DateFormat=P","Fill=—","Direction=H","UseDPDF=Y")</f>
        <v>129</v>
      </c>
      <c r="M58" s="13" t="str">
        <f>_xll.BDH("NBIX US Equity","ARDR_GENERAL_ADMINISTRATIVE_EXP","FQ2 2021","FQ2 2021","Currency=USD","Period=FQ","BEST_FPERIOD_OVERRIDE=FQ","FILING_STATUS=MR","SCALING_FORMAT=MLN","Sort=A","Dates=H","DateFormat=P","Fill=—","Direction=H","UseDPDF=Y")</f>
        <v>—</v>
      </c>
      <c r="N58" s="13">
        <f>_xll.BDH("NBIX US Equity","ARDR_GENERAL_ADMINISTRATIVE_EXP","FQ3 2021","FQ3 2021","Currency=USD","Period=FQ","BEST_FPERIOD_OVERRIDE=FQ","FILING_STATUS=MR","SCALING_FORMAT=MLN","Sort=A","Dates=H","DateFormat=P","Fill=—","Direction=H","UseDPDF=Y")</f>
        <v>154.6</v>
      </c>
      <c r="O58" s="13">
        <f>_xll.BDH("NBIX US Equity","ARDR_GENERAL_ADMINISTRATIVE_EXP","FQ4 2021","FQ4 2021","Currency=USD","Period=FQ","BEST_FPERIOD_OVERRIDE=FQ","FILING_STATUS=MR","SCALING_FORMAT=MLN","Sort=A","Dates=H","DateFormat=P","Fill=—","Direction=H","UseDPDF=Y")</f>
        <v>156.5</v>
      </c>
      <c r="P58" s="13">
        <f>_xll.BDH("NBIX US Equity","ARDR_GENERAL_ADMINISTRATIVE_EXP","FQ1 2022","FQ1 2022","Currency=USD","Period=FQ","BEST_FPERIOD_OVERRIDE=FQ","FILING_STATUS=MR","SCALING_FORMAT=MLN","Sort=A","Dates=H","DateFormat=P","Fill=—","Direction=H","UseDPDF=Y")</f>
        <v>200.7</v>
      </c>
      <c r="Q58" s="13" t="str">
        <f>_xll.BDH("NBIX US Equity","ARDR_GENERAL_ADMINISTRATIVE_EXP","FQ2 2022","FQ2 2022","Currency=USD","Period=FQ","BEST_FPERIOD_OVERRIDE=FQ","FILING_STATUS=MR","SCALING_FORMAT=MLN","Sort=A","Dates=H","DateFormat=P","Fill=—","Direction=H","UseDPDF=Y")</f>
        <v>—</v>
      </c>
      <c r="R58" s="13">
        <f>_xll.BDH("NBIX US Equity","ARDR_GENERAL_ADMINISTRATIVE_EXP","FQ3 2022","FQ3 2022","Currency=USD","Period=FQ","BEST_FPERIOD_OVERRIDE=FQ","FILING_STATUS=MR","SCALING_FORMAT=MLN","Sort=A","Dates=H","DateFormat=P","Fill=—","Direction=H","UseDPDF=Y")</f>
        <v>186.3</v>
      </c>
      <c r="S58" s="13">
        <f>_xll.BDH("NBIX US Equity","ARDR_GENERAL_ADMINISTRATIVE_EXP","FQ4 2022","FQ4 2022","Currency=USD","Period=FQ","BEST_FPERIOD_OVERRIDE=FQ","FILING_STATUS=MR","SCALING_FORMAT=MLN","Sort=A","Dates=H","DateFormat=P","Fill=—","Direction=H","UseDPDF=Y")</f>
        <v>182.9</v>
      </c>
      <c r="T58" s="13">
        <f>_xll.BDH("NBIX US Equity","ARDR_GENERAL_ADMINISTRATIVE_EXP","FQ1 2023","FQ1 2023","Currency=USD","Period=FQ","BEST_FPERIOD_OVERRIDE=FQ","FILING_STATUS=MR","SCALING_FORMAT=MLN","Sort=A","Dates=H","DateFormat=P","Fill=—","Direction=H","UseDPDF=Y")</f>
        <v>242.7</v>
      </c>
      <c r="U58" s="13" t="str">
        <f>_xll.BDH("NBIX US Equity","ARDR_GENERAL_ADMINISTRATIVE_EXP","FQ2 2023","FQ2 2023","Currency=USD","Period=FQ","BEST_FPERIOD_OVERRIDE=FQ","FILING_STATUS=MR","SCALING_FORMAT=MLN","Sort=A","Dates=H","DateFormat=P","Fill=—","Direction=H","UseDPDF=Y")</f>
        <v>—</v>
      </c>
      <c r="V58" s="13">
        <f>_xll.BDH("NBIX US Equity","ARDR_GENERAL_ADMINISTRATIVE_EXP","FQ3 2023","FQ3 2023","Currency=USD","Period=FQ","BEST_FPERIOD_OVERRIDE=FQ","FILING_STATUS=MR","SCALING_FORMAT=MLN","Sort=A","Dates=H","DateFormat=P","Fill=—","Direction=H","UseDPDF=Y")</f>
        <v>204.2</v>
      </c>
      <c r="W58" s="13">
        <f>_xll.BDH("NBIX US Equity","ARDR_GENERAL_ADMINISTRATIVE_EXP","FQ4 2023","FQ4 2023","Currency=USD","Period=FQ","BEST_FPERIOD_OVERRIDE=FQ","FILING_STATUS=MR","SCALING_FORMAT=MLN","Sort=A","Dates=H","DateFormat=P","Fill=—","Direction=H","UseDPDF=Y")</f>
        <v>218.9</v>
      </c>
      <c r="X58" s="13">
        <f>_xll.BDH("NBIX US Equity","ARDR_GENERAL_ADMINISTRATIVE_EXP","FQ1 2024","FQ1 2024","Currency=USD","Period=FQ","BEST_FPERIOD_OVERRIDE=FQ","FILING_STATUS=MR","SCALING_FORMAT=MLN","Sort=A","Dates=H","DateFormat=P","Fill=—","Direction=H","UseDPDF=Y")</f>
        <v>243.1</v>
      </c>
      <c r="Y58" s="13">
        <f>_xll.BDH("NBIX US Equity","ARDR_GENERAL_ADMINISTRATIVE_EXP","FQ2 2024","FQ2 2024","Currency=USD","Period=FQ","BEST_FPERIOD_OVERRIDE=FQ","FILING_STATUS=MR","SCALING_FORMAT=MLN","Sort=A","Dates=H","DateFormat=P","Fill=—","Direction=H","UseDPDF=Y")</f>
        <v>242</v>
      </c>
      <c r="Z58" s="13">
        <f>_xll.BDH("NBIX US Equity","ARDR_GENERAL_ADMINISTRATIVE_EXP","FQ3 2024","FQ3 2024","Currency=USD","Period=FQ","BEST_FPERIOD_OVERRIDE=FQ","FILING_STATUS=MR","SCALING_FORMAT=MLN","Sort=A","Dates=H","DateFormat=P","Fill=—","Direction=H","UseDPDF=Y")</f>
        <v>234.3</v>
      </c>
      <c r="AA58" s="13">
        <f>_xll.BDH("NBIX US Equity","ARDR_GENERAL_ADMINISTRATIVE_EXP","FQ4 2024","FQ4 2024","Currency=USD","Period=FQ","BEST_FPERIOD_OVERRIDE=FQ","FILING_STATUS=MR","SCALING_FORMAT=MLN","Sort=A","Dates=H","DateFormat=P","Fill=—","Direction=H","UseDPDF=Y")</f>
        <v>287.8</v>
      </c>
    </row>
    <row r="59" spans="1:27" x14ac:dyDescent="0.25">
      <c r="A59" s="10" t="s">
        <v>450</v>
      </c>
      <c r="B59" s="10" t="s">
        <v>509</v>
      </c>
      <c r="C59" s="13" t="str">
        <f>_xll.BDH("NBIX US Equity","ARDR_INVESTMENT_INCOME","FQ4 2018","FQ4 2018","Currency=USD","Period=FQ","BEST_FPERIOD_OVERRIDE=FQ","FILING_STATUS=MR","SCALING_FORMAT=MLN","Sort=A","Dates=H","DateFormat=P","Fill=—","Direction=H","UseDPDF=Y")</f>
        <v>—</v>
      </c>
      <c r="D59" s="13" t="str">
        <f>_xll.BDH("NBIX US Equity","ARDR_INVESTMENT_INCOME","FQ1 2019","FQ1 2019","Currency=USD","Period=FQ","BEST_FPERIOD_OVERRIDE=FQ","FILING_STATUS=MR","SCALING_FORMAT=MLN","Sort=A","Dates=H","DateFormat=P","Fill=—","Direction=H","UseDPDF=Y")</f>
        <v>—</v>
      </c>
      <c r="E59" s="13" t="str">
        <f>_xll.BDH("NBIX US Equity","ARDR_INVESTMENT_INCOME","FQ2 2019","FQ2 2019","Currency=USD","Period=FQ","BEST_FPERIOD_OVERRIDE=FQ","FILING_STATUS=MR","SCALING_FORMAT=MLN","Sort=A","Dates=H","DateFormat=P","Fill=—","Direction=H","UseDPDF=Y")</f>
        <v>—</v>
      </c>
      <c r="F59" s="13" t="str">
        <f>_xll.BDH("NBIX US Equity","ARDR_INVESTMENT_INCOME","FQ3 2019","FQ3 2019","Currency=USD","Period=FQ","BEST_FPERIOD_OVERRIDE=FQ","FILING_STATUS=MR","SCALING_FORMAT=MLN","Sort=A","Dates=H","DateFormat=P","Fill=—","Direction=H","UseDPDF=Y")</f>
        <v>—</v>
      </c>
      <c r="G59" s="13" t="str">
        <f>_xll.BDH("NBIX US Equity","ARDR_INVESTMENT_INCOME","FQ4 2019","FQ4 2019","Currency=USD","Period=FQ","BEST_FPERIOD_OVERRIDE=FQ","FILING_STATUS=MR","SCALING_FORMAT=MLN","Sort=A","Dates=H","DateFormat=P","Fill=—","Direction=H","UseDPDF=Y")</f>
        <v>—</v>
      </c>
      <c r="H59" s="13" t="str">
        <f>_xll.BDH("NBIX US Equity","ARDR_INVESTMENT_INCOME","FQ1 2020","FQ1 2020","Currency=USD","Period=FQ","BEST_FPERIOD_OVERRIDE=FQ","FILING_STATUS=MR","SCALING_FORMAT=MLN","Sort=A","Dates=H","DateFormat=P","Fill=—","Direction=H","UseDPDF=Y")</f>
        <v>—</v>
      </c>
      <c r="I59" s="13" t="str">
        <f>_xll.BDH("NBIX US Equity","ARDR_INVESTMENT_INCOME","FQ2 2020","FQ2 2020","Currency=USD","Period=FQ","BEST_FPERIOD_OVERRIDE=FQ","FILING_STATUS=MR","SCALING_FORMAT=MLN","Sort=A","Dates=H","DateFormat=P","Fill=—","Direction=H","UseDPDF=Y")</f>
        <v>—</v>
      </c>
      <c r="J59" s="13">
        <f>_xll.BDH("NBIX US Equity","ARDR_INVESTMENT_INCOME","FQ3 2020","FQ3 2020","Currency=USD","Period=FQ","BEST_FPERIOD_OVERRIDE=FQ","FILING_STATUS=MR","SCALING_FORMAT=MLN","Sort=A","Dates=H","DateFormat=P","Fill=—","Direction=H","UseDPDF=Y")</f>
        <v>-2.7</v>
      </c>
      <c r="K59" s="13" t="str">
        <f>_xll.BDH("NBIX US Equity","ARDR_INVESTMENT_INCOME","FQ4 2020","FQ4 2020","Currency=USD","Period=FQ","BEST_FPERIOD_OVERRIDE=FQ","FILING_STATUS=MR","SCALING_FORMAT=MLN","Sort=A","Dates=H","DateFormat=P","Fill=—","Direction=H","UseDPDF=Y")</f>
        <v>—</v>
      </c>
      <c r="L59" s="13" t="str">
        <f>_xll.BDH("NBIX US Equity","ARDR_INVESTMENT_INCOME","FQ1 2021","FQ1 2021","Currency=USD","Period=FQ","BEST_FPERIOD_OVERRIDE=FQ","FILING_STATUS=MR","SCALING_FORMAT=MLN","Sort=A","Dates=H","DateFormat=P","Fill=—","Direction=H","UseDPDF=Y")</f>
        <v>—</v>
      </c>
      <c r="M59" s="13" t="str">
        <f>_xll.BDH("NBIX US Equity","ARDR_INVESTMENT_INCOME","FQ2 2021","FQ2 2021","Currency=USD","Period=FQ","BEST_FPERIOD_OVERRIDE=FQ","FILING_STATUS=MR","SCALING_FORMAT=MLN","Sort=A","Dates=H","DateFormat=P","Fill=—","Direction=H","UseDPDF=Y")</f>
        <v>—</v>
      </c>
      <c r="N59" s="13">
        <f>_xll.BDH("NBIX US Equity","ARDR_INVESTMENT_INCOME","FQ3 2021","FQ3 2021","Currency=USD","Period=FQ","BEST_FPERIOD_OVERRIDE=FQ","FILING_STATUS=MR","SCALING_FORMAT=MLN","Sort=A","Dates=H","DateFormat=P","Fill=—","Direction=H","UseDPDF=Y")</f>
        <v>-0.8</v>
      </c>
      <c r="O59" s="13" t="str">
        <f>_xll.BDH("NBIX US Equity","ARDR_INVESTMENT_INCOME","FQ4 2021","FQ4 2021","Currency=USD","Period=FQ","BEST_FPERIOD_OVERRIDE=FQ","FILING_STATUS=MR","SCALING_FORMAT=MLN","Sort=A","Dates=H","DateFormat=P","Fill=—","Direction=H","UseDPDF=Y")</f>
        <v>—</v>
      </c>
      <c r="P59" s="13" t="str">
        <f>_xll.BDH("NBIX US Equity","ARDR_INVESTMENT_INCOME","FQ1 2022","FQ1 2022","Currency=USD","Period=FQ","BEST_FPERIOD_OVERRIDE=FQ","FILING_STATUS=MR","SCALING_FORMAT=MLN","Sort=A","Dates=H","DateFormat=P","Fill=—","Direction=H","UseDPDF=Y")</f>
        <v>—</v>
      </c>
      <c r="Q59" s="13" t="str">
        <f>_xll.BDH("NBIX US Equity","ARDR_INVESTMENT_INCOME","FQ2 2022","FQ2 2022","Currency=USD","Period=FQ","BEST_FPERIOD_OVERRIDE=FQ","FILING_STATUS=MR","SCALING_FORMAT=MLN","Sort=A","Dates=H","DateFormat=P","Fill=—","Direction=H","UseDPDF=Y")</f>
        <v>—</v>
      </c>
      <c r="R59" s="13">
        <f>_xll.BDH("NBIX US Equity","ARDR_INVESTMENT_INCOME","FQ3 2022","FQ3 2022","Currency=USD","Period=FQ","BEST_FPERIOD_OVERRIDE=FQ","FILING_STATUS=MR","SCALING_FORMAT=MLN","Sort=A","Dates=H","DateFormat=P","Fill=—","Direction=H","UseDPDF=Y")</f>
        <v>-0.2</v>
      </c>
      <c r="S59" s="13" t="str">
        <f>_xll.BDH("NBIX US Equity","ARDR_INVESTMENT_INCOME","FQ4 2022","FQ4 2022","Currency=USD","Period=FQ","BEST_FPERIOD_OVERRIDE=FQ","FILING_STATUS=MR","SCALING_FORMAT=MLN","Sort=A","Dates=H","DateFormat=P","Fill=—","Direction=H","UseDPDF=Y")</f>
        <v>—</v>
      </c>
      <c r="T59" s="13" t="str">
        <f>_xll.BDH("NBIX US Equity","ARDR_INVESTMENT_INCOME","FQ1 2023","FQ1 2023","Currency=USD","Period=FQ","BEST_FPERIOD_OVERRIDE=FQ","FILING_STATUS=MR","SCALING_FORMAT=MLN","Sort=A","Dates=H","DateFormat=P","Fill=—","Direction=H","UseDPDF=Y")</f>
        <v>—</v>
      </c>
      <c r="U59" s="13" t="str">
        <f>_xll.BDH("NBIX US Equity","ARDR_INVESTMENT_INCOME","FQ2 2023","FQ2 2023","Currency=USD","Period=FQ","BEST_FPERIOD_OVERRIDE=FQ","FILING_STATUS=MR","SCALING_FORMAT=MLN","Sort=A","Dates=H","DateFormat=P","Fill=—","Direction=H","UseDPDF=Y")</f>
        <v>—</v>
      </c>
      <c r="V59" s="13">
        <f>_xll.BDH("NBIX US Equity","ARDR_INVESTMENT_INCOME","FQ3 2023","FQ3 2023","Currency=USD","Period=FQ","BEST_FPERIOD_OVERRIDE=FQ","FILING_STATUS=MR","SCALING_FORMAT=MLN","Sort=A","Dates=H","DateFormat=P","Fill=—","Direction=H","UseDPDF=Y")</f>
        <v>-15.6</v>
      </c>
      <c r="W59" s="13" t="str">
        <f>_xll.BDH("NBIX US Equity","ARDR_INVESTMENT_INCOME","FQ4 2023","FQ4 2023","Currency=USD","Period=FQ","BEST_FPERIOD_OVERRIDE=FQ","FILING_STATUS=MR","SCALING_FORMAT=MLN","Sort=A","Dates=H","DateFormat=P","Fill=—","Direction=H","UseDPDF=Y")</f>
        <v>—</v>
      </c>
      <c r="X59" s="13">
        <f>_xll.BDH("NBIX US Equity","ARDR_INVESTMENT_INCOME","FQ1 2024","FQ1 2024","Currency=USD","Period=FQ","BEST_FPERIOD_OVERRIDE=FQ","FILING_STATUS=MR","SCALING_FORMAT=MLN","Sort=A","Dates=H","DateFormat=P","Fill=—","Direction=H","UseDPDF=Y")</f>
        <v>23.4</v>
      </c>
      <c r="Y59" s="13">
        <f>_xll.BDH("NBIX US Equity","ARDR_INVESTMENT_INCOME","FQ2 2024","FQ2 2024","Currency=USD","Period=FQ","BEST_FPERIOD_OVERRIDE=FQ","FILING_STATUS=MR","SCALING_FORMAT=MLN","Sort=A","Dates=H","DateFormat=P","Fill=—","Direction=H","UseDPDF=Y")</f>
        <v>22.8</v>
      </c>
      <c r="Z59" s="13">
        <f>_xll.BDH("NBIX US Equity","ARDR_INVESTMENT_INCOME","FQ3 2024","FQ3 2024","Currency=USD","Period=FQ","BEST_FPERIOD_OVERRIDE=FQ","FILING_STATUS=MR","SCALING_FORMAT=MLN","Sort=A","Dates=H","DateFormat=P","Fill=—","Direction=H","UseDPDF=Y")</f>
        <v>-23.4</v>
      </c>
      <c r="AA59" s="13">
        <f>_xll.BDH("NBIX US Equity","ARDR_INVESTMENT_INCOME","FQ4 2024","FQ4 2024","Currency=USD","Period=FQ","BEST_FPERIOD_OVERRIDE=FQ","FILING_STATUS=MR","SCALING_FORMAT=MLN","Sort=A","Dates=H","DateFormat=P","Fill=—","Direction=H","UseDPDF=Y")</f>
        <v>22.5</v>
      </c>
    </row>
    <row r="60" spans="1:27" x14ac:dyDescent="0.25">
      <c r="A60" s="10" t="s">
        <v>465</v>
      </c>
      <c r="B60" s="10" t="s">
        <v>510</v>
      </c>
      <c r="C60" s="14">
        <f>_xll.BDH("NBIX US Equity","ARDR_BASIC_EPS","FQ4 2018","FQ4 2018","Currency=USD","Period=FQ","BEST_FPERIOD_OVERRIDE=FQ","FILING_STATUS=MR","Sort=A","Dates=H","DateFormat=P","Fill=—","Direction=H","UseDPDF=Y")</f>
        <v>0.2</v>
      </c>
      <c r="D60" s="14" t="str">
        <f>_xll.BDH("NBIX US Equity","ARDR_BASIC_EPS","FQ1 2019","FQ1 2019","Currency=USD","Period=FQ","BEST_FPERIOD_OVERRIDE=FQ","FILING_STATUS=MR","Sort=A","Dates=H","DateFormat=P","Fill=—","Direction=H","UseDPDF=Y")</f>
        <v>—</v>
      </c>
      <c r="E60" s="14">
        <f>_xll.BDH("NBIX US Equity","ARDR_BASIC_EPS","FQ2 2019","FQ2 2019","Currency=USD","Period=FQ","BEST_FPERIOD_OVERRIDE=FQ","FILING_STATUS=MR","Sort=A","Dates=H","DateFormat=P","Fill=—","Direction=H","UseDPDF=Y")</f>
        <v>0.56000000000000005</v>
      </c>
      <c r="F60" s="14">
        <f>_xll.BDH("NBIX US Equity","ARDR_BASIC_EPS","FQ3 2019","FQ3 2019","Currency=USD","Period=FQ","BEST_FPERIOD_OVERRIDE=FQ","FILING_STATUS=MR","Sort=A","Dates=H","DateFormat=P","Fill=—","Direction=H","UseDPDF=Y")</f>
        <v>0.59</v>
      </c>
      <c r="G60" s="14">
        <f>_xll.BDH("NBIX US Equity","ARDR_BASIC_EPS","FQ4 2019","FQ4 2019","Currency=USD","Period=FQ","BEST_FPERIOD_OVERRIDE=FQ","FILING_STATUS=MR","Sort=A","Dates=H","DateFormat=P","Fill=—","Direction=H","UseDPDF=Y")</f>
        <v>0.37</v>
      </c>
      <c r="H60" s="14">
        <f>_xll.BDH("NBIX US Equity","ARDR_BASIC_EPS","FQ1 2020","FQ1 2020","Currency=USD","Period=FQ","BEST_FPERIOD_OVERRIDE=FQ","FILING_STATUS=MR","Sort=A","Dates=H","DateFormat=P","Fill=—","Direction=H","UseDPDF=Y")</f>
        <v>0.4</v>
      </c>
      <c r="I60" s="14">
        <f>_xll.BDH("NBIX US Equity","ARDR_BASIC_EPS","FQ2 2020","FQ2 2020","Currency=USD","Period=FQ","BEST_FPERIOD_OVERRIDE=FQ","FILING_STATUS=MR","Sort=A","Dates=H","DateFormat=P","Fill=—","Direction=H","UseDPDF=Y")</f>
        <v>0.86</v>
      </c>
      <c r="J60" s="14">
        <f>_xll.BDH("NBIX US Equity","ARDR_BASIC_EPS","FQ3 2020","FQ3 2020","Currency=USD","Period=FQ","BEST_FPERIOD_OVERRIDE=FQ","FILING_STATUS=MR","Sort=A","Dates=H","DateFormat=P","Fill=—","Direction=H","UseDPDF=Y")</f>
        <v>-0.62</v>
      </c>
      <c r="K60" s="14">
        <f>_xll.BDH("NBIX US Equity","ARDR_BASIC_EPS","FQ4 2020","FQ4 2020","Currency=USD","Period=FQ","BEST_FPERIOD_OVERRIDE=FQ","FILING_STATUS=MR","Sort=A","Dates=H","DateFormat=P","Fill=—","Direction=H","UseDPDF=Y")</f>
        <v>3.72</v>
      </c>
      <c r="L60" s="14">
        <f>_xll.BDH("NBIX US Equity","ARDR_BASIC_EPS","FQ1 2021","FQ1 2021","Currency=USD","Period=FQ","BEST_FPERIOD_OVERRIDE=FQ","FILING_STATUS=MR","Sort=A","Dates=H","DateFormat=P","Fill=—","Direction=H","UseDPDF=Y")</f>
        <v>0.34</v>
      </c>
      <c r="M60" s="14">
        <f>_xll.BDH("NBIX US Equity","ARDR_BASIC_EPS","FQ2 2021","FQ2 2021","Currency=USD","Period=FQ","BEST_FPERIOD_OVERRIDE=FQ","FILING_STATUS=MR","Sort=A","Dates=H","DateFormat=P","Fill=—","Direction=H","UseDPDF=Y")</f>
        <v>0.45</v>
      </c>
      <c r="N60" s="14">
        <f>_xll.BDH("NBIX US Equity","ARDR_BASIC_EPS","FQ3 2021","FQ3 2021","Currency=USD","Period=FQ","BEST_FPERIOD_OVERRIDE=FQ","FILING_STATUS=MR","Sort=A","Dates=H","DateFormat=P","Fill=—","Direction=H","UseDPDF=Y")</f>
        <v>0.24</v>
      </c>
      <c r="O60" s="14" t="str">
        <f>_xll.BDH("NBIX US Equity","ARDR_BASIC_EPS","FQ4 2021","FQ4 2021","Currency=USD","Period=FQ","BEST_FPERIOD_OVERRIDE=FQ","FILING_STATUS=MR","Sort=A","Dates=H","DateFormat=P","Fill=—","Direction=H","UseDPDF=Y")</f>
        <v>—</v>
      </c>
      <c r="P60" s="14">
        <f>_xll.BDH("NBIX US Equity","ARDR_BASIC_EPS","FQ1 2022","FQ1 2022","Currency=USD","Period=FQ","BEST_FPERIOD_OVERRIDE=FQ","FILING_STATUS=MR","Sort=A","Dates=H","DateFormat=P","Fill=—","Direction=H","UseDPDF=Y")</f>
        <v>0.15</v>
      </c>
      <c r="Q60" s="14">
        <f>_xll.BDH("NBIX US Equity","ARDR_BASIC_EPS","FQ2 2022","FQ2 2022","Currency=USD","Period=FQ","BEST_FPERIOD_OVERRIDE=FQ","FILING_STATUS=MR","Sort=A","Dates=H","DateFormat=P","Fill=—","Direction=H","UseDPDF=Y")</f>
        <v>-0.18</v>
      </c>
      <c r="R60" s="14">
        <f>_xll.BDH("NBIX US Equity","ARDR_BASIC_EPS","FQ3 2022","FQ3 2022","Currency=USD","Period=FQ","BEST_FPERIOD_OVERRIDE=FQ","FILING_STATUS=MR","Sort=A","Dates=H","DateFormat=P","Fill=—","Direction=H","UseDPDF=Y")</f>
        <v>0.72</v>
      </c>
      <c r="S60" s="14" t="str">
        <f>_xll.BDH("NBIX US Equity","ARDR_BASIC_EPS","FQ4 2022","FQ4 2022","Currency=USD","Period=FQ","BEST_FPERIOD_OVERRIDE=FQ","FILING_STATUS=MR","Sort=A","Dates=H","DateFormat=P","Fill=—","Direction=H","UseDPDF=Y")</f>
        <v>—</v>
      </c>
      <c r="T60" s="14">
        <f>_xll.BDH("NBIX US Equity","ARDR_BASIC_EPS","FQ1 2023","FQ1 2023","Currency=USD","Period=FQ","BEST_FPERIOD_OVERRIDE=FQ","FILING_STATUS=MR","Sort=A","Dates=H","DateFormat=P","Fill=—","Direction=H","UseDPDF=Y")</f>
        <v>-0.79</v>
      </c>
      <c r="U60" s="14">
        <f>_xll.BDH("NBIX US Equity","ARDR_BASIC_EPS","FQ2 2023","FQ2 2023","Currency=USD","Period=FQ","BEST_FPERIOD_OVERRIDE=FQ","FILING_STATUS=MR","Sort=A","Dates=H","DateFormat=P","Fill=—","Direction=H","UseDPDF=Y")</f>
        <v>0.98</v>
      </c>
      <c r="V60" s="14">
        <f>_xll.BDH("NBIX US Equity","ARDR_BASIC_EPS","FQ3 2023","FQ3 2023","Currency=USD","Period=FQ","BEST_FPERIOD_OVERRIDE=FQ","FILING_STATUS=MR","Sort=A","Dates=H","DateFormat=P","Fill=—","Direction=H","UseDPDF=Y")</f>
        <v>0.85</v>
      </c>
      <c r="W60" s="14">
        <f>_xll.BDH("NBIX US Equity","ARDR_BASIC_EPS","FQ4 2023","FQ4 2023","Currency=USD","Period=FQ","BEST_FPERIOD_OVERRIDE=FQ","FILING_STATUS=MR","Sort=A","Dates=H","DateFormat=P","Fill=—","Direction=H","UseDPDF=Y")</f>
        <v>1.5</v>
      </c>
      <c r="X60" s="14">
        <f>_xll.BDH("NBIX US Equity","ARDR_BASIC_EPS","FQ1 2024","FQ1 2024","Currency=USD","Period=FQ","BEST_FPERIOD_OVERRIDE=FQ","FILING_STATUS=MR","Sort=A","Dates=H","DateFormat=P","Fill=—","Direction=H","UseDPDF=Y")</f>
        <v>0.43</v>
      </c>
      <c r="Y60" s="14">
        <f>_xll.BDH("NBIX US Equity","ARDR_BASIC_EPS","FQ2 2024","FQ2 2024","Currency=USD","Period=FQ","BEST_FPERIOD_OVERRIDE=FQ","FILING_STATUS=MR","Sort=A","Dates=H","DateFormat=P","Fill=—","Direction=H","UseDPDF=Y")</f>
        <v>0.64</v>
      </c>
      <c r="Z60" s="14">
        <f>_xll.BDH("NBIX US Equity","ARDR_BASIC_EPS","FQ3 2024","FQ3 2024","Currency=USD","Period=FQ","BEST_FPERIOD_OVERRIDE=FQ","FILING_STATUS=MR","Sort=A","Dates=H","DateFormat=P","Fill=—","Direction=H","UseDPDF=Y")</f>
        <v>1.28</v>
      </c>
      <c r="AA60" s="14">
        <f>_xll.BDH("NBIX US Equity","ARDR_BASIC_EPS","FQ4 2024","FQ4 2024","Currency=USD","Period=FQ","BEST_FPERIOD_OVERRIDE=FQ","FILING_STATUS=MR","Sort=A","Dates=H","DateFormat=P","Fill=—","Direction=H","UseDPDF=Y")</f>
        <v>1.03</v>
      </c>
    </row>
    <row r="61" spans="1:27" x14ac:dyDescent="0.25">
      <c r="A61" s="10" t="s">
        <v>467</v>
      </c>
      <c r="B61" s="10" t="s">
        <v>511</v>
      </c>
      <c r="C61" s="13">
        <f>_xll.BDH("NBIX US Equity","ARDR_WEIGHTED_AVG_SHARES_BASIC","FQ4 2018","FQ4 2018","Currency=USD","Period=FQ","BEST_FPERIOD_OVERRIDE=FQ","FILING_STATUS=MR","Sort=A","Dates=H","DateFormat=P","Fill=—","Direction=H","UseDPDF=Y")</f>
        <v>90.742000000000004</v>
      </c>
      <c r="D61" s="13" t="str">
        <f>_xll.BDH("NBIX US Equity","ARDR_WEIGHTED_AVG_SHARES_BASIC","FQ1 2019","FQ1 2019","Currency=USD","Period=FQ","BEST_FPERIOD_OVERRIDE=FQ","FILING_STATUS=MR","Sort=A","Dates=H","DateFormat=P","Fill=—","Direction=H","UseDPDF=Y")</f>
        <v>—</v>
      </c>
      <c r="E61" s="13">
        <f>_xll.BDH("NBIX US Equity","ARDR_WEIGHTED_AVG_SHARES_BASIC","FQ2 2019","FQ2 2019","Currency=USD","Period=FQ","BEST_FPERIOD_OVERRIDE=FQ","FILING_STATUS=MR","Sort=A","Dates=H","DateFormat=P","Fill=—","Direction=H","UseDPDF=Y")</f>
        <v>91.388999999999996</v>
      </c>
      <c r="F61" s="13">
        <f>_xll.BDH("NBIX US Equity","ARDR_WEIGHTED_AVG_SHARES_BASIC","FQ3 2019","FQ3 2019","Currency=USD","Period=FQ","BEST_FPERIOD_OVERRIDE=FQ","FILING_STATUS=MR","Sort=A","Dates=H","DateFormat=P","Fill=—","Direction=H","UseDPDF=Y")</f>
        <v>91.858999999999995</v>
      </c>
      <c r="G61" s="13">
        <f>_xll.BDH("NBIX US Equity","ARDR_WEIGHTED_AVG_SHARES_BASIC","FQ4 2019","FQ4 2019","Currency=USD","Period=FQ","BEST_FPERIOD_OVERRIDE=FQ","FILING_STATUS=MR","Sort=A","Dates=H","DateFormat=P","Fill=—","Direction=H","UseDPDF=Y")</f>
        <v>92.2</v>
      </c>
      <c r="H61" s="13">
        <f>_xll.BDH("NBIX US Equity","ARDR_WEIGHTED_AVG_SHARES_BASIC","FQ1 2020","FQ1 2020","Currency=USD","Period=FQ","BEST_FPERIOD_OVERRIDE=FQ","FILING_STATUS=MR","Sort=A","Dates=H","DateFormat=P","Fill=—","Direction=H","UseDPDF=Y")</f>
        <v>92.6</v>
      </c>
      <c r="I61" s="13">
        <f>_xll.BDH("NBIX US Equity","ARDR_WEIGHTED_AVG_SHARES_BASIC","FQ2 2020","FQ2 2020","Currency=USD","Period=FQ","BEST_FPERIOD_OVERRIDE=FQ","FILING_STATUS=MR","Sort=A","Dates=H","DateFormat=P","Fill=—","Direction=H","UseDPDF=Y")</f>
        <v>93</v>
      </c>
      <c r="J61" s="13">
        <f>_xll.BDH("NBIX US Equity","ARDR_WEIGHTED_AVG_SHARES_BASIC","FQ3 2020","FQ3 2020","Currency=USD","Period=FQ","BEST_FPERIOD_OVERRIDE=FQ","FILING_STATUS=MR","Sort=A","Dates=H","DateFormat=P","Fill=—","Direction=H","UseDPDF=Y")</f>
        <v>93.3</v>
      </c>
      <c r="K61" s="13">
        <f>_xll.BDH("NBIX US Equity","ARDR_WEIGHTED_AVG_SHARES_BASIC","FQ4 2020","FQ4 2020","Currency=USD","Period=FQ","BEST_FPERIOD_OVERRIDE=FQ","FILING_STATUS=MR","Sort=A","Dates=H","DateFormat=P","Fill=—","Direction=H","UseDPDF=Y")</f>
        <v>93.5</v>
      </c>
      <c r="L61" s="13">
        <f>_xll.BDH("NBIX US Equity","ARDR_WEIGHTED_AVG_SHARES_BASIC","FQ1 2021","FQ1 2021","Currency=USD","Period=FQ","BEST_FPERIOD_OVERRIDE=FQ","FILING_STATUS=MR","Sort=A","Dates=H","DateFormat=P","Fill=—","Direction=H","UseDPDF=Y")</f>
        <v>94.2</v>
      </c>
      <c r="M61" s="13">
        <f>_xll.BDH("NBIX US Equity","ARDR_WEIGHTED_AVG_SHARES_BASIC","FQ2 2021","FQ2 2021","Currency=USD","Period=FQ","BEST_FPERIOD_OVERRIDE=FQ","FILING_STATUS=MR","Sort=A","Dates=H","DateFormat=P","Fill=—","Direction=H","UseDPDF=Y")</f>
        <v>94.6</v>
      </c>
      <c r="N61" s="13">
        <f>_xll.BDH("NBIX US Equity","ARDR_WEIGHTED_AVG_SHARES_BASIC","FQ3 2021","FQ3 2021","Currency=USD","Period=FQ","BEST_FPERIOD_OVERRIDE=FQ","FILING_STATUS=MR","Sort=A","Dates=H","DateFormat=P","Fill=—","Direction=H","UseDPDF=Y")</f>
        <v>94.7</v>
      </c>
      <c r="O61" s="13">
        <f>_xll.BDH("NBIX US Equity","ARDR_WEIGHTED_AVG_SHARES_BASIC","FQ4 2021","FQ4 2021","Currency=USD","Period=FQ","BEST_FPERIOD_OVERRIDE=FQ","FILING_STATUS=MR","Sort=A","Dates=H","DateFormat=P","Fill=—","Direction=H","UseDPDF=Y")</f>
        <v>94.9</v>
      </c>
      <c r="P61" s="13">
        <f>_xll.BDH("NBIX US Equity","ARDR_WEIGHTED_AVG_SHARES_BASIC","FQ1 2022","FQ1 2022","Currency=USD","Period=FQ","BEST_FPERIOD_OVERRIDE=FQ","FILING_STATUS=MR","Sort=A","Dates=H","DateFormat=P","Fill=—","Direction=H","UseDPDF=Y")</f>
        <v>95.3</v>
      </c>
      <c r="Q61" s="13">
        <f>_xll.BDH("NBIX US Equity","ARDR_WEIGHTED_AVG_SHARES_BASIC","FQ2 2022","FQ2 2022","Currency=USD","Period=FQ","BEST_FPERIOD_OVERRIDE=FQ","FILING_STATUS=MR","Sort=A","Dates=H","DateFormat=P","Fill=—","Direction=H","UseDPDF=Y")</f>
        <v>95.6</v>
      </c>
      <c r="R61" s="13">
        <f>_xll.BDH("NBIX US Equity","ARDR_WEIGHTED_AVG_SHARES_BASIC","FQ3 2022","FQ3 2022","Currency=USD","Period=FQ","BEST_FPERIOD_OVERRIDE=FQ","FILING_STATUS=MR","Sort=A","Dates=H","DateFormat=P","Fill=—","Direction=H","UseDPDF=Y")</f>
        <v>95.8</v>
      </c>
      <c r="S61" s="13">
        <f>_xll.BDH("NBIX US Equity","ARDR_WEIGHTED_AVG_SHARES_BASIC","FQ4 2022","FQ4 2022","Currency=USD","Period=FQ","BEST_FPERIOD_OVERRIDE=FQ","FILING_STATUS=MR","Sort=A","Dates=H","DateFormat=P","Fill=—","Direction=H","UseDPDF=Y")</f>
        <v>96.3</v>
      </c>
      <c r="T61" s="13">
        <f>_xll.BDH("NBIX US Equity","ARDR_WEIGHTED_AVG_SHARES_BASIC","FQ1 2023","FQ1 2023","Currency=USD","Period=FQ","BEST_FPERIOD_OVERRIDE=FQ","FILING_STATUS=MR","Sort=A","Dates=H","DateFormat=P","Fill=—","Direction=H","UseDPDF=Y")</f>
        <v>97.1</v>
      </c>
      <c r="U61" s="13">
        <f>_xll.BDH("NBIX US Equity","ARDR_WEIGHTED_AVG_SHARES_BASIC","FQ2 2023","FQ2 2023","Currency=USD","Period=FQ","BEST_FPERIOD_OVERRIDE=FQ","FILING_STATUS=MR","Sort=A","Dates=H","DateFormat=P","Fill=—","Direction=H","UseDPDF=Y")</f>
        <v>97.6</v>
      </c>
      <c r="V61" s="13">
        <f>_xll.BDH("NBIX US Equity","ARDR_WEIGHTED_AVG_SHARES_BASIC","FQ3 2023","FQ3 2023","Currency=USD","Period=FQ","BEST_FPERIOD_OVERRIDE=FQ","FILING_STATUS=MR","Sort=A","Dates=H","DateFormat=P","Fill=—","Direction=H","UseDPDF=Y")</f>
        <v>97.9</v>
      </c>
      <c r="W61" s="13">
        <f>_xll.BDH("NBIX US Equity","ARDR_WEIGHTED_AVG_SHARES_BASIC","FQ4 2023","FQ4 2023","Currency=USD","Period=FQ","BEST_FPERIOD_OVERRIDE=FQ","FILING_STATUS=MR","Sort=A","Dates=H","DateFormat=P","Fill=—","Direction=H","UseDPDF=Y")</f>
        <v>98.4</v>
      </c>
      <c r="X61" s="13">
        <f>_xll.BDH("NBIX US Equity","ARDR_WEIGHTED_AVG_SHARES_BASIC","FQ1 2024","FQ1 2024","Currency=USD","Period=FQ","BEST_FPERIOD_OVERRIDE=FQ","FILING_STATUS=MR","Sort=A","Dates=H","DateFormat=P","Fill=—","Direction=H","UseDPDF=Y")</f>
        <v>99.8</v>
      </c>
      <c r="Y61" s="13">
        <f>_xll.BDH("NBIX US Equity","ARDR_WEIGHTED_AVG_SHARES_BASIC","FQ2 2024","FQ2 2024","Currency=USD","Period=FQ","BEST_FPERIOD_OVERRIDE=FQ","FILING_STATUS=MR","Sort=A","Dates=H","DateFormat=P","Fill=—","Direction=H","UseDPDF=Y")</f>
        <v>100.8</v>
      </c>
      <c r="Z61" s="13">
        <f>_xll.BDH("NBIX US Equity","ARDR_WEIGHTED_AVG_SHARES_BASIC","FQ3 2024","FQ3 2024","Currency=USD","Period=FQ","BEST_FPERIOD_OVERRIDE=FQ","FILING_STATUS=MR","Sort=A","Dates=H","DateFormat=P","Fill=—","Direction=H","UseDPDF=Y")</f>
        <v>101.1</v>
      </c>
      <c r="AA61" s="13">
        <f>_xll.BDH("NBIX US Equity","ARDR_WEIGHTED_AVG_SHARES_BASIC","FQ4 2024","FQ4 2024","Currency=USD","Period=FQ","BEST_FPERIOD_OVERRIDE=FQ","FILING_STATUS=MR","Sort=A","Dates=H","DateFormat=P","Fill=—","Direction=H","UseDPDF=Y")</f>
        <v>100</v>
      </c>
    </row>
    <row r="62" spans="1:27" x14ac:dyDescent="0.25">
      <c r="A62" s="10" t="s">
        <v>469</v>
      </c>
      <c r="B62" s="10" t="s">
        <v>512</v>
      </c>
      <c r="C62" s="14">
        <f>_xll.BDH("NBIX US Equity","ARDR_DILUTED_EPS","FQ4 2018","FQ4 2018","Currency=USD","Period=FQ","BEST_FPERIOD_OVERRIDE=FQ","FILING_STATUS=MR","Sort=A","Dates=H","DateFormat=P","Fill=—","Direction=H","UseDPDF=Y")</f>
        <v>0.19</v>
      </c>
      <c r="D62" s="14" t="str">
        <f>_xll.BDH("NBIX US Equity","ARDR_DILUTED_EPS","FQ1 2019","FQ1 2019","Currency=USD","Period=FQ","BEST_FPERIOD_OVERRIDE=FQ","FILING_STATUS=MR","Sort=A","Dates=H","DateFormat=P","Fill=—","Direction=H","UseDPDF=Y")</f>
        <v>—</v>
      </c>
      <c r="E62" s="14">
        <f>_xll.BDH("NBIX US Equity","ARDR_DILUTED_EPS","FQ2 2019","FQ2 2019","Currency=USD","Period=FQ","BEST_FPERIOD_OVERRIDE=FQ","FILING_STATUS=MR","Sort=A","Dates=H","DateFormat=P","Fill=—","Direction=H","UseDPDF=Y")</f>
        <v>0.54</v>
      </c>
      <c r="F62" s="14">
        <f>_xll.BDH("NBIX US Equity","ARDR_DILUTED_EPS","FQ3 2019","FQ3 2019","Currency=USD","Period=FQ","BEST_FPERIOD_OVERRIDE=FQ","FILING_STATUS=MR","Sort=A","Dates=H","DateFormat=P","Fill=—","Direction=H","UseDPDF=Y")</f>
        <v>0.56000000000000005</v>
      </c>
      <c r="G62" s="14">
        <f>_xll.BDH("NBIX US Equity","ARDR_DILUTED_EPS","FQ4 2019","FQ4 2019","Currency=USD","Period=FQ","BEST_FPERIOD_OVERRIDE=FQ","FILING_STATUS=MR","Sort=A","Dates=H","DateFormat=P","Fill=—","Direction=H","UseDPDF=Y")</f>
        <v>0.35</v>
      </c>
      <c r="H62" s="14">
        <f>_xll.BDH("NBIX US Equity","ARDR_DILUTED_EPS","FQ1 2020","FQ1 2020","Currency=USD","Period=FQ","BEST_FPERIOD_OVERRIDE=FQ","FILING_STATUS=MR","Sort=A","Dates=H","DateFormat=P","Fill=—","Direction=H","UseDPDF=Y")</f>
        <v>0.39</v>
      </c>
      <c r="I62" s="14">
        <f>_xll.BDH("NBIX US Equity","ARDR_DILUTED_EPS","FQ2 2020","FQ2 2020","Currency=USD","Period=FQ","BEST_FPERIOD_OVERRIDE=FQ","FILING_STATUS=MR","Sort=A","Dates=H","DateFormat=P","Fill=—","Direction=H","UseDPDF=Y")</f>
        <v>0.81</v>
      </c>
      <c r="J62" s="14">
        <f>_xll.BDH("NBIX US Equity","ARDR_DILUTED_EPS","FQ3 2020","FQ3 2020","Currency=USD","Period=FQ","BEST_FPERIOD_OVERRIDE=FQ","FILING_STATUS=MR","Sort=A","Dates=H","DateFormat=P","Fill=—","Direction=H","UseDPDF=Y")</f>
        <v>-0.62</v>
      </c>
      <c r="K62" s="14">
        <f>_xll.BDH("NBIX US Equity","ARDR_DILUTED_EPS","FQ4 2020","FQ4 2020","Currency=USD","Period=FQ","BEST_FPERIOD_OVERRIDE=FQ","FILING_STATUS=MR","Sort=A","Dates=H","DateFormat=P","Fill=—","Direction=H","UseDPDF=Y")</f>
        <v>3.58</v>
      </c>
      <c r="L62" s="14">
        <f>_xll.BDH("NBIX US Equity","ARDR_DILUTED_EPS","FQ1 2021","FQ1 2021","Currency=USD","Period=FQ","BEST_FPERIOD_OVERRIDE=FQ","FILING_STATUS=MR","Sort=A","Dates=H","DateFormat=P","Fill=—","Direction=H","UseDPDF=Y")</f>
        <v>0.33</v>
      </c>
      <c r="M62" s="14">
        <f>_xll.BDH("NBIX US Equity","ARDR_DILUTED_EPS","FQ2 2021","FQ2 2021","Currency=USD","Period=FQ","BEST_FPERIOD_OVERRIDE=FQ","FILING_STATUS=MR","Sort=A","Dates=H","DateFormat=P","Fill=—","Direction=H","UseDPDF=Y")</f>
        <v>0.43</v>
      </c>
      <c r="N62" s="14">
        <f>_xll.BDH("NBIX US Equity","ARDR_DILUTED_EPS","FQ3 2021","FQ3 2021","Currency=USD","Period=FQ","BEST_FPERIOD_OVERRIDE=FQ","FILING_STATUS=MR","Sort=A","Dates=H","DateFormat=P","Fill=—","Direction=H","UseDPDF=Y")</f>
        <v>0.23</v>
      </c>
      <c r="O62" s="14" t="str">
        <f>_xll.BDH("NBIX US Equity","ARDR_DILUTED_EPS","FQ4 2021","FQ4 2021","Currency=USD","Period=FQ","BEST_FPERIOD_OVERRIDE=FQ","FILING_STATUS=MR","Sort=A","Dates=H","DateFormat=P","Fill=—","Direction=H","UseDPDF=Y")</f>
        <v>—</v>
      </c>
      <c r="P62" s="14">
        <f>_xll.BDH("NBIX US Equity","ARDR_DILUTED_EPS","FQ1 2022","FQ1 2022","Currency=USD","Period=FQ","BEST_FPERIOD_OVERRIDE=FQ","FILING_STATUS=MR","Sort=A","Dates=H","DateFormat=P","Fill=—","Direction=H","UseDPDF=Y")</f>
        <v>0.14000000000000001</v>
      </c>
      <c r="Q62" s="14">
        <f>_xll.BDH("NBIX US Equity","ARDR_DILUTED_EPS","FQ2 2022","FQ2 2022","Currency=USD","Period=FQ","BEST_FPERIOD_OVERRIDE=FQ","FILING_STATUS=MR","Sort=A","Dates=H","DateFormat=P","Fill=—","Direction=H","UseDPDF=Y")</f>
        <v>-0.18</v>
      </c>
      <c r="R62" s="14">
        <f>_xll.BDH("NBIX US Equity","ARDR_DILUTED_EPS","FQ3 2022","FQ3 2022","Currency=USD","Period=FQ","BEST_FPERIOD_OVERRIDE=FQ","FILING_STATUS=MR","Sort=A","Dates=H","DateFormat=P","Fill=—","Direction=H","UseDPDF=Y")</f>
        <v>0.69</v>
      </c>
      <c r="S62" s="14" t="str">
        <f>_xll.BDH("NBIX US Equity","ARDR_DILUTED_EPS","FQ4 2022","FQ4 2022","Currency=USD","Period=FQ","BEST_FPERIOD_OVERRIDE=FQ","FILING_STATUS=MR","Sort=A","Dates=H","DateFormat=P","Fill=—","Direction=H","UseDPDF=Y")</f>
        <v>—</v>
      </c>
      <c r="T62" s="14">
        <f>_xll.BDH("NBIX US Equity","ARDR_DILUTED_EPS","FQ1 2023","FQ1 2023","Currency=USD","Period=FQ","BEST_FPERIOD_OVERRIDE=FQ","FILING_STATUS=MR","Sort=A","Dates=H","DateFormat=P","Fill=—","Direction=H","UseDPDF=Y")</f>
        <v>-0.79</v>
      </c>
      <c r="U62" s="14">
        <f>_xll.BDH("NBIX US Equity","ARDR_DILUTED_EPS","FQ2 2023","FQ2 2023","Currency=USD","Period=FQ","BEST_FPERIOD_OVERRIDE=FQ","FILING_STATUS=MR","Sort=A","Dates=H","DateFormat=P","Fill=—","Direction=H","UseDPDF=Y")</f>
        <v>0.95</v>
      </c>
      <c r="V62" s="14">
        <f>_xll.BDH("NBIX US Equity","ARDR_DILUTED_EPS","FQ3 2023","FQ3 2023","Currency=USD","Period=FQ","BEST_FPERIOD_OVERRIDE=FQ","FILING_STATUS=MR","Sort=A","Dates=H","DateFormat=P","Fill=—","Direction=H","UseDPDF=Y")</f>
        <v>0.82</v>
      </c>
      <c r="W62" s="14">
        <f>_xll.BDH("NBIX US Equity","ARDR_DILUTED_EPS","FQ4 2023","FQ4 2023","Currency=USD","Period=FQ","BEST_FPERIOD_OVERRIDE=FQ","FILING_STATUS=MR","Sort=A","Dates=H","DateFormat=P","Fill=—","Direction=H","UseDPDF=Y")</f>
        <v>1.44</v>
      </c>
      <c r="X62" s="14">
        <f>_xll.BDH("NBIX US Equity","ARDR_DILUTED_EPS","FQ1 2024","FQ1 2024","Currency=USD","Period=FQ","BEST_FPERIOD_OVERRIDE=FQ","FILING_STATUS=MR","Sort=A","Dates=H","DateFormat=P","Fill=—","Direction=H","UseDPDF=Y")</f>
        <v>0.42</v>
      </c>
      <c r="Y62" s="14">
        <f>_xll.BDH("NBIX US Equity","ARDR_DILUTED_EPS","FQ2 2024","FQ2 2024","Currency=USD","Period=FQ","BEST_FPERIOD_OVERRIDE=FQ","FILING_STATUS=MR","Sort=A","Dates=H","DateFormat=P","Fill=—","Direction=H","UseDPDF=Y")</f>
        <v>0.63</v>
      </c>
      <c r="Z62" s="14">
        <f>_xll.BDH("NBIX US Equity","ARDR_DILUTED_EPS","FQ3 2024","FQ3 2024","Currency=USD","Period=FQ","BEST_FPERIOD_OVERRIDE=FQ","FILING_STATUS=MR","Sort=A","Dates=H","DateFormat=P","Fill=—","Direction=H","UseDPDF=Y")</f>
        <v>1.24</v>
      </c>
      <c r="AA62" s="14">
        <f>_xll.BDH("NBIX US Equity","ARDR_DILUTED_EPS","FQ4 2024","FQ4 2024","Currency=USD","Period=FQ","BEST_FPERIOD_OVERRIDE=FQ","FILING_STATUS=MR","Sort=A","Dates=H","DateFormat=P","Fill=—","Direction=H","UseDPDF=Y")</f>
        <v>1</v>
      </c>
    </row>
    <row r="63" spans="1:27" x14ac:dyDescent="0.25">
      <c r="A63" s="10" t="s">
        <v>471</v>
      </c>
      <c r="B63" s="10" t="s">
        <v>513</v>
      </c>
      <c r="C63" s="13">
        <f>_xll.BDH("NBIX US Equity","ARDR_WEIGHTED_AVG_SHARE_DILUTED","FQ4 2018","FQ4 2018","Currency=USD","Period=FQ","BEST_FPERIOD_OVERRIDE=FQ","FILING_STATUS=MR","Sort=A","Dates=H","DateFormat=P","Fill=—","Direction=H","UseDPDF=Y")</f>
        <v>92.659000000000006</v>
      </c>
      <c r="D63" s="13" t="str">
        <f>_xll.BDH("NBIX US Equity","ARDR_WEIGHTED_AVG_SHARE_DILUTED","FQ1 2019","FQ1 2019","Currency=USD","Period=FQ","BEST_FPERIOD_OVERRIDE=FQ","FILING_STATUS=MR","Sort=A","Dates=H","DateFormat=P","Fill=—","Direction=H","UseDPDF=Y")</f>
        <v>—</v>
      </c>
      <c r="E63" s="13">
        <f>_xll.BDH("NBIX US Equity","ARDR_WEIGHTED_AVG_SHARE_DILUTED","FQ2 2019","FQ2 2019","Currency=USD","Period=FQ","BEST_FPERIOD_OVERRIDE=FQ","FILING_STATUS=MR","Sort=A","Dates=H","DateFormat=P","Fill=—","Direction=H","UseDPDF=Y")</f>
        <v>94.778999999999996</v>
      </c>
      <c r="F63" s="13">
        <f>_xll.BDH("NBIX US Equity","ARDR_WEIGHTED_AVG_SHARE_DILUTED","FQ3 2019","FQ3 2019","Currency=USD","Period=FQ","BEST_FPERIOD_OVERRIDE=FQ","FILING_STATUS=MR","Sort=A","Dates=H","DateFormat=P","Fill=—","Direction=H","UseDPDF=Y")</f>
        <v>96.073999999999998</v>
      </c>
      <c r="G63" s="13">
        <f>_xll.BDH("NBIX US Equity","ARDR_WEIGHTED_AVG_SHARE_DILUTED","FQ4 2019","FQ4 2019","Currency=USD","Period=FQ","BEST_FPERIOD_OVERRIDE=FQ","FILING_STATUS=MR","Sort=A","Dates=H","DateFormat=P","Fill=—","Direction=H","UseDPDF=Y")</f>
        <v>97.2</v>
      </c>
      <c r="H63" s="13">
        <f>_xll.BDH("NBIX US Equity","ARDR_WEIGHTED_AVG_SHARE_DILUTED","FQ1 2020","FQ1 2020","Currency=USD","Period=FQ","BEST_FPERIOD_OVERRIDE=FQ","FILING_STATUS=MR","Sort=A","Dates=H","DateFormat=P","Fill=—","Direction=H","UseDPDF=Y")</f>
        <v>97</v>
      </c>
      <c r="I63" s="13">
        <f>_xll.BDH("NBIX US Equity","ARDR_WEIGHTED_AVG_SHARE_DILUTED","FQ2 2020","FQ2 2020","Currency=USD","Period=FQ","BEST_FPERIOD_OVERRIDE=FQ","FILING_STATUS=MR","Sort=A","Dates=H","DateFormat=P","Fill=—","Direction=H","UseDPDF=Y")</f>
        <v>98.2</v>
      </c>
      <c r="J63" s="13">
        <f>_xll.BDH("NBIX US Equity","ARDR_WEIGHTED_AVG_SHARE_DILUTED","FQ3 2020","FQ3 2020","Currency=USD","Period=FQ","BEST_FPERIOD_OVERRIDE=FQ","FILING_STATUS=MR","Sort=A","Dates=H","DateFormat=P","Fill=—","Direction=H","UseDPDF=Y")</f>
        <v>93.3</v>
      </c>
      <c r="K63" s="13">
        <f>_xll.BDH("NBIX US Equity","ARDR_WEIGHTED_AVG_SHARE_DILUTED","FQ4 2020","FQ4 2020","Currency=USD","Period=FQ","BEST_FPERIOD_OVERRIDE=FQ","FILING_STATUS=MR","Sort=A","Dates=H","DateFormat=P","Fill=—","Direction=H","UseDPDF=Y")</f>
        <v>97.2</v>
      </c>
      <c r="L63" s="13">
        <f>_xll.BDH("NBIX US Equity","ARDR_WEIGHTED_AVG_SHARE_DILUTED","FQ1 2021","FQ1 2021","Currency=USD","Period=FQ","BEST_FPERIOD_OVERRIDE=FQ","FILING_STATUS=MR","Sort=A","Dates=H","DateFormat=P","Fill=—","Direction=H","UseDPDF=Y")</f>
        <v>98.2</v>
      </c>
      <c r="M63" s="13">
        <f>_xll.BDH("NBIX US Equity","ARDR_WEIGHTED_AVG_SHARE_DILUTED","FQ2 2021","FQ2 2021","Currency=USD","Period=FQ","BEST_FPERIOD_OVERRIDE=FQ","FILING_STATUS=MR","Sort=A","Dates=H","DateFormat=P","Fill=—","Direction=H","UseDPDF=Y")</f>
        <v>97.7</v>
      </c>
      <c r="N63" s="13">
        <f>_xll.BDH("NBIX US Equity","ARDR_WEIGHTED_AVG_SHARE_DILUTED","FQ3 2021","FQ3 2021","Currency=USD","Period=FQ","BEST_FPERIOD_OVERRIDE=FQ","FILING_STATUS=MR","Sort=A","Dates=H","DateFormat=P","Fill=—","Direction=H","UseDPDF=Y")</f>
        <v>97.7</v>
      </c>
      <c r="O63" s="13">
        <f>_xll.BDH("NBIX US Equity","ARDR_WEIGHTED_AVG_SHARE_DILUTED","FQ4 2021","FQ4 2021","Currency=USD","Period=FQ","BEST_FPERIOD_OVERRIDE=FQ","FILING_STATUS=MR","Sort=A","Dates=H","DateFormat=P","Fill=—","Direction=H","UseDPDF=Y")</f>
        <v>94.9</v>
      </c>
      <c r="P63" s="13">
        <f>_xll.BDH("NBIX US Equity","ARDR_WEIGHTED_AVG_SHARE_DILUTED","FQ1 2022","FQ1 2022","Currency=USD","Period=FQ","BEST_FPERIOD_OVERRIDE=FQ","FILING_STATUS=MR","Sort=A","Dates=H","DateFormat=P","Fill=—","Direction=H","UseDPDF=Y")</f>
        <v>97.6</v>
      </c>
      <c r="Q63" s="13">
        <f>_xll.BDH("NBIX US Equity","ARDR_WEIGHTED_AVG_SHARE_DILUTED","FQ2 2022","FQ2 2022","Currency=USD","Period=FQ","BEST_FPERIOD_OVERRIDE=FQ","FILING_STATUS=MR","Sort=A","Dates=H","DateFormat=P","Fill=—","Direction=H","UseDPDF=Y")</f>
        <v>95.6</v>
      </c>
      <c r="R63" s="13">
        <f>_xll.BDH("NBIX US Equity","ARDR_WEIGHTED_AVG_SHARE_DILUTED","FQ3 2022","FQ3 2022","Currency=USD","Period=FQ","BEST_FPERIOD_OVERRIDE=FQ","FILING_STATUS=MR","Sort=A","Dates=H","DateFormat=P","Fill=—","Direction=H","UseDPDF=Y")</f>
        <v>99</v>
      </c>
      <c r="S63" s="13">
        <f>_xll.BDH("NBIX US Equity","ARDR_WEIGHTED_AVG_SHARE_DILUTED","FQ4 2022","FQ4 2022","Currency=USD","Period=FQ","BEST_FPERIOD_OVERRIDE=FQ","FILING_STATUS=MR","Sort=A","Dates=H","DateFormat=P","Fill=—","Direction=H","UseDPDF=Y")</f>
        <v>100.8</v>
      </c>
      <c r="T63" s="13">
        <f>_xll.BDH("NBIX US Equity","ARDR_WEIGHTED_AVG_SHARE_DILUTED","FQ1 2023","FQ1 2023","Currency=USD","Period=FQ","BEST_FPERIOD_OVERRIDE=FQ","FILING_STATUS=MR","Sort=A","Dates=H","DateFormat=P","Fill=—","Direction=H","UseDPDF=Y")</f>
        <v>97.1</v>
      </c>
      <c r="U63" s="13">
        <f>_xll.BDH("NBIX US Equity","ARDR_WEIGHTED_AVG_SHARE_DILUTED","FQ2 2023","FQ2 2023","Currency=USD","Period=FQ","BEST_FPERIOD_OVERRIDE=FQ","FILING_STATUS=MR","Sort=A","Dates=H","DateFormat=P","Fill=—","Direction=H","UseDPDF=Y")</f>
        <v>100.2</v>
      </c>
      <c r="V63" s="13">
        <f>_xll.BDH("NBIX US Equity","ARDR_WEIGHTED_AVG_SHARE_DILUTED","FQ3 2023","FQ3 2023","Currency=USD","Period=FQ","BEST_FPERIOD_OVERRIDE=FQ","FILING_STATUS=MR","Sort=A","Dates=H","DateFormat=P","Fill=—","Direction=H","UseDPDF=Y")</f>
        <v>101.1</v>
      </c>
      <c r="W63" s="13">
        <f>_xll.BDH("NBIX US Equity","ARDR_WEIGHTED_AVG_SHARE_DILUTED","FQ4 2023","FQ4 2023","Currency=USD","Period=FQ","BEST_FPERIOD_OVERRIDE=FQ","FILING_STATUS=MR","Sort=A","Dates=H","DateFormat=P","Fill=—","Direction=H","UseDPDF=Y")</f>
        <v>102.3</v>
      </c>
      <c r="X63" s="13">
        <f>_xll.BDH("NBIX US Equity","ARDR_WEIGHTED_AVG_SHARE_DILUTED","FQ1 2024","FQ1 2024","Currency=USD","Period=FQ","BEST_FPERIOD_OVERRIDE=FQ","FILING_STATUS=MR","Sort=A","Dates=H","DateFormat=P","Fill=—","Direction=H","UseDPDF=Y")</f>
        <v>103.6</v>
      </c>
      <c r="Y63" s="13">
        <f>_xll.BDH("NBIX US Equity","ARDR_WEIGHTED_AVG_SHARE_DILUTED","FQ2 2024","FQ2 2024","Currency=USD","Period=FQ","BEST_FPERIOD_OVERRIDE=FQ","FILING_STATUS=MR","Sort=A","Dates=H","DateFormat=P","Fill=—","Direction=H","UseDPDF=Y")</f>
        <v>103.9</v>
      </c>
      <c r="Z63" s="13">
        <f>_xll.BDH("NBIX US Equity","ARDR_WEIGHTED_AVG_SHARE_DILUTED","FQ3 2024","FQ3 2024","Currency=USD","Period=FQ","BEST_FPERIOD_OVERRIDE=FQ","FILING_STATUS=MR","Sort=A","Dates=H","DateFormat=P","Fill=—","Direction=H","UseDPDF=Y")</f>
        <v>104.3</v>
      </c>
      <c r="AA63" s="13">
        <f>_xll.BDH("NBIX US Equity","ARDR_WEIGHTED_AVG_SHARE_DILUTED","FQ4 2024","FQ4 2024","Currency=USD","Period=FQ","BEST_FPERIOD_OVERRIDE=FQ","FILING_STATUS=MR","Sort=A","Dates=H","DateFormat=P","Fill=—","Direction=H","UseDPDF=Y")</f>
        <v>102.9</v>
      </c>
    </row>
    <row r="64" spans="1:27" x14ac:dyDescent="0.25">
      <c r="A64" s="10" t="s">
        <v>514</v>
      </c>
      <c r="B64" s="10" t="s">
        <v>515</v>
      </c>
      <c r="C64" s="13" t="str">
        <f>_xll.BDH("NBIX US Equity","ARDR_CURRENT_RENTAL_EXP","FQ4 2018","FQ4 2018","Currency=USD","Period=FQ","BEST_FPERIOD_OVERRIDE=FQ","FILING_STATUS=MR","SCALING_FORMAT=MLN","Sort=A","Dates=H","DateFormat=P","Fill=—","Direction=H","UseDPDF=Y")</f>
        <v>—</v>
      </c>
      <c r="D64" s="13">
        <f>_xll.BDH("NBIX US Equity","ARDR_CURRENT_RENTAL_EXP","FQ1 2019","FQ1 2019","Currency=USD","Period=FQ","BEST_FPERIOD_OVERRIDE=FQ","FILING_STATUS=MR","SCALING_FORMAT=MLN","Sort=A","Dates=H","DateFormat=P","Fill=—","Direction=H","UseDPDF=Y")</f>
        <v>1.9</v>
      </c>
      <c r="E64" s="13">
        <f>_xll.BDH("NBIX US Equity","ARDR_CURRENT_RENTAL_EXP","FQ2 2019","FQ2 2019","Currency=USD","Period=FQ","BEST_FPERIOD_OVERRIDE=FQ","FILING_STATUS=MR","SCALING_FORMAT=MLN","Sort=A","Dates=H","DateFormat=P","Fill=—","Direction=H","UseDPDF=Y")</f>
        <v>2</v>
      </c>
      <c r="F64" s="13">
        <f>_xll.BDH("NBIX US Equity","ARDR_CURRENT_RENTAL_EXP","FQ3 2019","FQ3 2019","Currency=USD","Period=FQ","BEST_FPERIOD_OVERRIDE=FQ","FILING_STATUS=MR","SCALING_FORMAT=MLN","Sort=A","Dates=H","DateFormat=P","Fill=—","Direction=H","UseDPDF=Y")</f>
        <v>2</v>
      </c>
      <c r="G64" s="13">
        <f>_xll.BDH("NBIX US Equity","ARDR_CURRENT_RENTAL_EXP","FQ4 2019","FQ4 2019","Currency=USD","Period=FQ","BEST_FPERIOD_OVERRIDE=FQ","FILING_STATUS=MR","SCALING_FORMAT=MLN","Sort=A","Dates=H","DateFormat=P","Fill=—","Direction=H","UseDPDF=Y")</f>
        <v>2.2000000000000002</v>
      </c>
      <c r="H64" s="13">
        <f>_xll.BDH("NBIX US Equity","ARDR_CURRENT_RENTAL_EXP","FQ1 2020","FQ1 2020","Currency=USD","Period=FQ","BEST_FPERIOD_OVERRIDE=FQ","FILING_STATUS=MR","SCALING_FORMAT=MLN","Sort=A","Dates=H","DateFormat=P","Fill=—","Direction=H","UseDPDF=Y")</f>
        <v>2.5</v>
      </c>
      <c r="I64" s="13">
        <f>_xll.BDH("NBIX US Equity","ARDR_CURRENT_RENTAL_EXP","FQ2 2020","FQ2 2020","Currency=USD","Period=FQ","BEST_FPERIOD_OVERRIDE=FQ","FILING_STATUS=MR","SCALING_FORMAT=MLN","Sort=A","Dates=H","DateFormat=P","Fill=—","Direction=H","UseDPDF=Y")</f>
        <v>2.5</v>
      </c>
      <c r="J64" s="13">
        <f>_xll.BDH("NBIX US Equity","ARDR_CURRENT_RENTAL_EXP","FQ3 2020","FQ3 2020","Currency=USD","Period=FQ","BEST_FPERIOD_OVERRIDE=FQ","FILING_STATUS=MR","SCALING_FORMAT=MLN","Sort=A","Dates=H","DateFormat=P","Fill=—","Direction=H","UseDPDF=Y")</f>
        <v>2.4</v>
      </c>
      <c r="K64" s="13">
        <f>_xll.BDH("NBIX US Equity","ARDR_CURRENT_RENTAL_EXP","FQ4 2020","FQ4 2020","Currency=USD","Period=FQ","BEST_FPERIOD_OVERRIDE=FQ","FILING_STATUS=MR","SCALING_FORMAT=MLN","Sort=A","Dates=H","DateFormat=P","Fill=—","Direction=H","UseDPDF=Y")</f>
        <v>2.7</v>
      </c>
      <c r="L64" s="13">
        <f>_xll.BDH("NBIX US Equity","ARDR_CURRENT_RENTAL_EXP","FQ1 2021","FQ1 2021","Currency=USD","Period=FQ","BEST_FPERIOD_OVERRIDE=FQ","FILING_STATUS=MR","SCALING_FORMAT=MLN","Sort=A","Dates=H","DateFormat=P","Fill=—","Direction=H","UseDPDF=Y")</f>
        <v>3.4</v>
      </c>
      <c r="M64" s="13">
        <f>_xll.BDH("NBIX US Equity","ARDR_CURRENT_RENTAL_EXP","FQ2 2021","FQ2 2021","Currency=USD","Period=FQ","BEST_FPERIOD_OVERRIDE=FQ","FILING_STATUS=MR","SCALING_FORMAT=MLN","Sort=A","Dates=H","DateFormat=P","Fill=—","Direction=H","UseDPDF=Y")</f>
        <v>3.9</v>
      </c>
      <c r="N64" s="13">
        <f>_xll.BDH("NBIX US Equity","ARDR_CURRENT_RENTAL_EXP","FQ3 2021","FQ3 2021","Currency=USD","Period=FQ","BEST_FPERIOD_OVERRIDE=FQ","FILING_STATUS=MR","SCALING_FORMAT=MLN","Sort=A","Dates=H","DateFormat=P","Fill=—","Direction=H","UseDPDF=Y")</f>
        <v>3.9</v>
      </c>
      <c r="O64" s="13">
        <f>_xll.BDH("NBIX US Equity","ARDR_CURRENT_RENTAL_EXP","FQ4 2021","FQ4 2021","Currency=USD","Period=FQ","BEST_FPERIOD_OVERRIDE=FQ","FILING_STATUS=MR","SCALING_FORMAT=MLN","Sort=A","Dates=H","DateFormat=P","Fill=—","Direction=H","UseDPDF=Y")</f>
        <v>4.0999999999999996</v>
      </c>
      <c r="P64" s="13">
        <f>_xll.BDH("NBIX US Equity","ARDR_CURRENT_RENTAL_EXP","FQ1 2022","FQ1 2022","Currency=USD","Period=FQ","BEST_FPERIOD_OVERRIDE=FQ","FILING_STATUS=MR","SCALING_FORMAT=MLN","Sort=A","Dates=H","DateFormat=P","Fill=—","Direction=H","UseDPDF=Y")</f>
        <v>4.0999999999999996</v>
      </c>
      <c r="Q64" s="13">
        <f>_xll.BDH("NBIX US Equity","ARDR_CURRENT_RENTAL_EXP","FQ2 2022","FQ2 2022","Currency=USD","Period=FQ","BEST_FPERIOD_OVERRIDE=FQ","FILING_STATUS=MR","SCALING_FORMAT=MLN","Sort=A","Dates=H","DateFormat=P","Fill=—","Direction=H","UseDPDF=Y")</f>
        <v>4.0999999999999996</v>
      </c>
      <c r="R64" s="13">
        <f>_xll.BDH("NBIX US Equity","ARDR_CURRENT_RENTAL_EXP","FQ3 2022","FQ3 2022","Currency=USD","Period=FQ","BEST_FPERIOD_OVERRIDE=FQ","FILING_STATUS=MR","SCALING_FORMAT=MLN","Sort=A","Dates=H","DateFormat=P","Fill=—","Direction=H","UseDPDF=Y")</f>
        <v>4.3</v>
      </c>
      <c r="S64" s="13">
        <f>_xll.BDH("NBIX US Equity","ARDR_CURRENT_RENTAL_EXP","FQ4 2022","FQ4 2022","Currency=USD","Period=FQ","BEST_FPERIOD_OVERRIDE=FQ","FILING_STATUS=MR","SCALING_FORMAT=MLN","Sort=A","Dates=H","DateFormat=P","Fill=—","Direction=H","UseDPDF=Y")</f>
        <v>3.8</v>
      </c>
      <c r="T64" s="13">
        <f>_xll.BDH("NBIX US Equity","ARDR_CURRENT_RENTAL_EXP","FQ1 2023","FQ1 2023","Currency=USD","Period=FQ","BEST_FPERIOD_OVERRIDE=FQ","FILING_STATUS=MR","SCALING_FORMAT=MLN","Sort=A","Dates=H","DateFormat=P","Fill=—","Direction=H","UseDPDF=Y")</f>
        <v>4.0999999999999996</v>
      </c>
      <c r="U64" s="13">
        <f>_xll.BDH("NBIX US Equity","ARDR_CURRENT_RENTAL_EXP","FQ2 2023","FQ2 2023","Currency=USD","Period=FQ","BEST_FPERIOD_OVERRIDE=FQ","FILING_STATUS=MR","SCALING_FORMAT=MLN","Sort=A","Dates=H","DateFormat=P","Fill=—","Direction=H","UseDPDF=Y")</f>
        <v>4.0999999999999996</v>
      </c>
      <c r="V64" s="13">
        <f>_xll.BDH("NBIX US Equity","ARDR_CURRENT_RENTAL_EXP","FQ3 2023","FQ3 2023","Currency=USD","Period=FQ","BEST_FPERIOD_OVERRIDE=FQ","FILING_STATUS=MR","SCALING_FORMAT=MLN","Sort=A","Dates=H","DateFormat=P","Fill=—","Direction=H","UseDPDF=Y")</f>
        <v>3.8</v>
      </c>
      <c r="W64" s="13">
        <f>_xll.BDH("NBIX US Equity","ARDR_CURRENT_RENTAL_EXP","FQ4 2023","FQ4 2023","Currency=USD","Period=FQ","BEST_FPERIOD_OVERRIDE=FQ","FILING_STATUS=MR","SCALING_FORMAT=MLN","Sort=A","Dates=H","DateFormat=P","Fill=—","Direction=H","UseDPDF=Y")</f>
        <v>4.4000000000000004</v>
      </c>
      <c r="X64" s="13">
        <f>_xll.BDH("NBIX US Equity","ARDR_CURRENT_RENTAL_EXP","FQ1 2024","FQ1 2024","Currency=USD","Period=FQ","BEST_FPERIOD_OVERRIDE=FQ","FILING_STATUS=MR","SCALING_FORMAT=MLN","Sort=A","Dates=H","DateFormat=P","Fill=—","Direction=H","UseDPDF=Y")</f>
        <v>9</v>
      </c>
      <c r="Y64" s="13">
        <f>_xll.BDH("NBIX US Equity","ARDR_CURRENT_RENTAL_EXP","FQ2 2024","FQ2 2024","Currency=USD","Period=FQ","BEST_FPERIOD_OVERRIDE=FQ","FILING_STATUS=MR","SCALING_FORMAT=MLN","Sort=A","Dates=H","DateFormat=P","Fill=—","Direction=H","UseDPDF=Y")</f>
        <v>9.1999999999999993</v>
      </c>
      <c r="Z64" s="13">
        <f>_xll.BDH("NBIX US Equity","ARDR_CURRENT_RENTAL_EXP","FQ3 2024","FQ3 2024","Currency=USD","Period=FQ","BEST_FPERIOD_OVERRIDE=FQ","FILING_STATUS=MR","SCALING_FORMAT=MLN","Sort=A","Dates=H","DateFormat=P","Fill=—","Direction=H","UseDPDF=Y")</f>
        <v>8.8000000000000007</v>
      </c>
      <c r="AA64" s="13">
        <f>_xll.BDH("NBIX US Equity","ARDR_CURRENT_RENTAL_EXP","FQ4 2024","FQ4 2024","Currency=USD","Period=FQ","BEST_FPERIOD_OVERRIDE=FQ","FILING_STATUS=MR","SCALING_FORMAT=MLN","Sort=A","Dates=H","DateFormat=P","Fill=—","Direction=H","UseDPDF=Y")</f>
        <v>15</v>
      </c>
    </row>
    <row r="65" spans="1:27" x14ac:dyDescent="0.25">
      <c r="A65" s="10" t="s">
        <v>516</v>
      </c>
      <c r="B65" s="10" t="s">
        <v>517</v>
      </c>
      <c r="C65" s="13">
        <f>_xll.BDH("NBIX US Equity","ARDR_STK_BASED_COMPENSATION_EXP","FQ4 2018","FQ4 2018","Currency=USD","Period=FQ","BEST_FPERIOD_OVERRIDE=FQ","FILING_STATUS=MR","SCALING_FORMAT=MLN","Sort=A","Dates=H","DateFormat=P","Fill=—","Direction=H","UseDPDF=Y")</f>
        <v>13.268000000000001</v>
      </c>
      <c r="D65" s="13">
        <f>_xll.BDH("NBIX US Equity","ARDR_STK_BASED_COMPENSATION_EXP","FQ1 2019","FQ1 2019","Currency=USD","Period=FQ","BEST_FPERIOD_OVERRIDE=FQ","FILING_STATUS=MR","SCALING_FORMAT=MLN","Sort=A","Dates=H","DateFormat=P","Fill=—","Direction=H","UseDPDF=Y")</f>
        <v>15.763999999999999</v>
      </c>
      <c r="E65" s="13">
        <f>_xll.BDH("NBIX US Equity","ARDR_STK_BASED_COMPENSATION_EXP","FQ2 2019","FQ2 2019","Currency=USD","Period=FQ","BEST_FPERIOD_OVERRIDE=FQ","FILING_STATUS=MR","SCALING_FORMAT=MLN","Sort=A","Dates=H","DateFormat=P","Fill=—","Direction=H","UseDPDF=Y")</f>
        <v>17.931000000000001</v>
      </c>
      <c r="F65" s="13">
        <f>_xll.BDH("NBIX US Equity","ARDR_STK_BASED_COMPENSATION_EXP","FQ3 2019","FQ3 2019","Currency=USD","Period=FQ","BEST_FPERIOD_OVERRIDE=FQ","FILING_STATUS=MR","SCALING_FORMAT=MLN","Sort=A","Dates=H","DateFormat=P","Fill=—","Direction=H","UseDPDF=Y")</f>
        <v>20.25</v>
      </c>
      <c r="G65" s="13">
        <f>_xll.BDH("NBIX US Equity","ARDR_STK_BASED_COMPENSATION_EXP","FQ4 2019","FQ4 2019","Currency=USD","Period=FQ","BEST_FPERIOD_OVERRIDE=FQ","FILING_STATUS=MR","SCALING_FORMAT=MLN","Sort=A","Dates=H","DateFormat=P","Fill=—","Direction=H","UseDPDF=Y")</f>
        <v>21.317</v>
      </c>
      <c r="H65" s="13">
        <f>_xll.BDH("NBIX US Equity","ARDR_STK_BASED_COMPENSATION_EXP","FQ1 2020","FQ1 2020","Currency=USD","Period=FQ","BEST_FPERIOD_OVERRIDE=FQ","FILING_STATUS=MR","SCALING_FORMAT=MLN","Sort=A","Dates=H","DateFormat=P","Fill=—","Direction=H","UseDPDF=Y")</f>
        <v>22.8</v>
      </c>
      <c r="I65" s="13">
        <f>_xll.BDH("NBIX US Equity","ARDR_STK_BASED_COMPENSATION_EXP","FQ2 2020","FQ2 2020","Currency=USD","Period=FQ","BEST_FPERIOD_OVERRIDE=FQ","FILING_STATUS=MR","SCALING_FORMAT=MLN","Sort=A","Dates=H","DateFormat=P","Fill=—","Direction=H","UseDPDF=Y")</f>
        <v>29.5</v>
      </c>
      <c r="J65" s="13">
        <f>_xll.BDH("NBIX US Equity","ARDR_STK_BASED_COMPENSATION_EXP","FQ3 2020","FQ3 2020","Currency=USD","Period=FQ","BEST_FPERIOD_OVERRIDE=FQ","FILING_STATUS=MR","SCALING_FORMAT=MLN","Sort=A","Dates=H","DateFormat=P","Fill=—","Direction=H","UseDPDF=Y")</f>
        <v>26.7</v>
      </c>
      <c r="K65" s="13">
        <f>_xll.BDH("NBIX US Equity","ARDR_STK_BASED_COMPENSATION_EXP","FQ4 2020","FQ4 2020","Currency=USD","Period=FQ","BEST_FPERIOD_OVERRIDE=FQ","FILING_STATUS=MR","SCALING_FORMAT=MLN","Sort=A","Dates=H","DateFormat=P","Fill=—","Direction=H","UseDPDF=Y")</f>
        <v>21</v>
      </c>
      <c r="L65" s="13">
        <f>_xll.BDH("NBIX US Equity","ARDR_STK_BASED_COMPENSATION_EXP","FQ1 2021","FQ1 2021","Currency=USD","Period=FQ","BEST_FPERIOD_OVERRIDE=FQ","FILING_STATUS=MR","SCALING_FORMAT=MLN","Sort=A","Dates=H","DateFormat=P","Fill=—","Direction=H","UseDPDF=Y")</f>
        <v>32.9</v>
      </c>
      <c r="M65" s="13">
        <f>_xll.BDH("NBIX US Equity","ARDR_STK_BASED_COMPENSATION_EXP","FQ2 2021","FQ2 2021","Currency=USD","Period=FQ","BEST_FPERIOD_OVERRIDE=FQ","FILING_STATUS=MR","SCALING_FORMAT=MLN","Sort=A","Dates=H","DateFormat=P","Fill=—","Direction=H","UseDPDF=Y")</f>
        <v>28.6</v>
      </c>
      <c r="N65" s="13">
        <f>_xll.BDH("NBIX US Equity","ARDR_STK_BASED_COMPENSATION_EXP","FQ3 2021","FQ3 2021","Currency=USD","Period=FQ","BEST_FPERIOD_OVERRIDE=FQ","FILING_STATUS=MR","SCALING_FORMAT=MLN","Sort=A","Dates=H","DateFormat=P","Fill=—","Direction=H","UseDPDF=Y")</f>
        <v>37.1</v>
      </c>
      <c r="O65" s="13">
        <f>_xll.BDH("NBIX US Equity","ARDR_STK_BASED_COMPENSATION_EXP","FQ4 2021","FQ4 2021","Currency=USD","Period=FQ","BEST_FPERIOD_OVERRIDE=FQ","FILING_STATUS=MR","SCALING_FORMAT=MLN","Sort=A","Dates=H","DateFormat=P","Fill=—","Direction=H","UseDPDF=Y")</f>
        <v>35.6</v>
      </c>
      <c r="P65" s="13">
        <f>_xll.BDH("NBIX US Equity","ARDR_STK_BASED_COMPENSATION_EXP","FQ1 2022","FQ1 2022","Currency=USD","Period=FQ","BEST_FPERIOD_OVERRIDE=FQ","FILING_STATUS=MR","SCALING_FORMAT=MLN","Sort=A","Dates=H","DateFormat=P","Fill=—","Direction=H","UseDPDF=Y")</f>
        <v>37</v>
      </c>
      <c r="Q65" s="13">
        <f>_xll.BDH("NBIX US Equity","ARDR_STK_BASED_COMPENSATION_EXP","FQ2 2022","FQ2 2022","Currency=USD","Period=FQ","BEST_FPERIOD_OVERRIDE=FQ","FILING_STATUS=MR","SCALING_FORMAT=MLN","Sort=A","Dates=H","DateFormat=P","Fill=—","Direction=H","UseDPDF=Y")</f>
        <v>49.5</v>
      </c>
      <c r="R65" s="13">
        <f>_xll.BDH("NBIX US Equity","ARDR_STK_BASED_COMPENSATION_EXP","FQ3 2022","FQ3 2022","Currency=USD","Period=FQ","BEST_FPERIOD_OVERRIDE=FQ","FILING_STATUS=MR","SCALING_FORMAT=MLN","Sort=A","Dates=H","DateFormat=P","Fill=—","Direction=H","UseDPDF=Y")</f>
        <v>43.1</v>
      </c>
      <c r="S65" s="13">
        <f>_xll.BDH("NBIX US Equity","ARDR_STK_BASED_COMPENSATION_EXP","FQ4 2022","FQ4 2022","Currency=USD","Period=FQ","BEST_FPERIOD_OVERRIDE=FQ","FILING_STATUS=MR","SCALING_FORMAT=MLN","Sort=A","Dates=H","DateFormat=P","Fill=—","Direction=H","UseDPDF=Y")</f>
        <v>43.5</v>
      </c>
      <c r="T65" s="13">
        <f>_xll.BDH("NBIX US Equity","ARDR_STK_BASED_COMPENSATION_EXP","FQ1 2023","FQ1 2023","Currency=USD","Period=FQ","BEST_FPERIOD_OVERRIDE=FQ","FILING_STATUS=MR","SCALING_FORMAT=MLN","Sort=A","Dates=H","DateFormat=P","Fill=—","Direction=H","UseDPDF=Y")</f>
        <v>39.9</v>
      </c>
      <c r="U65" s="13">
        <f>_xll.BDH("NBIX US Equity","ARDR_STK_BASED_COMPENSATION_EXP","FQ2 2023","FQ2 2023","Currency=USD","Period=FQ","BEST_FPERIOD_OVERRIDE=FQ","FILING_STATUS=MR","SCALING_FORMAT=MLN","Sort=A","Dates=H","DateFormat=P","Fill=—","Direction=H","UseDPDF=Y")</f>
        <v>68.5</v>
      </c>
      <c r="V65" s="13">
        <f>_xll.BDH("NBIX US Equity","ARDR_STK_BASED_COMPENSATION_EXP","FQ3 2023","FQ3 2023","Currency=USD","Period=FQ","BEST_FPERIOD_OVERRIDE=FQ","FILING_STATUS=MR","SCALING_FORMAT=MLN","Sort=A","Dates=H","DateFormat=P","Fill=—","Direction=H","UseDPDF=Y")</f>
        <v>47.8</v>
      </c>
      <c r="W65" s="13">
        <f>_xll.BDH("NBIX US Equity","ARDR_STK_BASED_COMPENSATION_EXP","FQ4 2023","FQ4 2023","Currency=USD","Period=FQ","BEST_FPERIOD_OVERRIDE=FQ","FILING_STATUS=MR","SCALING_FORMAT=MLN","Sort=A","Dates=H","DateFormat=P","Fill=—","Direction=H","UseDPDF=Y")</f>
        <v>38.1</v>
      </c>
      <c r="X65" s="13">
        <f>_xll.BDH("NBIX US Equity","ARDR_STK_BASED_COMPENSATION_EXP","FQ1 2024","FQ1 2024","Currency=USD","Period=FQ","BEST_FPERIOD_OVERRIDE=FQ","FILING_STATUS=MR","SCALING_FORMAT=MLN","Sort=A","Dates=H","DateFormat=P","Fill=—","Direction=H","UseDPDF=Y")</f>
        <v>44.5</v>
      </c>
      <c r="Y65" s="13">
        <f>_xll.BDH("NBIX US Equity","ARDR_STK_BASED_COMPENSATION_EXP","FQ2 2024","FQ2 2024","Currency=USD","Period=FQ","BEST_FPERIOD_OVERRIDE=FQ","FILING_STATUS=MR","SCALING_FORMAT=MLN","Sort=A","Dates=H","DateFormat=P","Fill=—","Direction=H","UseDPDF=Y")</f>
        <v>43.1</v>
      </c>
      <c r="Z65" s="13">
        <f>_xll.BDH("NBIX US Equity","ARDR_STK_BASED_COMPENSATION_EXP","FQ3 2024","FQ3 2024","Currency=USD","Period=FQ","BEST_FPERIOD_OVERRIDE=FQ","FILING_STATUS=MR","SCALING_FORMAT=MLN","Sort=A","Dates=H","DateFormat=P","Fill=—","Direction=H","UseDPDF=Y")</f>
        <v>41.5</v>
      </c>
      <c r="AA65" s="13">
        <f>_xll.BDH("NBIX US Equity","ARDR_STK_BASED_COMPENSATION_EXP","FQ4 2024","FQ4 2024","Currency=USD","Period=FQ","BEST_FPERIOD_OVERRIDE=FQ","FILING_STATUS=MR","SCALING_FORMAT=MLN","Sort=A","Dates=H","DateFormat=P","Fill=—","Direction=H","UseDPDF=Y")</f>
        <v>66.400000000000006</v>
      </c>
    </row>
    <row r="66" spans="1:27" x14ac:dyDescent="0.25">
      <c r="A66" s="10" t="s">
        <v>473</v>
      </c>
      <c r="B66" s="10" t="s">
        <v>518</v>
      </c>
      <c r="C66" s="14" t="str">
        <f>_xll.BDH("NBIX US Equity","ARDR_BASIC_AND_DILUTED_EPS","FQ4 2018","FQ4 2018","Currency=USD","Period=FQ","BEST_FPERIOD_OVERRIDE=FQ","FILING_STATUS=MR","Sort=A","Dates=H","DateFormat=P","Fill=—","Direction=H","UseDPDF=Y")</f>
        <v>—</v>
      </c>
      <c r="D66" s="14">
        <f>_xll.BDH("NBIX US Equity","ARDR_BASIC_AND_DILUTED_EPS","FQ1 2019","FQ1 2019","Currency=USD","Period=FQ","BEST_FPERIOD_OVERRIDE=FQ","FILING_STATUS=MR","Sort=A","Dates=H","DateFormat=P","Fill=—","Direction=H","UseDPDF=Y")</f>
        <v>-1.1200000000000001</v>
      </c>
      <c r="E66" s="14" t="str">
        <f>_xll.BDH("NBIX US Equity","ARDR_BASIC_AND_DILUTED_EPS","FQ2 2019","FQ2 2019","Currency=USD","Period=FQ","BEST_FPERIOD_OVERRIDE=FQ","FILING_STATUS=MR","Sort=A","Dates=H","DateFormat=P","Fill=—","Direction=H","UseDPDF=Y")</f>
        <v>—</v>
      </c>
      <c r="F66" s="14" t="str">
        <f>_xll.BDH("NBIX US Equity","ARDR_BASIC_AND_DILUTED_EPS","FQ3 2019","FQ3 2019","Currency=USD","Period=FQ","BEST_FPERIOD_OVERRIDE=FQ","FILING_STATUS=MR","Sort=A","Dates=H","DateFormat=P","Fill=—","Direction=H","UseDPDF=Y")</f>
        <v>—</v>
      </c>
      <c r="G66" s="14" t="str">
        <f>_xll.BDH("NBIX US Equity","ARDR_BASIC_AND_DILUTED_EPS","FQ4 2019","FQ4 2019","Currency=USD","Period=FQ","BEST_FPERIOD_OVERRIDE=FQ","FILING_STATUS=MR","Sort=A","Dates=H","DateFormat=P","Fill=—","Direction=H","UseDPDF=Y")</f>
        <v>—</v>
      </c>
      <c r="H66" s="14" t="str">
        <f>_xll.BDH("NBIX US Equity","ARDR_BASIC_AND_DILUTED_EPS","FQ1 2020","FQ1 2020","Currency=USD","Period=FQ","BEST_FPERIOD_OVERRIDE=FQ","FILING_STATUS=MR","Sort=A","Dates=H","DateFormat=P","Fill=—","Direction=H","UseDPDF=Y")</f>
        <v>—</v>
      </c>
      <c r="I66" s="14" t="str">
        <f>_xll.BDH("NBIX US Equity","ARDR_BASIC_AND_DILUTED_EPS","FQ2 2020","FQ2 2020","Currency=USD","Period=FQ","BEST_FPERIOD_OVERRIDE=FQ","FILING_STATUS=MR","Sort=A","Dates=H","DateFormat=P","Fill=—","Direction=H","UseDPDF=Y")</f>
        <v>—</v>
      </c>
      <c r="J66" s="14" t="str">
        <f>_xll.BDH("NBIX US Equity","ARDR_BASIC_AND_DILUTED_EPS","FQ3 2020","FQ3 2020","Currency=USD","Period=FQ","BEST_FPERIOD_OVERRIDE=FQ","FILING_STATUS=MR","Sort=A","Dates=H","DateFormat=P","Fill=—","Direction=H","UseDPDF=Y")</f>
        <v>—</v>
      </c>
      <c r="K66" s="14" t="str">
        <f>_xll.BDH("NBIX US Equity","ARDR_BASIC_AND_DILUTED_EPS","FQ4 2020","FQ4 2020","Currency=USD","Period=FQ","BEST_FPERIOD_OVERRIDE=FQ","FILING_STATUS=MR","Sort=A","Dates=H","DateFormat=P","Fill=—","Direction=H","UseDPDF=Y")</f>
        <v>—</v>
      </c>
      <c r="L66" s="14" t="str">
        <f>_xll.BDH("NBIX US Equity","ARDR_BASIC_AND_DILUTED_EPS","FQ1 2021","FQ1 2021","Currency=USD","Period=FQ","BEST_FPERIOD_OVERRIDE=FQ","FILING_STATUS=MR","Sort=A","Dates=H","DateFormat=P","Fill=—","Direction=H","UseDPDF=Y")</f>
        <v>—</v>
      </c>
      <c r="M66" s="14" t="str">
        <f>_xll.BDH("NBIX US Equity","ARDR_BASIC_AND_DILUTED_EPS","FQ2 2021","FQ2 2021","Currency=USD","Period=FQ","BEST_FPERIOD_OVERRIDE=FQ","FILING_STATUS=MR","Sort=A","Dates=H","DateFormat=P","Fill=—","Direction=H","UseDPDF=Y")</f>
        <v>—</v>
      </c>
      <c r="N66" s="14" t="str">
        <f>_xll.BDH("NBIX US Equity","ARDR_BASIC_AND_DILUTED_EPS","FQ3 2021","FQ3 2021","Currency=USD","Period=FQ","BEST_FPERIOD_OVERRIDE=FQ","FILING_STATUS=MR","Sort=A","Dates=H","DateFormat=P","Fill=—","Direction=H","UseDPDF=Y")</f>
        <v>—</v>
      </c>
      <c r="O66" s="14" t="str">
        <f>_xll.BDH("NBIX US Equity","ARDR_BASIC_AND_DILUTED_EPS","FQ4 2021","FQ4 2021","Currency=USD","Period=FQ","BEST_FPERIOD_OVERRIDE=FQ","FILING_STATUS=MR","Sort=A","Dates=H","DateFormat=P","Fill=—","Direction=H","UseDPDF=Y")</f>
        <v>—</v>
      </c>
      <c r="P66" s="14" t="str">
        <f>_xll.BDH("NBIX US Equity","ARDR_BASIC_AND_DILUTED_EPS","FQ1 2022","FQ1 2022","Currency=USD","Period=FQ","BEST_FPERIOD_OVERRIDE=FQ","FILING_STATUS=MR","Sort=A","Dates=H","DateFormat=P","Fill=—","Direction=H","UseDPDF=Y")</f>
        <v>—</v>
      </c>
      <c r="Q66" s="14" t="str">
        <f>_xll.BDH("NBIX US Equity","ARDR_BASIC_AND_DILUTED_EPS","FQ2 2022","FQ2 2022","Currency=USD","Period=FQ","BEST_FPERIOD_OVERRIDE=FQ","FILING_STATUS=MR","Sort=A","Dates=H","DateFormat=P","Fill=—","Direction=H","UseDPDF=Y")</f>
        <v>—</v>
      </c>
      <c r="R66" s="14" t="str">
        <f>_xll.BDH("NBIX US Equity","ARDR_BASIC_AND_DILUTED_EPS","FQ3 2022","FQ3 2022","Currency=USD","Period=FQ","BEST_FPERIOD_OVERRIDE=FQ","FILING_STATUS=MR","Sort=A","Dates=H","DateFormat=P","Fill=—","Direction=H","UseDPDF=Y")</f>
        <v>—</v>
      </c>
      <c r="S66" s="14" t="str">
        <f>_xll.BDH("NBIX US Equity","ARDR_BASIC_AND_DILUTED_EPS","FQ4 2022","FQ4 2022","Currency=USD","Period=FQ","BEST_FPERIOD_OVERRIDE=FQ","FILING_STATUS=MR","Sort=A","Dates=H","DateFormat=P","Fill=—","Direction=H","UseDPDF=Y")</f>
        <v>—</v>
      </c>
      <c r="T66" s="14" t="str">
        <f>_xll.BDH("NBIX US Equity","ARDR_BASIC_AND_DILUTED_EPS","FQ1 2023","FQ1 2023","Currency=USD","Period=FQ","BEST_FPERIOD_OVERRIDE=FQ","FILING_STATUS=MR","Sort=A","Dates=H","DateFormat=P","Fill=—","Direction=H","UseDPDF=Y")</f>
        <v>—</v>
      </c>
      <c r="U66" s="14" t="str">
        <f>_xll.BDH("NBIX US Equity","ARDR_BASIC_AND_DILUTED_EPS","FQ2 2023","FQ2 2023","Currency=USD","Period=FQ","BEST_FPERIOD_OVERRIDE=FQ","FILING_STATUS=MR","Sort=A","Dates=H","DateFormat=P","Fill=—","Direction=H","UseDPDF=Y")</f>
        <v>—</v>
      </c>
      <c r="V66" s="14" t="str">
        <f>_xll.BDH("NBIX US Equity","ARDR_BASIC_AND_DILUTED_EPS","FQ3 2023","FQ3 2023","Currency=USD","Period=FQ","BEST_FPERIOD_OVERRIDE=FQ","FILING_STATUS=MR","Sort=A","Dates=H","DateFormat=P","Fill=—","Direction=H","UseDPDF=Y")</f>
        <v>—</v>
      </c>
      <c r="W66" s="14" t="str">
        <f>_xll.BDH("NBIX US Equity","ARDR_BASIC_AND_DILUTED_EPS","FQ4 2023","FQ4 2023","Currency=USD","Period=FQ","BEST_FPERIOD_OVERRIDE=FQ","FILING_STATUS=MR","Sort=A","Dates=H","DateFormat=P","Fill=—","Direction=H","UseDPDF=Y")</f>
        <v>—</v>
      </c>
      <c r="X66" s="14" t="str">
        <f>_xll.BDH("NBIX US Equity","ARDR_BASIC_AND_DILUTED_EPS","FQ1 2024","FQ1 2024","Currency=USD","Period=FQ","BEST_FPERIOD_OVERRIDE=FQ","FILING_STATUS=MR","Sort=A","Dates=H","DateFormat=P","Fill=—","Direction=H","UseDPDF=Y")</f>
        <v>—</v>
      </c>
      <c r="Y66" s="14" t="str">
        <f>_xll.BDH("NBIX US Equity","ARDR_BASIC_AND_DILUTED_EPS","FQ2 2024","FQ2 2024","Currency=USD","Period=FQ","BEST_FPERIOD_OVERRIDE=FQ","FILING_STATUS=MR","Sort=A","Dates=H","DateFormat=P","Fill=—","Direction=H","UseDPDF=Y")</f>
        <v>—</v>
      </c>
      <c r="Z66" s="14" t="str">
        <f>_xll.BDH("NBIX US Equity","ARDR_BASIC_AND_DILUTED_EPS","FQ3 2024","FQ3 2024","Currency=USD","Period=FQ","BEST_FPERIOD_OVERRIDE=FQ","FILING_STATUS=MR","Sort=A","Dates=H","DateFormat=P","Fill=—","Direction=H","UseDPDF=Y")</f>
        <v>—</v>
      </c>
      <c r="AA66" s="14" t="str">
        <f>_xll.BDH("NBIX US Equity","ARDR_BASIC_AND_DILUTED_EPS","FQ4 2024","FQ4 2024","Currency=USD","Period=FQ","BEST_FPERIOD_OVERRIDE=FQ","FILING_STATUS=MR","Sort=A","Dates=H","DateFormat=P","Fill=—","Direction=H","UseDPDF=Y")</f>
        <v>—</v>
      </c>
    </row>
    <row r="67" spans="1:27" x14ac:dyDescent="0.25">
      <c r="A67" s="10" t="s">
        <v>475</v>
      </c>
      <c r="B67" s="10" t="s">
        <v>519</v>
      </c>
      <c r="C67" s="13" t="str">
        <f>_xll.BDH("NBIX US Equity","ARDR_WTD_AVG_SHS_BASIC_DILUTED","FQ4 2018","FQ4 2018","Currency=USD","Period=FQ","BEST_FPERIOD_OVERRIDE=FQ","FILING_STATUS=MR","Sort=A","Dates=H","DateFormat=P","Fill=—","Direction=H","UseDPDF=Y")</f>
        <v>—</v>
      </c>
      <c r="D67" s="13">
        <f>_xll.BDH("NBIX US Equity","ARDR_WTD_AVG_SHS_BASIC_DILUTED","FQ1 2019","FQ1 2019","Currency=USD","Period=FQ","BEST_FPERIOD_OVERRIDE=FQ","FILING_STATUS=MR","Sort=A","Dates=H","DateFormat=P","Fill=—","Direction=H","UseDPDF=Y")</f>
        <v>91.055999999999997</v>
      </c>
      <c r="E67" s="13" t="str">
        <f>_xll.BDH("NBIX US Equity","ARDR_WTD_AVG_SHS_BASIC_DILUTED","FQ2 2019","FQ2 2019","Currency=USD","Period=FQ","BEST_FPERIOD_OVERRIDE=FQ","FILING_STATUS=MR","Sort=A","Dates=H","DateFormat=P","Fill=—","Direction=H","UseDPDF=Y")</f>
        <v>—</v>
      </c>
      <c r="F67" s="13" t="str">
        <f>_xll.BDH("NBIX US Equity","ARDR_WTD_AVG_SHS_BASIC_DILUTED","FQ3 2019","FQ3 2019","Currency=USD","Period=FQ","BEST_FPERIOD_OVERRIDE=FQ","FILING_STATUS=MR","Sort=A","Dates=H","DateFormat=P","Fill=—","Direction=H","UseDPDF=Y")</f>
        <v>—</v>
      </c>
      <c r="G67" s="13" t="str">
        <f>_xll.BDH("NBIX US Equity","ARDR_WTD_AVG_SHS_BASIC_DILUTED","FQ4 2019","FQ4 2019","Currency=USD","Period=FQ","BEST_FPERIOD_OVERRIDE=FQ","FILING_STATUS=MR","Sort=A","Dates=H","DateFormat=P","Fill=—","Direction=H","UseDPDF=Y")</f>
        <v>—</v>
      </c>
      <c r="H67" s="13" t="str">
        <f>_xll.BDH("NBIX US Equity","ARDR_WTD_AVG_SHS_BASIC_DILUTED","FQ1 2020","FQ1 2020","Currency=USD","Period=FQ","BEST_FPERIOD_OVERRIDE=FQ","FILING_STATUS=MR","Sort=A","Dates=H","DateFormat=P","Fill=—","Direction=H","UseDPDF=Y")</f>
        <v>—</v>
      </c>
      <c r="I67" s="13" t="str">
        <f>_xll.BDH("NBIX US Equity","ARDR_WTD_AVG_SHS_BASIC_DILUTED","FQ2 2020","FQ2 2020","Currency=USD","Period=FQ","BEST_FPERIOD_OVERRIDE=FQ","FILING_STATUS=MR","Sort=A","Dates=H","DateFormat=P","Fill=—","Direction=H","UseDPDF=Y")</f>
        <v>—</v>
      </c>
      <c r="J67" s="13" t="str">
        <f>_xll.BDH("NBIX US Equity","ARDR_WTD_AVG_SHS_BASIC_DILUTED","FQ3 2020","FQ3 2020","Currency=USD","Period=FQ","BEST_FPERIOD_OVERRIDE=FQ","FILING_STATUS=MR","Sort=A","Dates=H","DateFormat=P","Fill=—","Direction=H","UseDPDF=Y")</f>
        <v>—</v>
      </c>
      <c r="K67" s="13" t="str">
        <f>_xll.BDH("NBIX US Equity","ARDR_WTD_AVG_SHS_BASIC_DILUTED","FQ4 2020","FQ4 2020","Currency=USD","Period=FQ","BEST_FPERIOD_OVERRIDE=FQ","FILING_STATUS=MR","Sort=A","Dates=H","DateFormat=P","Fill=—","Direction=H","UseDPDF=Y")</f>
        <v>—</v>
      </c>
      <c r="L67" s="13" t="str">
        <f>_xll.BDH("NBIX US Equity","ARDR_WTD_AVG_SHS_BASIC_DILUTED","FQ1 2021","FQ1 2021","Currency=USD","Period=FQ","BEST_FPERIOD_OVERRIDE=FQ","FILING_STATUS=MR","Sort=A","Dates=H","DateFormat=P","Fill=—","Direction=H","UseDPDF=Y")</f>
        <v>—</v>
      </c>
      <c r="M67" s="13" t="str">
        <f>_xll.BDH("NBIX US Equity","ARDR_WTD_AVG_SHS_BASIC_DILUTED","FQ2 2021","FQ2 2021","Currency=USD","Period=FQ","BEST_FPERIOD_OVERRIDE=FQ","FILING_STATUS=MR","Sort=A","Dates=H","DateFormat=P","Fill=—","Direction=H","UseDPDF=Y")</f>
        <v>—</v>
      </c>
      <c r="N67" s="13" t="str">
        <f>_xll.BDH("NBIX US Equity","ARDR_WTD_AVG_SHS_BASIC_DILUTED","FQ3 2021","FQ3 2021","Currency=USD","Period=FQ","BEST_FPERIOD_OVERRIDE=FQ","FILING_STATUS=MR","Sort=A","Dates=H","DateFormat=P","Fill=—","Direction=H","UseDPDF=Y")</f>
        <v>—</v>
      </c>
      <c r="O67" s="13" t="str">
        <f>_xll.BDH("NBIX US Equity","ARDR_WTD_AVG_SHS_BASIC_DILUTED","FQ4 2021","FQ4 2021","Currency=USD","Period=FQ","BEST_FPERIOD_OVERRIDE=FQ","FILING_STATUS=MR","Sort=A","Dates=H","DateFormat=P","Fill=—","Direction=H","UseDPDF=Y")</f>
        <v>—</v>
      </c>
      <c r="P67" s="13" t="str">
        <f>_xll.BDH("NBIX US Equity","ARDR_WTD_AVG_SHS_BASIC_DILUTED","FQ1 2022","FQ1 2022","Currency=USD","Period=FQ","BEST_FPERIOD_OVERRIDE=FQ","FILING_STATUS=MR","Sort=A","Dates=H","DateFormat=P","Fill=—","Direction=H","UseDPDF=Y")</f>
        <v>—</v>
      </c>
      <c r="Q67" s="13" t="str">
        <f>_xll.BDH("NBIX US Equity","ARDR_WTD_AVG_SHS_BASIC_DILUTED","FQ2 2022","FQ2 2022","Currency=USD","Period=FQ","BEST_FPERIOD_OVERRIDE=FQ","FILING_STATUS=MR","Sort=A","Dates=H","DateFormat=P","Fill=—","Direction=H","UseDPDF=Y")</f>
        <v>—</v>
      </c>
      <c r="R67" s="13" t="str">
        <f>_xll.BDH("NBIX US Equity","ARDR_WTD_AVG_SHS_BASIC_DILUTED","FQ3 2022","FQ3 2022","Currency=USD","Period=FQ","BEST_FPERIOD_OVERRIDE=FQ","FILING_STATUS=MR","Sort=A","Dates=H","DateFormat=P","Fill=—","Direction=H","UseDPDF=Y")</f>
        <v>—</v>
      </c>
      <c r="S67" s="13" t="str">
        <f>_xll.BDH("NBIX US Equity","ARDR_WTD_AVG_SHS_BASIC_DILUTED","FQ4 2022","FQ4 2022","Currency=USD","Period=FQ","BEST_FPERIOD_OVERRIDE=FQ","FILING_STATUS=MR","Sort=A","Dates=H","DateFormat=P","Fill=—","Direction=H","UseDPDF=Y")</f>
        <v>—</v>
      </c>
      <c r="T67" s="13" t="str">
        <f>_xll.BDH("NBIX US Equity","ARDR_WTD_AVG_SHS_BASIC_DILUTED","FQ1 2023","FQ1 2023","Currency=USD","Period=FQ","BEST_FPERIOD_OVERRIDE=FQ","FILING_STATUS=MR","Sort=A","Dates=H","DateFormat=P","Fill=—","Direction=H","UseDPDF=Y")</f>
        <v>—</v>
      </c>
      <c r="U67" s="13" t="str">
        <f>_xll.BDH("NBIX US Equity","ARDR_WTD_AVG_SHS_BASIC_DILUTED","FQ2 2023","FQ2 2023","Currency=USD","Period=FQ","BEST_FPERIOD_OVERRIDE=FQ","FILING_STATUS=MR","Sort=A","Dates=H","DateFormat=P","Fill=—","Direction=H","UseDPDF=Y")</f>
        <v>—</v>
      </c>
      <c r="V67" s="13" t="str">
        <f>_xll.BDH("NBIX US Equity","ARDR_WTD_AVG_SHS_BASIC_DILUTED","FQ3 2023","FQ3 2023","Currency=USD","Period=FQ","BEST_FPERIOD_OVERRIDE=FQ","FILING_STATUS=MR","Sort=A","Dates=H","DateFormat=P","Fill=—","Direction=H","UseDPDF=Y")</f>
        <v>—</v>
      </c>
      <c r="W67" s="13" t="str">
        <f>_xll.BDH("NBIX US Equity","ARDR_WTD_AVG_SHS_BASIC_DILUTED","FQ4 2023","FQ4 2023","Currency=USD","Period=FQ","BEST_FPERIOD_OVERRIDE=FQ","FILING_STATUS=MR","Sort=A","Dates=H","DateFormat=P","Fill=—","Direction=H","UseDPDF=Y")</f>
        <v>—</v>
      </c>
      <c r="X67" s="13" t="str">
        <f>_xll.BDH("NBIX US Equity","ARDR_WTD_AVG_SHS_BASIC_DILUTED","FQ1 2024","FQ1 2024","Currency=USD","Period=FQ","BEST_FPERIOD_OVERRIDE=FQ","FILING_STATUS=MR","Sort=A","Dates=H","DateFormat=P","Fill=—","Direction=H","UseDPDF=Y")</f>
        <v>—</v>
      </c>
      <c r="Y67" s="13" t="str">
        <f>_xll.BDH("NBIX US Equity","ARDR_WTD_AVG_SHS_BASIC_DILUTED","FQ2 2024","FQ2 2024","Currency=USD","Period=FQ","BEST_FPERIOD_OVERRIDE=FQ","FILING_STATUS=MR","Sort=A","Dates=H","DateFormat=P","Fill=—","Direction=H","UseDPDF=Y")</f>
        <v>—</v>
      </c>
      <c r="Z67" s="13" t="str">
        <f>_xll.BDH("NBIX US Equity","ARDR_WTD_AVG_SHS_BASIC_DILUTED","FQ3 2024","FQ3 2024","Currency=USD","Period=FQ","BEST_FPERIOD_OVERRIDE=FQ","FILING_STATUS=MR","Sort=A","Dates=H","DateFormat=P","Fill=—","Direction=H","UseDPDF=Y")</f>
        <v>—</v>
      </c>
      <c r="AA67" s="13" t="str">
        <f>_xll.BDH("NBIX US Equity","ARDR_WTD_AVG_SHS_BASIC_DILUTED","FQ4 2024","FQ4 2024","Currency=USD","Period=FQ","BEST_FPERIOD_OVERRIDE=FQ","FILING_STATUS=MR","Sort=A","Dates=H","DateFormat=P","Fill=—","Direction=H","UseDPDF=Y")</f>
        <v>—</v>
      </c>
    </row>
    <row r="68" spans="1:27" x14ac:dyDescent="0.25">
      <c r="A68" s="10" t="s">
        <v>520</v>
      </c>
      <c r="B68" s="10" t="s">
        <v>521</v>
      </c>
      <c r="C68" s="13" t="str">
        <f>_xll.BDH("NBIX US Equity","ARDR_MERGER_ACQUISITION_EXPENSE","FQ4 2018","FQ4 2018","Currency=USD","Period=FQ","BEST_FPERIOD_OVERRIDE=FQ","FILING_STATUS=MR","SCALING_FORMAT=MLN","Sort=A","Dates=H","DateFormat=P","Fill=—","Direction=H","UseDPDF=Y")</f>
        <v>—</v>
      </c>
      <c r="D68" s="13" t="str">
        <f>_xll.BDH("NBIX US Equity","ARDR_MERGER_ACQUISITION_EXPENSE","FQ1 2019","FQ1 2019","Currency=USD","Period=FQ","BEST_FPERIOD_OVERRIDE=FQ","FILING_STATUS=MR","SCALING_FORMAT=MLN","Sort=A","Dates=H","DateFormat=P","Fill=—","Direction=H","UseDPDF=Y")</f>
        <v>—</v>
      </c>
      <c r="E68" s="13" t="str">
        <f>_xll.BDH("NBIX US Equity","ARDR_MERGER_ACQUISITION_EXPENSE","FQ2 2019","FQ2 2019","Currency=USD","Period=FQ","BEST_FPERIOD_OVERRIDE=FQ","FILING_STATUS=MR","SCALING_FORMAT=MLN","Sort=A","Dates=H","DateFormat=P","Fill=—","Direction=H","UseDPDF=Y")</f>
        <v>—</v>
      </c>
      <c r="F68" s="13" t="str">
        <f>_xll.BDH("NBIX US Equity","ARDR_MERGER_ACQUISITION_EXPENSE","FQ3 2019","FQ3 2019","Currency=USD","Period=FQ","BEST_FPERIOD_OVERRIDE=FQ","FILING_STATUS=MR","SCALING_FORMAT=MLN","Sort=A","Dates=H","DateFormat=P","Fill=—","Direction=H","UseDPDF=Y")</f>
        <v>—</v>
      </c>
      <c r="G68" s="13" t="str">
        <f>_xll.BDH("NBIX US Equity","ARDR_MERGER_ACQUISITION_EXPENSE","FQ4 2019","FQ4 2019","Currency=USD","Period=FQ","BEST_FPERIOD_OVERRIDE=FQ","FILING_STATUS=MR","SCALING_FORMAT=MLN","Sort=A","Dates=H","DateFormat=P","Fill=—","Direction=H","UseDPDF=Y")</f>
        <v>—</v>
      </c>
      <c r="H68" s="13" t="str">
        <f>_xll.BDH("NBIX US Equity","ARDR_MERGER_ACQUISITION_EXPENSE","FQ1 2020","FQ1 2020","Currency=USD","Period=FQ","BEST_FPERIOD_OVERRIDE=FQ","FILING_STATUS=MR","SCALING_FORMAT=MLN","Sort=A","Dates=H","DateFormat=P","Fill=—","Direction=H","UseDPDF=Y")</f>
        <v>—</v>
      </c>
      <c r="I68" s="13" t="str">
        <f>_xll.BDH("NBIX US Equity","ARDR_MERGER_ACQUISITION_EXPENSE","FQ2 2020","FQ2 2020","Currency=USD","Period=FQ","BEST_FPERIOD_OVERRIDE=FQ","FILING_STATUS=MR","SCALING_FORMAT=MLN","Sort=A","Dates=H","DateFormat=P","Fill=—","Direction=H","UseDPDF=Y")</f>
        <v>—</v>
      </c>
      <c r="J68" s="13" t="str">
        <f>_xll.BDH("NBIX US Equity","ARDR_MERGER_ACQUISITION_EXPENSE","FQ3 2020","FQ3 2020","Currency=USD","Period=FQ","BEST_FPERIOD_OVERRIDE=FQ","FILING_STATUS=MR","SCALING_FORMAT=MLN","Sort=A","Dates=H","DateFormat=P","Fill=—","Direction=H","UseDPDF=Y")</f>
        <v>—</v>
      </c>
      <c r="K68" s="13" t="str">
        <f>_xll.BDH("NBIX US Equity","ARDR_MERGER_ACQUISITION_EXPENSE","FQ4 2020","FQ4 2020","Currency=USD","Period=FQ","BEST_FPERIOD_OVERRIDE=FQ","FILING_STATUS=MR","SCALING_FORMAT=MLN","Sort=A","Dates=H","DateFormat=P","Fill=—","Direction=H","UseDPDF=Y")</f>
        <v>—</v>
      </c>
      <c r="L68" s="13" t="str">
        <f>_xll.BDH("NBIX US Equity","ARDR_MERGER_ACQUISITION_EXPENSE","FQ1 2021","FQ1 2021","Currency=USD","Period=FQ","BEST_FPERIOD_OVERRIDE=FQ","FILING_STATUS=MR","SCALING_FORMAT=MLN","Sort=A","Dates=H","DateFormat=P","Fill=—","Direction=H","UseDPDF=Y")</f>
        <v>—</v>
      </c>
      <c r="M68" s="13" t="str">
        <f>_xll.BDH("NBIX US Equity","ARDR_MERGER_ACQUISITION_EXPENSE","FQ2 2021","FQ2 2021","Currency=USD","Period=FQ","BEST_FPERIOD_OVERRIDE=FQ","FILING_STATUS=MR","SCALING_FORMAT=MLN","Sort=A","Dates=H","DateFormat=P","Fill=—","Direction=H","UseDPDF=Y")</f>
        <v>—</v>
      </c>
      <c r="N68" s="13" t="str">
        <f>_xll.BDH("NBIX US Equity","ARDR_MERGER_ACQUISITION_EXPENSE","FQ3 2021","FQ3 2021","Currency=USD","Period=FQ","BEST_FPERIOD_OVERRIDE=FQ","FILING_STATUS=MR","SCALING_FORMAT=MLN","Sort=A","Dates=H","DateFormat=P","Fill=—","Direction=H","UseDPDF=Y")</f>
        <v>—</v>
      </c>
      <c r="O68" s="13" t="str">
        <f>_xll.BDH("NBIX US Equity","ARDR_MERGER_ACQUISITION_EXPENSE","FQ4 2021","FQ4 2021","Currency=USD","Period=FQ","BEST_FPERIOD_OVERRIDE=FQ","FILING_STATUS=MR","SCALING_FORMAT=MLN","Sort=A","Dates=H","DateFormat=P","Fill=—","Direction=H","UseDPDF=Y")</f>
        <v>—</v>
      </c>
      <c r="P68" s="13" t="str">
        <f>_xll.BDH("NBIX US Equity","ARDR_MERGER_ACQUISITION_EXPENSE","FQ1 2022","FQ1 2022","Currency=USD","Period=FQ","BEST_FPERIOD_OVERRIDE=FQ","FILING_STATUS=MR","SCALING_FORMAT=MLN","Sort=A","Dates=H","DateFormat=P","Fill=—","Direction=H","UseDPDF=Y")</f>
        <v>—</v>
      </c>
      <c r="Q68" s="13" t="str">
        <f>_xll.BDH("NBIX US Equity","ARDR_MERGER_ACQUISITION_EXPENSE","FQ2 2022","FQ2 2022","Currency=USD","Period=FQ","BEST_FPERIOD_OVERRIDE=FQ","FILING_STATUS=MR","SCALING_FORMAT=MLN","Sort=A","Dates=H","DateFormat=P","Fill=—","Direction=H","UseDPDF=Y")</f>
        <v>—</v>
      </c>
      <c r="R68" s="13" t="str">
        <f>_xll.BDH("NBIX US Equity","ARDR_MERGER_ACQUISITION_EXPENSE","FQ3 2022","FQ3 2022","Currency=USD","Period=FQ","BEST_FPERIOD_OVERRIDE=FQ","FILING_STATUS=MR","SCALING_FORMAT=MLN","Sort=A","Dates=H","DateFormat=P","Fill=—","Direction=H","UseDPDF=Y")</f>
        <v>—</v>
      </c>
      <c r="S68" s="13">
        <f>_xll.BDH("NBIX US Equity","ARDR_MERGER_ACQUISITION_EXPENSE","FQ4 2022","FQ4 2022","Currency=USD","Period=FQ","BEST_FPERIOD_OVERRIDE=FQ","FILING_STATUS=MR","SCALING_FORMAT=MLN","Sort=A","Dates=H","DateFormat=P","Fill=—","Direction=H","UseDPDF=Y")</f>
        <v>1.7</v>
      </c>
      <c r="T68" s="13" t="str">
        <f>_xll.BDH("NBIX US Equity","ARDR_MERGER_ACQUISITION_EXPENSE","FQ1 2023","FQ1 2023","Currency=USD","Period=FQ","BEST_FPERIOD_OVERRIDE=FQ","FILING_STATUS=MR","SCALING_FORMAT=MLN","Sort=A","Dates=H","DateFormat=P","Fill=—","Direction=H","UseDPDF=Y")</f>
        <v>—</v>
      </c>
      <c r="U68" s="13" t="str">
        <f>_xll.BDH("NBIX US Equity","ARDR_MERGER_ACQUISITION_EXPENSE","FQ2 2023","FQ2 2023","Currency=USD","Period=FQ","BEST_FPERIOD_OVERRIDE=FQ","FILING_STATUS=MR","SCALING_FORMAT=MLN","Sort=A","Dates=H","DateFormat=P","Fill=—","Direction=H","UseDPDF=Y")</f>
        <v>—</v>
      </c>
      <c r="V68" s="13">
        <f>_xll.BDH("NBIX US Equity","ARDR_MERGER_ACQUISITION_EXPENSE","FQ3 2023","FQ3 2023","Currency=USD","Period=FQ","BEST_FPERIOD_OVERRIDE=FQ","FILING_STATUS=MR","SCALING_FORMAT=MLN","Sort=A","Dates=H","DateFormat=P","Fill=—","Direction=H","UseDPDF=Y")</f>
        <v>3.9</v>
      </c>
      <c r="W68" s="13" t="str">
        <f>_xll.BDH("NBIX US Equity","ARDR_MERGER_ACQUISITION_EXPENSE","FQ4 2023","FQ4 2023","Currency=USD","Period=FQ","BEST_FPERIOD_OVERRIDE=FQ","FILING_STATUS=MR","SCALING_FORMAT=MLN","Sort=A","Dates=H","DateFormat=P","Fill=—","Direction=H","UseDPDF=Y")</f>
        <v>—</v>
      </c>
      <c r="X68" s="13" t="str">
        <f>_xll.BDH("NBIX US Equity","ARDR_MERGER_ACQUISITION_EXPENSE","FQ1 2024","FQ1 2024","Currency=USD","Period=FQ","BEST_FPERIOD_OVERRIDE=FQ","FILING_STATUS=MR","SCALING_FORMAT=MLN","Sort=A","Dates=H","DateFormat=P","Fill=—","Direction=H","UseDPDF=Y")</f>
        <v>—</v>
      </c>
      <c r="Y68" s="13" t="str">
        <f>_xll.BDH("NBIX US Equity","ARDR_MERGER_ACQUISITION_EXPENSE","FQ2 2024","FQ2 2024","Currency=USD","Period=FQ","BEST_FPERIOD_OVERRIDE=FQ","FILING_STATUS=MR","SCALING_FORMAT=MLN","Sort=A","Dates=H","DateFormat=P","Fill=—","Direction=H","UseDPDF=Y")</f>
        <v>—</v>
      </c>
      <c r="Z68" s="13" t="str">
        <f>_xll.BDH("NBIX US Equity","ARDR_MERGER_ACQUISITION_EXPENSE","FQ3 2024","FQ3 2024","Currency=USD","Period=FQ","BEST_FPERIOD_OVERRIDE=FQ","FILING_STATUS=MR","SCALING_FORMAT=MLN","Sort=A","Dates=H","DateFormat=P","Fill=—","Direction=H","UseDPDF=Y")</f>
        <v>—</v>
      </c>
      <c r="AA68" s="13" t="str">
        <f>_xll.BDH("NBIX US Equity","ARDR_MERGER_ACQUISITION_EXPENSE","FQ4 2024","FQ4 2024","Currency=USD","Period=FQ","BEST_FPERIOD_OVERRIDE=FQ","FILING_STATUS=MR","SCALING_FORMAT=MLN","Sort=A","Dates=H","DateFormat=P","Fill=—","Direction=H","UseDPDF=Y")</f>
        <v>—</v>
      </c>
    </row>
    <row r="69" spans="1:27" x14ac:dyDescent="0.25">
      <c r="A69" s="10" t="s">
        <v>522</v>
      </c>
      <c r="B69" s="10" t="s">
        <v>523</v>
      </c>
      <c r="C69" s="13" t="str">
        <f>_xll.BDH("NBIX US Equity","ARDR_AMORT_OF_INTANGIBLE_ASSETS","FQ4 2018","FQ4 2018","Currency=USD","Period=FQ","BEST_FPERIOD_OVERRIDE=FQ","FILING_STATUS=MR","SCALING_FORMAT=MLN","Sort=A","Dates=H","DateFormat=P","Fill=—","Direction=H","UseDPDF=Y")</f>
        <v>—</v>
      </c>
      <c r="D69" s="13" t="str">
        <f>_xll.BDH("NBIX US Equity","ARDR_AMORT_OF_INTANGIBLE_ASSETS","FQ1 2019","FQ1 2019","Currency=USD","Period=FQ","BEST_FPERIOD_OVERRIDE=FQ","FILING_STATUS=MR","SCALING_FORMAT=MLN","Sort=A","Dates=H","DateFormat=P","Fill=—","Direction=H","UseDPDF=Y")</f>
        <v>—</v>
      </c>
      <c r="E69" s="13" t="str">
        <f>_xll.BDH("NBIX US Equity","ARDR_AMORT_OF_INTANGIBLE_ASSETS","FQ2 2019","FQ2 2019","Currency=USD","Period=FQ","BEST_FPERIOD_OVERRIDE=FQ","FILING_STATUS=MR","SCALING_FORMAT=MLN","Sort=A","Dates=H","DateFormat=P","Fill=—","Direction=H","UseDPDF=Y")</f>
        <v>—</v>
      </c>
      <c r="F69" s="13" t="str">
        <f>_xll.BDH("NBIX US Equity","ARDR_AMORT_OF_INTANGIBLE_ASSETS","FQ3 2019","FQ3 2019","Currency=USD","Period=FQ","BEST_FPERIOD_OVERRIDE=FQ","FILING_STATUS=MR","SCALING_FORMAT=MLN","Sort=A","Dates=H","DateFormat=P","Fill=—","Direction=H","UseDPDF=Y")</f>
        <v>—</v>
      </c>
      <c r="G69" s="13" t="str">
        <f>_xll.BDH("NBIX US Equity","ARDR_AMORT_OF_INTANGIBLE_ASSETS","FQ4 2019","FQ4 2019","Currency=USD","Period=FQ","BEST_FPERIOD_OVERRIDE=FQ","FILING_STATUS=MR","SCALING_FORMAT=MLN","Sort=A","Dates=H","DateFormat=P","Fill=—","Direction=H","UseDPDF=Y")</f>
        <v>—</v>
      </c>
      <c r="H69" s="13" t="str">
        <f>_xll.BDH("NBIX US Equity","ARDR_AMORT_OF_INTANGIBLE_ASSETS","FQ1 2020","FQ1 2020","Currency=USD","Period=FQ","BEST_FPERIOD_OVERRIDE=FQ","FILING_STATUS=MR","SCALING_FORMAT=MLN","Sort=A","Dates=H","DateFormat=P","Fill=—","Direction=H","UseDPDF=Y")</f>
        <v>—</v>
      </c>
      <c r="I69" s="13" t="str">
        <f>_xll.BDH("NBIX US Equity","ARDR_AMORT_OF_INTANGIBLE_ASSETS","FQ2 2020","FQ2 2020","Currency=USD","Period=FQ","BEST_FPERIOD_OVERRIDE=FQ","FILING_STATUS=MR","SCALING_FORMAT=MLN","Sort=A","Dates=H","DateFormat=P","Fill=—","Direction=H","UseDPDF=Y")</f>
        <v>—</v>
      </c>
      <c r="J69" s="13" t="str">
        <f>_xll.BDH("NBIX US Equity","ARDR_AMORT_OF_INTANGIBLE_ASSETS","FQ3 2020","FQ3 2020","Currency=USD","Period=FQ","BEST_FPERIOD_OVERRIDE=FQ","FILING_STATUS=MR","SCALING_FORMAT=MLN","Sort=A","Dates=H","DateFormat=P","Fill=—","Direction=H","UseDPDF=Y")</f>
        <v>—</v>
      </c>
      <c r="K69" s="13" t="str">
        <f>_xll.BDH("NBIX US Equity","ARDR_AMORT_OF_INTANGIBLE_ASSETS","FQ4 2020","FQ4 2020","Currency=USD","Period=FQ","BEST_FPERIOD_OVERRIDE=FQ","FILING_STATUS=MR","SCALING_FORMAT=MLN","Sort=A","Dates=H","DateFormat=P","Fill=—","Direction=H","UseDPDF=Y")</f>
        <v>—</v>
      </c>
      <c r="L69" s="13" t="str">
        <f>_xll.BDH("NBIX US Equity","ARDR_AMORT_OF_INTANGIBLE_ASSETS","FQ1 2021","FQ1 2021","Currency=USD","Period=FQ","BEST_FPERIOD_OVERRIDE=FQ","FILING_STATUS=MR","SCALING_FORMAT=MLN","Sort=A","Dates=H","DateFormat=P","Fill=—","Direction=H","UseDPDF=Y")</f>
        <v>—</v>
      </c>
      <c r="M69" s="13" t="str">
        <f>_xll.BDH("NBIX US Equity","ARDR_AMORT_OF_INTANGIBLE_ASSETS","FQ2 2021","FQ2 2021","Currency=USD","Period=FQ","BEST_FPERIOD_OVERRIDE=FQ","FILING_STATUS=MR","SCALING_FORMAT=MLN","Sort=A","Dates=H","DateFormat=P","Fill=—","Direction=H","UseDPDF=Y")</f>
        <v>—</v>
      </c>
      <c r="N69" s="13" t="str">
        <f>_xll.BDH("NBIX US Equity","ARDR_AMORT_OF_INTANGIBLE_ASSETS","FQ3 2021","FQ3 2021","Currency=USD","Period=FQ","BEST_FPERIOD_OVERRIDE=FQ","FILING_STATUS=MR","SCALING_FORMAT=MLN","Sort=A","Dates=H","DateFormat=P","Fill=—","Direction=H","UseDPDF=Y")</f>
        <v>—</v>
      </c>
      <c r="O69" s="13" t="str">
        <f>_xll.BDH("NBIX US Equity","ARDR_AMORT_OF_INTANGIBLE_ASSETS","FQ4 2021","FQ4 2021","Currency=USD","Period=FQ","BEST_FPERIOD_OVERRIDE=FQ","FILING_STATUS=MR","SCALING_FORMAT=MLN","Sort=A","Dates=H","DateFormat=P","Fill=—","Direction=H","UseDPDF=Y")</f>
        <v>—</v>
      </c>
      <c r="P69" s="13" t="str">
        <f>_xll.BDH("NBIX US Equity","ARDR_AMORT_OF_INTANGIBLE_ASSETS","FQ1 2022","FQ1 2022","Currency=USD","Period=FQ","BEST_FPERIOD_OVERRIDE=FQ","FILING_STATUS=MR","SCALING_FORMAT=MLN","Sort=A","Dates=H","DateFormat=P","Fill=—","Direction=H","UseDPDF=Y")</f>
        <v>—</v>
      </c>
      <c r="Q69" s="13" t="str">
        <f>_xll.BDH("NBIX US Equity","ARDR_AMORT_OF_INTANGIBLE_ASSETS","FQ2 2022","FQ2 2022","Currency=USD","Period=FQ","BEST_FPERIOD_OVERRIDE=FQ","FILING_STATUS=MR","SCALING_FORMAT=MLN","Sort=A","Dates=H","DateFormat=P","Fill=—","Direction=H","UseDPDF=Y")</f>
        <v>—</v>
      </c>
      <c r="R69" s="13" t="str">
        <f>_xll.BDH("NBIX US Equity","ARDR_AMORT_OF_INTANGIBLE_ASSETS","FQ3 2022","FQ3 2022","Currency=USD","Period=FQ","BEST_FPERIOD_OVERRIDE=FQ","FILING_STATUS=MR","SCALING_FORMAT=MLN","Sort=A","Dates=H","DateFormat=P","Fill=—","Direction=H","UseDPDF=Y")</f>
        <v>—</v>
      </c>
      <c r="S69" s="13" t="str">
        <f>_xll.BDH("NBIX US Equity","ARDR_AMORT_OF_INTANGIBLE_ASSETS","FQ4 2022","FQ4 2022","Currency=USD","Period=FQ","BEST_FPERIOD_OVERRIDE=FQ","FILING_STATUS=MR","SCALING_FORMAT=MLN","Sort=A","Dates=H","DateFormat=P","Fill=—","Direction=H","UseDPDF=Y")</f>
        <v>—</v>
      </c>
      <c r="T69" s="13" t="str">
        <f>_xll.BDH("NBIX US Equity","ARDR_AMORT_OF_INTANGIBLE_ASSETS","FQ1 2023","FQ1 2023","Currency=USD","Period=FQ","BEST_FPERIOD_OVERRIDE=FQ","FILING_STATUS=MR","SCALING_FORMAT=MLN","Sort=A","Dates=H","DateFormat=P","Fill=—","Direction=H","UseDPDF=Y")</f>
        <v>—</v>
      </c>
      <c r="U69" s="13" t="str">
        <f>_xll.BDH("NBIX US Equity","ARDR_AMORT_OF_INTANGIBLE_ASSETS","FQ2 2023","FQ2 2023","Currency=USD","Period=FQ","BEST_FPERIOD_OVERRIDE=FQ","FILING_STATUS=MR","SCALING_FORMAT=MLN","Sort=A","Dates=H","DateFormat=P","Fill=—","Direction=H","UseDPDF=Y")</f>
        <v>—</v>
      </c>
      <c r="V69" s="13" t="str">
        <f>_xll.BDH("NBIX US Equity","ARDR_AMORT_OF_INTANGIBLE_ASSETS","FQ3 2023","FQ3 2023","Currency=USD","Period=FQ","BEST_FPERIOD_OVERRIDE=FQ","FILING_STATUS=MR","SCALING_FORMAT=MLN","Sort=A","Dates=H","DateFormat=P","Fill=—","Direction=H","UseDPDF=Y")</f>
        <v>—</v>
      </c>
      <c r="W69" s="13">
        <f>_xll.BDH("NBIX US Equity","ARDR_AMORT_OF_INTANGIBLE_ASSETS","FQ4 2023","FQ4 2023","Currency=USD","Period=FQ","BEST_FPERIOD_OVERRIDE=FQ","FILING_STATUS=MR","SCALING_FORMAT=MLN","Sort=A","Dates=H","DateFormat=P","Fill=—","Direction=H","UseDPDF=Y")</f>
        <v>0.8</v>
      </c>
      <c r="X69" s="13" t="str">
        <f>_xll.BDH("NBIX US Equity","ARDR_AMORT_OF_INTANGIBLE_ASSETS","FQ1 2024","FQ1 2024","Currency=USD","Period=FQ","BEST_FPERIOD_OVERRIDE=FQ","FILING_STATUS=MR","SCALING_FORMAT=MLN","Sort=A","Dates=H","DateFormat=P","Fill=—","Direction=H","UseDPDF=Y")</f>
        <v>—</v>
      </c>
      <c r="Y69" s="13" t="str">
        <f>_xll.BDH("NBIX US Equity","ARDR_AMORT_OF_INTANGIBLE_ASSETS","FQ2 2024","FQ2 2024","Currency=USD","Period=FQ","BEST_FPERIOD_OVERRIDE=FQ","FILING_STATUS=MR","SCALING_FORMAT=MLN","Sort=A","Dates=H","DateFormat=P","Fill=—","Direction=H","UseDPDF=Y")</f>
        <v>—</v>
      </c>
      <c r="Z69" s="13" t="str">
        <f>_xll.BDH("NBIX US Equity","ARDR_AMORT_OF_INTANGIBLE_ASSETS","FQ3 2024","FQ3 2024","Currency=USD","Period=FQ","BEST_FPERIOD_OVERRIDE=FQ","FILING_STATUS=MR","SCALING_FORMAT=MLN","Sort=A","Dates=H","DateFormat=P","Fill=—","Direction=H","UseDPDF=Y")</f>
        <v>—</v>
      </c>
      <c r="AA69" s="13">
        <f>_xll.BDH("NBIX US Equity","ARDR_AMORT_OF_INTANGIBLE_ASSETS","FQ4 2024","FQ4 2024","Currency=USD","Period=FQ","BEST_FPERIOD_OVERRIDE=FQ","FILING_STATUS=MR","SCALING_FORMAT=MLN","Sort=A","Dates=H","DateFormat=P","Fill=—","Direction=H","UseDPDF=Y")</f>
        <v>0.9</v>
      </c>
    </row>
    <row r="70" spans="1:27" x14ac:dyDescent="0.25">
      <c r="A70" s="10" t="s">
        <v>1</v>
      </c>
      <c r="B70" s="10" t="s">
        <v>524</v>
      </c>
      <c r="C70" s="13">
        <f>_xll.BDH("NBIX US Equity","ARDR_TOTAL_REVENUES","FQ4 2018","FQ4 2018","Currency=USD","Period=FQ","BEST_FPERIOD_OVERRIDE=FQ","FILING_STATUS=MR","SCALING_FORMAT=MLN","Sort=A","Dates=H","DateFormat=P","Fill=—","Direction=H","UseDPDF=Y")</f>
        <v>131.49199999999999</v>
      </c>
      <c r="D70" s="13" t="str">
        <f>_xll.BDH("NBIX US Equity","ARDR_TOTAL_REVENUES","FQ1 2019","FQ1 2019","Currency=USD","Period=FQ","BEST_FPERIOD_OVERRIDE=FQ","FILING_STATUS=MR","SCALING_FORMAT=MLN","Sort=A","Dates=H","DateFormat=P","Fill=—","Direction=H","UseDPDF=Y")</f>
        <v>—</v>
      </c>
      <c r="E70" s="13" t="str">
        <f>_xll.BDH("NBIX US Equity","ARDR_TOTAL_REVENUES","FQ2 2019","FQ2 2019","Currency=USD","Period=FQ","BEST_FPERIOD_OVERRIDE=FQ","FILING_STATUS=MR","SCALING_FORMAT=MLN","Sort=A","Dates=H","DateFormat=P","Fill=—","Direction=H","UseDPDF=Y")</f>
        <v>—</v>
      </c>
      <c r="F70" s="13">
        <f>_xll.BDH("NBIX US Equity","ARDR_TOTAL_REVENUES","FQ3 2019","FQ3 2019","Currency=USD","Period=FQ","BEST_FPERIOD_OVERRIDE=FQ","FILING_STATUS=MR","SCALING_FORMAT=MLN","Sort=A","Dates=H","DateFormat=P","Fill=—","Direction=H","UseDPDF=Y")</f>
        <v>222.09399999999999</v>
      </c>
      <c r="G70" s="13">
        <f>_xll.BDH("NBIX US Equity","ARDR_TOTAL_REVENUES","FQ4 2019","FQ4 2019","Currency=USD","Period=FQ","BEST_FPERIOD_OVERRIDE=FQ","FILING_STATUS=MR","SCALING_FORMAT=MLN","Sort=A","Dates=H","DateFormat=P","Fill=—","Direction=H","UseDPDF=Y")</f>
        <v>244.1</v>
      </c>
      <c r="H70" s="13">
        <f>_xll.BDH("NBIX US Equity","ARDR_TOTAL_REVENUES","FQ1 2020","FQ1 2020","Currency=USD","Period=FQ","BEST_FPERIOD_OVERRIDE=FQ","FILING_STATUS=MR","SCALING_FORMAT=MLN","Sort=A","Dates=H","DateFormat=P","Fill=—","Direction=H","UseDPDF=Y")</f>
        <v>237.1</v>
      </c>
      <c r="I70" s="13">
        <f>_xll.BDH("NBIX US Equity","ARDR_TOTAL_REVENUES","FQ2 2020","FQ2 2020","Currency=USD","Period=FQ","BEST_FPERIOD_OVERRIDE=FQ","FILING_STATUS=MR","SCALING_FORMAT=MLN","Sort=A","Dates=H","DateFormat=P","Fill=—","Direction=H","UseDPDF=Y")</f>
        <v>302.39999999999998</v>
      </c>
      <c r="J70" s="13">
        <f>_xll.BDH("NBIX US Equity","ARDR_TOTAL_REVENUES","FQ3 2020","FQ3 2020","Currency=USD","Period=FQ","BEST_FPERIOD_OVERRIDE=FQ","FILING_STATUS=MR","SCALING_FORMAT=MLN","Sort=A","Dates=H","DateFormat=P","Fill=—","Direction=H","UseDPDF=Y")</f>
        <v>258.5</v>
      </c>
      <c r="K70" s="13">
        <f>_xll.BDH("NBIX US Equity","ARDR_TOTAL_REVENUES","FQ4 2020","FQ4 2020","Currency=USD","Period=FQ","BEST_FPERIOD_OVERRIDE=FQ","FILING_STATUS=MR","SCALING_FORMAT=MLN","Sort=A","Dates=H","DateFormat=P","Fill=—","Direction=H","UseDPDF=Y")</f>
        <v>247.9</v>
      </c>
      <c r="L70" s="13">
        <f>_xll.BDH("NBIX US Equity","ARDR_TOTAL_REVENUES","FQ1 2021","FQ1 2021","Currency=USD","Period=FQ","BEST_FPERIOD_OVERRIDE=FQ","FILING_STATUS=MR","SCALING_FORMAT=MLN","Sort=A","Dates=H","DateFormat=P","Fill=—","Direction=H","UseDPDF=Y")</f>
        <v>236.6</v>
      </c>
      <c r="M70" s="13">
        <f>_xll.BDH("NBIX US Equity","ARDR_TOTAL_REVENUES","FQ2 2021","FQ2 2021","Currency=USD","Period=FQ","BEST_FPERIOD_OVERRIDE=FQ","FILING_STATUS=MR","SCALING_FORMAT=MLN","Sort=A","Dates=H","DateFormat=P","Fill=—","Direction=H","UseDPDF=Y")</f>
        <v>288.89999999999998</v>
      </c>
      <c r="N70" s="13">
        <f>_xll.BDH("NBIX US Equity","ARDR_TOTAL_REVENUES","FQ3 2021","FQ3 2021","Currency=USD","Period=FQ","BEST_FPERIOD_OVERRIDE=FQ","FILING_STATUS=MR","SCALING_FORMAT=MLN","Sort=A","Dates=H","DateFormat=P","Fill=—","Direction=H","UseDPDF=Y")</f>
        <v>296</v>
      </c>
      <c r="O70" s="13">
        <f>_xll.BDH("NBIX US Equity","ARDR_TOTAL_REVENUES","FQ4 2021","FQ4 2021","Currency=USD","Period=FQ","BEST_FPERIOD_OVERRIDE=FQ","FILING_STATUS=MR","SCALING_FORMAT=MLN","Sort=A","Dates=H","DateFormat=P","Fill=—","Direction=H","UseDPDF=Y")</f>
        <v>312</v>
      </c>
      <c r="P70" s="13">
        <f>_xll.BDH("NBIX US Equity","ARDR_TOTAL_REVENUES","FQ1 2022","FQ1 2022","Currency=USD","Period=FQ","BEST_FPERIOD_OVERRIDE=FQ","FILING_STATUS=MR","SCALING_FORMAT=MLN","Sort=A","Dates=H","DateFormat=P","Fill=—","Direction=H","UseDPDF=Y")</f>
        <v>310.60000000000002</v>
      </c>
      <c r="Q70" s="13">
        <f>_xll.BDH("NBIX US Equity","ARDR_TOTAL_REVENUES","FQ2 2022","FQ2 2022","Currency=USD","Period=FQ","BEST_FPERIOD_OVERRIDE=FQ","FILING_STATUS=MR","SCALING_FORMAT=MLN","Sort=A","Dates=H","DateFormat=P","Fill=—","Direction=H","UseDPDF=Y")</f>
        <v>378.2</v>
      </c>
      <c r="R70" s="13">
        <f>_xll.BDH("NBIX US Equity","ARDR_TOTAL_REVENUES","FQ3 2022","FQ3 2022","Currency=USD","Period=FQ","BEST_FPERIOD_OVERRIDE=FQ","FILING_STATUS=MR","SCALING_FORMAT=MLN","Sort=A","Dates=H","DateFormat=P","Fill=—","Direction=H","UseDPDF=Y")</f>
        <v>387.9</v>
      </c>
      <c r="S70" s="13">
        <f>_xll.BDH("NBIX US Equity","ARDR_TOTAL_REVENUES","FQ4 2022","FQ4 2022","Currency=USD","Period=FQ","BEST_FPERIOD_OVERRIDE=FQ","FILING_STATUS=MR","SCALING_FORMAT=MLN","Sort=A","Dates=H","DateFormat=P","Fill=—","Direction=H","UseDPDF=Y")</f>
        <v>412</v>
      </c>
      <c r="T70" s="13">
        <f>_xll.BDH("NBIX US Equity","ARDR_TOTAL_REVENUES","FQ1 2023","FQ1 2023","Currency=USD","Period=FQ","BEST_FPERIOD_OVERRIDE=FQ","FILING_STATUS=MR","SCALING_FORMAT=MLN","Sort=A","Dates=H","DateFormat=P","Fill=—","Direction=H","UseDPDF=Y")</f>
        <v>420.4</v>
      </c>
      <c r="U70" s="13">
        <f>_xll.BDH("NBIX US Equity","ARDR_TOTAL_REVENUES","FQ2 2023","FQ2 2023","Currency=USD","Period=FQ","BEST_FPERIOD_OVERRIDE=FQ","FILING_STATUS=MR","SCALING_FORMAT=MLN","Sort=A","Dates=H","DateFormat=P","Fill=—","Direction=H","UseDPDF=Y")</f>
        <v>452.7</v>
      </c>
      <c r="V70" s="13">
        <f>_xll.BDH("NBIX US Equity","ARDR_TOTAL_REVENUES","FQ3 2023","FQ3 2023","Currency=USD","Period=FQ","BEST_FPERIOD_OVERRIDE=FQ","FILING_STATUS=MR","SCALING_FORMAT=MLN","Sort=A","Dates=H","DateFormat=P","Fill=—","Direction=H","UseDPDF=Y")</f>
        <v>498.8</v>
      </c>
      <c r="W70" s="13">
        <f>_xll.BDH("NBIX US Equity","ARDR_TOTAL_REVENUES","FQ4 2023","FQ4 2023","Currency=USD","Period=FQ","BEST_FPERIOD_OVERRIDE=FQ","FILING_STATUS=MR","SCALING_FORMAT=MLN","Sort=A","Dates=H","DateFormat=P","Fill=—","Direction=H","UseDPDF=Y")</f>
        <v>515.20000000000005</v>
      </c>
      <c r="X70" s="13">
        <f>_xll.BDH("NBIX US Equity","ARDR_TOTAL_REVENUES","FQ1 2024","FQ1 2024","Currency=USD","Period=FQ","BEST_FPERIOD_OVERRIDE=FQ","FILING_STATUS=MR","SCALING_FORMAT=MLN","Sort=A","Dates=H","DateFormat=P","Fill=—","Direction=H","UseDPDF=Y")</f>
        <v>515.29999999999995</v>
      </c>
      <c r="Y70" s="13">
        <f>_xll.BDH("NBIX US Equity","ARDR_TOTAL_REVENUES","FQ2 2024","FQ2 2024","Currency=USD","Period=FQ","BEST_FPERIOD_OVERRIDE=FQ","FILING_STATUS=MR","SCALING_FORMAT=MLN","Sort=A","Dates=H","DateFormat=P","Fill=—","Direction=H","UseDPDF=Y")</f>
        <v>590.20000000000005</v>
      </c>
      <c r="Z70" s="13">
        <f>_xll.BDH("NBIX US Equity","ARDR_TOTAL_REVENUES","FQ3 2024","FQ3 2024","Currency=USD","Period=FQ","BEST_FPERIOD_OVERRIDE=FQ","FILING_STATUS=MR","SCALING_FORMAT=MLN","Sort=A","Dates=H","DateFormat=P","Fill=—","Direction=H","UseDPDF=Y")</f>
        <v>622.1</v>
      </c>
      <c r="AA70" s="13">
        <f>_xll.BDH("NBIX US Equity","ARDR_TOTAL_REVENUES","FQ4 2024","FQ4 2024","Currency=USD","Period=FQ","BEST_FPERIOD_OVERRIDE=FQ","FILING_STATUS=MR","SCALING_FORMAT=MLN","Sort=A","Dates=H","DateFormat=P","Fill=—","Direction=H","UseDPDF=Y")</f>
        <v>627.70000000000005</v>
      </c>
    </row>
    <row r="71" spans="1:27" x14ac:dyDescent="0.25">
      <c r="A71" s="10" t="s">
        <v>456</v>
      </c>
      <c r="B71" s="10" t="s">
        <v>525</v>
      </c>
      <c r="C71" s="13" t="str">
        <f>_xll.BDH("NBIX US Equity","ARDR_GL_ON_EARLY_EXT_DEBT_NON_OP","FQ4 2018","FQ4 2018","Currency=USD","Period=FQ","BEST_FPERIOD_OVERRIDE=FQ","FILING_STATUS=MR","SCALING_FORMAT=MLN","Sort=A","Dates=H","DateFormat=P","Fill=—","Direction=H","UseDPDF=Y")</f>
        <v>—</v>
      </c>
      <c r="D71" s="13" t="str">
        <f>_xll.BDH("NBIX US Equity","ARDR_GL_ON_EARLY_EXT_DEBT_NON_OP","FQ1 2019","FQ1 2019","Currency=USD","Period=FQ","BEST_FPERIOD_OVERRIDE=FQ","FILING_STATUS=MR","SCALING_FORMAT=MLN","Sort=A","Dates=H","DateFormat=P","Fill=—","Direction=H","UseDPDF=Y")</f>
        <v>—</v>
      </c>
      <c r="E71" s="13" t="str">
        <f>_xll.BDH("NBIX US Equity","ARDR_GL_ON_EARLY_EXT_DEBT_NON_OP","FQ2 2019","FQ2 2019","Currency=USD","Period=FQ","BEST_FPERIOD_OVERRIDE=FQ","FILING_STATUS=MR","SCALING_FORMAT=MLN","Sort=A","Dates=H","DateFormat=P","Fill=—","Direction=H","UseDPDF=Y")</f>
        <v>—</v>
      </c>
      <c r="F71" s="13" t="str">
        <f>_xll.BDH("NBIX US Equity","ARDR_GL_ON_EARLY_EXT_DEBT_NON_OP","FQ3 2019","FQ3 2019","Currency=USD","Period=FQ","BEST_FPERIOD_OVERRIDE=FQ","FILING_STATUS=MR","SCALING_FORMAT=MLN","Sort=A","Dates=H","DateFormat=P","Fill=—","Direction=H","UseDPDF=Y")</f>
        <v>—</v>
      </c>
      <c r="G71" s="13" t="str">
        <f>_xll.BDH("NBIX US Equity","ARDR_GL_ON_EARLY_EXT_DEBT_NON_OP","FQ4 2019","FQ4 2019","Currency=USD","Period=FQ","BEST_FPERIOD_OVERRIDE=FQ","FILING_STATUS=MR","SCALING_FORMAT=MLN","Sort=A","Dates=H","DateFormat=P","Fill=—","Direction=H","UseDPDF=Y")</f>
        <v>—</v>
      </c>
      <c r="H71" s="13" t="str">
        <f>_xll.BDH("NBIX US Equity","ARDR_GL_ON_EARLY_EXT_DEBT_NON_OP","FQ1 2020","FQ1 2020","Currency=USD","Period=FQ","BEST_FPERIOD_OVERRIDE=FQ","FILING_STATUS=MR","SCALING_FORMAT=MLN","Sort=A","Dates=H","DateFormat=P","Fill=—","Direction=H","UseDPDF=Y")</f>
        <v>—</v>
      </c>
      <c r="I71" s="13" t="str">
        <f>_xll.BDH("NBIX US Equity","ARDR_GL_ON_EARLY_EXT_DEBT_NON_OP","FQ2 2020","FQ2 2020","Currency=USD","Period=FQ","BEST_FPERIOD_OVERRIDE=FQ","FILING_STATUS=MR","SCALING_FORMAT=MLN","Sort=A","Dates=H","DateFormat=P","Fill=—","Direction=H","UseDPDF=Y")</f>
        <v>—</v>
      </c>
      <c r="J71" s="13" t="str">
        <f>_xll.BDH("NBIX US Equity","ARDR_GL_ON_EARLY_EXT_DEBT_NON_OP","FQ3 2020","FQ3 2020","Currency=USD","Period=FQ","BEST_FPERIOD_OVERRIDE=FQ","FILING_STATUS=MR","SCALING_FORMAT=MLN","Sort=A","Dates=H","DateFormat=P","Fill=—","Direction=H","UseDPDF=Y")</f>
        <v>—</v>
      </c>
      <c r="K71" s="13">
        <f>_xll.BDH("NBIX US Equity","ARDR_GL_ON_EARLY_EXT_DEBT_NON_OP","FQ4 2020","FQ4 2020","Currency=USD","Period=FQ","BEST_FPERIOD_OVERRIDE=FQ","FILING_STATUS=MR","SCALING_FORMAT=MLN","Sort=A","Dates=H","DateFormat=P","Fill=—","Direction=H","UseDPDF=Y")</f>
        <v>18.399999999999999</v>
      </c>
      <c r="L71" s="13" t="str">
        <f>_xll.BDH("NBIX US Equity","ARDR_GL_ON_EARLY_EXT_DEBT_NON_OP","FQ1 2021","FQ1 2021","Currency=USD","Period=FQ","BEST_FPERIOD_OVERRIDE=FQ","FILING_STATUS=MR","SCALING_FORMAT=MLN","Sort=A","Dates=H","DateFormat=P","Fill=—","Direction=H","UseDPDF=Y")</f>
        <v>—</v>
      </c>
      <c r="M71" s="13" t="str">
        <f>_xll.BDH("NBIX US Equity","ARDR_GL_ON_EARLY_EXT_DEBT_NON_OP","FQ2 2021","FQ2 2021","Currency=USD","Period=FQ","BEST_FPERIOD_OVERRIDE=FQ","FILING_STATUS=MR","SCALING_FORMAT=MLN","Sort=A","Dates=H","DateFormat=P","Fill=—","Direction=H","UseDPDF=Y")</f>
        <v>—</v>
      </c>
      <c r="N71" s="13" t="str">
        <f>_xll.BDH("NBIX US Equity","ARDR_GL_ON_EARLY_EXT_DEBT_NON_OP","FQ3 2021","FQ3 2021","Currency=USD","Period=FQ","BEST_FPERIOD_OVERRIDE=FQ","FILING_STATUS=MR","SCALING_FORMAT=MLN","Sort=A","Dates=H","DateFormat=P","Fill=—","Direction=H","UseDPDF=Y")</f>
        <v>—</v>
      </c>
      <c r="O71" s="13" t="str">
        <f>_xll.BDH("NBIX US Equity","ARDR_GL_ON_EARLY_EXT_DEBT_NON_OP","FQ4 2021","FQ4 2021","Currency=USD","Period=FQ","BEST_FPERIOD_OVERRIDE=FQ","FILING_STATUS=MR","SCALING_FORMAT=MLN","Sort=A","Dates=H","DateFormat=P","Fill=—","Direction=H","UseDPDF=Y")</f>
        <v>—</v>
      </c>
      <c r="P71" s="13" t="str">
        <f>_xll.BDH("NBIX US Equity","ARDR_GL_ON_EARLY_EXT_DEBT_NON_OP","FQ1 2022","FQ1 2022","Currency=USD","Period=FQ","BEST_FPERIOD_OVERRIDE=FQ","FILING_STATUS=MR","SCALING_FORMAT=MLN","Sort=A","Dates=H","DateFormat=P","Fill=—","Direction=H","UseDPDF=Y")</f>
        <v>—</v>
      </c>
      <c r="Q71" s="13" t="str">
        <f>_xll.BDH("NBIX US Equity","ARDR_GL_ON_EARLY_EXT_DEBT_NON_OP","FQ2 2022","FQ2 2022","Currency=USD","Period=FQ","BEST_FPERIOD_OVERRIDE=FQ","FILING_STATUS=MR","SCALING_FORMAT=MLN","Sort=A","Dates=H","DateFormat=P","Fill=—","Direction=H","UseDPDF=Y")</f>
        <v>—</v>
      </c>
      <c r="R71" s="13" t="str">
        <f>_xll.BDH("NBIX US Equity","ARDR_GL_ON_EARLY_EXT_DEBT_NON_OP","FQ3 2022","FQ3 2022","Currency=USD","Period=FQ","BEST_FPERIOD_OVERRIDE=FQ","FILING_STATUS=MR","SCALING_FORMAT=MLN","Sort=A","Dates=H","DateFormat=P","Fill=—","Direction=H","UseDPDF=Y")</f>
        <v>—</v>
      </c>
      <c r="S71" s="13">
        <f>_xll.BDH("NBIX US Equity","ARDR_GL_ON_EARLY_EXT_DEBT_NON_OP","FQ4 2022","FQ4 2022","Currency=USD","Period=FQ","BEST_FPERIOD_OVERRIDE=FQ","FILING_STATUS=MR","SCALING_FORMAT=MLN","Sort=A","Dates=H","DateFormat=P","Fill=—","Direction=H","UseDPDF=Y")</f>
        <v>0</v>
      </c>
      <c r="T71" s="13" t="str">
        <f>_xll.BDH("NBIX US Equity","ARDR_GL_ON_EARLY_EXT_DEBT_NON_OP","FQ1 2023","FQ1 2023","Currency=USD","Period=FQ","BEST_FPERIOD_OVERRIDE=FQ","FILING_STATUS=MR","SCALING_FORMAT=MLN","Sort=A","Dates=H","DateFormat=P","Fill=—","Direction=H","UseDPDF=Y")</f>
        <v>—</v>
      </c>
      <c r="U71" s="13" t="str">
        <f>_xll.BDH("NBIX US Equity","ARDR_GL_ON_EARLY_EXT_DEBT_NON_OP","FQ2 2023","FQ2 2023","Currency=USD","Period=FQ","BEST_FPERIOD_OVERRIDE=FQ","FILING_STATUS=MR","SCALING_FORMAT=MLN","Sort=A","Dates=H","DateFormat=P","Fill=—","Direction=H","UseDPDF=Y")</f>
        <v>—</v>
      </c>
      <c r="V71" s="13" t="str">
        <f>_xll.BDH("NBIX US Equity","ARDR_GL_ON_EARLY_EXT_DEBT_NON_OP","FQ3 2023","FQ3 2023","Currency=USD","Period=FQ","BEST_FPERIOD_OVERRIDE=FQ","FILING_STATUS=MR","SCALING_FORMAT=MLN","Sort=A","Dates=H","DateFormat=P","Fill=—","Direction=H","UseDPDF=Y")</f>
        <v>—</v>
      </c>
      <c r="W71" s="13" t="str">
        <f>_xll.BDH("NBIX US Equity","ARDR_GL_ON_EARLY_EXT_DEBT_NON_OP","FQ4 2023","FQ4 2023","Currency=USD","Period=FQ","BEST_FPERIOD_OVERRIDE=FQ","FILING_STATUS=MR","SCALING_FORMAT=MLN","Sort=A","Dates=H","DateFormat=P","Fill=—","Direction=H","UseDPDF=Y")</f>
        <v>—</v>
      </c>
      <c r="X71" s="13" t="str">
        <f>_xll.BDH("NBIX US Equity","ARDR_GL_ON_EARLY_EXT_DEBT_NON_OP","FQ1 2024","FQ1 2024","Currency=USD","Period=FQ","BEST_FPERIOD_OVERRIDE=FQ","FILING_STATUS=MR","SCALING_FORMAT=MLN","Sort=A","Dates=H","DateFormat=P","Fill=—","Direction=H","UseDPDF=Y")</f>
        <v>—</v>
      </c>
      <c r="Y71" s="13" t="str">
        <f>_xll.BDH("NBIX US Equity","ARDR_GL_ON_EARLY_EXT_DEBT_NON_OP","FQ2 2024","FQ2 2024","Currency=USD","Period=FQ","BEST_FPERIOD_OVERRIDE=FQ","FILING_STATUS=MR","SCALING_FORMAT=MLN","Sort=A","Dates=H","DateFormat=P","Fill=—","Direction=H","UseDPDF=Y")</f>
        <v>—</v>
      </c>
      <c r="Z71" s="13" t="str">
        <f>_xll.BDH("NBIX US Equity","ARDR_GL_ON_EARLY_EXT_DEBT_NON_OP","FQ3 2024","FQ3 2024","Currency=USD","Period=FQ","BEST_FPERIOD_OVERRIDE=FQ","FILING_STATUS=MR","SCALING_FORMAT=MLN","Sort=A","Dates=H","DateFormat=P","Fill=—","Direction=H","UseDPDF=Y")</f>
        <v>—</v>
      </c>
      <c r="AA71" s="13" t="str">
        <f>_xll.BDH("NBIX US Equity","ARDR_GL_ON_EARLY_EXT_DEBT_NON_OP","FQ4 2024","FQ4 2024","Currency=USD","Period=FQ","BEST_FPERIOD_OVERRIDE=FQ","FILING_STATUS=MR","SCALING_FORMAT=MLN","Sort=A","Dates=H","DateFormat=P","Fill=—","Direction=H","UseDPDF=Y")</f>
        <v>—</v>
      </c>
    </row>
    <row r="72" spans="1:27" x14ac:dyDescent="0.25">
      <c r="A72" s="10" t="s">
        <v>426</v>
      </c>
      <c r="B72" s="10" t="s">
        <v>526</v>
      </c>
      <c r="C72" s="13" t="str">
        <f>_xll.BDH("NBIX US Equity","ARDR_PRODUCT_REVENUE","FQ4 2018","FQ4 2018","Currency=USD","Period=FQ","BEST_FPERIOD_OVERRIDE=FQ","FILING_STATUS=MR","SCALING_FORMAT=MLN","Sort=A","Dates=H","DateFormat=P","Fill=—","Direction=H","UseDPDF=Y")</f>
        <v>—</v>
      </c>
      <c r="D72" s="13" t="str">
        <f>_xll.BDH("NBIX US Equity","ARDR_PRODUCT_REVENUE","FQ1 2019","FQ1 2019","Currency=USD","Period=FQ","BEST_FPERIOD_OVERRIDE=FQ","FILING_STATUS=MR","SCALING_FORMAT=MLN","Sort=A","Dates=H","DateFormat=P","Fill=—","Direction=H","UseDPDF=Y")</f>
        <v>—</v>
      </c>
      <c r="E72" s="13" t="str">
        <f>_xll.BDH("NBIX US Equity","ARDR_PRODUCT_REVENUE","FQ2 2019","FQ2 2019","Currency=USD","Period=FQ","BEST_FPERIOD_OVERRIDE=FQ","FILING_STATUS=MR","SCALING_FORMAT=MLN","Sort=A","Dates=H","DateFormat=P","Fill=—","Direction=H","UseDPDF=Y")</f>
        <v>—</v>
      </c>
      <c r="F72" s="13" t="str">
        <f>_xll.BDH("NBIX US Equity","ARDR_PRODUCT_REVENUE","FQ3 2019","FQ3 2019","Currency=USD","Period=FQ","BEST_FPERIOD_OVERRIDE=FQ","FILING_STATUS=MR","SCALING_FORMAT=MLN","Sort=A","Dates=H","DateFormat=P","Fill=—","Direction=H","UseDPDF=Y")</f>
        <v>—</v>
      </c>
      <c r="G72" s="13" t="str">
        <f>_xll.BDH("NBIX US Equity","ARDR_PRODUCT_REVENUE","FQ4 2019","FQ4 2019","Currency=USD","Period=FQ","BEST_FPERIOD_OVERRIDE=FQ","FILING_STATUS=MR","SCALING_FORMAT=MLN","Sort=A","Dates=H","DateFormat=P","Fill=—","Direction=H","UseDPDF=Y")</f>
        <v>—</v>
      </c>
      <c r="H72" s="13">
        <f>_xll.BDH("NBIX US Equity","ARDR_PRODUCT_REVENUE","FQ1 2020","FQ1 2020","Currency=USD","Period=FQ","BEST_FPERIOD_OVERRIDE=FQ","FILING_STATUS=MR","SCALING_FORMAT=MLN","Sort=A","Dates=H","DateFormat=P","Fill=—","Direction=H","UseDPDF=Y")</f>
        <v>231.1</v>
      </c>
      <c r="I72" s="13">
        <f>_xll.BDH("NBIX US Equity","ARDR_PRODUCT_REVENUE","FQ2 2020","FQ2 2020","Currency=USD","Period=FQ","BEST_FPERIOD_OVERRIDE=FQ","FILING_STATUS=MR","SCALING_FORMAT=MLN","Sort=A","Dates=H","DateFormat=P","Fill=—","Direction=H","UseDPDF=Y")</f>
        <v>267.60000000000002</v>
      </c>
      <c r="J72" s="13">
        <f>_xll.BDH("NBIX US Equity","ARDR_PRODUCT_REVENUE","FQ3 2020","FQ3 2020","Currency=USD","Period=FQ","BEST_FPERIOD_OVERRIDE=FQ","FILING_STATUS=MR","SCALING_FORMAT=MLN","Sort=A","Dates=H","DateFormat=P","Fill=—","Direction=H","UseDPDF=Y")</f>
        <v>254.1</v>
      </c>
      <c r="K72" s="13">
        <f>_xll.BDH("NBIX US Equity","ARDR_PRODUCT_REVENUE","FQ4 2020","FQ4 2020","Currency=USD","Period=FQ","BEST_FPERIOD_OVERRIDE=FQ","FILING_STATUS=MR","SCALING_FORMAT=MLN","Sort=A","Dates=H","DateFormat=P","Fill=—","Direction=H","UseDPDF=Y")</f>
        <v>241.3</v>
      </c>
      <c r="L72" s="13">
        <f>_xll.BDH("NBIX US Equity","ARDR_PRODUCT_REVENUE","FQ1 2021","FQ1 2021","Currency=USD","Period=FQ","BEST_FPERIOD_OVERRIDE=FQ","FILING_STATUS=MR","SCALING_FORMAT=MLN","Sort=A","Dates=H","DateFormat=P","Fill=—","Direction=H","UseDPDF=Y")</f>
        <v>231</v>
      </c>
      <c r="M72" s="13">
        <f>_xll.BDH("NBIX US Equity","ARDR_PRODUCT_REVENUE","FQ2 2021","FQ2 2021","Currency=USD","Period=FQ","BEST_FPERIOD_OVERRIDE=FQ","FILING_STATUS=MR","SCALING_FORMAT=MLN","Sort=A","Dates=H","DateFormat=P","Fill=—","Direction=H","UseDPDF=Y")</f>
        <v>266.8</v>
      </c>
      <c r="N72" s="13">
        <f>_xll.BDH("NBIX US Equity","ARDR_PRODUCT_REVENUE","FQ3 2021","FQ3 2021","Currency=USD","Period=FQ","BEST_FPERIOD_OVERRIDE=FQ","FILING_STATUS=MR","SCALING_FORMAT=MLN","Sort=A","Dates=H","DateFormat=P","Fill=—","Direction=H","UseDPDF=Y")</f>
        <v>288.8</v>
      </c>
      <c r="O72" s="13">
        <f>_xll.BDH("NBIX US Equity","ARDR_PRODUCT_REVENUE","FQ4 2021","FQ4 2021","Currency=USD","Period=FQ","BEST_FPERIOD_OVERRIDE=FQ","FILING_STATUS=MR","SCALING_FORMAT=MLN","Sort=A","Dates=H","DateFormat=P","Fill=—","Direction=H","UseDPDF=Y")</f>
        <v>303.5</v>
      </c>
      <c r="P72" s="13">
        <f>_xll.BDH("NBIX US Equity","ARDR_PRODUCT_REVENUE","FQ1 2022","FQ1 2022","Currency=USD","Period=FQ","BEST_FPERIOD_OVERRIDE=FQ","FILING_STATUS=MR","SCALING_FORMAT=MLN","Sort=A","Dates=H","DateFormat=P","Fill=—","Direction=H","UseDPDF=Y")</f>
        <v>305</v>
      </c>
      <c r="Q72" s="13">
        <f>_xll.BDH("NBIX US Equity","ARDR_PRODUCT_REVENUE","FQ2 2022","FQ2 2022","Currency=USD","Period=FQ","BEST_FPERIOD_OVERRIDE=FQ","FILING_STATUS=MR","SCALING_FORMAT=MLN","Sort=A","Dates=H","DateFormat=P","Fill=—","Direction=H","UseDPDF=Y")</f>
        <v>352</v>
      </c>
      <c r="R72" s="13">
        <f>_xll.BDH("NBIX US Equity","ARDR_PRODUCT_REVENUE","FQ3 2022","FQ3 2022","Currency=USD","Period=FQ","BEST_FPERIOD_OVERRIDE=FQ","FILING_STATUS=MR","SCALING_FORMAT=MLN","Sort=A","Dates=H","DateFormat=P","Fill=—","Direction=H","UseDPDF=Y")</f>
        <v>379.3</v>
      </c>
      <c r="S72" s="13">
        <f>_xll.BDH("NBIX US Equity","ARDR_PRODUCT_REVENUE","FQ4 2022","FQ4 2022","Currency=USD","Period=FQ","BEST_FPERIOD_OVERRIDE=FQ","FILING_STATUS=MR","SCALING_FORMAT=MLN","Sort=A","Dates=H","DateFormat=P","Fill=—","Direction=H","UseDPDF=Y")</f>
        <v>404.6</v>
      </c>
      <c r="T72" s="13">
        <f>_xll.BDH("NBIX US Equity","ARDR_PRODUCT_REVENUE","FQ1 2023","FQ1 2023","Currency=USD","Period=FQ","BEST_FPERIOD_OVERRIDE=FQ","FILING_STATUS=MR","SCALING_FORMAT=MLN","Sort=A","Dates=H","DateFormat=P","Fill=—","Direction=H","UseDPDF=Y")</f>
        <v>415.3</v>
      </c>
      <c r="U72" s="13">
        <f>_xll.BDH("NBIX US Equity","ARDR_PRODUCT_REVENUE","FQ2 2023","FQ2 2023","Currency=USD","Period=FQ","BEST_FPERIOD_OVERRIDE=FQ","FILING_STATUS=MR","SCALING_FORMAT=MLN","Sort=A","Dates=H","DateFormat=P","Fill=—","Direction=H","UseDPDF=Y")</f>
        <v>446.3</v>
      </c>
      <c r="V72" s="13">
        <f>_xll.BDH("NBIX US Equity","ARDR_PRODUCT_REVENUE","FQ3 2023","FQ3 2023","Currency=USD","Period=FQ","BEST_FPERIOD_OVERRIDE=FQ","FILING_STATUS=MR","SCALING_FORMAT=MLN","Sort=A","Dates=H","DateFormat=P","Fill=—","Direction=H","UseDPDF=Y")</f>
        <v>491.8</v>
      </c>
      <c r="W72" s="13">
        <f>_xll.BDH("NBIX US Equity","ARDR_PRODUCT_REVENUE","FQ4 2023","FQ4 2023","Currency=USD","Period=FQ","BEST_FPERIOD_OVERRIDE=FQ","FILING_STATUS=MR","SCALING_FORMAT=MLN","Sort=A","Dates=H","DateFormat=P","Fill=—","Direction=H","UseDPDF=Y")</f>
        <v>507.2</v>
      </c>
      <c r="X72" s="13">
        <f>_xll.BDH("NBIX US Equity","ARDR_PRODUCT_REVENUE","FQ1 2024","FQ1 2024","Currency=USD","Period=FQ","BEST_FPERIOD_OVERRIDE=FQ","FILING_STATUS=MR","SCALING_FORMAT=MLN","Sort=A","Dates=H","DateFormat=P","Fill=—","Direction=H","UseDPDF=Y")</f>
        <v>509</v>
      </c>
      <c r="Y72" s="13">
        <f>_xll.BDH("NBIX US Equity","ARDR_PRODUCT_REVENUE","FQ2 2024","FQ2 2024","Currency=USD","Period=FQ","BEST_FPERIOD_OVERRIDE=FQ","FILING_STATUS=MR","SCALING_FORMAT=MLN","Sort=A","Dates=H","DateFormat=P","Fill=—","Direction=H","UseDPDF=Y")</f>
        <v>583.79999999999995</v>
      </c>
      <c r="Z72" s="13">
        <f>_xll.BDH("NBIX US Equity","ARDR_PRODUCT_REVENUE","FQ3 2024","FQ3 2024","Currency=USD","Period=FQ","BEST_FPERIOD_OVERRIDE=FQ","FILING_STATUS=MR","SCALING_FORMAT=MLN","Sort=A","Dates=H","DateFormat=P","Fill=—","Direction=H","UseDPDF=Y")</f>
        <v>616.6</v>
      </c>
      <c r="AA72" s="13">
        <f>_xll.BDH("NBIX US Equity","ARDR_PRODUCT_REVENUE","FQ4 2024","FQ4 2024","Currency=USD","Period=FQ","BEST_FPERIOD_OVERRIDE=FQ","FILING_STATUS=MR","SCALING_FORMAT=MLN","Sort=A","Dates=H","DateFormat=P","Fill=—","Direction=H","UseDPDF=Y")</f>
        <v>621.20000000000005</v>
      </c>
    </row>
    <row r="73" spans="1:27" x14ac:dyDescent="0.25">
      <c r="A73" s="10" t="s">
        <v>428</v>
      </c>
      <c r="B73" s="10" t="s">
        <v>527</v>
      </c>
      <c r="C73" s="13" t="str">
        <f>_xll.BDH("NBIX US Equity","ARDR_LICENSE_CONTRACT_FEE_REV","FQ4 2018","FQ4 2018","Currency=USD","Period=FQ","BEST_FPERIOD_OVERRIDE=FQ","FILING_STATUS=MR","SCALING_FORMAT=MLN","Sort=A","Dates=H","DateFormat=P","Fill=—","Direction=H","UseDPDF=Y")</f>
        <v>—</v>
      </c>
      <c r="D73" s="13" t="str">
        <f>_xll.BDH("NBIX US Equity","ARDR_LICENSE_CONTRACT_FEE_REV","FQ1 2019","FQ1 2019","Currency=USD","Period=FQ","BEST_FPERIOD_OVERRIDE=FQ","FILING_STATUS=MR","SCALING_FORMAT=MLN","Sort=A","Dates=H","DateFormat=P","Fill=—","Direction=H","UseDPDF=Y")</f>
        <v>—</v>
      </c>
      <c r="E73" s="13" t="str">
        <f>_xll.BDH("NBIX US Equity","ARDR_LICENSE_CONTRACT_FEE_REV","FQ2 2019","FQ2 2019","Currency=USD","Period=FQ","BEST_FPERIOD_OVERRIDE=FQ","FILING_STATUS=MR","SCALING_FORMAT=MLN","Sort=A","Dates=H","DateFormat=P","Fill=—","Direction=H","UseDPDF=Y")</f>
        <v>—</v>
      </c>
      <c r="F73" s="13" t="str">
        <f>_xll.BDH("NBIX US Equity","ARDR_LICENSE_CONTRACT_FEE_REV","FQ3 2019","FQ3 2019","Currency=USD","Period=FQ","BEST_FPERIOD_OVERRIDE=FQ","FILING_STATUS=MR","SCALING_FORMAT=MLN","Sort=A","Dates=H","DateFormat=P","Fill=—","Direction=H","UseDPDF=Y")</f>
        <v>—</v>
      </c>
      <c r="G73" s="13" t="str">
        <f>_xll.BDH("NBIX US Equity","ARDR_LICENSE_CONTRACT_FEE_REV","FQ4 2019","FQ4 2019","Currency=USD","Period=FQ","BEST_FPERIOD_OVERRIDE=FQ","FILING_STATUS=MR","SCALING_FORMAT=MLN","Sort=A","Dates=H","DateFormat=P","Fill=—","Direction=H","UseDPDF=Y")</f>
        <v>—</v>
      </c>
      <c r="H73" s="13">
        <f>_xll.BDH("NBIX US Equity","ARDR_LICENSE_CONTRACT_FEE_REV","FQ1 2020","FQ1 2020","Currency=USD","Period=FQ","BEST_FPERIOD_OVERRIDE=FQ","FILING_STATUS=MR","SCALING_FORMAT=MLN","Sort=A","Dates=H","DateFormat=P","Fill=—","Direction=H","UseDPDF=Y")</f>
        <v>6</v>
      </c>
      <c r="I73" s="13">
        <f>_xll.BDH("NBIX US Equity","ARDR_LICENSE_CONTRACT_FEE_REV","FQ2 2020","FQ2 2020","Currency=USD","Period=FQ","BEST_FPERIOD_OVERRIDE=FQ","FILING_STATUS=MR","SCALING_FORMAT=MLN","Sort=A","Dates=H","DateFormat=P","Fill=—","Direction=H","UseDPDF=Y")</f>
        <v>34.799999999999997</v>
      </c>
      <c r="J73" s="13">
        <f>_xll.BDH("NBIX US Equity","ARDR_LICENSE_CONTRACT_FEE_REV","FQ3 2020","FQ3 2020","Currency=USD","Period=FQ","BEST_FPERIOD_OVERRIDE=FQ","FILING_STATUS=MR","SCALING_FORMAT=MLN","Sort=A","Dates=H","DateFormat=P","Fill=—","Direction=H","UseDPDF=Y")</f>
        <v>4.4000000000000004</v>
      </c>
      <c r="K73" s="13">
        <f>_xll.BDH("NBIX US Equity","ARDR_LICENSE_CONTRACT_FEE_REV","FQ4 2020","FQ4 2020","Currency=USD","Period=FQ","BEST_FPERIOD_OVERRIDE=FQ","FILING_STATUS=MR","SCALING_FORMAT=MLN","Sort=A","Dates=H","DateFormat=P","Fill=—","Direction=H","UseDPDF=Y")</f>
        <v>6.6</v>
      </c>
      <c r="L73" s="13">
        <f>_xll.BDH("NBIX US Equity","ARDR_LICENSE_CONTRACT_FEE_REV","FQ1 2021","FQ1 2021","Currency=USD","Period=FQ","BEST_FPERIOD_OVERRIDE=FQ","FILING_STATUS=MR","SCALING_FORMAT=MLN","Sort=A","Dates=H","DateFormat=P","Fill=—","Direction=H","UseDPDF=Y")</f>
        <v>5.6</v>
      </c>
      <c r="M73" s="13">
        <f>_xll.BDH("NBIX US Equity","ARDR_LICENSE_CONTRACT_FEE_REV","FQ2 2021","FQ2 2021","Currency=USD","Period=FQ","BEST_FPERIOD_OVERRIDE=FQ","FILING_STATUS=MR","SCALING_FORMAT=MLN","Sort=A","Dates=H","DateFormat=P","Fill=—","Direction=H","UseDPDF=Y")</f>
        <v>22.1</v>
      </c>
      <c r="N73" s="13">
        <f>_xll.BDH("NBIX US Equity","ARDR_LICENSE_CONTRACT_FEE_REV","FQ3 2021","FQ3 2021","Currency=USD","Period=FQ","BEST_FPERIOD_OVERRIDE=FQ","FILING_STATUS=MR","SCALING_FORMAT=MLN","Sort=A","Dates=H","DateFormat=P","Fill=—","Direction=H","UseDPDF=Y")</f>
        <v>7.2</v>
      </c>
      <c r="O73" s="13">
        <f>_xll.BDH("NBIX US Equity","ARDR_LICENSE_CONTRACT_FEE_REV","FQ4 2021","FQ4 2021","Currency=USD","Period=FQ","BEST_FPERIOD_OVERRIDE=FQ","FILING_STATUS=MR","SCALING_FORMAT=MLN","Sort=A","Dates=H","DateFormat=P","Fill=—","Direction=H","UseDPDF=Y")</f>
        <v>8.5</v>
      </c>
      <c r="P73" s="13">
        <f>_xll.BDH("NBIX US Equity","ARDR_LICENSE_CONTRACT_FEE_REV","FQ1 2022","FQ1 2022","Currency=USD","Period=FQ","BEST_FPERIOD_OVERRIDE=FQ","FILING_STATUS=MR","SCALING_FORMAT=MLN","Sort=A","Dates=H","DateFormat=P","Fill=—","Direction=H","UseDPDF=Y")</f>
        <v>5.6</v>
      </c>
      <c r="Q73" s="13">
        <f>_xll.BDH("NBIX US Equity","ARDR_LICENSE_CONTRACT_FEE_REV","FQ2 2022","FQ2 2022","Currency=USD","Period=FQ","BEST_FPERIOD_OVERRIDE=FQ","FILING_STATUS=MR","SCALING_FORMAT=MLN","Sort=A","Dates=H","DateFormat=P","Fill=—","Direction=H","UseDPDF=Y")</f>
        <v>26.2</v>
      </c>
      <c r="R73" s="13">
        <f>_xll.BDH("NBIX US Equity","ARDR_LICENSE_CONTRACT_FEE_REV","FQ3 2022","FQ3 2022","Currency=USD","Period=FQ","BEST_FPERIOD_OVERRIDE=FQ","FILING_STATUS=MR","SCALING_FORMAT=MLN","Sort=A","Dates=H","DateFormat=P","Fill=—","Direction=H","UseDPDF=Y")</f>
        <v>8.6</v>
      </c>
      <c r="S73" s="13">
        <f>_xll.BDH("NBIX US Equity","ARDR_LICENSE_CONTRACT_FEE_REV","FQ4 2022","FQ4 2022","Currency=USD","Period=FQ","BEST_FPERIOD_OVERRIDE=FQ","FILING_STATUS=MR","SCALING_FORMAT=MLN","Sort=A","Dates=H","DateFormat=P","Fill=—","Direction=H","UseDPDF=Y")</f>
        <v>7.4</v>
      </c>
      <c r="T73" s="13">
        <f>_xll.BDH("NBIX US Equity","ARDR_LICENSE_CONTRACT_FEE_REV","FQ1 2023","FQ1 2023","Currency=USD","Period=FQ","BEST_FPERIOD_OVERRIDE=FQ","FILING_STATUS=MR","SCALING_FORMAT=MLN","Sort=A","Dates=H","DateFormat=P","Fill=—","Direction=H","UseDPDF=Y")</f>
        <v>5.0999999999999996</v>
      </c>
      <c r="U73" s="13">
        <f>_xll.BDH("NBIX US Equity","ARDR_LICENSE_CONTRACT_FEE_REV","FQ2 2023","FQ2 2023","Currency=USD","Period=FQ","BEST_FPERIOD_OVERRIDE=FQ","FILING_STATUS=MR","SCALING_FORMAT=MLN","Sort=A","Dates=H","DateFormat=P","Fill=—","Direction=H","UseDPDF=Y")</f>
        <v>6.4</v>
      </c>
      <c r="V73" s="13">
        <f>_xll.BDH("NBIX US Equity","ARDR_LICENSE_CONTRACT_FEE_REV","FQ3 2023","FQ3 2023","Currency=USD","Period=FQ","BEST_FPERIOD_OVERRIDE=FQ","FILING_STATUS=MR","SCALING_FORMAT=MLN","Sort=A","Dates=H","DateFormat=P","Fill=—","Direction=H","UseDPDF=Y")</f>
        <v>7</v>
      </c>
      <c r="W73" s="13">
        <f>_xll.BDH("NBIX US Equity","ARDR_LICENSE_CONTRACT_FEE_REV","FQ4 2023","FQ4 2023","Currency=USD","Period=FQ","BEST_FPERIOD_OVERRIDE=FQ","FILING_STATUS=MR","SCALING_FORMAT=MLN","Sort=A","Dates=H","DateFormat=P","Fill=—","Direction=H","UseDPDF=Y")</f>
        <v>8</v>
      </c>
      <c r="X73" s="13">
        <f>_xll.BDH("NBIX US Equity","ARDR_LICENSE_CONTRACT_FEE_REV","FQ1 2024","FQ1 2024","Currency=USD","Period=FQ","BEST_FPERIOD_OVERRIDE=FQ","FILING_STATUS=MR","SCALING_FORMAT=MLN","Sort=A","Dates=H","DateFormat=P","Fill=—","Direction=H","UseDPDF=Y")</f>
        <v>6.3</v>
      </c>
      <c r="Y73" s="13">
        <f>_xll.BDH("NBIX US Equity","ARDR_LICENSE_CONTRACT_FEE_REV","FQ2 2024","FQ2 2024","Currency=USD","Period=FQ","BEST_FPERIOD_OVERRIDE=FQ","FILING_STATUS=MR","SCALING_FORMAT=MLN","Sort=A","Dates=H","DateFormat=P","Fill=—","Direction=H","UseDPDF=Y")</f>
        <v>6.4</v>
      </c>
      <c r="Z73" s="13">
        <f>_xll.BDH("NBIX US Equity","ARDR_LICENSE_CONTRACT_FEE_REV","FQ3 2024","FQ3 2024","Currency=USD","Period=FQ","BEST_FPERIOD_OVERRIDE=FQ","FILING_STATUS=MR","SCALING_FORMAT=MLN","Sort=A","Dates=H","DateFormat=P","Fill=—","Direction=H","UseDPDF=Y")</f>
        <v>5.5</v>
      </c>
      <c r="AA73" s="13">
        <f>_xll.BDH("NBIX US Equity","ARDR_LICENSE_CONTRACT_FEE_REV","FQ4 2024","FQ4 2024","Currency=USD","Period=FQ","BEST_FPERIOD_OVERRIDE=FQ","FILING_STATUS=MR","SCALING_FORMAT=MLN","Sort=A","Dates=H","DateFormat=P","Fill=—","Direction=H","UseDPDF=Y")</f>
        <v>6.5</v>
      </c>
    </row>
    <row r="74" spans="1:27" x14ac:dyDescent="0.25">
      <c r="A74" s="10" t="s">
        <v>528</v>
      </c>
      <c r="B74" s="10" t="s">
        <v>529</v>
      </c>
      <c r="C74" s="13" t="str">
        <f>_xll.BDH("NBIX US Equity","ARDR_NET_INC_AVAIL_COM_SHRHLDR","FQ4 2018","FQ4 2018","Currency=USD","Period=FQ","BEST_FPERIOD_OVERRIDE=FQ","FILING_STATUS=MR","SCALING_FORMAT=MLN","Sort=A","Dates=H","DateFormat=P","Fill=—","Direction=H","UseDPDF=Y")</f>
        <v>—</v>
      </c>
      <c r="D74" s="13">
        <f>_xll.BDH("NBIX US Equity","ARDR_NET_INC_AVAIL_COM_SHRHLDR","FQ1 2019","FQ1 2019","Currency=USD","Period=FQ","BEST_FPERIOD_OVERRIDE=FQ","FILING_STATUS=MR","SCALING_FORMAT=MLN","Sort=A","Dates=H","DateFormat=P","Fill=—","Direction=H","UseDPDF=Y")</f>
        <v>-102.11499999999999</v>
      </c>
      <c r="E74" s="13">
        <f>_xll.BDH("NBIX US Equity","ARDR_NET_INC_AVAIL_COM_SHRHLDR","FQ2 2019","FQ2 2019","Currency=USD","Period=FQ","BEST_FPERIOD_OVERRIDE=FQ","FILING_STATUS=MR","SCALING_FORMAT=MLN","Sort=A","Dates=H","DateFormat=P","Fill=—","Direction=H","UseDPDF=Y")</f>
        <v>51.338000000000001</v>
      </c>
      <c r="F74" s="13" t="str">
        <f>_xll.BDH("NBIX US Equity","ARDR_NET_INC_AVAIL_COM_SHRHLDR","FQ3 2019","FQ3 2019","Currency=USD","Period=FQ","BEST_FPERIOD_OVERRIDE=FQ","FILING_STATUS=MR","SCALING_FORMAT=MLN","Sort=A","Dates=H","DateFormat=P","Fill=—","Direction=H","UseDPDF=Y")</f>
        <v>—</v>
      </c>
      <c r="G74" s="13" t="str">
        <f>_xll.BDH("NBIX US Equity","ARDR_NET_INC_AVAIL_COM_SHRHLDR","FQ4 2019","FQ4 2019","Currency=USD","Period=FQ","BEST_FPERIOD_OVERRIDE=FQ","FILING_STATUS=MR","SCALING_FORMAT=MLN","Sort=A","Dates=H","DateFormat=P","Fill=—","Direction=H","UseDPDF=Y")</f>
        <v>—</v>
      </c>
      <c r="H74" s="13">
        <f>_xll.BDH("NBIX US Equity","ARDR_NET_INC_AVAIL_COM_SHRHLDR","FQ1 2020","FQ1 2020","Currency=USD","Period=FQ","BEST_FPERIOD_OVERRIDE=FQ","FILING_STATUS=MR","SCALING_FORMAT=MLN","Sort=A","Dates=H","DateFormat=P","Fill=—","Direction=H","UseDPDF=Y")</f>
        <v>37.4</v>
      </c>
      <c r="I74" s="13" t="str">
        <f>_xll.BDH("NBIX US Equity","ARDR_NET_INC_AVAIL_COM_SHRHLDR","FQ2 2020","FQ2 2020","Currency=USD","Period=FQ","BEST_FPERIOD_OVERRIDE=FQ","FILING_STATUS=MR","SCALING_FORMAT=MLN","Sort=A","Dates=H","DateFormat=P","Fill=—","Direction=H","UseDPDF=Y")</f>
        <v>—</v>
      </c>
      <c r="J74" s="13">
        <f>_xll.BDH("NBIX US Equity","ARDR_NET_INC_AVAIL_COM_SHRHLDR","FQ3 2020","FQ3 2020","Currency=USD","Period=FQ","BEST_FPERIOD_OVERRIDE=FQ","FILING_STATUS=MR","SCALING_FORMAT=MLN","Sort=A","Dates=H","DateFormat=P","Fill=—","Direction=H","UseDPDF=Y")</f>
        <v>-57.6</v>
      </c>
      <c r="K74" s="13" t="str">
        <f>_xll.BDH("NBIX US Equity","ARDR_NET_INC_AVAIL_COM_SHRHLDR","FQ4 2020","FQ4 2020","Currency=USD","Period=FQ","BEST_FPERIOD_OVERRIDE=FQ","FILING_STATUS=MR","SCALING_FORMAT=MLN","Sort=A","Dates=H","DateFormat=P","Fill=—","Direction=H","UseDPDF=Y")</f>
        <v>—</v>
      </c>
      <c r="L74" s="13">
        <f>_xll.BDH("NBIX US Equity","ARDR_NET_INC_AVAIL_COM_SHRHLDR","FQ1 2021","FQ1 2021","Currency=USD","Period=FQ","BEST_FPERIOD_OVERRIDE=FQ","FILING_STATUS=MR","SCALING_FORMAT=MLN","Sort=A","Dates=H","DateFormat=P","Fill=—","Direction=H","UseDPDF=Y")</f>
        <v>32.1</v>
      </c>
      <c r="M74" s="13" t="str">
        <f>_xll.BDH("NBIX US Equity","ARDR_NET_INC_AVAIL_COM_SHRHLDR","FQ2 2021","FQ2 2021","Currency=USD","Period=FQ","BEST_FPERIOD_OVERRIDE=FQ","FILING_STATUS=MR","SCALING_FORMAT=MLN","Sort=A","Dates=H","DateFormat=P","Fill=—","Direction=H","UseDPDF=Y")</f>
        <v>—</v>
      </c>
      <c r="N74" s="13">
        <f>_xll.BDH("NBIX US Equity","ARDR_NET_INC_AVAIL_COM_SHRHLDR","FQ3 2021","FQ3 2021","Currency=USD","Period=FQ","BEST_FPERIOD_OVERRIDE=FQ","FILING_STATUS=MR","SCALING_FORMAT=MLN","Sort=A","Dates=H","DateFormat=P","Fill=—","Direction=H","UseDPDF=Y")</f>
        <v>22.5</v>
      </c>
      <c r="O74" s="13">
        <f>_xll.BDH("NBIX US Equity","ARDR_NET_INC_AVAIL_COM_SHRHLDR","FQ4 2021","FQ4 2021","Currency=USD","Period=FQ","BEST_FPERIOD_OVERRIDE=FQ","FILING_STATUS=MR","SCALING_FORMAT=MLN","Sort=A","Dates=H","DateFormat=P","Fill=—","Direction=H","UseDPDF=Y")</f>
        <v>-7.3</v>
      </c>
      <c r="P74" s="13">
        <f>_xll.BDH("NBIX US Equity","ARDR_NET_INC_AVAIL_COM_SHRHLDR","FQ1 2022","FQ1 2022","Currency=USD","Period=FQ","BEST_FPERIOD_OVERRIDE=FQ","FILING_STATUS=MR","SCALING_FORMAT=MLN","Sort=A","Dates=H","DateFormat=P","Fill=—","Direction=H","UseDPDF=Y")</f>
        <v>13.9</v>
      </c>
      <c r="Q74" s="13">
        <f>_xll.BDH("NBIX US Equity","ARDR_NET_INC_AVAIL_COM_SHRHLDR","FQ2 2022","FQ2 2022","Currency=USD","Period=FQ","BEST_FPERIOD_OVERRIDE=FQ","FILING_STATUS=MR","SCALING_FORMAT=MLN","Sort=A","Dates=H","DateFormat=P","Fill=—","Direction=H","UseDPDF=Y")</f>
        <v>-16.899999999999999</v>
      </c>
      <c r="R74" s="13">
        <f>_xll.BDH("NBIX US Equity","ARDR_NET_INC_AVAIL_COM_SHRHLDR","FQ3 2022","FQ3 2022","Currency=USD","Period=FQ","BEST_FPERIOD_OVERRIDE=FQ","FILING_STATUS=MR","SCALING_FORMAT=MLN","Sort=A","Dates=H","DateFormat=P","Fill=—","Direction=H","UseDPDF=Y")</f>
        <v>68.5</v>
      </c>
      <c r="S74" s="13">
        <f>_xll.BDH("NBIX US Equity","ARDR_NET_INC_AVAIL_COM_SHRHLDR","FQ4 2022","FQ4 2022","Currency=USD","Period=FQ","BEST_FPERIOD_OVERRIDE=FQ","FILING_STATUS=MR","SCALING_FORMAT=MLN","Sort=A","Dates=H","DateFormat=P","Fill=—","Direction=H","UseDPDF=Y")</f>
        <v>89</v>
      </c>
      <c r="T74" s="13">
        <f>_xll.BDH("NBIX US Equity","ARDR_NET_INC_AVAIL_COM_SHRHLDR","FQ1 2023","FQ1 2023","Currency=USD","Period=FQ","BEST_FPERIOD_OVERRIDE=FQ","FILING_STATUS=MR","SCALING_FORMAT=MLN","Sort=A","Dates=H","DateFormat=P","Fill=—","Direction=H","UseDPDF=Y")</f>
        <v>76.599999999999994</v>
      </c>
      <c r="U74" s="13">
        <f>_xll.BDH("NBIX US Equity","ARDR_NET_INC_AVAIL_COM_SHRHLDR","FQ2 2023","FQ2 2023","Currency=USD","Period=FQ","BEST_FPERIOD_OVERRIDE=FQ","FILING_STATUS=MR","SCALING_FORMAT=MLN","Sort=A","Dates=H","DateFormat=P","Fill=—","Direction=H","UseDPDF=Y")</f>
        <v>95.5</v>
      </c>
      <c r="V74" s="13">
        <f>_xll.BDH("NBIX US Equity","ARDR_NET_INC_AVAIL_COM_SHRHLDR","FQ3 2023","FQ3 2023","Currency=USD","Period=FQ","BEST_FPERIOD_OVERRIDE=FQ","FILING_STATUS=MR","SCALING_FORMAT=MLN","Sort=A","Dates=H","DateFormat=P","Fill=—","Direction=H","UseDPDF=Y")</f>
        <v>83.1</v>
      </c>
      <c r="W74" s="13">
        <f>_xll.BDH("NBIX US Equity","ARDR_NET_INC_AVAIL_COM_SHRHLDR","FQ4 2023","FQ4 2023","Currency=USD","Period=FQ","BEST_FPERIOD_OVERRIDE=FQ","FILING_STATUS=MR","SCALING_FORMAT=MLN","Sort=A","Dates=H","DateFormat=P","Fill=—","Direction=H","UseDPDF=Y")</f>
        <v>147.69999999999999</v>
      </c>
      <c r="X74" s="13">
        <f>_xll.BDH("NBIX US Equity","ARDR_NET_INC_AVAIL_COM_SHRHLDR","FQ1 2024","FQ1 2024","Currency=USD","Period=FQ","BEST_FPERIOD_OVERRIDE=FQ","FILING_STATUS=MR","SCALING_FORMAT=MLN","Sort=A","Dates=H","DateFormat=P","Fill=—","Direction=H","UseDPDF=Y")</f>
        <v>43.4</v>
      </c>
      <c r="Y74" s="13">
        <f>_xll.BDH("NBIX US Equity","ARDR_NET_INC_AVAIL_COM_SHRHLDR","FQ2 2024","FQ2 2024","Currency=USD","Period=FQ","BEST_FPERIOD_OVERRIDE=FQ","FILING_STATUS=MR","SCALING_FORMAT=MLN","Sort=A","Dates=H","DateFormat=P","Fill=—","Direction=H","UseDPDF=Y")</f>
        <v>65</v>
      </c>
      <c r="Z74" s="13">
        <f>_xll.BDH("NBIX US Equity","ARDR_NET_INC_AVAIL_COM_SHRHLDR","FQ3 2024","FQ3 2024","Currency=USD","Period=FQ","BEST_FPERIOD_OVERRIDE=FQ","FILING_STATUS=MR","SCALING_FORMAT=MLN","Sort=A","Dates=H","DateFormat=P","Fill=—","Direction=H","UseDPDF=Y")</f>
        <v>129.80000000000001</v>
      </c>
      <c r="AA74" s="13">
        <f>_xll.BDH("NBIX US Equity","ARDR_NET_INC_AVAIL_COM_SHRHLDR","FQ4 2024","FQ4 2024","Currency=USD","Period=FQ","BEST_FPERIOD_OVERRIDE=FQ","FILING_STATUS=MR","SCALING_FORMAT=MLN","Sort=A","Dates=H","DateFormat=P","Fill=—","Direction=H","UseDPDF=Y")</f>
        <v>103.1</v>
      </c>
    </row>
    <row r="75" spans="1:27" x14ac:dyDescent="0.25">
      <c r="A75" s="10" t="s">
        <v>530</v>
      </c>
      <c r="B75" s="10" t="s">
        <v>531</v>
      </c>
      <c r="C75" s="13" t="str">
        <f>_xll.BDH("NBIX US Equity","ARD_ADJ_NET_INCOME_AS_REPORTED","FQ4 2018","FQ4 2018","Currency=USD","Period=FQ","BEST_FPERIOD_OVERRIDE=FQ","FILING_STATUS=MR","SCALING_FORMAT=MLN","Sort=A","Dates=H","DateFormat=P","Fill=—","Direction=H","UseDPDF=Y")</f>
        <v>—</v>
      </c>
      <c r="D75" s="13" t="str">
        <f>_xll.BDH("NBIX US Equity","ARD_ADJ_NET_INCOME_AS_REPORTED","FQ1 2019","FQ1 2019","Currency=USD","Period=FQ","BEST_FPERIOD_OVERRIDE=FQ","FILING_STATUS=MR","SCALING_FORMAT=MLN","Sort=A","Dates=H","DateFormat=P","Fill=—","Direction=H","UseDPDF=Y")</f>
        <v>—</v>
      </c>
      <c r="E75" s="13" t="str">
        <f>_xll.BDH("NBIX US Equity","ARD_ADJ_NET_INCOME_AS_REPORTED","FQ2 2019","FQ2 2019","Currency=USD","Period=FQ","BEST_FPERIOD_OVERRIDE=FQ","FILING_STATUS=MR","SCALING_FORMAT=MLN","Sort=A","Dates=H","DateFormat=P","Fill=—","Direction=H","UseDPDF=Y")</f>
        <v>—</v>
      </c>
      <c r="F75" s="13" t="str">
        <f>_xll.BDH("NBIX US Equity","ARD_ADJ_NET_INCOME_AS_REPORTED","FQ3 2019","FQ3 2019","Currency=USD","Period=FQ","BEST_FPERIOD_OVERRIDE=FQ","FILING_STATUS=MR","SCALING_FORMAT=MLN","Sort=A","Dates=H","DateFormat=P","Fill=—","Direction=H","UseDPDF=Y")</f>
        <v>—</v>
      </c>
      <c r="G75" s="13">
        <f>_xll.BDH("NBIX US Equity","ARD_ADJ_NET_INCOME_AS_REPORTED","FQ4 2019","FQ4 2019","Currency=USD","Period=FQ","BEST_FPERIOD_OVERRIDE=FQ","FILING_STATUS=MR","SCALING_FORMAT=MLN","Sort=A","Dates=H","DateFormat=P","Fill=—","Direction=H","UseDPDF=Y")</f>
        <v>102.2</v>
      </c>
      <c r="H75" s="13">
        <f>_xll.BDH("NBIX US Equity","ARD_ADJ_NET_INCOME_AS_REPORTED","FQ1 2020","FQ1 2020","Currency=USD","Period=FQ","BEST_FPERIOD_OVERRIDE=FQ","FILING_STATUS=MR","SCALING_FORMAT=MLN","Sort=A","Dates=H","DateFormat=P","Fill=—","Direction=H","UseDPDF=Y")</f>
        <v>79.099999999999994</v>
      </c>
      <c r="I75" s="13">
        <f>_xll.BDH("NBIX US Equity","ARD_ADJ_NET_INCOME_AS_REPORTED","FQ2 2020","FQ2 2020","Currency=USD","Period=FQ","BEST_FPERIOD_OVERRIDE=FQ","FILING_STATUS=MR","SCALING_FORMAT=MLN","Sort=A","Dates=H","DateFormat=P","Fill=—","Direction=H","UseDPDF=Y")</f>
        <v>139.1</v>
      </c>
      <c r="J75" s="13">
        <f>_xll.BDH("NBIX US Equity","ARD_ADJ_NET_INCOME_AS_REPORTED","FQ3 2020","FQ3 2020","Currency=USD","Period=FQ","BEST_FPERIOD_OVERRIDE=FQ","FILING_STATUS=MR","SCALING_FORMAT=MLN","Sort=A","Dates=H","DateFormat=P","Fill=—","Direction=H","UseDPDF=Y")</f>
        <v>96</v>
      </c>
      <c r="K75" s="13">
        <f>_xll.BDH("NBIX US Equity","ARD_ADJ_NET_INCOME_AS_REPORTED","FQ4 2020","FQ4 2020","Currency=USD","Period=FQ","BEST_FPERIOD_OVERRIDE=FQ","FILING_STATUS=MR","SCALING_FORMAT=MLN","Sort=A","Dates=H","DateFormat=P","Fill=—","Direction=H","UseDPDF=Y")</f>
        <v>88.1</v>
      </c>
      <c r="L75" s="13">
        <f>_xll.BDH("NBIX US Equity","ARD_ADJ_NET_INCOME_AS_REPORTED","FQ1 2021","FQ1 2021","Currency=USD","Period=FQ","BEST_FPERIOD_OVERRIDE=FQ","FILING_STATUS=MR","SCALING_FORMAT=MLN","Sort=A","Dates=H","DateFormat=P","Fill=—","Direction=H","UseDPDF=Y")</f>
        <v>47.9</v>
      </c>
      <c r="M75" s="13">
        <f>_xll.BDH("NBIX US Equity","ARD_ADJ_NET_INCOME_AS_REPORTED","FQ2 2021","FQ2 2021","Currency=USD","Period=FQ","BEST_FPERIOD_OVERRIDE=FQ","FILING_STATUS=MR","SCALING_FORMAT=MLN","Sort=A","Dates=H","DateFormat=P","Fill=—","Direction=H","UseDPDF=Y")</f>
        <v>61.3</v>
      </c>
      <c r="N75" s="13">
        <f>_xll.BDH("NBIX US Equity","ARD_ADJ_NET_INCOME_AS_REPORTED","FQ3 2021","FQ3 2021","Currency=USD","Period=FQ","BEST_FPERIOD_OVERRIDE=FQ","FILING_STATUS=MR","SCALING_FORMAT=MLN","Sort=A","Dates=H","DateFormat=P","Fill=—","Direction=H","UseDPDF=Y")</f>
        <v>62.6</v>
      </c>
      <c r="O75" s="13">
        <f>_xll.BDH("NBIX US Equity","ARD_ADJ_NET_INCOME_AS_REPORTED","FQ4 2021","FQ4 2021","Currency=USD","Period=FQ","BEST_FPERIOD_OVERRIDE=FQ","FILING_STATUS=MR","SCALING_FORMAT=MLN","Sort=A","Dates=H","DateFormat=P","Fill=—","Direction=H","UseDPDF=Y")</f>
        <v>4.3</v>
      </c>
      <c r="P75" s="13">
        <f>_xll.BDH("NBIX US Equity","ARD_ADJ_NET_INCOME_AS_REPORTED","FQ1 2022","FQ1 2022","Currency=USD","Period=FQ","BEST_FPERIOD_OVERRIDE=FQ","FILING_STATUS=MR","SCALING_FORMAT=MLN","Sort=A","Dates=H","DateFormat=P","Fill=—","Direction=H","UseDPDF=Y")</f>
        <v>29.7</v>
      </c>
      <c r="Q75" s="13">
        <f>_xll.BDH("NBIX US Equity","ARD_ADJ_NET_INCOME_AS_REPORTED","FQ2 2022","FQ2 2022","Currency=USD","Period=FQ","BEST_FPERIOD_OVERRIDE=FQ","FILING_STATUS=MR","SCALING_FORMAT=MLN","Sort=A","Dates=H","DateFormat=P","Fill=—","Direction=H","UseDPDF=Y")</f>
        <v>82.1</v>
      </c>
      <c r="R75" s="13">
        <f>_xll.BDH("NBIX US Equity","ARD_ADJ_NET_INCOME_AS_REPORTED","FQ3 2022","FQ3 2022","Currency=USD","Period=FQ","BEST_FPERIOD_OVERRIDE=FQ","FILING_STATUS=MR","SCALING_FORMAT=MLN","Sort=A","Dates=H","DateFormat=P","Fill=—","Direction=H","UseDPDF=Y")</f>
        <v>106.7</v>
      </c>
      <c r="S75" s="13">
        <f>_xll.BDH("NBIX US Equity","ARD_ADJ_NET_INCOME_AS_REPORTED","FQ4 2022","FQ4 2022","Currency=USD","Period=FQ","BEST_FPERIOD_OVERRIDE=FQ","FILING_STATUS=MR","SCALING_FORMAT=MLN","Sort=A","Dates=H","DateFormat=P","Fill=—","Direction=H","UseDPDF=Y")</f>
        <v>124.7</v>
      </c>
      <c r="T75" s="13">
        <f>_xll.BDH("NBIX US Equity","ARD_ADJ_NET_INCOME_AS_REPORTED","FQ1 2023","FQ1 2023","Currency=USD","Period=FQ","BEST_FPERIOD_OVERRIDE=FQ","FILING_STATUS=MR","SCALING_FORMAT=MLN","Sort=A","Dates=H","DateFormat=P","Fill=—","Direction=H","UseDPDF=Y")</f>
        <v>-49.5</v>
      </c>
      <c r="U75" s="13">
        <f>_xll.BDH("NBIX US Equity","ARD_ADJ_NET_INCOME_AS_REPORTED","FQ2 2023","FQ2 2023","Currency=USD","Period=FQ","BEST_FPERIOD_OVERRIDE=FQ","FILING_STATUS=MR","SCALING_FORMAT=MLN","Sort=A","Dates=H","DateFormat=P","Fill=—","Direction=H","UseDPDF=Y")</f>
        <v>125.7</v>
      </c>
      <c r="V75" s="13">
        <f>_xll.BDH("NBIX US Equity","ARD_ADJ_NET_INCOME_AS_REPORTED","FQ3 2023","FQ3 2023","Currency=USD","Period=FQ","BEST_FPERIOD_OVERRIDE=FQ","FILING_STATUS=MR","SCALING_FORMAT=MLN","Sort=A","Dates=H","DateFormat=P","Fill=—","Direction=H","UseDPDF=Y")</f>
        <v>156.1</v>
      </c>
      <c r="W75" s="13">
        <f>_xll.BDH("NBIX US Equity","ARD_ADJ_NET_INCOME_AS_REPORTED","FQ4 2023","FQ4 2023","Currency=USD","Period=FQ","BEST_FPERIOD_OVERRIDE=FQ","FILING_STATUS=MR","SCALING_FORMAT=MLN","Sort=A","Dates=H","DateFormat=P","Fill=—","Direction=H","UseDPDF=Y")</f>
        <v>157.69999999999999</v>
      </c>
      <c r="X75" s="13">
        <f>_xll.BDH("NBIX US Equity","ARD_ADJ_NET_INCOME_AS_REPORTED","FQ1 2024","FQ1 2024","Currency=USD","Period=FQ","BEST_FPERIOD_OVERRIDE=FQ","FILING_STATUS=MR","SCALING_FORMAT=MLN","Sort=A","Dates=H","DateFormat=P","Fill=—","Direction=H","UseDPDF=Y")</f>
        <v>124.8</v>
      </c>
      <c r="Y75" s="13">
        <f>_xll.BDH("NBIX US Equity","ARD_ADJ_NET_INCOME_AS_REPORTED","FQ2 2024","FQ2 2024","Currency=USD","Period=FQ","BEST_FPERIOD_OVERRIDE=FQ","FILING_STATUS=MR","SCALING_FORMAT=MLN","Sort=A","Dates=H","DateFormat=P","Fill=—","Direction=H","UseDPDF=Y")</f>
        <v>168.9</v>
      </c>
      <c r="Z75" s="13">
        <f>_xll.BDH("NBIX US Equity","ARD_ADJ_NET_INCOME_AS_REPORTED","FQ3 2024","FQ3 2024","Currency=USD","Period=FQ","BEST_FPERIOD_OVERRIDE=FQ","FILING_STATUS=MR","SCALING_FORMAT=MLN","Sort=A","Dates=H","DateFormat=P","Fill=—","Direction=H","UseDPDF=Y")</f>
        <v>189.2</v>
      </c>
      <c r="AA75" s="13">
        <f>_xll.BDH("NBIX US Equity","ARD_ADJ_NET_INCOME_AS_REPORTED","FQ4 2024","FQ4 2024","Currency=USD","Period=FQ","BEST_FPERIOD_OVERRIDE=FQ","FILING_STATUS=MR","SCALING_FORMAT=MLN","Sort=A","Dates=H","DateFormat=P","Fill=—","Direction=H","UseDPDF=Y")</f>
        <v>173.4</v>
      </c>
    </row>
    <row r="76" spans="1:27" x14ac:dyDescent="0.25">
      <c r="A76" s="10" t="s">
        <v>532</v>
      </c>
      <c r="B76" s="10" t="s">
        <v>533</v>
      </c>
      <c r="C76" s="14" t="str">
        <f>_xll.BDH("NBIX US Equity","ARDR_ADJUSTED_EPS","FQ4 2018","FQ4 2018","Currency=USD","Period=FQ","BEST_FPERIOD_OVERRIDE=FQ","FILING_STATUS=MR","Sort=A","Dates=H","DateFormat=P","Fill=—","Direction=H","UseDPDF=Y")</f>
        <v>—</v>
      </c>
      <c r="D76" s="14" t="str">
        <f>_xll.BDH("NBIX US Equity","ARDR_ADJUSTED_EPS","FQ1 2019","FQ1 2019","Currency=USD","Period=FQ","BEST_FPERIOD_OVERRIDE=FQ","FILING_STATUS=MR","Sort=A","Dates=H","DateFormat=P","Fill=—","Direction=H","UseDPDF=Y")</f>
        <v>—</v>
      </c>
      <c r="E76" s="14" t="str">
        <f>_xll.BDH("NBIX US Equity","ARDR_ADJUSTED_EPS","FQ2 2019","FQ2 2019","Currency=USD","Period=FQ","BEST_FPERIOD_OVERRIDE=FQ","FILING_STATUS=MR","Sort=A","Dates=H","DateFormat=P","Fill=—","Direction=H","UseDPDF=Y")</f>
        <v>—</v>
      </c>
      <c r="F76" s="14" t="str">
        <f>_xll.BDH("NBIX US Equity","ARDR_ADJUSTED_EPS","FQ3 2019","FQ3 2019","Currency=USD","Period=FQ","BEST_FPERIOD_OVERRIDE=FQ","FILING_STATUS=MR","Sort=A","Dates=H","DateFormat=P","Fill=—","Direction=H","UseDPDF=Y")</f>
        <v>—</v>
      </c>
      <c r="G76" s="14">
        <f>_xll.BDH("NBIX US Equity","ARDR_ADJUSTED_EPS","FQ4 2019","FQ4 2019","Currency=USD","Period=FQ","BEST_FPERIOD_OVERRIDE=FQ","FILING_STATUS=MR","Sort=A","Dates=H","DateFormat=P","Fill=—","Direction=H","UseDPDF=Y")</f>
        <v>1.05</v>
      </c>
      <c r="H76" s="14">
        <f>_xll.BDH("NBIX US Equity","ARDR_ADJUSTED_EPS","FQ1 2020","FQ1 2020","Currency=USD","Period=FQ","BEST_FPERIOD_OVERRIDE=FQ","FILING_STATUS=MR","Sort=A","Dates=H","DateFormat=P","Fill=—","Direction=H","UseDPDF=Y")</f>
        <v>0.82</v>
      </c>
      <c r="I76" s="14">
        <f>_xll.BDH("NBIX US Equity","ARDR_ADJUSTED_EPS","FQ2 2020","FQ2 2020","Currency=USD","Period=FQ","BEST_FPERIOD_OVERRIDE=FQ","FILING_STATUS=MR","Sort=A","Dates=H","DateFormat=P","Fill=—","Direction=H","UseDPDF=Y")</f>
        <v>1.42</v>
      </c>
      <c r="J76" s="14">
        <f>_xll.BDH("NBIX US Equity","ARDR_ADJUSTED_EPS","FQ3 2020","FQ3 2020","Currency=USD","Period=FQ","BEST_FPERIOD_OVERRIDE=FQ","FILING_STATUS=MR","Sort=A","Dates=H","DateFormat=P","Fill=—","Direction=H","UseDPDF=Y")</f>
        <v>0.97</v>
      </c>
      <c r="K76" s="14">
        <f>_xll.BDH("NBIX US Equity","ARDR_ADJUSTED_EPS","FQ4 2020","FQ4 2020","Currency=USD","Period=FQ","BEST_FPERIOD_OVERRIDE=FQ","FILING_STATUS=MR","Sort=A","Dates=H","DateFormat=P","Fill=—","Direction=H","UseDPDF=Y")</f>
        <v>0.91</v>
      </c>
      <c r="L76" s="14">
        <f>_xll.BDH("NBIX US Equity","ARDR_ADJUSTED_EPS","FQ1 2021","FQ1 2021","Currency=USD","Period=FQ","BEST_FPERIOD_OVERRIDE=FQ","FILING_STATUS=MR","Sort=A","Dates=H","DateFormat=P","Fill=—","Direction=H","UseDPDF=Y")</f>
        <v>0.49</v>
      </c>
      <c r="M76" s="14">
        <f>_xll.BDH("NBIX US Equity","ARDR_ADJUSTED_EPS","FQ2 2021","FQ2 2021","Currency=USD","Period=FQ","BEST_FPERIOD_OVERRIDE=FQ","FILING_STATUS=MR","Sort=A","Dates=H","DateFormat=P","Fill=—","Direction=H","UseDPDF=Y")</f>
        <v>0.63</v>
      </c>
      <c r="N76" s="14">
        <f>_xll.BDH("NBIX US Equity","ARDR_ADJUSTED_EPS","FQ3 2021","FQ3 2021","Currency=USD","Period=FQ","BEST_FPERIOD_OVERRIDE=FQ","FILING_STATUS=MR","Sort=A","Dates=H","DateFormat=P","Fill=—","Direction=H","UseDPDF=Y")</f>
        <v>0.64</v>
      </c>
      <c r="O76" s="14">
        <f>_xll.BDH("NBIX US Equity","ARDR_ADJUSTED_EPS","FQ4 2021","FQ4 2021","Currency=USD","Period=FQ","BEST_FPERIOD_OVERRIDE=FQ","FILING_STATUS=MR","Sort=A","Dates=H","DateFormat=P","Fill=—","Direction=H","UseDPDF=Y")</f>
        <v>0.04</v>
      </c>
      <c r="P76" s="14">
        <f>_xll.BDH("NBIX US Equity","ARDR_ADJUSTED_EPS","FQ1 2022","FQ1 2022","Currency=USD","Period=FQ","BEST_FPERIOD_OVERRIDE=FQ","FILING_STATUS=MR","Sort=A","Dates=H","DateFormat=P","Fill=—","Direction=H","UseDPDF=Y")</f>
        <v>0.3</v>
      </c>
      <c r="Q76" s="14">
        <f>_xll.BDH("NBIX US Equity","ARDR_ADJUSTED_EPS","FQ2 2022","FQ2 2022","Currency=USD","Period=FQ","BEST_FPERIOD_OVERRIDE=FQ","FILING_STATUS=MR","Sort=A","Dates=H","DateFormat=P","Fill=—","Direction=H","UseDPDF=Y")</f>
        <v>0.84</v>
      </c>
      <c r="R76" s="14">
        <f>_xll.BDH("NBIX US Equity","ARDR_ADJUSTED_EPS","FQ3 2022","FQ3 2022","Currency=USD","Period=FQ","BEST_FPERIOD_OVERRIDE=FQ","FILING_STATUS=MR","Sort=A","Dates=H","DateFormat=P","Fill=—","Direction=H","UseDPDF=Y")</f>
        <v>1.08</v>
      </c>
      <c r="S76" s="14">
        <f>_xll.BDH("NBIX US Equity","ARDR_ADJUSTED_EPS","FQ4 2022","FQ4 2022","Currency=USD","Period=FQ","BEST_FPERIOD_OVERRIDE=FQ","FILING_STATUS=MR","Sort=A","Dates=H","DateFormat=P","Fill=—","Direction=H","UseDPDF=Y")</f>
        <v>1.24</v>
      </c>
      <c r="T76" s="14">
        <f>_xll.BDH("NBIX US Equity","ARDR_ADJUSTED_EPS","FQ1 2023","FQ1 2023","Currency=USD","Period=FQ","BEST_FPERIOD_OVERRIDE=FQ","FILING_STATUS=MR","Sort=A","Dates=H","DateFormat=P","Fill=—","Direction=H","UseDPDF=Y")</f>
        <v>-0.51</v>
      </c>
      <c r="U76" s="14">
        <f>_xll.BDH("NBIX US Equity","ARDR_ADJUSTED_EPS","FQ2 2023","FQ2 2023","Currency=USD","Period=FQ","BEST_FPERIOD_OVERRIDE=FQ","FILING_STATUS=MR","Sort=A","Dates=H","DateFormat=P","Fill=—","Direction=H","UseDPDF=Y")</f>
        <v>1.25</v>
      </c>
      <c r="V76" s="14">
        <f>_xll.BDH("NBIX US Equity","ARDR_ADJUSTED_EPS","FQ3 2023","FQ3 2023","Currency=USD","Period=FQ","BEST_FPERIOD_OVERRIDE=FQ","FILING_STATUS=MR","Sort=A","Dates=H","DateFormat=P","Fill=—","Direction=H","UseDPDF=Y")</f>
        <v>1.54</v>
      </c>
      <c r="W76" s="14">
        <f>_xll.BDH("NBIX US Equity","ARDR_ADJUSTED_EPS","FQ4 2023","FQ4 2023","Currency=USD","Period=FQ","BEST_FPERIOD_OVERRIDE=FQ","FILING_STATUS=MR","Sort=A","Dates=H","DateFormat=P","Fill=—","Direction=H","UseDPDF=Y")</f>
        <v>1.54</v>
      </c>
      <c r="X76" s="14">
        <f>_xll.BDH("NBIX US Equity","ARDR_ADJUSTED_EPS","FQ1 2024","FQ1 2024","Currency=USD","Period=FQ","BEST_FPERIOD_OVERRIDE=FQ","FILING_STATUS=MR","Sort=A","Dates=H","DateFormat=P","Fill=—","Direction=H","UseDPDF=Y")</f>
        <v>1.2</v>
      </c>
      <c r="Y76" s="14">
        <f>_xll.BDH("NBIX US Equity","ARDR_ADJUSTED_EPS","FQ2 2024","FQ2 2024","Currency=USD","Period=FQ","BEST_FPERIOD_OVERRIDE=FQ","FILING_STATUS=MR","Sort=A","Dates=H","DateFormat=P","Fill=—","Direction=H","UseDPDF=Y")</f>
        <v>1.63</v>
      </c>
      <c r="Z76" s="14">
        <f>_xll.BDH("NBIX US Equity","ARDR_ADJUSTED_EPS","FQ3 2024","FQ3 2024","Currency=USD","Period=FQ","BEST_FPERIOD_OVERRIDE=FQ","FILING_STATUS=MR","Sort=A","Dates=H","DateFormat=P","Fill=—","Direction=H","UseDPDF=Y")</f>
        <v>1.81</v>
      </c>
      <c r="AA76" s="14">
        <f>_xll.BDH("NBIX US Equity","ARDR_ADJUSTED_EPS","FQ4 2024","FQ4 2024","Currency=USD","Period=FQ","BEST_FPERIOD_OVERRIDE=FQ","FILING_STATUS=MR","Sort=A","Dates=H","DateFormat=P","Fill=—","Direction=H","UseDPDF=Y")</f>
        <v>1.69</v>
      </c>
    </row>
    <row r="77" spans="1:27" x14ac:dyDescent="0.25">
      <c r="A77" s="10" t="s">
        <v>534</v>
      </c>
      <c r="B77" s="10" t="s">
        <v>535</v>
      </c>
      <c r="C77" s="13" t="str">
        <f>_xll.BDH("NBIX US Equity","ARDR_UNREAL_GL_FROM_SECS_NON_OP","FQ4 2018","FQ4 2018","Currency=USD","Period=FQ","BEST_FPERIOD_OVERRIDE=FQ","FILING_STATUS=MR","SCALING_FORMAT=MLN","Sort=A","Dates=H","DateFormat=P","Fill=—","Direction=H","UseDPDF=Y")</f>
        <v>—</v>
      </c>
      <c r="D77" s="13">
        <f>_xll.BDH("NBIX US Equity","ARDR_UNREAL_GL_FROM_SECS_NON_OP","FQ1 2019","FQ1 2019","Currency=USD","Period=FQ","BEST_FPERIOD_OVERRIDE=FQ","FILING_STATUS=MR","SCALING_FORMAT=MLN","Sort=A","Dates=H","DateFormat=P","Fill=—","Direction=H","UseDPDF=Y")</f>
        <v>-1.68</v>
      </c>
      <c r="E77" s="13">
        <f>_xll.BDH("NBIX US Equity","ARDR_UNREAL_GL_FROM_SECS_NON_OP","FQ2 2019","FQ2 2019","Currency=USD","Period=FQ","BEST_FPERIOD_OVERRIDE=FQ","FILING_STATUS=MR","SCALING_FORMAT=MLN","Sort=A","Dates=H","DateFormat=P","Fill=—","Direction=H","UseDPDF=Y")</f>
        <v>-20.965</v>
      </c>
      <c r="F77" s="13">
        <f>_xll.BDH("NBIX US Equity","ARDR_UNREAL_GL_FROM_SECS_NON_OP","FQ3 2019","FQ3 2019","Currency=USD","Period=FQ","BEST_FPERIOD_OVERRIDE=FQ","FILING_STATUS=MR","SCALING_FORMAT=MLN","Sort=A","Dates=H","DateFormat=P","Fill=—","Direction=H","UseDPDF=Y")</f>
        <v>28.45</v>
      </c>
      <c r="G77" s="13">
        <f>_xll.BDH("NBIX US Equity","ARDR_UNREAL_GL_FROM_SECS_NON_OP","FQ4 2019","FQ4 2019","Currency=USD","Period=FQ","BEST_FPERIOD_OVERRIDE=FQ","FILING_STATUS=MR","SCALING_FORMAT=MLN","Sort=A","Dates=H","DateFormat=P","Fill=—","Direction=H","UseDPDF=Y")</f>
        <v>7.2</v>
      </c>
      <c r="H77" s="13">
        <f>_xll.BDH("NBIX US Equity","ARDR_UNREAL_GL_FROM_SECS_NON_OP","FQ1 2020","FQ1 2020","Currency=USD","Period=FQ","BEST_FPERIOD_OVERRIDE=FQ","FILING_STATUS=MR","SCALING_FORMAT=MLN","Sort=A","Dates=H","DateFormat=P","Fill=—","Direction=H","UseDPDF=Y")</f>
        <v>16.5</v>
      </c>
      <c r="I77" s="13">
        <f>_xll.BDH("NBIX US Equity","ARDR_UNREAL_GL_FROM_SECS_NON_OP","FQ2 2020","FQ2 2020","Currency=USD","Period=FQ","BEST_FPERIOD_OVERRIDE=FQ","FILING_STATUS=MR","SCALING_FORMAT=MLN","Sort=A","Dates=H","DateFormat=P","Fill=—","Direction=H","UseDPDF=Y")</f>
        <v>-11.3</v>
      </c>
      <c r="J77" s="13">
        <f>_xll.BDH("NBIX US Equity","ARDR_UNREAL_GL_FROM_SECS_NON_OP","FQ3 2020","FQ3 2020","Currency=USD","Period=FQ","BEST_FPERIOD_OVERRIDE=FQ","FILING_STATUS=MR","SCALING_FORMAT=MLN","Sort=A","Dates=H","DateFormat=P","Fill=—","Direction=H","UseDPDF=Y")</f>
        <v>7</v>
      </c>
      <c r="K77" s="13">
        <f>_xll.BDH("NBIX US Equity","ARDR_UNREAL_GL_FROM_SECS_NON_OP","FQ4 2020","FQ4 2020","Currency=USD","Period=FQ","BEST_FPERIOD_OVERRIDE=FQ","FILING_STATUS=MR","SCALING_FORMAT=MLN","Sort=A","Dates=H","DateFormat=P","Fill=—","Direction=H","UseDPDF=Y")</f>
        <v>5.5</v>
      </c>
      <c r="L77" s="13">
        <f>_xll.BDH("NBIX US Equity","ARDR_UNREAL_GL_FROM_SECS_NON_OP","FQ1 2021","FQ1 2021","Currency=USD","Period=FQ","BEST_FPERIOD_OVERRIDE=FQ","FILING_STATUS=MR","SCALING_FORMAT=MLN","Sort=A","Dates=H","DateFormat=P","Fill=—","Direction=H","UseDPDF=Y")</f>
        <v>-0.7</v>
      </c>
      <c r="M77" s="13">
        <f>_xll.BDH("NBIX US Equity","ARDR_UNREAL_GL_FROM_SECS_NON_OP","FQ2 2021","FQ2 2021","Currency=USD","Period=FQ","BEST_FPERIOD_OVERRIDE=FQ","FILING_STATUS=MR","SCALING_FORMAT=MLN","Sort=A","Dates=H","DateFormat=P","Fill=—","Direction=H","UseDPDF=Y")</f>
        <v>0</v>
      </c>
      <c r="N77" s="13">
        <f>_xll.BDH("NBIX US Equity","ARDR_UNREAL_GL_FROM_SECS_NON_OP","FQ3 2021","FQ3 2021","Currency=USD","Period=FQ","BEST_FPERIOD_OVERRIDE=FQ","FILING_STATUS=MR","SCALING_FORMAT=MLN","Sort=A","Dates=H","DateFormat=P","Fill=—","Direction=H","UseDPDF=Y")</f>
        <v>8.1999999999999993</v>
      </c>
      <c r="O77" s="13">
        <f>_xll.BDH("NBIX US Equity","ARDR_UNREAL_GL_FROM_SECS_NON_OP","FQ4 2021","FQ4 2021","Currency=USD","Period=FQ","BEST_FPERIOD_OVERRIDE=FQ","FILING_STATUS=MR","SCALING_FORMAT=MLN","Sort=A","Dates=H","DateFormat=P","Fill=—","Direction=H","UseDPDF=Y")</f>
        <v>-28.4</v>
      </c>
      <c r="P77" s="13">
        <f>_xll.BDH("NBIX US Equity","ARDR_UNREAL_GL_FROM_SECS_NON_OP","FQ1 2022","FQ1 2022","Currency=USD","Period=FQ","BEST_FPERIOD_OVERRIDE=FQ","FILING_STATUS=MR","SCALING_FORMAT=MLN","Sort=A","Dates=H","DateFormat=P","Fill=—","Direction=H","UseDPDF=Y")</f>
        <v>-19.899999999999999</v>
      </c>
      <c r="Q77" s="13">
        <f>_xll.BDH("NBIX US Equity","ARDR_UNREAL_GL_FROM_SECS_NON_OP","FQ2 2022","FQ2 2022","Currency=USD","Period=FQ","BEST_FPERIOD_OVERRIDE=FQ","FILING_STATUS=MR","SCALING_FORMAT=MLN","Sort=A","Dates=H","DateFormat=P","Fill=—","Direction=H","UseDPDF=Y")</f>
        <v>7.4</v>
      </c>
      <c r="R77" s="13">
        <f>_xll.BDH("NBIX US Equity","ARDR_UNREAL_GL_FROM_SECS_NON_OP","FQ3 2022","FQ3 2022","Currency=USD","Period=FQ","BEST_FPERIOD_OVERRIDE=FQ","FILING_STATUS=MR","SCALING_FORMAT=MLN","Sort=A","Dates=H","DateFormat=P","Fill=—","Direction=H","UseDPDF=Y")</f>
        <v>11.1</v>
      </c>
      <c r="S77" s="13">
        <f>_xll.BDH("NBIX US Equity","ARDR_UNREAL_GL_FROM_SECS_NON_OP","FQ4 2022","FQ4 2022","Currency=USD","Period=FQ","BEST_FPERIOD_OVERRIDE=FQ","FILING_STATUS=MR","SCALING_FORMAT=MLN","Sort=A","Dates=H","DateFormat=P","Fill=—","Direction=H","UseDPDF=Y")</f>
        <v>-7.2</v>
      </c>
      <c r="T77" s="13">
        <f>_xll.BDH("NBIX US Equity","ARDR_UNREAL_GL_FROM_SECS_NON_OP","FQ1 2023","FQ1 2023","Currency=USD","Period=FQ","BEST_FPERIOD_OVERRIDE=FQ","FILING_STATUS=MR","SCALING_FORMAT=MLN","Sort=A","Dates=H","DateFormat=P","Fill=—","Direction=H","UseDPDF=Y")</f>
        <v>-2.2000000000000002</v>
      </c>
      <c r="U77" s="13">
        <f>_xll.BDH("NBIX US Equity","ARDR_UNREAL_GL_FROM_SECS_NON_OP","FQ2 2023","FQ2 2023","Currency=USD","Period=FQ","BEST_FPERIOD_OVERRIDE=FQ","FILING_STATUS=MR","SCALING_FORMAT=MLN","Sort=A","Dates=H","DateFormat=P","Fill=—","Direction=H","UseDPDF=Y")</f>
        <v>-37.299999999999997</v>
      </c>
      <c r="V77" s="13">
        <f>_xll.BDH("NBIX US Equity","ARDR_UNREAL_GL_FROM_SECS_NON_OP","FQ3 2023","FQ3 2023","Currency=USD","Period=FQ","BEST_FPERIOD_OVERRIDE=FQ","FILING_STATUS=MR","SCALING_FORMAT=MLN","Sort=A","Dates=H","DateFormat=P","Fill=—","Direction=H","UseDPDF=Y")</f>
        <v>40.1</v>
      </c>
      <c r="W77" s="13">
        <f>_xll.BDH("NBIX US Equity","ARDR_UNREAL_GL_FROM_SECS_NON_OP","FQ4 2023","FQ4 2023","Currency=USD","Period=FQ","BEST_FPERIOD_OVERRIDE=FQ","FILING_STATUS=MR","SCALING_FORMAT=MLN","Sort=A","Dates=H","DateFormat=P","Fill=—","Direction=H","UseDPDF=Y")</f>
        <v>-29</v>
      </c>
      <c r="X77" s="13">
        <f>_xll.BDH("NBIX US Equity","ARDR_UNREAL_GL_FROM_SECS_NON_OP","FQ1 2024","FQ1 2024","Currency=USD","Period=FQ","BEST_FPERIOD_OVERRIDE=FQ","FILING_STATUS=MR","SCALING_FORMAT=MLN","Sort=A","Dates=H","DateFormat=P","Fill=—","Direction=H","UseDPDF=Y")</f>
        <v>-1.6</v>
      </c>
      <c r="Y77" s="13">
        <f>_xll.BDH("NBIX US Equity","ARDR_UNREAL_GL_FROM_SECS_NON_OP","FQ2 2024","FQ2 2024","Currency=USD","Period=FQ","BEST_FPERIOD_OVERRIDE=FQ","FILING_STATUS=MR","SCALING_FORMAT=MLN","Sort=A","Dates=H","DateFormat=P","Fill=—","Direction=H","UseDPDF=Y")</f>
        <v>19.899999999999999</v>
      </c>
      <c r="Z77" s="13">
        <f>_xll.BDH("NBIX US Equity","ARDR_UNREAL_GL_FROM_SECS_NON_OP","FQ3 2024","FQ3 2024","Currency=USD","Period=FQ","BEST_FPERIOD_OVERRIDE=FQ","FILING_STATUS=MR","SCALING_FORMAT=MLN","Sort=A","Dates=H","DateFormat=P","Fill=—","Direction=H","UseDPDF=Y")</f>
        <v>16.899999999999999</v>
      </c>
      <c r="AA77" s="13">
        <f>_xll.BDH("NBIX US Equity","ARDR_UNREAL_GL_FROM_SECS_NON_OP","FQ4 2024","FQ4 2024","Currency=USD","Period=FQ","BEST_FPERIOD_OVERRIDE=FQ","FILING_STATUS=MR","SCALING_FORMAT=MLN","Sort=A","Dates=H","DateFormat=P","Fill=—","Direction=H","UseDPDF=Y")</f>
        <v>1.9</v>
      </c>
    </row>
    <row r="78" spans="1:27" x14ac:dyDescent="0.25">
      <c r="A78" s="10" t="s">
        <v>536</v>
      </c>
      <c r="B78" s="10" t="s">
        <v>537</v>
      </c>
      <c r="C78" s="13" t="str">
        <f>_xll.BDH("NBIX US Equity","ARDR_LOSS_RECOVERY_IMPAIR_INTANG","FQ4 2018","FQ4 2018","Currency=USD","Period=FQ","BEST_FPERIOD_OVERRIDE=FQ","FILING_STATUS=MR","SCALING_FORMAT=MLN","Sort=A","Dates=H","DateFormat=P","Fill=—","Direction=H","UseDPDF=Y")</f>
        <v>—</v>
      </c>
      <c r="D78" s="13" t="str">
        <f>_xll.BDH("NBIX US Equity","ARDR_LOSS_RECOVERY_IMPAIR_INTANG","FQ1 2019","FQ1 2019","Currency=USD","Period=FQ","BEST_FPERIOD_OVERRIDE=FQ","FILING_STATUS=MR","SCALING_FORMAT=MLN","Sort=A","Dates=H","DateFormat=P","Fill=—","Direction=H","UseDPDF=Y")</f>
        <v>—</v>
      </c>
      <c r="E78" s="13" t="str">
        <f>_xll.BDH("NBIX US Equity","ARDR_LOSS_RECOVERY_IMPAIR_INTANG","FQ2 2019","FQ2 2019","Currency=USD","Period=FQ","BEST_FPERIOD_OVERRIDE=FQ","FILING_STATUS=MR","SCALING_FORMAT=MLN","Sort=A","Dates=H","DateFormat=P","Fill=—","Direction=H","UseDPDF=Y")</f>
        <v>—</v>
      </c>
      <c r="F78" s="13" t="str">
        <f>_xll.BDH("NBIX US Equity","ARDR_LOSS_RECOVERY_IMPAIR_INTANG","FQ3 2019","FQ3 2019","Currency=USD","Period=FQ","BEST_FPERIOD_OVERRIDE=FQ","FILING_STATUS=MR","SCALING_FORMAT=MLN","Sort=A","Dates=H","DateFormat=P","Fill=—","Direction=H","UseDPDF=Y")</f>
        <v>—</v>
      </c>
      <c r="G78" s="13" t="str">
        <f>_xll.BDH("NBIX US Equity","ARDR_LOSS_RECOVERY_IMPAIR_INTANG","FQ4 2019","FQ4 2019","Currency=USD","Period=FQ","BEST_FPERIOD_OVERRIDE=FQ","FILING_STATUS=MR","SCALING_FORMAT=MLN","Sort=A","Dates=H","DateFormat=P","Fill=—","Direction=H","UseDPDF=Y")</f>
        <v>—</v>
      </c>
      <c r="H78" s="13" t="str">
        <f>_xll.BDH("NBIX US Equity","ARDR_LOSS_RECOVERY_IMPAIR_INTANG","FQ1 2020","FQ1 2020","Currency=USD","Period=FQ","BEST_FPERIOD_OVERRIDE=FQ","FILING_STATUS=MR","SCALING_FORMAT=MLN","Sort=A","Dates=H","DateFormat=P","Fill=—","Direction=H","UseDPDF=Y")</f>
        <v>—</v>
      </c>
      <c r="I78" s="13" t="str">
        <f>_xll.BDH("NBIX US Equity","ARDR_LOSS_RECOVERY_IMPAIR_INTANG","FQ2 2020","FQ2 2020","Currency=USD","Period=FQ","BEST_FPERIOD_OVERRIDE=FQ","FILING_STATUS=MR","SCALING_FORMAT=MLN","Sort=A","Dates=H","DateFormat=P","Fill=—","Direction=H","UseDPDF=Y")</f>
        <v>—</v>
      </c>
      <c r="J78" s="13" t="str">
        <f>_xll.BDH("NBIX US Equity","ARDR_LOSS_RECOVERY_IMPAIR_INTANG","FQ3 2020","FQ3 2020","Currency=USD","Period=FQ","BEST_FPERIOD_OVERRIDE=FQ","FILING_STATUS=MR","SCALING_FORMAT=MLN","Sort=A","Dates=H","DateFormat=P","Fill=—","Direction=H","UseDPDF=Y")</f>
        <v>—</v>
      </c>
      <c r="K78" s="13" t="str">
        <f>_xll.BDH("NBIX US Equity","ARDR_LOSS_RECOVERY_IMPAIR_INTANG","FQ4 2020","FQ4 2020","Currency=USD","Period=FQ","BEST_FPERIOD_OVERRIDE=FQ","FILING_STATUS=MR","SCALING_FORMAT=MLN","Sort=A","Dates=H","DateFormat=P","Fill=—","Direction=H","UseDPDF=Y")</f>
        <v>—</v>
      </c>
      <c r="L78" s="13" t="str">
        <f>_xll.BDH("NBIX US Equity","ARDR_LOSS_RECOVERY_IMPAIR_INTANG","FQ1 2021","FQ1 2021","Currency=USD","Period=FQ","BEST_FPERIOD_OVERRIDE=FQ","FILING_STATUS=MR","SCALING_FORMAT=MLN","Sort=A","Dates=H","DateFormat=P","Fill=—","Direction=H","UseDPDF=Y")</f>
        <v>—</v>
      </c>
      <c r="M78" s="13" t="str">
        <f>_xll.BDH("NBIX US Equity","ARDR_LOSS_RECOVERY_IMPAIR_INTANG","FQ2 2021","FQ2 2021","Currency=USD","Period=FQ","BEST_FPERIOD_OVERRIDE=FQ","FILING_STATUS=MR","SCALING_FORMAT=MLN","Sort=A","Dates=H","DateFormat=P","Fill=—","Direction=H","UseDPDF=Y")</f>
        <v>—</v>
      </c>
      <c r="N78" s="13" t="str">
        <f>_xll.BDH("NBIX US Equity","ARDR_LOSS_RECOVERY_IMPAIR_INTANG","FQ3 2021","FQ3 2021","Currency=USD","Period=FQ","BEST_FPERIOD_OVERRIDE=FQ","FILING_STATUS=MR","SCALING_FORMAT=MLN","Sort=A","Dates=H","DateFormat=P","Fill=—","Direction=H","UseDPDF=Y")</f>
        <v>—</v>
      </c>
      <c r="O78" s="13" t="str">
        <f>_xll.BDH("NBIX US Equity","ARDR_LOSS_RECOVERY_IMPAIR_INTANG","FQ4 2021","FQ4 2021","Currency=USD","Period=FQ","BEST_FPERIOD_OVERRIDE=FQ","FILING_STATUS=MR","SCALING_FORMAT=MLN","Sort=A","Dates=H","DateFormat=P","Fill=—","Direction=H","UseDPDF=Y")</f>
        <v>—</v>
      </c>
      <c r="P78" s="13" t="str">
        <f>_xll.BDH("NBIX US Equity","ARDR_LOSS_RECOVERY_IMPAIR_INTANG","FQ1 2022","FQ1 2022","Currency=USD","Period=FQ","BEST_FPERIOD_OVERRIDE=FQ","FILING_STATUS=MR","SCALING_FORMAT=MLN","Sort=A","Dates=H","DateFormat=P","Fill=—","Direction=H","UseDPDF=Y")</f>
        <v>—</v>
      </c>
      <c r="Q78" s="13" t="str">
        <f>_xll.BDH("NBIX US Equity","ARDR_LOSS_RECOVERY_IMPAIR_INTANG","FQ2 2022","FQ2 2022","Currency=USD","Period=FQ","BEST_FPERIOD_OVERRIDE=FQ","FILING_STATUS=MR","SCALING_FORMAT=MLN","Sort=A","Dates=H","DateFormat=P","Fill=—","Direction=H","UseDPDF=Y")</f>
        <v>—</v>
      </c>
      <c r="R78" s="13" t="str">
        <f>_xll.BDH("NBIX US Equity","ARDR_LOSS_RECOVERY_IMPAIR_INTANG","FQ3 2022","FQ3 2022","Currency=USD","Period=FQ","BEST_FPERIOD_OVERRIDE=FQ","FILING_STATUS=MR","SCALING_FORMAT=MLN","Sort=A","Dates=H","DateFormat=P","Fill=—","Direction=H","UseDPDF=Y")</f>
        <v>—</v>
      </c>
      <c r="S78" s="13" t="str">
        <f>_xll.BDH("NBIX US Equity","ARDR_LOSS_RECOVERY_IMPAIR_INTANG","FQ4 2022","FQ4 2022","Currency=USD","Period=FQ","BEST_FPERIOD_OVERRIDE=FQ","FILING_STATUS=MR","SCALING_FORMAT=MLN","Sort=A","Dates=H","DateFormat=P","Fill=—","Direction=H","UseDPDF=Y")</f>
        <v>—</v>
      </c>
      <c r="T78" s="13" t="str">
        <f>_xll.BDH("NBIX US Equity","ARDR_LOSS_RECOVERY_IMPAIR_INTANG","FQ1 2023","FQ1 2023","Currency=USD","Period=FQ","BEST_FPERIOD_OVERRIDE=FQ","FILING_STATUS=MR","SCALING_FORMAT=MLN","Sort=A","Dates=H","DateFormat=P","Fill=—","Direction=H","UseDPDF=Y")</f>
        <v>—</v>
      </c>
      <c r="U78" s="13" t="str">
        <f>_xll.BDH("NBIX US Equity","ARDR_LOSS_RECOVERY_IMPAIR_INTANG","FQ2 2023","FQ2 2023","Currency=USD","Period=FQ","BEST_FPERIOD_OVERRIDE=FQ","FILING_STATUS=MR","SCALING_FORMAT=MLN","Sort=A","Dates=H","DateFormat=P","Fill=—","Direction=H","UseDPDF=Y")</f>
        <v>—</v>
      </c>
      <c r="V78" s="13" t="str">
        <f>_xll.BDH("NBIX US Equity","ARDR_LOSS_RECOVERY_IMPAIR_INTANG","FQ3 2023","FQ3 2023","Currency=USD","Period=FQ","BEST_FPERIOD_OVERRIDE=FQ","FILING_STATUS=MR","SCALING_FORMAT=MLN","Sort=A","Dates=H","DateFormat=P","Fill=—","Direction=H","UseDPDF=Y")</f>
        <v>—</v>
      </c>
      <c r="W78" s="13" t="str">
        <f>_xll.BDH("NBIX US Equity","ARDR_LOSS_RECOVERY_IMPAIR_INTANG","FQ4 2023","FQ4 2023","Currency=USD","Period=FQ","BEST_FPERIOD_OVERRIDE=FQ","FILING_STATUS=MR","SCALING_FORMAT=MLN","Sort=A","Dates=H","DateFormat=P","Fill=—","Direction=H","UseDPDF=Y")</f>
        <v>—</v>
      </c>
      <c r="X78" s="13" t="str">
        <f>_xll.BDH("NBIX US Equity","ARDR_LOSS_RECOVERY_IMPAIR_INTANG","FQ1 2024","FQ1 2024","Currency=USD","Period=FQ","BEST_FPERIOD_OVERRIDE=FQ","FILING_STATUS=MR","SCALING_FORMAT=MLN","Sort=A","Dates=H","DateFormat=P","Fill=—","Direction=H","UseDPDF=Y")</f>
        <v>—</v>
      </c>
      <c r="Y78" s="13">
        <f>_xll.BDH("NBIX US Equity","ARDR_LOSS_RECOVERY_IMPAIR_INTANG","FQ2 2024","FQ2 2024","Currency=USD","Period=FQ","BEST_FPERIOD_OVERRIDE=FQ","FILING_STATUS=MR","SCALING_FORMAT=MLN","Sort=A","Dates=H","DateFormat=P","Fill=—","Direction=H","UseDPDF=Y")</f>
        <v>14</v>
      </c>
      <c r="Z78" s="13" t="str">
        <f>_xll.BDH("NBIX US Equity","ARDR_LOSS_RECOVERY_IMPAIR_INTANG","FQ3 2024","FQ3 2024","Currency=USD","Period=FQ","BEST_FPERIOD_OVERRIDE=FQ","FILING_STATUS=MR","SCALING_FORMAT=MLN","Sort=A","Dates=H","DateFormat=P","Fill=—","Direction=H","UseDPDF=Y")</f>
        <v>—</v>
      </c>
      <c r="AA78" s="13" t="str">
        <f>_xll.BDH("NBIX US Equity","ARDR_LOSS_RECOVERY_IMPAIR_INTANG","FQ4 2024","FQ4 2024","Currency=USD","Period=FQ","BEST_FPERIOD_OVERRIDE=FQ","FILING_STATUS=MR","SCALING_FORMAT=MLN","Sort=A","Dates=H","DateFormat=P","Fill=—","Direction=H","UseDPDF=Y")</f>
        <v>—</v>
      </c>
    </row>
    <row r="79" spans="1:27" x14ac:dyDescent="0.25">
      <c r="A79" s="10" t="s">
        <v>538</v>
      </c>
      <c r="B79" s="10" t="s">
        <v>539</v>
      </c>
      <c r="C79" s="13">
        <f>_xll.BDH("NBIX US Equity","ARDR_STOCK_BASED_CMPNSTN_IN_R&amp;D","FQ4 2018","FQ4 2018","Currency=USD","Period=FQ","BEST_FPERIOD_OVERRIDE=FQ","FILING_STATUS=MR","Sort=A","Dates=H","DateFormat=P","Fill=—","Direction=H","UseDPDF=Y")</f>
        <v>4.62</v>
      </c>
      <c r="D79" s="13">
        <f>_xll.BDH("NBIX US Equity","ARDR_STOCK_BASED_CMPNSTN_IN_R&amp;D","FQ1 2019","FQ1 2019","Currency=USD","Period=FQ","BEST_FPERIOD_OVERRIDE=FQ","FILING_STATUS=MR","Sort=A","Dates=H","DateFormat=P","Fill=—","Direction=H","UseDPDF=Y")</f>
        <v>7.7</v>
      </c>
      <c r="E79" s="13" t="str">
        <f>_xll.BDH("NBIX US Equity","ARDR_STOCK_BASED_CMPNSTN_IN_R&amp;D","FQ2 2019","FQ2 2019","Currency=USD","Period=FQ","BEST_FPERIOD_OVERRIDE=FQ","FILING_STATUS=MR","Sort=A","Dates=H","DateFormat=P","Fill=—","Direction=H","UseDPDF=Y")</f>
        <v>—</v>
      </c>
      <c r="F79" s="13" t="str">
        <f>_xll.BDH("NBIX US Equity","ARDR_STOCK_BASED_CMPNSTN_IN_R&amp;D","FQ3 2019","FQ3 2019","Currency=USD","Period=FQ","BEST_FPERIOD_OVERRIDE=FQ","FILING_STATUS=MR","Sort=A","Dates=H","DateFormat=P","Fill=—","Direction=H","UseDPDF=Y")</f>
        <v>—</v>
      </c>
      <c r="G79" s="13">
        <f>_xll.BDH("NBIX US Equity","ARDR_STOCK_BASED_CMPNSTN_IN_R&amp;D","FQ4 2019","FQ4 2019","Currency=USD","Period=FQ","BEST_FPERIOD_OVERRIDE=FQ","FILING_STATUS=MR","Sort=A","Dates=H","DateFormat=P","Fill=—","Direction=H","UseDPDF=Y")</f>
        <v>7.4</v>
      </c>
      <c r="H79" s="13">
        <f>_xll.BDH("NBIX US Equity","ARDR_STOCK_BASED_CMPNSTN_IN_R&amp;D","FQ1 2020","FQ1 2020","Currency=USD","Period=FQ","BEST_FPERIOD_OVERRIDE=FQ","FILING_STATUS=MR","Sort=A","Dates=H","DateFormat=P","Fill=—","Direction=H","UseDPDF=Y")</f>
        <v>7.7</v>
      </c>
      <c r="I79" s="13">
        <f>_xll.BDH("NBIX US Equity","ARDR_STOCK_BASED_CMPNSTN_IN_R&amp;D","FQ2 2020","FQ2 2020","Currency=USD","Period=FQ","BEST_FPERIOD_OVERRIDE=FQ","FILING_STATUS=MR","Sort=A","Dates=H","DateFormat=P","Fill=—","Direction=H","UseDPDF=Y")</f>
        <v>9.9</v>
      </c>
      <c r="J79" s="13">
        <f>_xll.BDH("NBIX US Equity","ARDR_STOCK_BASED_CMPNSTN_IN_R&amp;D","FQ3 2020","FQ3 2020","Currency=USD","Period=FQ","BEST_FPERIOD_OVERRIDE=FQ","FILING_STATUS=MR","Sort=A","Dates=H","DateFormat=P","Fill=—","Direction=H","UseDPDF=Y")</f>
        <v>8.8000000000000007</v>
      </c>
      <c r="K79" s="13">
        <f>_xll.BDH("NBIX US Equity","ARDR_STOCK_BASED_CMPNSTN_IN_R&amp;D","FQ4 2020","FQ4 2020","Currency=USD","Period=FQ","BEST_FPERIOD_OVERRIDE=FQ","FILING_STATUS=MR","Sort=A","Dates=H","DateFormat=P","Fill=—","Direction=H","UseDPDF=Y")</f>
        <v>7.3</v>
      </c>
      <c r="L79" s="13">
        <f>_xll.BDH("NBIX US Equity","ARDR_STOCK_BASED_CMPNSTN_IN_R&amp;D","FQ1 2021","FQ1 2021","Currency=USD","Period=FQ","BEST_FPERIOD_OVERRIDE=FQ","FILING_STATUS=MR","Sort=A","Dates=H","DateFormat=P","Fill=—","Direction=H","UseDPDF=Y")</f>
        <v>15</v>
      </c>
      <c r="M79" s="13">
        <f>_xll.BDH("NBIX US Equity","ARDR_STOCK_BASED_CMPNSTN_IN_R&amp;D","FQ2 2021","FQ2 2021","Currency=USD","Period=FQ","BEST_FPERIOD_OVERRIDE=FQ","FILING_STATUS=MR","Sort=A","Dates=H","DateFormat=P","Fill=—","Direction=H","UseDPDF=Y")</f>
        <v>9.1999999999999993</v>
      </c>
      <c r="N79" s="13">
        <f>_xll.BDH("NBIX US Equity","ARDR_STOCK_BASED_CMPNSTN_IN_R&amp;D","FQ3 2021","FQ3 2021","Currency=USD","Period=FQ","BEST_FPERIOD_OVERRIDE=FQ","FILING_STATUS=MR","Sort=A","Dates=H","DateFormat=P","Fill=—","Direction=H","UseDPDF=Y")</f>
        <v>12</v>
      </c>
      <c r="O79" s="13">
        <f>_xll.BDH("NBIX US Equity","ARDR_STOCK_BASED_CMPNSTN_IN_R&amp;D","FQ4 2021","FQ4 2021","Currency=USD","Period=FQ","BEST_FPERIOD_OVERRIDE=FQ","FILING_STATUS=MR","Sort=A","Dates=H","DateFormat=P","Fill=—","Direction=H","UseDPDF=Y")</f>
        <v>12.2</v>
      </c>
      <c r="P79" s="13">
        <f>_xll.BDH("NBIX US Equity","ARDR_STOCK_BASED_CMPNSTN_IN_R&amp;D","FQ1 2022","FQ1 2022","Currency=USD","Period=FQ","BEST_FPERIOD_OVERRIDE=FQ","FILING_STATUS=MR","Sort=A","Dates=H","DateFormat=P","Fill=—","Direction=H","UseDPDF=Y")</f>
        <v>12.5</v>
      </c>
      <c r="Q79" s="13">
        <f>_xll.BDH("NBIX US Equity","ARDR_STOCK_BASED_CMPNSTN_IN_R&amp;D","FQ2 2022","FQ2 2022","Currency=USD","Period=FQ","BEST_FPERIOD_OVERRIDE=FQ","FILING_STATUS=MR","Sort=A","Dates=H","DateFormat=P","Fill=—","Direction=H","UseDPDF=Y")</f>
        <v>16.2</v>
      </c>
      <c r="R79" s="13">
        <f>_xll.BDH("NBIX US Equity","ARDR_STOCK_BASED_CMPNSTN_IN_R&amp;D","FQ3 2022","FQ3 2022","Currency=USD","Period=FQ","BEST_FPERIOD_OVERRIDE=FQ","FILING_STATUS=MR","Sort=A","Dates=H","DateFormat=P","Fill=—","Direction=H","UseDPDF=Y")</f>
        <v>14.9</v>
      </c>
      <c r="S79" s="13">
        <f>_xll.BDH("NBIX US Equity","ARDR_STOCK_BASED_CMPNSTN_IN_R&amp;D","FQ4 2022","FQ4 2022","Currency=USD","Period=FQ","BEST_FPERIOD_OVERRIDE=FQ","FILING_STATUS=MR","Sort=A","Dates=H","DateFormat=P","Fill=—","Direction=H","UseDPDF=Y")</f>
        <v>14.1</v>
      </c>
      <c r="T79" s="13">
        <f>_xll.BDH("NBIX US Equity","ARDR_STOCK_BASED_CMPNSTN_IN_R&amp;D","FQ1 2023","FQ1 2023","Currency=USD","Period=FQ","BEST_FPERIOD_OVERRIDE=FQ","FILING_STATUS=MR","Sort=A","Dates=H","DateFormat=P","Fill=—","Direction=H","UseDPDF=Y")</f>
        <v>13.8</v>
      </c>
      <c r="U79" s="13">
        <f>_xll.BDH("NBIX US Equity","ARDR_STOCK_BASED_CMPNSTN_IN_R&amp;D","FQ2 2023","FQ2 2023","Currency=USD","Period=FQ","BEST_FPERIOD_OVERRIDE=FQ","FILING_STATUS=MR","Sort=A","Dates=H","DateFormat=P","Fill=—","Direction=H","UseDPDF=Y")</f>
        <v>23.8</v>
      </c>
      <c r="V79" s="13">
        <f>_xll.BDH("NBIX US Equity","ARDR_STOCK_BASED_CMPNSTN_IN_R&amp;D","FQ3 2023","FQ3 2023","Currency=USD","Period=FQ","BEST_FPERIOD_OVERRIDE=FQ","FILING_STATUS=MR","Sort=A","Dates=H","DateFormat=P","Fill=—","Direction=H","UseDPDF=Y")</f>
        <v>17.2</v>
      </c>
      <c r="W79" s="13">
        <f>_xll.BDH("NBIX US Equity","ARDR_STOCK_BASED_CMPNSTN_IN_R&amp;D","FQ4 2023","FQ4 2023","Currency=USD","Period=FQ","BEST_FPERIOD_OVERRIDE=FQ","FILING_STATUS=MR","Sort=A","Dates=H","DateFormat=P","Fill=—","Direction=H","UseDPDF=Y")</f>
        <v>13.2</v>
      </c>
      <c r="X79" s="13">
        <f>_xll.BDH("NBIX US Equity","ARDR_STOCK_BASED_CMPNSTN_IN_R&amp;D","FQ1 2024","FQ1 2024","Currency=USD","Period=FQ","BEST_FPERIOD_OVERRIDE=FQ","FILING_STATUS=MR","Sort=A","Dates=H","DateFormat=P","Fill=—","Direction=H","UseDPDF=Y")</f>
        <v>17</v>
      </c>
      <c r="Y79" s="13">
        <f>_xll.BDH("NBIX US Equity","ARDR_STOCK_BASED_CMPNSTN_IN_R&amp;D","FQ2 2024","FQ2 2024","Currency=USD","Period=FQ","BEST_FPERIOD_OVERRIDE=FQ","FILING_STATUS=MR","Sort=A","Dates=H","DateFormat=P","Fill=—","Direction=H","UseDPDF=Y")</f>
        <v>15.8</v>
      </c>
      <c r="Z79" s="13">
        <f>_xll.BDH("NBIX US Equity","ARDR_STOCK_BASED_CMPNSTN_IN_R&amp;D","FQ3 2024","FQ3 2024","Currency=USD","Period=FQ","BEST_FPERIOD_OVERRIDE=FQ","FILING_STATUS=MR","Sort=A","Dates=H","DateFormat=P","Fill=—","Direction=H","UseDPDF=Y")</f>
        <v>14.8</v>
      </c>
      <c r="AA79" s="13">
        <f>_xll.BDH("NBIX US Equity","ARDR_STOCK_BASED_CMPNSTN_IN_R&amp;D","FQ4 2024","FQ4 2024","Currency=USD","Period=FQ","BEST_FPERIOD_OVERRIDE=FQ","FILING_STATUS=MR","Sort=A","Dates=H","DateFormat=P","Fill=—","Direction=H","UseDPDF=Y")</f>
        <v>21.2</v>
      </c>
    </row>
    <row r="80" spans="1:27" x14ac:dyDescent="0.25">
      <c r="A80" s="10" t="s">
        <v>540</v>
      </c>
      <c r="B80" s="10" t="s">
        <v>541</v>
      </c>
      <c r="C80" s="13" t="str">
        <f>_xll.BDH("NBIX US Equity","ARDR_STOCK_BASED_CMPNSTN_IN_SG&amp;A","FQ4 2018","FQ4 2018","Currency=USD","Period=FQ","BEST_FPERIOD_OVERRIDE=FQ","FILING_STATUS=MR","Sort=A","Dates=H","DateFormat=P","Fill=—","Direction=H","UseDPDF=Y")</f>
        <v>—</v>
      </c>
      <c r="D80" s="13" t="str">
        <f>_xll.BDH("NBIX US Equity","ARDR_STOCK_BASED_CMPNSTN_IN_SG&amp;A","FQ1 2019","FQ1 2019","Currency=USD","Period=FQ","BEST_FPERIOD_OVERRIDE=FQ","FILING_STATUS=MR","Sort=A","Dates=H","DateFormat=P","Fill=—","Direction=H","UseDPDF=Y")</f>
        <v>—</v>
      </c>
      <c r="E80" s="13" t="str">
        <f>_xll.BDH("NBIX US Equity","ARDR_STOCK_BASED_CMPNSTN_IN_SG&amp;A","FQ2 2019","FQ2 2019","Currency=USD","Period=FQ","BEST_FPERIOD_OVERRIDE=FQ","FILING_STATUS=MR","Sort=A","Dates=H","DateFormat=P","Fill=—","Direction=H","UseDPDF=Y")</f>
        <v>—</v>
      </c>
      <c r="F80" s="13" t="str">
        <f>_xll.BDH("NBIX US Equity","ARDR_STOCK_BASED_CMPNSTN_IN_SG&amp;A","FQ3 2019","FQ3 2019","Currency=USD","Period=FQ","BEST_FPERIOD_OVERRIDE=FQ","FILING_STATUS=MR","Sort=A","Dates=H","DateFormat=P","Fill=—","Direction=H","UseDPDF=Y")</f>
        <v>—</v>
      </c>
      <c r="G80" s="13" t="str">
        <f>_xll.BDH("NBIX US Equity","ARDR_STOCK_BASED_CMPNSTN_IN_SG&amp;A","FQ4 2019","FQ4 2019","Currency=USD","Period=FQ","BEST_FPERIOD_OVERRIDE=FQ","FILING_STATUS=MR","Sort=A","Dates=H","DateFormat=P","Fill=—","Direction=H","UseDPDF=Y")</f>
        <v>—</v>
      </c>
      <c r="H80" s="13" t="str">
        <f>_xll.BDH("NBIX US Equity","ARDR_STOCK_BASED_CMPNSTN_IN_SG&amp;A","FQ1 2020","FQ1 2020","Currency=USD","Period=FQ","BEST_FPERIOD_OVERRIDE=FQ","FILING_STATUS=MR","Sort=A","Dates=H","DateFormat=P","Fill=—","Direction=H","UseDPDF=Y")</f>
        <v>—</v>
      </c>
      <c r="I80" s="13" t="str">
        <f>_xll.BDH("NBIX US Equity","ARDR_STOCK_BASED_CMPNSTN_IN_SG&amp;A","FQ2 2020","FQ2 2020","Currency=USD","Period=FQ","BEST_FPERIOD_OVERRIDE=FQ","FILING_STATUS=MR","Sort=A","Dates=H","DateFormat=P","Fill=—","Direction=H","UseDPDF=Y")</f>
        <v>—</v>
      </c>
      <c r="J80" s="13" t="str">
        <f>_xll.BDH("NBIX US Equity","ARDR_STOCK_BASED_CMPNSTN_IN_SG&amp;A","FQ3 2020","FQ3 2020","Currency=USD","Period=FQ","BEST_FPERIOD_OVERRIDE=FQ","FILING_STATUS=MR","Sort=A","Dates=H","DateFormat=P","Fill=—","Direction=H","UseDPDF=Y")</f>
        <v>—</v>
      </c>
      <c r="K80" s="13" t="str">
        <f>_xll.BDH("NBIX US Equity","ARDR_STOCK_BASED_CMPNSTN_IN_SG&amp;A","FQ4 2020","FQ4 2020","Currency=USD","Period=FQ","BEST_FPERIOD_OVERRIDE=FQ","FILING_STATUS=MR","Sort=A","Dates=H","DateFormat=P","Fill=—","Direction=H","UseDPDF=Y")</f>
        <v>—</v>
      </c>
      <c r="L80" s="13" t="str">
        <f>_xll.BDH("NBIX US Equity","ARDR_STOCK_BASED_CMPNSTN_IN_SG&amp;A","FQ1 2021","FQ1 2021","Currency=USD","Period=FQ","BEST_FPERIOD_OVERRIDE=FQ","FILING_STATUS=MR","Sort=A","Dates=H","DateFormat=P","Fill=—","Direction=H","UseDPDF=Y")</f>
        <v>—</v>
      </c>
      <c r="M80" s="13" t="str">
        <f>_xll.BDH("NBIX US Equity","ARDR_STOCK_BASED_CMPNSTN_IN_SG&amp;A","FQ2 2021","FQ2 2021","Currency=USD","Period=FQ","BEST_FPERIOD_OVERRIDE=FQ","FILING_STATUS=MR","Sort=A","Dates=H","DateFormat=P","Fill=—","Direction=H","UseDPDF=Y")</f>
        <v>—</v>
      </c>
      <c r="N80" s="13" t="str">
        <f>_xll.BDH("NBIX US Equity","ARDR_STOCK_BASED_CMPNSTN_IN_SG&amp;A","FQ3 2021","FQ3 2021","Currency=USD","Period=FQ","BEST_FPERIOD_OVERRIDE=FQ","FILING_STATUS=MR","Sort=A","Dates=H","DateFormat=P","Fill=—","Direction=H","UseDPDF=Y")</f>
        <v>—</v>
      </c>
      <c r="O80" s="13">
        <f>_xll.BDH("NBIX US Equity","ARDR_STOCK_BASED_CMPNSTN_IN_SG&amp;A","FQ4 2021","FQ4 2021","Currency=USD","Period=FQ","BEST_FPERIOD_OVERRIDE=FQ","FILING_STATUS=MR","Sort=A","Dates=H","DateFormat=P","Fill=—","Direction=H","UseDPDF=Y")</f>
        <v>23.4</v>
      </c>
      <c r="P80" s="13" t="str">
        <f>_xll.BDH("NBIX US Equity","ARDR_STOCK_BASED_CMPNSTN_IN_SG&amp;A","FQ1 2022","FQ1 2022","Currency=USD","Period=FQ","BEST_FPERIOD_OVERRIDE=FQ","FILING_STATUS=MR","Sort=A","Dates=H","DateFormat=P","Fill=—","Direction=H","UseDPDF=Y")</f>
        <v>—</v>
      </c>
      <c r="Q80" s="13" t="str">
        <f>_xll.BDH("NBIX US Equity","ARDR_STOCK_BASED_CMPNSTN_IN_SG&amp;A","FQ2 2022","FQ2 2022","Currency=USD","Period=FQ","BEST_FPERIOD_OVERRIDE=FQ","FILING_STATUS=MR","Sort=A","Dates=H","DateFormat=P","Fill=—","Direction=H","UseDPDF=Y")</f>
        <v>—</v>
      </c>
      <c r="R80" s="13" t="str">
        <f>_xll.BDH("NBIX US Equity","ARDR_STOCK_BASED_CMPNSTN_IN_SG&amp;A","FQ3 2022","FQ3 2022","Currency=USD","Period=FQ","BEST_FPERIOD_OVERRIDE=FQ","FILING_STATUS=MR","Sort=A","Dates=H","DateFormat=P","Fill=—","Direction=H","UseDPDF=Y")</f>
        <v>—</v>
      </c>
      <c r="S80" s="13" t="str">
        <f>_xll.BDH("NBIX US Equity","ARDR_STOCK_BASED_CMPNSTN_IN_SG&amp;A","FQ4 2022","FQ4 2022","Currency=USD","Period=FQ","BEST_FPERIOD_OVERRIDE=FQ","FILING_STATUS=MR","Sort=A","Dates=H","DateFormat=P","Fill=—","Direction=H","UseDPDF=Y")</f>
        <v>—</v>
      </c>
      <c r="T80" s="13" t="str">
        <f>_xll.BDH("NBIX US Equity","ARDR_STOCK_BASED_CMPNSTN_IN_SG&amp;A","FQ1 2023","FQ1 2023","Currency=USD","Period=FQ","BEST_FPERIOD_OVERRIDE=FQ","FILING_STATUS=MR","Sort=A","Dates=H","DateFormat=P","Fill=—","Direction=H","UseDPDF=Y")</f>
        <v>—</v>
      </c>
      <c r="U80" s="13" t="str">
        <f>_xll.BDH("NBIX US Equity","ARDR_STOCK_BASED_CMPNSTN_IN_SG&amp;A","FQ2 2023","FQ2 2023","Currency=USD","Period=FQ","BEST_FPERIOD_OVERRIDE=FQ","FILING_STATUS=MR","Sort=A","Dates=H","DateFormat=P","Fill=—","Direction=H","UseDPDF=Y")</f>
        <v>—</v>
      </c>
      <c r="V80" s="13" t="str">
        <f>_xll.BDH("NBIX US Equity","ARDR_STOCK_BASED_CMPNSTN_IN_SG&amp;A","FQ3 2023","FQ3 2023","Currency=USD","Period=FQ","BEST_FPERIOD_OVERRIDE=FQ","FILING_STATUS=MR","Sort=A","Dates=H","DateFormat=P","Fill=—","Direction=H","UseDPDF=Y")</f>
        <v>—</v>
      </c>
      <c r="W80" s="13" t="str">
        <f>_xll.BDH("NBIX US Equity","ARDR_STOCK_BASED_CMPNSTN_IN_SG&amp;A","FQ4 2023","FQ4 2023","Currency=USD","Period=FQ","BEST_FPERIOD_OVERRIDE=FQ","FILING_STATUS=MR","Sort=A","Dates=H","DateFormat=P","Fill=—","Direction=H","UseDPDF=Y")</f>
        <v>—</v>
      </c>
      <c r="X80" s="13" t="str">
        <f>_xll.BDH("NBIX US Equity","ARDR_STOCK_BASED_CMPNSTN_IN_SG&amp;A","FQ1 2024","FQ1 2024","Currency=USD","Period=FQ","BEST_FPERIOD_OVERRIDE=FQ","FILING_STATUS=MR","Sort=A","Dates=H","DateFormat=P","Fill=—","Direction=H","UseDPDF=Y")</f>
        <v>—</v>
      </c>
      <c r="Y80" s="13" t="str">
        <f>_xll.BDH("NBIX US Equity","ARDR_STOCK_BASED_CMPNSTN_IN_SG&amp;A","FQ2 2024","FQ2 2024","Currency=USD","Period=FQ","BEST_FPERIOD_OVERRIDE=FQ","FILING_STATUS=MR","Sort=A","Dates=H","DateFormat=P","Fill=—","Direction=H","UseDPDF=Y")</f>
        <v>—</v>
      </c>
      <c r="Z80" s="13" t="str">
        <f>_xll.BDH("NBIX US Equity","ARDR_STOCK_BASED_CMPNSTN_IN_SG&amp;A","FQ3 2024","FQ3 2024","Currency=USD","Period=FQ","BEST_FPERIOD_OVERRIDE=FQ","FILING_STATUS=MR","Sort=A","Dates=H","DateFormat=P","Fill=—","Direction=H","UseDPDF=Y")</f>
        <v>—</v>
      </c>
      <c r="AA80" s="13" t="str">
        <f>_xll.BDH("NBIX US Equity","ARDR_STOCK_BASED_CMPNSTN_IN_SG&amp;A","FQ4 2024","FQ4 2024","Currency=USD","Period=FQ","BEST_FPERIOD_OVERRIDE=FQ","FILING_STATUS=MR","Sort=A","Dates=H","DateFormat=P","Fill=—","Direction=H","UseDPDF=Y")</f>
        <v>—</v>
      </c>
    </row>
    <row r="81" spans="1:27" x14ac:dyDescent="0.25">
      <c r="A81" s="10" t="s">
        <v>542</v>
      </c>
      <c r="B81" s="10" t="s">
        <v>543</v>
      </c>
      <c r="C81" s="13">
        <f>_xll.BDH("NBIX US Equity","ARDR_NON_GAAP_G&amp;A","FQ4 2018","FQ4 2018","Currency=USD","Period=FQ","BEST_FPERIOD_OVERRIDE=FQ","FILING_STATUS=MR","SCALING_FORMAT=MLN","Sort=A","Dates=H","DateFormat=P","Fill=—","Direction=H","UseDPDF=Y")</f>
        <v>6.0499999999999998E-2</v>
      </c>
      <c r="D81" s="13" t="str">
        <f>_xll.BDH("NBIX US Equity","ARDR_NON_GAAP_G&amp;A","FQ1 2019","FQ1 2019","Currency=USD","Period=FQ","BEST_FPERIOD_OVERRIDE=FQ","FILING_STATUS=MR","SCALING_FORMAT=MLN","Sort=A","Dates=H","DateFormat=P","Fill=—","Direction=H","UseDPDF=Y")</f>
        <v>—</v>
      </c>
      <c r="E81" s="13" t="str">
        <f>_xll.BDH("NBIX US Equity","ARDR_NON_GAAP_G&amp;A","FQ2 2019","FQ2 2019","Currency=USD","Period=FQ","BEST_FPERIOD_OVERRIDE=FQ","FILING_STATUS=MR","SCALING_FORMAT=MLN","Sort=A","Dates=H","DateFormat=P","Fill=—","Direction=H","UseDPDF=Y")</f>
        <v>—</v>
      </c>
      <c r="F81" s="13" t="str">
        <f>_xll.BDH("NBIX US Equity","ARDR_NON_GAAP_G&amp;A","FQ3 2019","FQ3 2019","Currency=USD","Period=FQ","BEST_FPERIOD_OVERRIDE=FQ","FILING_STATUS=MR","SCALING_FORMAT=MLN","Sort=A","Dates=H","DateFormat=P","Fill=—","Direction=H","UseDPDF=Y")</f>
        <v>—</v>
      </c>
      <c r="G81" s="13">
        <f>_xll.BDH("NBIX US Equity","ARDR_NON_GAAP_G&amp;A","FQ4 2019","FQ4 2019","Currency=USD","Period=FQ","BEST_FPERIOD_OVERRIDE=FQ","FILING_STATUS=MR","SCALING_FORMAT=MLN","Sort=A","Dates=H","DateFormat=P","Fill=—","Direction=H","UseDPDF=Y")</f>
        <v>87.4</v>
      </c>
      <c r="H81" s="13">
        <f>_xll.BDH("NBIX US Equity","ARDR_NON_GAAP_G&amp;A","FQ1 2020","FQ1 2020","Currency=USD","Period=FQ","BEST_FPERIOD_OVERRIDE=FQ","FILING_STATUS=MR","SCALING_FORMAT=MLN","Sort=A","Dates=H","DateFormat=P","Fill=—","Direction=H","UseDPDF=Y")</f>
        <v>102.7</v>
      </c>
      <c r="I81" s="13">
        <f>_xll.BDH("NBIX US Equity","ARDR_NON_GAAP_G&amp;A","FQ2 2020","FQ2 2020","Currency=USD","Period=FQ","BEST_FPERIOD_OVERRIDE=FQ","FILING_STATUS=MR","SCALING_FORMAT=MLN","Sort=A","Dates=H","DateFormat=P","Fill=—","Direction=H","UseDPDF=Y")</f>
        <v>76.900000000000006</v>
      </c>
      <c r="J81" s="13">
        <f>_xll.BDH("NBIX US Equity","ARDR_NON_GAAP_G&amp;A","FQ3 2020","FQ3 2020","Currency=USD","Period=FQ","BEST_FPERIOD_OVERRIDE=FQ","FILING_STATUS=MR","SCALING_FORMAT=MLN","Sort=A","Dates=H","DateFormat=P","Fill=—","Direction=H","UseDPDF=Y")</f>
        <v>94.6</v>
      </c>
      <c r="K81" s="13">
        <f>_xll.BDH("NBIX US Equity","ARDR_NON_GAAP_G&amp;A","FQ4 2020","FQ4 2020","Currency=USD","Period=FQ","BEST_FPERIOD_OVERRIDE=FQ","FILING_STATUS=MR","SCALING_FORMAT=MLN","Sort=A","Dates=H","DateFormat=P","Fill=—","Direction=H","UseDPDF=Y")</f>
        <v>92.8</v>
      </c>
      <c r="L81" s="13">
        <f>_xll.BDH("NBIX US Equity","ARDR_NON_GAAP_G&amp;A","FQ1 2021","FQ1 2021","Currency=USD","Period=FQ","BEST_FPERIOD_OVERRIDE=FQ","FILING_STATUS=MR","SCALING_FORMAT=MLN","Sort=A","Dates=H","DateFormat=P","Fill=—","Direction=H","UseDPDF=Y")</f>
        <v>111.1</v>
      </c>
      <c r="M81" s="13">
        <f>_xll.BDH("NBIX US Equity","ARDR_NON_GAAP_G&amp;A","FQ2 2021","FQ2 2021","Currency=USD","Period=FQ","BEST_FPERIOD_OVERRIDE=FQ","FILING_STATUS=MR","SCALING_FORMAT=MLN","Sort=A","Dates=H","DateFormat=P","Fill=—","Direction=H","UseDPDF=Y")</f>
        <v>123.8</v>
      </c>
      <c r="N81" s="13">
        <f>_xll.BDH("NBIX US Equity","ARDR_NON_GAAP_G&amp;A","FQ3 2021","FQ3 2021","Currency=USD","Period=FQ","BEST_FPERIOD_OVERRIDE=FQ","FILING_STATUS=MR","SCALING_FORMAT=MLN","Sort=A","Dates=H","DateFormat=P","Fill=—","Direction=H","UseDPDF=Y")</f>
        <v>129.5</v>
      </c>
      <c r="O81" s="13">
        <f>_xll.BDH("NBIX US Equity","ARDR_NON_GAAP_G&amp;A","FQ4 2021","FQ4 2021","Currency=USD","Period=FQ","BEST_FPERIOD_OVERRIDE=FQ","FILING_STATUS=MR","SCALING_FORMAT=MLN","Sort=A","Dates=H","DateFormat=P","Fill=—","Direction=H","UseDPDF=Y")</f>
        <v>133.1</v>
      </c>
      <c r="P81" s="13">
        <f>_xll.BDH("NBIX US Equity","ARDR_NON_GAAP_G&amp;A","FQ1 2022","FQ1 2022","Currency=USD","Period=FQ","BEST_FPERIOD_OVERRIDE=FQ","FILING_STATUS=MR","SCALING_FORMAT=MLN","Sort=A","Dates=H","DateFormat=P","Fill=—","Direction=H","UseDPDF=Y")</f>
        <v>176.2</v>
      </c>
      <c r="Q81" s="13">
        <f>_xll.BDH("NBIX US Equity","ARDR_NON_GAAP_G&amp;A","FQ2 2022","FQ2 2022","Currency=USD","Period=FQ","BEST_FPERIOD_OVERRIDE=FQ","FILING_STATUS=MR","SCALING_FORMAT=MLN","Sort=A","Dates=H","DateFormat=P","Fill=—","Direction=H","UseDPDF=Y")</f>
        <v>149.5</v>
      </c>
      <c r="R81" s="13">
        <f>_xll.BDH("NBIX US Equity","ARDR_NON_GAAP_G&amp;A","FQ3 2022","FQ3 2022","Currency=USD","Period=FQ","BEST_FPERIOD_OVERRIDE=FQ","FILING_STATUS=MR","SCALING_FORMAT=MLN","Sort=A","Dates=H","DateFormat=P","Fill=—","Direction=H","UseDPDF=Y")</f>
        <v>158.1</v>
      </c>
      <c r="S81" s="13">
        <f>_xll.BDH("NBIX US Equity","ARDR_NON_GAAP_G&amp;A","FQ4 2022","FQ4 2022","Currency=USD","Period=FQ","BEST_FPERIOD_OVERRIDE=FQ","FILING_STATUS=MR","SCALING_FORMAT=MLN","Sort=A","Dates=H","DateFormat=P","Fill=—","Direction=H","UseDPDF=Y")</f>
        <v>151.80000000000001</v>
      </c>
      <c r="T81" s="13">
        <f>_xll.BDH("NBIX US Equity","ARDR_NON_GAAP_G&amp;A","FQ1 2023","FQ1 2023","Currency=USD","Period=FQ","BEST_FPERIOD_OVERRIDE=FQ","FILING_STATUS=MR","SCALING_FORMAT=MLN","Sort=A","Dates=H","DateFormat=P","Fill=—","Direction=H","UseDPDF=Y")</f>
        <v>216.6</v>
      </c>
      <c r="U81" s="13">
        <f>_xll.BDH("NBIX US Equity","ARDR_NON_GAAP_G&amp;A","FQ2 2023","FQ2 2023","Currency=USD","Period=FQ","BEST_FPERIOD_OVERRIDE=FQ","FILING_STATUS=MR","SCALING_FORMAT=MLN","Sort=A","Dates=H","DateFormat=P","Fill=—","Direction=H","UseDPDF=Y")</f>
        <v>177.1</v>
      </c>
      <c r="V81" s="13">
        <f>_xll.BDH("NBIX US Equity","ARDR_NON_GAAP_G&amp;A","FQ3 2023","FQ3 2023","Currency=USD","Period=FQ","BEST_FPERIOD_OVERRIDE=FQ","FILING_STATUS=MR","SCALING_FORMAT=MLN","Sort=A","Dates=H","DateFormat=P","Fill=—","Direction=H","UseDPDF=Y")</f>
        <v>169.7</v>
      </c>
      <c r="W81" s="13">
        <f>_xll.BDH("NBIX US Equity","ARDR_NON_GAAP_G&amp;A","FQ4 2023","FQ4 2023","Currency=USD","Period=FQ","BEST_FPERIOD_OVERRIDE=FQ","FILING_STATUS=MR","SCALING_FORMAT=MLN","Sort=A","Dates=H","DateFormat=P","Fill=—","Direction=H","UseDPDF=Y")</f>
        <v>194</v>
      </c>
      <c r="X81" s="13">
        <f>_xll.BDH("NBIX US Equity","ARDR_NON_GAAP_G&amp;A","FQ1 2024","FQ1 2024","Currency=USD","Period=FQ","BEST_FPERIOD_OVERRIDE=FQ","FILING_STATUS=MR","SCALING_FORMAT=MLN","Sort=A","Dates=H","DateFormat=P","Fill=—","Direction=H","UseDPDF=Y")</f>
        <v>215.6</v>
      </c>
      <c r="Y81" s="13">
        <f>_xll.BDH("NBIX US Equity","ARDR_NON_GAAP_G&amp;A","FQ2 2024","FQ2 2024","Currency=USD","Period=FQ","BEST_FPERIOD_OVERRIDE=FQ","FILING_STATUS=MR","SCALING_FORMAT=MLN","Sort=A","Dates=H","DateFormat=P","Fill=—","Direction=H","UseDPDF=Y")</f>
        <v>200.7</v>
      </c>
      <c r="Z81" s="13">
        <f>_xll.BDH("NBIX US Equity","ARDR_NON_GAAP_G&amp;A","FQ3 2024","FQ3 2024","Currency=USD","Period=FQ","BEST_FPERIOD_OVERRIDE=FQ","FILING_STATUS=MR","SCALING_FORMAT=MLN","Sort=A","Dates=H","DateFormat=P","Fill=—","Direction=H","UseDPDF=Y")</f>
        <v>204.6</v>
      </c>
      <c r="AA81" s="13">
        <f>_xll.BDH("NBIX US Equity","ARDR_NON_GAAP_G&amp;A","FQ4 2024","FQ4 2024","Currency=USD","Period=FQ","BEST_FPERIOD_OVERRIDE=FQ","FILING_STATUS=MR","SCALING_FORMAT=MLN","Sort=A","Dates=H","DateFormat=P","Fill=—","Direction=H","UseDPDF=Y")</f>
        <v>241.6</v>
      </c>
    </row>
    <row r="82" spans="1:27" x14ac:dyDescent="0.25">
      <c r="A82" s="10" t="s">
        <v>544</v>
      </c>
      <c r="B82" s="10" t="s">
        <v>545</v>
      </c>
      <c r="C82" s="13">
        <f>_xll.BDH("NBIX US Equity","ARDR_NON_GAAP_R&amp;D","FQ4 2018","FQ4 2018","Currency=USD","Period=FQ","BEST_FPERIOD_OVERRIDE=FQ","FILING_STATUS=MR","SCALING_FORMAT=MLN","Sort=A","Dates=H","DateFormat=P","Fill=—","Direction=H","UseDPDF=Y")</f>
        <v>2.9899999999999999E-2</v>
      </c>
      <c r="D82" s="13" t="str">
        <f>_xll.BDH("NBIX US Equity","ARDR_NON_GAAP_R&amp;D","FQ1 2019","FQ1 2019","Currency=USD","Period=FQ","BEST_FPERIOD_OVERRIDE=FQ","FILING_STATUS=MR","SCALING_FORMAT=MLN","Sort=A","Dates=H","DateFormat=P","Fill=—","Direction=H","UseDPDF=Y")</f>
        <v>—</v>
      </c>
      <c r="E82" s="13" t="str">
        <f>_xll.BDH("NBIX US Equity","ARDR_NON_GAAP_R&amp;D","FQ2 2019","FQ2 2019","Currency=USD","Period=FQ","BEST_FPERIOD_OVERRIDE=FQ","FILING_STATUS=MR","SCALING_FORMAT=MLN","Sort=A","Dates=H","DateFormat=P","Fill=—","Direction=H","UseDPDF=Y")</f>
        <v>—</v>
      </c>
      <c r="F82" s="13" t="str">
        <f>_xll.BDH("NBIX US Equity","ARDR_NON_GAAP_R&amp;D","FQ3 2019","FQ3 2019","Currency=USD","Period=FQ","BEST_FPERIOD_OVERRIDE=FQ","FILING_STATUS=MR","SCALING_FORMAT=MLN","Sort=A","Dates=H","DateFormat=P","Fill=—","Direction=H","UseDPDF=Y")</f>
        <v>—</v>
      </c>
      <c r="G82" s="13">
        <f>_xll.BDH("NBIX US Equity","ARDR_NON_GAAP_R&amp;D","FQ4 2019","FQ4 2019","Currency=USD","Period=FQ","BEST_FPERIOD_OVERRIDE=FQ","FILING_STATUS=MR","SCALING_FORMAT=MLN","Sort=A","Dates=H","DateFormat=P","Fill=—","Direction=H","UseDPDF=Y")</f>
        <v>47.9</v>
      </c>
      <c r="H82" s="13">
        <f>_xll.BDH("NBIX US Equity","ARDR_NON_GAAP_R&amp;D","FQ1 2020","FQ1 2020","Currency=USD","Period=FQ","BEST_FPERIOD_OVERRIDE=FQ","FILING_STATUS=MR","SCALING_FORMAT=MLN","Sort=A","Dates=H","DateFormat=P","Fill=—","Direction=H","UseDPDF=Y")</f>
        <v>50.6</v>
      </c>
      <c r="I82" s="13">
        <f>_xll.BDH("NBIX US Equity","ARDR_NON_GAAP_R&amp;D","FQ2 2020","FQ2 2020","Currency=USD","Period=FQ","BEST_FPERIOD_OVERRIDE=FQ","FILING_STATUS=MR","SCALING_FORMAT=MLN","Sort=A","Dates=H","DateFormat=P","Fill=—","Direction=H","UseDPDF=Y")</f>
        <v>51</v>
      </c>
      <c r="J82" s="13">
        <f>_xll.BDH("NBIX US Equity","ARDR_NON_GAAP_R&amp;D","FQ3 2020","FQ3 2020","Currency=USD","Period=FQ","BEST_FPERIOD_OVERRIDE=FQ","FILING_STATUS=MR","SCALING_FORMAT=MLN","Sort=A","Dates=H","DateFormat=P","Fill=—","Direction=H","UseDPDF=Y")</f>
        <v>60.3</v>
      </c>
      <c r="K82" s="13">
        <f>_xll.BDH("NBIX US Equity","ARDR_NON_GAAP_R&amp;D","FQ4 2020","FQ4 2020","Currency=USD","Period=FQ","BEST_FPERIOD_OVERRIDE=FQ","FILING_STATUS=MR","SCALING_FORMAT=MLN","Sort=A","Dates=H","DateFormat=P","Fill=—","Direction=H","UseDPDF=Y")</f>
        <v>59.4</v>
      </c>
      <c r="L82" s="13">
        <f>_xll.BDH("NBIX US Equity","ARDR_NON_GAAP_R&amp;D","FQ1 2021","FQ1 2021","Currency=USD","Period=FQ","BEST_FPERIOD_OVERRIDE=FQ","FILING_STATUS=MR","SCALING_FORMAT=MLN","Sort=A","Dates=H","DateFormat=P","Fill=—","Direction=H","UseDPDF=Y")</f>
        <v>58.2</v>
      </c>
      <c r="M82" s="13">
        <f>_xll.BDH("NBIX US Equity","ARDR_NON_GAAP_R&amp;D","FQ2 2021","FQ2 2021","Currency=USD","Period=FQ","BEST_FPERIOD_OVERRIDE=FQ","FILING_STATUS=MR","SCALING_FORMAT=MLN","Sort=A","Dates=H","DateFormat=P","Fill=—","Direction=H","UseDPDF=Y")</f>
        <v>65.599999999999994</v>
      </c>
      <c r="N82" s="13">
        <f>_xll.BDH("NBIX US Equity","ARDR_NON_GAAP_R&amp;D","FQ3 2021","FQ3 2021","Currency=USD","Period=FQ","BEST_FPERIOD_OVERRIDE=FQ","FILING_STATUS=MR","SCALING_FORMAT=MLN","Sort=A","Dates=H","DateFormat=P","Fill=—","Direction=H","UseDPDF=Y")</f>
        <v>80.7</v>
      </c>
      <c r="O82" s="13">
        <f>_xll.BDH("NBIX US Equity","ARDR_NON_GAAP_R&amp;D","FQ4 2021","FQ4 2021","Currency=USD","Period=FQ","BEST_FPERIOD_OVERRIDE=FQ","FILING_STATUS=MR","SCALING_FORMAT=MLN","Sort=A","Dates=H","DateFormat=P","Fill=—","Direction=H","UseDPDF=Y")</f>
        <v>75.2</v>
      </c>
      <c r="P82" s="13">
        <f>_xll.BDH("NBIX US Equity","ARDR_NON_GAAP_R&amp;D","FQ1 2022","FQ1 2022","Currency=USD","Period=FQ","BEST_FPERIOD_OVERRIDE=FQ","FILING_STATUS=MR","SCALING_FORMAT=MLN","Sort=A","Dates=H","DateFormat=P","Fill=—","Direction=H","UseDPDF=Y")</f>
        <v>89.7</v>
      </c>
      <c r="Q82" s="13">
        <f>_xll.BDH("NBIX US Equity","ARDR_NON_GAAP_R&amp;D","FQ2 2022","FQ2 2022","Currency=USD","Period=FQ","BEST_FPERIOD_OVERRIDE=FQ","FILING_STATUS=MR","SCALING_FORMAT=MLN","Sort=A","Dates=H","DateFormat=P","Fill=—","Direction=H","UseDPDF=Y")</f>
        <v>119.7</v>
      </c>
      <c r="R82" s="13">
        <f>_xll.BDH("NBIX US Equity","ARDR_NON_GAAP_R&amp;D","FQ3 2022","FQ3 2022","Currency=USD","Period=FQ","BEST_FPERIOD_OVERRIDE=FQ","FILING_STATUS=MR","SCALING_FORMAT=MLN","Sort=A","Dates=H","DateFormat=P","Fill=—","Direction=H","UseDPDF=Y")</f>
        <v>92.8</v>
      </c>
      <c r="S82" s="13">
        <f>_xll.BDH("NBIX US Equity","ARDR_NON_GAAP_R&amp;D","FQ4 2022","FQ4 2022","Currency=USD","Period=FQ","BEST_FPERIOD_OVERRIDE=FQ","FILING_STATUS=MR","SCALING_FORMAT=MLN","Sort=A","Dates=H","DateFormat=P","Fill=—","Direction=H","UseDPDF=Y")</f>
        <v>103.9</v>
      </c>
      <c r="T82" s="13">
        <f>_xll.BDH("NBIX US Equity","ARDR_NON_GAAP_R&amp;D","FQ1 2023","FQ1 2023","Currency=USD","Period=FQ","BEST_FPERIOD_OVERRIDE=FQ","FILING_STATUS=MR","SCALING_FORMAT=MLN","Sort=A","Dates=H","DateFormat=P","Fill=—","Direction=H","UseDPDF=Y")</f>
        <v>125.7</v>
      </c>
      <c r="U82" s="13">
        <f>_xll.BDH("NBIX US Equity","ARDR_NON_GAAP_R&amp;D","FQ2 2023","FQ2 2023","Currency=USD","Period=FQ","BEST_FPERIOD_OVERRIDE=FQ","FILING_STATUS=MR","SCALING_FORMAT=MLN","Sort=A","Dates=H","DateFormat=P","Fill=—","Direction=H","UseDPDF=Y")</f>
        <v>122</v>
      </c>
      <c r="V82" s="13">
        <f>_xll.BDH("NBIX US Equity","ARDR_NON_GAAP_R&amp;D","FQ3 2023","FQ3 2023","Currency=USD","Period=FQ","BEST_FPERIOD_OVERRIDE=FQ","FILING_STATUS=MR","SCALING_FORMAT=MLN","Sort=A","Dates=H","DateFormat=P","Fill=—","Direction=H","UseDPDF=Y")</f>
        <v>125</v>
      </c>
      <c r="W82" s="13">
        <f>_xll.BDH("NBIX US Equity","ARDR_NON_GAAP_R&amp;D","FQ4 2023","FQ4 2023","Currency=USD","Period=FQ","BEST_FPERIOD_OVERRIDE=FQ","FILING_STATUS=MR","SCALING_FORMAT=MLN","Sort=A","Dates=H","DateFormat=P","Fill=—","Direction=H","UseDPDF=Y")</f>
        <v>124.3</v>
      </c>
      <c r="X82" s="13">
        <f>_xll.BDH("NBIX US Equity","ARDR_NON_GAAP_R&amp;D","FQ1 2024","FQ1 2024","Currency=USD","Period=FQ","BEST_FPERIOD_OVERRIDE=FQ","FILING_STATUS=MR","SCALING_FORMAT=MLN","Sort=A","Dates=H","DateFormat=P","Fill=—","Direction=H","UseDPDF=Y")</f>
        <v>142.4</v>
      </c>
      <c r="Y82" s="13">
        <f>_xll.BDH("NBIX US Equity","ARDR_NON_GAAP_R&amp;D","FQ2 2024","FQ2 2024","Currency=USD","Period=FQ","BEST_FPERIOD_OVERRIDE=FQ","FILING_STATUS=MR","SCALING_FORMAT=MLN","Sort=A","Dates=H","DateFormat=P","Fill=—","Direction=H","UseDPDF=Y")</f>
        <v>175.3</v>
      </c>
      <c r="Z82" s="13">
        <f>_xll.BDH("NBIX US Equity","ARDR_NON_GAAP_R&amp;D","FQ3 2024","FQ3 2024","Currency=USD","Period=FQ","BEST_FPERIOD_OVERRIDE=FQ","FILING_STATUS=MR","SCALING_FORMAT=MLN","Sort=A","Dates=H","DateFormat=P","Fill=—","Direction=H","UseDPDF=Y")</f>
        <v>180.2</v>
      </c>
      <c r="AA82" s="13">
        <f>_xll.BDH("NBIX US Equity","ARDR_NON_GAAP_R&amp;D","FQ4 2024","FQ4 2024","Currency=USD","Period=FQ","BEST_FPERIOD_OVERRIDE=FQ","FILING_STATUS=MR","SCALING_FORMAT=MLN","Sort=A","Dates=H","DateFormat=P","Fill=—","Direction=H","UseDPDF=Y")</f>
        <v>164.4</v>
      </c>
    </row>
    <row r="83" spans="1:27" x14ac:dyDescent="0.25">
      <c r="A83" s="10" t="s">
        <v>546</v>
      </c>
      <c r="B83" s="10" t="s">
        <v>547</v>
      </c>
      <c r="C83" s="13" t="str">
        <f>_xll.BDH("NBIX US Equity","ARDR_NON_GAAP_OPERATING_EXPENSES","FQ4 2018","FQ4 2018","Currency=USD","Period=FQ","BEST_FPERIOD_OVERRIDE=FQ","FILING_STATUS=MR","SCALING_FORMAT=MLN","Sort=A","Dates=H","DateFormat=P","Fill=—","Direction=H","UseDPDF=Y")</f>
        <v>—</v>
      </c>
      <c r="D83" s="13" t="str">
        <f>_xll.BDH("NBIX US Equity","ARDR_NON_GAAP_OPERATING_EXPENSES","FQ1 2019","FQ1 2019","Currency=USD","Period=FQ","BEST_FPERIOD_OVERRIDE=FQ","FILING_STATUS=MR","SCALING_FORMAT=MLN","Sort=A","Dates=H","DateFormat=P","Fill=—","Direction=H","UseDPDF=Y")</f>
        <v>—</v>
      </c>
      <c r="E83" s="13" t="str">
        <f>_xll.BDH("NBIX US Equity","ARDR_NON_GAAP_OPERATING_EXPENSES","FQ2 2019","FQ2 2019","Currency=USD","Period=FQ","BEST_FPERIOD_OVERRIDE=FQ","FILING_STATUS=MR","SCALING_FORMAT=MLN","Sort=A","Dates=H","DateFormat=P","Fill=—","Direction=H","UseDPDF=Y")</f>
        <v>—</v>
      </c>
      <c r="F83" s="13" t="str">
        <f>_xll.BDH("NBIX US Equity","ARDR_NON_GAAP_OPERATING_EXPENSES","FQ3 2019","FQ3 2019","Currency=USD","Period=FQ","BEST_FPERIOD_OVERRIDE=FQ","FILING_STATUS=MR","SCALING_FORMAT=MLN","Sort=A","Dates=H","DateFormat=P","Fill=—","Direction=H","UseDPDF=Y")</f>
        <v>—</v>
      </c>
      <c r="G83" s="13" t="str">
        <f>_xll.BDH("NBIX US Equity","ARDR_NON_GAAP_OPERATING_EXPENSES","FQ4 2019","FQ4 2019","Currency=USD","Period=FQ","BEST_FPERIOD_OVERRIDE=FQ","FILING_STATUS=MR","SCALING_FORMAT=MLN","Sort=A","Dates=H","DateFormat=P","Fill=—","Direction=H","UseDPDF=Y")</f>
        <v>—</v>
      </c>
      <c r="H83" s="13" t="str">
        <f>_xll.BDH("NBIX US Equity","ARDR_NON_GAAP_OPERATING_EXPENSES","FQ1 2020","FQ1 2020","Currency=USD","Period=FQ","BEST_FPERIOD_OVERRIDE=FQ","FILING_STATUS=MR","SCALING_FORMAT=MLN","Sort=A","Dates=H","DateFormat=P","Fill=—","Direction=H","UseDPDF=Y")</f>
        <v>—</v>
      </c>
      <c r="I83" s="13" t="str">
        <f>_xll.BDH("NBIX US Equity","ARDR_NON_GAAP_OPERATING_EXPENSES","FQ2 2020","FQ2 2020","Currency=USD","Period=FQ","BEST_FPERIOD_OVERRIDE=FQ","FILING_STATUS=MR","SCALING_FORMAT=MLN","Sort=A","Dates=H","DateFormat=P","Fill=—","Direction=H","UseDPDF=Y")</f>
        <v>—</v>
      </c>
      <c r="J83" s="13" t="str">
        <f>_xll.BDH("NBIX US Equity","ARDR_NON_GAAP_OPERATING_EXPENSES","FQ3 2020","FQ3 2020","Currency=USD","Period=FQ","BEST_FPERIOD_OVERRIDE=FQ","FILING_STATUS=MR","SCALING_FORMAT=MLN","Sort=A","Dates=H","DateFormat=P","Fill=—","Direction=H","UseDPDF=Y")</f>
        <v>—</v>
      </c>
      <c r="K83" s="13" t="str">
        <f>_xll.BDH("NBIX US Equity","ARDR_NON_GAAP_OPERATING_EXPENSES","FQ4 2020","FQ4 2020","Currency=USD","Period=FQ","BEST_FPERIOD_OVERRIDE=FQ","FILING_STATUS=MR","SCALING_FORMAT=MLN","Sort=A","Dates=H","DateFormat=P","Fill=—","Direction=H","UseDPDF=Y")</f>
        <v>—</v>
      </c>
      <c r="L83" s="13" t="str">
        <f>_xll.BDH("NBIX US Equity","ARDR_NON_GAAP_OPERATING_EXPENSES","FQ1 2021","FQ1 2021","Currency=USD","Period=FQ","BEST_FPERIOD_OVERRIDE=FQ","FILING_STATUS=MR","SCALING_FORMAT=MLN","Sort=A","Dates=H","DateFormat=P","Fill=—","Direction=H","UseDPDF=Y")</f>
        <v>—</v>
      </c>
      <c r="M83" s="13" t="str">
        <f>_xll.BDH("NBIX US Equity","ARDR_NON_GAAP_OPERATING_EXPENSES","FQ2 2021","FQ2 2021","Currency=USD","Period=FQ","BEST_FPERIOD_OVERRIDE=FQ","FILING_STATUS=MR","SCALING_FORMAT=MLN","Sort=A","Dates=H","DateFormat=P","Fill=—","Direction=H","UseDPDF=Y")</f>
        <v>—</v>
      </c>
      <c r="N83" s="13" t="str">
        <f>_xll.BDH("NBIX US Equity","ARDR_NON_GAAP_OPERATING_EXPENSES","FQ3 2021","FQ3 2021","Currency=USD","Period=FQ","BEST_FPERIOD_OVERRIDE=FQ","FILING_STATUS=MR","SCALING_FORMAT=MLN","Sort=A","Dates=H","DateFormat=P","Fill=—","Direction=H","UseDPDF=Y")</f>
        <v>—</v>
      </c>
      <c r="O83" s="13" t="str">
        <f>_xll.BDH("NBIX US Equity","ARDR_NON_GAAP_OPERATING_EXPENSES","FQ4 2021","FQ4 2021","Currency=USD","Period=FQ","BEST_FPERIOD_OVERRIDE=FQ","FILING_STATUS=MR","SCALING_FORMAT=MLN","Sort=A","Dates=H","DateFormat=P","Fill=—","Direction=H","UseDPDF=Y")</f>
        <v>—</v>
      </c>
      <c r="P83" s="13" t="str">
        <f>_xll.BDH("NBIX US Equity","ARDR_NON_GAAP_OPERATING_EXPENSES","FQ1 2022","FQ1 2022","Currency=USD","Period=FQ","BEST_FPERIOD_OVERRIDE=FQ","FILING_STATUS=MR","SCALING_FORMAT=MLN","Sort=A","Dates=H","DateFormat=P","Fill=—","Direction=H","UseDPDF=Y")</f>
        <v>—</v>
      </c>
      <c r="Q83" s="13" t="str">
        <f>_xll.BDH("NBIX US Equity","ARDR_NON_GAAP_OPERATING_EXPENSES","FQ2 2022","FQ2 2022","Currency=USD","Period=FQ","BEST_FPERIOD_OVERRIDE=FQ","FILING_STATUS=MR","SCALING_FORMAT=MLN","Sort=A","Dates=H","DateFormat=P","Fill=—","Direction=H","UseDPDF=Y")</f>
        <v>—</v>
      </c>
      <c r="R83" s="13" t="str">
        <f>_xll.BDH("NBIX US Equity","ARDR_NON_GAAP_OPERATING_EXPENSES","FQ3 2022","FQ3 2022","Currency=USD","Period=FQ","BEST_FPERIOD_OVERRIDE=FQ","FILING_STATUS=MR","SCALING_FORMAT=MLN","Sort=A","Dates=H","DateFormat=P","Fill=—","Direction=H","UseDPDF=Y")</f>
        <v>—</v>
      </c>
      <c r="S83" s="13" t="str">
        <f>_xll.BDH("NBIX US Equity","ARDR_NON_GAAP_OPERATING_EXPENSES","FQ4 2022","FQ4 2022","Currency=USD","Period=FQ","BEST_FPERIOD_OVERRIDE=FQ","FILING_STATUS=MR","SCALING_FORMAT=MLN","Sort=A","Dates=H","DateFormat=P","Fill=—","Direction=H","UseDPDF=Y")</f>
        <v>—</v>
      </c>
      <c r="T83" s="13" t="str">
        <f>_xll.BDH("NBIX US Equity","ARDR_NON_GAAP_OPERATING_EXPENSES","FQ1 2023","FQ1 2023","Currency=USD","Period=FQ","BEST_FPERIOD_OVERRIDE=FQ","FILING_STATUS=MR","SCALING_FORMAT=MLN","Sort=A","Dates=H","DateFormat=P","Fill=—","Direction=H","UseDPDF=Y")</f>
        <v>—</v>
      </c>
      <c r="U83" s="13" t="str">
        <f>_xll.BDH("NBIX US Equity","ARDR_NON_GAAP_OPERATING_EXPENSES","FQ2 2023","FQ2 2023","Currency=USD","Period=FQ","BEST_FPERIOD_OVERRIDE=FQ","FILING_STATUS=MR","SCALING_FORMAT=MLN","Sort=A","Dates=H","DateFormat=P","Fill=—","Direction=H","UseDPDF=Y")</f>
        <v>—</v>
      </c>
      <c r="V83" s="13" t="str">
        <f>_xll.BDH("NBIX US Equity","ARDR_NON_GAAP_OPERATING_EXPENSES","FQ3 2023","FQ3 2023","Currency=USD","Period=FQ","BEST_FPERIOD_OVERRIDE=FQ","FILING_STATUS=MR","SCALING_FORMAT=MLN","Sort=A","Dates=H","DateFormat=P","Fill=—","Direction=H","UseDPDF=Y")</f>
        <v>—</v>
      </c>
      <c r="W83" s="13" t="str">
        <f>_xll.BDH("NBIX US Equity","ARDR_NON_GAAP_OPERATING_EXPENSES","FQ4 2023","FQ4 2023","Currency=USD","Period=FQ","BEST_FPERIOD_OVERRIDE=FQ","FILING_STATUS=MR","SCALING_FORMAT=MLN","Sort=A","Dates=H","DateFormat=P","Fill=—","Direction=H","UseDPDF=Y")</f>
        <v>—</v>
      </c>
      <c r="X83" s="13" t="str">
        <f>_xll.BDH("NBIX US Equity","ARDR_NON_GAAP_OPERATING_EXPENSES","FQ1 2024","FQ1 2024","Currency=USD","Period=FQ","BEST_FPERIOD_OVERRIDE=FQ","FILING_STATUS=MR","SCALING_FORMAT=MLN","Sort=A","Dates=H","DateFormat=P","Fill=—","Direction=H","UseDPDF=Y")</f>
        <v>—</v>
      </c>
      <c r="Y83" s="13" t="str">
        <f>_xll.BDH("NBIX US Equity","ARDR_NON_GAAP_OPERATING_EXPENSES","FQ2 2024","FQ2 2024","Currency=USD","Period=FQ","BEST_FPERIOD_OVERRIDE=FQ","FILING_STATUS=MR","SCALING_FORMAT=MLN","Sort=A","Dates=H","DateFormat=P","Fill=—","Direction=H","UseDPDF=Y")</f>
        <v>—</v>
      </c>
      <c r="Z83" s="13" t="str">
        <f>_xll.BDH("NBIX US Equity","ARDR_NON_GAAP_OPERATING_EXPENSES","FQ3 2024","FQ3 2024","Currency=USD","Period=FQ","BEST_FPERIOD_OVERRIDE=FQ","FILING_STATUS=MR","SCALING_FORMAT=MLN","Sort=A","Dates=H","DateFormat=P","Fill=—","Direction=H","UseDPDF=Y")</f>
        <v>—</v>
      </c>
      <c r="AA83" s="13" t="str">
        <f>_xll.BDH("NBIX US Equity","ARDR_NON_GAAP_OPERATING_EXPENSES","FQ4 2024","FQ4 2024","Currency=USD","Period=FQ","BEST_FPERIOD_OVERRIDE=FQ","FILING_STATUS=MR","SCALING_FORMAT=MLN","Sort=A","Dates=H","DateFormat=P","Fill=—","Direction=H","UseDPDF=Y")</f>
        <v>—</v>
      </c>
    </row>
    <row r="84" spans="1:27" x14ac:dyDescent="0.25">
      <c r="A84" s="10" t="s">
        <v>548</v>
      </c>
      <c r="B84" s="10" t="s">
        <v>549</v>
      </c>
      <c r="C84" s="13" t="str">
        <f>_xll.BDH("NBIX US Equity","ARDR_SBC_NON_GAAP_G&amp;A","FQ4 2018","FQ4 2018","Currency=USD","Period=FQ","BEST_FPERIOD_OVERRIDE=FQ","FILING_STATUS=MR","SCALING_FORMAT=MLN","Sort=A","Dates=H","DateFormat=P","Fill=—","Direction=H","UseDPDF=Y")</f>
        <v>—</v>
      </c>
      <c r="D84" s="13" t="str">
        <f>_xll.BDH("NBIX US Equity","ARDR_SBC_NON_GAAP_G&amp;A","FQ1 2019","FQ1 2019","Currency=USD","Period=FQ","BEST_FPERIOD_OVERRIDE=FQ","FILING_STATUS=MR","SCALING_FORMAT=MLN","Sort=A","Dates=H","DateFormat=P","Fill=—","Direction=H","UseDPDF=Y")</f>
        <v>—</v>
      </c>
      <c r="E84" s="13" t="str">
        <f>_xll.BDH("NBIX US Equity","ARDR_SBC_NON_GAAP_G&amp;A","FQ2 2019","FQ2 2019","Currency=USD","Period=FQ","BEST_FPERIOD_OVERRIDE=FQ","FILING_STATUS=MR","SCALING_FORMAT=MLN","Sort=A","Dates=H","DateFormat=P","Fill=—","Direction=H","UseDPDF=Y")</f>
        <v>—</v>
      </c>
      <c r="F84" s="13" t="str">
        <f>_xll.BDH("NBIX US Equity","ARDR_SBC_NON_GAAP_G&amp;A","FQ3 2019","FQ3 2019","Currency=USD","Period=FQ","BEST_FPERIOD_OVERRIDE=FQ","FILING_STATUS=MR","SCALING_FORMAT=MLN","Sort=A","Dates=H","DateFormat=P","Fill=—","Direction=H","UseDPDF=Y")</f>
        <v>—</v>
      </c>
      <c r="G84" s="13" t="str">
        <f>_xll.BDH("NBIX US Equity","ARDR_SBC_NON_GAAP_G&amp;A","FQ4 2019","FQ4 2019","Currency=USD","Period=FQ","BEST_FPERIOD_OVERRIDE=FQ","FILING_STATUS=MR","SCALING_FORMAT=MLN","Sort=A","Dates=H","DateFormat=P","Fill=—","Direction=H","UseDPDF=Y")</f>
        <v>—</v>
      </c>
      <c r="H84" s="13" t="str">
        <f>_xll.BDH("NBIX US Equity","ARDR_SBC_NON_GAAP_G&amp;A","FQ1 2020","FQ1 2020","Currency=USD","Period=FQ","BEST_FPERIOD_OVERRIDE=FQ","FILING_STATUS=MR","SCALING_FORMAT=MLN","Sort=A","Dates=H","DateFormat=P","Fill=—","Direction=H","UseDPDF=Y")</f>
        <v>—</v>
      </c>
      <c r="I84" s="13" t="str">
        <f>_xll.BDH("NBIX US Equity","ARDR_SBC_NON_GAAP_G&amp;A","FQ2 2020","FQ2 2020","Currency=USD","Period=FQ","BEST_FPERIOD_OVERRIDE=FQ","FILING_STATUS=MR","SCALING_FORMAT=MLN","Sort=A","Dates=H","DateFormat=P","Fill=—","Direction=H","UseDPDF=Y")</f>
        <v>—</v>
      </c>
      <c r="J84" s="13">
        <f>_xll.BDH("NBIX US Equity","ARDR_SBC_NON_GAAP_G&amp;A","FQ3 2020","FQ3 2020","Currency=USD","Period=FQ","BEST_FPERIOD_OVERRIDE=FQ","FILING_STATUS=MR","SCALING_FORMAT=MLN","Sort=A","Dates=H","DateFormat=P","Fill=—","Direction=H","UseDPDF=Y")</f>
        <v>17.899999999999999</v>
      </c>
      <c r="K84" s="13" t="str">
        <f>_xll.BDH("NBIX US Equity","ARDR_SBC_NON_GAAP_G&amp;A","FQ4 2020","FQ4 2020","Currency=USD","Period=FQ","BEST_FPERIOD_OVERRIDE=FQ","FILING_STATUS=MR","SCALING_FORMAT=MLN","Sort=A","Dates=H","DateFormat=P","Fill=—","Direction=H","UseDPDF=Y")</f>
        <v>—</v>
      </c>
      <c r="L84" s="13" t="str">
        <f>_xll.BDH("NBIX US Equity","ARDR_SBC_NON_GAAP_G&amp;A","FQ1 2021","FQ1 2021","Currency=USD","Period=FQ","BEST_FPERIOD_OVERRIDE=FQ","FILING_STATUS=MR","SCALING_FORMAT=MLN","Sort=A","Dates=H","DateFormat=P","Fill=—","Direction=H","UseDPDF=Y")</f>
        <v>—</v>
      </c>
      <c r="M84" s="13" t="str">
        <f>_xll.BDH("NBIX US Equity","ARDR_SBC_NON_GAAP_G&amp;A","FQ2 2021","FQ2 2021","Currency=USD","Period=FQ","BEST_FPERIOD_OVERRIDE=FQ","FILING_STATUS=MR","SCALING_FORMAT=MLN","Sort=A","Dates=H","DateFormat=P","Fill=—","Direction=H","UseDPDF=Y")</f>
        <v>—</v>
      </c>
      <c r="N84" s="13">
        <f>_xll.BDH("NBIX US Equity","ARDR_SBC_NON_GAAP_G&amp;A","FQ3 2021","FQ3 2021","Currency=USD","Period=FQ","BEST_FPERIOD_OVERRIDE=FQ","FILING_STATUS=MR","SCALING_FORMAT=MLN","Sort=A","Dates=H","DateFormat=P","Fill=—","Direction=H","UseDPDF=Y")</f>
        <v>25.1</v>
      </c>
      <c r="O84" s="13">
        <f>_xll.BDH("NBIX US Equity","ARDR_SBC_NON_GAAP_G&amp;A","FQ4 2021","FQ4 2021","Currency=USD","Period=FQ","BEST_FPERIOD_OVERRIDE=FQ","FILING_STATUS=MR","SCALING_FORMAT=MLN","Sort=A","Dates=H","DateFormat=P","Fill=—","Direction=H","UseDPDF=Y")</f>
        <v>23.4</v>
      </c>
      <c r="P84" s="13">
        <f>_xll.BDH("NBIX US Equity","ARDR_SBC_NON_GAAP_G&amp;A","FQ1 2022","FQ1 2022","Currency=USD","Period=FQ","BEST_FPERIOD_OVERRIDE=FQ","FILING_STATUS=MR","SCALING_FORMAT=MLN","Sort=A","Dates=H","DateFormat=P","Fill=—","Direction=H","UseDPDF=Y")</f>
        <v>24.5</v>
      </c>
      <c r="Q84" s="13">
        <f>_xll.BDH("NBIX US Equity","ARDR_SBC_NON_GAAP_G&amp;A","FQ2 2022","FQ2 2022","Currency=USD","Period=FQ","BEST_FPERIOD_OVERRIDE=FQ","FILING_STATUS=MR","SCALING_FORMAT=MLN","Sort=A","Dates=H","DateFormat=P","Fill=—","Direction=H","UseDPDF=Y")</f>
        <v>33.299999999999997</v>
      </c>
      <c r="R84" s="13">
        <f>_xll.BDH("NBIX US Equity","ARDR_SBC_NON_GAAP_G&amp;A","FQ3 2022","FQ3 2022","Currency=USD","Period=FQ","BEST_FPERIOD_OVERRIDE=FQ","FILING_STATUS=MR","SCALING_FORMAT=MLN","Sort=A","Dates=H","DateFormat=P","Fill=—","Direction=H","UseDPDF=Y")</f>
        <v>28.2</v>
      </c>
      <c r="S84" s="13">
        <f>_xll.BDH("NBIX US Equity","ARDR_SBC_NON_GAAP_G&amp;A","FQ4 2022","FQ4 2022","Currency=USD","Period=FQ","BEST_FPERIOD_OVERRIDE=FQ","FILING_STATUS=MR","SCALING_FORMAT=MLN","Sort=A","Dates=H","DateFormat=P","Fill=—","Direction=H","UseDPDF=Y")</f>
        <v>29.4</v>
      </c>
      <c r="T84" s="13">
        <f>_xll.BDH("NBIX US Equity","ARDR_SBC_NON_GAAP_G&amp;A","FQ1 2023","FQ1 2023","Currency=USD","Period=FQ","BEST_FPERIOD_OVERRIDE=FQ","FILING_STATUS=MR","SCALING_FORMAT=MLN","Sort=A","Dates=H","DateFormat=P","Fill=—","Direction=H","UseDPDF=Y")</f>
        <v>26.1</v>
      </c>
      <c r="U84" s="13">
        <f>_xll.BDH("NBIX US Equity","ARDR_SBC_NON_GAAP_G&amp;A","FQ2 2023","FQ2 2023","Currency=USD","Period=FQ","BEST_FPERIOD_OVERRIDE=FQ","FILING_STATUS=MR","SCALING_FORMAT=MLN","Sort=A","Dates=H","DateFormat=P","Fill=—","Direction=H","UseDPDF=Y")</f>
        <v>44.7</v>
      </c>
      <c r="V84" s="13">
        <f>_xll.BDH("NBIX US Equity","ARDR_SBC_NON_GAAP_G&amp;A","FQ3 2023","FQ3 2023","Currency=USD","Period=FQ","BEST_FPERIOD_OVERRIDE=FQ","FILING_STATUS=MR","SCALING_FORMAT=MLN","Sort=A","Dates=H","DateFormat=P","Fill=—","Direction=H","UseDPDF=Y")</f>
        <v>30.6</v>
      </c>
      <c r="W84" s="13">
        <f>_xll.BDH("NBIX US Equity","ARDR_SBC_NON_GAAP_G&amp;A","FQ4 2023","FQ4 2023","Currency=USD","Period=FQ","BEST_FPERIOD_OVERRIDE=FQ","FILING_STATUS=MR","SCALING_FORMAT=MLN","Sort=A","Dates=H","DateFormat=P","Fill=—","Direction=H","UseDPDF=Y")</f>
        <v>24.9</v>
      </c>
      <c r="X84" s="13">
        <f>_xll.BDH("NBIX US Equity","ARDR_SBC_NON_GAAP_G&amp;A","FQ1 2024","FQ1 2024","Currency=USD","Period=FQ","BEST_FPERIOD_OVERRIDE=FQ","FILING_STATUS=MR","SCALING_FORMAT=MLN","Sort=A","Dates=H","DateFormat=P","Fill=—","Direction=H","UseDPDF=Y")</f>
        <v>27.5</v>
      </c>
      <c r="Y84" s="13">
        <f>_xll.BDH("NBIX US Equity","ARDR_SBC_NON_GAAP_G&amp;A","FQ2 2024","FQ2 2024","Currency=USD","Period=FQ","BEST_FPERIOD_OVERRIDE=FQ","FILING_STATUS=MR","SCALING_FORMAT=MLN","Sort=A","Dates=H","DateFormat=P","Fill=—","Direction=H","UseDPDF=Y")</f>
        <v>27.3</v>
      </c>
      <c r="Z84" s="13">
        <f>_xll.BDH("NBIX US Equity","ARDR_SBC_NON_GAAP_G&amp;A","FQ3 2024","FQ3 2024","Currency=USD","Period=FQ","BEST_FPERIOD_OVERRIDE=FQ","FILING_STATUS=MR","SCALING_FORMAT=MLN","Sort=A","Dates=H","DateFormat=P","Fill=—","Direction=H","UseDPDF=Y")</f>
        <v>26.7</v>
      </c>
      <c r="AA84" s="13">
        <f>_xll.BDH("NBIX US Equity","ARDR_SBC_NON_GAAP_G&amp;A","FQ4 2024","FQ4 2024","Currency=USD","Period=FQ","BEST_FPERIOD_OVERRIDE=FQ","FILING_STATUS=MR","SCALING_FORMAT=MLN","Sort=A","Dates=H","DateFormat=P","Fill=—","Direction=H","UseDPDF=Y")</f>
        <v>45.2</v>
      </c>
    </row>
    <row r="85" spans="1:27" x14ac:dyDescent="0.25">
      <c r="A85" s="10" t="s">
        <v>550</v>
      </c>
      <c r="B85" s="10" t="s">
        <v>551</v>
      </c>
      <c r="C85" s="13" t="str">
        <f>_xll.BDH("NBIX US Equity","ARDR_SBC_NON_GAAP_R&amp;D","FQ4 2018","FQ4 2018","Currency=USD","Period=FQ","BEST_FPERIOD_OVERRIDE=FQ","FILING_STATUS=MR","SCALING_FORMAT=MLN","Sort=A","Dates=H","DateFormat=P","Fill=—","Direction=H","UseDPDF=Y")</f>
        <v>—</v>
      </c>
      <c r="D85" s="13" t="str">
        <f>_xll.BDH("NBIX US Equity","ARDR_SBC_NON_GAAP_R&amp;D","FQ1 2019","FQ1 2019","Currency=USD","Period=FQ","BEST_FPERIOD_OVERRIDE=FQ","FILING_STATUS=MR","SCALING_FORMAT=MLN","Sort=A","Dates=H","DateFormat=P","Fill=—","Direction=H","UseDPDF=Y")</f>
        <v>—</v>
      </c>
      <c r="E85" s="13" t="str">
        <f>_xll.BDH("NBIX US Equity","ARDR_SBC_NON_GAAP_R&amp;D","FQ2 2019","FQ2 2019","Currency=USD","Period=FQ","BEST_FPERIOD_OVERRIDE=FQ","FILING_STATUS=MR","SCALING_FORMAT=MLN","Sort=A","Dates=H","DateFormat=P","Fill=—","Direction=H","UseDPDF=Y")</f>
        <v>—</v>
      </c>
      <c r="F85" s="13" t="str">
        <f>_xll.BDH("NBIX US Equity","ARDR_SBC_NON_GAAP_R&amp;D","FQ3 2019","FQ3 2019","Currency=USD","Period=FQ","BEST_FPERIOD_OVERRIDE=FQ","FILING_STATUS=MR","SCALING_FORMAT=MLN","Sort=A","Dates=H","DateFormat=P","Fill=—","Direction=H","UseDPDF=Y")</f>
        <v>—</v>
      </c>
      <c r="G85" s="13" t="str">
        <f>_xll.BDH("NBIX US Equity","ARDR_SBC_NON_GAAP_R&amp;D","FQ4 2019","FQ4 2019","Currency=USD","Period=FQ","BEST_FPERIOD_OVERRIDE=FQ","FILING_STATUS=MR","SCALING_FORMAT=MLN","Sort=A","Dates=H","DateFormat=P","Fill=—","Direction=H","UseDPDF=Y")</f>
        <v>—</v>
      </c>
      <c r="H85" s="13" t="str">
        <f>_xll.BDH("NBIX US Equity","ARDR_SBC_NON_GAAP_R&amp;D","FQ1 2020","FQ1 2020","Currency=USD","Period=FQ","BEST_FPERIOD_OVERRIDE=FQ","FILING_STATUS=MR","SCALING_FORMAT=MLN","Sort=A","Dates=H","DateFormat=P","Fill=—","Direction=H","UseDPDF=Y")</f>
        <v>—</v>
      </c>
      <c r="I85" s="13" t="str">
        <f>_xll.BDH("NBIX US Equity","ARDR_SBC_NON_GAAP_R&amp;D","FQ2 2020","FQ2 2020","Currency=USD","Period=FQ","BEST_FPERIOD_OVERRIDE=FQ","FILING_STATUS=MR","SCALING_FORMAT=MLN","Sort=A","Dates=H","DateFormat=P","Fill=—","Direction=H","UseDPDF=Y")</f>
        <v>—</v>
      </c>
      <c r="J85" s="13">
        <f>_xll.BDH("NBIX US Equity","ARDR_SBC_NON_GAAP_R&amp;D","FQ3 2020","FQ3 2020","Currency=USD","Period=FQ","BEST_FPERIOD_OVERRIDE=FQ","FILING_STATUS=MR","SCALING_FORMAT=MLN","Sort=A","Dates=H","DateFormat=P","Fill=—","Direction=H","UseDPDF=Y")</f>
        <v>8.8000000000000007</v>
      </c>
      <c r="K85" s="13" t="str">
        <f>_xll.BDH("NBIX US Equity","ARDR_SBC_NON_GAAP_R&amp;D","FQ4 2020","FQ4 2020","Currency=USD","Period=FQ","BEST_FPERIOD_OVERRIDE=FQ","FILING_STATUS=MR","SCALING_FORMAT=MLN","Sort=A","Dates=H","DateFormat=P","Fill=—","Direction=H","UseDPDF=Y")</f>
        <v>—</v>
      </c>
      <c r="L85" s="13" t="str">
        <f>_xll.BDH("NBIX US Equity","ARDR_SBC_NON_GAAP_R&amp;D","FQ1 2021","FQ1 2021","Currency=USD","Period=FQ","BEST_FPERIOD_OVERRIDE=FQ","FILING_STATUS=MR","SCALING_FORMAT=MLN","Sort=A","Dates=H","DateFormat=P","Fill=—","Direction=H","UseDPDF=Y")</f>
        <v>—</v>
      </c>
      <c r="M85" s="13" t="str">
        <f>_xll.BDH("NBIX US Equity","ARDR_SBC_NON_GAAP_R&amp;D","FQ2 2021","FQ2 2021","Currency=USD","Period=FQ","BEST_FPERIOD_OVERRIDE=FQ","FILING_STATUS=MR","SCALING_FORMAT=MLN","Sort=A","Dates=H","DateFormat=P","Fill=—","Direction=H","UseDPDF=Y")</f>
        <v>—</v>
      </c>
      <c r="N85" s="13">
        <f>_xll.BDH("NBIX US Equity","ARDR_SBC_NON_GAAP_R&amp;D","FQ3 2021","FQ3 2021","Currency=USD","Period=FQ","BEST_FPERIOD_OVERRIDE=FQ","FILING_STATUS=MR","SCALING_FORMAT=MLN","Sort=A","Dates=H","DateFormat=P","Fill=—","Direction=H","UseDPDF=Y")</f>
        <v>12</v>
      </c>
      <c r="O85" s="13">
        <f>_xll.BDH("NBIX US Equity","ARDR_SBC_NON_GAAP_R&amp;D","FQ4 2021","FQ4 2021","Currency=USD","Period=FQ","BEST_FPERIOD_OVERRIDE=FQ","FILING_STATUS=MR","SCALING_FORMAT=MLN","Sort=A","Dates=H","DateFormat=P","Fill=—","Direction=H","UseDPDF=Y")</f>
        <v>12.2</v>
      </c>
      <c r="P85" s="13">
        <f>_xll.BDH("NBIX US Equity","ARDR_SBC_NON_GAAP_R&amp;D","FQ1 2022","FQ1 2022","Currency=USD","Period=FQ","BEST_FPERIOD_OVERRIDE=FQ","FILING_STATUS=MR","SCALING_FORMAT=MLN","Sort=A","Dates=H","DateFormat=P","Fill=—","Direction=H","UseDPDF=Y")</f>
        <v>12.5</v>
      </c>
      <c r="Q85" s="13">
        <f>_xll.BDH("NBIX US Equity","ARDR_SBC_NON_GAAP_R&amp;D","FQ2 2022","FQ2 2022","Currency=USD","Period=FQ","BEST_FPERIOD_OVERRIDE=FQ","FILING_STATUS=MR","SCALING_FORMAT=MLN","Sort=A","Dates=H","DateFormat=P","Fill=—","Direction=H","UseDPDF=Y")</f>
        <v>16.2</v>
      </c>
      <c r="R85" s="13">
        <f>_xll.BDH("NBIX US Equity","ARDR_SBC_NON_GAAP_R&amp;D","FQ3 2022","FQ3 2022","Currency=USD","Period=FQ","BEST_FPERIOD_OVERRIDE=FQ","FILING_STATUS=MR","SCALING_FORMAT=MLN","Sort=A","Dates=H","DateFormat=P","Fill=—","Direction=H","UseDPDF=Y")</f>
        <v>14.9</v>
      </c>
      <c r="S85" s="13">
        <f>_xll.BDH("NBIX US Equity","ARDR_SBC_NON_GAAP_R&amp;D","FQ4 2022","FQ4 2022","Currency=USD","Period=FQ","BEST_FPERIOD_OVERRIDE=FQ","FILING_STATUS=MR","SCALING_FORMAT=MLN","Sort=A","Dates=H","DateFormat=P","Fill=—","Direction=H","UseDPDF=Y")</f>
        <v>14.1</v>
      </c>
      <c r="T85" s="13">
        <f>_xll.BDH("NBIX US Equity","ARDR_SBC_NON_GAAP_R&amp;D","FQ1 2023","FQ1 2023","Currency=USD","Period=FQ","BEST_FPERIOD_OVERRIDE=FQ","FILING_STATUS=MR","SCALING_FORMAT=MLN","Sort=A","Dates=H","DateFormat=P","Fill=—","Direction=H","UseDPDF=Y")</f>
        <v>13.8</v>
      </c>
      <c r="U85" s="13">
        <f>_xll.BDH("NBIX US Equity","ARDR_SBC_NON_GAAP_R&amp;D","FQ2 2023","FQ2 2023","Currency=USD","Period=FQ","BEST_FPERIOD_OVERRIDE=FQ","FILING_STATUS=MR","SCALING_FORMAT=MLN","Sort=A","Dates=H","DateFormat=P","Fill=—","Direction=H","UseDPDF=Y")</f>
        <v>23.8</v>
      </c>
      <c r="V85" s="13">
        <f>_xll.BDH("NBIX US Equity","ARDR_SBC_NON_GAAP_R&amp;D","FQ3 2023","FQ3 2023","Currency=USD","Period=FQ","BEST_FPERIOD_OVERRIDE=FQ","FILING_STATUS=MR","SCALING_FORMAT=MLN","Sort=A","Dates=H","DateFormat=P","Fill=—","Direction=H","UseDPDF=Y")</f>
        <v>17.2</v>
      </c>
      <c r="W85" s="13">
        <f>_xll.BDH("NBIX US Equity","ARDR_SBC_NON_GAAP_R&amp;D","FQ4 2023","FQ4 2023","Currency=USD","Period=FQ","BEST_FPERIOD_OVERRIDE=FQ","FILING_STATUS=MR","SCALING_FORMAT=MLN","Sort=A","Dates=H","DateFormat=P","Fill=—","Direction=H","UseDPDF=Y")</f>
        <v>13.2</v>
      </c>
      <c r="X85" s="13">
        <f>_xll.BDH("NBIX US Equity","ARDR_SBC_NON_GAAP_R&amp;D","FQ1 2024","FQ1 2024","Currency=USD","Period=FQ","BEST_FPERIOD_OVERRIDE=FQ","FILING_STATUS=MR","SCALING_FORMAT=MLN","Sort=A","Dates=H","DateFormat=P","Fill=—","Direction=H","UseDPDF=Y")</f>
        <v>17</v>
      </c>
      <c r="Y85" s="13">
        <f>_xll.BDH("NBIX US Equity","ARDR_SBC_NON_GAAP_R&amp;D","FQ2 2024","FQ2 2024","Currency=USD","Period=FQ","BEST_FPERIOD_OVERRIDE=FQ","FILING_STATUS=MR","SCALING_FORMAT=MLN","Sort=A","Dates=H","DateFormat=P","Fill=—","Direction=H","UseDPDF=Y")</f>
        <v>15.8</v>
      </c>
      <c r="Z85" s="13">
        <f>_xll.BDH("NBIX US Equity","ARDR_SBC_NON_GAAP_R&amp;D","FQ3 2024","FQ3 2024","Currency=USD","Period=FQ","BEST_FPERIOD_OVERRIDE=FQ","FILING_STATUS=MR","SCALING_FORMAT=MLN","Sort=A","Dates=H","DateFormat=P","Fill=—","Direction=H","UseDPDF=Y")</f>
        <v>14.8</v>
      </c>
      <c r="AA85" s="13">
        <f>_xll.BDH("NBIX US Equity","ARDR_SBC_NON_GAAP_R&amp;D","FQ4 2024","FQ4 2024","Currency=USD","Period=FQ","BEST_FPERIOD_OVERRIDE=FQ","FILING_STATUS=MR","SCALING_FORMAT=MLN","Sort=A","Dates=H","DateFormat=P","Fill=—","Direction=H","UseDPDF=Y")</f>
        <v>21.2</v>
      </c>
    </row>
    <row r="86" spans="1:27" x14ac:dyDescent="0.25">
      <c r="A86" s="10" t="s">
        <v>552</v>
      </c>
      <c r="B86" s="10" t="s">
        <v>553</v>
      </c>
      <c r="C86" s="13" t="str">
        <f>_xll.BDH("NBIX US Equity","ARDR_TAX_EFFECT_NON_GAAP_ADJ","FQ4 2018","FQ4 2018","Currency=USD","Period=FQ","BEST_FPERIOD_OVERRIDE=FQ","FILING_STATUS=MR","SCALING_FORMAT=MLN","Sort=A","Dates=H","DateFormat=P","Fill=—","Direction=H","UseDPDF=Y")</f>
        <v>—</v>
      </c>
      <c r="D86" s="13" t="str">
        <f>_xll.BDH("NBIX US Equity","ARDR_TAX_EFFECT_NON_GAAP_ADJ","FQ1 2019","FQ1 2019","Currency=USD","Period=FQ","BEST_FPERIOD_OVERRIDE=FQ","FILING_STATUS=MR","SCALING_FORMAT=MLN","Sort=A","Dates=H","DateFormat=P","Fill=—","Direction=H","UseDPDF=Y")</f>
        <v>—</v>
      </c>
      <c r="E86" s="13" t="str">
        <f>_xll.BDH("NBIX US Equity","ARDR_TAX_EFFECT_NON_GAAP_ADJ","FQ2 2019","FQ2 2019","Currency=USD","Period=FQ","BEST_FPERIOD_OVERRIDE=FQ","FILING_STATUS=MR","SCALING_FORMAT=MLN","Sort=A","Dates=H","DateFormat=P","Fill=—","Direction=H","UseDPDF=Y")</f>
        <v>—</v>
      </c>
      <c r="F86" s="13" t="str">
        <f>_xll.BDH("NBIX US Equity","ARDR_TAX_EFFECT_NON_GAAP_ADJ","FQ3 2019","FQ3 2019","Currency=USD","Period=FQ","BEST_FPERIOD_OVERRIDE=FQ","FILING_STATUS=MR","SCALING_FORMAT=MLN","Sort=A","Dates=H","DateFormat=P","Fill=—","Direction=H","UseDPDF=Y")</f>
        <v>—</v>
      </c>
      <c r="G86" s="13">
        <f>_xll.BDH("NBIX US Equity","ARDR_TAX_EFFECT_NON_GAAP_ADJ","FQ4 2019","FQ4 2019","Currency=USD","Period=FQ","BEST_FPERIOD_OVERRIDE=FQ","FILING_STATUS=MR","SCALING_FORMAT=MLN","Sort=A","Dates=H","DateFormat=P","Fill=—","Direction=H","UseDPDF=Y")</f>
        <v>-0.8</v>
      </c>
      <c r="H86" s="13">
        <f>_xll.BDH("NBIX US Equity","ARDR_TAX_EFFECT_NON_GAAP_ADJ","FQ1 2020","FQ1 2020","Currency=USD","Period=FQ","BEST_FPERIOD_OVERRIDE=FQ","FILING_STATUS=MR","SCALING_FORMAT=MLN","Sort=A","Dates=H","DateFormat=P","Fill=—","Direction=H","UseDPDF=Y")</f>
        <v>-1.6</v>
      </c>
      <c r="I86" s="13">
        <f>_xll.BDH("NBIX US Equity","ARDR_TAX_EFFECT_NON_GAAP_ADJ","FQ2 2020","FQ2 2020","Currency=USD","Period=FQ","BEST_FPERIOD_OVERRIDE=FQ","FILING_STATUS=MR","SCALING_FORMAT=MLN","Sort=A","Dates=H","DateFormat=P","Fill=—","Direction=H","UseDPDF=Y")</f>
        <v>-0.1</v>
      </c>
      <c r="J86" s="13">
        <f>_xll.BDH("NBIX US Equity","ARDR_TAX_EFFECT_NON_GAAP_ADJ","FQ3 2020","FQ3 2020","Currency=USD","Period=FQ","BEST_FPERIOD_OVERRIDE=FQ","FILING_STATUS=MR","SCALING_FORMAT=MLN","Sort=A","Dates=H","DateFormat=P","Fill=—","Direction=H","UseDPDF=Y")</f>
        <v>-3.6</v>
      </c>
      <c r="K86" s="13">
        <f>_xll.BDH("NBIX US Equity","ARDR_TAX_EFFECT_NON_GAAP_ADJ","FQ4 2020","FQ4 2020","Currency=USD","Period=FQ","BEST_FPERIOD_OVERRIDE=FQ","FILING_STATUS=MR","SCALING_FORMAT=MLN","Sort=A","Dates=H","DateFormat=P","Fill=—","Direction=H","UseDPDF=Y")</f>
        <v>-309</v>
      </c>
      <c r="L86" s="13">
        <f>_xll.BDH("NBIX US Equity","ARDR_TAX_EFFECT_NON_GAAP_ADJ","FQ1 2021","FQ1 2021","Currency=USD","Period=FQ","BEST_FPERIOD_OVERRIDE=FQ","FILING_STATUS=MR","SCALING_FORMAT=MLN","Sort=A","Dates=H","DateFormat=P","Fill=—","Direction=H","UseDPDF=Y")</f>
        <v>-19.5</v>
      </c>
      <c r="M86" s="13">
        <f>_xll.BDH("NBIX US Equity","ARDR_TAX_EFFECT_NON_GAAP_ADJ","FQ2 2021","FQ2 2021","Currency=USD","Period=FQ","BEST_FPERIOD_OVERRIDE=FQ","FILING_STATUS=MR","SCALING_FORMAT=MLN","Sort=A","Dates=H","DateFormat=P","Fill=—","Direction=H","UseDPDF=Y")</f>
        <v>-2.6</v>
      </c>
      <c r="N86" s="13">
        <f>_xll.BDH("NBIX US Equity","ARDR_TAX_EFFECT_NON_GAAP_ADJ","FQ3 2021","FQ3 2021","Currency=USD","Period=FQ","BEST_FPERIOD_OVERRIDE=FQ","FILING_STATUS=MR","SCALING_FORMAT=MLN","Sort=A","Dates=H","DateFormat=P","Fill=—","Direction=H","UseDPDF=Y")</f>
        <v>-9.6</v>
      </c>
      <c r="O86" s="13" t="str">
        <f>_xll.BDH("NBIX US Equity","ARDR_TAX_EFFECT_NON_GAAP_ADJ","FQ4 2021","FQ4 2021","Currency=USD","Period=FQ","BEST_FPERIOD_OVERRIDE=FQ","FILING_STATUS=MR","SCALING_FORMAT=MLN","Sort=A","Dates=H","DateFormat=P","Fill=—","Direction=H","UseDPDF=Y")</f>
        <v>—</v>
      </c>
      <c r="P86" s="13">
        <f>_xll.BDH("NBIX US Equity","ARDR_TAX_EFFECT_NON_GAAP_ADJ","FQ1 2022","FQ1 2022","Currency=USD","Period=FQ","BEST_FPERIOD_OVERRIDE=FQ","FILING_STATUS=MR","SCALING_FORMAT=MLN","Sort=A","Dates=H","DateFormat=P","Fill=—","Direction=H","UseDPDF=Y")</f>
        <v>-1.7</v>
      </c>
      <c r="Q86" s="13">
        <f>_xll.BDH("NBIX US Equity","ARDR_TAX_EFFECT_NON_GAAP_ADJ","FQ2 2022","FQ2 2022","Currency=USD","Period=FQ","BEST_FPERIOD_OVERRIDE=FQ","FILING_STATUS=MR","SCALING_FORMAT=MLN","Sort=A","Dates=H","DateFormat=P","Fill=—","Direction=H","UseDPDF=Y")</f>
        <v>-28.3</v>
      </c>
      <c r="R86" s="13">
        <f>_xll.BDH("NBIX US Equity","ARDR_TAX_EFFECT_NON_GAAP_ADJ","FQ3 2022","FQ3 2022","Currency=USD","Period=FQ","BEST_FPERIOD_OVERRIDE=FQ","FILING_STATUS=MR","SCALING_FORMAT=MLN","Sort=A","Dates=H","DateFormat=P","Fill=—","Direction=H","UseDPDF=Y")</f>
        <v>2.6</v>
      </c>
      <c r="S86" s="13">
        <f>_xll.BDH("NBIX US Equity","ARDR_TAX_EFFECT_NON_GAAP_ADJ","FQ4 2022","FQ4 2022","Currency=USD","Period=FQ","BEST_FPERIOD_OVERRIDE=FQ","FILING_STATUS=MR","SCALING_FORMAT=MLN","Sort=A","Dates=H","DateFormat=P","Fill=—","Direction=H","UseDPDF=Y")</f>
        <v>-1.5</v>
      </c>
      <c r="T86" s="13">
        <f>_xll.BDH("NBIX US Equity","ARDR_TAX_EFFECT_NON_GAAP_ADJ","FQ1 2023","FQ1 2023","Currency=USD","Period=FQ","BEST_FPERIOD_OVERRIDE=FQ","FILING_STATUS=MR","SCALING_FORMAT=MLN","Sort=A","Dates=H","DateFormat=P","Fill=—","Direction=H","UseDPDF=Y")</f>
        <v>-11.7</v>
      </c>
      <c r="U86" s="13">
        <f>_xll.BDH("NBIX US Equity","ARDR_TAX_EFFECT_NON_GAAP_ADJ","FQ2 2023","FQ2 2023","Currency=USD","Period=FQ","BEST_FPERIOD_OVERRIDE=FQ","FILING_STATUS=MR","SCALING_FORMAT=MLN","Sort=A","Dates=H","DateFormat=P","Fill=—","Direction=H","UseDPDF=Y")</f>
        <v>-2.1</v>
      </c>
      <c r="V86" s="13">
        <f>_xll.BDH("NBIX US Equity","ARDR_TAX_EFFECT_NON_GAAP_ADJ","FQ3 2023","FQ3 2023","Currency=USD","Period=FQ","BEST_FPERIOD_OVERRIDE=FQ","FILING_STATUS=MR","SCALING_FORMAT=MLN","Sort=A","Dates=H","DateFormat=P","Fill=—","Direction=H","UseDPDF=Y")</f>
        <v>-19.899999999999999</v>
      </c>
      <c r="W86" s="13">
        <f>_xll.BDH("NBIX US Equity","ARDR_TAX_EFFECT_NON_GAAP_ADJ","FQ4 2023","FQ4 2023","Currency=USD","Period=FQ","BEST_FPERIOD_OVERRIDE=FQ","FILING_STATUS=MR","SCALING_FORMAT=MLN","Sort=A","Dates=H","DateFormat=P","Fill=—","Direction=H","UseDPDF=Y")</f>
        <v>0</v>
      </c>
      <c r="X86" s="13">
        <f>_xll.BDH("NBIX US Equity","ARDR_TAX_EFFECT_NON_GAAP_ADJ","FQ1 2024","FQ1 2024","Currency=USD","Period=FQ","BEST_FPERIOD_OVERRIDE=FQ","FILING_STATUS=MR","SCALING_FORMAT=MLN","Sort=A","Dates=H","DateFormat=P","Fill=—","Direction=H","UseDPDF=Y")</f>
        <v>-51.3</v>
      </c>
      <c r="Y86" s="13">
        <f>_xll.BDH("NBIX US Equity","ARDR_TAX_EFFECT_NON_GAAP_ADJ","FQ2 2024","FQ2 2024","Currency=USD","Period=FQ","BEST_FPERIOD_OVERRIDE=FQ","FILING_STATUS=MR","SCALING_FORMAT=MLN","Sort=A","Dates=H","DateFormat=P","Fill=—","Direction=H","UseDPDF=Y")</f>
        <v>-23.8</v>
      </c>
      <c r="Z86" s="13">
        <f>_xll.BDH("NBIX US Equity","ARDR_TAX_EFFECT_NON_GAAP_ADJ","FQ3 2024","FQ3 2024","Currency=USD","Period=FQ","BEST_FPERIOD_OVERRIDE=FQ","FILING_STATUS=MR","SCALING_FORMAT=MLN","Sort=A","Dates=H","DateFormat=P","Fill=—","Direction=H","UseDPDF=Y")</f>
        <v>-2.9</v>
      </c>
      <c r="AA86" s="13">
        <f>_xll.BDH("NBIX US Equity","ARDR_TAX_EFFECT_NON_GAAP_ADJ","FQ4 2024","FQ4 2024","Currency=USD","Period=FQ","BEST_FPERIOD_OVERRIDE=FQ","FILING_STATUS=MR","SCALING_FORMAT=MLN","Sort=A","Dates=H","DateFormat=P","Fill=—","Direction=H","UseDPDF=Y")</f>
        <v>0.1</v>
      </c>
    </row>
    <row r="87" spans="1:27" x14ac:dyDescent="0.25">
      <c r="A87" s="10" t="s">
        <v>554</v>
      </c>
      <c r="B87" s="10" t="s">
        <v>555</v>
      </c>
      <c r="C87" s="13" t="str">
        <f>_xll.BDH("NBIX US Equity","ARDR_NON_GAAP_DIL_WAVG_SHRS","FQ4 2018","FQ4 2018","Currency=USD","Period=FQ","BEST_FPERIOD_OVERRIDE=FQ","FILING_STATUS=MR","Sort=A","Dates=H","DateFormat=P","Fill=—","Direction=H","UseDPDF=Y")</f>
        <v>—</v>
      </c>
      <c r="D87" s="13" t="str">
        <f>_xll.BDH("NBIX US Equity","ARDR_NON_GAAP_DIL_WAVG_SHRS","FQ1 2019","FQ1 2019","Currency=USD","Period=FQ","BEST_FPERIOD_OVERRIDE=FQ","FILING_STATUS=MR","Sort=A","Dates=H","DateFormat=P","Fill=—","Direction=H","UseDPDF=Y")</f>
        <v>—</v>
      </c>
      <c r="E87" s="13" t="str">
        <f>_xll.BDH("NBIX US Equity","ARDR_NON_GAAP_DIL_WAVG_SHRS","FQ2 2019","FQ2 2019","Currency=USD","Period=FQ","BEST_FPERIOD_OVERRIDE=FQ","FILING_STATUS=MR","Sort=A","Dates=H","DateFormat=P","Fill=—","Direction=H","UseDPDF=Y")</f>
        <v>—</v>
      </c>
      <c r="F87" s="13" t="str">
        <f>_xll.BDH("NBIX US Equity","ARDR_NON_GAAP_DIL_WAVG_SHRS","FQ3 2019","FQ3 2019","Currency=USD","Period=FQ","BEST_FPERIOD_OVERRIDE=FQ","FILING_STATUS=MR","Sort=A","Dates=H","DateFormat=P","Fill=—","Direction=H","UseDPDF=Y")</f>
        <v>—</v>
      </c>
      <c r="G87" s="13" t="str">
        <f>_xll.BDH("NBIX US Equity","ARDR_NON_GAAP_DIL_WAVG_SHRS","FQ4 2019","FQ4 2019","Currency=USD","Period=FQ","BEST_FPERIOD_OVERRIDE=FQ","FILING_STATUS=MR","Sort=A","Dates=H","DateFormat=P","Fill=—","Direction=H","UseDPDF=Y")</f>
        <v>—</v>
      </c>
      <c r="H87" s="13" t="str">
        <f>_xll.BDH("NBIX US Equity","ARDR_NON_GAAP_DIL_WAVG_SHRS","FQ1 2020","FQ1 2020","Currency=USD","Period=FQ","BEST_FPERIOD_OVERRIDE=FQ","FILING_STATUS=MR","Sort=A","Dates=H","DateFormat=P","Fill=—","Direction=H","UseDPDF=Y")</f>
        <v>—</v>
      </c>
      <c r="I87" s="13" t="str">
        <f>_xll.BDH("NBIX US Equity","ARDR_NON_GAAP_DIL_WAVG_SHRS","FQ2 2020","FQ2 2020","Currency=USD","Period=FQ","BEST_FPERIOD_OVERRIDE=FQ","FILING_STATUS=MR","Sort=A","Dates=H","DateFormat=P","Fill=—","Direction=H","UseDPDF=Y")</f>
        <v>—</v>
      </c>
      <c r="J87" s="13" t="str">
        <f>_xll.BDH("NBIX US Equity","ARDR_NON_GAAP_DIL_WAVG_SHRS","FQ3 2020","FQ3 2020","Currency=USD","Period=FQ","BEST_FPERIOD_OVERRIDE=FQ","FILING_STATUS=MR","Sort=A","Dates=H","DateFormat=P","Fill=—","Direction=H","UseDPDF=Y")</f>
        <v>—</v>
      </c>
      <c r="K87" s="13" t="str">
        <f>_xll.BDH("NBIX US Equity","ARDR_NON_GAAP_DIL_WAVG_SHRS","FQ4 2020","FQ4 2020","Currency=USD","Period=FQ","BEST_FPERIOD_OVERRIDE=FQ","FILING_STATUS=MR","Sort=A","Dates=H","DateFormat=P","Fill=—","Direction=H","UseDPDF=Y")</f>
        <v>—</v>
      </c>
      <c r="L87" s="13" t="str">
        <f>_xll.BDH("NBIX US Equity","ARDR_NON_GAAP_DIL_WAVG_SHRS","FQ1 2021","FQ1 2021","Currency=USD","Period=FQ","BEST_FPERIOD_OVERRIDE=FQ","FILING_STATUS=MR","Sort=A","Dates=H","DateFormat=P","Fill=—","Direction=H","UseDPDF=Y")</f>
        <v>—</v>
      </c>
      <c r="M87" s="13" t="str">
        <f>_xll.BDH("NBIX US Equity","ARDR_NON_GAAP_DIL_WAVG_SHRS","FQ2 2021","FQ2 2021","Currency=USD","Period=FQ","BEST_FPERIOD_OVERRIDE=FQ","FILING_STATUS=MR","Sort=A","Dates=H","DateFormat=P","Fill=—","Direction=H","UseDPDF=Y")</f>
        <v>—</v>
      </c>
      <c r="N87" s="13" t="str">
        <f>_xll.BDH("NBIX US Equity","ARDR_NON_GAAP_DIL_WAVG_SHRS","FQ3 2021","FQ3 2021","Currency=USD","Period=FQ","BEST_FPERIOD_OVERRIDE=FQ","FILING_STATUS=MR","Sort=A","Dates=H","DateFormat=P","Fill=—","Direction=H","UseDPDF=Y")</f>
        <v>—</v>
      </c>
      <c r="O87" s="13">
        <f>_xll.BDH("NBIX US Equity","ARDR_NON_GAAP_DIL_WAVG_SHRS","FQ4 2021","FQ4 2021","Currency=USD","Period=FQ","BEST_FPERIOD_OVERRIDE=FQ","FILING_STATUS=MR","Sort=A","Dates=H","DateFormat=P","Fill=—","Direction=H","UseDPDF=Y")</f>
        <v>97.8</v>
      </c>
      <c r="P87" s="13" t="str">
        <f>_xll.BDH("NBIX US Equity","ARDR_NON_GAAP_DIL_WAVG_SHRS","FQ1 2022","FQ1 2022","Currency=USD","Period=FQ","BEST_FPERIOD_OVERRIDE=FQ","FILING_STATUS=MR","Sort=A","Dates=H","DateFormat=P","Fill=—","Direction=H","UseDPDF=Y")</f>
        <v>—</v>
      </c>
      <c r="Q87" s="13" t="str">
        <f>_xll.BDH("NBIX US Equity","ARDR_NON_GAAP_DIL_WAVG_SHRS","FQ2 2022","FQ2 2022","Currency=USD","Period=FQ","BEST_FPERIOD_OVERRIDE=FQ","FILING_STATUS=MR","Sort=A","Dates=H","DateFormat=P","Fill=—","Direction=H","UseDPDF=Y")</f>
        <v>—</v>
      </c>
      <c r="R87" s="13" t="str">
        <f>_xll.BDH("NBIX US Equity","ARDR_NON_GAAP_DIL_WAVG_SHRS","FQ3 2022","FQ3 2022","Currency=USD","Period=FQ","BEST_FPERIOD_OVERRIDE=FQ","FILING_STATUS=MR","Sort=A","Dates=H","DateFormat=P","Fill=—","Direction=H","UseDPDF=Y")</f>
        <v>—</v>
      </c>
      <c r="S87" s="13" t="str">
        <f>_xll.BDH("NBIX US Equity","ARDR_NON_GAAP_DIL_WAVG_SHRS","FQ4 2022","FQ4 2022","Currency=USD","Period=FQ","BEST_FPERIOD_OVERRIDE=FQ","FILING_STATUS=MR","Sort=A","Dates=H","DateFormat=P","Fill=—","Direction=H","UseDPDF=Y")</f>
        <v>—</v>
      </c>
      <c r="T87" s="13" t="str">
        <f>_xll.BDH("NBIX US Equity","ARDR_NON_GAAP_DIL_WAVG_SHRS","FQ1 2023","FQ1 2023","Currency=USD","Period=FQ","BEST_FPERIOD_OVERRIDE=FQ","FILING_STATUS=MR","Sort=A","Dates=H","DateFormat=P","Fill=—","Direction=H","UseDPDF=Y")</f>
        <v>—</v>
      </c>
      <c r="U87" s="13" t="str">
        <f>_xll.BDH("NBIX US Equity","ARDR_NON_GAAP_DIL_WAVG_SHRS","FQ2 2023","FQ2 2023","Currency=USD","Period=FQ","BEST_FPERIOD_OVERRIDE=FQ","FILING_STATUS=MR","Sort=A","Dates=H","DateFormat=P","Fill=—","Direction=H","UseDPDF=Y")</f>
        <v>—</v>
      </c>
      <c r="V87" s="13" t="str">
        <f>_xll.BDH("NBIX US Equity","ARDR_NON_GAAP_DIL_WAVG_SHRS","FQ3 2023","FQ3 2023","Currency=USD","Period=FQ","BEST_FPERIOD_OVERRIDE=FQ","FILING_STATUS=MR","Sort=A","Dates=H","DateFormat=P","Fill=—","Direction=H","UseDPDF=Y")</f>
        <v>—</v>
      </c>
      <c r="W87" s="13" t="str">
        <f>_xll.BDH("NBIX US Equity","ARDR_NON_GAAP_DIL_WAVG_SHRS","FQ4 2023","FQ4 2023","Currency=USD","Period=FQ","BEST_FPERIOD_OVERRIDE=FQ","FILING_STATUS=MR","Sort=A","Dates=H","DateFormat=P","Fill=—","Direction=H","UseDPDF=Y")</f>
        <v>—</v>
      </c>
      <c r="X87" s="13" t="str">
        <f>_xll.BDH("NBIX US Equity","ARDR_NON_GAAP_DIL_WAVG_SHRS","FQ1 2024","FQ1 2024","Currency=USD","Period=FQ","BEST_FPERIOD_OVERRIDE=FQ","FILING_STATUS=MR","Sort=A","Dates=H","DateFormat=P","Fill=—","Direction=H","UseDPDF=Y")</f>
        <v>—</v>
      </c>
      <c r="Y87" s="13" t="str">
        <f>_xll.BDH("NBIX US Equity","ARDR_NON_GAAP_DIL_WAVG_SHRS","FQ2 2024","FQ2 2024","Currency=USD","Period=FQ","BEST_FPERIOD_OVERRIDE=FQ","FILING_STATUS=MR","Sort=A","Dates=H","DateFormat=P","Fill=—","Direction=H","UseDPDF=Y")</f>
        <v>—</v>
      </c>
      <c r="Z87" s="13" t="str">
        <f>_xll.BDH("NBIX US Equity","ARDR_NON_GAAP_DIL_WAVG_SHRS","FQ3 2024","FQ3 2024","Currency=USD","Period=FQ","BEST_FPERIOD_OVERRIDE=FQ","FILING_STATUS=MR","Sort=A","Dates=H","DateFormat=P","Fill=—","Direction=H","UseDPDF=Y")</f>
        <v>—</v>
      </c>
      <c r="AA87" s="13" t="str">
        <f>_xll.BDH("NBIX US Equity","ARDR_NON_GAAP_DIL_WAVG_SHRS","FQ4 2024","FQ4 2024","Currency=USD","Period=FQ","BEST_FPERIOD_OVERRIDE=FQ","FILING_STATUS=MR","Sort=A","Dates=H","DateFormat=P","Fill=—","Direction=H","UseDPDF=Y")</f>
        <v>—</v>
      </c>
    </row>
    <row r="88" spans="1:27" x14ac:dyDescent="0.25">
      <c r="A88" s="10" t="s">
        <v>556</v>
      </c>
      <c r="B88" s="10" t="s">
        <v>557</v>
      </c>
      <c r="C88" s="14" t="str">
        <f>_xll.BDH("NBIX US Equity","ARDR_REVENUE_GROWTH","FQ4 2018","FQ4 2018","Currency=USD","Period=FQ","BEST_FPERIOD_OVERRIDE=FQ","FILING_STATUS=MR","Sort=A","Dates=H","DateFormat=P","Fill=—","Direction=H","UseDPDF=Y")</f>
        <v>—</v>
      </c>
      <c r="D88" s="14" t="str">
        <f>_xll.BDH("NBIX US Equity","ARDR_REVENUE_GROWTH","FQ1 2019","FQ1 2019","Currency=USD","Period=FQ","BEST_FPERIOD_OVERRIDE=FQ","FILING_STATUS=MR","Sort=A","Dates=H","DateFormat=P","Fill=—","Direction=H","UseDPDF=Y")</f>
        <v>—</v>
      </c>
      <c r="E88" s="14" t="str">
        <f>_xll.BDH("NBIX US Equity","ARDR_REVENUE_GROWTH","FQ2 2019","FQ2 2019","Currency=USD","Period=FQ","BEST_FPERIOD_OVERRIDE=FQ","FILING_STATUS=MR","Sort=A","Dates=H","DateFormat=P","Fill=—","Direction=H","UseDPDF=Y")</f>
        <v>—</v>
      </c>
      <c r="F88" s="14" t="str">
        <f>_xll.BDH("NBIX US Equity","ARDR_REVENUE_GROWTH","FQ3 2019","FQ3 2019","Currency=USD","Period=FQ","BEST_FPERIOD_OVERRIDE=FQ","FILING_STATUS=MR","Sort=A","Dates=H","DateFormat=P","Fill=—","Direction=H","UseDPDF=Y")</f>
        <v>—</v>
      </c>
      <c r="G88" s="14" t="str">
        <f>_xll.BDH("NBIX US Equity","ARDR_REVENUE_GROWTH","FQ4 2019","FQ4 2019","Currency=USD","Period=FQ","BEST_FPERIOD_OVERRIDE=FQ","FILING_STATUS=MR","Sort=A","Dates=H","DateFormat=P","Fill=—","Direction=H","UseDPDF=Y")</f>
        <v>—</v>
      </c>
      <c r="H88" s="14" t="str">
        <f>_xll.BDH("NBIX US Equity","ARDR_REVENUE_GROWTH","FQ1 2020","FQ1 2020","Currency=USD","Period=FQ","BEST_FPERIOD_OVERRIDE=FQ","FILING_STATUS=MR","Sort=A","Dates=H","DateFormat=P","Fill=—","Direction=H","UseDPDF=Y")</f>
        <v>—</v>
      </c>
      <c r="I88" s="14" t="str">
        <f>_xll.BDH("NBIX US Equity","ARDR_REVENUE_GROWTH","FQ2 2020","FQ2 2020","Currency=USD","Period=FQ","BEST_FPERIOD_OVERRIDE=FQ","FILING_STATUS=MR","Sort=A","Dates=H","DateFormat=P","Fill=—","Direction=H","UseDPDF=Y")</f>
        <v>—</v>
      </c>
      <c r="J88" s="14" t="str">
        <f>_xll.BDH("NBIX US Equity","ARDR_REVENUE_GROWTH","FQ3 2020","FQ3 2020","Currency=USD","Period=FQ","BEST_FPERIOD_OVERRIDE=FQ","FILING_STATUS=MR","Sort=A","Dates=H","DateFormat=P","Fill=—","Direction=H","UseDPDF=Y")</f>
        <v>—</v>
      </c>
      <c r="K88" s="14">
        <f>_xll.BDH("NBIX US Equity","ARDR_REVENUE_GROWTH","FQ4 2020","FQ4 2020","Currency=USD","Period=FQ","BEST_FPERIOD_OVERRIDE=FQ","FILING_STATUS=MR","Sort=A","Dates=H","DateFormat=P","Fill=—","Direction=H","UseDPDF=Y")</f>
        <v>1</v>
      </c>
      <c r="L88" s="14" t="str">
        <f>_xll.BDH("NBIX US Equity","ARDR_REVENUE_GROWTH","FQ1 2021","FQ1 2021","Currency=USD","Period=FQ","BEST_FPERIOD_OVERRIDE=FQ","FILING_STATUS=MR","Sort=A","Dates=H","DateFormat=P","Fill=—","Direction=H","UseDPDF=Y")</f>
        <v>—</v>
      </c>
      <c r="M88" s="14" t="str">
        <f>_xll.BDH("NBIX US Equity","ARDR_REVENUE_GROWTH","FQ2 2021","FQ2 2021","Currency=USD","Period=FQ","BEST_FPERIOD_OVERRIDE=FQ","FILING_STATUS=MR","Sort=A","Dates=H","DateFormat=P","Fill=—","Direction=H","UseDPDF=Y")</f>
        <v>—</v>
      </c>
      <c r="N88" s="14" t="str">
        <f>_xll.BDH("NBIX US Equity","ARDR_REVENUE_GROWTH","FQ3 2021","FQ3 2021","Currency=USD","Period=FQ","BEST_FPERIOD_OVERRIDE=FQ","FILING_STATUS=MR","Sort=A","Dates=H","DateFormat=P","Fill=—","Direction=H","UseDPDF=Y")</f>
        <v>—</v>
      </c>
      <c r="O88" s="14">
        <f>_xll.BDH("NBIX US Equity","ARDR_REVENUE_GROWTH","FQ4 2021","FQ4 2021","Currency=USD","Period=FQ","BEST_FPERIOD_OVERRIDE=FQ","FILING_STATUS=MR","Sort=A","Dates=H","DateFormat=P","Fill=—","Direction=H","UseDPDF=Y")</f>
        <v>25</v>
      </c>
      <c r="P88" s="14" t="str">
        <f>_xll.BDH("NBIX US Equity","ARDR_REVENUE_GROWTH","FQ1 2022","FQ1 2022","Currency=USD","Period=FQ","BEST_FPERIOD_OVERRIDE=FQ","FILING_STATUS=MR","Sort=A","Dates=H","DateFormat=P","Fill=—","Direction=H","UseDPDF=Y")</f>
        <v>—</v>
      </c>
      <c r="Q88" s="14" t="str">
        <f>_xll.BDH("NBIX US Equity","ARDR_REVENUE_GROWTH","FQ2 2022","FQ2 2022","Currency=USD","Period=FQ","BEST_FPERIOD_OVERRIDE=FQ","FILING_STATUS=MR","Sort=A","Dates=H","DateFormat=P","Fill=—","Direction=H","UseDPDF=Y")</f>
        <v>—</v>
      </c>
      <c r="R88" s="14" t="str">
        <f>_xll.BDH("NBIX US Equity","ARDR_REVENUE_GROWTH","FQ3 2022","FQ3 2022","Currency=USD","Period=FQ","BEST_FPERIOD_OVERRIDE=FQ","FILING_STATUS=MR","Sort=A","Dates=H","DateFormat=P","Fill=—","Direction=H","UseDPDF=Y")</f>
        <v>—</v>
      </c>
      <c r="S88" s="14">
        <f>_xll.BDH("NBIX US Equity","ARDR_REVENUE_GROWTH","FQ4 2022","FQ4 2022","Currency=USD","Period=FQ","BEST_FPERIOD_OVERRIDE=FQ","FILING_STATUS=MR","Sort=A","Dates=H","DateFormat=P","Fill=—","Direction=H","UseDPDF=Y")</f>
        <v>33</v>
      </c>
      <c r="T88" s="14">
        <f>_xll.BDH("NBIX US Equity","ARDR_REVENUE_GROWTH","FQ1 2023","FQ1 2023","Currency=USD","Period=FQ","BEST_FPERIOD_OVERRIDE=FQ","FILING_STATUS=MR","Sort=A","Dates=H","DateFormat=P","Fill=—","Direction=H","UseDPDF=Y")</f>
        <v>36</v>
      </c>
      <c r="U88" s="14">
        <f>_xll.BDH("NBIX US Equity","ARDR_REVENUE_GROWTH","FQ2 2023","FQ2 2023","Currency=USD","Period=FQ","BEST_FPERIOD_OVERRIDE=FQ","FILING_STATUS=MR","Sort=A","Dates=H","DateFormat=P","Fill=—","Direction=H","UseDPDF=Y")</f>
        <v>26</v>
      </c>
      <c r="V88" s="14">
        <f>_xll.BDH("NBIX US Equity","ARDR_REVENUE_GROWTH","FQ3 2023","FQ3 2023","Currency=USD","Period=FQ","BEST_FPERIOD_OVERRIDE=FQ","FILING_STATUS=MR","Sort=A","Dates=H","DateFormat=P","Fill=—","Direction=H","UseDPDF=Y")</f>
        <v>29</v>
      </c>
      <c r="W88" s="14">
        <f>_xll.BDH("NBIX US Equity","ARDR_REVENUE_GROWTH","FQ4 2023","FQ4 2023","Currency=USD","Period=FQ","BEST_FPERIOD_OVERRIDE=FQ","FILING_STATUS=MR","Sort=A","Dates=H","DateFormat=P","Fill=—","Direction=H","UseDPDF=Y")</f>
        <v>25</v>
      </c>
      <c r="X88" s="14">
        <f>_xll.BDH("NBIX US Equity","ARDR_REVENUE_GROWTH","FQ1 2024","FQ1 2024","Currency=USD","Period=FQ","BEST_FPERIOD_OVERRIDE=FQ","FILING_STATUS=MR","Sort=A","Dates=H","DateFormat=P","Fill=—","Direction=H","UseDPDF=Y")</f>
        <v>23</v>
      </c>
      <c r="Y88" s="14">
        <f>_xll.BDH("NBIX US Equity","ARDR_REVENUE_GROWTH","FQ2 2024","FQ2 2024","Currency=USD","Period=FQ","BEST_FPERIOD_OVERRIDE=FQ","FILING_STATUS=MR","Sort=A","Dates=H","DateFormat=P","Fill=—","Direction=H","UseDPDF=Y")</f>
        <v>32</v>
      </c>
      <c r="Z88" s="14">
        <f>_xll.BDH("NBIX US Equity","ARDR_REVENUE_GROWTH","FQ3 2024","FQ3 2024","Currency=USD","Period=FQ","BEST_FPERIOD_OVERRIDE=FQ","FILING_STATUS=MR","Sort=A","Dates=H","DateFormat=P","Fill=—","Direction=H","UseDPDF=Y")</f>
        <v>26</v>
      </c>
      <c r="AA88" s="14">
        <f>_xll.BDH("NBIX US Equity","ARDR_REVENUE_GROWTH","FQ4 2024","FQ4 2024","Currency=USD","Period=FQ","BEST_FPERIOD_OVERRIDE=FQ","FILING_STATUS=MR","Sort=A","Dates=H","DateFormat=P","Fill=—","Direction=H","UseDPDF=Y")</f>
        <v>23</v>
      </c>
    </row>
    <row r="89" spans="1:27" x14ac:dyDescent="0.25">
      <c r="A89" s="10" t="s">
        <v>558</v>
      </c>
      <c r="B89" s="10" t="s">
        <v>559</v>
      </c>
      <c r="C89" s="13">
        <f>_xll.BDH("NBIX US Equity","ARDR_STK_BSD_COMP_ATTRIB_TO_G&amp;AE","FQ4 2018","FQ4 2018","Currency=USD","Period=FQ","BEST_FPERIOD_OVERRIDE=FQ","FILING_STATUS=MR","Sort=A","Dates=H","DateFormat=P","Fill=—","Direction=H","UseDPDF=Y")</f>
        <v>8.6479999999999997</v>
      </c>
      <c r="D89" s="13">
        <f>_xll.BDH("NBIX US Equity","ARDR_STK_BSD_COMP_ATTRIB_TO_G&amp;AE","FQ1 2019","FQ1 2019","Currency=USD","Period=FQ","BEST_FPERIOD_OVERRIDE=FQ","FILING_STATUS=MR","Sort=A","Dates=H","DateFormat=P","Fill=—","Direction=H","UseDPDF=Y")</f>
        <v>8.0640000000000001</v>
      </c>
      <c r="E89" s="13">
        <f>_xll.BDH("NBIX US Equity","ARDR_STK_BSD_COMP_ATTRIB_TO_G&amp;AE","FQ2 2019","FQ2 2019","Currency=USD","Period=FQ","BEST_FPERIOD_OVERRIDE=FQ","FILING_STATUS=MR","Sort=A","Dates=H","DateFormat=P","Fill=—","Direction=H","UseDPDF=Y")</f>
        <v>17.931000000000001</v>
      </c>
      <c r="F89" s="13">
        <f>_xll.BDH("NBIX US Equity","ARDR_STK_BSD_COMP_ATTRIB_TO_G&amp;AE","FQ3 2019","FQ3 2019","Currency=USD","Period=FQ","BEST_FPERIOD_OVERRIDE=FQ","FILING_STATUS=MR","Sort=A","Dates=H","DateFormat=P","Fill=—","Direction=H","UseDPDF=Y")</f>
        <v>20.25</v>
      </c>
      <c r="G89" s="13">
        <f>_xll.BDH("NBIX US Equity","ARDR_STK_BSD_COMP_ATTRIB_TO_G&amp;AE","FQ4 2019","FQ4 2019","Currency=USD","Period=FQ","BEST_FPERIOD_OVERRIDE=FQ","FILING_STATUS=MR","Sort=A","Dates=H","DateFormat=P","Fill=—","Direction=H","UseDPDF=Y")</f>
        <v>13.9</v>
      </c>
      <c r="H89" s="13">
        <f>_xll.BDH("NBIX US Equity","ARDR_STK_BSD_COMP_ATTRIB_TO_G&amp;AE","FQ1 2020","FQ1 2020","Currency=USD","Period=FQ","BEST_FPERIOD_OVERRIDE=FQ","FILING_STATUS=MR","Sort=A","Dates=H","DateFormat=P","Fill=—","Direction=H","UseDPDF=Y")</f>
        <v>15.1</v>
      </c>
      <c r="I89" s="13">
        <f>_xll.BDH("NBIX US Equity","ARDR_STK_BSD_COMP_ATTRIB_TO_G&amp;AE","FQ2 2020","FQ2 2020","Currency=USD","Period=FQ","BEST_FPERIOD_OVERRIDE=FQ","FILING_STATUS=MR","Sort=A","Dates=H","DateFormat=P","Fill=—","Direction=H","UseDPDF=Y")</f>
        <v>19.600000000000001</v>
      </c>
      <c r="J89" s="13">
        <f>_xll.BDH("NBIX US Equity","ARDR_STK_BSD_COMP_ATTRIB_TO_G&amp;AE","FQ3 2020","FQ3 2020","Currency=USD","Period=FQ","BEST_FPERIOD_OVERRIDE=FQ","FILING_STATUS=MR","Sort=A","Dates=H","DateFormat=P","Fill=—","Direction=H","UseDPDF=Y")</f>
        <v>17.899999999999999</v>
      </c>
      <c r="K89" s="13">
        <f>_xll.BDH("NBIX US Equity","ARDR_STK_BSD_COMP_ATTRIB_TO_G&amp;AE","FQ4 2020","FQ4 2020","Currency=USD","Period=FQ","BEST_FPERIOD_OVERRIDE=FQ","FILING_STATUS=MR","Sort=A","Dates=H","DateFormat=P","Fill=—","Direction=H","UseDPDF=Y")</f>
        <v>13.7</v>
      </c>
      <c r="L89" s="13">
        <f>_xll.BDH("NBIX US Equity","ARDR_STK_BSD_COMP_ATTRIB_TO_G&amp;AE","FQ1 2021","FQ1 2021","Currency=USD","Period=FQ","BEST_FPERIOD_OVERRIDE=FQ","FILING_STATUS=MR","Sort=A","Dates=H","DateFormat=P","Fill=—","Direction=H","UseDPDF=Y")</f>
        <v>17.899999999999999</v>
      </c>
      <c r="M89" s="13">
        <f>_xll.BDH("NBIX US Equity","ARDR_STK_BSD_COMP_ATTRIB_TO_G&amp;AE","FQ2 2021","FQ2 2021","Currency=USD","Period=FQ","BEST_FPERIOD_OVERRIDE=FQ","FILING_STATUS=MR","Sort=A","Dates=H","DateFormat=P","Fill=—","Direction=H","UseDPDF=Y")</f>
        <v>19.399999999999999</v>
      </c>
      <c r="N89" s="13">
        <f>_xll.BDH("NBIX US Equity","ARDR_STK_BSD_COMP_ATTRIB_TO_G&amp;AE","FQ3 2021","FQ3 2021","Currency=USD","Period=FQ","BEST_FPERIOD_OVERRIDE=FQ","FILING_STATUS=MR","Sort=A","Dates=H","DateFormat=P","Fill=—","Direction=H","UseDPDF=Y")</f>
        <v>25.1</v>
      </c>
      <c r="O89" s="13">
        <f>_xll.BDH("NBIX US Equity","ARDR_STK_BSD_COMP_ATTRIB_TO_G&amp;AE","FQ4 2021","FQ4 2021","Currency=USD","Period=FQ","BEST_FPERIOD_OVERRIDE=FQ","FILING_STATUS=MR","Sort=A","Dates=H","DateFormat=P","Fill=—","Direction=H","UseDPDF=Y")</f>
        <v>23.4</v>
      </c>
      <c r="P89" s="13">
        <f>_xll.BDH("NBIX US Equity","ARDR_STK_BSD_COMP_ATTRIB_TO_G&amp;AE","FQ1 2022","FQ1 2022","Currency=USD","Period=FQ","BEST_FPERIOD_OVERRIDE=FQ","FILING_STATUS=MR","Sort=A","Dates=H","DateFormat=P","Fill=—","Direction=H","UseDPDF=Y")</f>
        <v>24.5</v>
      </c>
      <c r="Q89" s="13">
        <f>_xll.BDH("NBIX US Equity","ARDR_STK_BSD_COMP_ATTRIB_TO_G&amp;AE","FQ2 2022","FQ2 2022","Currency=USD","Period=FQ","BEST_FPERIOD_OVERRIDE=FQ","FILING_STATUS=MR","Sort=A","Dates=H","DateFormat=P","Fill=—","Direction=H","UseDPDF=Y")</f>
        <v>33.299999999999997</v>
      </c>
      <c r="R89" s="13">
        <f>_xll.BDH("NBIX US Equity","ARDR_STK_BSD_COMP_ATTRIB_TO_G&amp;AE","FQ3 2022","FQ3 2022","Currency=USD","Period=FQ","BEST_FPERIOD_OVERRIDE=FQ","FILING_STATUS=MR","Sort=A","Dates=H","DateFormat=P","Fill=—","Direction=H","UseDPDF=Y")</f>
        <v>28.2</v>
      </c>
      <c r="S89" s="13">
        <f>_xll.BDH("NBIX US Equity","ARDR_STK_BSD_COMP_ATTRIB_TO_G&amp;AE","FQ4 2022","FQ4 2022","Currency=USD","Period=FQ","BEST_FPERIOD_OVERRIDE=FQ","FILING_STATUS=MR","Sort=A","Dates=H","DateFormat=P","Fill=—","Direction=H","UseDPDF=Y")</f>
        <v>29.4</v>
      </c>
      <c r="T89" s="13">
        <f>_xll.BDH("NBIX US Equity","ARDR_STK_BSD_COMP_ATTRIB_TO_G&amp;AE","FQ1 2023","FQ1 2023","Currency=USD","Period=FQ","BEST_FPERIOD_OVERRIDE=FQ","FILING_STATUS=MR","Sort=A","Dates=H","DateFormat=P","Fill=—","Direction=H","UseDPDF=Y")</f>
        <v>26.1</v>
      </c>
      <c r="U89" s="13">
        <f>_xll.BDH("NBIX US Equity","ARDR_STK_BSD_COMP_ATTRIB_TO_G&amp;AE","FQ2 2023","FQ2 2023","Currency=USD","Period=FQ","BEST_FPERIOD_OVERRIDE=FQ","FILING_STATUS=MR","Sort=A","Dates=H","DateFormat=P","Fill=—","Direction=H","UseDPDF=Y")</f>
        <v>44.7</v>
      </c>
      <c r="V89" s="13">
        <f>_xll.BDH("NBIX US Equity","ARDR_STK_BSD_COMP_ATTRIB_TO_G&amp;AE","FQ3 2023","FQ3 2023","Currency=USD","Period=FQ","BEST_FPERIOD_OVERRIDE=FQ","FILING_STATUS=MR","Sort=A","Dates=H","DateFormat=P","Fill=—","Direction=H","UseDPDF=Y")</f>
        <v>30.6</v>
      </c>
      <c r="W89" s="13">
        <f>_xll.BDH("NBIX US Equity","ARDR_STK_BSD_COMP_ATTRIB_TO_G&amp;AE","FQ4 2023","FQ4 2023","Currency=USD","Period=FQ","BEST_FPERIOD_OVERRIDE=FQ","FILING_STATUS=MR","Sort=A","Dates=H","DateFormat=P","Fill=—","Direction=H","UseDPDF=Y")</f>
        <v>24.9</v>
      </c>
      <c r="X89" s="13">
        <f>_xll.BDH("NBIX US Equity","ARDR_STK_BSD_COMP_ATTRIB_TO_G&amp;AE","FQ1 2024","FQ1 2024","Currency=USD","Period=FQ","BEST_FPERIOD_OVERRIDE=FQ","FILING_STATUS=MR","Sort=A","Dates=H","DateFormat=P","Fill=—","Direction=H","UseDPDF=Y")</f>
        <v>27.5</v>
      </c>
      <c r="Y89" s="13">
        <f>_xll.BDH("NBIX US Equity","ARDR_STK_BSD_COMP_ATTRIB_TO_G&amp;AE","FQ2 2024","FQ2 2024","Currency=USD","Period=FQ","BEST_FPERIOD_OVERRIDE=FQ","FILING_STATUS=MR","Sort=A","Dates=H","DateFormat=P","Fill=—","Direction=H","UseDPDF=Y")</f>
        <v>27.3</v>
      </c>
      <c r="Z89" s="13">
        <f>_xll.BDH("NBIX US Equity","ARDR_STK_BSD_COMP_ATTRIB_TO_G&amp;AE","FQ3 2024","FQ3 2024","Currency=USD","Period=FQ","BEST_FPERIOD_OVERRIDE=FQ","FILING_STATUS=MR","Sort=A","Dates=H","DateFormat=P","Fill=—","Direction=H","UseDPDF=Y")</f>
        <v>26.7</v>
      </c>
      <c r="AA89" s="13">
        <f>_xll.BDH("NBIX US Equity","ARDR_STK_BSD_COMP_ATTRIB_TO_G&amp;AE","FQ4 2024","FQ4 2024","Currency=USD","Period=FQ","BEST_FPERIOD_OVERRIDE=FQ","FILING_STATUS=MR","Sort=A","Dates=H","DateFormat=P","Fill=—","Direction=H","UseDPDF=Y")</f>
        <v>45.2</v>
      </c>
    </row>
    <row r="90" spans="1:27" x14ac:dyDescent="0.25">
      <c r="A90" s="10" t="s">
        <v>560</v>
      </c>
      <c r="B90" s="10" t="s">
        <v>561</v>
      </c>
      <c r="C90" s="13">
        <f>_xll.BDH("NBIX US Equity","ARDR_STK_BSD_CMPNSTN_CF_PRE_TAX","FQ4 2018","FQ4 2018","Currency=USD","Period=FQ","BEST_FPERIOD_OVERRIDE=FQ","FILING_STATUS=MR","SCALING_FORMAT=MLN","Sort=A","Dates=H","DateFormat=P","Fill=—","Direction=H","UseDPDF=Y")</f>
        <v>13.268000000000001</v>
      </c>
      <c r="D90" s="13">
        <f>_xll.BDH("NBIX US Equity","ARDR_STK_BSD_CMPNSTN_CF_PRE_TAX","FQ1 2019","FQ1 2019","Currency=USD","Period=FQ","BEST_FPERIOD_OVERRIDE=FQ","FILING_STATUS=MR","SCALING_FORMAT=MLN","Sort=A","Dates=H","DateFormat=P","Fill=—","Direction=H","UseDPDF=Y")</f>
        <v>15.763999999999999</v>
      </c>
      <c r="E90" s="13">
        <f>_xll.BDH("NBIX US Equity","ARDR_STK_BSD_CMPNSTN_CF_PRE_TAX","FQ2 2019","FQ2 2019","Currency=USD","Period=FQ","BEST_FPERIOD_OVERRIDE=FQ","FILING_STATUS=MR","SCALING_FORMAT=MLN","Sort=A","Dates=H","DateFormat=P","Fill=—","Direction=H","UseDPDF=Y")</f>
        <v>17.931000000000001</v>
      </c>
      <c r="F90" s="13">
        <f>_xll.BDH("NBIX US Equity","ARDR_STK_BSD_CMPNSTN_CF_PRE_TAX","FQ3 2019","FQ3 2019","Currency=USD","Period=FQ","BEST_FPERIOD_OVERRIDE=FQ","FILING_STATUS=MR","SCALING_FORMAT=MLN","Sort=A","Dates=H","DateFormat=P","Fill=—","Direction=H","UseDPDF=Y")</f>
        <v>20.25</v>
      </c>
      <c r="G90" s="13">
        <f>_xll.BDH("NBIX US Equity","ARDR_STK_BSD_CMPNSTN_CF_PRE_TAX","FQ4 2019","FQ4 2019","Currency=USD","Period=FQ","BEST_FPERIOD_OVERRIDE=FQ","FILING_STATUS=MR","SCALING_FORMAT=MLN","Sort=A","Dates=H","DateFormat=P","Fill=—","Direction=H","UseDPDF=Y")</f>
        <v>21.317</v>
      </c>
      <c r="H90" s="13">
        <f>_xll.BDH("NBIX US Equity","ARDR_STK_BSD_CMPNSTN_CF_PRE_TAX","FQ1 2020","FQ1 2020","Currency=USD","Period=FQ","BEST_FPERIOD_OVERRIDE=FQ","FILING_STATUS=MR","SCALING_FORMAT=MLN","Sort=A","Dates=H","DateFormat=P","Fill=—","Direction=H","UseDPDF=Y")</f>
        <v>22.8</v>
      </c>
      <c r="I90" s="13">
        <f>_xll.BDH("NBIX US Equity","ARDR_STK_BSD_CMPNSTN_CF_PRE_TAX","FQ2 2020","FQ2 2020","Currency=USD","Period=FQ","BEST_FPERIOD_OVERRIDE=FQ","FILING_STATUS=MR","SCALING_FORMAT=MLN","Sort=A","Dates=H","DateFormat=P","Fill=—","Direction=H","UseDPDF=Y")</f>
        <v>29.5</v>
      </c>
      <c r="J90" s="13">
        <f>_xll.BDH("NBIX US Equity","ARDR_STK_BSD_CMPNSTN_CF_PRE_TAX","FQ3 2020","FQ3 2020","Currency=USD","Period=FQ","BEST_FPERIOD_OVERRIDE=FQ","FILING_STATUS=MR","SCALING_FORMAT=MLN","Sort=A","Dates=H","DateFormat=P","Fill=—","Direction=H","UseDPDF=Y")</f>
        <v>26.7</v>
      </c>
      <c r="K90" s="13">
        <f>_xll.BDH("NBIX US Equity","ARDR_STK_BSD_CMPNSTN_CF_PRE_TAX","FQ4 2020","FQ4 2020","Currency=USD","Period=FQ","BEST_FPERIOD_OVERRIDE=FQ","FILING_STATUS=MR","SCALING_FORMAT=MLN","Sort=A","Dates=H","DateFormat=P","Fill=—","Direction=H","UseDPDF=Y")</f>
        <v>21</v>
      </c>
      <c r="L90" s="13">
        <f>_xll.BDH("NBIX US Equity","ARDR_STK_BSD_CMPNSTN_CF_PRE_TAX","FQ1 2021","FQ1 2021","Currency=USD","Period=FQ","BEST_FPERIOD_OVERRIDE=FQ","FILING_STATUS=MR","SCALING_FORMAT=MLN","Sort=A","Dates=H","DateFormat=P","Fill=—","Direction=H","UseDPDF=Y")</f>
        <v>32.9</v>
      </c>
      <c r="M90" s="13">
        <f>_xll.BDH("NBIX US Equity","ARDR_STK_BSD_CMPNSTN_CF_PRE_TAX","FQ2 2021","FQ2 2021","Currency=USD","Period=FQ","BEST_FPERIOD_OVERRIDE=FQ","FILING_STATUS=MR","SCALING_FORMAT=MLN","Sort=A","Dates=H","DateFormat=P","Fill=—","Direction=H","UseDPDF=Y")</f>
        <v>28.6</v>
      </c>
      <c r="N90" s="13">
        <f>_xll.BDH("NBIX US Equity","ARDR_STK_BSD_CMPNSTN_CF_PRE_TAX","FQ3 2021","FQ3 2021","Currency=USD","Period=FQ","BEST_FPERIOD_OVERRIDE=FQ","FILING_STATUS=MR","SCALING_FORMAT=MLN","Sort=A","Dates=H","DateFormat=P","Fill=—","Direction=H","UseDPDF=Y")</f>
        <v>37.1</v>
      </c>
      <c r="O90" s="13">
        <f>_xll.BDH("NBIX US Equity","ARDR_STK_BSD_CMPNSTN_CF_PRE_TAX","FQ4 2021","FQ4 2021","Currency=USD","Period=FQ","BEST_FPERIOD_OVERRIDE=FQ","FILING_STATUS=MR","SCALING_FORMAT=MLN","Sort=A","Dates=H","DateFormat=P","Fill=—","Direction=H","UseDPDF=Y")</f>
        <v>35.6</v>
      </c>
      <c r="P90" s="13">
        <f>_xll.BDH("NBIX US Equity","ARDR_STK_BSD_CMPNSTN_CF_PRE_TAX","FQ1 2022","FQ1 2022","Currency=USD","Period=FQ","BEST_FPERIOD_OVERRIDE=FQ","FILING_STATUS=MR","SCALING_FORMAT=MLN","Sort=A","Dates=H","DateFormat=P","Fill=—","Direction=H","UseDPDF=Y")</f>
        <v>37</v>
      </c>
      <c r="Q90" s="13">
        <f>_xll.BDH("NBIX US Equity","ARDR_STK_BSD_CMPNSTN_CF_PRE_TAX","FQ2 2022","FQ2 2022","Currency=USD","Period=FQ","BEST_FPERIOD_OVERRIDE=FQ","FILING_STATUS=MR","SCALING_FORMAT=MLN","Sort=A","Dates=H","DateFormat=P","Fill=—","Direction=H","UseDPDF=Y")</f>
        <v>49.5</v>
      </c>
      <c r="R90" s="13" t="str">
        <f>_xll.BDH("NBIX US Equity","ARDR_STK_BSD_CMPNSTN_CF_PRE_TAX","FQ3 2022","FQ3 2022","Currency=USD","Period=FQ","BEST_FPERIOD_OVERRIDE=FQ","FILING_STATUS=MR","SCALING_FORMAT=MLN","Sort=A","Dates=H","DateFormat=P","Fill=—","Direction=H","UseDPDF=Y")</f>
        <v>—</v>
      </c>
      <c r="S90" s="13">
        <f>_xll.BDH("NBIX US Equity","ARDR_STK_BSD_CMPNSTN_CF_PRE_TAX","FQ4 2022","FQ4 2022","Currency=USD","Period=FQ","BEST_FPERIOD_OVERRIDE=FQ","FILING_STATUS=MR","SCALING_FORMAT=MLN","Sort=A","Dates=H","DateFormat=P","Fill=—","Direction=H","UseDPDF=Y")</f>
        <v>43.5</v>
      </c>
      <c r="T90" s="13">
        <f>_xll.BDH("NBIX US Equity","ARDR_STK_BSD_CMPNSTN_CF_PRE_TAX","FQ1 2023","FQ1 2023","Currency=USD","Period=FQ","BEST_FPERIOD_OVERRIDE=FQ","FILING_STATUS=MR","SCALING_FORMAT=MLN","Sort=A","Dates=H","DateFormat=P","Fill=—","Direction=H","UseDPDF=Y")</f>
        <v>39.9</v>
      </c>
      <c r="U90" s="13">
        <f>_xll.BDH("NBIX US Equity","ARDR_STK_BSD_CMPNSTN_CF_PRE_TAX","FQ2 2023","FQ2 2023","Currency=USD","Period=FQ","BEST_FPERIOD_OVERRIDE=FQ","FILING_STATUS=MR","SCALING_FORMAT=MLN","Sort=A","Dates=H","DateFormat=P","Fill=—","Direction=H","UseDPDF=Y")</f>
        <v>68.5</v>
      </c>
      <c r="V90" s="13">
        <f>_xll.BDH("NBIX US Equity","ARDR_STK_BSD_CMPNSTN_CF_PRE_TAX","FQ3 2023","FQ3 2023","Currency=USD","Period=FQ","BEST_FPERIOD_OVERRIDE=FQ","FILING_STATUS=MR","SCALING_FORMAT=MLN","Sort=A","Dates=H","DateFormat=P","Fill=—","Direction=H","UseDPDF=Y")</f>
        <v>47.8</v>
      </c>
      <c r="W90" s="13">
        <f>_xll.BDH("NBIX US Equity","ARDR_STK_BSD_CMPNSTN_CF_PRE_TAX","FQ4 2023","FQ4 2023","Currency=USD","Period=FQ","BEST_FPERIOD_OVERRIDE=FQ","FILING_STATUS=MR","SCALING_FORMAT=MLN","Sort=A","Dates=H","DateFormat=P","Fill=—","Direction=H","UseDPDF=Y")</f>
        <v>38.1</v>
      </c>
      <c r="X90" s="13">
        <f>_xll.BDH("NBIX US Equity","ARDR_STK_BSD_CMPNSTN_CF_PRE_TAX","FQ1 2024","FQ1 2024","Currency=USD","Period=FQ","BEST_FPERIOD_OVERRIDE=FQ","FILING_STATUS=MR","SCALING_FORMAT=MLN","Sort=A","Dates=H","DateFormat=P","Fill=—","Direction=H","UseDPDF=Y")</f>
        <v>44.5</v>
      </c>
      <c r="Y90" s="13">
        <f>_xll.BDH("NBIX US Equity","ARDR_STK_BSD_CMPNSTN_CF_PRE_TAX","FQ2 2024","FQ2 2024","Currency=USD","Period=FQ","BEST_FPERIOD_OVERRIDE=FQ","FILING_STATUS=MR","SCALING_FORMAT=MLN","Sort=A","Dates=H","DateFormat=P","Fill=—","Direction=H","UseDPDF=Y")</f>
        <v>43.1</v>
      </c>
      <c r="Z90" s="13" t="str">
        <f>_xll.BDH("NBIX US Equity","ARDR_STK_BSD_CMPNSTN_CF_PRE_TAX","FQ3 2024","FQ3 2024","Currency=USD","Period=FQ","BEST_FPERIOD_OVERRIDE=FQ","FILING_STATUS=MR","SCALING_FORMAT=MLN","Sort=A","Dates=H","DateFormat=P","Fill=—","Direction=H","UseDPDF=Y")</f>
        <v>—</v>
      </c>
      <c r="AA90" s="13">
        <f>_xll.BDH("NBIX US Equity","ARDR_STK_BSD_CMPNSTN_CF_PRE_TAX","FQ4 2024","FQ4 2024","Currency=USD","Period=FQ","BEST_FPERIOD_OVERRIDE=FQ","FILING_STATUS=MR","SCALING_FORMAT=MLN","Sort=A","Dates=H","DateFormat=P","Fill=—","Direction=H","UseDPDF=Y")</f>
        <v>66.400000000000006</v>
      </c>
    </row>
    <row r="91" spans="1:27" x14ac:dyDescent="0.25">
      <c r="A91" s="7" t="s">
        <v>90</v>
      </c>
      <c r="B91" s="7"/>
      <c r="C91" s="7" t="s">
        <v>5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562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563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6" t="s">
        <v>564</v>
      </c>
      <c r="B7" s="6" t="s">
        <v>99</v>
      </c>
      <c r="C7" s="19">
        <f>_xll.BDH("NBIX US Equity","IS_OPER_INC","FQ4 2018","FQ4 2018","Currency=USD","Period=FQ","BEST_FPERIOD_OVERRIDE=FQ","FILING_STATUS=MR","SCALING_FORMAT=MLN","FA_ADJUSTED=GAAP","Sort=A","Dates=H","DateFormat=P","Fill=—","Direction=H","UseDPDF=Y")</f>
        <v>21.870999999999999</v>
      </c>
      <c r="D7" s="19">
        <f>_xll.BDH("NBIX US Equity","IS_OPER_INC","FQ1 2019","FQ1 2019","Currency=USD","Period=FQ","BEST_FPERIOD_OVERRIDE=FQ","FILING_STATUS=MR","SCALING_FORMAT=MLN","FA_ADJUSTED=GAAP","Sort=A","Dates=H","DateFormat=P","Fill=—","Direction=H","UseDPDF=Y")</f>
        <v>-100.997</v>
      </c>
      <c r="E7" s="19">
        <f>_xll.BDH("NBIX US Equity","IS_OPER_INC","FQ2 2019","FQ2 2019","Currency=USD","Period=FQ","BEST_FPERIOD_OVERRIDE=FQ","FILING_STATUS=MR","SCALING_FORMAT=MLN","FA_ADJUSTED=GAAP","Sort=A","Dates=H","DateFormat=P","Fill=—","Direction=H","UseDPDF=Y")</f>
        <v>34.460999999999999</v>
      </c>
      <c r="F7" s="19">
        <f>_xll.BDH("NBIX US Equity","IS_OPER_INC","FQ3 2019","FQ3 2019","Currency=USD","Period=FQ","BEST_FPERIOD_OVERRIDE=FQ","FILING_STATUS=MR","SCALING_FORMAT=MLN","FA_ADJUSTED=GAAP","Sort=A","Dates=H","DateFormat=P","Fill=—","Direction=H","UseDPDF=Y")</f>
        <v>90.097999999999999</v>
      </c>
      <c r="G7" s="19">
        <f>_xll.BDH("NBIX US Equity","IS_OPER_INC","FQ4 2019","FQ4 2019","Currency=USD","Period=FQ","BEST_FPERIOD_OVERRIDE=FQ","FILING_STATUS=MR","SCALING_FORMAT=MLN","FA_ADJUSTED=GAAP","Sort=A","Dates=H","DateFormat=P","Fill=—","Direction=H","UseDPDF=Y")</f>
        <v>48.8</v>
      </c>
      <c r="H7" s="19">
        <f>_xll.BDH("NBIX US Equity","IS_OPER_INC","FQ1 2020","FQ1 2020","Currency=USD","Period=FQ","BEST_FPERIOD_OVERRIDE=FQ","FILING_STATUS=MR","SCALING_FORMAT=MLN","FA_ADJUSTED=GAAP","Sort=A","Dates=H","DateFormat=P","Fill=—","Direction=H","UseDPDF=Y")</f>
        <v>58.9</v>
      </c>
      <c r="I7" s="19">
        <f>_xll.BDH("NBIX US Equity","IS_OPER_INC","FQ2 2020","FQ2 2020","Currency=USD","Period=FQ","BEST_FPERIOD_OVERRIDE=FQ","FILING_STATUS=MR","SCALING_FORMAT=MLN","FA_ADJUSTED=GAAP","Sort=A","Dates=H","DateFormat=P","Fill=—","Direction=H","UseDPDF=Y")</f>
        <v>76.599999999999994</v>
      </c>
      <c r="J7" s="19">
        <f>_xll.BDH("NBIX US Equity","IS_OPER_INC","FQ3 2020","FQ3 2020","Currency=USD","Period=FQ","BEST_FPERIOD_OVERRIDE=FQ","FILING_STATUS=MR","SCALING_FORMAT=MLN","FA_ADJUSTED=GAAP","Sort=A","Dates=H","DateFormat=P","Fill=—","Direction=H","UseDPDF=Y")</f>
        <v>-44.3</v>
      </c>
      <c r="K7" s="19">
        <f>_xll.BDH("NBIX US Equity","IS_OPER_INC","FQ4 2020","FQ4 2020","Currency=USD","Period=FQ","BEST_FPERIOD_OVERRIDE=FQ","FILING_STATUS=MR","SCALING_FORMAT=MLN","FA_ADJUSTED=GAAP","Sort=A","Dates=H","DateFormat=P","Fill=—","Direction=H","UseDPDF=Y")</f>
        <v>71.8</v>
      </c>
      <c r="L7" s="19">
        <f>_xll.BDH("NBIX US Equity","IS_OPER_INC","FQ1 2021","FQ1 2021","Currency=USD","Period=FQ","BEST_FPERIOD_OVERRIDE=FQ","FILING_STATUS=MR","SCALING_FORMAT=MLN","FA_ADJUSTED=GAAP","Sort=A","Dates=H","DateFormat=P","Fill=—","Direction=H","UseDPDF=Y")</f>
        <v>31.5</v>
      </c>
      <c r="M7" s="19">
        <f>_xll.BDH("NBIX US Equity","IS_OPER_INC","FQ2 2021","FQ2 2021","Currency=USD","Period=FQ","BEST_FPERIOD_OVERRIDE=FQ","FILING_STATUS=MR","SCALING_FORMAT=MLN","FA_ADJUSTED=GAAP","Sort=A","Dates=H","DateFormat=P","Fill=—","Direction=H","UseDPDF=Y")</f>
        <v>62.8</v>
      </c>
      <c r="N7" s="19">
        <f>_xll.BDH("NBIX US Equity","IS_OPER_INC","FQ3 2021","FQ3 2021","Currency=USD","Period=FQ","BEST_FPERIOD_OVERRIDE=FQ","FILING_STATUS=MR","SCALING_FORMAT=MLN","FA_ADJUSTED=GAAP","Sort=A","Dates=H","DateFormat=P","Fill=—","Direction=H","UseDPDF=Y")</f>
        <v>44.5</v>
      </c>
      <c r="O7" s="19">
        <f>_xll.BDH("NBIX US Equity","IS_OPER_INC","FQ4 2021","FQ4 2021","Currency=USD","Period=FQ","BEST_FPERIOD_OVERRIDE=FQ","FILING_STATUS=MR","SCALING_FORMAT=MLN","FA_ADJUSTED=GAAP","Sort=A","Dates=H","DateFormat=P","Fill=—","Direction=H","UseDPDF=Y")</f>
        <v>-36.299999999999997</v>
      </c>
      <c r="P7" s="19">
        <f>_xll.BDH("NBIX US Equity","IS_OPER_INC","FQ1 2022","FQ1 2022","Currency=USD","Period=FQ","BEST_FPERIOD_OVERRIDE=FQ","FILING_STATUS=MR","SCALING_FORMAT=MLN","FA_ADJUSTED=GAAP","Sort=A","Dates=H","DateFormat=P","Fill=—","Direction=H","UseDPDF=Y")</f>
        <v>3.1</v>
      </c>
      <c r="Q7" s="19">
        <f>_xll.BDH("NBIX US Equity","IS_OPER_INC","FQ2 2022","FQ2 2022","Currency=USD","Period=FQ","BEST_FPERIOD_OVERRIDE=FQ","FILING_STATUS=MR","SCALING_FORMAT=MLN","FA_ADJUSTED=GAAP","Sort=A","Dates=H","DateFormat=P","Fill=—","Direction=H","UseDPDF=Y")</f>
        <v>54.7</v>
      </c>
      <c r="R7" s="19">
        <f>_xll.BDH("NBIX US Equity","IS_OPER_INC","FQ3 2022","FQ3 2022","Currency=USD","Period=FQ","BEST_FPERIOD_OVERRIDE=FQ","FILING_STATUS=MR","SCALING_FORMAT=MLN","FA_ADJUSTED=GAAP","Sort=A","Dates=H","DateFormat=P","Fill=—","Direction=H","UseDPDF=Y")</f>
        <v>87.8</v>
      </c>
      <c r="S7" s="19">
        <f>_xll.BDH("NBIX US Equity","IS_OPER_INC","FQ4 2022","FQ4 2022","Currency=USD","Period=FQ","BEST_FPERIOD_OVERRIDE=FQ","FILING_STATUS=MR","SCALING_FORMAT=MLN","FA_ADJUSTED=GAAP","Sort=A","Dates=H","DateFormat=P","Fill=—","Direction=H","UseDPDF=Y")</f>
        <v>103.4</v>
      </c>
      <c r="T7" s="19">
        <f>_xll.BDH("NBIX US Equity","IS_OPER_INC","FQ1 2023","FQ1 2023","Currency=USD","Period=FQ","BEST_FPERIOD_OVERRIDE=FQ","FILING_STATUS=MR","SCALING_FORMAT=MLN","FA_ADJUSTED=GAAP","Sort=A","Dates=H","DateFormat=P","Fill=—","Direction=H","UseDPDF=Y")</f>
        <v>-114.2</v>
      </c>
      <c r="U7" s="19">
        <f>_xll.BDH("NBIX US Equity","IS_OPER_INC","FQ2 2023","FQ2 2023","Currency=USD","Period=FQ","BEST_FPERIOD_OVERRIDE=FQ","FILING_STATUS=MR","SCALING_FORMAT=MLN","FA_ADJUSTED=GAAP","Sort=A","Dates=H","DateFormat=P","Fill=—","Direction=H","UseDPDF=Y")</f>
        <v>73.599999999999994</v>
      </c>
      <c r="V7" s="19">
        <f>_xll.BDH("NBIX US Equity","IS_OPER_INC","FQ3 2023","FQ3 2023","Currency=USD","Period=FQ","BEST_FPERIOD_OVERRIDE=FQ","FILING_STATUS=MR","SCALING_FORMAT=MLN","FA_ADJUSTED=GAAP","Sort=A","Dates=H","DateFormat=P","Fill=—","Direction=H","UseDPDF=Y")</f>
        <v>141.19999999999999</v>
      </c>
      <c r="W7" s="19">
        <f>_xll.BDH("NBIX US Equity","IS_OPER_INC","FQ4 2023","FQ4 2023","Currency=USD","Period=FQ","BEST_FPERIOD_OVERRIDE=FQ","FILING_STATUS=MR","SCALING_FORMAT=MLN","FA_ADJUSTED=GAAP","Sort=A","Dates=H","DateFormat=P","Fill=—","Direction=H","UseDPDF=Y")</f>
        <v>150.30000000000001</v>
      </c>
      <c r="X7" s="19">
        <f>_xll.BDH("NBIX US Equity","IS_OPER_INC","FQ1 2024","FQ1 2024","Currency=USD","Period=FQ","BEST_FPERIOD_OVERRIDE=FQ","FILING_STATUS=MR","SCALING_FORMAT=MLN","FA_ADJUSTED=GAAP","Sort=A","Dates=H","DateFormat=P","Fill=—","Direction=H","UseDPDF=Y")</f>
        <v>99.3</v>
      </c>
      <c r="Y7" s="19">
        <f>_xll.BDH("NBIX US Equity","IS_OPER_INC","FQ2 2024","FQ2 2024","Currency=USD","Period=FQ","BEST_FPERIOD_OVERRIDE=FQ","FILING_STATUS=MR","SCALING_FORMAT=MLN","FA_ADJUSTED=GAAP","Sort=A","Dates=H","DateFormat=P","Fill=—","Direction=H","UseDPDF=Y")</f>
        <v>145.4</v>
      </c>
      <c r="Z7" s="19">
        <f>_xll.BDH("NBIX US Equity","IS_OPER_INC","FQ3 2024","FQ3 2024","Currency=USD","Period=FQ","BEST_FPERIOD_OVERRIDE=FQ","FILING_STATUS=MR","SCALING_FORMAT=MLN","FA_ADJUSTED=GAAP","Sort=A","Dates=H","DateFormat=P","Fill=—","Direction=H","UseDPDF=Y")</f>
        <v>183.8</v>
      </c>
      <c r="AA7" s="19">
        <f>_xll.BDH("NBIX US Equity","IS_OPER_INC","FQ4 2024","FQ4 2024","Currency=USD","Period=FQ","BEST_FPERIOD_OVERRIDE=FQ","FILING_STATUS=MR","SCALING_FORMAT=MLN","FA_ADJUSTED=GAAP","Sort=A","Dates=H","DateFormat=P","Fill=—","Direction=H","UseDPDF=Y")</f>
        <v>142</v>
      </c>
    </row>
    <row r="8" spans="1:27" x14ac:dyDescent="0.25">
      <c r="A8" s="10" t="s">
        <v>565</v>
      </c>
      <c r="B8" s="10" t="s">
        <v>566</v>
      </c>
      <c r="C8" s="13">
        <f>_xll.BDH("NBIX US Equity","IS_REVENUE_ADJUSTMENTS","FQ4 2018","FQ4 2018","Currency=USD","Period=FQ","BEST_FPERIOD_OVERRIDE=FQ","FILING_STATUS=MR","SCALING_FORMAT=MLN","Sort=A","Dates=H","DateFormat=P","Fill=—","Direction=H","UseDPDF=Y")</f>
        <v>0</v>
      </c>
      <c r="D8" s="13">
        <f>_xll.BDH("NBIX US Equity","IS_REVENUE_ADJUSTMENTS","FQ1 2019","FQ1 2019","Currency=USD","Period=FQ","BEST_FPERIOD_OVERRIDE=FQ","FILING_STATUS=MR","SCALING_FORMAT=MLN","Sort=A","Dates=H","DateFormat=P","Fill=—","Direction=H","UseDPDF=Y")</f>
        <v>0</v>
      </c>
      <c r="E8" s="13">
        <f>_xll.BDH("NBIX US Equity","IS_REVENUE_ADJUSTMENTS","FQ2 2019","FQ2 2019","Currency=USD","Period=FQ","BEST_FPERIOD_OVERRIDE=FQ","FILING_STATUS=MR","SCALING_FORMAT=MLN","Sort=A","Dates=H","DateFormat=P","Fill=—","Direction=H","UseDPDF=Y")</f>
        <v>0</v>
      </c>
      <c r="F8" s="13">
        <f>_xll.BDH("NBIX US Equity","IS_REVENUE_ADJUSTMENTS","FQ3 2019","FQ3 2019","Currency=USD","Period=FQ","BEST_FPERIOD_OVERRIDE=FQ","FILING_STATUS=MR","SCALING_FORMAT=MLN","Sort=A","Dates=H","DateFormat=P","Fill=—","Direction=H","UseDPDF=Y")</f>
        <v>0</v>
      </c>
      <c r="G8" s="13">
        <f>_xll.BDH("NBIX US Equity","IS_REVENUE_ADJUSTMENTS","FQ4 2019","FQ4 2019","Currency=USD","Period=FQ","BEST_FPERIOD_OVERRIDE=FQ","FILING_STATUS=MR","SCALING_FORMAT=MLN","Sort=A","Dates=H","DateFormat=P","Fill=—","Direction=H","UseDPDF=Y")</f>
        <v>0</v>
      </c>
      <c r="H8" s="13">
        <f>_xll.BDH("NBIX US Equity","IS_REVENUE_ADJUSTMENTS","FQ1 2020","FQ1 2020","Currency=USD","Period=FQ","BEST_FPERIOD_OVERRIDE=FQ","FILING_STATUS=MR","SCALING_FORMAT=MLN","Sort=A","Dates=H","DateFormat=P","Fill=—","Direction=H","UseDPDF=Y")</f>
        <v>0</v>
      </c>
      <c r="I8" s="13">
        <f>_xll.BDH("NBIX US Equity","IS_REVENUE_ADJUSTMENTS","FQ2 2020","FQ2 2020","Currency=USD","Period=FQ","BEST_FPERIOD_OVERRIDE=FQ","FILING_STATUS=MR","SCALING_FORMAT=MLN","Sort=A","Dates=H","DateFormat=P","Fill=—","Direction=H","UseDPDF=Y")</f>
        <v>0</v>
      </c>
      <c r="J8" s="13">
        <f>_xll.BDH("NBIX US Equity","IS_REVENUE_ADJUSTMENTS","FQ3 2020","FQ3 2020","Currency=USD","Period=FQ","BEST_FPERIOD_OVERRIDE=FQ","FILING_STATUS=MR","SCALING_FORMAT=MLN","Sort=A","Dates=H","DateFormat=P","Fill=—","Direction=H","UseDPDF=Y")</f>
        <v>0</v>
      </c>
      <c r="K8" s="13">
        <f>_xll.BDH("NBIX US Equity","IS_REVENUE_ADJUSTMENTS","FQ4 2020","FQ4 2020","Currency=USD","Period=FQ","BEST_FPERIOD_OVERRIDE=FQ","FILING_STATUS=MR","SCALING_FORMAT=MLN","Sort=A","Dates=H","DateFormat=P","Fill=—","Direction=H","UseDPDF=Y")</f>
        <v>0</v>
      </c>
      <c r="L8" s="13">
        <f>_xll.BDH("NBIX US Equity","IS_REVENUE_ADJUSTMENTS","FQ1 2021","FQ1 2021","Currency=USD","Period=FQ","BEST_FPERIOD_OVERRIDE=FQ","FILING_STATUS=MR","SCALING_FORMAT=MLN","Sort=A","Dates=H","DateFormat=P","Fill=—","Direction=H","UseDPDF=Y")</f>
        <v>0</v>
      </c>
      <c r="M8" s="13">
        <f>_xll.BDH("NBIX US Equity","IS_REVENUE_ADJUSTMENTS","FQ2 2021","FQ2 2021","Currency=USD","Period=FQ","BEST_FPERIOD_OVERRIDE=FQ","FILING_STATUS=MR","SCALING_FORMAT=MLN","Sort=A","Dates=H","DateFormat=P","Fill=—","Direction=H","UseDPDF=Y")</f>
        <v>0</v>
      </c>
      <c r="N8" s="13">
        <f>_xll.BDH("NBIX US Equity","IS_REVENUE_ADJUSTMENTS","FQ3 2021","FQ3 2021","Currency=USD","Period=FQ","BEST_FPERIOD_OVERRIDE=FQ","FILING_STATUS=MR","SCALING_FORMAT=MLN","Sort=A","Dates=H","DateFormat=P","Fill=—","Direction=H","UseDPDF=Y")</f>
        <v>0</v>
      </c>
      <c r="O8" s="13">
        <f>_xll.BDH("NBIX US Equity","IS_REVENUE_ADJUSTMENTS","FQ4 2021","FQ4 2021","Currency=USD","Period=FQ","BEST_FPERIOD_OVERRIDE=FQ","FILING_STATUS=MR","SCALING_FORMAT=MLN","Sort=A","Dates=H","DateFormat=P","Fill=—","Direction=H","UseDPDF=Y")</f>
        <v>0</v>
      </c>
      <c r="P8" s="13">
        <f>_xll.BDH("NBIX US Equity","IS_REVENUE_ADJUSTMENTS","FQ1 2022","FQ1 2022","Currency=USD","Period=FQ","BEST_FPERIOD_OVERRIDE=FQ","FILING_STATUS=MR","SCALING_FORMAT=MLN","Sort=A","Dates=H","DateFormat=P","Fill=—","Direction=H","UseDPDF=Y")</f>
        <v>0</v>
      </c>
      <c r="Q8" s="13">
        <f>_xll.BDH("NBIX US Equity","IS_REVENUE_ADJUSTMENTS","FQ2 2022","FQ2 2022","Currency=USD","Period=FQ","BEST_FPERIOD_OVERRIDE=FQ","FILING_STATUS=MR","SCALING_FORMAT=MLN","Sort=A","Dates=H","DateFormat=P","Fill=—","Direction=H","UseDPDF=Y")</f>
        <v>0</v>
      </c>
      <c r="R8" s="13">
        <f>_xll.BDH("NBIX US Equity","IS_REVENUE_ADJUSTMENTS","FQ3 2022","FQ3 2022","Currency=USD","Period=FQ","BEST_FPERIOD_OVERRIDE=FQ","FILING_STATUS=MR","SCALING_FORMAT=MLN","Sort=A","Dates=H","DateFormat=P","Fill=—","Direction=H","UseDPDF=Y")</f>
        <v>0</v>
      </c>
      <c r="S8" s="13">
        <f>_xll.BDH("NBIX US Equity","IS_REVENUE_ADJUSTMENTS","FQ4 2022","FQ4 2022","Currency=USD","Period=FQ","BEST_FPERIOD_OVERRIDE=FQ","FILING_STATUS=MR","SCALING_FORMAT=MLN","Sort=A","Dates=H","DateFormat=P","Fill=—","Direction=H","UseDPDF=Y")</f>
        <v>0</v>
      </c>
      <c r="T8" s="13">
        <f>_xll.BDH("NBIX US Equity","IS_REVENUE_ADJUSTMENTS","FQ1 2023","FQ1 2023","Currency=USD","Period=FQ","BEST_FPERIOD_OVERRIDE=FQ","FILING_STATUS=MR","SCALING_FORMAT=MLN","Sort=A","Dates=H","DateFormat=P","Fill=—","Direction=H","UseDPDF=Y")</f>
        <v>0</v>
      </c>
      <c r="U8" s="13">
        <f>_xll.BDH("NBIX US Equity","IS_REVENUE_ADJUSTMENTS","FQ2 2023","FQ2 2023","Currency=USD","Period=FQ","BEST_FPERIOD_OVERRIDE=FQ","FILING_STATUS=MR","SCALING_FORMAT=MLN","Sort=A","Dates=H","DateFormat=P","Fill=—","Direction=H","UseDPDF=Y")</f>
        <v>0</v>
      </c>
      <c r="V8" s="13">
        <f>_xll.BDH("NBIX US Equity","IS_REVENUE_ADJUSTMENTS","FQ3 2023","FQ3 2023","Currency=USD","Period=FQ","BEST_FPERIOD_OVERRIDE=FQ","FILING_STATUS=MR","SCALING_FORMAT=MLN","Sort=A","Dates=H","DateFormat=P","Fill=—","Direction=H","UseDPDF=Y")</f>
        <v>0</v>
      </c>
      <c r="W8" s="13">
        <f>_xll.BDH("NBIX US Equity","IS_REVENUE_ADJUSTMENTS","FQ4 2023","FQ4 2023","Currency=USD","Period=FQ","BEST_FPERIOD_OVERRIDE=FQ","FILING_STATUS=MR","SCALING_FORMAT=MLN","Sort=A","Dates=H","DateFormat=P","Fill=—","Direction=H","UseDPDF=Y")</f>
        <v>0</v>
      </c>
      <c r="X8" s="13">
        <f>_xll.BDH("NBIX US Equity","IS_REVENUE_ADJUSTMENTS","FQ1 2024","FQ1 2024","Currency=USD","Period=FQ","BEST_FPERIOD_OVERRIDE=FQ","FILING_STATUS=MR","SCALING_FORMAT=MLN","Sort=A","Dates=H","DateFormat=P","Fill=—","Direction=H","UseDPDF=Y")</f>
        <v>0</v>
      </c>
      <c r="Y8" s="13">
        <f>_xll.BDH("NBIX US Equity","IS_REVENUE_ADJUSTMENTS","FQ2 2024","FQ2 2024","Currency=USD","Period=FQ","BEST_FPERIOD_OVERRIDE=FQ","FILING_STATUS=MR","SCALING_FORMAT=MLN","Sort=A","Dates=H","DateFormat=P","Fill=—","Direction=H","UseDPDF=Y")</f>
        <v>0</v>
      </c>
      <c r="Z8" s="13">
        <f>_xll.BDH("NBIX US Equity","IS_REVENUE_ADJUSTMENTS","FQ3 2024","FQ3 2024","Currency=USD","Period=FQ","BEST_FPERIOD_OVERRIDE=FQ","FILING_STATUS=MR","SCALING_FORMAT=MLN","Sort=A","Dates=H","DateFormat=P","Fill=—","Direction=H","UseDPDF=Y")</f>
        <v>0</v>
      </c>
      <c r="AA8" s="13">
        <f>_xll.BDH("NBIX US Equity","IS_REVENUE_ADJUSTMENTS","FQ4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10" t="s">
        <v>567</v>
      </c>
      <c r="B9" s="10" t="s">
        <v>568</v>
      </c>
      <c r="C9" s="13">
        <f>_xll.BDH("NBIX US Equity","IS_COST_OF_REVENUE_ADJUSTMENTS","FQ4 2018","FQ4 2018","Currency=USD","Period=FQ","BEST_FPERIOD_OVERRIDE=FQ","FILING_STATUS=MR","SCALING_FORMAT=MLN","Sort=A","Dates=H","DateFormat=P","Fill=—","Direction=H","UseDPDF=Y")</f>
        <v>0</v>
      </c>
      <c r="D9" s="13">
        <f>_xll.BDH("NBIX US Equity","IS_COST_OF_REVENUE_ADJUSTMENTS","FQ1 2019","FQ1 2019","Currency=USD","Period=FQ","BEST_FPERIOD_OVERRIDE=FQ","FILING_STATUS=MR","SCALING_FORMAT=MLN","Sort=A","Dates=H","DateFormat=P","Fill=—","Direction=H","UseDPDF=Y")</f>
        <v>0</v>
      </c>
      <c r="E9" s="13">
        <f>_xll.BDH("NBIX US Equity","IS_COST_OF_REVENUE_ADJUSTMENTS","FQ2 2019","FQ2 2019","Currency=USD","Period=FQ","BEST_FPERIOD_OVERRIDE=FQ","FILING_STATUS=MR","SCALING_FORMAT=MLN","Sort=A","Dates=H","DateFormat=P","Fill=—","Direction=H","UseDPDF=Y")</f>
        <v>0</v>
      </c>
      <c r="F9" s="13">
        <f>_xll.BDH("NBIX US Equity","IS_COST_OF_REVENUE_ADJUSTMENTS","FQ3 2019","FQ3 2019","Currency=USD","Period=FQ","BEST_FPERIOD_OVERRIDE=FQ","FILING_STATUS=MR","SCALING_FORMAT=MLN","Sort=A","Dates=H","DateFormat=P","Fill=—","Direction=H","UseDPDF=Y")</f>
        <v>0</v>
      </c>
      <c r="G9" s="13">
        <f>_xll.BDH("NBIX US Equity","IS_COST_OF_REVENUE_ADJUSTMENTS","FQ4 2019","FQ4 2019","Currency=USD","Period=FQ","BEST_FPERIOD_OVERRIDE=FQ","FILING_STATUS=MR","SCALING_FORMAT=MLN","Sort=A","Dates=H","DateFormat=P","Fill=—","Direction=H","UseDPDF=Y")</f>
        <v>0</v>
      </c>
      <c r="H9" s="13">
        <f>_xll.BDH("NBIX US Equity","IS_COST_OF_REVENUE_ADJUSTMENTS","FQ1 2020","FQ1 2020","Currency=USD","Period=FQ","BEST_FPERIOD_OVERRIDE=FQ","FILING_STATUS=MR","SCALING_FORMAT=MLN","Sort=A","Dates=H","DateFormat=P","Fill=—","Direction=H","UseDPDF=Y")</f>
        <v>0</v>
      </c>
      <c r="I9" s="13">
        <f>_xll.BDH("NBIX US Equity","IS_COST_OF_REVENUE_ADJUSTMENTS","FQ2 2020","FQ2 2020","Currency=USD","Period=FQ","BEST_FPERIOD_OVERRIDE=FQ","FILING_STATUS=MR","SCALING_FORMAT=MLN","Sort=A","Dates=H","DateFormat=P","Fill=—","Direction=H","UseDPDF=Y")</f>
        <v>0</v>
      </c>
      <c r="J9" s="13">
        <f>_xll.BDH("NBIX US Equity","IS_COST_OF_REVENUE_ADJUSTMENTS","FQ3 2020","FQ3 2020","Currency=USD","Period=FQ","BEST_FPERIOD_OVERRIDE=FQ","FILING_STATUS=MR","SCALING_FORMAT=MLN","Sort=A","Dates=H","DateFormat=P","Fill=—","Direction=H","UseDPDF=Y")</f>
        <v>0</v>
      </c>
      <c r="K9" s="13">
        <f>_xll.BDH("NBIX US Equity","IS_COST_OF_REVENUE_ADJUSTMENTS","FQ4 2020","FQ4 2020","Currency=USD","Period=FQ","BEST_FPERIOD_OVERRIDE=FQ","FILING_STATUS=MR","SCALING_FORMAT=MLN","Sort=A","Dates=H","DateFormat=P","Fill=—","Direction=H","UseDPDF=Y")</f>
        <v>0</v>
      </c>
      <c r="L9" s="13">
        <f>_xll.BDH("NBIX US Equity","IS_COST_OF_REVENUE_ADJUSTMENTS","FQ1 2021","FQ1 2021","Currency=USD","Period=FQ","BEST_FPERIOD_OVERRIDE=FQ","FILING_STATUS=MR","SCALING_FORMAT=MLN","Sort=A","Dates=H","DateFormat=P","Fill=—","Direction=H","UseDPDF=Y")</f>
        <v>0</v>
      </c>
      <c r="M9" s="13">
        <f>_xll.BDH("NBIX US Equity","IS_COST_OF_REVENUE_ADJUSTMENTS","FQ2 2021","FQ2 2021","Currency=USD","Period=FQ","BEST_FPERIOD_OVERRIDE=FQ","FILING_STATUS=MR","SCALING_FORMAT=MLN","Sort=A","Dates=H","DateFormat=P","Fill=—","Direction=H","UseDPDF=Y")</f>
        <v>0</v>
      </c>
      <c r="N9" s="13">
        <f>_xll.BDH("NBIX US Equity","IS_COST_OF_REVENUE_ADJUSTMENTS","FQ3 2021","FQ3 2021","Currency=USD","Period=FQ","BEST_FPERIOD_OVERRIDE=FQ","FILING_STATUS=MR","SCALING_FORMAT=MLN","Sort=A","Dates=H","DateFormat=P","Fill=—","Direction=H","UseDPDF=Y")</f>
        <v>0</v>
      </c>
      <c r="O9" s="13">
        <f>_xll.BDH("NBIX US Equity","IS_COST_OF_REVENUE_ADJUSTMENTS","FQ4 2021","FQ4 2021","Currency=USD","Period=FQ","BEST_FPERIOD_OVERRIDE=FQ","FILING_STATUS=MR","SCALING_FORMAT=MLN","Sort=A","Dates=H","DateFormat=P","Fill=—","Direction=H","UseDPDF=Y")</f>
        <v>0</v>
      </c>
      <c r="P9" s="13">
        <f>_xll.BDH("NBIX US Equity","IS_COST_OF_REVENUE_ADJUSTMENTS","FQ1 2022","FQ1 2022","Currency=USD","Period=FQ","BEST_FPERIOD_OVERRIDE=FQ","FILING_STATUS=MR","SCALING_FORMAT=MLN","Sort=A","Dates=H","DateFormat=P","Fill=—","Direction=H","UseDPDF=Y")</f>
        <v>0</v>
      </c>
      <c r="Q9" s="13">
        <f>_xll.BDH("NBIX US Equity","IS_COST_OF_REVENUE_ADJUSTMENTS","FQ2 2022","FQ2 2022","Currency=USD","Period=FQ","BEST_FPERIOD_OVERRIDE=FQ","FILING_STATUS=MR","SCALING_FORMAT=MLN","Sort=A","Dates=H","DateFormat=P","Fill=—","Direction=H","UseDPDF=Y")</f>
        <v>0</v>
      </c>
      <c r="R9" s="13">
        <f>_xll.BDH("NBIX US Equity","IS_COST_OF_REVENUE_ADJUSTMENTS","FQ3 2022","FQ3 2022","Currency=USD","Period=FQ","BEST_FPERIOD_OVERRIDE=FQ","FILING_STATUS=MR","SCALING_FORMAT=MLN","Sort=A","Dates=H","DateFormat=P","Fill=—","Direction=H","UseDPDF=Y")</f>
        <v>0</v>
      </c>
      <c r="S9" s="13">
        <f>_xll.BDH("NBIX US Equity","IS_COST_OF_REVENUE_ADJUSTMENTS","FQ4 2022","FQ4 2022","Currency=USD","Period=FQ","BEST_FPERIOD_OVERRIDE=FQ","FILING_STATUS=MR","SCALING_FORMAT=MLN","Sort=A","Dates=H","DateFormat=P","Fill=—","Direction=H","UseDPDF=Y")</f>
        <v>0</v>
      </c>
      <c r="T9" s="13">
        <f>_xll.BDH("NBIX US Equity","IS_COST_OF_REVENUE_ADJUSTMENTS","FQ1 2023","FQ1 2023","Currency=USD","Period=FQ","BEST_FPERIOD_OVERRIDE=FQ","FILING_STATUS=MR","SCALING_FORMAT=MLN","Sort=A","Dates=H","DateFormat=P","Fill=—","Direction=H","UseDPDF=Y")</f>
        <v>0</v>
      </c>
      <c r="U9" s="13">
        <f>_xll.BDH("NBIX US Equity","IS_COST_OF_REVENUE_ADJUSTMENTS","FQ2 2023","FQ2 2023","Currency=USD","Period=FQ","BEST_FPERIOD_OVERRIDE=FQ","FILING_STATUS=MR","SCALING_FORMAT=MLN","Sort=A","Dates=H","DateFormat=P","Fill=—","Direction=H","UseDPDF=Y")</f>
        <v>0</v>
      </c>
      <c r="V9" s="13">
        <f>_xll.BDH("NBIX US Equity","IS_COST_OF_REVENUE_ADJUSTMENTS","FQ3 2023","FQ3 2023","Currency=USD","Period=FQ","BEST_FPERIOD_OVERRIDE=FQ","FILING_STATUS=MR","SCALING_FORMAT=MLN","Sort=A","Dates=H","DateFormat=P","Fill=—","Direction=H","UseDPDF=Y")</f>
        <v>0</v>
      </c>
      <c r="W9" s="13">
        <f>_xll.BDH("NBIX US Equity","IS_COST_OF_REVENUE_ADJUSTMENTS","FQ4 2023","FQ4 2023","Currency=USD","Period=FQ","BEST_FPERIOD_OVERRIDE=FQ","FILING_STATUS=MR","SCALING_FORMAT=MLN","Sort=A","Dates=H","DateFormat=P","Fill=—","Direction=H","UseDPDF=Y")</f>
        <v>0</v>
      </c>
      <c r="X9" s="13">
        <f>_xll.BDH("NBIX US Equity","IS_COST_OF_REVENUE_ADJUSTMENTS","FQ1 2024","FQ1 2024","Currency=USD","Period=FQ","BEST_FPERIOD_OVERRIDE=FQ","FILING_STATUS=MR","SCALING_FORMAT=MLN","Sort=A","Dates=H","DateFormat=P","Fill=—","Direction=H","UseDPDF=Y")</f>
        <v>0</v>
      </c>
      <c r="Y9" s="13">
        <f>_xll.BDH("NBIX US Equity","IS_COST_OF_REVENUE_ADJUSTMENTS","FQ2 2024","FQ2 2024","Currency=USD","Period=FQ","BEST_FPERIOD_OVERRIDE=FQ","FILING_STATUS=MR","SCALING_FORMAT=MLN","Sort=A","Dates=H","DateFormat=P","Fill=—","Direction=H","UseDPDF=Y")</f>
        <v>0</v>
      </c>
      <c r="Z9" s="13">
        <f>_xll.BDH("NBIX US Equity","IS_COST_OF_REVENUE_ADJUSTMENTS","FQ3 2024","FQ3 2024","Currency=USD","Period=FQ","BEST_FPERIOD_OVERRIDE=FQ","FILING_STATUS=MR","SCALING_FORMAT=MLN","Sort=A","Dates=H","DateFormat=P","Fill=—","Direction=H","UseDPDF=Y")</f>
        <v>0</v>
      </c>
      <c r="AA9" s="13">
        <f>_xll.BDH("NBIX US Equity","IS_COST_OF_REVENUE_ADJUSTMENTS","FQ4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569</v>
      </c>
      <c r="B10" s="10" t="s">
        <v>570</v>
      </c>
      <c r="C10" s="13">
        <f>_xll.BDH("NBIX US Equity","IS_OTHER_OPER_INC_NONGAAP_ADJUST","FQ4 2018","FQ4 2018","Currency=USD","Period=FQ","BEST_FPERIOD_OVERRIDE=FQ","FILING_STATUS=MR","SCALING_FORMAT=MLN","Sort=A","Dates=H","DateFormat=P","Fill=—","Direction=H","UseDPDF=Y")</f>
        <v>0</v>
      </c>
      <c r="D10" s="13">
        <f>_xll.BDH("NBIX US Equity","IS_OTHER_OPER_INC_NONGAAP_ADJUST","FQ1 2019","FQ1 2019","Currency=USD","Period=FQ","BEST_FPERIOD_OVERRIDE=FQ","FILING_STATUS=MR","SCALING_FORMAT=MLN","Sort=A","Dates=H","DateFormat=P","Fill=—","Direction=H","UseDPDF=Y")</f>
        <v>0</v>
      </c>
      <c r="E10" s="13">
        <f>_xll.BDH("NBIX US Equity","IS_OTHER_OPER_INC_NONGAAP_ADJUST","FQ2 2019","FQ2 2019","Currency=USD","Period=FQ","BEST_FPERIOD_OVERRIDE=FQ","FILING_STATUS=MR","SCALING_FORMAT=MLN","Sort=A","Dates=H","DateFormat=P","Fill=—","Direction=H","UseDPDF=Y")</f>
        <v>0</v>
      </c>
      <c r="F10" s="13">
        <f>_xll.BDH("NBIX US Equity","IS_OTHER_OPER_INC_NONGAAP_ADJUST","FQ3 2019","FQ3 2019","Currency=USD","Period=FQ","BEST_FPERIOD_OVERRIDE=FQ","FILING_STATUS=MR","SCALING_FORMAT=MLN","Sort=A","Dates=H","DateFormat=P","Fill=—","Direction=H","UseDPDF=Y")</f>
        <v>0</v>
      </c>
      <c r="G10" s="13">
        <f>_xll.BDH("NBIX US Equity","IS_OTHER_OPER_INC_NONGAAP_ADJUST","FQ4 2019","FQ4 2019","Currency=USD","Period=FQ","BEST_FPERIOD_OVERRIDE=FQ","FILING_STATUS=MR","SCALING_FORMAT=MLN","Sort=A","Dates=H","DateFormat=P","Fill=—","Direction=H","UseDPDF=Y")</f>
        <v>0</v>
      </c>
      <c r="H10" s="13">
        <f>_xll.BDH("NBIX US Equity","IS_OTHER_OPER_INC_NONGAAP_ADJUST","FQ1 2020","FQ1 2020","Currency=USD","Period=FQ","BEST_FPERIOD_OVERRIDE=FQ","FILING_STATUS=MR","SCALING_FORMAT=MLN","Sort=A","Dates=H","DateFormat=P","Fill=—","Direction=H","UseDPDF=Y")</f>
        <v>0</v>
      </c>
      <c r="I10" s="13">
        <f>_xll.BDH("NBIX US Equity","IS_OTHER_OPER_INC_NONGAAP_ADJUST","FQ2 2020","FQ2 2020","Currency=USD","Period=FQ","BEST_FPERIOD_OVERRIDE=FQ","FILING_STATUS=MR","SCALING_FORMAT=MLN","Sort=A","Dates=H","DateFormat=P","Fill=—","Direction=H","UseDPDF=Y")</f>
        <v>0</v>
      </c>
      <c r="J10" s="13">
        <f>_xll.BDH("NBIX US Equity","IS_OTHER_OPER_INC_NONGAAP_ADJUST","FQ3 2020","FQ3 2020","Currency=USD","Period=FQ","BEST_FPERIOD_OVERRIDE=FQ","FILING_STATUS=MR","SCALING_FORMAT=MLN","Sort=A","Dates=H","DateFormat=P","Fill=—","Direction=H","UseDPDF=Y")</f>
        <v>0</v>
      </c>
      <c r="K10" s="13">
        <f>_xll.BDH("NBIX US Equity","IS_OTHER_OPER_INC_NONGAAP_ADJUST","FQ4 2020","FQ4 2020","Currency=USD","Period=FQ","BEST_FPERIOD_OVERRIDE=FQ","FILING_STATUS=MR","SCALING_FORMAT=MLN","Sort=A","Dates=H","DateFormat=P","Fill=—","Direction=H","UseDPDF=Y")</f>
        <v>0</v>
      </c>
      <c r="L10" s="13">
        <f>_xll.BDH("NBIX US Equity","IS_OTHER_OPER_INC_NONGAAP_ADJUST","FQ1 2021","FQ1 2021","Currency=USD","Period=FQ","BEST_FPERIOD_OVERRIDE=FQ","FILING_STATUS=MR","SCALING_FORMAT=MLN","Sort=A","Dates=H","DateFormat=P","Fill=—","Direction=H","UseDPDF=Y")</f>
        <v>0</v>
      </c>
      <c r="M10" s="13">
        <f>_xll.BDH("NBIX US Equity","IS_OTHER_OPER_INC_NONGAAP_ADJUST","FQ2 2021","FQ2 2021","Currency=USD","Period=FQ","BEST_FPERIOD_OVERRIDE=FQ","FILING_STATUS=MR","SCALING_FORMAT=MLN","Sort=A","Dates=H","DateFormat=P","Fill=—","Direction=H","UseDPDF=Y")</f>
        <v>0</v>
      </c>
      <c r="N10" s="13">
        <f>_xll.BDH("NBIX US Equity","IS_OTHER_OPER_INC_NONGAAP_ADJUST","FQ3 2021","FQ3 2021","Currency=USD","Period=FQ","BEST_FPERIOD_OVERRIDE=FQ","FILING_STATUS=MR","SCALING_FORMAT=MLN","Sort=A","Dates=H","DateFormat=P","Fill=—","Direction=H","UseDPDF=Y")</f>
        <v>0</v>
      </c>
      <c r="O10" s="13">
        <f>_xll.BDH("NBIX US Equity","IS_OTHER_OPER_INC_NONGAAP_ADJUST","FQ4 2021","FQ4 2021","Currency=USD","Period=FQ","BEST_FPERIOD_OVERRIDE=FQ","FILING_STATUS=MR","SCALING_FORMAT=MLN","Sort=A","Dates=H","DateFormat=P","Fill=—","Direction=H","UseDPDF=Y")</f>
        <v>0</v>
      </c>
      <c r="P10" s="13">
        <f>_xll.BDH("NBIX US Equity","IS_OTHER_OPER_INC_NONGAAP_ADJUST","FQ1 2022","FQ1 2022","Currency=USD","Period=FQ","BEST_FPERIOD_OVERRIDE=FQ","FILING_STATUS=MR","SCALING_FORMAT=MLN","Sort=A","Dates=H","DateFormat=P","Fill=—","Direction=H","UseDPDF=Y")</f>
        <v>0</v>
      </c>
      <c r="Q10" s="13">
        <f>_xll.BDH("NBIX US Equity","IS_OTHER_OPER_INC_NONGAAP_ADJUST","FQ2 2022","FQ2 2022","Currency=USD","Period=FQ","BEST_FPERIOD_OVERRIDE=FQ","FILING_STATUS=MR","SCALING_FORMAT=MLN","Sort=A","Dates=H","DateFormat=P","Fill=—","Direction=H","UseDPDF=Y")</f>
        <v>0</v>
      </c>
      <c r="R10" s="13">
        <f>_xll.BDH("NBIX US Equity","IS_OTHER_OPER_INC_NONGAAP_ADJUST","FQ3 2022","FQ3 2022","Currency=USD","Period=FQ","BEST_FPERIOD_OVERRIDE=FQ","FILING_STATUS=MR","SCALING_FORMAT=MLN","Sort=A","Dates=H","DateFormat=P","Fill=—","Direction=H","UseDPDF=Y")</f>
        <v>0</v>
      </c>
      <c r="S10" s="13">
        <f>_xll.BDH("NBIX US Equity","IS_OTHER_OPER_INC_NONGAAP_ADJUST","FQ4 2022","FQ4 2022","Currency=USD","Period=FQ","BEST_FPERIOD_OVERRIDE=FQ","FILING_STATUS=MR","SCALING_FORMAT=MLN","Sort=A","Dates=H","DateFormat=P","Fill=—","Direction=H","UseDPDF=Y")</f>
        <v>0</v>
      </c>
      <c r="T10" s="13">
        <f>_xll.BDH("NBIX US Equity","IS_OTHER_OPER_INC_NONGAAP_ADJUST","FQ1 2023","FQ1 2023","Currency=USD","Period=FQ","BEST_FPERIOD_OVERRIDE=FQ","FILING_STATUS=MR","SCALING_FORMAT=MLN","Sort=A","Dates=H","DateFormat=P","Fill=—","Direction=H","UseDPDF=Y")</f>
        <v>0</v>
      </c>
      <c r="U10" s="13">
        <f>_xll.BDH("NBIX US Equity","IS_OTHER_OPER_INC_NONGAAP_ADJUST","FQ2 2023","FQ2 2023","Currency=USD","Period=FQ","BEST_FPERIOD_OVERRIDE=FQ","FILING_STATUS=MR","SCALING_FORMAT=MLN","Sort=A","Dates=H","DateFormat=P","Fill=—","Direction=H","UseDPDF=Y")</f>
        <v>0</v>
      </c>
      <c r="V10" s="13">
        <f>_xll.BDH("NBIX US Equity","IS_OTHER_OPER_INC_NONGAAP_ADJUST","FQ3 2023","FQ3 2023","Currency=USD","Period=FQ","BEST_FPERIOD_OVERRIDE=FQ","FILING_STATUS=MR","SCALING_FORMAT=MLN","Sort=A","Dates=H","DateFormat=P","Fill=—","Direction=H","UseDPDF=Y")</f>
        <v>0</v>
      </c>
      <c r="W10" s="13">
        <f>_xll.BDH("NBIX US Equity","IS_OTHER_OPER_INC_NONGAAP_ADJUST","FQ4 2023","FQ4 2023","Currency=USD","Period=FQ","BEST_FPERIOD_OVERRIDE=FQ","FILING_STATUS=MR","SCALING_FORMAT=MLN","Sort=A","Dates=H","DateFormat=P","Fill=—","Direction=H","UseDPDF=Y")</f>
        <v>0</v>
      </c>
      <c r="X10" s="13">
        <f>_xll.BDH("NBIX US Equity","IS_OTHER_OPER_INC_NONGAAP_ADJUST","FQ1 2024","FQ1 2024","Currency=USD","Period=FQ","BEST_FPERIOD_OVERRIDE=FQ","FILING_STATUS=MR","SCALING_FORMAT=MLN","Sort=A","Dates=H","DateFormat=P","Fill=—","Direction=H","UseDPDF=Y")</f>
        <v>0</v>
      </c>
      <c r="Y10" s="13">
        <f>_xll.BDH("NBIX US Equity","IS_OTHER_OPER_INC_NONGAAP_ADJUST","FQ2 2024","FQ2 2024","Currency=USD","Period=FQ","BEST_FPERIOD_OVERRIDE=FQ","FILING_STATUS=MR","SCALING_FORMAT=MLN","Sort=A","Dates=H","DateFormat=P","Fill=—","Direction=H","UseDPDF=Y")</f>
        <v>0</v>
      </c>
      <c r="Z10" s="13">
        <f>_xll.BDH("NBIX US Equity","IS_OTHER_OPER_INC_NONGAAP_ADJUST","FQ3 2024","FQ3 2024","Currency=USD","Period=FQ","BEST_FPERIOD_OVERRIDE=FQ","FILING_STATUS=MR","SCALING_FORMAT=MLN","Sort=A","Dates=H","DateFormat=P","Fill=—","Direction=H","UseDPDF=Y")</f>
        <v>0</v>
      </c>
      <c r="AA10" s="13">
        <f>_xll.BDH("NBIX US Equity","IS_OTHER_OPER_INC_NONGAAP_ADJUST","FQ4 2024","FQ4 2024","Currency=USD","Period=FQ","BEST_FPERIOD_OVERRIDE=FQ","FILING_STATUS=MR","SCALING_FORMAT=MLN","Sort=A","Dates=H","DateFormat=P","Fill=—","Direction=H","UseDPDF=Y")</f>
        <v>0</v>
      </c>
    </row>
    <row r="11" spans="1:27" x14ac:dyDescent="0.25">
      <c r="A11" s="10" t="s">
        <v>571</v>
      </c>
      <c r="B11" s="10" t="s">
        <v>572</v>
      </c>
      <c r="C11" s="13">
        <f>_xll.BDH("NBIX US Equity","IS_SGA_ADJ","FQ4 2018","FQ4 2018","Currency=USD","Period=FQ","BEST_FPERIOD_OVERRIDE=FQ","FILING_STATUS=MR","SCALING_FORMAT=MLN","Sort=A","Dates=H","DateFormat=P","Fill=—","Direction=H","UseDPDF=Y")</f>
        <v>0</v>
      </c>
      <c r="D11" s="13">
        <f>_xll.BDH("NBIX US Equity","IS_SGA_ADJ","FQ1 2019","FQ1 2019","Currency=USD","Period=FQ","BEST_FPERIOD_OVERRIDE=FQ","FILING_STATUS=MR","SCALING_FORMAT=MLN","Sort=A","Dates=H","DateFormat=P","Fill=—","Direction=H","UseDPDF=Y")</f>
        <v>0</v>
      </c>
      <c r="E11" s="13">
        <f>_xll.BDH("NBIX US Equity","IS_SGA_ADJ","FQ2 2019","FQ2 2019","Currency=USD","Period=FQ","BEST_FPERIOD_OVERRIDE=FQ","FILING_STATUS=MR","SCALING_FORMAT=MLN","Sort=A","Dates=H","DateFormat=P","Fill=—","Direction=H","UseDPDF=Y")</f>
        <v>0</v>
      </c>
      <c r="F11" s="13">
        <f>_xll.BDH("NBIX US Equity","IS_SGA_ADJ","FQ3 2019","FQ3 2019","Currency=USD","Period=FQ","BEST_FPERIOD_OVERRIDE=FQ","FILING_STATUS=MR","SCALING_FORMAT=MLN","Sort=A","Dates=H","DateFormat=P","Fill=—","Direction=H","UseDPDF=Y")</f>
        <v>0</v>
      </c>
      <c r="G11" s="13">
        <f>_xll.BDH("NBIX US Equity","IS_SGA_ADJ","FQ4 2019","FQ4 2019","Currency=USD","Period=FQ","BEST_FPERIOD_OVERRIDE=FQ","FILING_STATUS=MR","SCALING_FORMAT=MLN","Sort=A","Dates=H","DateFormat=P","Fill=—","Direction=H","UseDPDF=Y")</f>
        <v>0</v>
      </c>
      <c r="H11" s="13">
        <f>_xll.BDH("NBIX US Equity","IS_SGA_ADJ","FQ1 2020","FQ1 2020","Currency=USD","Period=FQ","BEST_FPERIOD_OVERRIDE=FQ","FILING_STATUS=MR","SCALING_FORMAT=MLN","Sort=A","Dates=H","DateFormat=P","Fill=—","Direction=H","UseDPDF=Y")</f>
        <v>0</v>
      </c>
      <c r="I11" s="13">
        <f>_xll.BDH("NBIX US Equity","IS_SGA_ADJ","FQ2 2020","FQ2 2020","Currency=USD","Period=FQ","BEST_FPERIOD_OVERRIDE=FQ","FILING_STATUS=MR","SCALING_FORMAT=MLN","Sort=A","Dates=H","DateFormat=P","Fill=—","Direction=H","UseDPDF=Y")</f>
        <v>0</v>
      </c>
      <c r="J11" s="13">
        <f>_xll.BDH("NBIX US Equity","IS_SGA_ADJ","FQ3 2020","FQ3 2020","Currency=USD","Period=FQ","BEST_FPERIOD_OVERRIDE=FQ","FILING_STATUS=MR","SCALING_FORMAT=MLN","Sort=A","Dates=H","DateFormat=P","Fill=—","Direction=H","UseDPDF=Y")</f>
        <v>0</v>
      </c>
      <c r="K11" s="13">
        <f>_xll.BDH("NBIX US Equity","IS_SGA_ADJ","FQ4 2020","FQ4 2020","Currency=USD","Period=FQ","BEST_FPERIOD_OVERRIDE=FQ","FILING_STATUS=MR","SCALING_FORMAT=MLN","Sort=A","Dates=H","DateFormat=P","Fill=—","Direction=H","UseDPDF=Y")</f>
        <v>0</v>
      </c>
      <c r="L11" s="13">
        <f>_xll.BDH("NBIX US Equity","IS_SGA_ADJ","FQ1 2021","FQ1 2021","Currency=USD","Period=FQ","BEST_FPERIOD_OVERRIDE=FQ","FILING_STATUS=MR","SCALING_FORMAT=MLN","Sort=A","Dates=H","DateFormat=P","Fill=—","Direction=H","UseDPDF=Y")</f>
        <v>0</v>
      </c>
      <c r="M11" s="13">
        <f>_xll.BDH("NBIX US Equity","IS_SGA_ADJ","FQ2 2021","FQ2 2021","Currency=USD","Period=FQ","BEST_FPERIOD_OVERRIDE=FQ","FILING_STATUS=MR","SCALING_FORMAT=MLN","Sort=A","Dates=H","DateFormat=P","Fill=—","Direction=H","UseDPDF=Y")</f>
        <v>0</v>
      </c>
      <c r="N11" s="13">
        <f>_xll.BDH("NBIX US Equity","IS_SGA_ADJ","FQ3 2021","FQ3 2021","Currency=USD","Period=FQ","BEST_FPERIOD_OVERRIDE=FQ","FILING_STATUS=MR","SCALING_FORMAT=MLN","Sort=A","Dates=H","DateFormat=P","Fill=—","Direction=H","UseDPDF=Y")</f>
        <v>0</v>
      </c>
      <c r="O11" s="13">
        <f>_xll.BDH("NBIX US Equity","IS_SGA_ADJ","FQ4 2021","FQ4 2021","Currency=USD","Period=FQ","BEST_FPERIOD_OVERRIDE=FQ","FILING_STATUS=MR","SCALING_FORMAT=MLN","Sort=A","Dates=H","DateFormat=P","Fill=—","Direction=H","UseDPDF=Y")</f>
        <v>0</v>
      </c>
      <c r="P11" s="13">
        <f>_xll.BDH("NBIX US Equity","IS_SGA_ADJ","FQ1 2022","FQ1 2022","Currency=USD","Period=FQ","BEST_FPERIOD_OVERRIDE=FQ","FILING_STATUS=MR","SCALING_FORMAT=MLN","Sort=A","Dates=H","DateFormat=P","Fill=—","Direction=H","UseDPDF=Y")</f>
        <v>0</v>
      </c>
      <c r="Q11" s="13">
        <f>_xll.BDH("NBIX US Equity","IS_SGA_ADJ","FQ2 2022","FQ2 2022","Currency=USD","Period=FQ","BEST_FPERIOD_OVERRIDE=FQ","FILING_STATUS=MR","SCALING_FORMAT=MLN","Sort=A","Dates=H","DateFormat=P","Fill=—","Direction=H","UseDPDF=Y")</f>
        <v>0</v>
      </c>
      <c r="R11" s="13">
        <f>_xll.BDH("NBIX US Equity","IS_SGA_ADJ","FQ3 2022","FQ3 2022","Currency=USD","Period=FQ","BEST_FPERIOD_OVERRIDE=FQ","FILING_STATUS=MR","SCALING_FORMAT=MLN","Sort=A","Dates=H","DateFormat=P","Fill=—","Direction=H","UseDPDF=Y")</f>
        <v>0</v>
      </c>
      <c r="S11" s="13">
        <f>_xll.BDH("NBIX US Equity","IS_SGA_ADJ","FQ4 2022","FQ4 2022","Currency=USD","Period=FQ","BEST_FPERIOD_OVERRIDE=FQ","FILING_STATUS=MR","SCALING_FORMAT=MLN","Sort=A","Dates=H","DateFormat=P","Fill=—","Direction=H","UseDPDF=Y")</f>
        <v>0</v>
      </c>
      <c r="T11" s="13">
        <f>_xll.BDH("NBIX US Equity","IS_SGA_ADJ","FQ1 2023","FQ1 2023","Currency=USD","Period=FQ","BEST_FPERIOD_OVERRIDE=FQ","FILING_STATUS=MR","SCALING_FORMAT=MLN","Sort=A","Dates=H","DateFormat=P","Fill=—","Direction=H","UseDPDF=Y")</f>
        <v>0</v>
      </c>
      <c r="U11" s="13">
        <f>_xll.BDH("NBIX US Equity","IS_SGA_ADJ","FQ2 2023","FQ2 2023","Currency=USD","Period=FQ","BEST_FPERIOD_OVERRIDE=FQ","FILING_STATUS=MR","SCALING_FORMAT=MLN","Sort=A","Dates=H","DateFormat=P","Fill=—","Direction=H","UseDPDF=Y")</f>
        <v>0</v>
      </c>
      <c r="V11" s="13">
        <f>_xll.BDH("NBIX US Equity","IS_SGA_ADJ","FQ3 2023","FQ3 2023","Currency=USD","Period=FQ","BEST_FPERIOD_OVERRIDE=FQ","FILING_STATUS=MR","SCALING_FORMAT=MLN","Sort=A","Dates=H","DateFormat=P","Fill=—","Direction=H","UseDPDF=Y")</f>
        <v>0</v>
      </c>
      <c r="W11" s="13">
        <f>_xll.BDH("NBIX US Equity","IS_SGA_ADJ","FQ4 2023","FQ4 2023","Currency=USD","Period=FQ","BEST_FPERIOD_OVERRIDE=FQ","FILING_STATUS=MR","SCALING_FORMAT=MLN","Sort=A","Dates=H","DateFormat=P","Fill=—","Direction=H","UseDPDF=Y")</f>
        <v>0</v>
      </c>
      <c r="X11" s="13">
        <f>_xll.BDH("NBIX US Equity","IS_SGA_ADJ","FQ1 2024","FQ1 2024","Currency=USD","Period=FQ","BEST_FPERIOD_OVERRIDE=FQ","FILING_STATUS=MR","SCALING_FORMAT=MLN","Sort=A","Dates=H","DateFormat=P","Fill=—","Direction=H","UseDPDF=Y")</f>
        <v>0</v>
      </c>
      <c r="Y11" s="13">
        <f>_xll.BDH("NBIX US Equity","IS_SGA_ADJ","FQ2 2024","FQ2 2024","Currency=USD","Period=FQ","BEST_FPERIOD_OVERRIDE=FQ","FILING_STATUS=MR","SCALING_FORMAT=MLN","Sort=A","Dates=H","DateFormat=P","Fill=—","Direction=H","UseDPDF=Y")</f>
        <v>0</v>
      </c>
      <c r="Z11" s="13">
        <f>_xll.BDH("NBIX US Equity","IS_SGA_ADJ","FQ3 2024","FQ3 2024","Currency=USD","Period=FQ","BEST_FPERIOD_OVERRIDE=FQ","FILING_STATUS=MR","SCALING_FORMAT=MLN","Sort=A","Dates=H","DateFormat=P","Fill=—","Direction=H","UseDPDF=Y")</f>
        <v>0</v>
      </c>
      <c r="AA11" s="13">
        <f>_xll.BDH("NBIX US Equity","IS_SGA_ADJ","FQ4 2024","FQ4 2024","Currency=USD","Period=FQ","BEST_FPERIOD_OVERRIDE=FQ","FILING_STATUS=MR","SCALING_FORMAT=MLN","Sort=A","Dates=H","DateFormat=P","Fill=—","Direction=H","UseDPDF=Y")</f>
        <v>0</v>
      </c>
    </row>
    <row r="12" spans="1:27" x14ac:dyDescent="0.25">
      <c r="A12" s="10" t="s">
        <v>573</v>
      </c>
      <c r="B12" s="10" t="s">
        <v>574</v>
      </c>
      <c r="C12" s="13">
        <f>_xll.BDH("NBIX US Equity","IS_RD_EXPENSE_NON_GAAP_ADJ","FQ4 2018","FQ4 2018","Currency=USD","Period=FQ","BEST_FPERIOD_OVERRIDE=FQ","FILING_STATUS=MR","SCALING_FORMAT=MLN","Sort=A","Dates=H","DateFormat=P","Fill=—","Direction=H","UseDPDF=Y")</f>
        <v>0</v>
      </c>
      <c r="D12" s="13">
        <f>_xll.BDH("NBIX US Equity","IS_RD_EXPENSE_NON_GAAP_ADJ","FQ1 2019","FQ1 2019","Currency=USD","Period=FQ","BEST_FPERIOD_OVERRIDE=FQ","FILING_STATUS=MR","SCALING_FORMAT=MLN","Sort=A","Dates=H","DateFormat=P","Fill=—","Direction=H","UseDPDF=Y")</f>
        <v>0</v>
      </c>
      <c r="E12" s="13">
        <f>_xll.BDH("NBIX US Equity","IS_RD_EXPENSE_NON_GAAP_ADJ","FQ2 2019","FQ2 2019","Currency=USD","Period=FQ","BEST_FPERIOD_OVERRIDE=FQ","FILING_STATUS=MR","SCALING_FORMAT=MLN","Sort=A","Dates=H","DateFormat=P","Fill=—","Direction=H","UseDPDF=Y")</f>
        <v>0</v>
      </c>
      <c r="F12" s="13">
        <f>_xll.BDH("NBIX US Equity","IS_RD_EXPENSE_NON_GAAP_ADJ","FQ3 2019","FQ3 2019","Currency=USD","Period=FQ","BEST_FPERIOD_OVERRIDE=FQ","FILING_STATUS=MR","SCALING_FORMAT=MLN","Sort=A","Dates=H","DateFormat=P","Fill=—","Direction=H","UseDPDF=Y")</f>
        <v>0</v>
      </c>
      <c r="G12" s="13">
        <f>_xll.BDH("NBIX US Equity","IS_RD_EXPENSE_NON_GAAP_ADJ","FQ4 2019","FQ4 2019","Currency=USD","Period=FQ","BEST_FPERIOD_OVERRIDE=FQ","FILING_STATUS=MR","SCALING_FORMAT=MLN","Sort=A","Dates=H","DateFormat=P","Fill=—","Direction=H","UseDPDF=Y")</f>
        <v>0</v>
      </c>
      <c r="H12" s="13">
        <f>_xll.BDH("NBIX US Equity","IS_RD_EXPENSE_NON_GAAP_ADJ","FQ1 2020","FQ1 2020","Currency=USD","Period=FQ","BEST_FPERIOD_OVERRIDE=FQ","FILING_STATUS=MR","SCALING_FORMAT=MLN","Sort=A","Dates=H","DateFormat=P","Fill=—","Direction=H","UseDPDF=Y")</f>
        <v>0</v>
      </c>
      <c r="I12" s="13">
        <f>_xll.BDH("NBIX US Equity","IS_RD_EXPENSE_NON_GAAP_ADJ","FQ2 2020","FQ2 2020","Currency=USD","Period=FQ","BEST_FPERIOD_OVERRIDE=FQ","FILING_STATUS=MR","SCALING_FORMAT=MLN","Sort=A","Dates=H","DateFormat=P","Fill=—","Direction=H","UseDPDF=Y")</f>
        <v>0</v>
      </c>
      <c r="J12" s="13">
        <f>_xll.BDH("NBIX US Equity","IS_RD_EXPENSE_NON_GAAP_ADJ","FQ3 2020","FQ3 2020","Currency=USD","Period=FQ","BEST_FPERIOD_OVERRIDE=FQ","FILING_STATUS=MR","SCALING_FORMAT=MLN","Sort=A","Dates=H","DateFormat=P","Fill=—","Direction=H","UseDPDF=Y")</f>
        <v>0</v>
      </c>
      <c r="K12" s="13">
        <f>_xll.BDH("NBIX US Equity","IS_RD_EXPENSE_NON_GAAP_ADJ","FQ4 2020","FQ4 2020","Currency=USD","Period=FQ","BEST_FPERIOD_OVERRIDE=FQ","FILING_STATUS=MR","SCALING_FORMAT=MLN","Sort=A","Dates=H","DateFormat=P","Fill=—","Direction=H","UseDPDF=Y")</f>
        <v>0</v>
      </c>
      <c r="L12" s="13">
        <f>_xll.BDH("NBIX US Equity","IS_RD_EXPENSE_NON_GAAP_ADJ","FQ1 2021","FQ1 2021","Currency=USD","Period=FQ","BEST_FPERIOD_OVERRIDE=FQ","FILING_STATUS=MR","SCALING_FORMAT=MLN","Sort=A","Dates=H","DateFormat=P","Fill=—","Direction=H","UseDPDF=Y")</f>
        <v>0</v>
      </c>
      <c r="M12" s="13">
        <f>_xll.BDH("NBIX US Equity","IS_RD_EXPENSE_NON_GAAP_ADJ","FQ2 2021","FQ2 2021","Currency=USD","Period=FQ","BEST_FPERIOD_OVERRIDE=FQ","FILING_STATUS=MR","SCALING_FORMAT=MLN","Sort=A","Dates=H","DateFormat=P","Fill=—","Direction=H","UseDPDF=Y")</f>
        <v>0</v>
      </c>
      <c r="N12" s="13">
        <f>_xll.BDH("NBIX US Equity","IS_RD_EXPENSE_NON_GAAP_ADJ","FQ3 2021","FQ3 2021","Currency=USD","Period=FQ","BEST_FPERIOD_OVERRIDE=FQ","FILING_STATUS=MR","SCALING_FORMAT=MLN","Sort=A","Dates=H","DateFormat=P","Fill=—","Direction=H","UseDPDF=Y")</f>
        <v>0</v>
      </c>
      <c r="O12" s="13">
        <f>_xll.BDH("NBIX US Equity","IS_RD_EXPENSE_NON_GAAP_ADJ","FQ4 2021","FQ4 2021","Currency=USD","Period=FQ","BEST_FPERIOD_OVERRIDE=FQ","FILING_STATUS=MR","SCALING_FORMAT=MLN","Sort=A","Dates=H","DateFormat=P","Fill=—","Direction=H","UseDPDF=Y")</f>
        <v>0</v>
      </c>
      <c r="P12" s="13">
        <f>_xll.BDH("NBIX US Equity","IS_RD_EXPENSE_NON_GAAP_ADJ","FQ1 2022","FQ1 2022","Currency=USD","Period=FQ","BEST_FPERIOD_OVERRIDE=FQ","FILING_STATUS=MR","SCALING_FORMAT=MLN","Sort=A","Dates=H","DateFormat=P","Fill=—","Direction=H","UseDPDF=Y")</f>
        <v>0</v>
      </c>
      <c r="Q12" s="13">
        <f>_xll.BDH("NBIX US Equity","IS_RD_EXPENSE_NON_GAAP_ADJ","FQ2 2022","FQ2 2022","Currency=USD","Period=FQ","BEST_FPERIOD_OVERRIDE=FQ","FILING_STATUS=MR","SCALING_FORMAT=MLN","Sort=A","Dates=H","DateFormat=P","Fill=—","Direction=H","UseDPDF=Y")</f>
        <v>0</v>
      </c>
      <c r="R12" s="13">
        <f>_xll.BDH("NBIX US Equity","IS_RD_EXPENSE_NON_GAAP_ADJ","FQ3 2022","FQ3 2022","Currency=USD","Period=FQ","BEST_FPERIOD_OVERRIDE=FQ","FILING_STATUS=MR","SCALING_FORMAT=MLN","Sort=A","Dates=H","DateFormat=P","Fill=—","Direction=H","UseDPDF=Y")</f>
        <v>0</v>
      </c>
      <c r="S12" s="13">
        <f>_xll.BDH("NBIX US Equity","IS_RD_EXPENSE_NON_GAAP_ADJ","FQ4 2022","FQ4 2022","Currency=USD","Period=FQ","BEST_FPERIOD_OVERRIDE=FQ","FILING_STATUS=MR","SCALING_FORMAT=MLN","Sort=A","Dates=H","DateFormat=P","Fill=—","Direction=H","UseDPDF=Y")</f>
        <v>0</v>
      </c>
      <c r="T12" s="13">
        <f>_xll.BDH("NBIX US Equity","IS_RD_EXPENSE_NON_GAAP_ADJ","FQ1 2023","FQ1 2023","Currency=USD","Period=FQ","BEST_FPERIOD_OVERRIDE=FQ","FILING_STATUS=MR","SCALING_FORMAT=MLN","Sort=A","Dates=H","DateFormat=P","Fill=—","Direction=H","UseDPDF=Y")</f>
        <v>0</v>
      </c>
      <c r="U12" s="13">
        <f>_xll.BDH("NBIX US Equity","IS_RD_EXPENSE_NON_GAAP_ADJ","FQ2 2023","FQ2 2023","Currency=USD","Period=FQ","BEST_FPERIOD_OVERRIDE=FQ","FILING_STATUS=MR","SCALING_FORMAT=MLN","Sort=A","Dates=H","DateFormat=P","Fill=—","Direction=H","UseDPDF=Y")</f>
        <v>0</v>
      </c>
      <c r="V12" s="13">
        <f>_xll.BDH("NBIX US Equity","IS_RD_EXPENSE_NON_GAAP_ADJ","FQ3 2023","FQ3 2023","Currency=USD","Period=FQ","BEST_FPERIOD_OVERRIDE=FQ","FILING_STATUS=MR","SCALING_FORMAT=MLN","Sort=A","Dates=H","DateFormat=P","Fill=—","Direction=H","UseDPDF=Y")</f>
        <v>0</v>
      </c>
      <c r="W12" s="13">
        <f>_xll.BDH("NBIX US Equity","IS_RD_EXPENSE_NON_GAAP_ADJ","FQ4 2023","FQ4 2023","Currency=USD","Period=FQ","BEST_FPERIOD_OVERRIDE=FQ","FILING_STATUS=MR","SCALING_FORMAT=MLN","Sort=A","Dates=H","DateFormat=P","Fill=—","Direction=H","UseDPDF=Y")</f>
        <v>0</v>
      </c>
      <c r="X12" s="13">
        <f>_xll.BDH("NBIX US Equity","IS_RD_EXPENSE_NON_GAAP_ADJ","FQ1 2024","FQ1 2024","Currency=USD","Period=FQ","BEST_FPERIOD_OVERRIDE=FQ","FILING_STATUS=MR","SCALING_FORMAT=MLN","Sort=A","Dates=H","DateFormat=P","Fill=—","Direction=H","UseDPDF=Y")</f>
        <v>0</v>
      </c>
      <c r="Y12" s="13">
        <f>_xll.BDH("NBIX US Equity","IS_RD_EXPENSE_NON_GAAP_ADJ","FQ2 2024","FQ2 2024","Currency=USD","Period=FQ","BEST_FPERIOD_OVERRIDE=FQ","FILING_STATUS=MR","SCALING_FORMAT=MLN","Sort=A","Dates=H","DateFormat=P","Fill=—","Direction=H","UseDPDF=Y")</f>
        <v>0</v>
      </c>
      <c r="Z12" s="13">
        <f>_xll.BDH("NBIX US Equity","IS_RD_EXPENSE_NON_GAAP_ADJ","FQ3 2024","FQ3 2024","Currency=USD","Period=FQ","BEST_FPERIOD_OVERRIDE=FQ","FILING_STATUS=MR","SCALING_FORMAT=MLN","Sort=A","Dates=H","DateFormat=P","Fill=—","Direction=H","UseDPDF=Y")</f>
        <v>0</v>
      </c>
      <c r="AA12" s="13">
        <f>_xll.BDH("NBIX US Equity","IS_RD_EXPENSE_NON_GAAP_ADJ","FQ4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575</v>
      </c>
      <c r="B13" s="10" t="s">
        <v>576</v>
      </c>
      <c r="C13" s="13">
        <f>_xll.BDH("NBIX US Equity","IS_DA_NON_GAAP_ADJ","FQ4 2018","FQ4 2018","Currency=USD","Period=FQ","BEST_FPERIOD_OVERRIDE=FQ","FILING_STATUS=MR","SCALING_FORMAT=MLN","Sort=A","Dates=H","DateFormat=P","Fill=—","Direction=H","UseDPDF=Y")</f>
        <v>0</v>
      </c>
      <c r="D13" s="13">
        <f>_xll.BDH("NBIX US Equity","IS_DA_NON_GAAP_ADJ","FQ1 2019","FQ1 2019","Currency=USD","Period=FQ","BEST_FPERIOD_OVERRIDE=FQ","FILING_STATUS=MR","SCALING_FORMAT=MLN","Sort=A","Dates=H","DateFormat=P","Fill=—","Direction=H","UseDPDF=Y")</f>
        <v>0</v>
      </c>
      <c r="E13" s="13">
        <f>_xll.BDH("NBIX US Equity","IS_DA_NON_GAAP_ADJ","FQ2 2019","FQ2 2019","Currency=USD","Period=FQ","BEST_FPERIOD_OVERRIDE=FQ","FILING_STATUS=MR","SCALING_FORMAT=MLN","Sort=A","Dates=H","DateFormat=P","Fill=—","Direction=H","UseDPDF=Y")</f>
        <v>0</v>
      </c>
      <c r="F13" s="13">
        <f>_xll.BDH("NBIX US Equity","IS_DA_NON_GAAP_ADJ","FQ3 2019","FQ3 2019","Currency=USD","Period=FQ","BEST_FPERIOD_OVERRIDE=FQ","FILING_STATUS=MR","SCALING_FORMAT=MLN","Sort=A","Dates=H","DateFormat=P","Fill=—","Direction=H","UseDPDF=Y")</f>
        <v>0</v>
      </c>
      <c r="G13" s="13">
        <f>_xll.BDH("NBIX US Equity","IS_DA_NON_GAAP_ADJ","FQ4 2019","FQ4 2019","Currency=USD","Period=FQ","BEST_FPERIOD_OVERRIDE=FQ","FILING_STATUS=MR","SCALING_FORMAT=MLN","Sort=A","Dates=H","DateFormat=P","Fill=—","Direction=H","UseDPDF=Y")</f>
        <v>0</v>
      </c>
      <c r="H13" s="13">
        <f>_xll.BDH("NBIX US Equity","IS_DA_NON_GAAP_ADJ","FQ1 2020","FQ1 2020","Currency=USD","Period=FQ","BEST_FPERIOD_OVERRIDE=FQ","FILING_STATUS=MR","SCALING_FORMAT=MLN","Sort=A","Dates=H","DateFormat=P","Fill=—","Direction=H","UseDPDF=Y")</f>
        <v>0</v>
      </c>
      <c r="I13" s="13">
        <f>_xll.BDH("NBIX US Equity","IS_DA_NON_GAAP_ADJ","FQ2 2020","FQ2 2020","Currency=USD","Period=FQ","BEST_FPERIOD_OVERRIDE=FQ","FILING_STATUS=MR","SCALING_FORMAT=MLN","Sort=A","Dates=H","DateFormat=P","Fill=—","Direction=H","UseDPDF=Y")</f>
        <v>0</v>
      </c>
      <c r="J13" s="13">
        <f>_xll.BDH("NBIX US Equity","IS_DA_NON_GAAP_ADJ","FQ3 2020","FQ3 2020","Currency=USD","Period=FQ","BEST_FPERIOD_OVERRIDE=FQ","FILING_STATUS=MR","SCALING_FORMAT=MLN","Sort=A","Dates=H","DateFormat=P","Fill=—","Direction=H","UseDPDF=Y")</f>
        <v>0</v>
      </c>
      <c r="K13" s="13">
        <f>_xll.BDH("NBIX US Equity","IS_DA_NON_GAAP_ADJ","FQ4 2020","FQ4 2020","Currency=USD","Period=FQ","BEST_FPERIOD_OVERRIDE=FQ","FILING_STATUS=MR","SCALING_FORMAT=MLN","Sort=A","Dates=H","DateFormat=P","Fill=—","Direction=H","UseDPDF=Y")</f>
        <v>0</v>
      </c>
      <c r="L13" s="13">
        <f>_xll.BDH("NBIX US Equity","IS_DA_NON_GAAP_ADJ","FQ1 2021","FQ1 2021","Currency=USD","Period=FQ","BEST_FPERIOD_OVERRIDE=FQ","FILING_STATUS=MR","SCALING_FORMAT=MLN","Sort=A","Dates=H","DateFormat=P","Fill=—","Direction=H","UseDPDF=Y")</f>
        <v>0</v>
      </c>
      <c r="M13" s="13">
        <f>_xll.BDH("NBIX US Equity","IS_DA_NON_GAAP_ADJ","FQ2 2021","FQ2 2021","Currency=USD","Period=FQ","BEST_FPERIOD_OVERRIDE=FQ","FILING_STATUS=MR","SCALING_FORMAT=MLN","Sort=A","Dates=H","DateFormat=P","Fill=—","Direction=H","UseDPDF=Y")</f>
        <v>0</v>
      </c>
      <c r="N13" s="13">
        <f>_xll.BDH("NBIX US Equity","IS_DA_NON_GAAP_ADJ","FQ3 2021","FQ3 2021","Currency=USD","Period=FQ","BEST_FPERIOD_OVERRIDE=FQ","FILING_STATUS=MR","SCALING_FORMAT=MLN","Sort=A","Dates=H","DateFormat=P","Fill=—","Direction=H","UseDPDF=Y")</f>
        <v>0</v>
      </c>
      <c r="O13" s="13">
        <f>_xll.BDH("NBIX US Equity","IS_DA_NON_GAAP_ADJ","FQ4 2021","FQ4 2021","Currency=USD","Period=FQ","BEST_FPERIOD_OVERRIDE=FQ","FILING_STATUS=MR","SCALING_FORMAT=MLN","Sort=A","Dates=H","DateFormat=P","Fill=—","Direction=H","UseDPDF=Y")</f>
        <v>0</v>
      </c>
      <c r="P13" s="13">
        <f>_xll.BDH("NBIX US Equity","IS_DA_NON_GAAP_ADJ","FQ1 2022","FQ1 2022","Currency=USD","Period=FQ","BEST_FPERIOD_OVERRIDE=FQ","FILING_STATUS=MR","SCALING_FORMAT=MLN","Sort=A","Dates=H","DateFormat=P","Fill=—","Direction=H","UseDPDF=Y")</f>
        <v>0</v>
      </c>
      <c r="Q13" s="13">
        <f>_xll.BDH("NBIX US Equity","IS_DA_NON_GAAP_ADJ","FQ2 2022","FQ2 2022","Currency=USD","Period=FQ","BEST_FPERIOD_OVERRIDE=FQ","FILING_STATUS=MR","SCALING_FORMAT=MLN","Sort=A","Dates=H","DateFormat=P","Fill=—","Direction=H","UseDPDF=Y")</f>
        <v>0</v>
      </c>
      <c r="R13" s="13">
        <f>_xll.BDH("NBIX US Equity","IS_DA_NON_GAAP_ADJ","FQ3 2022","FQ3 2022","Currency=USD","Period=FQ","BEST_FPERIOD_OVERRIDE=FQ","FILING_STATUS=MR","SCALING_FORMAT=MLN","Sort=A","Dates=H","DateFormat=P","Fill=—","Direction=H","UseDPDF=Y")</f>
        <v>0</v>
      </c>
      <c r="S13" s="13">
        <f>_xll.BDH("NBIX US Equity","IS_DA_NON_GAAP_ADJ","FQ4 2022","FQ4 2022","Currency=USD","Period=FQ","BEST_FPERIOD_OVERRIDE=FQ","FILING_STATUS=MR","SCALING_FORMAT=MLN","Sort=A","Dates=H","DateFormat=P","Fill=—","Direction=H","UseDPDF=Y")</f>
        <v>0</v>
      </c>
      <c r="T13" s="13">
        <f>_xll.BDH("NBIX US Equity","IS_DA_NON_GAAP_ADJ","FQ1 2023","FQ1 2023","Currency=USD","Period=FQ","BEST_FPERIOD_OVERRIDE=FQ","FILING_STATUS=MR","SCALING_FORMAT=MLN","Sort=A","Dates=H","DateFormat=P","Fill=—","Direction=H","UseDPDF=Y")</f>
        <v>0</v>
      </c>
      <c r="U13" s="13">
        <f>_xll.BDH("NBIX US Equity","IS_DA_NON_GAAP_ADJ","FQ2 2023","FQ2 2023","Currency=USD","Period=FQ","BEST_FPERIOD_OVERRIDE=FQ","FILING_STATUS=MR","SCALING_FORMAT=MLN","Sort=A","Dates=H","DateFormat=P","Fill=—","Direction=H","UseDPDF=Y")</f>
        <v>0</v>
      </c>
      <c r="V13" s="13">
        <f>_xll.BDH("NBIX US Equity","IS_DA_NON_GAAP_ADJ","FQ3 2023","FQ3 2023","Currency=USD","Period=FQ","BEST_FPERIOD_OVERRIDE=FQ","FILING_STATUS=MR","SCALING_FORMAT=MLN","Sort=A","Dates=H","DateFormat=P","Fill=—","Direction=H","UseDPDF=Y")</f>
        <v>0</v>
      </c>
      <c r="W13" s="13">
        <f>_xll.BDH("NBIX US Equity","IS_DA_NON_GAAP_ADJ","FQ4 2023","FQ4 2023","Currency=USD","Period=FQ","BEST_FPERIOD_OVERRIDE=FQ","FILING_STATUS=MR","SCALING_FORMAT=MLN","Sort=A","Dates=H","DateFormat=P","Fill=—","Direction=H","UseDPDF=Y")</f>
        <v>0</v>
      </c>
      <c r="X13" s="13">
        <f>_xll.BDH("NBIX US Equity","IS_DA_NON_GAAP_ADJ","FQ1 2024","FQ1 2024","Currency=USD","Period=FQ","BEST_FPERIOD_OVERRIDE=FQ","FILING_STATUS=MR","SCALING_FORMAT=MLN","Sort=A","Dates=H","DateFormat=P","Fill=—","Direction=H","UseDPDF=Y")</f>
        <v>0</v>
      </c>
      <c r="Y13" s="13">
        <f>_xll.BDH("NBIX US Equity","IS_DA_NON_GAAP_ADJ","FQ2 2024","FQ2 2024","Currency=USD","Period=FQ","BEST_FPERIOD_OVERRIDE=FQ","FILING_STATUS=MR","SCALING_FORMAT=MLN","Sort=A","Dates=H","DateFormat=P","Fill=—","Direction=H","UseDPDF=Y")</f>
        <v>0</v>
      </c>
      <c r="Z13" s="13">
        <f>_xll.BDH("NBIX US Equity","IS_DA_NON_GAAP_ADJ","FQ3 2024","FQ3 2024","Currency=USD","Period=FQ","BEST_FPERIOD_OVERRIDE=FQ","FILING_STATUS=MR","SCALING_FORMAT=MLN","Sort=A","Dates=H","DateFormat=P","Fill=—","Direction=H","UseDPDF=Y")</f>
        <v>0</v>
      </c>
      <c r="AA13" s="13">
        <f>_xll.BDH("NBIX US Equity","IS_DA_NON_GAAP_ADJ","FQ4 2024","FQ4 2024","Currency=USD","Period=FQ","BEST_FPERIOD_OVERRIDE=FQ","FILING_STATUS=MR","SCALING_FORMAT=MLN","Sort=A","Dates=H","DateFormat=P","Fill=—","Direction=H","UseDPDF=Y")</f>
        <v>0</v>
      </c>
    </row>
    <row r="14" spans="1:27" x14ac:dyDescent="0.25">
      <c r="A14" s="10" t="s">
        <v>577</v>
      </c>
      <c r="B14" s="10" t="s">
        <v>578</v>
      </c>
      <c r="C14" s="13">
        <f>_xll.BDH("NBIX US Equity","IS_PDA_NONGAAP_ADJUSTMENTS","FQ4 2018","FQ4 2018","Currency=USD","Period=FQ","BEST_FPERIOD_OVERRIDE=FQ","FILING_STATUS=MR","SCALING_FORMAT=MLN","Sort=A","Dates=H","DateFormat=P","Fill=—","Direction=H","UseDPDF=Y")</f>
        <v>0</v>
      </c>
      <c r="D14" s="13">
        <f>_xll.BDH("NBIX US Equity","IS_PDA_NONGAAP_ADJUSTMENTS","FQ1 2019","FQ1 2019","Currency=USD","Period=FQ","BEST_FPERIOD_OVERRIDE=FQ","FILING_STATUS=MR","SCALING_FORMAT=MLN","Sort=A","Dates=H","DateFormat=P","Fill=—","Direction=H","UseDPDF=Y")</f>
        <v>0</v>
      </c>
      <c r="E14" s="13">
        <f>_xll.BDH("NBIX US Equity","IS_PDA_NONGAAP_ADJUSTMENTS","FQ2 2019","FQ2 2019","Currency=USD","Period=FQ","BEST_FPERIOD_OVERRIDE=FQ","FILING_STATUS=MR","SCALING_FORMAT=MLN","Sort=A","Dates=H","DateFormat=P","Fill=—","Direction=H","UseDPDF=Y")</f>
        <v>0</v>
      </c>
      <c r="F14" s="13">
        <f>_xll.BDH("NBIX US Equity","IS_PDA_NONGAAP_ADJUSTMENTS","FQ3 2019","FQ3 2019","Currency=USD","Period=FQ","BEST_FPERIOD_OVERRIDE=FQ","FILING_STATUS=MR","SCALING_FORMAT=MLN","Sort=A","Dates=H","DateFormat=P","Fill=—","Direction=H","UseDPDF=Y")</f>
        <v>0</v>
      </c>
      <c r="G14" s="13">
        <f>_xll.BDH("NBIX US Equity","IS_PDA_NONGAAP_ADJUSTMENTS","FQ4 2019","FQ4 2019","Currency=USD","Period=FQ","BEST_FPERIOD_OVERRIDE=FQ","FILING_STATUS=MR","SCALING_FORMAT=MLN","Sort=A","Dates=H","DateFormat=P","Fill=—","Direction=H","UseDPDF=Y")</f>
        <v>0</v>
      </c>
      <c r="H14" s="13">
        <f>_xll.BDH("NBIX US Equity","IS_PDA_NONGAAP_ADJUSTMENTS","FQ1 2020","FQ1 2020","Currency=USD","Period=FQ","BEST_FPERIOD_OVERRIDE=FQ","FILING_STATUS=MR","SCALING_FORMAT=MLN","Sort=A","Dates=H","DateFormat=P","Fill=—","Direction=H","UseDPDF=Y")</f>
        <v>0</v>
      </c>
      <c r="I14" s="13">
        <f>_xll.BDH("NBIX US Equity","IS_PDA_NONGAAP_ADJUSTMENTS","FQ2 2020","FQ2 2020","Currency=USD","Period=FQ","BEST_FPERIOD_OVERRIDE=FQ","FILING_STATUS=MR","SCALING_FORMAT=MLN","Sort=A","Dates=H","DateFormat=P","Fill=—","Direction=H","UseDPDF=Y")</f>
        <v>0</v>
      </c>
      <c r="J14" s="13">
        <f>_xll.BDH("NBIX US Equity","IS_PDA_NONGAAP_ADJUSTMENTS","FQ3 2020","FQ3 2020","Currency=USD","Period=FQ","BEST_FPERIOD_OVERRIDE=FQ","FILING_STATUS=MR","SCALING_FORMAT=MLN","Sort=A","Dates=H","DateFormat=P","Fill=—","Direction=H","UseDPDF=Y")</f>
        <v>0</v>
      </c>
      <c r="K14" s="13">
        <f>_xll.BDH("NBIX US Equity","IS_PDA_NONGAAP_ADJUSTMENTS","FQ4 2020","FQ4 2020","Currency=USD","Period=FQ","BEST_FPERIOD_OVERRIDE=FQ","FILING_STATUS=MR","SCALING_FORMAT=MLN","Sort=A","Dates=H","DateFormat=P","Fill=—","Direction=H","UseDPDF=Y")</f>
        <v>0</v>
      </c>
      <c r="L14" s="13">
        <f>_xll.BDH("NBIX US Equity","IS_PDA_NONGAAP_ADJUSTMENTS","FQ1 2021","FQ1 2021","Currency=USD","Period=FQ","BEST_FPERIOD_OVERRIDE=FQ","FILING_STATUS=MR","SCALING_FORMAT=MLN","Sort=A","Dates=H","DateFormat=P","Fill=—","Direction=H","UseDPDF=Y")</f>
        <v>0</v>
      </c>
      <c r="M14" s="13">
        <f>_xll.BDH("NBIX US Equity","IS_PDA_NONGAAP_ADJUSTMENTS","FQ2 2021","FQ2 2021","Currency=USD","Period=FQ","BEST_FPERIOD_OVERRIDE=FQ","FILING_STATUS=MR","SCALING_FORMAT=MLN","Sort=A","Dates=H","DateFormat=P","Fill=—","Direction=H","UseDPDF=Y")</f>
        <v>0</v>
      </c>
      <c r="N14" s="13">
        <f>_xll.BDH("NBIX US Equity","IS_PDA_NONGAAP_ADJUSTMENTS","FQ3 2021","FQ3 2021","Currency=USD","Period=FQ","BEST_FPERIOD_OVERRIDE=FQ","FILING_STATUS=MR","SCALING_FORMAT=MLN","Sort=A","Dates=H","DateFormat=P","Fill=—","Direction=H","UseDPDF=Y")</f>
        <v>0</v>
      </c>
      <c r="O14" s="13">
        <f>_xll.BDH("NBIX US Equity","IS_PDA_NONGAAP_ADJUSTMENTS","FQ4 2021","FQ4 2021","Currency=USD","Period=FQ","BEST_FPERIOD_OVERRIDE=FQ","FILING_STATUS=MR","SCALING_FORMAT=MLN","Sort=A","Dates=H","DateFormat=P","Fill=—","Direction=H","UseDPDF=Y")</f>
        <v>0</v>
      </c>
      <c r="P14" s="13">
        <f>_xll.BDH("NBIX US Equity","IS_PDA_NONGAAP_ADJUSTMENTS","FQ1 2022","FQ1 2022","Currency=USD","Period=FQ","BEST_FPERIOD_OVERRIDE=FQ","FILING_STATUS=MR","SCALING_FORMAT=MLN","Sort=A","Dates=H","DateFormat=P","Fill=—","Direction=H","UseDPDF=Y")</f>
        <v>0</v>
      </c>
      <c r="Q14" s="13">
        <f>_xll.BDH("NBIX US Equity","IS_PDA_NONGAAP_ADJUSTMENTS","FQ2 2022","FQ2 2022","Currency=USD","Period=FQ","BEST_FPERIOD_OVERRIDE=FQ","FILING_STATUS=MR","SCALING_FORMAT=MLN","Sort=A","Dates=H","DateFormat=P","Fill=—","Direction=H","UseDPDF=Y")</f>
        <v>0</v>
      </c>
      <c r="R14" s="13">
        <f>_xll.BDH("NBIX US Equity","IS_PDA_NONGAAP_ADJUSTMENTS","FQ3 2022","FQ3 2022","Currency=USD","Period=FQ","BEST_FPERIOD_OVERRIDE=FQ","FILING_STATUS=MR","SCALING_FORMAT=MLN","Sort=A","Dates=H","DateFormat=P","Fill=—","Direction=H","UseDPDF=Y")</f>
        <v>0</v>
      </c>
      <c r="S14" s="13">
        <f>_xll.BDH("NBIX US Equity","IS_PDA_NONGAAP_ADJUSTMENTS","FQ4 2022","FQ4 2022","Currency=USD","Period=FQ","BEST_FPERIOD_OVERRIDE=FQ","FILING_STATUS=MR","SCALING_FORMAT=MLN","Sort=A","Dates=H","DateFormat=P","Fill=—","Direction=H","UseDPDF=Y")</f>
        <v>0</v>
      </c>
      <c r="T14" s="13">
        <f>_xll.BDH("NBIX US Equity","IS_PDA_NONGAAP_ADJUSTMENTS","FQ1 2023","FQ1 2023","Currency=USD","Period=FQ","BEST_FPERIOD_OVERRIDE=FQ","FILING_STATUS=MR","SCALING_FORMAT=MLN","Sort=A","Dates=H","DateFormat=P","Fill=—","Direction=H","UseDPDF=Y")</f>
        <v>0</v>
      </c>
      <c r="U14" s="13">
        <f>_xll.BDH("NBIX US Equity","IS_PDA_NONGAAP_ADJUSTMENTS","FQ2 2023","FQ2 2023","Currency=USD","Period=FQ","BEST_FPERIOD_OVERRIDE=FQ","FILING_STATUS=MR","SCALING_FORMAT=MLN","Sort=A","Dates=H","DateFormat=P","Fill=—","Direction=H","UseDPDF=Y")</f>
        <v>0</v>
      </c>
      <c r="V14" s="13">
        <f>_xll.BDH("NBIX US Equity","IS_PDA_NONGAAP_ADJUSTMENTS","FQ3 2023","FQ3 2023","Currency=USD","Period=FQ","BEST_FPERIOD_OVERRIDE=FQ","FILING_STATUS=MR","SCALING_FORMAT=MLN","Sort=A","Dates=H","DateFormat=P","Fill=—","Direction=H","UseDPDF=Y")</f>
        <v>0</v>
      </c>
      <c r="W14" s="13">
        <f>_xll.BDH("NBIX US Equity","IS_PDA_NONGAAP_ADJUSTMENTS","FQ4 2023","FQ4 2023","Currency=USD","Period=FQ","BEST_FPERIOD_OVERRIDE=FQ","FILING_STATUS=MR","SCALING_FORMAT=MLN","Sort=A","Dates=H","DateFormat=P","Fill=—","Direction=H","UseDPDF=Y")</f>
        <v>0</v>
      </c>
      <c r="X14" s="13">
        <f>_xll.BDH("NBIX US Equity","IS_PDA_NONGAAP_ADJUSTMENTS","FQ1 2024","FQ1 2024","Currency=USD","Period=FQ","BEST_FPERIOD_OVERRIDE=FQ","FILING_STATUS=MR","SCALING_FORMAT=MLN","Sort=A","Dates=H","DateFormat=P","Fill=—","Direction=H","UseDPDF=Y")</f>
        <v>0</v>
      </c>
      <c r="Y14" s="13">
        <f>_xll.BDH("NBIX US Equity","IS_PDA_NONGAAP_ADJUSTMENTS","FQ2 2024","FQ2 2024","Currency=USD","Period=FQ","BEST_FPERIOD_OVERRIDE=FQ","FILING_STATUS=MR","SCALING_FORMAT=MLN","Sort=A","Dates=H","DateFormat=P","Fill=—","Direction=H","UseDPDF=Y")</f>
        <v>0</v>
      </c>
      <c r="Z14" s="13">
        <f>_xll.BDH("NBIX US Equity","IS_PDA_NONGAAP_ADJUSTMENTS","FQ3 2024","FQ3 2024","Currency=USD","Period=FQ","BEST_FPERIOD_OVERRIDE=FQ","FILING_STATUS=MR","SCALING_FORMAT=MLN","Sort=A","Dates=H","DateFormat=P","Fill=—","Direction=H","UseDPDF=Y")</f>
        <v>0</v>
      </c>
      <c r="AA14" s="13">
        <f>_xll.BDH("NBIX US Equity","IS_PDA_NONGAAP_ADJUSTMENTS","FQ4 2024","FQ4 2024","Currency=USD","Period=FQ","BEST_FPERIOD_OVERRIDE=FQ","FILING_STATUS=MR","SCALING_FORMAT=MLN","Sort=A","Dates=H","DateFormat=P","Fill=—","Direction=H","UseDPDF=Y")</f>
        <v>0</v>
      </c>
    </row>
    <row r="15" spans="1:27" x14ac:dyDescent="0.25">
      <c r="A15" s="10" t="s">
        <v>579</v>
      </c>
      <c r="B15" s="10" t="s">
        <v>580</v>
      </c>
      <c r="C15" s="13">
        <f>_xll.BDH("NBIX US Equity","IS_OTHER_OPERATING_EXPN_ADJUST","FQ4 2018","FQ4 2018","Currency=USD","Period=FQ","BEST_FPERIOD_OVERRIDE=FQ","FILING_STATUS=MR","SCALING_FORMAT=MLN","Sort=A","Dates=H","DateFormat=P","Fill=—","Direction=H","UseDPDF=Y")</f>
        <v>0</v>
      </c>
      <c r="D15" s="13">
        <f>_xll.BDH("NBIX US Equity","IS_OTHER_OPERATING_EXPN_ADJUST","FQ1 2019","FQ1 2019","Currency=USD","Period=FQ","BEST_FPERIOD_OVERRIDE=FQ","FILING_STATUS=MR","SCALING_FORMAT=MLN","Sort=A","Dates=H","DateFormat=P","Fill=—","Direction=H","UseDPDF=Y")</f>
        <v>113.081</v>
      </c>
      <c r="E15" s="13">
        <f>_xll.BDH("NBIX US Equity","IS_OTHER_OPERATING_EXPN_ADJUST","FQ2 2019","FQ2 2019","Currency=USD","Period=FQ","BEST_FPERIOD_OVERRIDE=FQ","FILING_STATUS=MR","SCALING_FORMAT=MLN","Sort=A","Dates=H","DateFormat=P","Fill=—","Direction=H","UseDPDF=Y")</f>
        <v>5</v>
      </c>
      <c r="F15" s="13">
        <f>_xll.BDH("NBIX US Equity","IS_OTHER_OPERATING_EXPN_ADJUST","FQ3 2019","FQ3 2019","Currency=USD","Period=FQ","BEST_FPERIOD_OVERRIDE=FQ","FILING_STATUS=MR","SCALING_FORMAT=MLN","Sort=A","Dates=H","DateFormat=P","Fill=—","Direction=H","UseDPDF=Y")</f>
        <v>0</v>
      </c>
      <c r="G15" s="13">
        <f>_xll.BDH("NBIX US Equity","IS_OTHER_OPERATING_EXPN_ADJUST","FQ4 2019","FQ4 2019","Currency=USD","Period=FQ","BEST_FPERIOD_OVERRIDE=FQ","FILING_STATUS=MR","SCALING_FORMAT=MLN","Sort=A","Dates=H","DateFormat=P","Fill=—","Direction=H","UseDPDF=Y")</f>
        <v>36.200000000000003</v>
      </c>
      <c r="H15" s="13">
        <f>_xll.BDH("NBIX US Equity","IS_OTHER_OPERATING_EXPN_ADJUST","FQ1 2020","FQ1 2020","Currency=USD","Period=FQ","BEST_FPERIOD_OVERRIDE=FQ","FILING_STATUS=MR","SCALING_FORMAT=MLN","Sort=A","Dates=H","DateFormat=P","Fill=—","Direction=H","UseDPDF=Y")</f>
        <v>0</v>
      </c>
      <c r="I15" s="13">
        <f>_xll.BDH("NBIX US Equity","IS_OTHER_OPERATING_EXPN_ADJUST","FQ2 2020","FQ2 2020","Currency=USD","Period=FQ","BEST_FPERIOD_OVERRIDE=FQ","FILING_STATUS=MR","SCALING_FORMAT=MLN","Sort=A","Dates=H","DateFormat=P","Fill=—","Direction=H","UseDPDF=Y")</f>
        <v>46</v>
      </c>
      <c r="J15" s="13">
        <f>_xll.BDH("NBIX US Equity","IS_OTHER_OPERATING_EXPN_ADJUST","FQ3 2020","FQ3 2020","Currency=USD","Period=FQ","BEST_FPERIOD_OVERRIDE=FQ","FILING_STATUS=MR","SCALING_FORMAT=MLN","Sort=A","Dates=H","DateFormat=P","Fill=—","Direction=H","UseDPDF=Y")</f>
        <v>118.5</v>
      </c>
      <c r="K15" s="13">
        <f>_xll.BDH("NBIX US Equity","IS_OTHER_OPERATING_EXPN_ADJUST","FQ4 2020","FQ4 2020","Currency=USD","Period=FQ","BEST_FPERIOD_OVERRIDE=FQ","FILING_STATUS=MR","SCALING_FORMAT=MLN","Sort=A","Dates=H","DateFormat=P","Fill=—","Direction=H","UseDPDF=Y")</f>
        <v>0</v>
      </c>
      <c r="L15" s="13">
        <f>_xll.BDH("NBIX US Equity","IS_OTHER_OPERATING_EXPN_ADJUST","FQ1 2021","FQ1 2021","Currency=USD","Period=FQ","BEST_FPERIOD_OVERRIDE=FQ","FILING_STATUS=MR","SCALING_FORMAT=MLN","Sort=A","Dates=H","DateFormat=P","Fill=—","Direction=H","UseDPDF=Y")</f>
        <v>0</v>
      </c>
      <c r="M15" s="13">
        <f>_xll.BDH("NBIX US Equity","IS_OTHER_OPERATING_EXPN_ADJUST","FQ2 2021","FQ2 2021","Currency=USD","Period=FQ","BEST_FPERIOD_OVERRIDE=FQ","FILING_STATUS=MR","SCALING_FORMAT=MLN","Sort=A","Dates=H","DateFormat=P","Fill=—","Direction=H","UseDPDF=Y")</f>
        <v>5</v>
      </c>
      <c r="N15" s="13">
        <f>_xll.BDH("NBIX US Equity","IS_OTHER_OPERATING_EXPN_ADJUST","FQ3 2021","FQ3 2021","Currency=USD","Period=FQ","BEST_FPERIOD_OVERRIDE=FQ","FILING_STATUS=MR","SCALING_FORMAT=MLN","Sort=A","Dates=H","DateFormat=P","Fill=—","Direction=H","UseDPDF=Y")</f>
        <v>0</v>
      </c>
      <c r="O15" s="13">
        <f>_xll.BDH("NBIX US Equity","IS_OTHER_OPERATING_EXPN_ADJUST","FQ4 2021","FQ4 2021","Currency=USD","Period=FQ","BEST_FPERIOD_OVERRIDE=FQ","FILING_STATUS=MR","SCALING_FORMAT=MLN","Sort=A","Dates=H","DateFormat=P","Fill=—","Direction=H","UseDPDF=Y")</f>
        <v>100.3</v>
      </c>
      <c r="P15" s="13">
        <f>_xll.BDH("NBIX US Equity","IS_OTHER_OPERATING_EXPN_ADJUST","FQ1 2022","FQ1 2022","Currency=USD","Period=FQ","BEST_FPERIOD_OVERRIDE=FQ","FILING_STATUS=MR","SCALING_FORMAT=MLN","Sort=A","Dates=H","DateFormat=P","Fill=—","Direction=H","UseDPDF=Y")</f>
        <v>0</v>
      </c>
      <c r="Q15" s="13">
        <f>_xll.BDH("NBIX US Equity","IS_OTHER_OPERATING_EXPN_ADJUST","FQ2 2022","FQ2 2022","Currency=USD","Period=FQ","BEST_FPERIOD_OVERRIDE=FQ","FILING_STATUS=MR","SCALING_FORMAT=MLN","Sort=A","Dates=H","DateFormat=P","Fill=—","Direction=H","UseDPDF=Y")</f>
        <v>0</v>
      </c>
      <c r="R15" s="13">
        <f>_xll.BDH("NBIX US Equity","IS_OTHER_OPERATING_EXPN_ADJUST","FQ3 2022","FQ3 2022","Currency=USD","Period=FQ","BEST_FPERIOD_OVERRIDE=FQ","FILING_STATUS=MR","SCALING_FORMAT=MLN","Sort=A","Dates=H","DateFormat=P","Fill=—","Direction=H","UseDPDF=Y")</f>
        <v>0</v>
      </c>
      <c r="S15" s="13">
        <f>_xll.BDH("NBIX US Equity","IS_OTHER_OPERATING_EXPN_ADJUST","FQ4 2022","FQ4 2022","Currency=USD","Period=FQ","BEST_FPERIOD_OVERRIDE=FQ","FILING_STATUS=MR","SCALING_FORMAT=MLN","Sort=A","Dates=H","DateFormat=P","Fill=—","Direction=H","UseDPDF=Y")</f>
        <v>1.7</v>
      </c>
      <c r="T15" s="13">
        <f>_xll.BDH("NBIX US Equity","IS_OTHER_OPERATING_EXPN_ADJUST","FQ1 2023","FQ1 2023","Currency=USD","Period=FQ","BEST_FPERIOD_OVERRIDE=FQ","FILING_STATUS=MR","SCALING_FORMAT=MLN","Sort=A","Dates=H","DateFormat=P","Fill=—","Direction=H","UseDPDF=Y")</f>
        <v>143.9</v>
      </c>
      <c r="U15" s="13">
        <f>_xll.BDH("NBIX US Equity","IS_OTHER_OPERATING_EXPN_ADJUST","FQ2 2023","FQ2 2023","Currency=USD","Period=FQ","BEST_FPERIOD_OVERRIDE=FQ","FILING_STATUS=MR","SCALING_FORMAT=MLN","Sort=A","Dates=H","DateFormat=P","Fill=—","Direction=H","UseDPDF=Y")</f>
        <v>0</v>
      </c>
      <c r="V15" s="13">
        <f>_xll.BDH("NBIX US Equity","IS_OTHER_OPERATING_EXPN_ADJUST","FQ3 2023","FQ3 2023","Currency=USD","Period=FQ","BEST_FPERIOD_OVERRIDE=FQ","FILING_STATUS=MR","SCALING_FORMAT=MLN","Sort=A","Dates=H","DateFormat=P","Fill=—","Direction=H","UseDPDF=Y")</f>
        <v>3.9</v>
      </c>
      <c r="W15" s="13">
        <f>_xll.BDH("NBIX US Equity","IS_OTHER_OPERATING_EXPN_ADJUST","FQ4 2023","FQ4 2023","Currency=USD","Period=FQ","BEST_FPERIOD_OVERRIDE=FQ","FILING_STATUS=MR","SCALING_FORMAT=MLN","Sort=A","Dates=H","DateFormat=P","Fill=—","Direction=H","UseDPDF=Y")</f>
        <v>0</v>
      </c>
      <c r="X15" s="13">
        <f>_xll.BDH("NBIX US Equity","IS_OTHER_OPERATING_EXPN_ADJUST","FQ1 2024","FQ1 2024","Currency=USD","Period=FQ","BEST_FPERIOD_OVERRIDE=FQ","FILING_STATUS=MR","SCALING_FORMAT=MLN","Sort=A","Dates=H","DateFormat=P","Fill=—","Direction=H","UseDPDF=Y")</f>
        <v>6</v>
      </c>
      <c r="Y15" s="13">
        <f>_xll.BDH("NBIX US Equity","IS_OTHER_OPERATING_EXPN_ADJUST","FQ2 2024","FQ2 2024","Currency=USD","Period=FQ","BEST_FPERIOD_OVERRIDE=FQ","FILING_STATUS=MR","SCALING_FORMAT=MLN","Sort=A","Dates=H","DateFormat=P","Fill=—","Direction=H","UseDPDF=Y")</f>
        <v>66.2</v>
      </c>
      <c r="Z15" s="13">
        <f>_xll.BDH("NBIX US Equity","IS_OTHER_OPERATING_EXPN_ADJUST","FQ3 2024","FQ3 2024","Currency=USD","Period=FQ","BEST_FPERIOD_OVERRIDE=FQ","FILING_STATUS=MR","SCALING_FORMAT=MLN","Sort=A","Dates=H","DateFormat=P","Fill=—","Direction=H","UseDPDF=Y")</f>
        <v>1</v>
      </c>
      <c r="AA15" s="13">
        <f>_xll.BDH("NBIX US Equity","IS_OTHER_OPERATING_EXPN_ADJUST","FQ4 2024","FQ4 2024","Currency=USD","Period=FQ","BEST_FPERIOD_OVERRIDE=FQ","FILING_STATUS=MR","SCALING_FORMAT=MLN","Sort=A","Dates=H","DateFormat=P","Fill=—","Direction=H","UseDPDF=Y")</f>
        <v>3</v>
      </c>
    </row>
    <row r="16" spans="1:27" x14ac:dyDescent="0.25">
      <c r="A16" s="6" t="s">
        <v>581</v>
      </c>
      <c r="B16" s="6" t="s">
        <v>99</v>
      </c>
      <c r="C16" s="19">
        <f>_xll.BDH("NBIX US Equity","IS_OPER_INC","FQ4 2018","FQ4 2018","Currency=USD","Period=FQ","BEST_FPERIOD_OVERRIDE=FQ","FILING_STATUS=MR","SCALING_FORMAT=MLN","FA_ADJUSTED=Adjusted","Sort=A","Dates=H","DateFormat=P","Fill=—","Direction=H","UseDPDF=Y")</f>
        <v>21.870999999999999</v>
      </c>
      <c r="D16" s="19">
        <f>_xll.BDH("NBIX US Equity","IS_OPER_INC","FQ1 2019","FQ1 2019","Currency=USD","Period=FQ","BEST_FPERIOD_OVERRIDE=FQ","FILING_STATUS=MR","SCALING_FORMAT=MLN","FA_ADJUSTED=Adjusted","Sort=A","Dates=H","DateFormat=P","Fill=—","Direction=H","UseDPDF=Y")</f>
        <v>12.084</v>
      </c>
      <c r="E16" s="19">
        <f>_xll.BDH("NBIX US Equity","IS_OPER_INC","FQ2 2019","FQ2 2019","Currency=USD","Period=FQ","BEST_FPERIOD_OVERRIDE=FQ","FILING_STATUS=MR","SCALING_FORMAT=MLN","FA_ADJUSTED=Adjusted","Sort=A","Dates=H","DateFormat=P","Fill=—","Direction=H","UseDPDF=Y")</f>
        <v>39.460999999999999</v>
      </c>
      <c r="F16" s="19">
        <f>_xll.BDH("NBIX US Equity","IS_OPER_INC","FQ3 2019","FQ3 2019","Currency=USD","Period=FQ","BEST_FPERIOD_OVERRIDE=FQ","FILING_STATUS=MR","SCALING_FORMAT=MLN","FA_ADJUSTED=Adjusted","Sort=A","Dates=H","DateFormat=P","Fill=—","Direction=H","UseDPDF=Y")</f>
        <v>90.097999999999999</v>
      </c>
      <c r="G16" s="19">
        <f>_xll.BDH("NBIX US Equity","IS_OPER_INC","FQ4 2019","FQ4 2019","Currency=USD","Period=FQ","BEST_FPERIOD_OVERRIDE=FQ","FILING_STATUS=MR","SCALING_FORMAT=MLN","FA_ADJUSTED=Adjusted","Sort=A","Dates=H","DateFormat=P","Fill=—","Direction=H","UseDPDF=Y")</f>
        <v>85</v>
      </c>
      <c r="H16" s="19">
        <f>_xll.BDH("NBIX US Equity","IS_OPER_INC","FQ1 2020","FQ1 2020","Currency=USD","Period=FQ","BEST_FPERIOD_OVERRIDE=FQ","FILING_STATUS=MR","SCALING_FORMAT=MLN","FA_ADJUSTED=Adjusted","Sort=A","Dates=H","DateFormat=P","Fill=—","Direction=H","UseDPDF=Y")</f>
        <v>58.9</v>
      </c>
      <c r="I16" s="19">
        <f>_xll.BDH("NBIX US Equity","IS_OPER_INC","FQ2 2020","FQ2 2020","Currency=USD","Period=FQ","BEST_FPERIOD_OVERRIDE=FQ","FILING_STATUS=MR","SCALING_FORMAT=MLN","FA_ADJUSTED=Adjusted","Sort=A","Dates=H","DateFormat=P","Fill=—","Direction=H","UseDPDF=Y")</f>
        <v>122.6</v>
      </c>
      <c r="J16" s="19">
        <f>_xll.BDH("NBIX US Equity","IS_OPER_INC","FQ3 2020","FQ3 2020","Currency=USD","Period=FQ","BEST_FPERIOD_OVERRIDE=FQ","FILING_STATUS=MR","SCALING_FORMAT=MLN","FA_ADJUSTED=Adjusted","Sort=A","Dates=H","DateFormat=P","Fill=—","Direction=H","UseDPDF=Y")</f>
        <v>74.2</v>
      </c>
      <c r="K16" s="19">
        <f>_xll.BDH("NBIX US Equity","IS_OPER_INC","FQ4 2020","FQ4 2020","Currency=USD","Period=FQ","BEST_FPERIOD_OVERRIDE=FQ","FILING_STATUS=MR","SCALING_FORMAT=MLN","FA_ADJUSTED=Adjusted","Sort=A","Dates=H","DateFormat=P","Fill=—","Direction=H","UseDPDF=Y")</f>
        <v>71.8</v>
      </c>
      <c r="L16" s="19">
        <f>_xll.BDH("NBIX US Equity","IS_OPER_INC","FQ1 2021","FQ1 2021","Currency=USD","Period=FQ","BEST_FPERIOD_OVERRIDE=FQ","FILING_STATUS=MR","SCALING_FORMAT=MLN","FA_ADJUSTED=Adjusted","Sort=A","Dates=H","DateFormat=P","Fill=—","Direction=H","UseDPDF=Y")</f>
        <v>31.5</v>
      </c>
      <c r="M16" s="19">
        <f>_xll.BDH("NBIX US Equity","IS_OPER_INC","FQ2 2021","FQ2 2021","Currency=USD","Period=FQ","BEST_FPERIOD_OVERRIDE=FQ","FILING_STATUS=MR","SCALING_FORMAT=MLN","FA_ADJUSTED=Adjusted","Sort=A","Dates=H","DateFormat=P","Fill=—","Direction=H","UseDPDF=Y")</f>
        <v>67.8</v>
      </c>
      <c r="N16" s="19">
        <f>_xll.BDH("NBIX US Equity","IS_OPER_INC","FQ3 2021","FQ3 2021","Currency=USD","Period=FQ","BEST_FPERIOD_OVERRIDE=FQ","FILING_STATUS=MR","SCALING_FORMAT=MLN","FA_ADJUSTED=Adjusted","Sort=A","Dates=H","DateFormat=P","Fill=—","Direction=H","UseDPDF=Y")</f>
        <v>44.5</v>
      </c>
      <c r="O16" s="19">
        <f>_xll.BDH("NBIX US Equity","IS_OPER_INC","FQ4 2021","FQ4 2021","Currency=USD","Period=FQ","BEST_FPERIOD_OVERRIDE=FQ","FILING_STATUS=MR","SCALING_FORMAT=MLN","FA_ADJUSTED=Adjusted","Sort=A","Dates=H","DateFormat=P","Fill=—","Direction=H","UseDPDF=Y")</f>
        <v>64</v>
      </c>
      <c r="P16" s="19">
        <f>_xll.BDH("NBIX US Equity","IS_OPER_INC","FQ1 2022","FQ1 2022","Currency=USD","Period=FQ","BEST_FPERIOD_OVERRIDE=FQ","FILING_STATUS=MR","SCALING_FORMAT=MLN","FA_ADJUSTED=Adjusted","Sort=A","Dates=H","DateFormat=P","Fill=—","Direction=H","UseDPDF=Y")</f>
        <v>3.1</v>
      </c>
      <c r="Q16" s="19">
        <f>_xll.BDH("NBIX US Equity","IS_OPER_INC","FQ2 2022","FQ2 2022","Currency=USD","Period=FQ","BEST_FPERIOD_OVERRIDE=FQ","FILING_STATUS=MR","SCALING_FORMAT=MLN","FA_ADJUSTED=Adjusted","Sort=A","Dates=H","DateFormat=P","Fill=—","Direction=H","UseDPDF=Y")</f>
        <v>54.7</v>
      </c>
      <c r="R16" s="19">
        <f>_xll.BDH("NBIX US Equity","IS_OPER_INC","FQ3 2022","FQ3 2022","Currency=USD","Period=FQ","BEST_FPERIOD_OVERRIDE=FQ","FILING_STATUS=MR","SCALING_FORMAT=MLN","FA_ADJUSTED=Adjusted","Sort=A","Dates=H","DateFormat=P","Fill=—","Direction=H","UseDPDF=Y")</f>
        <v>87.8</v>
      </c>
      <c r="S16" s="19">
        <f>_xll.BDH("NBIX US Equity","IS_OPER_INC","FQ4 2022","FQ4 2022","Currency=USD","Period=FQ","BEST_FPERIOD_OVERRIDE=FQ","FILING_STATUS=MR","SCALING_FORMAT=MLN","FA_ADJUSTED=Adjusted","Sort=A","Dates=H","DateFormat=P","Fill=—","Direction=H","UseDPDF=Y")</f>
        <v>105.1</v>
      </c>
      <c r="T16" s="19">
        <f>_xll.BDH("NBIX US Equity","IS_OPER_INC","FQ1 2023","FQ1 2023","Currency=USD","Period=FQ","BEST_FPERIOD_OVERRIDE=FQ","FILING_STATUS=MR","SCALING_FORMAT=MLN","FA_ADJUSTED=Adjusted","Sort=A","Dates=H","DateFormat=P","Fill=—","Direction=H","UseDPDF=Y")</f>
        <v>29.7</v>
      </c>
      <c r="U16" s="19">
        <f>_xll.BDH("NBIX US Equity","IS_OPER_INC","FQ2 2023","FQ2 2023","Currency=USD","Period=FQ","BEST_FPERIOD_OVERRIDE=FQ","FILING_STATUS=MR","SCALING_FORMAT=MLN","FA_ADJUSTED=Adjusted","Sort=A","Dates=H","DateFormat=P","Fill=—","Direction=H","UseDPDF=Y")</f>
        <v>73.599999999999994</v>
      </c>
      <c r="V16" s="19">
        <f>_xll.BDH("NBIX US Equity","IS_OPER_INC","FQ3 2023","FQ3 2023","Currency=USD","Period=FQ","BEST_FPERIOD_OVERRIDE=FQ","FILING_STATUS=MR","SCALING_FORMAT=MLN","FA_ADJUSTED=Adjusted","Sort=A","Dates=H","DateFormat=P","Fill=—","Direction=H","UseDPDF=Y")</f>
        <v>145.1</v>
      </c>
      <c r="W16" s="19">
        <f>_xll.BDH("NBIX US Equity","IS_OPER_INC","FQ4 2023","FQ4 2023","Currency=USD","Period=FQ","BEST_FPERIOD_OVERRIDE=FQ","FILING_STATUS=MR","SCALING_FORMAT=MLN","FA_ADJUSTED=Adjusted","Sort=A","Dates=H","DateFormat=P","Fill=—","Direction=H","UseDPDF=Y")</f>
        <v>150.30000000000001</v>
      </c>
      <c r="X16" s="19">
        <f>_xll.BDH("NBIX US Equity","IS_OPER_INC","FQ1 2024","FQ1 2024","Currency=USD","Period=FQ","BEST_FPERIOD_OVERRIDE=FQ","FILING_STATUS=MR","SCALING_FORMAT=MLN","FA_ADJUSTED=Adjusted","Sort=A","Dates=H","DateFormat=P","Fill=—","Direction=H","UseDPDF=Y")</f>
        <v>105.3</v>
      </c>
      <c r="Y16" s="19">
        <f>_xll.BDH("NBIX US Equity","IS_OPER_INC","FQ2 2024","FQ2 2024","Currency=USD","Period=FQ","BEST_FPERIOD_OVERRIDE=FQ","FILING_STATUS=MR","SCALING_FORMAT=MLN","FA_ADJUSTED=Adjusted","Sort=A","Dates=H","DateFormat=P","Fill=—","Direction=H","UseDPDF=Y")</f>
        <v>211.6</v>
      </c>
      <c r="Z16" s="19">
        <f>_xll.BDH("NBIX US Equity","IS_OPER_INC","FQ3 2024","FQ3 2024","Currency=USD","Period=FQ","BEST_FPERIOD_OVERRIDE=FQ","FILING_STATUS=MR","SCALING_FORMAT=MLN","FA_ADJUSTED=Adjusted","Sort=A","Dates=H","DateFormat=P","Fill=—","Direction=H","UseDPDF=Y")</f>
        <v>184.8</v>
      </c>
      <c r="AA16" s="19">
        <f>_xll.BDH("NBIX US Equity","IS_OPER_INC","FQ4 2024","FQ4 2024","Currency=USD","Period=FQ","BEST_FPERIOD_OVERRIDE=FQ","FILING_STATUS=MR","SCALING_FORMAT=MLN","FA_ADJUSTED=Adjusted","Sort=A","Dates=H","DateFormat=P","Fill=—","Direction=H","UseDPDF=Y")</f>
        <v>145</v>
      </c>
    </row>
    <row r="17" spans="1:27" x14ac:dyDescent="0.25">
      <c r="A17" s="10" t="s">
        <v>582</v>
      </c>
      <c r="B17" s="10" t="s">
        <v>583</v>
      </c>
      <c r="C17" s="13">
        <f>_xll.BDH("NBIX US Equity","ADJUSTED_DA_EXPENSES","FQ4 2018","FQ4 2018","Currency=USD","Period=FQ","BEST_FPERIOD_OVERRIDE=FQ","FILING_STATUS=MR","SCALING_FORMAT=MLN","Sort=A","Dates=H","DateFormat=P","Fill=—","Direction=H","UseDPDF=Y")</f>
        <v>1.2749999999999999</v>
      </c>
      <c r="D17" s="13">
        <f>_xll.BDH("NBIX US Equity","ADJUSTED_DA_EXPENSES","FQ1 2019","FQ1 2019","Currency=USD","Period=FQ","BEST_FPERIOD_OVERRIDE=FQ","FILING_STATUS=MR","SCALING_FORMAT=MLN","Sort=A","Dates=H","DateFormat=P","Fill=—","Direction=H","UseDPDF=Y")</f>
        <v>1.5660000000000001</v>
      </c>
      <c r="E17" s="13">
        <f>_xll.BDH("NBIX US Equity","ADJUSTED_DA_EXPENSES","FQ2 2019","FQ2 2019","Currency=USD","Period=FQ","BEST_FPERIOD_OVERRIDE=FQ","FILING_STATUS=MR","SCALING_FORMAT=MLN","Sort=A","Dates=H","DateFormat=P","Fill=—","Direction=H","UseDPDF=Y")</f>
        <v>1.786</v>
      </c>
      <c r="F17" s="13">
        <f>_xll.BDH("NBIX US Equity","ADJUSTED_DA_EXPENSES","FQ3 2019","FQ3 2019","Currency=USD","Period=FQ","BEST_FPERIOD_OVERRIDE=FQ","FILING_STATUS=MR","SCALING_FORMAT=MLN","Sort=A","Dates=H","DateFormat=P","Fill=—","Direction=H","UseDPDF=Y")</f>
        <v>2.0089999999999999</v>
      </c>
      <c r="G17" s="13">
        <f>_xll.BDH("NBIX US Equity","ADJUSTED_DA_EXPENSES","FQ4 2019","FQ4 2019","Currency=USD","Period=FQ","BEST_FPERIOD_OVERRIDE=FQ","FILING_STATUS=MR","SCALING_FORMAT=MLN","Sort=A","Dates=H","DateFormat=P","Fill=—","Direction=H","UseDPDF=Y")</f>
        <v>2.0390000000000001</v>
      </c>
      <c r="H17" s="13">
        <f>_xll.BDH("NBIX US Equity","ADJUSTED_DA_EXPENSES","FQ1 2020","FQ1 2020","Currency=USD","Period=FQ","BEST_FPERIOD_OVERRIDE=FQ","FILING_STATUS=MR","SCALING_FORMAT=MLN","Sort=A","Dates=H","DateFormat=P","Fill=—","Direction=H","UseDPDF=Y")</f>
        <v>2.1</v>
      </c>
      <c r="I17" s="13">
        <f>_xll.BDH("NBIX US Equity","ADJUSTED_DA_EXPENSES","FQ2 2020","FQ2 2020","Currency=USD","Period=FQ","BEST_FPERIOD_OVERRIDE=FQ","FILING_STATUS=MR","SCALING_FORMAT=MLN","Sort=A","Dates=H","DateFormat=P","Fill=—","Direction=H","UseDPDF=Y")</f>
        <v>2.1</v>
      </c>
      <c r="J17" s="13">
        <f>_xll.BDH("NBIX US Equity","ADJUSTED_DA_EXPENSES","FQ3 2020","FQ3 2020","Currency=USD","Period=FQ","BEST_FPERIOD_OVERRIDE=FQ","FILING_STATUS=MR","SCALING_FORMAT=MLN","Sort=A","Dates=H","DateFormat=P","Fill=—","Direction=H","UseDPDF=Y")</f>
        <v>2.2000000000000002</v>
      </c>
      <c r="K17" s="13">
        <f>_xll.BDH("NBIX US Equity","ADJUSTED_DA_EXPENSES","FQ4 2020","FQ4 2020","Currency=USD","Period=FQ","BEST_FPERIOD_OVERRIDE=FQ","FILING_STATUS=MR","SCALING_FORMAT=MLN","Sort=A","Dates=H","DateFormat=P","Fill=—","Direction=H","UseDPDF=Y")</f>
        <v>2.2000000000000002</v>
      </c>
      <c r="L17" s="13">
        <f>_xll.BDH("NBIX US Equity","ADJUSTED_DA_EXPENSES","FQ1 2021","FQ1 2021","Currency=USD","Period=FQ","BEST_FPERIOD_OVERRIDE=FQ","FILING_STATUS=MR","SCALING_FORMAT=MLN","Sort=A","Dates=H","DateFormat=P","Fill=—","Direction=H","UseDPDF=Y")</f>
        <v>2.5</v>
      </c>
      <c r="M17" s="13">
        <f>_xll.BDH("NBIX US Equity","ADJUSTED_DA_EXPENSES","FQ2 2021","FQ2 2021","Currency=USD","Period=FQ","BEST_FPERIOD_OVERRIDE=FQ","FILING_STATUS=MR","SCALING_FORMAT=MLN","Sort=A","Dates=H","DateFormat=P","Fill=—","Direction=H","UseDPDF=Y")</f>
        <v>2.6</v>
      </c>
      <c r="N17" s="13">
        <f>_xll.BDH("NBIX US Equity","ADJUSTED_DA_EXPENSES","FQ3 2021","FQ3 2021","Currency=USD","Period=FQ","BEST_FPERIOD_OVERRIDE=FQ","FILING_STATUS=MR","SCALING_FORMAT=MLN","Sort=A","Dates=H","DateFormat=P","Fill=—","Direction=H","UseDPDF=Y")</f>
        <v>2.8</v>
      </c>
      <c r="O17" s="13">
        <f>_xll.BDH("NBIX US Equity","ADJUSTED_DA_EXPENSES","FQ4 2021","FQ4 2021","Currency=USD","Period=FQ","BEST_FPERIOD_OVERRIDE=FQ","FILING_STATUS=MR","SCALING_FORMAT=MLN","Sort=A","Dates=H","DateFormat=P","Fill=—","Direction=H","UseDPDF=Y")</f>
        <v>3</v>
      </c>
      <c r="P17" s="13">
        <f>_xll.BDH("NBIX US Equity","ADJUSTED_DA_EXPENSES","FQ1 2022","FQ1 2022","Currency=USD","Period=FQ","BEST_FPERIOD_OVERRIDE=FQ","FILING_STATUS=MR","SCALING_FORMAT=MLN","Sort=A","Dates=H","DateFormat=P","Fill=—","Direction=H","UseDPDF=Y")</f>
        <v>3.3</v>
      </c>
      <c r="Q17" s="13">
        <f>_xll.BDH("NBIX US Equity","ADJUSTED_DA_EXPENSES","FQ2 2022","FQ2 2022","Currency=USD","Period=FQ","BEST_FPERIOD_OVERRIDE=FQ","FILING_STATUS=MR","SCALING_FORMAT=MLN","Sort=A","Dates=H","DateFormat=P","Fill=—","Direction=H","UseDPDF=Y")</f>
        <v>3.9</v>
      </c>
      <c r="R17" s="13">
        <f>_xll.BDH("NBIX US Equity","ADJUSTED_DA_EXPENSES","FQ3 2022","FQ3 2022","Currency=USD","Period=FQ","BEST_FPERIOD_OVERRIDE=FQ","FILING_STATUS=MR","SCALING_FORMAT=MLN","Sort=A","Dates=H","DateFormat=P","Fill=—","Direction=H","UseDPDF=Y")</f>
        <v>4</v>
      </c>
      <c r="S17" s="13">
        <f>_xll.BDH("NBIX US Equity","ADJUSTED_DA_EXPENSES","FQ4 2022","FQ4 2022","Currency=USD","Period=FQ","BEST_FPERIOD_OVERRIDE=FQ","FILING_STATUS=MR","SCALING_FORMAT=MLN","Sort=A","Dates=H","DateFormat=P","Fill=—","Direction=H","UseDPDF=Y")</f>
        <v>4.4000000000000004</v>
      </c>
      <c r="T17" s="13">
        <f>_xll.BDH("NBIX US Equity","ADJUSTED_DA_EXPENSES","FQ1 2023","FQ1 2023","Currency=USD","Period=FQ","BEST_FPERIOD_OVERRIDE=FQ","FILING_STATUS=MR","SCALING_FORMAT=MLN","Sort=A","Dates=H","DateFormat=P","Fill=—","Direction=H","UseDPDF=Y")</f>
        <v>5</v>
      </c>
      <c r="U17" s="13">
        <f>_xll.BDH("NBIX US Equity","ADJUSTED_DA_EXPENSES","FQ2 2023","FQ2 2023","Currency=USD","Period=FQ","BEST_FPERIOD_OVERRIDE=FQ","FILING_STATUS=MR","SCALING_FORMAT=MLN","Sort=A","Dates=H","DateFormat=P","Fill=—","Direction=H","UseDPDF=Y")</f>
        <v>5.0999999999999996</v>
      </c>
      <c r="V17" s="13">
        <f>_xll.BDH("NBIX US Equity","ADJUSTED_DA_EXPENSES","FQ3 2023","FQ3 2023","Currency=USD","Period=FQ","BEST_FPERIOD_OVERRIDE=FQ","FILING_STATUS=MR","SCALING_FORMAT=MLN","Sort=A","Dates=H","DateFormat=P","Fill=—","Direction=H","UseDPDF=Y")</f>
        <v>5.5</v>
      </c>
      <c r="W17" s="13">
        <f>_xll.BDH("NBIX US Equity","ADJUSTED_DA_EXPENSES","FQ4 2023","FQ4 2023","Currency=USD","Period=FQ","BEST_FPERIOD_OVERRIDE=FQ","FILING_STATUS=MR","SCALING_FORMAT=MLN","Sort=A","Dates=H","DateFormat=P","Fill=—","Direction=H","UseDPDF=Y")</f>
        <v>5.7</v>
      </c>
      <c r="X17" s="13">
        <f>_xll.BDH("NBIX US Equity","ADJUSTED_DA_EXPENSES","FQ1 2024","FQ1 2024","Currency=USD","Period=FQ","BEST_FPERIOD_OVERRIDE=FQ","FILING_STATUS=MR","SCALING_FORMAT=MLN","Sort=A","Dates=H","DateFormat=P","Fill=—","Direction=H","UseDPDF=Y")</f>
        <v>6.2</v>
      </c>
      <c r="Y17" s="13">
        <f>_xll.BDH("NBIX US Equity","ADJUSTED_DA_EXPENSES","FQ2 2024","FQ2 2024","Currency=USD","Period=FQ","BEST_FPERIOD_OVERRIDE=FQ","FILING_STATUS=MR","SCALING_FORMAT=MLN","Sort=A","Dates=H","DateFormat=P","Fill=—","Direction=H","UseDPDF=Y")</f>
        <v>7.3</v>
      </c>
      <c r="Z17" s="13">
        <f>_xll.BDH("NBIX US Equity","ADJUSTED_DA_EXPENSES","FQ3 2024","FQ3 2024","Currency=USD","Period=FQ","BEST_FPERIOD_OVERRIDE=FQ","FILING_STATUS=MR","SCALING_FORMAT=MLN","Sort=A","Dates=H","DateFormat=P","Fill=—","Direction=H","UseDPDF=Y")</f>
        <v>6.5</v>
      </c>
      <c r="AA17" s="13">
        <f>_xll.BDH("NBIX US Equity","ADJUSTED_DA_EXPENSES","FQ4 2024","FQ4 2024","Currency=USD","Period=FQ","BEST_FPERIOD_OVERRIDE=FQ","FILING_STATUS=MR","SCALING_FORMAT=MLN","Sort=A","Dates=H","DateFormat=P","Fill=—","Direction=H","UseDPDF=Y")</f>
        <v>7.1</v>
      </c>
    </row>
    <row r="18" spans="1:27" x14ac:dyDescent="0.25">
      <c r="A18" s="10" t="s">
        <v>584</v>
      </c>
      <c r="B18" s="10" t="s">
        <v>585</v>
      </c>
      <c r="C18" s="13">
        <f>_xll.BDH("NBIX US Equity","COST_CAPITALIZED_OPERATING_LEAS","FQ4 2018","FQ4 2018","Currency=USD","Period=FQ","BEST_FPERIOD_OVERRIDE=FQ","FILING_STATUS=MR","SCALING_FORMAT=MLN","Sort=A","Dates=H","DateFormat=P","Fill=—","Direction=H","UseDPDF=Y")</f>
        <v>0</v>
      </c>
      <c r="D18" s="13">
        <f>_xll.BDH("NBIX US Equity","COST_CAPITALIZED_OPERATING_LEAS","FQ1 2019","FQ1 2019","Currency=USD","Period=FQ","BEST_FPERIOD_OVERRIDE=FQ","FILING_STATUS=MR","SCALING_FORMAT=MLN","Sort=A","Dates=H","DateFormat=P","Fill=—","Direction=H","UseDPDF=Y")</f>
        <v>1.9</v>
      </c>
      <c r="E18" s="13">
        <f>_xll.BDH("NBIX US Equity","COST_CAPITALIZED_OPERATING_LEAS","FQ2 2019","FQ2 2019","Currency=USD","Period=FQ","BEST_FPERIOD_OVERRIDE=FQ","FILING_STATUS=MR","SCALING_FORMAT=MLN","Sort=A","Dates=H","DateFormat=P","Fill=—","Direction=H","UseDPDF=Y")</f>
        <v>2</v>
      </c>
      <c r="F18" s="13">
        <f>_xll.BDH("NBIX US Equity","COST_CAPITALIZED_OPERATING_LEAS","FQ3 2019","FQ3 2019","Currency=USD","Period=FQ","BEST_FPERIOD_OVERRIDE=FQ","FILING_STATUS=MR","SCALING_FORMAT=MLN","Sort=A","Dates=H","DateFormat=P","Fill=—","Direction=H","UseDPDF=Y")</f>
        <v>2</v>
      </c>
      <c r="G18" s="13">
        <f>_xll.BDH("NBIX US Equity","COST_CAPITALIZED_OPERATING_LEAS","FQ4 2019","FQ4 2019","Currency=USD","Period=FQ","BEST_FPERIOD_OVERRIDE=FQ","FILING_STATUS=MR","SCALING_FORMAT=MLN","Sort=A","Dates=H","DateFormat=P","Fill=—","Direction=H","UseDPDF=Y")</f>
        <v>2.2000000000000002</v>
      </c>
      <c r="H18" s="13">
        <f>_xll.BDH("NBIX US Equity","COST_CAPITALIZED_OPERATING_LEAS","FQ1 2020","FQ1 2020","Currency=USD","Period=FQ","BEST_FPERIOD_OVERRIDE=FQ","FILING_STATUS=MR","SCALING_FORMAT=MLN","Sort=A","Dates=H","DateFormat=P","Fill=—","Direction=H","UseDPDF=Y")</f>
        <v>2.5</v>
      </c>
      <c r="I18" s="13">
        <f>_xll.BDH("NBIX US Equity","COST_CAPITALIZED_OPERATING_LEAS","FQ2 2020","FQ2 2020","Currency=USD","Period=FQ","BEST_FPERIOD_OVERRIDE=FQ","FILING_STATUS=MR","SCALING_FORMAT=MLN","Sort=A","Dates=H","DateFormat=P","Fill=—","Direction=H","UseDPDF=Y")</f>
        <v>2.5</v>
      </c>
      <c r="J18" s="13">
        <f>_xll.BDH("NBIX US Equity","COST_CAPITALIZED_OPERATING_LEAS","FQ3 2020","FQ3 2020","Currency=USD","Period=FQ","BEST_FPERIOD_OVERRIDE=FQ","FILING_STATUS=MR","SCALING_FORMAT=MLN","Sort=A","Dates=H","DateFormat=P","Fill=—","Direction=H","UseDPDF=Y")</f>
        <v>2.4</v>
      </c>
      <c r="K18" s="13">
        <f>_xll.BDH("NBIX US Equity","COST_CAPITALIZED_OPERATING_LEAS","FQ4 2020","FQ4 2020","Currency=USD","Period=FQ","BEST_FPERIOD_OVERRIDE=FQ","FILING_STATUS=MR","SCALING_FORMAT=MLN","Sort=A","Dates=H","DateFormat=P","Fill=—","Direction=H","UseDPDF=Y")</f>
        <v>2.7</v>
      </c>
      <c r="L18" s="13">
        <f>_xll.BDH("NBIX US Equity","COST_CAPITALIZED_OPERATING_LEAS","FQ1 2021","FQ1 2021","Currency=USD","Period=FQ","BEST_FPERIOD_OVERRIDE=FQ","FILING_STATUS=MR","SCALING_FORMAT=MLN","Sort=A","Dates=H","DateFormat=P","Fill=—","Direction=H","UseDPDF=Y")</f>
        <v>3.4</v>
      </c>
      <c r="M18" s="13">
        <f>_xll.BDH("NBIX US Equity","COST_CAPITALIZED_OPERATING_LEAS","FQ2 2021","FQ2 2021","Currency=USD","Period=FQ","BEST_FPERIOD_OVERRIDE=FQ","FILING_STATUS=MR","SCALING_FORMAT=MLN","Sort=A","Dates=H","DateFormat=P","Fill=—","Direction=H","UseDPDF=Y")</f>
        <v>3.9</v>
      </c>
      <c r="N18" s="13">
        <f>_xll.BDH("NBIX US Equity","COST_CAPITALIZED_OPERATING_LEAS","FQ3 2021","FQ3 2021","Currency=USD","Period=FQ","BEST_FPERIOD_OVERRIDE=FQ","FILING_STATUS=MR","SCALING_FORMAT=MLN","Sort=A","Dates=H","DateFormat=P","Fill=—","Direction=H","UseDPDF=Y")</f>
        <v>3.9</v>
      </c>
      <c r="O18" s="13">
        <f>_xll.BDH("NBIX US Equity","COST_CAPITALIZED_OPERATING_LEAS","FQ4 2021","FQ4 2021","Currency=USD","Period=FQ","BEST_FPERIOD_OVERRIDE=FQ","FILING_STATUS=MR","SCALING_FORMAT=MLN","Sort=A","Dates=H","DateFormat=P","Fill=—","Direction=H","UseDPDF=Y")</f>
        <v>4.0999999999999996</v>
      </c>
      <c r="P18" s="13">
        <f>_xll.BDH("NBIX US Equity","COST_CAPITALIZED_OPERATING_LEAS","FQ1 2022","FQ1 2022","Currency=USD","Period=FQ","BEST_FPERIOD_OVERRIDE=FQ","FILING_STATUS=MR","SCALING_FORMAT=MLN","Sort=A","Dates=H","DateFormat=P","Fill=—","Direction=H","UseDPDF=Y")</f>
        <v>4.0999999999999996</v>
      </c>
      <c r="Q18" s="13">
        <f>_xll.BDH("NBIX US Equity","COST_CAPITALIZED_OPERATING_LEAS","FQ2 2022","FQ2 2022","Currency=USD","Period=FQ","BEST_FPERIOD_OVERRIDE=FQ","FILING_STATUS=MR","SCALING_FORMAT=MLN","Sort=A","Dates=H","DateFormat=P","Fill=—","Direction=H","UseDPDF=Y")</f>
        <v>4.0999999999999996</v>
      </c>
      <c r="R18" s="13">
        <f>_xll.BDH("NBIX US Equity","COST_CAPITALIZED_OPERATING_LEAS","FQ3 2022","FQ3 2022","Currency=USD","Period=FQ","BEST_FPERIOD_OVERRIDE=FQ","FILING_STATUS=MR","SCALING_FORMAT=MLN","Sort=A","Dates=H","DateFormat=P","Fill=—","Direction=H","UseDPDF=Y")</f>
        <v>4.3</v>
      </c>
      <c r="S18" s="13">
        <f>_xll.BDH("NBIX US Equity","COST_CAPITALIZED_OPERATING_LEAS","FQ4 2022","FQ4 2022","Currency=USD","Period=FQ","BEST_FPERIOD_OVERRIDE=FQ","FILING_STATUS=MR","SCALING_FORMAT=MLN","Sort=A","Dates=H","DateFormat=P","Fill=—","Direction=H","UseDPDF=Y")</f>
        <v>3.8</v>
      </c>
      <c r="T18" s="13">
        <f>_xll.BDH("NBIX US Equity","COST_CAPITALIZED_OPERATING_LEAS","FQ1 2023","FQ1 2023","Currency=USD","Period=FQ","BEST_FPERIOD_OVERRIDE=FQ","FILING_STATUS=MR","SCALING_FORMAT=MLN","Sort=A","Dates=H","DateFormat=P","Fill=—","Direction=H","UseDPDF=Y")</f>
        <v>4.0999999999999996</v>
      </c>
      <c r="U18" s="13">
        <f>_xll.BDH("NBIX US Equity","COST_CAPITALIZED_OPERATING_LEAS","FQ2 2023","FQ2 2023","Currency=USD","Period=FQ","BEST_FPERIOD_OVERRIDE=FQ","FILING_STATUS=MR","SCALING_FORMAT=MLN","Sort=A","Dates=H","DateFormat=P","Fill=—","Direction=H","UseDPDF=Y")</f>
        <v>4.0999999999999996</v>
      </c>
      <c r="V18" s="13">
        <f>_xll.BDH("NBIX US Equity","COST_CAPITALIZED_OPERATING_LEAS","FQ3 2023","FQ3 2023","Currency=USD","Period=FQ","BEST_FPERIOD_OVERRIDE=FQ","FILING_STATUS=MR","SCALING_FORMAT=MLN","Sort=A","Dates=H","DateFormat=P","Fill=—","Direction=H","UseDPDF=Y")</f>
        <v>3.8</v>
      </c>
      <c r="W18" s="13">
        <f>_xll.BDH("NBIX US Equity","COST_CAPITALIZED_OPERATING_LEAS","FQ4 2023","FQ4 2023","Currency=USD","Period=FQ","BEST_FPERIOD_OVERRIDE=FQ","FILING_STATUS=MR","SCALING_FORMAT=MLN","Sort=A","Dates=H","DateFormat=P","Fill=—","Direction=H","UseDPDF=Y")</f>
        <v>4.4000000000000004</v>
      </c>
      <c r="X18" s="13">
        <f>_xll.BDH("NBIX US Equity","COST_CAPITALIZED_OPERATING_LEAS","FQ1 2024","FQ1 2024","Currency=USD","Period=FQ","BEST_FPERIOD_OVERRIDE=FQ","FILING_STATUS=MR","SCALING_FORMAT=MLN","Sort=A","Dates=H","DateFormat=P","Fill=—","Direction=H","UseDPDF=Y")</f>
        <v>9</v>
      </c>
      <c r="Y18" s="13">
        <f>_xll.BDH("NBIX US Equity","COST_CAPITALIZED_OPERATING_LEAS","FQ2 2024","FQ2 2024","Currency=USD","Period=FQ","BEST_FPERIOD_OVERRIDE=FQ","FILING_STATUS=MR","SCALING_FORMAT=MLN","Sort=A","Dates=H","DateFormat=P","Fill=—","Direction=H","UseDPDF=Y")</f>
        <v>9.1999999999999993</v>
      </c>
      <c r="Z18" s="13">
        <f>_xll.BDH("NBIX US Equity","COST_CAPITALIZED_OPERATING_LEAS","FQ3 2024","FQ3 2024","Currency=USD","Period=FQ","BEST_FPERIOD_OVERRIDE=FQ","FILING_STATUS=MR","SCALING_FORMAT=MLN","Sort=A","Dates=H","DateFormat=P","Fill=—","Direction=H","UseDPDF=Y")</f>
        <v>8.8000000000000007</v>
      </c>
      <c r="AA18" s="13">
        <f>_xll.BDH("NBIX US Equity","COST_CAPITALIZED_OPERATING_LEAS","FQ4 2024","FQ4 2024","Currency=USD","Period=FQ","BEST_FPERIOD_OVERRIDE=FQ","FILING_STATUS=MR","SCALING_FORMAT=MLN","Sort=A","Dates=H","DateFormat=P","Fill=—","Direction=H","UseDPDF=Y")</f>
        <v>15</v>
      </c>
    </row>
    <row r="19" spans="1:27" x14ac:dyDescent="0.25">
      <c r="A19" s="6" t="s">
        <v>586</v>
      </c>
      <c r="B19" s="6" t="s">
        <v>78</v>
      </c>
      <c r="C19" s="19">
        <f>_xll.BDH("NBIX US Equity","EBITDA","FQ4 2018","FQ4 2018","Currency=USD","Period=FQ","BEST_FPERIOD_OVERRIDE=FQ","FILING_STATUS=MR","SCALING_FORMAT=MLN","FA_ADJUSTED=Adjusted","Sort=A","Dates=H","DateFormat=P","Fill=—","Direction=H","UseDPDF=Y")</f>
        <v>23.146000000000001</v>
      </c>
      <c r="D19" s="19">
        <f>_xll.BDH("NBIX US Equity","EBITDA","FQ1 2019","FQ1 2019","Currency=USD","Period=FQ","BEST_FPERIOD_OVERRIDE=FQ","FILING_STATUS=MR","SCALING_FORMAT=MLN","FA_ADJUSTED=Adjusted","Sort=A","Dates=H","DateFormat=P","Fill=—","Direction=H","UseDPDF=Y")</f>
        <v>15.55</v>
      </c>
      <c r="E19" s="19">
        <f>_xll.BDH("NBIX US Equity","EBITDA","FQ2 2019","FQ2 2019","Currency=USD","Period=FQ","BEST_FPERIOD_OVERRIDE=FQ","FILING_STATUS=MR","SCALING_FORMAT=MLN","FA_ADJUSTED=Adjusted","Sort=A","Dates=H","DateFormat=P","Fill=—","Direction=H","UseDPDF=Y")</f>
        <v>43.247</v>
      </c>
      <c r="F19" s="19">
        <f>_xll.BDH("NBIX US Equity","EBITDA","FQ3 2019","FQ3 2019","Currency=USD","Period=FQ","BEST_FPERIOD_OVERRIDE=FQ","FILING_STATUS=MR","SCALING_FORMAT=MLN","FA_ADJUSTED=Adjusted","Sort=A","Dates=H","DateFormat=P","Fill=—","Direction=H","UseDPDF=Y")</f>
        <v>94.106999999999999</v>
      </c>
      <c r="G19" s="19">
        <f>_xll.BDH("NBIX US Equity","EBITDA","FQ4 2019","FQ4 2019","Currency=USD","Period=FQ","BEST_FPERIOD_OVERRIDE=FQ","FILING_STATUS=MR","SCALING_FORMAT=MLN","FA_ADJUSTED=Adjusted","Sort=A","Dates=H","DateFormat=P","Fill=—","Direction=H","UseDPDF=Y")</f>
        <v>89.239000000000004</v>
      </c>
      <c r="H19" s="19">
        <f>_xll.BDH("NBIX US Equity","EBITDA","FQ1 2020","FQ1 2020","Currency=USD","Period=FQ","BEST_FPERIOD_OVERRIDE=FQ","FILING_STATUS=MR","SCALING_FORMAT=MLN","FA_ADJUSTED=Adjusted","Sort=A","Dates=H","DateFormat=P","Fill=—","Direction=H","UseDPDF=Y")</f>
        <v>63.5</v>
      </c>
      <c r="I19" s="19">
        <f>_xll.BDH("NBIX US Equity","EBITDA","FQ2 2020","FQ2 2020","Currency=USD","Period=FQ","BEST_FPERIOD_OVERRIDE=FQ","FILING_STATUS=MR","SCALING_FORMAT=MLN","FA_ADJUSTED=Adjusted","Sort=A","Dates=H","DateFormat=P","Fill=—","Direction=H","UseDPDF=Y")</f>
        <v>127.2</v>
      </c>
      <c r="J19" s="19">
        <f>_xll.BDH("NBIX US Equity","EBITDA","FQ3 2020","FQ3 2020","Currency=USD","Period=FQ","BEST_FPERIOD_OVERRIDE=FQ","FILING_STATUS=MR","SCALING_FORMAT=MLN","FA_ADJUSTED=Adjusted","Sort=A","Dates=H","DateFormat=P","Fill=—","Direction=H","UseDPDF=Y")</f>
        <v>78.8</v>
      </c>
      <c r="K19" s="19">
        <f>_xll.BDH("NBIX US Equity","EBITDA","FQ4 2020","FQ4 2020","Currency=USD","Period=FQ","BEST_FPERIOD_OVERRIDE=FQ","FILING_STATUS=MR","SCALING_FORMAT=MLN","FA_ADJUSTED=Adjusted","Sort=A","Dates=H","DateFormat=P","Fill=—","Direction=H","UseDPDF=Y")</f>
        <v>76.7</v>
      </c>
      <c r="L19" s="19">
        <f>_xll.BDH("NBIX US Equity","EBITDA","FQ1 2021","FQ1 2021","Currency=USD","Period=FQ","BEST_FPERIOD_OVERRIDE=FQ","FILING_STATUS=MR","SCALING_FORMAT=MLN","FA_ADJUSTED=Adjusted","Sort=A","Dates=H","DateFormat=P","Fill=—","Direction=H","UseDPDF=Y")</f>
        <v>37.4</v>
      </c>
      <c r="M19" s="19">
        <f>_xll.BDH("NBIX US Equity","EBITDA","FQ2 2021","FQ2 2021","Currency=USD","Period=FQ","BEST_FPERIOD_OVERRIDE=FQ","FILING_STATUS=MR","SCALING_FORMAT=MLN","FA_ADJUSTED=Adjusted","Sort=A","Dates=H","DateFormat=P","Fill=—","Direction=H","UseDPDF=Y")</f>
        <v>74.3</v>
      </c>
      <c r="N19" s="19">
        <f>_xll.BDH("NBIX US Equity","EBITDA","FQ3 2021","FQ3 2021","Currency=USD","Period=FQ","BEST_FPERIOD_OVERRIDE=FQ","FILING_STATUS=MR","SCALING_FORMAT=MLN","FA_ADJUSTED=Adjusted","Sort=A","Dates=H","DateFormat=P","Fill=—","Direction=H","UseDPDF=Y")</f>
        <v>51.2</v>
      </c>
      <c r="O19" s="19">
        <f>_xll.BDH("NBIX US Equity","EBITDA","FQ4 2021","FQ4 2021","Currency=USD","Period=FQ","BEST_FPERIOD_OVERRIDE=FQ","FILING_STATUS=MR","SCALING_FORMAT=MLN","FA_ADJUSTED=Adjusted","Sort=A","Dates=H","DateFormat=P","Fill=—","Direction=H","UseDPDF=Y")</f>
        <v>71.099999999999994</v>
      </c>
      <c r="P19" s="19">
        <f>_xll.BDH("NBIX US Equity","EBITDA","FQ1 2022","FQ1 2022","Currency=USD","Period=FQ","BEST_FPERIOD_OVERRIDE=FQ","FILING_STATUS=MR","SCALING_FORMAT=MLN","FA_ADJUSTED=Adjusted","Sort=A","Dates=H","DateFormat=P","Fill=—","Direction=H","UseDPDF=Y")</f>
        <v>10.5</v>
      </c>
      <c r="Q19" s="19">
        <f>_xll.BDH("NBIX US Equity","EBITDA","FQ2 2022","FQ2 2022","Currency=USD","Period=FQ","BEST_FPERIOD_OVERRIDE=FQ","FILING_STATUS=MR","SCALING_FORMAT=MLN","FA_ADJUSTED=Adjusted","Sort=A","Dates=H","DateFormat=P","Fill=—","Direction=H","UseDPDF=Y")</f>
        <v>62.7</v>
      </c>
      <c r="R19" s="19">
        <f>_xll.BDH("NBIX US Equity","EBITDA","FQ3 2022","FQ3 2022","Currency=USD","Period=FQ","BEST_FPERIOD_OVERRIDE=FQ","FILING_STATUS=MR","SCALING_FORMAT=MLN","FA_ADJUSTED=Adjusted","Sort=A","Dates=H","DateFormat=P","Fill=—","Direction=H","UseDPDF=Y")</f>
        <v>96.1</v>
      </c>
      <c r="S19" s="19">
        <f>_xll.BDH("NBIX US Equity","EBITDA","FQ4 2022","FQ4 2022","Currency=USD","Period=FQ","BEST_FPERIOD_OVERRIDE=FQ","FILING_STATUS=MR","SCALING_FORMAT=MLN","FA_ADJUSTED=Adjusted","Sort=A","Dates=H","DateFormat=P","Fill=—","Direction=H","UseDPDF=Y")</f>
        <v>113.3</v>
      </c>
      <c r="T19" s="19">
        <f>_xll.BDH("NBIX US Equity","EBITDA","FQ1 2023","FQ1 2023","Currency=USD","Period=FQ","BEST_FPERIOD_OVERRIDE=FQ","FILING_STATUS=MR","SCALING_FORMAT=MLN","FA_ADJUSTED=Adjusted","Sort=A","Dates=H","DateFormat=P","Fill=—","Direction=H","UseDPDF=Y")</f>
        <v>38.799999999999997</v>
      </c>
      <c r="U19" s="19">
        <f>_xll.BDH("NBIX US Equity","EBITDA","FQ2 2023","FQ2 2023","Currency=USD","Period=FQ","BEST_FPERIOD_OVERRIDE=FQ","FILING_STATUS=MR","SCALING_FORMAT=MLN","FA_ADJUSTED=Adjusted","Sort=A","Dates=H","DateFormat=P","Fill=—","Direction=H","UseDPDF=Y")</f>
        <v>82.8</v>
      </c>
      <c r="V19" s="19">
        <f>_xll.BDH("NBIX US Equity","EBITDA","FQ3 2023","FQ3 2023","Currency=USD","Period=FQ","BEST_FPERIOD_OVERRIDE=FQ","FILING_STATUS=MR","SCALING_FORMAT=MLN","FA_ADJUSTED=Adjusted","Sort=A","Dates=H","DateFormat=P","Fill=—","Direction=H","UseDPDF=Y")</f>
        <v>154.4</v>
      </c>
      <c r="W19" s="19">
        <f>_xll.BDH("NBIX US Equity","EBITDA","FQ4 2023","FQ4 2023","Currency=USD","Period=FQ","BEST_FPERIOD_OVERRIDE=FQ","FILING_STATUS=MR","SCALING_FORMAT=MLN","FA_ADJUSTED=Adjusted","Sort=A","Dates=H","DateFormat=P","Fill=—","Direction=H","UseDPDF=Y")</f>
        <v>160.4</v>
      </c>
      <c r="X19" s="19">
        <f>_xll.BDH("NBIX US Equity","EBITDA","FQ1 2024","FQ1 2024","Currency=USD","Period=FQ","BEST_FPERIOD_OVERRIDE=FQ","FILING_STATUS=MR","SCALING_FORMAT=MLN","FA_ADJUSTED=Adjusted","Sort=A","Dates=H","DateFormat=P","Fill=—","Direction=H","UseDPDF=Y")</f>
        <v>120.5</v>
      </c>
      <c r="Y19" s="19">
        <f>_xll.BDH("NBIX US Equity","EBITDA","FQ2 2024","FQ2 2024","Currency=USD","Period=FQ","BEST_FPERIOD_OVERRIDE=FQ","FILING_STATUS=MR","SCALING_FORMAT=MLN","FA_ADJUSTED=Adjusted","Sort=A","Dates=H","DateFormat=P","Fill=—","Direction=H","UseDPDF=Y")</f>
        <v>228.1</v>
      </c>
      <c r="Z19" s="19">
        <f>_xll.BDH("NBIX US Equity","EBITDA","FQ3 2024","FQ3 2024","Currency=USD","Period=FQ","BEST_FPERIOD_OVERRIDE=FQ","FILING_STATUS=MR","SCALING_FORMAT=MLN","FA_ADJUSTED=Adjusted","Sort=A","Dates=H","DateFormat=P","Fill=—","Direction=H","UseDPDF=Y")</f>
        <v>200.1</v>
      </c>
      <c r="AA19" s="19">
        <f>_xll.BDH("NBIX US Equity","EBITDA","FQ4 2024","FQ4 2024","Currency=USD","Period=FQ","BEST_FPERIOD_OVERRIDE=FQ","FILING_STATUS=MR","SCALING_FORMAT=MLN","FA_ADJUSTED=Adjusted","Sort=A","Dates=H","DateFormat=P","Fill=—","Direction=H","UseDPDF=Y")</f>
        <v>167.1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6" t="s">
        <v>587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6" t="s">
        <v>564</v>
      </c>
      <c r="B22" s="6" t="s">
        <v>99</v>
      </c>
      <c r="C22" s="19">
        <f>_xll.BDH("NBIX US Equity","IS_OPER_INC","FQ4 2018","FQ4 2018","Currency=USD","Period=FQ","BEST_FPERIOD_OVERRIDE=FQ","FILING_STATUS=MR","SCALING_FORMAT=MLN","FA_ADJUSTED=GAAP","Sort=A","Dates=H","DateFormat=P","Fill=—","Direction=H","UseDPDF=Y")</f>
        <v>21.870999999999999</v>
      </c>
      <c r="D22" s="19">
        <f>_xll.BDH("NBIX US Equity","IS_OPER_INC","FQ1 2019","FQ1 2019","Currency=USD","Period=FQ","BEST_FPERIOD_OVERRIDE=FQ","FILING_STATUS=MR","SCALING_FORMAT=MLN","FA_ADJUSTED=GAAP","Sort=A","Dates=H","DateFormat=P","Fill=—","Direction=H","UseDPDF=Y")</f>
        <v>-100.997</v>
      </c>
      <c r="E22" s="19">
        <f>_xll.BDH("NBIX US Equity","IS_OPER_INC","FQ2 2019","FQ2 2019","Currency=USD","Period=FQ","BEST_FPERIOD_OVERRIDE=FQ","FILING_STATUS=MR","SCALING_FORMAT=MLN","FA_ADJUSTED=GAAP","Sort=A","Dates=H","DateFormat=P","Fill=—","Direction=H","UseDPDF=Y")</f>
        <v>34.460999999999999</v>
      </c>
      <c r="F22" s="19">
        <f>_xll.BDH("NBIX US Equity","IS_OPER_INC","FQ3 2019","FQ3 2019","Currency=USD","Period=FQ","BEST_FPERIOD_OVERRIDE=FQ","FILING_STATUS=MR","SCALING_FORMAT=MLN","FA_ADJUSTED=GAAP","Sort=A","Dates=H","DateFormat=P","Fill=—","Direction=H","UseDPDF=Y")</f>
        <v>90.097999999999999</v>
      </c>
      <c r="G22" s="19">
        <f>_xll.BDH("NBIX US Equity","IS_OPER_INC","FQ4 2019","FQ4 2019","Currency=USD","Period=FQ","BEST_FPERIOD_OVERRIDE=FQ","FILING_STATUS=MR","SCALING_FORMAT=MLN","FA_ADJUSTED=GAAP","Sort=A","Dates=H","DateFormat=P","Fill=—","Direction=H","UseDPDF=Y")</f>
        <v>48.8</v>
      </c>
      <c r="H22" s="19">
        <f>_xll.BDH("NBIX US Equity","IS_OPER_INC","FQ1 2020","FQ1 2020","Currency=USD","Period=FQ","BEST_FPERIOD_OVERRIDE=FQ","FILING_STATUS=MR","SCALING_FORMAT=MLN","FA_ADJUSTED=GAAP","Sort=A","Dates=H","DateFormat=P","Fill=—","Direction=H","UseDPDF=Y")</f>
        <v>58.9</v>
      </c>
      <c r="I22" s="19">
        <f>_xll.BDH("NBIX US Equity","IS_OPER_INC","FQ2 2020","FQ2 2020","Currency=USD","Period=FQ","BEST_FPERIOD_OVERRIDE=FQ","FILING_STATUS=MR","SCALING_FORMAT=MLN","FA_ADJUSTED=GAAP","Sort=A","Dates=H","DateFormat=P","Fill=—","Direction=H","UseDPDF=Y")</f>
        <v>76.599999999999994</v>
      </c>
      <c r="J22" s="19">
        <f>_xll.BDH("NBIX US Equity","IS_OPER_INC","FQ3 2020","FQ3 2020","Currency=USD","Period=FQ","BEST_FPERIOD_OVERRIDE=FQ","FILING_STATUS=MR","SCALING_FORMAT=MLN","FA_ADJUSTED=GAAP","Sort=A","Dates=H","DateFormat=P","Fill=—","Direction=H","UseDPDF=Y")</f>
        <v>-44.3</v>
      </c>
      <c r="K22" s="19">
        <f>_xll.BDH("NBIX US Equity","IS_OPER_INC","FQ4 2020","FQ4 2020","Currency=USD","Period=FQ","BEST_FPERIOD_OVERRIDE=FQ","FILING_STATUS=MR","SCALING_FORMAT=MLN","FA_ADJUSTED=GAAP","Sort=A","Dates=H","DateFormat=P","Fill=—","Direction=H","UseDPDF=Y")</f>
        <v>71.8</v>
      </c>
      <c r="L22" s="19">
        <f>_xll.BDH("NBIX US Equity","IS_OPER_INC","FQ1 2021","FQ1 2021","Currency=USD","Period=FQ","BEST_FPERIOD_OVERRIDE=FQ","FILING_STATUS=MR","SCALING_FORMAT=MLN","FA_ADJUSTED=GAAP","Sort=A","Dates=H","DateFormat=P","Fill=—","Direction=H","UseDPDF=Y")</f>
        <v>31.5</v>
      </c>
      <c r="M22" s="19">
        <f>_xll.BDH("NBIX US Equity","IS_OPER_INC","FQ2 2021","FQ2 2021","Currency=USD","Period=FQ","BEST_FPERIOD_OVERRIDE=FQ","FILING_STATUS=MR","SCALING_FORMAT=MLN","FA_ADJUSTED=GAAP","Sort=A","Dates=H","DateFormat=P","Fill=—","Direction=H","UseDPDF=Y")</f>
        <v>62.8</v>
      </c>
      <c r="N22" s="19">
        <f>_xll.BDH("NBIX US Equity","IS_OPER_INC","FQ3 2021","FQ3 2021","Currency=USD","Period=FQ","BEST_FPERIOD_OVERRIDE=FQ","FILING_STATUS=MR","SCALING_FORMAT=MLN","FA_ADJUSTED=GAAP","Sort=A","Dates=H","DateFormat=P","Fill=—","Direction=H","UseDPDF=Y")</f>
        <v>44.5</v>
      </c>
      <c r="O22" s="19">
        <f>_xll.BDH("NBIX US Equity","IS_OPER_INC","FQ4 2021","FQ4 2021","Currency=USD","Period=FQ","BEST_FPERIOD_OVERRIDE=FQ","FILING_STATUS=MR","SCALING_FORMAT=MLN","FA_ADJUSTED=GAAP","Sort=A","Dates=H","DateFormat=P","Fill=—","Direction=H","UseDPDF=Y")</f>
        <v>-36.299999999999997</v>
      </c>
      <c r="P22" s="19">
        <f>_xll.BDH("NBIX US Equity","IS_OPER_INC","FQ1 2022","FQ1 2022","Currency=USD","Period=FQ","BEST_FPERIOD_OVERRIDE=FQ","FILING_STATUS=MR","SCALING_FORMAT=MLN","FA_ADJUSTED=GAAP","Sort=A","Dates=H","DateFormat=P","Fill=—","Direction=H","UseDPDF=Y")</f>
        <v>3.1</v>
      </c>
      <c r="Q22" s="19">
        <f>_xll.BDH("NBIX US Equity","IS_OPER_INC","FQ2 2022","FQ2 2022","Currency=USD","Period=FQ","BEST_FPERIOD_OVERRIDE=FQ","FILING_STATUS=MR","SCALING_FORMAT=MLN","FA_ADJUSTED=GAAP","Sort=A","Dates=H","DateFormat=P","Fill=—","Direction=H","UseDPDF=Y")</f>
        <v>54.7</v>
      </c>
      <c r="R22" s="19">
        <f>_xll.BDH("NBIX US Equity","IS_OPER_INC","FQ3 2022","FQ3 2022","Currency=USD","Period=FQ","BEST_FPERIOD_OVERRIDE=FQ","FILING_STATUS=MR","SCALING_FORMAT=MLN","FA_ADJUSTED=GAAP","Sort=A","Dates=H","DateFormat=P","Fill=—","Direction=H","UseDPDF=Y")</f>
        <v>87.8</v>
      </c>
      <c r="S22" s="19">
        <f>_xll.BDH("NBIX US Equity","IS_OPER_INC","FQ4 2022","FQ4 2022","Currency=USD","Period=FQ","BEST_FPERIOD_OVERRIDE=FQ","FILING_STATUS=MR","SCALING_FORMAT=MLN","FA_ADJUSTED=GAAP","Sort=A","Dates=H","DateFormat=P","Fill=—","Direction=H","UseDPDF=Y")</f>
        <v>103.4</v>
      </c>
      <c r="T22" s="19">
        <f>_xll.BDH("NBIX US Equity","IS_OPER_INC","FQ1 2023","FQ1 2023","Currency=USD","Period=FQ","BEST_FPERIOD_OVERRIDE=FQ","FILING_STATUS=MR","SCALING_FORMAT=MLN","FA_ADJUSTED=GAAP","Sort=A","Dates=H","DateFormat=P","Fill=—","Direction=H","UseDPDF=Y")</f>
        <v>-114.2</v>
      </c>
      <c r="U22" s="19">
        <f>_xll.BDH("NBIX US Equity","IS_OPER_INC","FQ2 2023","FQ2 2023","Currency=USD","Period=FQ","BEST_FPERIOD_OVERRIDE=FQ","FILING_STATUS=MR","SCALING_FORMAT=MLN","FA_ADJUSTED=GAAP","Sort=A","Dates=H","DateFormat=P","Fill=—","Direction=H","UseDPDF=Y")</f>
        <v>73.599999999999994</v>
      </c>
      <c r="V22" s="19">
        <f>_xll.BDH("NBIX US Equity","IS_OPER_INC","FQ3 2023","FQ3 2023","Currency=USD","Period=FQ","BEST_FPERIOD_OVERRIDE=FQ","FILING_STATUS=MR","SCALING_FORMAT=MLN","FA_ADJUSTED=GAAP","Sort=A","Dates=H","DateFormat=P","Fill=—","Direction=H","UseDPDF=Y")</f>
        <v>141.19999999999999</v>
      </c>
      <c r="W22" s="19">
        <f>_xll.BDH("NBIX US Equity","IS_OPER_INC","FQ4 2023","FQ4 2023","Currency=USD","Period=FQ","BEST_FPERIOD_OVERRIDE=FQ","FILING_STATUS=MR","SCALING_FORMAT=MLN","FA_ADJUSTED=GAAP","Sort=A","Dates=H","DateFormat=P","Fill=—","Direction=H","UseDPDF=Y")</f>
        <v>150.30000000000001</v>
      </c>
      <c r="X22" s="19">
        <f>_xll.BDH("NBIX US Equity","IS_OPER_INC","FQ1 2024","FQ1 2024","Currency=USD","Period=FQ","BEST_FPERIOD_OVERRIDE=FQ","FILING_STATUS=MR","SCALING_FORMAT=MLN","FA_ADJUSTED=GAAP","Sort=A","Dates=H","DateFormat=P","Fill=—","Direction=H","UseDPDF=Y")</f>
        <v>99.3</v>
      </c>
      <c r="Y22" s="19">
        <f>_xll.BDH("NBIX US Equity","IS_OPER_INC","FQ2 2024","FQ2 2024","Currency=USD","Period=FQ","BEST_FPERIOD_OVERRIDE=FQ","FILING_STATUS=MR","SCALING_FORMAT=MLN","FA_ADJUSTED=GAAP","Sort=A","Dates=H","DateFormat=P","Fill=—","Direction=H","UseDPDF=Y")</f>
        <v>145.4</v>
      </c>
      <c r="Z22" s="19">
        <f>_xll.BDH("NBIX US Equity","IS_OPER_INC","FQ3 2024","FQ3 2024","Currency=USD","Period=FQ","BEST_FPERIOD_OVERRIDE=FQ","FILING_STATUS=MR","SCALING_FORMAT=MLN","FA_ADJUSTED=GAAP","Sort=A","Dates=H","DateFormat=P","Fill=—","Direction=H","UseDPDF=Y")</f>
        <v>183.8</v>
      </c>
      <c r="AA22" s="19">
        <f>_xll.BDH("NBIX US Equity","IS_OPER_INC","FQ4 2024","FQ4 2024","Currency=USD","Period=FQ","BEST_FPERIOD_OVERRIDE=FQ","FILING_STATUS=MR","SCALING_FORMAT=MLN","FA_ADJUSTED=GAAP","Sort=A","Dates=H","DateFormat=P","Fill=—","Direction=H","UseDPDF=Y")</f>
        <v>142</v>
      </c>
    </row>
    <row r="23" spans="1:27" x14ac:dyDescent="0.25">
      <c r="A23" s="10" t="s">
        <v>588</v>
      </c>
      <c r="B23" s="10" t="s">
        <v>589</v>
      </c>
      <c r="C23" s="13" t="str">
        <f>_xll.BDH("NBIX US Equity","IS_AIP_RD_EXPENSE_OPERATING","FQ4 2018","FQ4 2018","Currency=USD","Period=FQ","BEST_FPERIOD_OVERRIDE=FQ","FILING_STATUS=MR","SCALING_FORMAT=MLN","Sort=A","Dates=H","DateFormat=P","Fill=—","Direction=H","UseDPDF=Y")</f>
        <v>—</v>
      </c>
      <c r="D23" s="13">
        <f>_xll.BDH("NBIX US Equity","IS_AIP_RD_EXPENSE_OPERATING","FQ1 2019","FQ1 2019","Currency=USD","Period=FQ","BEST_FPERIOD_OVERRIDE=FQ","FILING_STATUS=MR","SCALING_FORMAT=MLN","Sort=A","Dates=H","DateFormat=P","Fill=—","Direction=H","UseDPDF=Y")</f>
        <v>113.081</v>
      </c>
      <c r="E23" s="13">
        <f>_xll.BDH("NBIX US Equity","IS_AIP_RD_EXPENSE_OPERATING","FQ2 2019","FQ2 2019","Currency=USD","Period=FQ","BEST_FPERIOD_OVERRIDE=FQ","FILING_STATUS=MR","SCALING_FORMAT=MLN","Sort=A","Dates=H","DateFormat=P","Fill=—","Direction=H","UseDPDF=Y")</f>
        <v>5</v>
      </c>
      <c r="F23" s="13" t="str">
        <f>_xll.BDH("NBIX US Equity","IS_AIP_RD_EXPENSE_OPERATING","FQ3 2019","FQ3 2019","Currency=USD","Period=FQ","BEST_FPERIOD_OVERRIDE=FQ","FILING_STATUS=MR","SCALING_FORMAT=MLN","Sort=A","Dates=H","DateFormat=P","Fill=—","Direction=H","UseDPDF=Y")</f>
        <v>—</v>
      </c>
      <c r="G23" s="13">
        <f>_xll.BDH("NBIX US Equity","IS_AIP_RD_EXPENSE_OPERATING","FQ4 2019","FQ4 2019","Currency=USD","Period=FQ","BEST_FPERIOD_OVERRIDE=FQ","FILING_STATUS=MR","SCALING_FORMAT=MLN","Sort=A","Dates=H","DateFormat=P","Fill=—","Direction=H","UseDPDF=Y")</f>
        <v>36.200000000000003</v>
      </c>
      <c r="H23" s="13" t="str">
        <f>_xll.BDH("NBIX US Equity","IS_AIP_RD_EXPENSE_OPERATING","FQ1 2020","FQ1 2020","Currency=USD","Period=FQ","BEST_FPERIOD_OVERRIDE=FQ","FILING_STATUS=MR","SCALING_FORMAT=MLN","Sort=A","Dates=H","DateFormat=P","Fill=—","Direction=H","UseDPDF=Y")</f>
        <v>—</v>
      </c>
      <c r="I23" s="13">
        <f>_xll.BDH("NBIX US Equity","IS_AIP_RD_EXPENSE_OPERATING","FQ2 2020","FQ2 2020","Currency=USD","Period=FQ","BEST_FPERIOD_OVERRIDE=FQ","FILING_STATUS=MR","SCALING_FORMAT=MLN","Sort=A","Dates=H","DateFormat=P","Fill=—","Direction=H","UseDPDF=Y")</f>
        <v>46</v>
      </c>
      <c r="J23" s="13">
        <f>_xll.BDH("NBIX US Equity","IS_AIP_RD_EXPENSE_OPERATING","FQ3 2020","FQ3 2020","Currency=USD","Period=FQ","BEST_FPERIOD_OVERRIDE=FQ","FILING_STATUS=MR","SCALING_FORMAT=MLN","Sort=A","Dates=H","DateFormat=P","Fill=—","Direction=H","UseDPDF=Y")</f>
        <v>118.5</v>
      </c>
      <c r="K23" s="13" t="str">
        <f>_xll.BDH("NBIX US Equity","IS_AIP_RD_EXPENSE_OPERATING","FQ4 2020","FQ4 2020","Currency=USD","Period=FQ","BEST_FPERIOD_OVERRIDE=FQ","FILING_STATUS=MR","SCALING_FORMAT=MLN","Sort=A","Dates=H","DateFormat=P","Fill=—","Direction=H","UseDPDF=Y")</f>
        <v>—</v>
      </c>
      <c r="L23" s="13" t="str">
        <f>_xll.BDH("NBIX US Equity","IS_AIP_RD_EXPENSE_OPERATING","FQ1 2021","FQ1 2021","Currency=USD","Period=FQ","BEST_FPERIOD_OVERRIDE=FQ","FILING_STATUS=MR","SCALING_FORMAT=MLN","Sort=A","Dates=H","DateFormat=P","Fill=—","Direction=H","UseDPDF=Y")</f>
        <v>—</v>
      </c>
      <c r="M23" s="13">
        <f>_xll.BDH("NBIX US Equity","IS_AIP_RD_EXPENSE_OPERATING","FQ2 2021","FQ2 2021","Currency=USD","Period=FQ","BEST_FPERIOD_OVERRIDE=FQ","FILING_STATUS=MR","SCALING_FORMAT=MLN","Sort=A","Dates=H","DateFormat=P","Fill=—","Direction=H","UseDPDF=Y")</f>
        <v>5</v>
      </c>
      <c r="N23" s="13" t="str">
        <f>_xll.BDH("NBIX US Equity","IS_AIP_RD_EXPENSE_OPERATING","FQ3 2021","FQ3 2021","Currency=USD","Period=FQ","BEST_FPERIOD_OVERRIDE=FQ","FILING_STATUS=MR","SCALING_FORMAT=MLN","Sort=A","Dates=H","DateFormat=P","Fill=—","Direction=H","UseDPDF=Y")</f>
        <v>—</v>
      </c>
      <c r="O23" s="13">
        <f>_xll.BDH("NBIX US Equity","IS_AIP_RD_EXPENSE_OPERATING","FQ4 2021","FQ4 2021","Currency=USD","Period=FQ","BEST_FPERIOD_OVERRIDE=FQ","FILING_STATUS=MR","SCALING_FORMAT=MLN","Sort=A","Dates=H","DateFormat=P","Fill=—","Direction=H","UseDPDF=Y")</f>
        <v>100.3</v>
      </c>
      <c r="P23" s="13" t="str">
        <f>_xll.BDH("NBIX US Equity","IS_AIP_RD_EXPENSE_OPERATING","FQ1 2022","FQ1 2022","Currency=USD","Period=FQ","BEST_FPERIOD_OVERRIDE=FQ","FILING_STATUS=MR","SCALING_FORMAT=MLN","Sort=A","Dates=H","DateFormat=P","Fill=—","Direction=H","UseDPDF=Y")</f>
        <v>—</v>
      </c>
      <c r="Q23" s="13" t="str">
        <f>_xll.BDH("NBIX US Equity","IS_AIP_RD_EXPENSE_OPERATING","FQ2 2022","FQ2 2022","Currency=USD","Period=FQ","BEST_FPERIOD_OVERRIDE=FQ","FILING_STATUS=MR","SCALING_FORMAT=MLN","Sort=A","Dates=H","DateFormat=P","Fill=—","Direction=H","UseDPDF=Y")</f>
        <v>—</v>
      </c>
      <c r="R23" s="13" t="str">
        <f>_xll.BDH("NBIX US Equity","IS_AIP_RD_EXPENSE_OPERATING","FQ3 2022","FQ3 2022","Currency=USD","Period=FQ","BEST_FPERIOD_OVERRIDE=FQ","FILING_STATUS=MR","SCALING_FORMAT=MLN","Sort=A","Dates=H","DateFormat=P","Fill=—","Direction=H","UseDPDF=Y")</f>
        <v>—</v>
      </c>
      <c r="S23" s="13" t="str">
        <f>_xll.BDH("NBIX US Equity","IS_AIP_RD_EXPENSE_OPERATING","FQ4 2022","FQ4 2022","Currency=USD","Period=FQ","BEST_FPERIOD_OVERRIDE=FQ","FILING_STATUS=MR","SCALING_FORMAT=MLN","Sort=A","Dates=H","DateFormat=P","Fill=—","Direction=H","UseDPDF=Y")</f>
        <v>—</v>
      </c>
      <c r="T23" s="13">
        <f>_xll.BDH("NBIX US Equity","IS_AIP_RD_EXPENSE_OPERATING","FQ1 2023","FQ1 2023","Currency=USD","Period=FQ","BEST_FPERIOD_OVERRIDE=FQ","FILING_STATUS=MR","SCALING_FORMAT=MLN","Sort=A","Dates=H","DateFormat=P","Fill=—","Direction=H","UseDPDF=Y")</f>
        <v>143.9</v>
      </c>
      <c r="U23" s="13" t="str">
        <f>_xll.BDH("NBIX US Equity","IS_AIP_RD_EXPENSE_OPERATING","FQ2 2023","FQ2 2023","Currency=USD","Period=FQ","BEST_FPERIOD_OVERRIDE=FQ","FILING_STATUS=MR","SCALING_FORMAT=MLN","Sort=A","Dates=H","DateFormat=P","Fill=—","Direction=H","UseDPDF=Y")</f>
        <v>—</v>
      </c>
      <c r="V23" s="13" t="str">
        <f>_xll.BDH("NBIX US Equity","IS_AIP_RD_EXPENSE_OPERATING","FQ3 2023","FQ3 2023","Currency=USD","Period=FQ","BEST_FPERIOD_OVERRIDE=FQ","FILING_STATUS=MR","SCALING_FORMAT=MLN","Sort=A","Dates=H","DateFormat=P","Fill=—","Direction=H","UseDPDF=Y")</f>
        <v>—</v>
      </c>
      <c r="W23" s="13" t="str">
        <f>_xll.BDH("NBIX US Equity","IS_AIP_RD_EXPENSE_OPERATING","FQ4 2023","FQ4 2023","Currency=USD","Period=FQ","BEST_FPERIOD_OVERRIDE=FQ","FILING_STATUS=MR","SCALING_FORMAT=MLN","Sort=A","Dates=H","DateFormat=P","Fill=—","Direction=H","UseDPDF=Y")</f>
        <v>—</v>
      </c>
      <c r="X23" s="13">
        <f>_xll.BDH("NBIX US Equity","IS_AIP_RD_EXPENSE_OPERATING","FQ1 2024","FQ1 2024","Currency=USD","Period=FQ","BEST_FPERIOD_OVERRIDE=FQ","FILING_STATUS=MR","SCALING_FORMAT=MLN","Sort=A","Dates=H","DateFormat=P","Fill=—","Direction=H","UseDPDF=Y")</f>
        <v>6</v>
      </c>
      <c r="Y23" s="13">
        <f>_xll.BDH("NBIX US Equity","IS_AIP_RD_EXPENSE_OPERATING","FQ2 2024","FQ2 2024","Currency=USD","Period=FQ","BEST_FPERIOD_OVERRIDE=FQ","FILING_STATUS=MR","SCALING_FORMAT=MLN","Sort=A","Dates=H","DateFormat=P","Fill=—","Direction=H","UseDPDF=Y")</f>
        <v>2.5</v>
      </c>
      <c r="Z23" s="13">
        <f>_xll.BDH("NBIX US Equity","IS_AIP_RD_EXPENSE_OPERATING","FQ3 2024","FQ3 2024","Currency=USD","Period=FQ","BEST_FPERIOD_OVERRIDE=FQ","FILING_STATUS=MR","SCALING_FORMAT=MLN","Sort=A","Dates=H","DateFormat=P","Fill=—","Direction=H","UseDPDF=Y")</f>
        <v>1</v>
      </c>
      <c r="AA23" s="13">
        <f>_xll.BDH("NBIX US Equity","IS_AIP_RD_EXPENSE_OPERATING","FQ4 2024","FQ4 2024","Currency=USD","Period=FQ","BEST_FPERIOD_OVERRIDE=FQ","FILING_STATUS=MR","SCALING_FORMAT=MLN","Sort=A","Dates=H","DateFormat=P","Fill=—","Direction=H","UseDPDF=Y")</f>
        <v>3</v>
      </c>
    </row>
    <row r="24" spans="1:27" x14ac:dyDescent="0.25">
      <c r="A24" s="10" t="s">
        <v>590</v>
      </c>
      <c r="B24" s="10" t="s">
        <v>591</v>
      </c>
      <c r="C24" s="13" t="str">
        <f>_xll.BDH("NBIX US Equity","IS_MERGER_ACQ_EXPENSE_OPERATING","FQ4 2018","FQ4 2018","Currency=USD","Period=FQ","BEST_FPERIOD_OVERRIDE=FQ","FILING_STATUS=MR","SCALING_FORMAT=MLN","Sort=A","Dates=H","DateFormat=P","Fill=—","Direction=H","UseDPDF=Y")</f>
        <v>—</v>
      </c>
      <c r="D24" s="13" t="str">
        <f>_xll.BDH("NBIX US Equity","IS_MERGER_ACQ_EXPENSE_OPERATING","FQ1 2019","FQ1 2019","Currency=USD","Period=FQ","BEST_FPERIOD_OVERRIDE=FQ","FILING_STATUS=MR","SCALING_FORMAT=MLN","Sort=A","Dates=H","DateFormat=P","Fill=—","Direction=H","UseDPDF=Y")</f>
        <v>—</v>
      </c>
      <c r="E24" s="13" t="str">
        <f>_xll.BDH("NBIX US Equity","IS_MERGER_ACQ_EXPENSE_OPERATING","FQ2 2019","FQ2 2019","Currency=USD","Period=FQ","BEST_FPERIOD_OVERRIDE=FQ","FILING_STATUS=MR","SCALING_FORMAT=MLN","Sort=A","Dates=H","DateFormat=P","Fill=—","Direction=H","UseDPDF=Y")</f>
        <v>—</v>
      </c>
      <c r="F24" s="13" t="str">
        <f>_xll.BDH("NBIX US Equity","IS_MERGER_ACQ_EXPENSE_OPERATING","FQ3 2019","FQ3 2019","Currency=USD","Period=FQ","BEST_FPERIOD_OVERRIDE=FQ","FILING_STATUS=MR","SCALING_FORMAT=MLN","Sort=A","Dates=H","DateFormat=P","Fill=—","Direction=H","UseDPDF=Y")</f>
        <v>—</v>
      </c>
      <c r="G24" s="13" t="str">
        <f>_xll.BDH("NBIX US Equity","IS_MERGER_ACQ_EXPENSE_OPERATING","FQ4 2019","FQ4 2019","Currency=USD","Period=FQ","BEST_FPERIOD_OVERRIDE=FQ","FILING_STATUS=MR","SCALING_FORMAT=MLN","Sort=A","Dates=H","DateFormat=P","Fill=—","Direction=H","UseDPDF=Y")</f>
        <v>—</v>
      </c>
      <c r="H24" s="13" t="str">
        <f>_xll.BDH("NBIX US Equity","IS_MERGER_ACQ_EXPENSE_OPERATING","FQ1 2020","FQ1 2020","Currency=USD","Period=FQ","BEST_FPERIOD_OVERRIDE=FQ","FILING_STATUS=MR","SCALING_FORMAT=MLN","Sort=A","Dates=H","DateFormat=P","Fill=—","Direction=H","UseDPDF=Y")</f>
        <v>—</v>
      </c>
      <c r="I24" s="13" t="str">
        <f>_xll.BDH("NBIX US Equity","IS_MERGER_ACQ_EXPENSE_OPERATING","FQ2 2020","FQ2 2020","Currency=USD","Period=FQ","BEST_FPERIOD_OVERRIDE=FQ","FILING_STATUS=MR","SCALING_FORMAT=MLN","Sort=A","Dates=H","DateFormat=P","Fill=—","Direction=H","UseDPDF=Y")</f>
        <v>—</v>
      </c>
      <c r="J24" s="13" t="str">
        <f>_xll.BDH("NBIX US Equity","IS_MERGER_ACQ_EXPENSE_OPERATING","FQ3 2020","FQ3 2020","Currency=USD","Period=FQ","BEST_FPERIOD_OVERRIDE=FQ","FILING_STATUS=MR","SCALING_FORMAT=MLN","Sort=A","Dates=H","DateFormat=P","Fill=—","Direction=H","UseDPDF=Y")</f>
        <v>—</v>
      </c>
      <c r="K24" s="13" t="str">
        <f>_xll.BDH("NBIX US Equity","IS_MERGER_ACQ_EXPENSE_OPERATING","FQ4 2020","FQ4 2020","Currency=USD","Period=FQ","BEST_FPERIOD_OVERRIDE=FQ","FILING_STATUS=MR","SCALING_FORMAT=MLN","Sort=A","Dates=H","DateFormat=P","Fill=—","Direction=H","UseDPDF=Y")</f>
        <v>—</v>
      </c>
      <c r="L24" s="13" t="str">
        <f>_xll.BDH("NBIX US Equity","IS_MERGER_ACQ_EXPENSE_OPERATING","FQ1 2021","FQ1 2021","Currency=USD","Period=FQ","BEST_FPERIOD_OVERRIDE=FQ","FILING_STATUS=MR","SCALING_FORMAT=MLN","Sort=A","Dates=H","DateFormat=P","Fill=—","Direction=H","UseDPDF=Y")</f>
        <v>—</v>
      </c>
      <c r="M24" s="13" t="str">
        <f>_xll.BDH("NBIX US Equity","IS_MERGER_ACQ_EXPENSE_OPERATING","FQ2 2021","FQ2 2021","Currency=USD","Period=FQ","BEST_FPERIOD_OVERRIDE=FQ","FILING_STATUS=MR","SCALING_FORMAT=MLN","Sort=A","Dates=H","DateFormat=P","Fill=—","Direction=H","UseDPDF=Y")</f>
        <v>—</v>
      </c>
      <c r="N24" s="13" t="str">
        <f>_xll.BDH("NBIX US Equity","IS_MERGER_ACQ_EXPENSE_OPERATING","FQ3 2021","FQ3 2021","Currency=USD","Period=FQ","BEST_FPERIOD_OVERRIDE=FQ","FILING_STATUS=MR","SCALING_FORMAT=MLN","Sort=A","Dates=H","DateFormat=P","Fill=—","Direction=H","UseDPDF=Y")</f>
        <v>—</v>
      </c>
      <c r="O24" s="13" t="str">
        <f>_xll.BDH("NBIX US Equity","IS_MERGER_ACQ_EXPENSE_OPERATING","FQ4 2021","FQ4 2021","Currency=USD","Period=FQ","BEST_FPERIOD_OVERRIDE=FQ","FILING_STATUS=MR","SCALING_FORMAT=MLN","Sort=A","Dates=H","DateFormat=P","Fill=—","Direction=H","UseDPDF=Y")</f>
        <v>—</v>
      </c>
      <c r="P24" s="13" t="str">
        <f>_xll.BDH("NBIX US Equity","IS_MERGER_ACQ_EXPENSE_OPERATING","FQ1 2022","FQ1 2022","Currency=USD","Period=FQ","BEST_FPERIOD_OVERRIDE=FQ","FILING_STATUS=MR","SCALING_FORMAT=MLN","Sort=A","Dates=H","DateFormat=P","Fill=—","Direction=H","UseDPDF=Y")</f>
        <v>—</v>
      </c>
      <c r="Q24" s="13" t="str">
        <f>_xll.BDH("NBIX US Equity","IS_MERGER_ACQ_EXPENSE_OPERATING","FQ2 2022","FQ2 2022","Currency=USD","Period=FQ","BEST_FPERIOD_OVERRIDE=FQ","FILING_STATUS=MR","SCALING_FORMAT=MLN","Sort=A","Dates=H","DateFormat=P","Fill=—","Direction=H","UseDPDF=Y")</f>
        <v>—</v>
      </c>
      <c r="R24" s="13" t="str">
        <f>_xll.BDH("NBIX US Equity","IS_MERGER_ACQ_EXPENSE_OPERATING","FQ3 2022","FQ3 2022","Currency=USD","Period=FQ","BEST_FPERIOD_OVERRIDE=FQ","FILING_STATUS=MR","SCALING_FORMAT=MLN","Sort=A","Dates=H","DateFormat=P","Fill=—","Direction=H","UseDPDF=Y")</f>
        <v>—</v>
      </c>
      <c r="S24" s="13">
        <f>_xll.BDH("NBIX US Equity","IS_MERGER_ACQ_EXPENSE_OPERATING","FQ4 2022","FQ4 2022","Currency=USD","Period=FQ","BEST_FPERIOD_OVERRIDE=FQ","FILING_STATUS=MR","SCALING_FORMAT=MLN","Sort=A","Dates=H","DateFormat=P","Fill=—","Direction=H","UseDPDF=Y")</f>
        <v>1.7</v>
      </c>
      <c r="T24" s="13" t="str">
        <f>_xll.BDH("NBIX US Equity","IS_MERGER_ACQ_EXPENSE_OPERATING","FQ1 2023","FQ1 2023","Currency=USD","Period=FQ","BEST_FPERIOD_OVERRIDE=FQ","FILING_STATUS=MR","SCALING_FORMAT=MLN","Sort=A","Dates=H","DateFormat=P","Fill=—","Direction=H","UseDPDF=Y")</f>
        <v>—</v>
      </c>
      <c r="U24" s="13" t="str">
        <f>_xll.BDH("NBIX US Equity","IS_MERGER_ACQ_EXPENSE_OPERATING","FQ2 2023","FQ2 2023","Currency=USD","Period=FQ","BEST_FPERIOD_OVERRIDE=FQ","FILING_STATUS=MR","SCALING_FORMAT=MLN","Sort=A","Dates=H","DateFormat=P","Fill=—","Direction=H","UseDPDF=Y")</f>
        <v>—</v>
      </c>
      <c r="V24" s="13">
        <f>_xll.BDH("NBIX US Equity","IS_MERGER_ACQ_EXPENSE_OPERATING","FQ3 2023","FQ3 2023","Currency=USD","Period=FQ","BEST_FPERIOD_OVERRIDE=FQ","FILING_STATUS=MR","SCALING_FORMAT=MLN","Sort=A","Dates=H","DateFormat=P","Fill=—","Direction=H","UseDPDF=Y")</f>
        <v>3.9</v>
      </c>
      <c r="W24" s="13" t="str">
        <f>_xll.BDH("NBIX US Equity","IS_MERGER_ACQ_EXPENSE_OPERATING","FQ4 2023","FQ4 2023","Currency=USD","Period=FQ","BEST_FPERIOD_OVERRIDE=FQ","FILING_STATUS=MR","SCALING_FORMAT=MLN","Sort=A","Dates=H","DateFormat=P","Fill=—","Direction=H","UseDPDF=Y")</f>
        <v>—</v>
      </c>
      <c r="X24" s="13" t="str">
        <f>_xll.BDH("NBIX US Equity","IS_MERGER_ACQ_EXPENSE_OPERATING","FQ1 2024","FQ1 2024","Currency=USD","Period=FQ","BEST_FPERIOD_OVERRIDE=FQ","FILING_STATUS=MR","SCALING_FORMAT=MLN","Sort=A","Dates=H","DateFormat=P","Fill=—","Direction=H","UseDPDF=Y")</f>
        <v>—</v>
      </c>
      <c r="Y24" s="13" t="str">
        <f>_xll.BDH("NBIX US Equity","IS_MERGER_ACQ_EXPENSE_OPERATING","FQ2 2024","FQ2 2024","Currency=USD","Period=FQ","BEST_FPERIOD_OVERRIDE=FQ","FILING_STATUS=MR","SCALING_FORMAT=MLN","Sort=A","Dates=H","DateFormat=P","Fill=—","Direction=H","UseDPDF=Y")</f>
        <v>—</v>
      </c>
      <c r="Z24" s="13" t="str">
        <f>_xll.BDH("NBIX US Equity","IS_MERGER_ACQ_EXPENSE_OPERATING","FQ3 2024","FQ3 2024","Currency=USD","Period=FQ","BEST_FPERIOD_OVERRIDE=FQ","FILING_STATUS=MR","SCALING_FORMAT=MLN","Sort=A","Dates=H","DateFormat=P","Fill=—","Direction=H","UseDPDF=Y")</f>
        <v>—</v>
      </c>
      <c r="AA24" s="13" t="str">
        <f>_xll.BDH("NBIX US Equity","IS_MERGER_ACQ_EXPENSE_OPERATING","FQ4 2024","FQ4 2024","Currency=USD","Period=FQ","BEST_FPERIOD_OVERRIDE=FQ","FILING_STATUS=MR","SCALING_FORMAT=MLN","Sort=A","Dates=H","DateFormat=P","Fill=—","Direction=H","UseDPDF=Y")</f>
        <v>—</v>
      </c>
    </row>
    <row r="25" spans="1:27" x14ac:dyDescent="0.25">
      <c r="A25" s="10" t="s">
        <v>592</v>
      </c>
      <c r="B25" s="10" t="s">
        <v>593</v>
      </c>
      <c r="C25" s="13" t="str">
        <f>_xll.BDH("NBIX US Equity","IS_IIA_OP","FQ4 2018","FQ4 2018","Currency=USD","Period=FQ","BEST_FPERIOD_OVERRIDE=FQ","FILING_STATUS=MR","SCALING_FORMAT=MLN","Sort=A","Dates=H","DateFormat=P","Fill=—","Direction=H","UseDPDF=Y")</f>
        <v>—</v>
      </c>
      <c r="D25" s="13" t="str">
        <f>_xll.BDH("NBIX US Equity","IS_IIA_OP","FQ1 2019","FQ1 2019","Currency=USD","Period=FQ","BEST_FPERIOD_OVERRIDE=FQ","FILING_STATUS=MR","SCALING_FORMAT=MLN","Sort=A","Dates=H","DateFormat=P","Fill=—","Direction=H","UseDPDF=Y")</f>
        <v>—</v>
      </c>
      <c r="E25" s="13" t="str">
        <f>_xll.BDH("NBIX US Equity","IS_IIA_OP","FQ2 2019","FQ2 2019","Currency=USD","Period=FQ","BEST_FPERIOD_OVERRIDE=FQ","FILING_STATUS=MR","SCALING_FORMAT=MLN","Sort=A","Dates=H","DateFormat=P","Fill=—","Direction=H","UseDPDF=Y")</f>
        <v>—</v>
      </c>
      <c r="F25" s="13" t="str">
        <f>_xll.BDH("NBIX US Equity","IS_IIA_OP","FQ3 2019","FQ3 2019","Currency=USD","Period=FQ","BEST_FPERIOD_OVERRIDE=FQ","FILING_STATUS=MR","SCALING_FORMAT=MLN","Sort=A","Dates=H","DateFormat=P","Fill=—","Direction=H","UseDPDF=Y")</f>
        <v>—</v>
      </c>
      <c r="G25" s="13" t="str">
        <f>_xll.BDH("NBIX US Equity","IS_IIA_OP","FQ4 2019","FQ4 2019","Currency=USD","Period=FQ","BEST_FPERIOD_OVERRIDE=FQ","FILING_STATUS=MR","SCALING_FORMAT=MLN","Sort=A","Dates=H","DateFormat=P","Fill=—","Direction=H","UseDPDF=Y")</f>
        <v>—</v>
      </c>
      <c r="H25" s="13" t="str">
        <f>_xll.BDH("NBIX US Equity","IS_IIA_OP","FQ1 2020","FQ1 2020","Currency=USD","Period=FQ","BEST_FPERIOD_OVERRIDE=FQ","FILING_STATUS=MR","SCALING_FORMAT=MLN","Sort=A","Dates=H","DateFormat=P","Fill=—","Direction=H","UseDPDF=Y")</f>
        <v>—</v>
      </c>
      <c r="I25" s="13" t="str">
        <f>_xll.BDH("NBIX US Equity","IS_IIA_OP","FQ2 2020","FQ2 2020","Currency=USD","Period=FQ","BEST_FPERIOD_OVERRIDE=FQ","FILING_STATUS=MR","SCALING_FORMAT=MLN","Sort=A","Dates=H","DateFormat=P","Fill=—","Direction=H","UseDPDF=Y")</f>
        <v>—</v>
      </c>
      <c r="J25" s="13" t="str">
        <f>_xll.BDH("NBIX US Equity","IS_IIA_OP","FQ3 2020","FQ3 2020","Currency=USD","Period=FQ","BEST_FPERIOD_OVERRIDE=FQ","FILING_STATUS=MR","SCALING_FORMAT=MLN","Sort=A","Dates=H","DateFormat=P","Fill=—","Direction=H","UseDPDF=Y")</f>
        <v>—</v>
      </c>
      <c r="K25" s="13" t="str">
        <f>_xll.BDH("NBIX US Equity","IS_IIA_OP","FQ4 2020","FQ4 2020","Currency=USD","Period=FQ","BEST_FPERIOD_OVERRIDE=FQ","FILING_STATUS=MR","SCALING_FORMAT=MLN","Sort=A","Dates=H","DateFormat=P","Fill=—","Direction=H","UseDPDF=Y")</f>
        <v>—</v>
      </c>
      <c r="L25" s="13" t="str">
        <f>_xll.BDH("NBIX US Equity","IS_IIA_OP","FQ1 2021","FQ1 2021","Currency=USD","Period=FQ","BEST_FPERIOD_OVERRIDE=FQ","FILING_STATUS=MR","SCALING_FORMAT=MLN","Sort=A","Dates=H","DateFormat=P","Fill=—","Direction=H","UseDPDF=Y")</f>
        <v>—</v>
      </c>
      <c r="M25" s="13" t="str">
        <f>_xll.BDH("NBIX US Equity","IS_IIA_OP","FQ2 2021","FQ2 2021","Currency=USD","Period=FQ","BEST_FPERIOD_OVERRIDE=FQ","FILING_STATUS=MR","SCALING_FORMAT=MLN","Sort=A","Dates=H","DateFormat=P","Fill=—","Direction=H","UseDPDF=Y")</f>
        <v>—</v>
      </c>
      <c r="N25" s="13" t="str">
        <f>_xll.BDH("NBIX US Equity","IS_IIA_OP","FQ3 2021","FQ3 2021","Currency=USD","Period=FQ","BEST_FPERIOD_OVERRIDE=FQ","FILING_STATUS=MR","SCALING_FORMAT=MLN","Sort=A","Dates=H","DateFormat=P","Fill=—","Direction=H","UseDPDF=Y")</f>
        <v>—</v>
      </c>
      <c r="O25" s="13" t="str">
        <f>_xll.BDH("NBIX US Equity","IS_IIA_OP","FQ4 2021","FQ4 2021","Currency=USD","Period=FQ","BEST_FPERIOD_OVERRIDE=FQ","FILING_STATUS=MR","SCALING_FORMAT=MLN","Sort=A","Dates=H","DateFormat=P","Fill=—","Direction=H","UseDPDF=Y")</f>
        <v>—</v>
      </c>
      <c r="P25" s="13" t="str">
        <f>_xll.BDH("NBIX US Equity","IS_IIA_OP","FQ1 2022","FQ1 2022","Currency=USD","Period=FQ","BEST_FPERIOD_OVERRIDE=FQ","FILING_STATUS=MR","SCALING_FORMAT=MLN","Sort=A","Dates=H","DateFormat=P","Fill=—","Direction=H","UseDPDF=Y")</f>
        <v>—</v>
      </c>
      <c r="Q25" s="13" t="str">
        <f>_xll.BDH("NBIX US Equity","IS_IIA_OP","FQ2 2022","FQ2 2022","Currency=USD","Period=FQ","BEST_FPERIOD_OVERRIDE=FQ","FILING_STATUS=MR","SCALING_FORMAT=MLN","Sort=A","Dates=H","DateFormat=P","Fill=—","Direction=H","UseDPDF=Y")</f>
        <v>—</v>
      </c>
      <c r="R25" s="13" t="str">
        <f>_xll.BDH("NBIX US Equity","IS_IIA_OP","FQ3 2022","FQ3 2022","Currency=USD","Period=FQ","BEST_FPERIOD_OVERRIDE=FQ","FILING_STATUS=MR","SCALING_FORMAT=MLN","Sort=A","Dates=H","DateFormat=P","Fill=—","Direction=H","UseDPDF=Y")</f>
        <v>—</v>
      </c>
      <c r="S25" s="13" t="str">
        <f>_xll.BDH("NBIX US Equity","IS_IIA_OP","FQ4 2022","FQ4 2022","Currency=USD","Period=FQ","BEST_FPERIOD_OVERRIDE=FQ","FILING_STATUS=MR","SCALING_FORMAT=MLN","Sort=A","Dates=H","DateFormat=P","Fill=—","Direction=H","UseDPDF=Y")</f>
        <v>—</v>
      </c>
      <c r="T25" s="13" t="str">
        <f>_xll.BDH("NBIX US Equity","IS_IIA_OP","FQ1 2023","FQ1 2023","Currency=USD","Period=FQ","BEST_FPERIOD_OVERRIDE=FQ","FILING_STATUS=MR","SCALING_FORMAT=MLN","Sort=A","Dates=H","DateFormat=P","Fill=—","Direction=H","UseDPDF=Y")</f>
        <v>—</v>
      </c>
      <c r="U25" s="13" t="str">
        <f>_xll.BDH("NBIX US Equity","IS_IIA_OP","FQ2 2023","FQ2 2023","Currency=USD","Period=FQ","BEST_FPERIOD_OVERRIDE=FQ","FILING_STATUS=MR","SCALING_FORMAT=MLN","Sort=A","Dates=H","DateFormat=P","Fill=—","Direction=H","UseDPDF=Y")</f>
        <v>—</v>
      </c>
      <c r="V25" s="13" t="str">
        <f>_xll.BDH("NBIX US Equity","IS_IIA_OP","FQ3 2023","FQ3 2023","Currency=USD","Period=FQ","BEST_FPERIOD_OVERRIDE=FQ","FILING_STATUS=MR","SCALING_FORMAT=MLN","Sort=A","Dates=H","DateFormat=P","Fill=—","Direction=H","UseDPDF=Y")</f>
        <v>—</v>
      </c>
      <c r="W25" s="13" t="str">
        <f>_xll.BDH("NBIX US Equity","IS_IIA_OP","FQ4 2023","FQ4 2023","Currency=USD","Period=FQ","BEST_FPERIOD_OVERRIDE=FQ","FILING_STATUS=MR","SCALING_FORMAT=MLN","Sort=A","Dates=H","DateFormat=P","Fill=—","Direction=H","UseDPDF=Y")</f>
        <v>—</v>
      </c>
      <c r="X25" s="13" t="str">
        <f>_xll.BDH("NBIX US Equity","IS_IIA_OP","FQ1 2024","FQ1 2024","Currency=USD","Period=FQ","BEST_FPERIOD_OVERRIDE=FQ","FILING_STATUS=MR","SCALING_FORMAT=MLN","Sort=A","Dates=H","DateFormat=P","Fill=—","Direction=H","UseDPDF=Y")</f>
        <v>—</v>
      </c>
      <c r="Y25" s="13">
        <f>_xll.BDH("NBIX US Equity","IS_IIA_OP","FQ2 2024","FQ2 2024","Currency=USD","Period=FQ","BEST_FPERIOD_OVERRIDE=FQ","FILING_STATUS=MR","SCALING_FORMAT=MLN","Sort=A","Dates=H","DateFormat=P","Fill=—","Direction=H","UseDPDF=Y")</f>
        <v>14</v>
      </c>
      <c r="Z25" s="13" t="str">
        <f>_xll.BDH("NBIX US Equity","IS_IIA_OP","FQ3 2024","FQ3 2024","Currency=USD","Period=FQ","BEST_FPERIOD_OVERRIDE=FQ","FILING_STATUS=MR","SCALING_FORMAT=MLN","Sort=A","Dates=H","DateFormat=P","Fill=—","Direction=H","UseDPDF=Y")</f>
        <v>—</v>
      </c>
      <c r="AA25" s="13" t="str">
        <f>_xll.BDH("NBIX US Equity","IS_IIA_OP","FQ4 2024","FQ4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0" t="s">
        <v>594</v>
      </c>
      <c r="B26" s="10" t="s">
        <v>595</v>
      </c>
      <c r="C26" s="13" t="str">
        <f>_xll.BDH("NBIX US Equity","IS_OTHER_ONE_TIME_ITEMS_OP","FQ4 2018","FQ4 2018","Currency=USD","Period=FQ","BEST_FPERIOD_OVERRIDE=FQ","FILING_STATUS=MR","SCALING_FORMAT=MLN","Sort=A","Dates=H","DateFormat=P","Fill=—","Direction=H","UseDPDF=Y")</f>
        <v>—</v>
      </c>
      <c r="D26" s="13" t="str">
        <f>_xll.BDH("NBIX US Equity","IS_OTHER_ONE_TIME_ITEMS_OP","FQ1 2019","FQ1 2019","Currency=USD","Period=FQ","BEST_FPERIOD_OVERRIDE=FQ","FILING_STATUS=MR","SCALING_FORMAT=MLN","Sort=A","Dates=H","DateFormat=P","Fill=—","Direction=H","UseDPDF=Y")</f>
        <v>—</v>
      </c>
      <c r="E26" s="13" t="str">
        <f>_xll.BDH("NBIX US Equity","IS_OTHER_ONE_TIME_ITEMS_OP","FQ2 2019","FQ2 2019","Currency=USD","Period=FQ","BEST_FPERIOD_OVERRIDE=FQ","FILING_STATUS=MR","SCALING_FORMAT=MLN","Sort=A","Dates=H","DateFormat=P","Fill=—","Direction=H","UseDPDF=Y")</f>
        <v>—</v>
      </c>
      <c r="F26" s="13" t="str">
        <f>_xll.BDH("NBIX US Equity","IS_OTHER_ONE_TIME_ITEMS_OP","FQ3 2019","FQ3 2019","Currency=USD","Period=FQ","BEST_FPERIOD_OVERRIDE=FQ","FILING_STATUS=MR","SCALING_FORMAT=MLN","Sort=A","Dates=H","DateFormat=P","Fill=—","Direction=H","UseDPDF=Y")</f>
        <v>—</v>
      </c>
      <c r="G26" s="13" t="str">
        <f>_xll.BDH("NBIX US Equity","IS_OTHER_ONE_TIME_ITEMS_OP","FQ4 2019","FQ4 2019","Currency=USD","Period=FQ","BEST_FPERIOD_OVERRIDE=FQ","FILING_STATUS=MR","SCALING_FORMAT=MLN","Sort=A","Dates=H","DateFormat=P","Fill=—","Direction=H","UseDPDF=Y")</f>
        <v>—</v>
      </c>
      <c r="H26" s="13" t="str">
        <f>_xll.BDH("NBIX US Equity","IS_OTHER_ONE_TIME_ITEMS_OP","FQ1 2020","FQ1 2020","Currency=USD","Period=FQ","BEST_FPERIOD_OVERRIDE=FQ","FILING_STATUS=MR","SCALING_FORMAT=MLN","Sort=A","Dates=H","DateFormat=P","Fill=—","Direction=H","UseDPDF=Y")</f>
        <v>—</v>
      </c>
      <c r="I26" s="13" t="str">
        <f>_xll.BDH("NBIX US Equity","IS_OTHER_ONE_TIME_ITEMS_OP","FQ2 2020","FQ2 2020","Currency=USD","Period=FQ","BEST_FPERIOD_OVERRIDE=FQ","FILING_STATUS=MR","SCALING_FORMAT=MLN","Sort=A","Dates=H","DateFormat=P","Fill=—","Direction=H","UseDPDF=Y")</f>
        <v>—</v>
      </c>
      <c r="J26" s="13" t="str">
        <f>_xll.BDH("NBIX US Equity","IS_OTHER_ONE_TIME_ITEMS_OP","FQ3 2020","FQ3 2020","Currency=USD","Period=FQ","BEST_FPERIOD_OVERRIDE=FQ","FILING_STATUS=MR","SCALING_FORMAT=MLN","Sort=A","Dates=H","DateFormat=P","Fill=—","Direction=H","UseDPDF=Y")</f>
        <v>—</v>
      </c>
      <c r="K26" s="13" t="str">
        <f>_xll.BDH("NBIX US Equity","IS_OTHER_ONE_TIME_ITEMS_OP","FQ4 2020","FQ4 2020","Currency=USD","Period=FQ","BEST_FPERIOD_OVERRIDE=FQ","FILING_STATUS=MR","SCALING_FORMAT=MLN","Sort=A","Dates=H","DateFormat=P","Fill=—","Direction=H","UseDPDF=Y")</f>
        <v>—</v>
      </c>
      <c r="L26" s="13" t="str">
        <f>_xll.BDH("NBIX US Equity","IS_OTHER_ONE_TIME_ITEMS_OP","FQ1 2021","FQ1 2021","Currency=USD","Period=FQ","BEST_FPERIOD_OVERRIDE=FQ","FILING_STATUS=MR","SCALING_FORMAT=MLN","Sort=A","Dates=H","DateFormat=P","Fill=—","Direction=H","UseDPDF=Y")</f>
        <v>—</v>
      </c>
      <c r="M26" s="13" t="str">
        <f>_xll.BDH("NBIX US Equity","IS_OTHER_ONE_TIME_ITEMS_OP","FQ2 2021","FQ2 2021","Currency=USD","Period=FQ","BEST_FPERIOD_OVERRIDE=FQ","FILING_STATUS=MR","SCALING_FORMAT=MLN","Sort=A","Dates=H","DateFormat=P","Fill=—","Direction=H","UseDPDF=Y")</f>
        <v>—</v>
      </c>
      <c r="N26" s="13" t="str">
        <f>_xll.BDH("NBIX US Equity","IS_OTHER_ONE_TIME_ITEMS_OP","FQ3 2021","FQ3 2021","Currency=USD","Period=FQ","BEST_FPERIOD_OVERRIDE=FQ","FILING_STATUS=MR","SCALING_FORMAT=MLN","Sort=A","Dates=H","DateFormat=P","Fill=—","Direction=H","UseDPDF=Y")</f>
        <v>—</v>
      </c>
      <c r="O26" s="13" t="str">
        <f>_xll.BDH("NBIX US Equity","IS_OTHER_ONE_TIME_ITEMS_OP","FQ4 2021","FQ4 2021","Currency=USD","Period=FQ","BEST_FPERIOD_OVERRIDE=FQ","FILING_STATUS=MR","SCALING_FORMAT=MLN","Sort=A","Dates=H","DateFormat=P","Fill=—","Direction=H","UseDPDF=Y")</f>
        <v>—</v>
      </c>
      <c r="P26" s="13" t="str">
        <f>_xll.BDH("NBIX US Equity","IS_OTHER_ONE_TIME_ITEMS_OP","FQ1 2022","FQ1 2022","Currency=USD","Period=FQ","BEST_FPERIOD_OVERRIDE=FQ","FILING_STATUS=MR","SCALING_FORMAT=MLN","Sort=A","Dates=H","DateFormat=P","Fill=—","Direction=H","UseDPDF=Y")</f>
        <v>—</v>
      </c>
      <c r="Q26" s="13" t="str">
        <f>_xll.BDH("NBIX US Equity","IS_OTHER_ONE_TIME_ITEMS_OP","FQ2 2022","FQ2 2022","Currency=USD","Period=FQ","BEST_FPERIOD_OVERRIDE=FQ","FILING_STATUS=MR","SCALING_FORMAT=MLN","Sort=A","Dates=H","DateFormat=P","Fill=—","Direction=H","UseDPDF=Y")</f>
        <v>—</v>
      </c>
      <c r="R26" s="13" t="str">
        <f>_xll.BDH("NBIX US Equity","IS_OTHER_ONE_TIME_ITEMS_OP","FQ3 2022","FQ3 2022","Currency=USD","Period=FQ","BEST_FPERIOD_OVERRIDE=FQ","FILING_STATUS=MR","SCALING_FORMAT=MLN","Sort=A","Dates=H","DateFormat=P","Fill=—","Direction=H","UseDPDF=Y")</f>
        <v>—</v>
      </c>
      <c r="S26" s="13" t="str">
        <f>_xll.BDH("NBIX US Equity","IS_OTHER_ONE_TIME_ITEMS_OP","FQ4 2022","FQ4 2022","Currency=USD","Period=FQ","BEST_FPERIOD_OVERRIDE=FQ","FILING_STATUS=MR","SCALING_FORMAT=MLN","Sort=A","Dates=H","DateFormat=P","Fill=—","Direction=H","UseDPDF=Y")</f>
        <v>—</v>
      </c>
      <c r="T26" s="13" t="str">
        <f>_xll.BDH("NBIX US Equity","IS_OTHER_ONE_TIME_ITEMS_OP","FQ1 2023","FQ1 2023","Currency=USD","Period=FQ","BEST_FPERIOD_OVERRIDE=FQ","FILING_STATUS=MR","SCALING_FORMAT=MLN","Sort=A","Dates=H","DateFormat=P","Fill=—","Direction=H","UseDPDF=Y")</f>
        <v>—</v>
      </c>
      <c r="U26" s="13" t="str">
        <f>_xll.BDH("NBIX US Equity","IS_OTHER_ONE_TIME_ITEMS_OP","FQ2 2023","FQ2 2023","Currency=USD","Period=FQ","BEST_FPERIOD_OVERRIDE=FQ","FILING_STATUS=MR","SCALING_FORMAT=MLN","Sort=A","Dates=H","DateFormat=P","Fill=—","Direction=H","UseDPDF=Y")</f>
        <v>—</v>
      </c>
      <c r="V26" s="13" t="str">
        <f>_xll.BDH("NBIX US Equity","IS_OTHER_ONE_TIME_ITEMS_OP","FQ3 2023","FQ3 2023","Currency=USD","Period=FQ","BEST_FPERIOD_OVERRIDE=FQ","FILING_STATUS=MR","SCALING_FORMAT=MLN","Sort=A","Dates=H","DateFormat=P","Fill=—","Direction=H","UseDPDF=Y")</f>
        <v>—</v>
      </c>
      <c r="W26" s="13" t="str">
        <f>_xll.BDH("NBIX US Equity","IS_OTHER_ONE_TIME_ITEMS_OP","FQ4 2023","FQ4 2023","Currency=USD","Period=FQ","BEST_FPERIOD_OVERRIDE=FQ","FILING_STATUS=MR","SCALING_FORMAT=MLN","Sort=A","Dates=H","DateFormat=P","Fill=—","Direction=H","UseDPDF=Y")</f>
        <v>—</v>
      </c>
      <c r="X26" s="13" t="str">
        <f>_xll.BDH("NBIX US Equity","IS_OTHER_ONE_TIME_ITEMS_OP","FQ1 2024","FQ1 2024","Currency=USD","Period=FQ","BEST_FPERIOD_OVERRIDE=FQ","FILING_STATUS=MR","SCALING_FORMAT=MLN","Sort=A","Dates=H","DateFormat=P","Fill=—","Direction=H","UseDPDF=Y")</f>
        <v>—</v>
      </c>
      <c r="Y26" s="13">
        <f>_xll.BDH("NBIX US Equity","IS_OTHER_ONE_TIME_ITEMS_OP","FQ2 2024","FQ2 2024","Currency=USD","Period=FQ","BEST_FPERIOD_OVERRIDE=FQ","FILING_STATUS=MR","SCALING_FORMAT=MLN","Sort=A","Dates=H","DateFormat=P","Fill=—","Direction=H","UseDPDF=Y")</f>
        <v>49.7</v>
      </c>
      <c r="Z26" s="13" t="str">
        <f>_xll.BDH("NBIX US Equity","IS_OTHER_ONE_TIME_ITEMS_OP","FQ3 2024","FQ3 2024","Currency=USD","Period=FQ","BEST_FPERIOD_OVERRIDE=FQ","FILING_STATUS=MR","SCALING_FORMAT=MLN","Sort=A","Dates=H","DateFormat=P","Fill=—","Direction=H","UseDPDF=Y")</f>
        <v>—</v>
      </c>
      <c r="AA26" s="13" t="str">
        <f>_xll.BDH("NBIX US Equity","IS_OTHER_ONE_TIME_ITEMS_OP","FQ4 2024","FQ4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6" t="s">
        <v>581</v>
      </c>
      <c r="B27" s="6" t="s">
        <v>99</v>
      </c>
      <c r="C27" s="19">
        <f>_xll.BDH("NBIX US Equity","IS_OPER_INC","FQ4 2018","FQ4 2018","Currency=USD","Period=FQ","BEST_FPERIOD_OVERRIDE=FQ","FILING_STATUS=MR","SCALING_FORMAT=MLN","FA_ADJUSTED=Adjusted","Sort=A","Dates=H","DateFormat=P","Fill=—","Direction=H","UseDPDF=Y")</f>
        <v>21.870999999999999</v>
      </c>
      <c r="D27" s="19">
        <f>_xll.BDH("NBIX US Equity","IS_OPER_INC","FQ1 2019","FQ1 2019","Currency=USD","Period=FQ","BEST_FPERIOD_OVERRIDE=FQ","FILING_STATUS=MR","SCALING_FORMAT=MLN","FA_ADJUSTED=Adjusted","Sort=A","Dates=H","DateFormat=P","Fill=—","Direction=H","UseDPDF=Y")</f>
        <v>12.084</v>
      </c>
      <c r="E27" s="19">
        <f>_xll.BDH("NBIX US Equity","IS_OPER_INC","FQ2 2019","FQ2 2019","Currency=USD","Period=FQ","BEST_FPERIOD_OVERRIDE=FQ","FILING_STATUS=MR","SCALING_FORMAT=MLN","FA_ADJUSTED=Adjusted","Sort=A","Dates=H","DateFormat=P","Fill=—","Direction=H","UseDPDF=Y")</f>
        <v>39.460999999999999</v>
      </c>
      <c r="F27" s="19">
        <f>_xll.BDH("NBIX US Equity","IS_OPER_INC","FQ3 2019","FQ3 2019","Currency=USD","Period=FQ","BEST_FPERIOD_OVERRIDE=FQ","FILING_STATUS=MR","SCALING_FORMAT=MLN","FA_ADJUSTED=Adjusted","Sort=A","Dates=H","DateFormat=P","Fill=—","Direction=H","UseDPDF=Y")</f>
        <v>90.097999999999999</v>
      </c>
      <c r="G27" s="19">
        <f>_xll.BDH("NBIX US Equity","IS_OPER_INC","FQ4 2019","FQ4 2019","Currency=USD","Period=FQ","BEST_FPERIOD_OVERRIDE=FQ","FILING_STATUS=MR","SCALING_FORMAT=MLN","FA_ADJUSTED=Adjusted","Sort=A","Dates=H","DateFormat=P","Fill=—","Direction=H","UseDPDF=Y")</f>
        <v>85</v>
      </c>
      <c r="H27" s="19">
        <f>_xll.BDH("NBIX US Equity","IS_OPER_INC","FQ1 2020","FQ1 2020","Currency=USD","Period=FQ","BEST_FPERIOD_OVERRIDE=FQ","FILING_STATUS=MR","SCALING_FORMAT=MLN","FA_ADJUSTED=Adjusted","Sort=A","Dates=H","DateFormat=P","Fill=—","Direction=H","UseDPDF=Y")</f>
        <v>58.9</v>
      </c>
      <c r="I27" s="19">
        <f>_xll.BDH("NBIX US Equity","IS_OPER_INC","FQ2 2020","FQ2 2020","Currency=USD","Period=FQ","BEST_FPERIOD_OVERRIDE=FQ","FILING_STATUS=MR","SCALING_FORMAT=MLN","FA_ADJUSTED=Adjusted","Sort=A","Dates=H","DateFormat=P","Fill=—","Direction=H","UseDPDF=Y")</f>
        <v>122.6</v>
      </c>
      <c r="J27" s="19">
        <f>_xll.BDH("NBIX US Equity","IS_OPER_INC","FQ3 2020","FQ3 2020","Currency=USD","Period=FQ","BEST_FPERIOD_OVERRIDE=FQ","FILING_STATUS=MR","SCALING_FORMAT=MLN","FA_ADJUSTED=Adjusted","Sort=A","Dates=H","DateFormat=P","Fill=—","Direction=H","UseDPDF=Y")</f>
        <v>74.2</v>
      </c>
      <c r="K27" s="19">
        <f>_xll.BDH("NBIX US Equity","IS_OPER_INC","FQ4 2020","FQ4 2020","Currency=USD","Period=FQ","BEST_FPERIOD_OVERRIDE=FQ","FILING_STATUS=MR","SCALING_FORMAT=MLN","FA_ADJUSTED=Adjusted","Sort=A","Dates=H","DateFormat=P","Fill=—","Direction=H","UseDPDF=Y")</f>
        <v>71.8</v>
      </c>
      <c r="L27" s="19">
        <f>_xll.BDH("NBIX US Equity","IS_OPER_INC","FQ1 2021","FQ1 2021","Currency=USD","Period=FQ","BEST_FPERIOD_OVERRIDE=FQ","FILING_STATUS=MR","SCALING_FORMAT=MLN","FA_ADJUSTED=Adjusted","Sort=A","Dates=H","DateFormat=P","Fill=—","Direction=H","UseDPDF=Y")</f>
        <v>31.5</v>
      </c>
      <c r="M27" s="19">
        <f>_xll.BDH("NBIX US Equity","IS_OPER_INC","FQ2 2021","FQ2 2021","Currency=USD","Period=FQ","BEST_FPERIOD_OVERRIDE=FQ","FILING_STATUS=MR","SCALING_FORMAT=MLN","FA_ADJUSTED=Adjusted","Sort=A","Dates=H","DateFormat=P","Fill=—","Direction=H","UseDPDF=Y")</f>
        <v>67.8</v>
      </c>
      <c r="N27" s="19">
        <f>_xll.BDH("NBIX US Equity","IS_OPER_INC","FQ3 2021","FQ3 2021","Currency=USD","Period=FQ","BEST_FPERIOD_OVERRIDE=FQ","FILING_STATUS=MR","SCALING_FORMAT=MLN","FA_ADJUSTED=Adjusted","Sort=A","Dates=H","DateFormat=P","Fill=—","Direction=H","UseDPDF=Y")</f>
        <v>44.5</v>
      </c>
      <c r="O27" s="19">
        <f>_xll.BDH("NBIX US Equity","IS_OPER_INC","FQ4 2021","FQ4 2021","Currency=USD","Period=FQ","BEST_FPERIOD_OVERRIDE=FQ","FILING_STATUS=MR","SCALING_FORMAT=MLN","FA_ADJUSTED=Adjusted","Sort=A","Dates=H","DateFormat=P","Fill=—","Direction=H","UseDPDF=Y")</f>
        <v>64</v>
      </c>
      <c r="P27" s="19">
        <f>_xll.BDH("NBIX US Equity","IS_OPER_INC","FQ1 2022","FQ1 2022","Currency=USD","Period=FQ","BEST_FPERIOD_OVERRIDE=FQ","FILING_STATUS=MR","SCALING_FORMAT=MLN","FA_ADJUSTED=Adjusted","Sort=A","Dates=H","DateFormat=P","Fill=—","Direction=H","UseDPDF=Y")</f>
        <v>3.1</v>
      </c>
      <c r="Q27" s="19">
        <f>_xll.BDH("NBIX US Equity","IS_OPER_INC","FQ2 2022","FQ2 2022","Currency=USD","Period=FQ","BEST_FPERIOD_OVERRIDE=FQ","FILING_STATUS=MR","SCALING_FORMAT=MLN","FA_ADJUSTED=Adjusted","Sort=A","Dates=H","DateFormat=P","Fill=—","Direction=H","UseDPDF=Y")</f>
        <v>54.7</v>
      </c>
      <c r="R27" s="19">
        <f>_xll.BDH("NBIX US Equity","IS_OPER_INC","FQ3 2022","FQ3 2022","Currency=USD","Period=FQ","BEST_FPERIOD_OVERRIDE=FQ","FILING_STATUS=MR","SCALING_FORMAT=MLN","FA_ADJUSTED=Adjusted","Sort=A","Dates=H","DateFormat=P","Fill=—","Direction=H","UseDPDF=Y")</f>
        <v>87.8</v>
      </c>
      <c r="S27" s="19">
        <f>_xll.BDH("NBIX US Equity","IS_OPER_INC","FQ4 2022","FQ4 2022","Currency=USD","Period=FQ","BEST_FPERIOD_OVERRIDE=FQ","FILING_STATUS=MR","SCALING_FORMAT=MLN","FA_ADJUSTED=Adjusted","Sort=A","Dates=H","DateFormat=P","Fill=—","Direction=H","UseDPDF=Y")</f>
        <v>105.1</v>
      </c>
      <c r="T27" s="19">
        <f>_xll.BDH("NBIX US Equity","IS_OPER_INC","FQ1 2023","FQ1 2023","Currency=USD","Period=FQ","BEST_FPERIOD_OVERRIDE=FQ","FILING_STATUS=MR","SCALING_FORMAT=MLN","FA_ADJUSTED=Adjusted","Sort=A","Dates=H","DateFormat=P","Fill=—","Direction=H","UseDPDF=Y")</f>
        <v>29.7</v>
      </c>
      <c r="U27" s="19">
        <f>_xll.BDH("NBIX US Equity","IS_OPER_INC","FQ2 2023","FQ2 2023","Currency=USD","Period=FQ","BEST_FPERIOD_OVERRIDE=FQ","FILING_STATUS=MR","SCALING_FORMAT=MLN","FA_ADJUSTED=Adjusted","Sort=A","Dates=H","DateFormat=P","Fill=—","Direction=H","UseDPDF=Y")</f>
        <v>73.599999999999994</v>
      </c>
      <c r="V27" s="19">
        <f>_xll.BDH("NBIX US Equity","IS_OPER_INC","FQ3 2023","FQ3 2023","Currency=USD","Period=FQ","BEST_FPERIOD_OVERRIDE=FQ","FILING_STATUS=MR","SCALING_FORMAT=MLN","FA_ADJUSTED=Adjusted","Sort=A","Dates=H","DateFormat=P","Fill=—","Direction=H","UseDPDF=Y")</f>
        <v>145.1</v>
      </c>
      <c r="W27" s="19">
        <f>_xll.BDH("NBIX US Equity","IS_OPER_INC","FQ4 2023","FQ4 2023","Currency=USD","Period=FQ","BEST_FPERIOD_OVERRIDE=FQ","FILING_STATUS=MR","SCALING_FORMAT=MLN","FA_ADJUSTED=Adjusted","Sort=A","Dates=H","DateFormat=P","Fill=—","Direction=H","UseDPDF=Y")</f>
        <v>150.30000000000001</v>
      </c>
      <c r="X27" s="19">
        <f>_xll.BDH("NBIX US Equity","IS_OPER_INC","FQ1 2024","FQ1 2024","Currency=USD","Period=FQ","BEST_FPERIOD_OVERRIDE=FQ","FILING_STATUS=MR","SCALING_FORMAT=MLN","FA_ADJUSTED=Adjusted","Sort=A","Dates=H","DateFormat=P","Fill=—","Direction=H","UseDPDF=Y")</f>
        <v>105.3</v>
      </c>
      <c r="Y27" s="19">
        <f>_xll.BDH("NBIX US Equity","IS_OPER_INC","FQ2 2024","FQ2 2024","Currency=USD","Period=FQ","BEST_FPERIOD_OVERRIDE=FQ","FILING_STATUS=MR","SCALING_FORMAT=MLN","FA_ADJUSTED=Adjusted","Sort=A","Dates=H","DateFormat=P","Fill=—","Direction=H","UseDPDF=Y")</f>
        <v>211.6</v>
      </c>
      <c r="Z27" s="19">
        <f>_xll.BDH("NBIX US Equity","IS_OPER_INC","FQ3 2024","FQ3 2024","Currency=USD","Period=FQ","BEST_FPERIOD_OVERRIDE=FQ","FILING_STATUS=MR","SCALING_FORMAT=MLN","FA_ADJUSTED=Adjusted","Sort=A","Dates=H","DateFormat=P","Fill=—","Direction=H","UseDPDF=Y")</f>
        <v>184.8</v>
      </c>
      <c r="AA27" s="19">
        <f>_xll.BDH("NBIX US Equity","IS_OPER_INC","FQ4 2024","FQ4 2024","Currency=USD","Period=FQ","BEST_FPERIOD_OVERRIDE=FQ","FILING_STATUS=MR","SCALING_FORMAT=MLN","FA_ADJUSTED=Adjusted","Sort=A","Dates=H","DateFormat=P","Fill=—","Direction=H","UseDPDF=Y")</f>
        <v>145</v>
      </c>
    </row>
    <row r="28" spans="1:27" x14ac:dyDescent="0.25">
      <c r="A28" s="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6" t="s">
        <v>596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25">
      <c r="A30" s="6" t="s">
        <v>357</v>
      </c>
      <c r="B30" s="6" t="s">
        <v>158</v>
      </c>
      <c r="C30" s="19">
        <f>_xll.BDH("NBIX US Equity","PRETAX_INC","FQ4 2018","FQ4 2018","Currency=USD","Period=FQ","BEST_FPERIOD_OVERRIDE=FQ","FILING_STATUS=MR","SCALING_FORMAT=MLN","FA_ADJUSTED=GAAP","Sort=A","Dates=H","DateFormat=P","Fill=—","Direction=H","UseDPDF=Y")</f>
        <v>18.808</v>
      </c>
      <c r="D30" s="19">
        <f>_xll.BDH("NBIX US Equity","PRETAX_INC","FQ1 2019","FQ1 2019","Currency=USD","Period=FQ","BEST_FPERIOD_OVERRIDE=FQ","FILING_STATUS=MR","SCALING_FORMAT=MLN","FA_ADJUSTED=GAAP","Sort=A","Dates=H","DateFormat=P","Fill=—","Direction=H","UseDPDF=Y")</f>
        <v>-102.59399999999999</v>
      </c>
      <c r="E30" s="19">
        <f>_xll.BDH("NBIX US Equity","PRETAX_INC","FQ2 2019","FQ2 2019","Currency=USD","Period=FQ","BEST_FPERIOD_OVERRIDE=FQ","FILING_STATUS=MR","SCALING_FORMAT=MLN","FA_ADJUSTED=GAAP","Sort=A","Dates=H","DateFormat=P","Fill=—","Direction=H","UseDPDF=Y")</f>
        <v>52.091000000000001</v>
      </c>
      <c r="F30" s="19">
        <f>_xll.BDH("NBIX US Equity","PRETAX_INC","FQ3 2019","FQ3 2019","Currency=USD","Period=FQ","BEST_FPERIOD_OVERRIDE=FQ","FILING_STATUS=MR","SCALING_FORMAT=MLN","FA_ADJUSTED=GAAP","Sort=A","Dates=H","DateFormat=P","Fill=—","Direction=H","UseDPDF=Y")</f>
        <v>58.406999999999996</v>
      </c>
      <c r="G30" s="19">
        <f>_xll.BDH("NBIX US Equity","PRETAX_INC","FQ4 2019","FQ4 2019","Currency=USD","Period=FQ","BEST_FPERIOD_OVERRIDE=FQ","FILING_STATUS=MR","SCALING_FORMAT=MLN","FA_ADJUSTED=GAAP","Sort=A","Dates=H","DateFormat=P","Fill=—","Direction=H","UseDPDF=Y")</f>
        <v>38.6</v>
      </c>
      <c r="H30" s="19">
        <f>_xll.BDH("NBIX US Equity","PRETAX_INC","FQ1 2020","FQ1 2020","Currency=USD","Period=FQ","BEST_FPERIOD_OVERRIDE=FQ","FILING_STATUS=MR","SCALING_FORMAT=MLN","FA_ADJUSTED=GAAP","Sort=A","Dates=H","DateFormat=P","Fill=—","Direction=H","UseDPDF=Y")</f>
        <v>38.9</v>
      </c>
      <c r="I30" s="19">
        <f>_xll.BDH("NBIX US Equity","PRETAX_INC","FQ2 2020","FQ2 2020","Currency=USD","Period=FQ","BEST_FPERIOD_OVERRIDE=FQ","FILING_STATUS=MR","SCALING_FORMAT=MLN","FA_ADJUSTED=GAAP","Sort=A","Dates=H","DateFormat=P","Fill=—","Direction=H","UseDPDF=Y")</f>
        <v>83.2</v>
      </c>
      <c r="J30" s="19">
        <f>_xll.BDH("NBIX US Equity","PRETAX_INC","FQ3 2020","FQ3 2020","Currency=USD","Period=FQ","BEST_FPERIOD_OVERRIDE=FQ","FILING_STATUS=MR","SCALING_FORMAT=MLN","FA_ADJUSTED=GAAP","Sort=A","Dates=H","DateFormat=P","Fill=—","Direction=H","UseDPDF=Y")</f>
        <v>-57.1</v>
      </c>
      <c r="K30" s="19">
        <f>_xll.BDH("NBIX US Equity","PRETAX_INC","FQ4 2020","FQ4 2020","Currency=USD","Period=FQ","BEST_FPERIOD_OVERRIDE=FQ","FILING_STATUS=MR","SCALING_FORMAT=MLN","FA_ADJUSTED=GAAP","Sort=A","Dates=H","DateFormat=P","Fill=—","Direction=H","UseDPDF=Y")</f>
        <v>41.7</v>
      </c>
      <c r="L30" s="19">
        <f>_xll.BDH("NBIX US Equity","PRETAX_INC","FQ1 2021","FQ1 2021","Currency=USD","Period=FQ","BEST_FPERIOD_OVERRIDE=FQ","FILING_STATUS=MR","SCALING_FORMAT=MLN","FA_ADJUSTED=GAAP","Sort=A","Dates=H","DateFormat=P","Fill=—","Direction=H","UseDPDF=Y")</f>
        <v>27.2</v>
      </c>
      <c r="M30" s="19">
        <f>_xll.BDH("NBIX US Equity","PRETAX_INC","FQ2 2021","FQ2 2021","Currency=USD","Period=FQ","BEST_FPERIOD_OVERRIDE=FQ","FILING_STATUS=MR","SCALING_FORMAT=MLN","FA_ADJUSTED=GAAP","Sort=A","Dates=H","DateFormat=P","Fill=—","Direction=H","UseDPDF=Y")</f>
        <v>57.5</v>
      </c>
      <c r="N30" s="19">
        <f>_xll.BDH("NBIX US Equity","PRETAX_INC","FQ3 2021","FQ3 2021","Currency=USD","Period=FQ","BEST_FPERIOD_OVERRIDE=FQ","FILING_STATUS=MR","SCALING_FORMAT=MLN","FA_ADJUSTED=GAAP","Sort=A","Dates=H","DateFormat=P","Fill=—","Direction=H","UseDPDF=Y")</f>
        <v>30.5</v>
      </c>
      <c r="O30" s="19">
        <f>_xll.BDH("NBIX US Equity","PRETAX_INC","FQ4 2021","FQ4 2021","Currency=USD","Period=FQ","BEST_FPERIOD_OVERRIDE=FQ","FILING_STATUS=MR","SCALING_FORMAT=MLN","FA_ADJUSTED=GAAP","Sort=A","Dates=H","DateFormat=P","Fill=—","Direction=H","UseDPDF=Y")</f>
        <v>-13.8</v>
      </c>
      <c r="P30" s="19">
        <f>_xll.BDH("NBIX US Equity","PRETAX_INC","FQ1 2022","FQ1 2022","Currency=USD","Period=FQ","BEST_FPERIOD_OVERRIDE=FQ","FILING_STATUS=MR","SCALING_FORMAT=MLN","FA_ADJUSTED=GAAP","Sort=A","Dates=H","DateFormat=P","Fill=—","Direction=H","UseDPDF=Y")</f>
        <v>21.4</v>
      </c>
      <c r="Q30" s="19">
        <f>_xll.BDH("NBIX US Equity","PRETAX_INC","FQ2 2022","FQ2 2022","Currency=USD","Period=FQ","BEST_FPERIOD_OVERRIDE=FQ","FILING_STATUS=MR","SCALING_FORMAT=MLN","FA_ADJUSTED=GAAP","Sort=A","Dates=H","DateFormat=P","Fill=—","Direction=H","UseDPDF=Y")</f>
        <v>-23.3</v>
      </c>
      <c r="R30" s="19">
        <f>_xll.BDH("NBIX US Equity","PRETAX_INC","FQ3 2022","FQ3 2022","Currency=USD","Period=FQ","BEST_FPERIOD_OVERRIDE=FQ","FILING_STATUS=MR","SCALING_FORMAT=MLN","FA_ADJUSTED=GAAP","Sort=A","Dates=H","DateFormat=P","Fill=—","Direction=H","UseDPDF=Y")</f>
        <v>97.9</v>
      </c>
      <c r="S30" s="19">
        <f>_xll.BDH("NBIX US Equity","PRETAX_INC","FQ4 2022","FQ4 2022","Currency=USD","Period=FQ","BEST_FPERIOD_OVERRIDE=FQ","FILING_STATUS=MR","SCALING_FORMAT=MLN","FA_ADJUSTED=GAAP","Sort=A","Dates=H","DateFormat=P","Fill=—","Direction=H","UseDPDF=Y")</f>
        <v>117.9</v>
      </c>
      <c r="T30" s="19">
        <f>_xll.BDH("NBIX US Equity","PRETAX_INC","FQ1 2023","FQ1 2023","Currency=USD","Period=FQ","BEST_FPERIOD_OVERRIDE=FQ","FILING_STATUS=MR","SCALING_FORMAT=MLN","FA_ADJUSTED=GAAP","Sort=A","Dates=H","DateFormat=P","Fill=—","Direction=H","UseDPDF=Y")</f>
        <v>-103.3</v>
      </c>
      <c r="U30" s="19">
        <f>_xll.BDH("NBIX US Equity","PRETAX_INC","FQ2 2023","FQ2 2023","Currency=USD","Period=FQ","BEST_FPERIOD_OVERRIDE=FQ","FILING_STATUS=MR","SCALING_FORMAT=MLN","FA_ADJUSTED=GAAP","Sort=A","Dates=H","DateFormat=P","Fill=—","Direction=H","UseDPDF=Y")</f>
        <v>121.6</v>
      </c>
      <c r="V30" s="19">
        <f>_xll.BDH("NBIX US Equity","PRETAX_INC","FQ3 2023","FQ3 2023","Currency=USD","Period=FQ","BEST_FPERIOD_OVERRIDE=FQ","FILING_STATUS=MR","SCALING_FORMAT=MLN","FA_ADJUSTED=GAAP","Sort=A","Dates=H","DateFormat=P","Fill=—","Direction=H","UseDPDF=Y")</f>
        <v>115.6</v>
      </c>
      <c r="W30" s="19">
        <f>_xll.BDH("NBIX US Equity","PRETAX_INC","FQ4 2023","FQ4 2023","Currency=USD","Period=FQ","BEST_FPERIOD_OVERRIDE=FQ","FILING_STATUS=MR","SCALING_FORMAT=MLN","FA_ADJUSTED=GAAP","Sort=A","Dates=H","DateFormat=P","Fill=—","Direction=H","UseDPDF=Y")</f>
        <v>198.2</v>
      </c>
      <c r="X30" s="19">
        <f>_xll.BDH("NBIX US Equity","PRETAX_INC","FQ1 2024","FQ1 2024","Currency=USD","Period=FQ","BEST_FPERIOD_OVERRIDE=FQ","FILING_STATUS=MR","SCALING_FORMAT=MLN","FA_ADJUSTED=GAAP","Sort=A","Dates=H","DateFormat=P","Fill=—","Direction=H","UseDPDF=Y")</f>
        <v>34.5</v>
      </c>
      <c r="Y30" s="19">
        <f>_xll.BDH("NBIX US Equity","PRETAX_INC","FQ2 2024","FQ2 2024","Currency=USD","Period=FQ","BEST_FPERIOD_OVERRIDE=FQ","FILING_STATUS=MR","SCALING_FORMAT=MLN","FA_ADJUSTED=GAAP","Sort=A","Dates=H","DateFormat=P","Fill=—","Direction=H","UseDPDF=Y")</f>
        <v>98.6</v>
      </c>
      <c r="Z30" s="19">
        <f>_xll.BDH("NBIX US Equity","PRETAX_INC","FQ3 2024","FQ3 2024","Currency=USD","Period=FQ","BEST_FPERIOD_OVERRIDE=FQ","FILING_STATUS=MR","SCALING_FORMAT=MLN","FA_ADJUSTED=GAAP","Sort=A","Dates=H","DateFormat=P","Fill=—","Direction=H","UseDPDF=Y")</f>
        <v>190.3</v>
      </c>
      <c r="AA30" s="19">
        <f>_xll.BDH("NBIX US Equity","PRETAX_INC","FQ4 2024","FQ4 2024","Currency=USD","Period=FQ","BEST_FPERIOD_OVERRIDE=FQ","FILING_STATUS=MR","SCALING_FORMAT=MLN","FA_ADJUSTED=GAAP","Sort=A","Dates=H","DateFormat=P","Fill=—","Direction=H","UseDPDF=Y")</f>
        <v>162.6</v>
      </c>
    </row>
    <row r="31" spans="1:27" x14ac:dyDescent="0.25">
      <c r="A31" s="10" t="s">
        <v>588</v>
      </c>
      <c r="B31" s="10" t="s">
        <v>346</v>
      </c>
      <c r="C31" s="13" t="str">
        <f>_xll.BDH("NBIX US Equity","IS_ACQUIRED_PROCESS_RD","FQ4 2018","FQ4 2018","Currency=USD","Period=FQ","BEST_FPERIOD_OVERRIDE=FQ","FILING_STATUS=MR","SCALING_FORMAT=MLN","Sort=A","Dates=H","DateFormat=P","Fill=—","Direction=H","UseDPDF=Y")</f>
        <v>—</v>
      </c>
      <c r="D31" s="13">
        <f>_xll.BDH("NBIX US Equity","IS_ACQUIRED_PROCESS_RD","FQ1 2019","FQ1 2019","Currency=USD","Period=FQ","BEST_FPERIOD_OVERRIDE=FQ","FILING_STATUS=MR","SCALING_FORMAT=MLN","Sort=A","Dates=H","DateFormat=P","Fill=—","Direction=H","UseDPDF=Y")</f>
        <v>113.081</v>
      </c>
      <c r="E31" s="13">
        <f>_xll.BDH("NBIX US Equity","IS_ACQUIRED_PROCESS_RD","FQ2 2019","FQ2 2019","Currency=USD","Period=FQ","BEST_FPERIOD_OVERRIDE=FQ","FILING_STATUS=MR","SCALING_FORMAT=MLN","Sort=A","Dates=H","DateFormat=P","Fill=—","Direction=H","UseDPDF=Y")</f>
        <v>5</v>
      </c>
      <c r="F31" s="13" t="str">
        <f>_xll.BDH("NBIX US Equity","IS_ACQUIRED_PROCESS_RD","FQ3 2019","FQ3 2019","Currency=USD","Period=FQ","BEST_FPERIOD_OVERRIDE=FQ","FILING_STATUS=MR","SCALING_FORMAT=MLN","Sort=A","Dates=H","DateFormat=P","Fill=—","Direction=H","UseDPDF=Y")</f>
        <v>—</v>
      </c>
      <c r="G31" s="13">
        <f>_xll.BDH("NBIX US Equity","IS_ACQUIRED_PROCESS_RD","FQ4 2019","FQ4 2019","Currency=USD","Period=FQ","BEST_FPERIOD_OVERRIDE=FQ","FILING_STATUS=MR","SCALING_FORMAT=MLN","Sort=A","Dates=H","DateFormat=P","Fill=—","Direction=H","UseDPDF=Y")</f>
        <v>36.200000000000003</v>
      </c>
      <c r="H31" s="13" t="str">
        <f>_xll.BDH("NBIX US Equity","IS_ACQUIRED_PROCESS_RD","FQ1 2020","FQ1 2020","Currency=USD","Period=FQ","BEST_FPERIOD_OVERRIDE=FQ","FILING_STATUS=MR","SCALING_FORMAT=MLN","Sort=A","Dates=H","DateFormat=P","Fill=—","Direction=H","UseDPDF=Y")</f>
        <v>—</v>
      </c>
      <c r="I31" s="13">
        <f>_xll.BDH("NBIX US Equity","IS_ACQUIRED_PROCESS_RD","FQ2 2020","FQ2 2020","Currency=USD","Period=FQ","BEST_FPERIOD_OVERRIDE=FQ","FILING_STATUS=MR","SCALING_FORMAT=MLN","Sort=A","Dates=H","DateFormat=P","Fill=—","Direction=H","UseDPDF=Y")</f>
        <v>46</v>
      </c>
      <c r="J31" s="13">
        <f>_xll.BDH("NBIX US Equity","IS_ACQUIRED_PROCESS_RD","FQ3 2020","FQ3 2020","Currency=USD","Period=FQ","BEST_FPERIOD_OVERRIDE=FQ","FILING_STATUS=MR","SCALING_FORMAT=MLN","Sort=A","Dates=H","DateFormat=P","Fill=—","Direction=H","UseDPDF=Y")</f>
        <v>118.5</v>
      </c>
      <c r="K31" s="13" t="str">
        <f>_xll.BDH("NBIX US Equity","IS_ACQUIRED_PROCESS_RD","FQ4 2020","FQ4 2020","Currency=USD","Period=FQ","BEST_FPERIOD_OVERRIDE=FQ","FILING_STATUS=MR","SCALING_FORMAT=MLN","Sort=A","Dates=H","DateFormat=P","Fill=—","Direction=H","UseDPDF=Y")</f>
        <v>—</v>
      </c>
      <c r="L31" s="13" t="str">
        <f>_xll.BDH("NBIX US Equity","IS_ACQUIRED_PROCESS_RD","FQ1 2021","FQ1 2021","Currency=USD","Period=FQ","BEST_FPERIOD_OVERRIDE=FQ","FILING_STATUS=MR","SCALING_FORMAT=MLN","Sort=A","Dates=H","DateFormat=P","Fill=—","Direction=H","UseDPDF=Y")</f>
        <v>—</v>
      </c>
      <c r="M31" s="13">
        <f>_xll.BDH("NBIX US Equity","IS_ACQUIRED_PROCESS_RD","FQ2 2021","FQ2 2021","Currency=USD","Period=FQ","BEST_FPERIOD_OVERRIDE=FQ","FILING_STATUS=MR","SCALING_FORMAT=MLN","Sort=A","Dates=H","DateFormat=P","Fill=—","Direction=H","UseDPDF=Y")</f>
        <v>5</v>
      </c>
      <c r="N31" s="13" t="str">
        <f>_xll.BDH("NBIX US Equity","IS_ACQUIRED_PROCESS_RD","FQ3 2021","FQ3 2021","Currency=USD","Period=FQ","BEST_FPERIOD_OVERRIDE=FQ","FILING_STATUS=MR","SCALING_FORMAT=MLN","Sort=A","Dates=H","DateFormat=P","Fill=—","Direction=H","UseDPDF=Y")</f>
        <v>—</v>
      </c>
      <c r="O31" s="13">
        <f>_xll.BDH("NBIX US Equity","IS_ACQUIRED_PROCESS_RD","FQ4 2021","FQ4 2021","Currency=USD","Period=FQ","BEST_FPERIOD_OVERRIDE=FQ","FILING_STATUS=MR","SCALING_FORMAT=MLN","Sort=A","Dates=H","DateFormat=P","Fill=—","Direction=H","UseDPDF=Y")</f>
        <v>100.3</v>
      </c>
      <c r="P31" s="13" t="str">
        <f>_xll.BDH("NBIX US Equity","IS_ACQUIRED_PROCESS_RD","FQ1 2022","FQ1 2022","Currency=USD","Period=FQ","BEST_FPERIOD_OVERRIDE=FQ","FILING_STATUS=MR","SCALING_FORMAT=MLN","Sort=A","Dates=H","DateFormat=P","Fill=—","Direction=H","UseDPDF=Y")</f>
        <v>—</v>
      </c>
      <c r="Q31" s="13" t="str">
        <f>_xll.BDH("NBIX US Equity","IS_ACQUIRED_PROCESS_RD","FQ2 2022","FQ2 2022","Currency=USD","Period=FQ","BEST_FPERIOD_OVERRIDE=FQ","FILING_STATUS=MR","SCALING_FORMAT=MLN","Sort=A","Dates=H","DateFormat=P","Fill=—","Direction=H","UseDPDF=Y")</f>
        <v>—</v>
      </c>
      <c r="R31" s="13" t="str">
        <f>_xll.BDH("NBIX US Equity","IS_ACQUIRED_PROCESS_RD","FQ3 2022","FQ3 2022","Currency=USD","Period=FQ","BEST_FPERIOD_OVERRIDE=FQ","FILING_STATUS=MR","SCALING_FORMAT=MLN","Sort=A","Dates=H","DateFormat=P","Fill=—","Direction=H","UseDPDF=Y")</f>
        <v>—</v>
      </c>
      <c r="S31" s="13" t="str">
        <f>_xll.BDH("NBIX US Equity","IS_ACQUIRED_PROCESS_RD","FQ4 2022","FQ4 2022","Currency=USD","Period=FQ","BEST_FPERIOD_OVERRIDE=FQ","FILING_STATUS=MR","SCALING_FORMAT=MLN","Sort=A","Dates=H","DateFormat=P","Fill=—","Direction=H","UseDPDF=Y")</f>
        <v>—</v>
      </c>
      <c r="T31" s="13">
        <f>_xll.BDH("NBIX US Equity","IS_ACQUIRED_PROCESS_RD","FQ1 2023","FQ1 2023","Currency=USD","Period=FQ","BEST_FPERIOD_OVERRIDE=FQ","FILING_STATUS=MR","SCALING_FORMAT=MLN","Sort=A","Dates=H","DateFormat=P","Fill=—","Direction=H","UseDPDF=Y")</f>
        <v>143.9</v>
      </c>
      <c r="U31" s="13" t="str">
        <f>_xll.BDH("NBIX US Equity","IS_ACQUIRED_PROCESS_RD","FQ2 2023","FQ2 2023","Currency=USD","Period=FQ","BEST_FPERIOD_OVERRIDE=FQ","FILING_STATUS=MR","SCALING_FORMAT=MLN","Sort=A","Dates=H","DateFormat=P","Fill=—","Direction=H","UseDPDF=Y")</f>
        <v>—</v>
      </c>
      <c r="V31" s="13" t="str">
        <f>_xll.BDH("NBIX US Equity","IS_ACQUIRED_PROCESS_RD","FQ3 2023","FQ3 2023","Currency=USD","Period=FQ","BEST_FPERIOD_OVERRIDE=FQ","FILING_STATUS=MR","SCALING_FORMAT=MLN","Sort=A","Dates=H","DateFormat=P","Fill=—","Direction=H","UseDPDF=Y")</f>
        <v>—</v>
      </c>
      <c r="W31" s="13" t="str">
        <f>_xll.BDH("NBIX US Equity","IS_ACQUIRED_PROCESS_RD","FQ4 2023","FQ4 2023","Currency=USD","Period=FQ","BEST_FPERIOD_OVERRIDE=FQ","FILING_STATUS=MR","SCALING_FORMAT=MLN","Sort=A","Dates=H","DateFormat=P","Fill=—","Direction=H","UseDPDF=Y")</f>
        <v>—</v>
      </c>
      <c r="X31" s="13">
        <f>_xll.BDH("NBIX US Equity","IS_ACQUIRED_PROCESS_RD","FQ1 2024","FQ1 2024","Currency=USD","Period=FQ","BEST_FPERIOD_OVERRIDE=FQ","FILING_STATUS=MR","SCALING_FORMAT=MLN","Sort=A","Dates=H","DateFormat=P","Fill=—","Direction=H","UseDPDF=Y")</f>
        <v>6</v>
      </c>
      <c r="Y31" s="13">
        <f>_xll.BDH("NBIX US Equity","IS_ACQUIRED_PROCESS_RD","FQ2 2024","FQ2 2024","Currency=USD","Period=FQ","BEST_FPERIOD_OVERRIDE=FQ","FILING_STATUS=MR","SCALING_FORMAT=MLN","Sort=A","Dates=H","DateFormat=P","Fill=—","Direction=H","UseDPDF=Y")</f>
        <v>2.5</v>
      </c>
      <c r="Z31" s="13">
        <f>_xll.BDH("NBIX US Equity","IS_ACQUIRED_PROCESS_RD","FQ3 2024","FQ3 2024","Currency=USD","Period=FQ","BEST_FPERIOD_OVERRIDE=FQ","FILING_STATUS=MR","SCALING_FORMAT=MLN","Sort=A","Dates=H","DateFormat=P","Fill=—","Direction=H","UseDPDF=Y")</f>
        <v>1</v>
      </c>
      <c r="AA31" s="13">
        <f>_xll.BDH("NBIX US Equity","IS_ACQUIRED_PROCESS_RD","FQ4 2024","FQ4 2024","Currency=USD","Period=FQ","BEST_FPERIOD_OVERRIDE=FQ","FILING_STATUS=MR","SCALING_FORMAT=MLN","Sort=A","Dates=H","DateFormat=P","Fill=—","Direction=H","UseDPDF=Y")</f>
        <v>3</v>
      </c>
    </row>
    <row r="32" spans="1:27" x14ac:dyDescent="0.25">
      <c r="A32" s="10" t="s">
        <v>590</v>
      </c>
      <c r="B32" s="10" t="s">
        <v>348</v>
      </c>
      <c r="C32" s="13" t="str">
        <f>_xll.BDH("NBIX US Equity","IS_MERGER_ACQUISITION_EXPENSE","FQ4 2018","FQ4 2018","Currency=USD","Period=FQ","BEST_FPERIOD_OVERRIDE=FQ","FILING_STATUS=MR","SCALING_FORMAT=MLN","Sort=A","Dates=H","DateFormat=P","Fill=—","Direction=H","UseDPDF=Y")</f>
        <v>—</v>
      </c>
      <c r="D32" s="13" t="str">
        <f>_xll.BDH("NBIX US Equity","IS_MERGER_ACQUISITION_EXPENSE","FQ1 2019","FQ1 2019","Currency=USD","Period=FQ","BEST_FPERIOD_OVERRIDE=FQ","FILING_STATUS=MR","SCALING_FORMAT=MLN","Sort=A","Dates=H","DateFormat=P","Fill=—","Direction=H","UseDPDF=Y")</f>
        <v>—</v>
      </c>
      <c r="E32" s="13" t="str">
        <f>_xll.BDH("NBIX US Equity","IS_MERGER_ACQUISITION_EXPENSE","FQ2 2019","FQ2 2019","Currency=USD","Period=FQ","BEST_FPERIOD_OVERRIDE=FQ","FILING_STATUS=MR","SCALING_FORMAT=MLN","Sort=A","Dates=H","DateFormat=P","Fill=—","Direction=H","UseDPDF=Y")</f>
        <v>—</v>
      </c>
      <c r="F32" s="13" t="str">
        <f>_xll.BDH("NBIX US Equity","IS_MERGER_ACQUISITION_EXPENSE","FQ3 2019","FQ3 2019","Currency=USD","Period=FQ","BEST_FPERIOD_OVERRIDE=FQ","FILING_STATUS=MR","SCALING_FORMAT=MLN","Sort=A","Dates=H","DateFormat=P","Fill=—","Direction=H","UseDPDF=Y")</f>
        <v>—</v>
      </c>
      <c r="G32" s="13" t="str">
        <f>_xll.BDH("NBIX US Equity","IS_MERGER_ACQUISITION_EXPENSE","FQ4 2019","FQ4 2019","Currency=USD","Period=FQ","BEST_FPERIOD_OVERRIDE=FQ","FILING_STATUS=MR","SCALING_FORMAT=MLN","Sort=A","Dates=H","DateFormat=P","Fill=—","Direction=H","UseDPDF=Y")</f>
        <v>—</v>
      </c>
      <c r="H32" s="13" t="str">
        <f>_xll.BDH("NBIX US Equity","IS_MERGER_ACQUISITION_EXPENSE","FQ1 2020","FQ1 2020","Currency=USD","Period=FQ","BEST_FPERIOD_OVERRIDE=FQ","FILING_STATUS=MR","SCALING_FORMAT=MLN","Sort=A","Dates=H","DateFormat=P","Fill=—","Direction=H","UseDPDF=Y")</f>
        <v>—</v>
      </c>
      <c r="I32" s="13" t="str">
        <f>_xll.BDH("NBIX US Equity","IS_MERGER_ACQUISITION_EXPENSE","FQ2 2020","FQ2 2020","Currency=USD","Period=FQ","BEST_FPERIOD_OVERRIDE=FQ","FILING_STATUS=MR","SCALING_FORMAT=MLN","Sort=A","Dates=H","DateFormat=P","Fill=—","Direction=H","UseDPDF=Y")</f>
        <v>—</v>
      </c>
      <c r="J32" s="13" t="str">
        <f>_xll.BDH("NBIX US Equity","IS_MERGER_ACQUISITION_EXPENSE","FQ3 2020","FQ3 2020","Currency=USD","Period=FQ","BEST_FPERIOD_OVERRIDE=FQ","FILING_STATUS=MR","SCALING_FORMAT=MLN","Sort=A","Dates=H","DateFormat=P","Fill=—","Direction=H","UseDPDF=Y")</f>
        <v>—</v>
      </c>
      <c r="K32" s="13" t="str">
        <f>_xll.BDH("NBIX US Equity","IS_MERGER_ACQUISITION_EXPENSE","FQ4 2020","FQ4 2020","Currency=USD","Period=FQ","BEST_FPERIOD_OVERRIDE=FQ","FILING_STATUS=MR","SCALING_FORMAT=MLN","Sort=A","Dates=H","DateFormat=P","Fill=—","Direction=H","UseDPDF=Y")</f>
        <v>—</v>
      </c>
      <c r="L32" s="13" t="str">
        <f>_xll.BDH("NBIX US Equity","IS_MERGER_ACQUISITION_EXPENSE","FQ1 2021","FQ1 2021","Currency=USD","Period=FQ","BEST_FPERIOD_OVERRIDE=FQ","FILING_STATUS=MR","SCALING_FORMAT=MLN","Sort=A","Dates=H","DateFormat=P","Fill=—","Direction=H","UseDPDF=Y")</f>
        <v>—</v>
      </c>
      <c r="M32" s="13" t="str">
        <f>_xll.BDH("NBIX US Equity","IS_MERGER_ACQUISITION_EXPENSE","FQ2 2021","FQ2 2021","Currency=USD","Period=FQ","BEST_FPERIOD_OVERRIDE=FQ","FILING_STATUS=MR","SCALING_FORMAT=MLN","Sort=A","Dates=H","DateFormat=P","Fill=—","Direction=H","UseDPDF=Y")</f>
        <v>—</v>
      </c>
      <c r="N32" s="13" t="str">
        <f>_xll.BDH("NBIX US Equity","IS_MERGER_ACQUISITION_EXPENSE","FQ3 2021","FQ3 2021","Currency=USD","Period=FQ","BEST_FPERIOD_OVERRIDE=FQ","FILING_STATUS=MR","SCALING_FORMAT=MLN","Sort=A","Dates=H","DateFormat=P","Fill=—","Direction=H","UseDPDF=Y")</f>
        <v>—</v>
      </c>
      <c r="O32" s="13" t="str">
        <f>_xll.BDH("NBIX US Equity","IS_MERGER_ACQUISITION_EXPENSE","FQ4 2021","FQ4 2021","Currency=USD","Period=FQ","BEST_FPERIOD_OVERRIDE=FQ","FILING_STATUS=MR","SCALING_FORMAT=MLN","Sort=A","Dates=H","DateFormat=P","Fill=—","Direction=H","UseDPDF=Y")</f>
        <v>—</v>
      </c>
      <c r="P32" s="13" t="str">
        <f>_xll.BDH("NBIX US Equity","IS_MERGER_ACQUISITION_EXPENSE","FQ1 2022","FQ1 2022","Currency=USD","Period=FQ","BEST_FPERIOD_OVERRIDE=FQ","FILING_STATUS=MR","SCALING_FORMAT=MLN","Sort=A","Dates=H","DateFormat=P","Fill=—","Direction=H","UseDPDF=Y")</f>
        <v>—</v>
      </c>
      <c r="Q32" s="13" t="str">
        <f>_xll.BDH("NBIX US Equity","IS_MERGER_ACQUISITION_EXPENSE","FQ2 2022","FQ2 2022","Currency=USD","Period=FQ","BEST_FPERIOD_OVERRIDE=FQ","FILING_STATUS=MR","SCALING_FORMAT=MLN","Sort=A","Dates=H","DateFormat=P","Fill=—","Direction=H","UseDPDF=Y")</f>
        <v>—</v>
      </c>
      <c r="R32" s="13" t="str">
        <f>_xll.BDH("NBIX US Equity","IS_MERGER_ACQUISITION_EXPENSE","FQ3 2022","FQ3 2022","Currency=USD","Period=FQ","BEST_FPERIOD_OVERRIDE=FQ","FILING_STATUS=MR","SCALING_FORMAT=MLN","Sort=A","Dates=H","DateFormat=P","Fill=—","Direction=H","UseDPDF=Y")</f>
        <v>—</v>
      </c>
      <c r="S32" s="13">
        <f>_xll.BDH("NBIX US Equity","IS_MERGER_ACQUISITION_EXPENSE","FQ4 2022","FQ4 2022","Currency=USD","Period=FQ","BEST_FPERIOD_OVERRIDE=FQ","FILING_STATUS=MR","SCALING_FORMAT=MLN","Sort=A","Dates=H","DateFormat=P","Fill=—","Direction=H","UseDPDF=Y")</f>
        <v>1.7</v>
      </c>
      <c r="T32" s="13" t="str">
        <f>_xll.BDH("NBIX US Equity","IS_MERGER_ACQUISITION_EXPENSE","FQ1 2023","FQ1 2023","Currency=USD","Period=FQ","BEST_FPERIOD_OVERRIDE=FQ","FILING_STATUS=MR","SCALING_FORMAT=MLN","Sort=A","Dates=H","DateFormat=P","Fill=—","Direction=H","UseDPDF=Y")</f>
        <v>—</v>
      </c>
      <c r="U32" s="13" t="str">
        <f>_xll.BDH("NBIX US Equity","IS_MERGER_ACQUISITION_EXPENSE","FQ2 2023","FQ2 2023","Currency=USD","Period=FQ","BEST_FPERIOD_OVERRIDE=FQ","FILING_STATUS=MR","SCALING_FORMAT=MLN","Sort=A","Dates=H","DateFormat=P","Fill=—","Direction=H","UseDPDF=Y")</f>
        <v>—</v>
      </c>
      <c r="V32" s="13">
        <f>_xll.BDH("NBIX US Equity","IS_MERGER_ACQUISITION_EXPENSE","FQ3 2023","FQ3 2023","Currency=USD","Period=FQ","BEST_FPERIOD_OVERRIDE=FQ","FILING_STATUS=MR","SCALING_FORMAT=MLN","Sort=A","Dates=H","DateFormat=P","Fill=—","Direction=H","UseDPDF=Y")</f>
        <v>3.9</v>
      </c>
      <c r="W32" s="13" t="str">
        <f>_xll.BDH("NBIX US Equity","IS_MERGER_ACQUISITION_EXPENSE","FQ4 2023","FQ4 2023","Currency=USD","Period=FQ","BEST_FPERIOD_OVERRIDE=FQ","FILING_STATUS=MR","SCALING_FORMAT=MLN","Sort=A","Dates=H","DateFormat=P","Fill=—","Direction=H","UseDPDF=Y")</f>
        <v>—</v>
      </c>
      <c r="X32" s="13" t="str">
        <f>_xll.BDH("NBIX US Equity","IS_MERGER_ACQUISITION_EXPENSE","FQ1 2024","FQ1 2024","Currency=USD","Period=FQ","BEST_FPERIOD_OVERRIDE=FQ","FILING_STATUS=MR","SCALING_FORMAT=MLN","Sort=A","Dates=H","DateFormat=P","Fill=—","Direction=H","UseDPDF=Y")</f>
        <v>—</v>
      </c>
      <c r="Y32" s="13" t="str">
        <f>_xll.BDH("NBIX US Equity","IS_MERGER_ACQUISITION_EXPENSE","FQ2 2024","FQ2 2024","Currency=USD","Period=FQ","BEST_FPERIOD_OVERRIDE=FQ","FILING_STATUS=MR","SCALING_FORMAT=MLN","Sort=A","Dates=H","DateFormat=P","Fill=—","Direction=H","UseDPDF=Y")</f>
        <v>—</v>
      </c>
      <c r="Z32" s="13" t="str">
        <f>_xll.BDH("NBIX US Equity","IS_MERGER_ACQUISITION_EXPENSE","FQ3 2024","FQ3 2024","Currency=USD","Period=FQ","BEST_FPERIOD_OVERRIDE=FQ","FILING_STATUS=MR","SCALING_FORMAT=MLN","Sort=A","Dates=H","DateFormat=P","Fill=—","Direction=H","UseDPDF=Y")</f>
        <v>—</v>
      </c>
      <c r="AA32" s="13" t="str">
        <f>_xll.BDH("NBIX US Equity","IS_MERGER_ACQUISITION_EXPENSE","FQ4 2024","FQ4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597</v>
      </c>
      <c r="B33" s="10" t="s">
        <v>350</v>
      </c>
      <c r="C33" s="13" t="str">
        <f>_xll.BDH("NBIX US Equity","IS_G_L_ON_EXT_DBT_OR_SETTLE_DBT","FQ4 2018","FQ4 2018","Currency=USD","Period=FQ","BEST_FPERIOD_OVERRIDE=FQ","FILING_STATUS=MR","SCALING_FORMAT=MLN","Sort=A","Dates=H","DateFormat=P","Fill=—","Direction=H","UseDPDF=Y")</f>
        <v>—</v>
      </c>
      <c r="D33" s="13" t="str">
        <f>_xll.BDH("NBIX US Equity","IS_G_L_ON_EXT_DBT_OR_SETTLE_DBT","FQ1 2019","FQ1 2019","Currency=USD","Period=FQ","BEST_FPERIOD_OVERRIDE=FQ","FILING_STATUS=MR","SCALING_FORMAT=MLN","Sort=A","Dates=H","DateFormat=P","Fill=—","Direction=H","UseDPDF=Y")</f>
        <v>—</v>
      </c>
      <c r="E33" s="13" t="str">
        <f>_xll.BDH("NBIX US Equity","IS_G_L_ON_EXT_DBT_OR_SETTLE_DBT","FQ2 2019","FQ2 2019","Currency=USD","Period=FQ","BEST_FPERIOD_OVERRIDE=FQ","FILING_STATUS=MR","SCALING_FORMAT=MLN","Sort=A","Dates=H","DateFormat=P","Fill=—","Direction=H","UseDPDF=Y")</f>
        <v>—</v>
      </c>
      <c r="F33" s="13" t="str">
        <f>_xll.BDH("NBIX US Equity","IS_G_L_ON_EXT_DBT_OR_SETTLE_DBT","FQ3 2019","FQ3 2019","Currency=USD","Period=FQ","BEST_FPERIOD_OVERRIDE=FQ","FILING_STATUS=MR","SCALING_FORMAT=MLN","Sort=A","Dates=H","DateFormat=P","Fill=—","Direction=H","UseDPDF=Y")</f>
        <v>—</v>
      </c>
      <c r="G33" s="13" t="str">
        <f>_xll.BDH("NBIX US Equity","IS_G_L_ON_EXT_DBT_OR_SETTLE_DBT","FQ4 2019","FQ4 2019","Currency=USD","Period=FQ","BEST_FPERIOD_OVERRIDE=FQ","FILING_STATUS=MR","SCALING_FORMAT=MLN","Sort=A","Dates=H","DateFormat=P","Fill=—","Direction=H","UseDPDF=Y")</f>
        <v>—</v>
      </c>
      <c r="H33" s="13" t="str">
        <f>_xll.BDH("NBIX US Equity","IS_G_L_ON_EXT_DBT_OR_SETTLE_DBT","FQ1 2020","FQ1 2020","Currency=USD","Period=FQ","BEST_FPERIOD_OVERRIDE=FQ","FILING_STATUS=MR","SCALING_FORMAT=MLN","Sort=A","Dates=H","DateFormat=P","Fill=—","Direction=H","UseDPDF=Y")</f>
        <v>—</v>
      </c>
      <c r="I33" s="13" t="str">
        <f>_xll.BDH("NBIX US Equity","IS_G_L_ON_EXT_DBT_OR_SETTLE_DBT","FQ2 2020","FQ2 2020","Currency=USD","Period=FQ","BEST_FPERIOD_OVERRIDE=FQ","FILING_STATUS=MR","SCALING_FORMAT=MLN","Sort=A","Dates=H","DateFormat=P","Fill=—","Direction=H","UseDPDF=Y")</f>
        <v>—</v>
      </c>
      <c r="J33" s="13" t="str">
        <f>_xll.BDH("NBIX US Equity","IS_G_L_ON_EXT_DBT_OR_SETTLE_DBT","FQ3 2020","FQ3 2020","Currency=USD","Period=FQ","BEST_FPERIOD_OVERRIDE=FQ","FILING_STATUS=MR","SCALING_FORMAT=MLN","Sort=A","Dates=H","DateFormat=P","Fill=—","Direction=H","UseDPDF=Y")</f>
        <v>—</v>
      </c>
      <c r="K33" s="13">
        <f>_xll.BDH("NBIX US Equity","IS_G_L_ON_EXT_DBT_OR_SETTLE_DBT","FQ4 2020","FQ4 2020","Currency=USD","Period=FQ","BEST_FPERIOD_OVERRIDE=FQ","FILING_STATUS=MR","SCALING_FORMAT=MLN","Sort=A","Dates=H","DateFormat=P","Fill=—","Direction=H","UseDPDF=Y")</f>
        <v>18.399999999999999</v>
      </c>
      <c r="L33" s="13" t="str">
        <f>_xll.BDH("NBIX US Equity","IS_G_L_ON_EXT_DBT_OR_SETTLE_DBT","FQ1 2021","FQ1 2021","Currency=USD","Period=FQ","BEST_FPERIOD_OVERRIDE=FQ","FILING_STATUS=MR","SCALING_FORMAT=MLN","Sort=A","Dates=H","DateFormat=P","Fill=—","Direction=H","UseDPDF=Y")</f>
        <v>—</v>
      </c>
      <c r="M33" s="13" t="str">
        <f>_xll.BDH("NBIX US Equity","IS_G_L_ON_EXT_DBT_OR_SETTLE_DBT","FQ2 2021","FQ2 2021","Currency=USD","Period=FQ","BEST_FPERIOD_OVERRIDE=FQ","FILING_STATUS=MR","SCALING_FORMAT=MLN","Sort=A","Dates=H","DateFormat=P","Fill=—","Direction=H","UseDPDF=Y")</f>
        <v>—</v>
      </c>
      <c r="N33" s="13" t="str">
        <f>_xll.BDH("NBIX US Equity","IS_G_L_ON_EXT_DBT_OR_SETTLE_DBT","FQ3 2021","FQ3 2021","Currency=USD","Period=FQ","BEST_FPERIOD_OVERRIDE=FQ","FILING_STATUS=MR","SCALING_FORMAT=MLN","Sort=A","Dates=H","DateFormat=P","Fill=—","Direction=H","UseDPDF=Y")</f>
        <v>—</v>
      </c>
      <c r="O33" s="13" t="str">
        <f>_xll.BDH("NBIX US Equity","IS_G_L_ON_EXT_DBT_OR_SETTLE_DBT","FQ4 2021","FQ4 2021","Currency=USD","Period=FQ","BEST_FPERIOD_OVERRIDE=FQ","FILING_STATUS=MR","SCALING_FORMAT=MLN","Sort=A","Dates=H","DateFormat=P","Fill=—","Direction=H","UseDPDF=Y")</f>
        <v>—</v>
      </c>
      <c r="P33" s="13" t="str">
        <f>_xll.BDH("NBIX US Equity","IS_G_L_ON_EXT_DBT_OR_SETTLE_DBT","FQ1 2022","FQ1 2022","Currency=USD","Period=FQ","BEST_FPERIOD_OVERRIDE=FQ","FILING_STATUS=MR","SCALING_FORMAT=MLN","Sort=A","Dates=H","DateFormat=P","Fill=—","Direction=H","UseDPDF=Y")</f>
        <v>—</v>
      </c>
      <c r="Q33" s="13" t="str">
        <f>_xll.BDH("NBIX US Equity","IS_G_L_ON_EXT_DBT_OR_SETTLE_DBT","FQ2 2022","FQ2 2022","Currency=USD","Period=FQ","BEST_FPERIOD_OVERRIDE=FQ","FILING_STATUS=MR","SCALING_FORMAT=MLN","Sort=A","Dates=H","DateFormat=P","Fill=—","Direction=H","UseDPDF=Y")</f>
        <v>—</v>
      </c>
      <c r="R33" s="13" t="str">
        <f>_xll.BDH("NBIX US Equity","IS_G_L_ON_EXT_DBT_OR_SETTLE_DBT","FQ3 2022","FQ3 2022","Currency=USD","Period=FQ","BEST_FPERIOD_OVERRIDE=FQ","FILING_STATUS=MR","SCALING_FORMAT=MLN","Sort=A","Dates=H","DateFormat=P","Fill=—","Direction=H","UseDPDF=Y")</f>
        <v>—</v>
      </c>
      <c r="S33" s="13" t="str">
        <f>_xll.BDH("NBIX US Equity","IS_G_L_ON_EXT_DBT_OR_SETTLE_DBT","FQ4 2022","FQ4 2022","Currency=USD","Period=FQ","BEST_FPERIOD_OVERRIDE=FQ","FILING_STATUS=MR","SCALING_FORMAT=MLN","Sort=A","Dates=H","DateFormat=P","Fill=—","Direction=H","UseDPDF=Y")</f>
        <v>—</v>
      </c>
      <c r="T33" s="13" t="str">
        <f>_xll.BDH("NBIX US Equity","IS_G_L_ON_EXT_DBT_OR_SETTLE_DBT","FQ1 2023","FQ1 2023","Currency=USD","Period=FQ","BEST_FPERIOD_OVERRIDE=FQ","FILING_STATUS=MR","SCALING_FORMAT=MLN","Sort=A","Dates=H","DateFormat=P","Fill=—","Direction=H","UseDPDF=Y")</f>
        <v>—</v>
      </c>
      <c r="U33" s="13" t="str">
        <f>_xll.BDH("NBIX US Equity","IS_G_L_ON_EXT_DBT_OR_SETTLE_DBT","FQ2 2023","FQ2 2023","Currency=USD","Period=FQ","BEST_FPERIOD_OVERRIDE=FQ","FILING_STATUS=MR","SCALING_FORMAT=MLN","Sort=A","Dates=H","DateFormat=P","Fill=—","Direction=H","UseDPDF=Y")</f>
        <v>—</v>
      </c>
      <c r="V33" s="13" t="str">
        <f>_xll.BDH("NBIX US Equity","IS_G_L_ON_EXT_DBT_OR_SETTLE_DBT","FQ3 2023","FQ3 2023","Currency=USD","Period=FQ","BEST_FPERIOD_OVERRIDE=FQ","FILING_STATUS=MR","SCALING_FORMAT=MLN","Sort=A","Dates=H","DateFormat=P","Fill=—","Direction=H","UseDPDF=Y")</f>
        <v>—</v>
      </c>
      <c r="W33" s="13" t="str">
        <f>_xll.BDH("NBIX US Equity","IS_G_L_ON_EXT_DBT_OR_SETTLE_DBT","FQ4 2023","FQ4 2023","Currency=USD","Period=FQ","BEST_FPERIOD_OVERRIDE=FQ","FILING_STATUS=MR","SCALING_FORMAT=MLN","Sort=A","Dates=H","DateFormat=P","Fill=—","Direction=H","UseDPDF=Y")</f>
        <v>—</v>
      </c>
      <c r="X33" s="13" t="str">
        <f>_xll.BDH("NBIX US Equity","IS_G_L_ON_EXT_DBT_OR_SETTLE_DBT","FQ1 2024","FQ1 2024","Currency=USD","Period=FQ","BEST_FPERIOD_OVERRIDE=FQ","FILING_STATUS=MR","SCALING_FORMAT=MLN","Sort=A","Dates=H","DateFormat=P","Fill=—","Direction=H","UseDPDF=Y")</f>
        <v>—</v>
      </c>
      <c r="Y33" s="13" t="str">
        <f>_xll.BDH("NBIX US Equity","IS_G_L_ON_EXT_DBT_OR_SETTLE_DBT","FQ2 2024","FQ2 2024","Currency=USD","Period=FQ","BEST_FPERIOD_OVERRIDE=FQ","FILING_STATUS=MR","SCALING_FORMAT=MLN","Sort=A","Dates=H","DateFormat=P","Fill=—","Direction=H","UseDPDF=Y")</f>
        <v>—</v>
      </c>
      <c r="Z33" s="13" t="str">
        <f>_xll.BDH("NBIX US Equity","IS_G_L_ON_EXT_DBT_OR_SETTLE_DBT","FQ3 2024","FQ3 2024","Currency=USD","Period=FQ","BEST_FPERIOD_OVERRIDE=FQ","FILING_STATUS=MR","SCALING_FORMAT=MLN","Sort=A","Dates=H","DateFormat=P","Fill=—","Direction=H","UseDPDF=Y")</f>
        <v>—</v>
      </c>
      <c r="AA33" s="13" t="str">
        <f>_xll.BDH("NBIX US Equity","IS_G_L_ON_EXT_DBT_OR_SETTLE_DBT","FQ4 2024","FQ4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592</v>
      </c>
      <c r="B34" s="10" t="s">
        <v>352</v>
      </c>
      <c r="C34" s="13" t="str">
        <f>_xll.BDH("NBIX US Equity","IS_IMPAIR_OF_INTANG_ASSETS","FQ4 2018","FQ4 2018","Currency=USD","Period=FQ","BEST_FPERIOD_OVERRIDE=FQ","FILING_STATUS=MR","SCALING_FORMAT=MLN","Sort=A","Dates=H","DateFormat=P","Fill=—","Direction=H","UseDPDF=Y")</f>
        <v>—</v>
      </c>
      <c r="D34" s="13" t="str">
        <f>_xll.BDH("NBIX US Equity","IS_IMPAIR_OF_INTANG_ASSETS","FQ1 2019","FQ1 2019","Currency=USD","Period=FQ","BEST_FPERIOD_OVERRIDE=FQ","FILING_STATUS=MR","SCALING_FORMAT=MLN","Sort=A","Dates=H","DateFormat=P","Fill=—","Direction=H","UseDPDF=Y")</f>
        <v>—</v>
      </c>
      <c r="E34" s="13" t="str">
        <f>_xll.BDH("NBIX US Equity","IS_IMPAIR_OF_INTANG_ASSETS","FQ2 2019","FQ2 2019","Currency=USD","Period=FQ","BEST_FPERIOD_OVERRIDE=FQ","FILING_STATUS=MR","SCALING_FORMAT=MLN","Sort=A","Dates=H","DateFormat=P","Fill=—","Direction=H","UseDPDF=Y")</f>
        <v>—</v>
      </c>
      <c r="F34" s="13" t="str">
        <f>_xll.BDH("NBIX US Equity","IS_IMPAIR_OF_INTANG_ASSETS","FQ3 2019","FQ3 2019","Currency=USD","Period=FQ","BEST_FPERIOD_OVERRIDE=FQ","FILING_STATUS=MR","SCALING_FORMAT=MLN","Sort=A","Dates=H","DateFormat=P","Fill=—","Direction=H","UseDPDF=Y")</f>
        <v>—</v>
      </c>
      <c r="G34" s="13" t="str">
        <f>_xll.BDH("NBIX US Equity","IS_IMPAIR_OF_INTANG_ASSETS","FQ4 2019","FQ4 2019","Currency=USD","Period=FQ","BEST_FPERIOD_OVERRIDE=FQ","FILING_STATUS=MR","SCALING_FORMAT=MLN","Sort=A","Dates=H","DateFormat=P","Fill=—","Direction=H","UseDPDF=Y")</f>
        <v>—</v>
      </c>
      <c r="H34" s="13" t="str">
        <f>_xll.BDH("NBIX US Equity","IS_IMPAIR_OF_INTANG_ASSETS","FQ1 2020","FQ1 2020","Currency=USD","Period=FQ","BEST_FPERIOD_OVERRIDE=FQ","FILING_STATUS=MR","SCALING_FORMAT=MLN","Sort=A","Dates=H","DateFormat=P","Fill=—","Direction=H","UseDPDF=Y")</f>
        <v>—</v>
      </c>
      <c r="I34" s="13" t="str">
        <f>_xll.BDH("NBIX US Equity","IS_IMPAIR_OF_INTANG_ASSETS","FQ2 2020","FQ2 2020","Currency=USD","Period=FQ","BEST_FPERIOD_OVERRIDE=FQ","FILING_STATUS=MR","SCALING_FORMAT=MLN","Sort=A","Dates=H","DateFormat=P","Fill=—","Direction=H","UseDPDF=Y")</f>
        <v>—</v>
      </c>
      <c r="J34" s="13" t="str">
        <f>_xll.BDH("NBIX US Equity","IS_IMPAIR_OF_INTANG_ASSETS","FQ3 2020","FQ3 2020","Currency=USD","Period=FQ","BEST_FPERIOD_OVERRIDE=FQ","FILING_STATUS=MR","SCALING_FORMAT=MLN","Sort=A","Dates=H","DateFormat=P","Fill=—","Direction=H","UseDPDF=Y")</f>
        <v>—</v>
      </c>
      <c r="K34" s="13" t="str">
        <f>_xll.BDH("NBIX US Equity","IS_IMPAIR_OF_INTANG_ASSETS","FQ4 2020","FQ4 2020","Currency=USD","Period=FQ","BEST_FPERIOD_OVERRIDE=FQ","FILING_STATUS=MR","SCALING_FORMAT=MLN","Sort=A","Dates=H","DateFormat=P","Fill=—","Direction=H","UseDPDF=Y")</f>
        <v>—</v>
      </c>
      <c r="L34" s="13" t="str">
        <f>_xll.BDH("NBIX US Equity","IS_IMPAIR_OF_INTANG_ASSETS","FQ1 2021","FQ1 2021","Currency=USD","Period=FQ","BEST_FPERIOD_OVERRIDE=FQ","FILING_STATUS=MR","SCALING_FORMAT=MLN","Sort=A","Dates=H","DateFormat=P","Fill=—","Direction=H","UseDPDF=Y")</f>
        <v>—</v>
      </c>
      <c r="M34" s="13" t="str">
        <f>_xll.BDH("NBIX US Equity","IS_IMPAIR_OF_INTANG_ASSETS","FQ2 2021","FQ2 2021","Currency=USD","Period=FQ","BEST_FPERIOD_OVERRIDE=FQ","FILING_STATUS=MR","SCALING_FORMAT=MLN","Sort=A","Dates=H","DateFormat=P","Fill=—","Direction=H","UseDPDF=Y")</f>
        <v>—</v>
      </c>
      <c r="N34" s="13" t="str">
        <f>_xll.BDH("NBIX US Equity","IS_IMPAIR_OF_INTANG_ASSETS","FQ3 2021","FQ3 2021","Currency=USD","Period=FQ","BEST_FPERIOD_OVERRIDE=FQ","FILING_STATUS=MR","SCALING_FORMAT=MLN","Sort=A","Dates=H","DateFormat=P","Fill=—","Direction=H","UseDPDF=Y")</f>
        <v>—</v>
      </c>
      <c r="O34" s="13" t="str">
        <f>_xll.BDH("NBIX US Equity","IS_IMPAIR_OF_INTANG_ASSETS","FQ4 2021","FQ4 2021","Currency=USD","Period=FQ","BEST_FPERIOD_OVERRIDE=FQ","FILING_STATUS=MR","SCALING_FORMAT=MLN","Sort=A","Dates=H","DateFormat=P","Fill=—","Direction=H","UseDPDF=Y")</f>
        <v>—</v>
      </c>
      <c r="P34" s="13" t="str">
        <f>_xll.BDH("NBIX US Equity","IS_IMPAIR_OF_INTANG_ASSETS","FQ1 2022","FQ1 2022","Currency=USD","Period=FQ","BEST_FPERIOD_OVERRIDE=FQ","FILING_STATUS=MR","SCALING_FORMAT=MLN","Sort=A","Dates=H","DateFormat=P","Fill=—","Direction=H","UseDPDF=Y")</f>
        <v>—</v>
      </c>
      <c r="Q34" s="13" t="str">
        <f>_xll.BDH("NBIX US Equity","IS_IMPAIR_OF_INTANG_ASSETS","FQ2 2022","FQ2 2022","Currency=USD","Period=FQ","BEST_FPERIOD_OVERRIDE=FQ","FILING_STATUS=MR","SCALING_FORMAT=MLN","Sort=A","Dates=H","DateFormat=P","Fill=—","Direction=H","UseDPDF=Y")</f>
        <v>—</v>
      </c>
      <c r="R34" s="13" t="str">
        <f>_xll.BDH("NBIX US Equity","IS_IMPAIR_OF_INTANG_ASSETS","FQ3 2022","FQ3 2022","Currency=USD","Period=FQ","BEST_FPERIOD_OVERRIDE=FQ","FILING_STATUS=MR","SCALING_FORMAT=MLN","Sort=A","Dates=H","DateFormat=P","Fill=—","Direction=H","UseDPDF=Y")</f>
        <v>—</v>
      </c>
      <c r="S34" s="13" t="str">
        <f>_xll.BDH("NBIX US Equity","IS_IMPAIR_OF_INTANG_ASSETS","FQ4 2022","FQ4 2022","Currency=USD","Period=FQ","BEST_FPERIOD_OVERRIDE=FQ","FILING_STATUS=MR","SCALING_FORMAT=MLN","Sort=A","Dates=H","DateFormat=P","Fill=—","Direction=H","UseDPDF=Y")</f>
        <v>—</v>
      </c>
      <c r="T34" s="13" t="str">
        <f>_xll.BDH("NBIX US Equity","IS_IMPAIR_OF_INTANG_ASSETS","FQ1 2023","FQ1 2023","Currency=USD","Period=FQ","BEST_FPERIOD_OVERRIDE=FQ","FILING_STATUS=MR","SCALING_FORMAT=MLN","Sort=A","Dates=H","DateFormat=P","Fill=—","Direction=H","UseDPDF=Y")</f>
        <v>—</v>
      </c>
      <c r="U34" s="13" t="str">
        <f>_xll.BDH("NBIX US Equity","IS_IMPAIR_OF_INTANG_ASSETS","FQ2 2023","FQ2 2023","Currency=USD","Period=FQ","BEST_FPERIOD_OVERRIDE=FQ","FILING_STATUS=MR","SCALING_FORMAT=MLN","Sort=A","Dates=H","DateFormat=P","Fill=—","Direction=H","UseDPDF=Y")</f>
        <v>—</v>
      </c>
      <c r="V34" s="13" t="str">
        <f>_xll.BDH("NBIX US Equity","IS_IMPAIR_OF_INTANG_ASSETS","FQ3 2023","FQ3 2023","Currency=USD","Period=FQ","BEST_FPERIOD_OVERRIDE=FQ","FILING_STATUS=MR","SCALING_FORMAT=MLN","Sort=A","Dates=H","DateFormat=P","Fill=—","Direction=H","UseDPDF=Y")</f>
        <v>—</v>
      </c>
      <c r="W34" s="13" t="str">
        <f>_xll.BDH("NBIX US Equity","IS_IMPAIR_OF_INTANG_ASSETS","FQ4 2023","FQ4 2023","Currency=USD","Period=FQ","BEST_FPERIOD_OVERRIDE=FQ","FILING_STATUS=MR","SCALING_FORMAT=MLN","Sort=A","Dates=H","DateFormat=P","Fill=—","Direction=H","UseDPDF=Y")</f>
        <v>—</v>
      </c>
      <c r="X34" s="13" t="str">
        <f>_xll.BDH("NBIX US Equity","IS_IMPAIR_OF_INTANG_ASSETS","FQ1 2024","FQ1 2024","Currency=USD","Period=FQ","BEST_FPERIOD_OVERRIDE=FQ","FILING_STATUS=MR","SCALING_FORMAT=MLN","Sort=A","Dates=H","DateFormat=P","Fill=—","Direction=H","UseDPDF=Y")</f>
        <v>—</v>
      </c>
      <c r="Y34" s="13">
        <f>_xll.BDH("NBIX US Equity","IS_IMPAIR_OF_INTANG_ASSETS","FQ2 2024","FQ2 2024","Currency=USD","Period=FQ","BEST_FPERIOD_OVERRIDE=FQ","FILING_STATUS=MR","SCALING_FORMAT=MLN","Sort=A","Dates=H","DateFormat=P","Fill=—","Direction=H","UseDPDF=Y")</f>
        <v>14</v>
      </c>
      <c r="Z34" s="13" t="str">
        <f>_xll.BDH("NBIX US Equity","IS_IMPAIR_OF_INTANG_ASSETS","FQ3 2024","FQ3 2024","Currency=USD","Period=FQ","BEST_FPERIOD_OVERRIDE=FQ","FILING_STATUS=MR","SCALING_FORMAT=MLN","Sort=A","Dates=H","DateFormat=P","Fill=—","Direction=H","UseDPDF=Y")</f>
        <v>—</v>
      </c>
      <c r="AA34" s="13" t="str">
        <f>_xll.BDH("NBIX US Equity","IS_IMPAIR_OF_INTANG_ASSETS","FQ4 2024","FQ4 2024","Currency=USD","Period=FQ","BEST_FPERIOD_OVERRIDE=FQ","FILING_STATUS=MR","SCALING_FORMAT=MLN","Sort=A","Dates=H","DateFormat=P","Fill=—","Direction=H","UseDPDF=Y")</f>
        <v>—</v>
      </c>
    </row>
    <row r="35" spans="1:27" x14ac:dyDescent="0.25">
      <c r="A35" s="10" t="s">
        <v>598</v>
      </c>
      <c r="B35" s="10" t="s">
        <v>354</v>
      </c>
      <c r="C35" s="13" t="str">
        <f>_xll.BDH("NBIX US Equity","IS_UNREALIZED_INVESTMENTS","FQ4 2018","FQ4 2018","Currency=USD","Period=FQ","BEST_FPERIOD_OVERRIDE=FQ","FILING_STATUS=MR","SCALING_FORMAT=MLN","Sort=A","Dates=H","DateFormat=P","Fill=—","Direction=H","UseDPDF=Y")</f>
        <v>—</v>
      </c>
      <c r="D35" s="13">
        <f>_xll.BDH("NBIX US Equity","IS_UNREALIZED_INVESTMENTS","FQ1 2019","FQ1 2019","Currency=USD","Period=FQ","BEST_FPERIOD_OVERRIDE=FQ","FILING_STATUS=MR","SCALING_FORMAT=MLN","Sort=A","Dates=H","DateFormat=P","Fill=—","Direction=H","UseDPDF=Y")</f>
        <v>-1.68</v>
      </c>
      <c r="E35" s="13">
        <f>_xll.BDH("NBIX US Equity","IS_UNREALIZED_INVESTMENTS","FQ2 2019","FQ2 2019","Currency=USD","Period=FQ","BEST_FPERIOD_OVERRIDE=FQ","FILING_STATUS=MR","SCALING_FORMAT=MLN","Sort=A","Dates=H","DateFormat=P","Fill=—","Direction=H","UseDPDF=Y")</f>
        <v>-20.965</v>
      </c>
      <c r="F35" s="13">
        <f>_xll.BDH("NBIX US Equity","IS_UNREALIZED_INVESTMENTS","FQ3 2019","FQ3 2019","Currency=USD","Period=FQ","BEST_FPERIOD_OVERRIDE=FQ","FILING_STATUS=MR","SCALING_FORMAT=MLN","Sort=A","Dates=H","DateFormat=P","Fill=—","Direction=H","UseDPDF=Y")</f>
        <v>28.45</v>
      </c>
      <c r="G35" s="13">
        <f>_xll.BDH("NBIX US Equity","IS_UNREALIZED_INVESTMENTS","FQ4 2019","FQ4 2019","Currency=USD","Period=FQ","BEST_FPERIOD_OVERRIDE=FQ","FILING_STATUS=MR","SCALING_FORMAT=MLN","Sort=A","Dates=H","DateFormat=P","Fill=—","Direction=H","UseDPDF=Y")</f>
        <v>7.2</v>
      </c>
      <c r="H35" s="13">
        <f>_xll.BDH("NBIX US Equity","IS_UNREALIZED_INVESTMENTS","FQ1 2020","FQ1 2020","Currency=USD","Period=FQ","BEST_FPERIOD_OVERRIDE=FQ","FILING_STATUS=MR","SCALING_FORMAT=MLN","Sort=A","Dates=H","DateFormat=P","Fill=—","Direction=H","UseDPDF=Y")</f>
        <v>16.5</v>
      </c>
      <c r="I35" s="13">
        <f>_xll.BDH("NBIX US Equity","IS_UNREALIZED_INVESTMENTS","FQ2 2020","FQ2 2020","Currency=USD","Period=FQ","BEST_FPERIOD_OVERRIDE=FQ","FILING_STATUS=MR","SCALING_FORMAT=MLN","Sort=A","Dates=H","DateFormat=P","Fill=—","Direction=H","UseDPDF=Y")</f>
        <v>-11.3</v>
      </c>
      <c r="J35" s="13">
        <f>_xll.BDH("NBIX US Equity","IS_UNREALIZED_INVESTMENTS","FQ3 2020","FQ3 2020","Currency=USD","Period=FQ","BEST_FPERIOD_OVERRIDE=FQ","FILING_STATUS=MR","SCALING_FORMAT=MLN","Sort=A","Dates=H","DateFormat=P","Fill=—","Direction=H","UseDPDF=Y")</f>
        <v>7</v>
      </c>
      <c r="K35" s="13">
        <f>_xll.BDH("NBIX US Equity","IS_UNREALIZED_INVESTMENTS","FQ4 2020","FQ4 2020","Currency=USD","Period=FQ","BEST_FPERIOD_OVERRIDE=FQ","FILING_STATUS=MR","SCALING_FORMAT=MLN","Sort=A","Dates=H","DateFormat=P","Fill=—","Direction=H","UseDPDF=Y")</f>
        <v>5.5</v>
      </c>
      <c r="L35" s="13">
        <f>_xll.BDH("NBIX US Equity","IS_UNREALIZED_INVESTMENTS","FQ1 2021","FQ1 2021","Currency=USD","Period=FQ","BEST_FPERIOD_OVERRIDE=FQ","FILING_STATUS=MR","SCALING_FORMAT=MLN","Sort=A","Dates=H","DateFormat=P","Fill=—","Direction=H","UseDPDF=Y")</f>
        <v>-0.7</v>
      </c>
      <c r="M35" s="13" t="str">
        <f>_xll.BDH("NBIX US Equity","IS_UNREALIZED_INVESTMENTS","FQ2 2021","FQ2 2021","Currency=USD","Period=FQ","BEST_FPERIOD_OVERRIDE=FQ","FILING_STATUS=MR","SCALING_FORMAT=MLN","Sort=A","Dates=H","DateFormat=P","Fill=—","Direction=H","UseDPDF=Y")</f>
        <v>—</v>
      </c>
      <c r="N35" s="13">
        <f>_xll.BDH("NBIX US Equity","IS_UNREALIZED_INVESTMENTS","FQ3 2021","FQ3 2021","Currency=USD","Period=FQ","BEST_FPERIOD_OVERRIDE=FQ","FILING_STATUS=MR","SCALING_FORMAT=MLN","Sort=A","Dates=H","DateFormat=P","Fill=—","Direction=H","UseDPDF=Y")</f>
        <v>8.1999999999999993</v>
      </c>
      <c r="O35" s="13">
        <f>_xll.BDH("NBIX US Equity","IS_UNREALIZED_INVESTMENTS","FQ4 2021","FQ4 2021","Currency=USD","Period=FQ","BEST_FPERIOD_OVERRIDE=FQ","FILING_STATUS=MR","SCALING_FORMAT=MLN","Sort=A","Dates=H","DateFormat=P","Fill=—","Direction=H","UseDPDF=Y")</f>
        <v>-28.4</v>
      </c>
      <c r="P35" s="13">
        <f>_xll.BDH("NBIX US Equity","IS_UNREALIZED_INVESTMENTS","FQ1 2022","FQ1 2022","Currency=USD","Period=FQ","BEST_FPERIOD_OVERRIDE=FQ","FILING_STATUS=MR","SCALING_FORMAT=MLN","Sort=A","Dates=H","DateFormat=P","Fill=—","Direction=H","UseDPDF=Y")</f>
        <v>-19.899999999999999</v>
      </c>
      <c r="Q35" s="13">
        <f>_xll.BDH("NBIX US Equity","IS_UNREALIZED_INVESTMENTS","FQ2 2022","FQ2 2022","Currency=USD","Period=FQ","BEST_FPERIOD_OVERRIDE=FQ","FILING_STATUS=MR","SCALING_FORMAT=MLN","Sort=A","Dates=H","DateFormat=P","Fill=—","Direction=H","UseDPDF=Y")</f>
        <v>7.4</v>
      </c>
      <c r="R35" s="13">
        <f>_xll.BDH("NBIX US Equity","IS_UNREALIZED_INVESTMENTS","FQ3 2022","FQ3 2022","Currency=USD","Period=FQ","BEST_FPERIOD_OVERRIDE=FQ","FILING_STATUS=MR","SCALING_FORMAT=MLN","Sort=A","Dates=H","DateFormat=P","Fill=—","Direction=H","UseDPDF=Y")</f>
        <v>11.1</v>
      </c>
      <c r="S35" s="13">
        <f>_xll.BDH("NBIX US Equity","IS_UNREALIZED_INVESTMENTS","FQ4 2022","FQ4 2022","Currency=USD","Period=FQ","BEST_FPERIOD_OVERRIDE=FQ","FILING_STATUS=MR","SCALING_FORMAT=MLN","Sort=A","Dates=H","DateFormat=P","Fill=—","Direction=H","UseDPDF=Y")</f>
        <v>-7.2</v>
      </c>
      <c r="T35" s="13">
        <f>_xll.BDH("NBIX US Equity","IS_UNREALIZED_INVESTMENTS","FQ1 2023","FQ1 2023","Currency=USD","Period=FQ","BEST_FPERIOD_OVERRIDE=FQ","FILING_STATUS=MR","SCALING_FORMAT=MLN","Sort=A","Dates=H","DateFormat=P","Fill=—","Direction=H","UseDPDF=Y")</f>
        <v>-2.2000000000000002</v>
      </c>
      <c r="U35" s="13">
        <f>_xll.BDH("NBIX US Equity","IS_UNREALIZED_INVESTMENTS","FQ2 2023","FQ2 2023","Currency=USD","Period=FQ","BEST_FPERIOD_OVERRIDE=FQ","FILING_STATUS=MR","SCALING_FORMAT=MLN","Sort=A","Dates=H","DateFormat=P","Fill=—","Direction=H","UseDPDF=Y")</f>
        <v>-37.299999999999997</v>
      </c>
      <c r="V35" s="13">
        <f>_xll.BDH("NBIX US Equity","IS_UNREALIZED_INVESTMENTS","FQ3 2023","FQ3 2023","Currency=USD","Period=FQ","BEST_FPERIOD_OVERRIDE=FQ","FILING_STATUS=MR","SCALING_FORMAT=MLN","Sort=A","Dates=H","DateFormat=P","Fill=—","Direction=H","UseDPDF=Y")</f>
        <v>40.1</v>
      </c>
      <c r="W35" s="13">
        <f>_xll.BDH("NBIX US Equity","IS_UNREALIZED_INVESTMENTS","FQ4 2023","FQ4 2023","Currency=USD","Period=FQ","BEST_FPERIOD_OVERRIDE=FQ","FILING_STATUS=MR","SCALING_FORMAT=MLN","Sort=A","Dates=H","DateFormat=P","Fill=—","Direction=H","UseDPDF=Y")</f>
        <v>-29</v>
      </c>
      <c r="X35" s="13">
        <f>_xll.BDH("NBIX US Equity","IS_UNREALIZED_INVESTMENTS","FQ1 2024","FQ1 2024","Currency=USD","Period=FQ","BEST_FPERIOD_OVERRIDE=FQ","FILING_STATUS=MR","SCALING_FORMAT=MLN","Sort=A","Dates=H","DateFormat=P","Fill=—","Direction=H","UseDPDF=Y")</f>
        <v>-1.6</v>
      </c>
      <c r="Y35" s="13">
        <f>_xll.BDH("NBIX US Equity","IS_UNREALIZED_INVESTMENTS","FQ2 2024","FQ2 2024","Currency=USD","Period=FQ","BEST_FPERIOD_OVERRIDE=FQ","FILING_STATUS=MR","SCALING_FORMAT=MLN","Sort=A","Dates=H","DateFormat=P","Fill=—","Direction=H","UseDPDF=Y")</f>
        <v>19.899999999999999</v>
      </c>
      <c r="Z35" s="13">
        <f>_xll.BDH("NBIX US Equity","IS_UNREALIZED_INVESTMENTS","FQ3 2024","FQ3 2024","Currency=USD","Period=FQ","BEST_FPERIOD_OVERRIDE=FQ","FILING_STATUS=MR","SCALING_FORMAT=MLN","Sort=A","Dates=H","DateFormat=P","Fill=—","Direction=H","UseDPDF=Y")</f>
        <v>16.899999999999999</v>
      </c>
      <c r="AA35" s="13">
        <f>_xll.BDH("NBIX US Equity","IS_UNREALIZED_INVESTMENTS","FQ4 2024","FQ4 2024","Currency=USD","Period=FQ","BEST_FPERIOD_OVERRIDE=FQ","FILING_STATUS=MR","SCALING_FORMAT=MLN","Sort=A","Dates=H","DateFormat=P","Fill=—","Direction=H","UseDPDF=Y")</f>
        <v>1.9</v>
      </c>
    </row>
    <row r="36" spans="1:27" x14ac:dyDescent="0.25">
      <c r="A36" s="10" t="s">
        <v>594</v>
      </c>
      <c r="B36" s="10" t="s">
        <v>356</v>
      </c>
      <c r="C36" s="13" t="str">
        <f>_xll.BDH("NBIX US Equity","IS_OTHER_ONE_TIME_ITEMS","FQ4 2018","FQ4 2018","Currency=USD","Period=FQ","BEST_FPERIOD_OVERRIDE=FQ","FILING_STATUS=MR","SCALING_FORMAT=MLN","Sort=A","Dates=H","DateFormat=P","Fill=—","Direction=H","UseDPDF=Y")</f>
        <v>—</v>
      </c>
      <c r="D36" s="13" t="str">
        <f>_xll.BDH("NBIX US Equity","IS_OTHER_ONE_TIME_ITEMS","FQ1 2019","FQ1 2019","Currency=USD","Period=FQ","BEST_FPERIOD_OVERRIDE=FQ","FILING_STATUS=MR","SCALING_FORMAT=MLN","Sort=A","Dates=H","DateFormat=P","Fill=—","Direction=H","UseDPDF=Y")</f>
        <v>—</v>
      </c>
      <c r="E36" s="13" t="str">
        <f>_xll.BDH("NBIX US Equity","IS_OTHER_ONE_TIME_ITEMS","FQ2 2019","FQ2 2019","Currency=USD","Period=FQ","BEST_FPERIOD_OVERRIDE=FQ","FILING_STATUS=MR","SCALING_FORMAT=MLN","Sort=A","Dates=H","DateFormat=P","Fill=—","Direction=H","UseDPDF=Y")</f>
        <v>—</v>
      </c>
      <c r="F36" s="13" t="str">
        <f>_xll.BDH("NBIX US Equity","IS_OTHER_ONE_TIME_ITEMS","FQ3 2019","FQ3 2019","Currency=USD","Period=FQ","BEST_FPERIOD_OVERRIDE=FQ","FILING_STATUS=MR","SCALING_FORMAT=MLN","Sort=A","Dates=H","DateFormat=P","Fill=—","Direction=H","UseDPDF=Y")</f>
        <v>—</v>
      </c>
      <c r="G36" s="13" t="str">
        <f>_xll.BDH("NBIX US Equity","IS_OTHER_ONE_TIME_ITEMS","FQ4 2019","FQ4 2019","Currency=USD","Period=FQ","BEST_FPERIOD_OVERRIDE=FQ","FILING_STATUS=MR","SCALING_FORMAT=MLN","Sort=A","Dates=H","DateFormat=P","Fill=—","Direction=H","UseDPDF=Y")</f>
        <v>—</v>
      </c>
      <c r="H36" s="13" t="str">
        <f>_xll.BDH("NBIX US Equity","IS_OTHER_ONE_TIME_ITEMS","FQ1 2020","FQ1 2020","Currency=USD","Period=FQ","BEST_FPERIOD_OVERRIDE=FQ","FILING_STATUS=MR","SCALING_FORMAT=MLN","Sort=A","Dates=H","DateFormat=P","Fill=—","Direction=H","UseDPDF=Y")</f>
        <v>—</v>
      </c>
      <c r="I36" s="13" t="str">
        <f>_xll.BDH("NBIX US Equity","IS_OTHER_ONE_TIME_ITEMS","FQ2 2020","FQ2 2020","Currency=USD","Period=FQ","BEST_FPERIOD_OVERRIDE=FQ","FILING_STATUS=MR","SCALING_FORMAT=MLN","Sort=A","Dates=H","DateFormat=P","Fill=—","Direction=H","UseDPDF=Y")</f>
        <v>—</v>
      </c>
      <c r="J36" s="13" t="str">
        <f>_xll.BDH("NBIX US Equity","IS_OTHER_ONE_TIME_ITEMS","FQ3 2020","FQ3 2020","Currency=USD","Period=FQ","BEST_FPERIOD_OVERRIDE=FQ","FILING_STATUS=MR","SCALING_FORMAT=MLN","Sort=A","Dates=H","DateFormat=P","Fill=—","Direction=H","UseDPDF=Y")</f>
        <v>—</v>
      </c>
      <c r="K36" s="13" t="str">
        <f>_xll.BDH("NBIX US Equity","IS_OTHER_ONE_TIME_ITEMS","FQ4 2020","FQ4 2020","Currency=USD","Period=FQ","BEST_FPERIOD_OVERRIDE=FQ","FILING_STATUS=MR","SCALING_FORMAT=MLN","Sort=A","Dates=H","DateFormat=P","Fill=—","Direction=H","UseDPDF=Y")</f>
        <v>—</v>
      </c>
      <c r="L36" s="13" t="str">
        <f>_xll.BDH("NBIX US Equity","IS_OTHER_ONE_TIME_ITEMS","FQ1 2021","FQ1 2021","Currency=USD","Period=FQ","BEST_FPERIOD_OVERRIDE=FQ","FILING_STATUS=MR","SCALING_FORMAT=MLN","Sort=A","Dates=H","DateFormat=P","Fill=—","Direction=H","UseDPDF=Y")</f>
        <v>—</v>
      </c>
      <c r="M36" s="13" t="str">
        <f>_xll.BDH("NBIX US Equity","IS_OTHER_ONE_TIME_ITEMS","FQ2 2021","FQ2 2021","Currency=USD","Period=FQ","BEST_FPERIOD_OVERRIDE=FQ","FILING_STATUS=MR","SCALING_FORMAT=MLN","Sort=A","Dates=H","DateFormat=P","Fill=—","Direction=H","UseDPDF=Y")</f>
        <v>—</v>
      </c>
      <c r="N36" s="13" t="str">
        <f>_xll.BDH("NBIX US Equity","IS_OTHER_ONE_TIME_ITEMS","FQ3 2021","FQ3 2021","Currency=USD","Period=FQ","BEST_FPERIOD_OVERRIDE=FQ","FILING_STATUS=MR","SCALING_FORMAT=MLN","Sort=A","Dates=H","DateFormat=P","Fill=—","Direction=H","UseDPDF=Y")</f>
        <v>—</v>
      </c>
      <c r="O36" s="13" t="str">
        <f>_xll.BDH("NBIX US Equity","IS_OTHER_ONE_TIME_ITEMS","FQ4 2021","FQ4 2021","Currency=USD","Period=FQ","BEST_FPERIOD_OVERRIDE=FQ","FILING_STATUS=MR","SCALING_FORMAT=MLN","Sort=A","Dates=H","DateFormat=P","Fill=—","Direction=H","UseDPDF=Y")</f>
        <v>—</v>
      </c>
      <c r="P36" s="13" t="str">
        <f>_xll.BDH("NBIX US Equity","IS_OTHER_ONE_TIME_ITEMS","FQ1 2022","FQ1 2022","Currency=USD","Period=FQ","BEST_FPERIOD_OVERRIDE=FQ","FILING_STATUS=MR","SCALING_FORMAT=MLN","Sort=A","Dates=H","DateFormat=P","Fill=—","Direction=H","UseDPDF=Y")</f>
        <v>—</v>
      </c>
      <c r="Q36" s="13" t="str">
        <f>_xll.BDH("NBIX US Equity","IS_OTHER_ONE_TIME_ITEMS","FQ2 2022","FQ2 2022","Currency=USD","Period=FQ","BEST_FPERIOD_OVERRIDE=FQ","FILING_STATUS=MR","SCALING_FORMAT=MLN","Sort=A","Dates=H","DateFormat=P","Fill=—","Direction=H","UseDPDF=Y")</f>
        <v>—</v>
      </c>
      <c r="R36" s="13" t="str">
        <f>_xll.BDH("NBIX US Equity","IS_OTHER_ONE_TIME_ITEMS","FQ3 2022","FQ3 2022","Currency=USD","Period=FQ","BEST_FPERIOD_OVERRIDE=FQ","FILING_STATUS=MR","SCALING_FORMAT=MLN","Sort=A","Dates=H","DateFormat=P","Fill=—","Direction=H","UseDPDF=Y")</f>
        <v>—</v>
      </c>
      <c r="S36" s="13" t="str">
        <f>_xll.BDH("NBIX US Equity","IS_OTHER_ONE_TIME_ITEMS","FQ4 2022","FQ4 2022","Currency=USD","Period=FQ","BEST_FPERIOD_OVERRIDE=FQ","FILING_STATUS=MR","SCALING_FORMAT=MLN","Sort=A","Dates=H","DateFormat=P","Fill=—","Direction=H","UseDPDF=Y")</f>
        <v>—</v>
      </c>
      <c r="T36" s="13" t="str">
        <f>_xll.BDH("NBIX US Equity","IS_OTHER_ONE_TIME_ITEMS","FQ1 2023","FQ1 2023","Currency=USD","Period=FQ","BEST_FPERIOD_OVERRIDE=FQ","FILING_STATUS=MR","SCALING_FORMAT=MLN","Sort=A","Dates=H","DateFormat=P","Fill=—","Direction=H","UseDPDF=Y")</f>
        <v>—</v>
      </c>
      <c r="U36" s="13" t="str">
        <f>_xll.BDH("NBIX US Equity","IS_OTHER_ONE_TIME_ITEMS","FQ2 2023","FQ2 2023","Currency=USD","Period=FQ","BEST_FPERIOD_OVERRIDE=FQ","FILING_STATUS=MR","SCALING_FORMAT=MLN","Sort=A","Dates=H","DateFormat=P","Fill=—","Direction=H","UseDPDF=Y")</f>
        <v>—</v>
      </c>
      <c r="V36" s="13" t="str">
        <f>_xll.BDH("NBIX US Equity","IS_OTHER_ONE_TIME_ITEMS","FQ3 2023","FQ3 2023","Currency=USD","Period=FQ","BEST_FPERIOD_OVERRIDE=FQ","FILING_STATUS=MR","SCALING_FORMAT=MLN","Sort=A","Dates=H","DateFormat=P","Fill=—","Direction=H","UseDPDF=Y")</f>
        <v>—</v>
      </c>
      <c r="W36" s="13" t="str">
        <f>_xll.BDH("NBIX US Equity","IS_OTHER_ONE_TIME_ITEMS","FQ4 2023","FQ4 2023","Currency=USD","Period=FQ","BEST_FPERIOD_OVERRIDE=FQ","FILING_STATUS=MR","SCALING_FORMAT=MLN","Sort=A","Dates=H","DateFormat=P","Fill=—","Direction=H","UseDPDF=Y")</f>
        <v>—</v>
      </c>
      <c r="X36" s="13" t="str">
        <f>_xll.BDH("NBIX US Equity","IS_OTHER_ONE_TIME_ITEMS","FQ1 2024","FQ1 2024","Currency=USD","Period=FQ","BEST_FPERIOD_OVERRIDE=FQ","FILING_STATUS=MR","SCALING_FORMAT=MLN","Sort=A","Dates=H","DateFormat=P","Fill=—","Direction=H","UseDPDF=Y")</f>
        <v>—</v>
      </c>
      <c r="Y36" s="13">
        <f>_xll.BDH("NBIX US Equity","IS_OTHER_ONE_TIME_ITEMS","FQ2 2024","FQ2 2024","Currency=USD","Period=FQ","BEST_FPERIOD_OVERRIDE=FQ","FILING_STATUS=MR","SCALING_FORMAT=MLN","Sort=A","Dates=H","DateFormat=P","Fill=—","Direction=H","UseDPDF=Y")</f>
        <v>99.4</v>
      </c>
      <c r="Z36" s="13" t="str">
        <f>_xll.BDH("NBIX US Equity","IS_OTHER_ONE_TIME_ITEMS","FQ3 2024","FQ3 2024","Currency=USD","Period=FQ","BEST_FPERIOD_OVERRIDE=FQ","FILING_STATUS=MR","SCALING_FORMAT=MLN","Sort=A","Dates=H","DateFormat=P","Fill=—","Direction=H","UseDPDF=Y")</f>
        <v>—</v>
      </c>
      <c r="AA36" s="13" t="str">
        <f>_xll.BDH("NBIX US Equity","IS_OTHER_ONE_TIME_ITEMS","FQ4 2024","FQ4 2024","Currency=USD","Period=FQ","BEST_FPERIOD_OVERRIDE=FQ","FILING_STATUS=MR","SCALING_FORMAT=MLN","Sort=A","Dates=H","DateFormat=P","Fill=—","Direction=H","UseDPDF=Y")</f>
        <v>—</v>
      </c>
    </row>
    <row r="37" spans="1:27" x14ac:dyDescent="0.25">
      <c r="A37" s="6" t="s">
        <v>342</v>
      </c>
      <c r="B37" s="6" t="s">
        <v>158</v>
      </c>
      <c r="C37" s="19">
        <f>_xll.BDH("NBIX US Equity","PRETAX_INC","FQ4 2018","FQ4 2018","Currency=USD","Period=FQ","BEST_FPERIOD_OVERRIDE=FQ","FILING_STATUS=MR","SCALING_FORMAT=MLN","FA_ADJUSTED=Adjusted","Sort=A","Dates=H","DateFormat=P","Fill=—","Direction=H","UseDPDF=Y")</f>
        <v>18.808</v>
      </c>
      <c r="D37" s="19">
        <f>_xll.BDH("NBIX US Equity","PRETAX_INC","FQ1 2019","FQ1 2019","Currency=USD","Period=FQ","BEST_FPERIOD_OVERRIDE=FQ","FILING_STATUS=MR","SCALING_FORMAT=MLN","FA_ADJUSTED=Adjusted","Sort=A","Dates=H","DateFormat=P","Fill=—","Direction=H","UseDPDF=Y")</f>
        <v>8.8070000000000004</v>
      </c>
      <c r="E37" s="19">
        <f>_xll.BDH("NBIX US Equity","PRETAX_INC","FQ2 2019","FQ2 2019","Currency=USD","Period=FQ","BEST_FPERIOD_OVERRIDE=FQ","FILING_STATUS=MR","SCALING_FORMAT=MLN","FA_ADJUSTED=Adjusted","Sort=A","Dates=H","DateFormat=P","Fill=—","Direction=H","UseDPDF=Y")</f>
        <v>36.125999999999998</v>
      </c>
      <c r="F37" s="19">
        <f>_xll.BDH("NBIX US Equity","PRETAX_INC","FQ3 2019","FQ3 2019","Currency=USD","Period=FQ","BEST_FPERIOD_OVERRIDE=FQ","FILING_STATUS=MR","SCALING_FORMAT=MLN","FA_ADJUSTED=Adjusted","Sort=A","Dates=H","DateFormat=P","Fill=—","Direction=H","UseDPDF=Y")</f>
        <v>86.856999999999999</v>
      </c>
      <c r="G37" s="19">
        <f>_xll.BDH("NBIX US Equity","PRETAX_INC","FQ4 2019","FQ4 2019","Currency=USD","Period=FQ","BEST_FPERIOD_OVERRIDE=FQ","FILING_STATUS=MR","SCALING_FORMAT=MLN","FA_ADJUSTED=Adjusted","Sort=A","Dates=H","DateFormat=P","Fill=—","Direction=H","UseDPDF=Y")</f>
        <v>82</v>
      </c>
      <c r="H37" s="19">
        <f>_xll.BDH("NBIX US Equity","PRETAX_INC","FQ1 2020","FQ1 2020","Currency=USD","Period=FQ","BEST_FPERIOD_OVERRIDE=FQ","FILING_STATUS=MR","SCALING_FORMAT=MLN","FA_ADJUSTED=Adjusted","Sort=A","Dates=H","DateFormat=P","Fill=—","Direction=H","UseDPDF=Y")</f>
        <v>55.4</v>
      </c>
      <c r="I37" s="19">
        <f>_xll.BDH("NBIX US Equity","PRETAX_INC","FQ2 2020","FQ2 2020","Currency=USD","Period=FQ","BEST_FPERIOD_OVERRIDE=FQ","FILING_STATUS=MR","SCALING_FORMAT=MLN","FA_ADJUSTED=Adjusted","Sort=A","Dates=H","DateFormat=P","Fill=—","Direction=H","UseDPDF=Y")</f>
        <v>117.9</v>
      </c>
      <c r="J37" s="19">
        <f>_xll.BDH("NBIX US Equity","PRETAX_INC","FQ3 2020","FQ3 2020","Currency=USD","Period=FQ","BEST_FPERIOD_OVERRIDE=FQ","FILING_STATUS=MR","SCALING_FORMAT=MLN","FA_ADJUSTED=Adjusted","Sort=A","Dates=H","DateFormat=P","Fill=—","Direction=H","UseDPDF=Y")</f>
        <v>68.400000000000006</v>
      </c>
      <c r="K37" s="19">
        <f>_xll.BDH("NBIX US Equity","PRETAX_INC","FQ4 2020","FQ4 2020","Currency=USD","Period=FQ","BEST_FPERIOD_OVERRIDE=FQ","FILING_STATUS=MR","SCALING_FORMAT=MLN","FA_ADJUSTED=Adjusted","Sort=A","Dates=H","DateFormat=P","Fill=—","Direction=H","UseDPDF=Y")</f>
        <v>65.599999999999994</v>
      </c>
      <c r="L37" s="19">
        <f>_xll.BDH("NBIX US Equity","PRETAX_INC","FQ1 2021","FQ1 2021","Currency=USD","Period=FQ","BEST_FPERIOD_OVERRIDE=FQ","FILING_STATUS=MR","SCALING_FORMAT=MLN","FA_ADJUSTED=Adjusted","Sort=A","Dates=H","DateFormat=P","Fill=—","Direction=H","UseDPDF=Y")</f>
        <v>26.5</v>
      </c>
      <c r="M37" s="19">
        <f>_xll.BDH("NBIX US Equity","PRETAX_INC","FQ2 2021","FQ2 2021","Currency=USD","Period=FQ","BEST_FPERIOD_OVERRIDE=FQ","FILING_STATUS=MR","SCALING_FORMAT=MLN","FA_ADJUSTED=Adjusted","Sort=A","Dates=H","DateFormat=P","Fill=—","Direction=H","UseDPDF=Y")</f>
        <v>62.5</v>
      </c>
      <c r="N37" s="19">
        <f>_xll.BDH("NBIX US Equity","PRETAX_INC","FQ3 2021","FQ3 2021","Currency=USD","Period=FQ","BEST_FPERIOD_OVERRIDE=FQ","FILING_STATUS=MR","SCALING_FORMAT=MLN","FA_ADJUSTED=Adjusted","Sort=A","Dates=H","DateFormat=P","Fill=—","Direction=H","UseDPDF=Y")</f>
        <v>38.700000000000003</v>
      </c>
      <c r="O37" s="19">
        <f>_xll.BDH("NBIX US Equity","PRETAX_INC","FQ4 2021","FQ4 2021","Currency=USD","Period=FQ","BEST_FPERIOD_OVERRIDE=FQ","FILING_STATUS=MR","SCALING_FORMAT=MLN","FA_ADJUSTED=Adjusted","Sort=A","Dates=H","DateFormat=P","Fill=—","Direction=H","UseDPDF=Y")</f>
        <v>58.1</v>
      </c>
      <c r="P37" s="19">
        <f>_xll.BDH("NBIX US Equity","PRETAX_INC","FQ1 2022","FQ1 2022","Currency=USD","Period=FQ","BEST_FPERIOD_OVERRIDE=FQ","FILING_STATUS=MR","SCALING_FORMAT=MLN","FA_ADJUSTED=Adjusted","Sort=A","Dates=H","DateFormat=P","Fill=—","Direction=H","UseDPDF=Y")</f>
        <v>1.5</v>
      </c>
      <c r="Q37" s="19">
        <f>_xll.BDH("NBIX US Equity","PRETAX_INC","FQ2 2022","FQ2 2022","Currency=USD","Period=FQ","BEST_FPERIOD_OVERRIDE=FQ","FILING_STATUS=MR","SCALING_FORMAT=MLN","FA_ADJUSTED=Adjusted","Sort=A","Dates=H","DateFormat=P","Fill=—","Direction=H","UseDPDF=Y")</f>
        <v>-15.9</v>
      </c>
      <c r="R37" s="19">
        <f>_xll.BDH("NBIX US Equity","PRETAX_INC","FQ3 2022","FQ3 2022","Currency=USD","Period=FQ","BEST_FPERIOD_OVERRIDE=FQ","FILING_STATUS=MR","SCALING_FORMAT=MLN","FA_ADJUSTED=Adjusted","Sort=A","Dates=H","DateFormat=P","Fill=—","Direction=H","UseDPDF=Y")</f>
        <v>109</v>
      </c>
      <c r="S37" s="19">
        <f>_xll.BDH("NBIX US Equity","PRETAX_INC","FQ4 2022","FQ4 2022","Currency=USD","Period=FQ","BEST_FPERIOD_OVERRIDE=FQ","FILING_STATUS=MR","SCALING_FORMAT=MLN","FA_ADJUSTED=Adjusted","Sort=A","Dates=H","DateFormat=P","Fill=—","Direction=H","UseDPDF=Y")</f>
        <v>112.4</v>
      </c>
      <c r="T37" s="19">
        <f>_xll.BDH("NBIX US Equity","PRETAX_INC","FQ1 2023","FQ1 2023","Currency=USD","Period=FQ","BEST_FPERIOD_OVERRIDE=FQ","FILING_STATUS=MR","SCALING_FORMAT=MLN","FA_ADJUSTED=Adjusted","Sort=A","Dates=H","DateFormat=P","Fill=—","Direction=H","UseDPDF=Y")</f>
        <v>38.4</v>
      </c>
      <c r="U37" s="19">
        <f>_xll.BDH("NBIX US Equity","PRETAX_INC","FQ2 2023","FQ2 2023","Currency=USD","Period=FQ","BEST_FPERIOD_OVERRIDE=FQ","FILING_STATUS=MR","SCALING_FORMAT=MLN","FA_ADJUSTED=Adjusted","Sort=A","Dates=H","DateFormat=P","Fill=—","Direction=H","UseDPDF=Y")</f>
        <v>84.3</v>
      </c>
      <c r="V37" s="19">
        <f>_xll.BDH("NBIX US Equity","PRETAX_INC","FQ3 2023","FQ3 2023","Currency=USD","Period=FQ","BEST_FPERIOD_OVERRIDE=FQ","FILING_STATUS=MR","SCALING_FORMAT=MLN","FA_ADJUSTED=Adjusted","Sort=A","Dates=H","DateFormat=P","Fill=—","Direction=H","UseDPDF=Y")</f>
        <v>159.6</v>
      </c>
      <c r="W37" s="19">
        <f>_xll.BDH("NBIX US Equity","PRETAX_INC","FQ4 2023","FQ4 2023","Currency=USD","Period=FQ","BEST_FPERIOD_OVERRIDE=FQ","FILING_STATUS=MR","SCALING_FORMAT=MLN","FA_ADJUSTED=Adjusted","Sort=A","Dates=H","DateFormat=P","Fill=—","Direction=H","UseDPDF=Y")</f>
        <v>169.2</v>
      </c>
      <c r="X37" s="19">
        <f>_xll.BDH("NBIX US Equity","PRETAX_INC","FQ1 2024","FQ1 2024","Currency=USD","Period=FQ","BEST_FPERIOD_OVERRIDE=FQ","FILING_STATUS=MR","SCALING_FORMAT=MLN","FA_ADJUSTED=Adjusted","Sort=A","Dates=H","DateFormat=P","Fill=—","Direction=H","UseDPDF=Y")</f>
        <v>38.9</v>
      </c>
      <c r="Y37" s="19">
        <f>_xll.BDH("NBIX US Equity","PRETAX_INC","FQ2 2024","FQ2 2024","Currency=USD","Period=FQ","BEST_FPERIOD_OVERRIDE=FQ","FILING_STATUS=MR","SCALING_FORMAT=MLN","FA_ADJUSTED=Adjusted","Sort=A","Dates=H","DateFormat=P","Fill=—","Direction=H","UseDPDF=Y")</f>
        <v>234.4</v>
      </c>
      <c r="Z37" s="19">
        <f>_xll.BDH("NBIX US Equity","PRETAX_INC","FQ3 2024","FQ3 2024","Currency=USD","Period=FQ","BEST_FPERIOD_OVERRIDE=FQ","FILING_STATUS=MR","SCALING_FORMAT=MLN","FA_ADJUSTED=Adjusted","Sort=A","Dates=H","DateFormat=P","Fill=—","Direction=H","UseDPDF=Y")</f>
        <v>208.2</v>
      </c>
      <c r="AA37" s="19">
        <f>_xll.BDH("NBIX US Equity","PRETAX_INC","FQ4 2024","FQ4 2024","Currency=USD","Period=FQ","BEST_FPERIOD_OVERRIDE=FQ","FILING_STATUS=MR","SCALING_FORMAT=MLN","FA_ADJUSTED=Adjusted","Sort=A","Dates=H","DateFormat=P","Fill=—","Direction=H","UseDPDF=Y")</f>
        <v>167.5</v>
      </c>
    </row>
    <row r="38" spans="1:27" x14ac:dyDescent="0.25">
      <c r="A38" s="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6" t="s">
        <v>599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6" t="s">
        <v>600</v>
      </c>
      <c r="B40" s="6" t="s">
        <v>80</v>
      </c>
      <c r="C40" s="19">
        <f>_xll.BDH("NBIX US Equity","EARN_FOR_COMMON","FQ4 2018","FQ4 2018","Currency=USD","Period=FQ","BEST_FPERIOD_OVERRIDE=FQ","FILING_STATUS=MR","SCALING_FORMAT=MLN","FA_ADJUSTED=GAAP","Sort=A","Dates=H","DateFormat=P","Fill=—","Direction=H","UseDPDF=Y")</f>
        <v>18.077999999999999</v>
      </c>
      <c r="D40" s="19">
        <f>_xll.BDH("NBIX US Equity","EARN_FOR_COMMON","FQ1 2019","FQ1 2019","Currency=USD","Period=FQ","BEST_FPERIOD_OVERRIDE=FQ","FILING_STATUS=MR","SCALING_FORMAT=MLN","FA_ADJUSTED=GAAP","Sort=A","Dates=H","DateFormat=P","Fill=—","Direction=H","UseDPDF=Y")</f>
        <v>-102.11499999999999</v>
      </c>
      <c r="E40" s="19">
        <f>_xll.BDH("NBIX US Equity","EARN_FOR_COMMON","FQ2 2019","FQ2 2019","Currency=USD","Period=FQ","BEST_FPERIOD_OVERRIDE=FQ","FILING_STATUS=MR","SCALING_FORMAT=MLN","FA_ADJUSTED=GAAP","Sort=A","Dates=H","DateFormat=P","Fill=—","Direction=H","UseDPDF=Y")</f>
        <v>51.338000000000001</v>
      </c>
      <c r="F40" s="19">
        <f>_xll.BDH("NBIX US Equity","EARN_FOR_COMMON","FQ3 2019","FQ3 2019","Currency=USD","Period=FQ","BEST_FPERIOD_OVERRIDE=FQ","FILING_STATUS=MR","SCALING_FORMAT=MLN","FA_ADJUSTED=GAAP","Sort=A","Dates=H","DateFormat=P","Fill=—","Direction=H","UseDPDF=Y")</f>
        <v>53.789000000000001</v>
      </c>
      <c r="G40" s="19">
        <f>_xll.BDH("NBIX US Equity","EARN_FOR_COMMON","FQ4 2019","FQ4 2019","Currency=USD","Period=FQ","BEST_FPERIOD_OVERRIDE=FQ","FILING_STATUS=MR","SCALING_FORMAT=MLN","FA_ADJUSTED=GAAP","Sort=A","Dates=H","DateFormat=P","Fill=—","Direction=H","UseDPDF=Y")</f>
        <v>34</v>
      </c>
      <c r="H40" s="19">
        <f>_xll.BDH("NBIX US Equity","EARN_FOR_COMMON","FQ1 2020","FQ1 2020","Currency=USD","Period=FQ","BEST_FPERIOD_OVERRIDE=FQ","FILING_STATUS=MR","SCALING_FORMAT=MLN","FA_ADJUSTED=GAAP","Sort=A","Dates=H","DateFormat=P","Fill=—","Direction=H","UseDPDF=Y")</f>
        <v>37.4</v>
      </c>
      <c r="I40" s="19">
        <f>_xll.BDH("NBIX US Equity","EARN_FOR_COMMON","FQ2 2020","FQ2 2020","Currency=USD","Period=FQ","BEST_FPERIOD_OVERRIDE=FQ","FILING_STATUS=MR","SCALING_FORMAT=MLN","FA_ADJUSTED=GAAP","Sort=A","Dates=H","DateFormat=P","Fill=—","Direction=H","UseDPDF=Y")</f>
        <v>79.599999999999994</v>
      </c>
      <c r="J40" s="19">
        <f>_xll.BDH("NBIX US Equity","EARN_FOR_COMMON","FQ3 2020","FQ3 2020","Currency=USD","Period=FQ","BEST_FPERIOD_OVERRIDE=FQ","FILING_STATUS=MR","SCALING_FORMAT=MLN","FA_ADJUSTED=GAAP","Sort=A","Dates=H","DateFormat=P","Fill=—","Direction=H","UseDPDF=Y")</f>
        <v>-57.6</v>
      </c>
      <c r="K40" s="19">
        <f>_xll.BDH("NBIX US Equity","EARN_FOR_COMMON","FQ4 2020","FQ4 2020","Currency=USD","Period=FQ","BEST_FPERIOD_OVERRIDE=FQ","FILING_STATUS=MR","SCALING_FORMAT=MLN","FA_ADJUSTED=GAAP","Sort=A","Dates=H","DateFormat=P","Fill=—","Direction=H","UseDPDF=Y")</f>
        <v>347.9</v>
      </c>
      <c r="L40" s="19">
        <f>_xll.BDH("NBIX US Equity","EARN_FOR_COMMON","FQ1 2021","FQ1 2021","Currency=USD","Period=FQ","BEST_FPERIOD_OVERRIDE=FQ","FILING_STATUS=MR","SCALING_FORMAT=MLN","FA_ADJUSTED=GAAP","Sort=A","Dates=H","DateFormat=P","Fill=—","Direction=H","UseDPDF=Y")</f>
        <v>32.1</v>
      </c>
      <c r="M40" s="19">
        <f>_xll.BDH("NBIX US Equity","EARN_FOR_COMMON","FQ2 2021","FQ2 2021","Currency=USD","Period=FQ","BEST_FPERIOD_OVERRIDE=FQ","FILING_STATUS=MR","SCALING_FORMAT=MLN","FA_ADJUSTED=GAAP","Sort=A","Dates=H","DateFormat=P","Fill=—","Direction=H","UseDPDF=Y")</f>
        <v>42.3</v>
      </c>
      <c r="N40" s="19">
        <f>_xll.BDH("NBIX US Equity","EARN_FOR_COMMON","FQ3 2021","FQ3 2021","Currency=USD","Period=FQ","BEST_FPERIOD_OVERRIDE=FQ","FILING_STATUS=MR","SCALING_FORMAT=MLN","FA_ADJUSTED=GAAP","Sort=A","Dates=H","DateFormat=P","Fill=—","Direction=H","UseDPDF=Y")</f>
        <v>22.5</v>
      </c>
      <c r="O40" s="19">
        <f>_xll.BDH("NBIX US Equity","EARN_FOR_COMMON","FQ4 2021","FQ4 2021","Currency=USD","Period=FQ","BEST_FPERIOD_OVERRIDE=FQ","FILING_STATUS=MR","SCALING_FORMAT=MLN","FA_ADJUSTED=GAAP","Sort=A","Dates=H","DateFormat=P","Fill=—","Direction=H","UseDPDF=Y")</f>
        <v>-7.3</v>
      </c>
      <c r="P40" s="19">
        <f>_xll.BDH("NBIX US Equity","EARN_FOR_COMMON","FQ1 2022","FQ1 2022","Currency=USD","Period=FQ","BEST_FPERIOD_OVERRIDE=FQ","FILING_STATUS=MR","SCALING_FORMAT=MLN","FA_ADJUSTED=GAAP","Sort=A","Dates=H","DateFormat=P","Fill=—","Direction=H","UseDPDF=Y")</f>
        <v>13.9</v>
      </c>
      <c r="Q40" s="19">
        <f>_xll.BDH("NBIX US Equity","EARN_FOR_COMMON","FQ2 2022","FQ2 2022","Currency=USD","Period=FQ","BEST_FPERIOD_OVERRIDE=FQ","FILING_STATUS=MR","SCALING_FORMAT=MLN","FA_ADJUSTED=GAAP","Sort=A","Dates=H","DateFormat=P","Fill=—","Direction=H","UseDPDF=Y")</f>
        <v>-16.899999999999999</v>
      </c>
      <c r="R40" s="19">
        <f>_xll.BDH("NBIX US Equity","EARN_FOR_COMMON","FQ3 2022","FQ3 2022","Currency=USD","Period=FQ","BEST_FPERIOD_OVERRIDE=FQ","FILING_STATUS=MR","SCALING_FORMAT=MLN","FA_ADJUSTED=GAAP","Sort=A","Dates=H","DateFormat=P","Fill=—","Direction=H","UseDPDF=Y")</f>
        <v>68.5</v>
      </c>
      <c r="S40" s="19">
        <f>_xll.BDH("NBIX US Equity","EARN_FOR_COMMON","FQ4 2022","FQ4 2022","Currency=USD","Period=FQ","BEST_FPERIOD_OVERRIDE=FQ","FILING_STATUS=MR","SCALING_FORMAT=MLN","FA_ADJUSTED=GAAP","Sort=A","Dates=H","DateFormat=P","Fill=—","Direction=H","UseDPDF=Y")</f>
        <v>89</v>
      </c>
      <c r="T40" s="19">
        <f>_xll.BDH("NBIX US Equity","EARN_FOR_COMMON","FQ1 2023","FQ1 2023","Currency=USD","Period=FQ","BEST_FPERIOD_OVERRIDE=FQ","FILING_STATUS=MR","SCALING_FORMAT=MLN","FA_ADJUSTED=GAAP","Sort=A","Dates=H","DateFormat=P","Fill=—","Direction=H","UseDPDF=Y")</f>
        <v>-76.599999999999994</v>
      </c>
      <c r="U40" s="19">
        <f>_xll.BDH("NBIX US Equity","EARN_FOR_COMMON","FQ2 2023","FQ2 2023","Currency=USD","Period=FQ","BEST_FPERIOD_OVERRIDE=FQ","FILING_STATUS=MR","SCALING_FORMAT=MLN","FA_ADJUSTED=GAAP","Sort=A","Dates=H","DateFormat=P","Fill=—","Direction=H","UseDPDF=Y")</f>
        <v>95.5</v>
      </c>
      <c r="V40" s="19">
        <f>_xll.BDH("NBIX US Equity","EARN_FOR_COMMON","FQ3 2023","FQ3 2023","Currency=USD","Period=FQ","BEST_FPERIOD_OVERRIDE=FQ","FILING_STATUS=MR","SCALING_FORMAT=MLN","FA_ADJUSTED=GAAP","Sort=A","Dates=H","DateFormat=P","Fill=—","Direction=H","UseDPDF=Y")</f>
        <v>83.1</v>
      </c>
      <c r="W40" s="19">
        <f>_xll.BDH("NBIX US Equity","EARN_FOR_COMMON","FQ4 2023","FQ4 2023","Currency=USD","Period=FQ","BEST_FPERIOD_OVERRIDE=FQ","FILING_STATUS=MR","SCALING_FORMAT=MLN","FA_ADJUSTED=GAAP","Sort=A","Dates=H","DateFormat=P","Fill=—","Direction=H","UseDPDF=Y")</f>
        <v>147.69999999999999</v>
      </c>
      <c r="X40" s="19">
        <f>_xll.BDH("NBIX US Equity","EARN_FOR_COMMON","FQ1 2024","FQ1 2024","Currency=USD","Period=FQ","BEST_FPERIOD_OVERRIDE=FQ","FILING_STATUS=MR","SCALING_FORMAT=MLN","FA_ADJUSTED=GAAP","Sort=A","Dates=H","DateFormat=P","Fill=—","Direction=H","UseDPDF=Y")</f>
        <v>43.4</v>
      </c>
      <c r="Y40" s="19">
        <f>_xll.BDH("NBIX US Equity","EARN_FOR_COMMON","FQ2 2024","FQ2 2024","Currency=USD","Period=FQ","BEST_FPERIOD_OVERRIDE=FQ","FILING_STATUS=MR","SCALING_FORMAT=MLN","FA_ADJUSTED=GAAP","Sort=A","Dates=H","DateFormat=P","Fill=—","Direction=H","UseDPDF=Y")</f>
        <v>65</v>
      </c>
      <c r="Z40" s="19">
        <f>_xll.BDH("NBIX US Equity","EARN_FOR_COMMON","FQ3 2024","FQ3 2024","Currency=USD","Period=FQ","BEST_FPERIOD_OVERRIDE=FQ","FILING_STATUS=MR","SCALING_FORMAT=MLN","FA_ADJUSTED=GAAP","Sort=A","Dates=H","DateFormat=P","Fill=—","Direction=H","UseDPDF=Y")</f>
        <v>129.80000000000001</v>
      </c>
      <c r="AA40" s="19">
        <f>_xll.BDH("NBIX US Equity","EARN_FOR_COMMON","FQ4 2024","FQ4 2024","Currency=USD","Period=FQ","BEST_FPERIOD_OVERRIDE=FQ","FILING_STATUS=MR","SCALING_FORMAT=MLN","FA_ADJUSTED=GAAP","Sort=A","Dates=H","DateFormat=P","Fill=—","Direction=H","UseDPDF=Y")</f>
        <v>103.1</v>
      </c>
    </row>
    <row r="41" spans="1:27" x14ac:dyDescent="0.25">
      <c r="A41" s="10" t="s">
        <v>601</v>
      </c>
      <c r="B41" s="10" t="s">
        <v>369</v>
      </c>
      <c r="C41" s="13">
        <f>_xll.BDH("NBIX US Equity","IS_DISCONTINUED_OPERATIONS","FQ4 2018","FQ4 2018","Currency=USD","Period=FQ","BEST_FPERIOD_OVERRIDE=FQ","FILING_STATUS=MR","SCALING_FORMAT=MLN","Sort=A","Dates=H","DateFormat=P","Fill=—","Direction=H","UseDPDF=Y")</f>
        <v>0</v>
      </c>
      <c r="D41" s="13">
        <f>_xll.BDH("NBIX US Equity","IS_DISCONTINUED_OPERATIONS","FQ1 2019","FQ1 2019","Currency=USD","Period=FQ","BEST_FPERIOD_OVERRIDE=FQ","FILING_STATUS=MR","SCALING_FORMAT=MLN","Sort=A","Dates=H","DateFormat=P","Fill=—","Direction=H","UseDPDF=Y")</f>
        <v>0</v>
      </c>
      <c r="E41" s="13">
        <f>_xll.BDH("NBIX US Equity","IS_DISCONTINUED_OPERATIONS","FQ2 2019","FQ2 2019","Currency=USD","Period=FQ","BEST_FPERIOD_OVERRIDE=FQ","FILING_STATUS=MR","SCALING_FORMAT=MLN","Sort=A","Dates=H","DateFormat=P","Fill=—","Direction=H","UseDPDF=Y")</f>
        <v>0</v>
      </c>
      <c r="F41" s="13">
        <f>_xll.BDH("NBIX US Equity","IS_DISCONTINUED_OPERATIONS","FQ3 2019","FQ3 2019","Currency=USD","Period=FQ","BEST_FPERIOD_OVERRIDE=FQ","FILING_STATUS=MR","SCALING_FORMAT=MLN","Sort=A","Dates=H","DateFormat=P","Fill=—","Direction=H","UseDPDF=Y")</f>
        <v>0</v>
      </c>
      <c r="G41" s="13">
        <f>_xll.BDH("NBIX US Equity","IS_DISCONTINUED_OPERATIONS","FQ4 2019","FQ4 2019","Currency=USD","Period=FQ","BEST_FPERIOD_OVERRIDE=FQ","FILING_STATUS=MR","SCALING_FORMAT=MLN","Sort=A","Dates=H","DateFormat=P","Fill=—","Direction=H","UseDPDF=Y")</f>
        <v>0</v>
      </c>
      <c r="H41" s="13">
        <f>_xll.BDH("NBIX US Equity","IS_DISCONTINUED_OPERATIONS","FQ1 2020","FQ1 2020","Currency=USD","Period=FQ","BEST_FPERIOD_OVERRIDE=FQ","FILING_STATUS=MR","SCALING_FORMAT=MLN","Sort=A","Dates=H","DateFormat=P","Fill=—","Direction=H","UseDPDF=Y")</f>
        <v>0</v>
      </c>
      <c r="I41" s="13">
        <f>_xll.BDH("NBIX US Equity","IS_DISCONTINUED_OPERATIONS","FQ2 2020","FQ2 2020","Currency=USD","Period=FQ","BEST_FPERIOD_OVERRIDE=FQ","FILING_STATUS=MR","SCALING_FORMAT=MLN","Sort=A","Dates=H","DateFormat=P","Fill=—","Direction=H","UseDPDF=Y")</f>
        <v>0</v>
      </c>
      <c r="J41" s="13">
        <f>_xll.BDH("NBIX US Equity","IS_DISCONTINUED_OPERATIONS","FQ3 2020","FQ3 2020","Currency=USD","Period=FQ","BEST_FPERIOD_OVERRIDE=FQ","FILING_STATUS=MR","SCALING_FORMAT=MLN","Sort=A","Dates=H","DateFormat=P","Fill=—","Direction=H","UseDPDF=Y")</f>
        <v>0</v>
      </c>
      <c r="K41" s="13">
        <f>_xll.BDH("NBIX US Equity","IS_DISCONTINUED_OPERATIONS","FQ4 2020","FQ4 2020","Currency=USD","Period=FQ","BEST_FPERIOD_OVERRIDE=FQ","FILING_STATUS=MR","SCALING_FORMAT=MLN","Sort=A","Dates=H","DateFormat=P","Fill=—","Direction=H","UseDPDF=Y")</f>
        <v>0</v>
      </c>
      <c r="L41" s="13">
        <f>_xll.BDH("NBIX US Equity","IS_DISCONTINUED_OPERATIONS","FQ1 2021","FQ1 2021","Currency=USD","Period=FQ","BEST_FPERIOD_OVERRIDE=FQ","FILING_STATUS=MR","SCALING_FORMAT=MLN","Sort=A","Dates=H","DateFormat=P","Fill=—","Direction=H","UseDPDF=Y")</f>
        <v>0</v>
      </c>
      <c r="M41" s="13">
        <f>_xll.BDH("NBIX US Equity","IS_DISCONTINUED_OPERATIONS","FQ2 2021","FQ2 2021","Currency=USD","Period=FQ","BEST_FPERIOD_OVERRIDE=FQ","FILING_STATUS=MR","SCALING_FORMAT=MLN","Sort=A","Dates=H","DateFormat=P","Fill=—","Direction=H","UseDPDF=Y")</f>
        <v>0</v>
      </c>
      <c r="N41" s="13">
        <f>_xll.BDH("NBIX US Equity","IS_DISCONTINUED_OPERATIONS","FQ3 2021","FQ3 2021","Currency=USD","Period=FQ","BEST_FPERIOD_OVERRIDE=FQ","FILING_STATUS=MR","SCALING_FORMAT=MLN","Sort=A","Dates=H","DateFormat=P","Fill=—","Direction=H","UseDPDF=Y")</f>
        <v>0</v>
      </c>
      <c r="O41" s="13">
        <f>_xll.BDH("NBIX US Equity","IS_DISCONTINUED_OPERATIONS","FQ4 2021","FQ4 2021","Currency=USD","Period=FQ","BEST_FPERIOD_OVERRIDE=FQ","FILING_STATUS=MR","SCALING_FORMAT=MLN","Sort=A","Dates=H","DateFormat=P","Fill=—","Direction=H","UseDPDF=Y")</f>
        <v>0</v>
      </c>
      <c r="P41" s="13">
        <f>_xll.BDH("NBIX US Equity","IS_DISCONTINUED_OPERATIONS","FQ1 2022","FQ1 2022","Currency=USD","Period=FQ","BEST_FPERIOD_OVERRIDE=FQ","FILING_STATUS=MR","SCALING_FORMAT=MLN","Sort=A","Dates=H","DateFormat=P","Fill=—","Direction=H","UseDPDF=Y")</f>
        <v>0</v>
      </c>
      <c r="Q41" s="13">
        <f>_xll.BDH("NBIX US Equity","IS_DISCONTINUED_OPERATIONS","FQ2 2022","FQ2 2022","Currency=USD","Period=FQ","BEST_FPERIOD_OVERRIDE=FQ","FILING_STATUS=MR","SCALING_FORMAT=MLN","Sort=A","Dates=H","DateFormat=P","Fill=—","Direction=H","UseDPDF=Y")</f>
        <v>0</v>
      </c>
      <c r="R41" s="13">
        <f>_xll.BDH("NBIX US Equity","IS_DISCONTINUED_OPERATIONS","FQ3 2022","FQ3 2022","Currency=USD","Period=FQ","BEST_FPERIOD_OVERRIDE=FQ","FILING_STATUS=MR","SCALING_FORMAT=MLN","Sort=A","Dates=H","DateFormat=P","Fill=—","Direction=H","UseDPDF=Y")</f>
        <v>0</v>
      </c>
      <c r="S41" s="13">
        <f>_xll.BDH("NBIX US Equity","IS_DISCONTINUED_OPERATIONS","FQ4 2022","FQ4 2022","Currency=USD","Period=FQ","BEST_FPERIOD_OVERRIDE=FQ","FILING_STATUS=MR","SCALING_FORMAT=MLN","Sort=A","Dates=H","DateFormat=P","Fill=—","Direction=H","UseDPDF=Y")</f>
        <v>0</v>
      </c>
      <c r="T41" s="13">
        <f>_xll.BDH("NBIX US Equity","IS_DISCONTINUED_OPERATIONS","FQ1 2023","FQ1 2023","Currency=USD","Period=FQ","BEST_FPERIOD_OVERRIDE=FQ","FILING_STATUS=MR","SCALING_FORMAT=MLN","Sort=A","Dates=H","DateFormat=P","Fill=—","Direction=H","UseDPDF=Y")</f>
        <v>0</v>
      </c>
      <c r="U41" s="13">
        <f>_xll.BDH("NBIX US Equity","IS_DISCONTINUED_OPERATIONS","FQ2 2023","FQ2 2023","Currency=USD","Period=FQ","BEST_FPERIOD_OVERRIDE=FQ","FILING_STATUS=MR","SCALING_FORMAT=MLN","Sort=A","Dates=H","DateFormat=P","Fill=—","Direction=H","UseDPDF=Y")</f>
        <v>0</v>
      </c>
      <c r="V41" s="13">
        <f>_xll.BDH("NBIX US Equity","IS_DISCONTINUED_OPERATIONS","FQ3 2023","FQ3 2023","Currency=USD","Period=FQ","BEST_FPERIOD_OVERRIDE=FQ","FILING_STATUS=MR","SCALING_FORMAT=MLN","Sort=A","Dates=H","DateFormat=P","Fill=—","Direction=H","UseDPDF=Y")</f>
        <v>0</v>
      </c>
      <c r="W41" s="13">
        <f>_xll.BDH("NBIX US Equity","IS_DISCONTINUED_OPERATIONS","FQ4 2023","FQ4 2023","Currency=USD","Period=FQ","BEST_FPERIOD_OVERRIDE=FQ","FILING_STATUS=MR","SCALING_FORMAT=MLN","Sort=A","Dates=H","DateFormat=P","Fill=—","Direction=H","UseDPDF=Y")</f>
        <v>0</v>
      </c>
      <c r="X41" s="13">
        <f>_xll.BDH("NBIX US Equity","IS_DISCONTINUED_OPERATIONS","FQ1 2024","FQ1 2024","Currency=USD","Period=FQ","BEST_FPERIOD_OVERRIDE=FQ","FILING_STATUS=MR","SCALING_FORMAT=MLN","Sort=A","Dates=H","DateFormat=P","Fill=—","Direction=H","UseDPDF=Y")</f>
        <v>0</v>
      </c>
      <c r="Y41" s="13">
        <f>_xll.BDH("NBIX US Equity","IS_DISCONTINUED_OPERATIONS","FQ2 2024","FQ2 2024","Currency=USD","Period=FQ","BEST_FPERIOD_OVERRIDE=FQ","FILING_STATUS=MR","SCALING_FORMAT=MLN","Sort=A","Dates=H","DateFormat=P","Fill=—","Direction=H","UseDPDF=Y")</f>
        <v>0</v>
      </c>
      <c r="Z41" s="13">
        <f>_xll.BDH("NBIX US Equity","IS_DISCONTINUED_OPERATIONS","FQ3 2024","FQ3 2024","Currency=USD","Period=FQ","BEST_FPERIOD_OVERRIDE=FQ","FILING_STATUS=MR","SCALING_FORMAT=MLN","Sort=A","Dates=H","DateFormat=P","Fill=—","Direction=H","UseDPDF=Y")</f>
        <v>0</v>
      </c>
      <c r="AA41" s="13">
        <f>_xll.BDH("NBIX US Equity","IS_DISCONTINUED_OPERATIONS","FQ4 2024","FQ4 2024","Currency=USD","Period=FQ","BEST_FPERIOD_OVERRIDE=FQ","FILING_STATUS=MR","SCALING_FORMAT=MLN","Sort=A","Dates=H","DateFormat=P","Fill=—","Direction=H","UseDPDF=Y")</f>
        <v>0</v>
      </c>
    </row>
    <row r="42" spans="1:27" x14ac:dyDescent="0.25">
      <c r="A42" s="10" t="s">
        <v>602</v>
      </c>
      <c r="B42" s="10" t="s">
        <v>371</v>
      </c>
      <c r="C42" s="13">
        <f>_xll.BDH("NBIX US Equity","EXTRAORD_ITEMS_ACCOUNTING_CHANGS","FQ4 2018","FQ4 2018","Currency=USD","Period=FQ","BEST_FPERIOD_OVERRIDE=FQ","FILING_STATUS=MR","SCALING_FORMAT=MLN","Sort=A","Dates=H","DateFormat=P","Fill=—","Direction=H","UseDPDF=Y")</f>
        <v>0</v>
      </c>
      <c r="D42" s="13">
        <f>_xll.BDH("NBIX US Equity","EXTRAORD_ITEMS_ACCOUNTING_CHANGS","FQ1 2019","FQ1 2019","Currency=USD","Period=FQ","BEST_FPERIOD_OVERRIDE=FQ","FILING_STATUS=MR","SCALING_FORMAT=MLN","Sort=A","Dates=H","DateFormat=P","Fill=—","Direction=H","UseDPDF=Y")</f>
        <v>0</v>
      </c>
      <c r="E42" s="13">
        <f>_xll.BDH("NBIX US Equity","EXTRAORD_ITEMS_ACCOUNTING_CHANGS","FQ2 2019","FQ2 2019","Currency=USD","Period=FQ","BEST_FPERIOD_OVERRIDE=FQ","FILING_STATUS=MR","SCALING_FORMAT=MLN","Sort=A","Dates=H","DateFormat=P","Fill=—","Direction=H","UseDPDF=Y")</f>
        <v>0</v>
      </c>
      <c r="F42" s="13">
        <f>_xll.BDH("NBIX US Equity","EXTRAORD_ITEMS_ACCOUNTING_CHANGS","FQ3 2019","FQ3 2019","Currency=USD","Period=FQ","BEST_FPERIOD_OVERRIDE=FQ","FILING_STATUS=MR","SCALING_FORMAT=MLN","Sort=A","Dates=H","DateFormat=P","Fill=—","Direction=H","UseDPDF=Y")</f>
        <v>0</v>
      </c>
      <c r="G42" s="13">
        <f>_xll.BDH("NBIX US Equity","EXTRAORD_ITEMS_ACCOUNTING_CHANGS","FQ4 2019","FQ4 2019","Currency=USD","Period=FQ","BEST_FPERIOD_OVERRIDE=FQ","FILING_STATUS=MR","SCALING_FORMAT=MLN","Sort=A","Dates=H","DateFormat=P","Fill=—","Direction=H","UseDPDF=Y")</f>
        <v>0</v>
      </c>
      <c r="H42" s="13">
        <f>_xll.BDH("NBIX US Equity","EXTRAORD_ITEMS_ACCOUNTING_CHANGS","FQ1 2020","FQ1 2020","Currency=USD","Period=FQ","BEST_FPERIOD_OVERRIDE=FQ","FILING_STATUS=MR","SCALING_FORMAT=MLN","Sort=A","Dates=H","DateFormat=P","Fill=—","Direction=H","UseDPDF=Y")</f>
        <v>0</v>
      </c>
      <c r="I42" s="13">
        <f>_xll.BDH("NBIX US Equity","EXTRAORD_ITEMS_ACCOUNTING_CHANGS","FQ2 2020","FQ2 2020","Currency=USD","Period=FQ","BEST_FPERIOD_OVERRIDE=FQ","FILING_STATUS=MR","SCALING_FORMAT=MLN","Sort=A","Dates=H","DateFormat=P","Fill=—","Direction=H","UseDPDF=Y")</f>
        <v>0</v>
      </c>
      <c r="J42" s="13">
        <f>_xll.BDH("NBIX US Equity","EXTRAORD_ITEMS_ACCOUNTING_CHANGS","FQ3 2020","FQ3 2020","Currency=USD","Period=FQ","BEST_FPERIOD_OVERRIDE=FQ","FILING_STATUS=MR","SCALING_FORMAT=MLN","Sort=A","Dates=H","DateFormat=P","Fill=—","Direction=H","UseDPDF=Y")</f>
        <v>0</v>
      </c>
      <c r="K42" s="13">
        <f>_xll.BDH("NBIX US Equity","EXTRAORD_ITEMS_ACCOUNTING_CHANGS","FQ4 2020","FQ4 2020","Currency=USD","Period=FQ","BEST_FPERIOD_OVERRIDE=FQ","FILING_STATUS=MR","SCALING_FORMAT=MLN","Sort=A","Dates=H","DateFormat=P","Fill=—","Direction=H","UseDPDF=Y")</f>
        <v>0</v>
      </c>
      <c r="L42" s="13">
        <f>_xll.BDH("NBIX US Equity","EXTRAORD_ITEMS_ACCOUNTING_CHANGS","FQ1 2021","FQ1 2021","Currency=USD","Period=FQ","BEST_FPERIOD_OVERRIDE=FQ","FILING_STATUS=MR","SCALING_FORMAT=MLN","Sort=A","Dates=H","DateFormat=P","Fill=—","Direction=H","UseDPDF=Y")</f>
        <v>0</v>
      </c>
      <c r="M42" s="13">
        <f>_xll.BDH("NBIX US Equity","EXTRAORD_ITEMS_ACCOUNTING_CHANGS","FQ2 2021","FQ2 2021","Currency=USD","Period=FQ","BEST_FPERIOD_OVERRIDE=FQ","FILING_STATUS=MR","SCALING_FORMAT=MLN","Sort=A","Dates=H","DateFormat=P","Fill=—","Direction=H","UseDPDF=Y")</f>
        <v>0</v>
      </c>
      <c r="N42" s="13">
        <f>_xll.BDH("NBIX US Equity","EXTRAORD_ITEMS_ACCOUNTING_CHANGS","FQ3 2021","FQ3 2021","Currency=USD","Period=FQ","BEST_FPERIOD_OVERRIDE=FQ","FILING_STATUS=MR","SCALING_FORMAT=MLN","Sort=A","Dates=H","DateFormat=P","Fill=—","Direction=H","UseDPDF=Y")</f>
        <v>0</v>
      </c>
      <c r="O42" s="13">
        <f>_xll.BDH("NBIX US Equity","EXTRAORD_ITEMS_ACCOUNTING_CHANGS","FQ4 2021","FQ4 2021","Currency=USD","Period=FQ","BEST_FPERIOD_OVERRIDE=FQ","FILING_STATUS=MR","SCALING_FORMAT=MLN","Sort=A","Dates=H","DateFormat=P","Fill=—","Direction=H","UseDPDF=Y")</f>
        <v>0</v>
      </c>
      <c r="P42" s="13">
        <f>_xll.BDH("NBIX US Equity","EXTRAORD_ITEMS_ACCOUNTING_CHANGS","FQ1 2022","FQ1 2022","Currency=USD","Period=FQ","BEST_FPERIOD_OVERRIDE=FQ","FILING_STATUS=MR","SCALING_FORMAT=MLN","Sort=A","Dates=H","DateFormat=P","Fill=—","Direction=H","UseDPDF=Y")</f>
        <v>0</v>
      </c>
      <c r="Q42" s="13">
        <f>_xll.BDH("NBIX US Equity","EXTRAORD_ITEMS_ACCOUNTING_CHANGS","FQ2 2022","FQ2 2022","Currency=USD","Period=FQ","BEST_FPERIOD_OVERRIDE=FQ","FILING_STATUS=MR","SCALING_FORMAT=MLN","Sort=A","Dates=H","DateFormat=P","Fill=—","Direction=H","UseDPDF=Y")</f>
        <v>0</v>
      </c>
      <c r="R42" s="13">
        <f>_xll.BDH("NBIX US Equity","EXTRAORD_ITEMS_ACCOUNTING_CHANGS","FQ3 2022","FQ3 2022","Currency=USD","Period=FQ","BEST_FPERIOD_OVERRIDE=FQ","FILING_STATUS=MR","SCALING_FORMAT=MLN","Sort=A","Dates=H","DateFormat=P","Fill=—","Direction=H","UseDPDF=Y")</f>
        <v>0</v>
      </c>
      <c r="S42" s="13">
        <f>_xll.BDH("NBIX US Equity","EXTRAORD_ITEMS_ACCOUNTING_CHANGS","FQ4 2022","FQ4 2022","Currency=USD","Period=FQ","BEST_FPERIOD_OVERRIDE=FQ","FILING_STATUS=MR","SCALING_FORMAT=MLN","Sort=A","Dates=H","DateFormat=P","Fill=—","Direction=H","UseDPDF=Y")</f>
        <v>0</v>
      </c>
      <c r="T42" s="13">
        <f>_xll.BDH("NBIX US Equity","EXTRAORD_ITEMS_ACCOUNTING_CHANGS","FQ1 2023","FQ1 2023","Currency=USD","Period=FQ","BEST_FPERIOD_OVERRIDE=FQ","FILING_STATUS=MR","SCALING_FORMAT=MLN","Sort=A","Dates=H","DateFormat=P","Fill=—","Direction=H","UseDPDF=Y")</f>
        <v>0</v>
      </c>
      <c r="U42" s="13">
        <f>_xll.BDH("NBIX US Equity","EXTRAORD_ITEMS_ACCOUNTING_CHANGS","FQ2 2023","FQ2 2023","Currency=USD","Period=FQ","BEST_FPERIOD_OVERRIDE=FQ","FILING_STATUS=MR","SCALING_FORMAT=MLN","Sort=A","Dates=H","DateFormat=P","Fill=—","Direction=H","UseDPDF=Y")</f>
        <v>0</v>
      </c>
      <c r="V42" s="13">
        <f>_xll.BDH("NBIX US Equity","EXTRAORD_ITEMS_ACCOUNTING_CHANGS","FQ3 2023","FQ3 2023","Currency=USD","Period=FQ","BEST_FPERIOD_OVERRIDE=FQ","FILING_STATUS=MR","SCALING_FORMAT=MLN","Sort=A","Dates=H","DateFormat=P","Fill=—","Direction=H","UseDPDF=Y")</f>
        <v>0</v>
      </c>
      <c r="W42" s="13">
        <f>_xll.BDH("NBIX US Equity","EXTRAORD_ITEMS_ACCOUNTING_CHANGS","FQ4 2023","FQ4 2023","Currency=USD","Period=FQ","BEST_FPERIOD_OVERRIDE=FQ","FILING_STATUS=MR","SCALING_FORMAT=MLN","Sort=A","Dates=H","DateFormat=P","Fill=—","Direction=H","UseDPDF=Y")</f>
        <v>0</v>
      </c>
      <c r="X42" s="13">
        <f>_xll.BDH("NBIX US Equity","EXTRAORD_ITEMS_ACCOUNTING_CHANGS","FQ1 2024","FQ1 2024","Currency=USD","Period=FQ","BEST_FPERIOD_OVERRIDE=FQ","FILING_STATUS=MR","SCALING_FORMAT=MLN","Sort=A","Dates=H","DateFormat=P","Fill=—","Direction=H","UseDPDF=Y")</f>
        <v>0</v>
      </c>
      <c r="Y42" s="13">
        <f>_xll.BDH("NBIX US Equity","EXTRAORD_ITEMS_ACCOUNTING_CHANGS","FQ2 2024","FQ2 2024","Currency=USD","Period=FQ","BEST_FPERIOD_OVERRIDE=FQ","FILING_STATUS=MR","SCALING_FORMAT=MLN","Sort=A","Dates=H","DateFormat=P","Fill=—","Direction=H","UseDPDF=Y")</f>
        <v>0</v>
      </c>
      <c r="Z42" s="13">
        <f>_xll.BDH("NBIX US Equity","EXTRAORD_ITEMS_ACCOUNTING_CHANGS","FQ3 2024","FQ3 2024","Currency=USD","Period=FQ","BEST_FPERIOD_OVERRIDE=FQ","FILING_STATUS=MR","SCALING_FORMAT=MLN","Sort=A","Dates=H","DateFormat=P","Fill=—","Direction=H","UseDPDF=Y")</f>
        <v>0</v>
      </c>
      <c r="AA42" s="13">
        <f>_xll.BDH("NBIX US Equity","EXTRAORD_ITEMS_ACCOUNTING_CHANGS","FQ4 2024","FQ4 2024","Currency=USD","Period=FQ","BEST_FPERIOD_OVERRIDE=FQ","FILING_STATUS=MR","SCALING_FORMAT=MLN","Sort=A","Dates=H","DateFormat=P","Fill=—","Direction=H","UseDPDF=Y")</f>
        <v>0</v>
      </c>
    </row>
    <row r="43" spans="1:27" x14ac:dyDescent="0.25">
      <c r="A43" s="6" t="s">
        <v>603</v>
      </c>
      <c r="B43" s="6" t="s">
        <v>604</v>
      </c>
      <c r="C43" s="19">
        <f>_xll.BDH("NBIX US Equity","INC_BEF_XO_LESS_MIN_INT_PREF_DVD","FQ4 2018","FQ4 2018","Currency=USD","Period=FQ","BEST_FPERIOD_OVERRIDE=FQ","FILING_STATUS=MR","SCALING_FORMAT=MLN","FA_ADJUSTED=GAAP","Sort=A","Dates=H","DateFormat=P","Fill=—","Direction=H","UseDPDF=Y")</f>
        <v>18.077999999999999</v>
      </c>
      <c r="D43" s="19">
        <f>_xll.BDH("NBIX US Equity","INC_BEF_XO_LESS_MIN_INT_PREF_DVD","FQ1 2019","FQ1 2019","Currency=USD","Period=FQ","BEST_FPERIOD_OVERRIDE=FQ","FILING_STATUS=MR","SCALING_FORMAT=MLN","FA_ADJUSTED=GAAP","Sort=A","Dates=H","DateFormat=P","Fill=—","Direction=H","UseDPDF=Y")</f>
        <v>-102.11499999999999</v>
      </c>
      <c r="E43" s="19">
        <f>_xll.BDH("NBIX US Equity","INC_BEF_XO_LESS_MIN_INT_PREF_DVD","FQ2 2019","FQ2 2019","Currency=USD","Period=FQ","BEST_FPERIOD_OVERRIDE=FQ","FILING_STATUS=MR","SCALING_FORMAT=MLN","FA_ADJUSTED=GAAP","Sort=A","Dates=H","DateFormat=P","Fill=—","Direction=H","UseDPDF=Y")</f>
        <v>51.338000000000001</v>
      </c>
      <c r="F43" s="19">
        <f>_xll.BDH("NBIX US Equity","INC_BEF_XO_LESS_MIN_INT_PREF_DVD","FQ3 2019","FQ3 2019","Currency=USD","Period=FQ","BEST_FPERIOD_OVERRIDE=FQ","FILING_STATUS=MR","SCALING_FORMAT=MLN","FA_ADJUSTED=GAAP","Sort=A","Dates=H","DateFormat=P","Fill=—","Direction=H","UseDPDF=Y")</f>
        <v>53.789000000000001</v>
      </c>
      <c r="G43" s="19">
        <f>_xll.BDH("NBIX US Equity","INC_BEF_XO_LESS_MIN_INT_PREF_DVD","FQ4 2019","FQ4 2019","Currency=USD","Period=FQ","BEST_FPERIOD_OVERRIDE=FQ","FILING_STATUS=MR","SCALING_FORMAT=MLN","FA_ADJUSTED=GAAP","Sort=A","Dates=H","DateFormat=P","Fill=—","Direction=H","UseDPDF=Y")</f>
        <v>34</v>
      </c>
      <c r="H43" s="19">
        <f>_xll.BDH("NBIX US Equity","INC_BEF_XO_LESS_MIN_INT_PREF_DVD","FQ1 2020","FQ1 2020","Currency=USD","Period=FQ","BEST_FPERIOD_OVERRIDE=FQ","FILING_STATUS=MR","SCALING_FORMAT=MLN","FA_ADJUSTED=GAAP","Sort=A","Dates=H","DateFormat=P","Fill=—","Direction=H","UseDPDF=Y")</f>
        <v>37.4</v>
      </c>
      <c r="I43" s="19">
        <f>_xll.BDH("NBIX US Equity","INC_BEF_XO_LESS_MIN_INT_PREF_DVD","FQ2 2020","FQ2 2020","Currency=USD","Period=FQ","BEST_FPERIOD_OVERRIDE=FQ","FILING_STATUS=MR","SCALING_FORMAT=MLN","FA_ADJUSTED=GAAP","Sort=A","Dates=H","DateFormat=P","Fill=—","Direction=H","UseDPDF=Y")</f>
        <v>79.599999999999994</v>
      </c>
      <c r="J43" s="19">
        <f>_xll.BDH("NBIX US Equity","INC_BEF_XO_LESS_MIN_INT_PREF_DVD","FQ3 2020","FQ3 2020","Currency=USD","Period=FQ","BEST_FPERIOD_OVERRIDE=FQ","FILING_STATUS=MR","SCALING_FORMAT=MLN","FA_ADJUSTED=GAAP","Sort=A","Dates=H","DateFormat=P","Fill=—","Direction=H","UseDPDF=Y")</f>
        <v>-57.6</v>
      </c>
      <c r="K43" s="19">
        <f>_xll.BDH("NBIX US Equity","INC_BEF_XO_LESS_MIN_INT_PREF_DVD","FQ4 2020","FQ4 2020","Currency=USD","Period=FQ","BEST_FPERIOD_OVERRIDE=FQ","FILING_STATUS=MR","SCALING_FORMAT=MLN","FA_ADJUSTED=GAAP","Sort=A","Dates=H","DateFormat=P","Fill=—","Direction=H","UseDPDF=Y")</f>
        <v>347.9</v>
      </c>
      <c r="L43" s="19">
        <f>_xll.BDH("NBIX US Equity","INC_BEF_XO_LESS_MIN_INT_PREF_DVD","FQ1 2021","FQ1 2021","Currency=USD","Period=FQ","BEST_FPERIOD_OVERRIDE=FQ","FILING_STATUS=MR","SCALING_FORMAT=MLN","FA_ADJUSTED=GAAP","Sort=A","Dates=H","DateFormat=P","Fill=—","Direction=H","UseDPDF=Y")</f>
        <v>32.1</v>
      </c>
      <c r="M43" s="19">
        <f>_xll.BDH("NBIX US Equity","INC_BEF_XO_LESS_MIN_INT_PREF_DVD","FQ2 2021","FQ2 2021","Currency=USD","Period=FQ","BEST_FPERIOD_OVERRIDE=FQ","FILING_STATUS=MR","SCALING_FORMAT=MLN","FA_ADJUSTED=GAAP","Sort=A","Dates=H","DateFormat=P","Fill=—","Direction=H","UseDPDF=Y")</f>
        <v>42.3</v>
      </c>
      <c r="N43" s="19">
        <f>_xll.BDH("NBIX US Equity","INC_BEF_XO_LESS_MIN_INT_PREF_DVD","FQ3 2021","FQ3 2021","Currency=USD","Period=FQ","BEST_FPERIOD_OVERRIDE=FQ","FILING_STATUS=MR","SCALING_FORMAT=MLN","FA_ADJUSTED=GAAP","Sort=A","Dates=H","DateFormat=P","Fill=—","Direction=H","UseDPDF=Y")</f>
        <v>22.5</v>
      </c>
      <c r="O43" s="19">
        <f>_xll.BDH("NBIX US Equity","INC_BEF_XO_LESS_MIN_INT_PREF_DVD","FQ4 2021","FQ4 2021","Currency=USD","Period=FQ","BEST_FPERIOD_OVERRIDE=FQ","FILING_STATUS=MR","SCALING_FORMAT=MLN","FA_ADJUSTED=GAAP","Sort=A","Dates=H","DateFormat=P","Fill=—","Direction=H","UseDPDF=Y")</f>
        <v>-7.3</v>
      </c>
      <c r="P43" s="19">
        <f>_xll.BDH("NBIX US Equity","INC_BEF_XO_LESS_MIN_INT_PREF_DVD","FQ1 2022","FQ1 2022","Currency=USD","Period=FQ","BEST_FPERIOD_OVERRIDE=FQ","FILING_STATUS=MR","SCALING_FORMAT=MLN","FA_ADJUSTED=GAAP","Sort=A","Dates=H","DateFormat=P","Fill=—","Direction=H","UseDPDF=Y")</f>
        <v>13.9</v>
      </c>
      <c r="Q43" s="19">
        <f>_xll.BDH("NBIX US Equity","INC_BEF_XO_LESS_MIN_INT_PREF_DVD","FQ2 2022","FQ2 2022","Currency=USD","Period=FQ","BEST_FPERIOD_OVERRIDE=FQ","FILING_STATUS=MR","SCALING_FORMAT=MLN","FA_ADJUSTED=GAAP","Sort=A","Dates=H","DateFormat=P","Fill=—","Direction=H","UseDPDF=Y")</f>
        <v>-16.899999999999999</v>
      </c>
      <c r="R43" s="19">
        <f>_xll.BDH("NBIX US Equity","INC_BEF_XO_LESS_MIN_INT_PREF_DVD","FQ3 2022","FQ3 2022","Currency=USD","Period=FQ","BEST_FPERIOD_OVERRIDE=FQ","FILING_STATUS=MR","SCALING_FORMAT=MLN","FA_ADJUSTED=GAAP","Sort=A","Dates=H","DateFormat=P","Fill=—","Direction=H","UseDPDF=Y")</f>
        <v>68.5</v>
      </c>
      <c r="S43" s="19">
        <f>_xll.BDH("NBIX US Equity","INC_BEF_XO_LESS_MIN_INT_PREF_DVD","FQ4 2022","FQ4 2022","Currency=USD","Period=FQ","BEST_FPERIOD_OVERRIDE=FQ","FILING_STATUS=MR","SCALING_FORMAT=MLN","FA_ADJUSTED=GAAP","Sort=A","Dates=H","DateFormat=P","Fill=—","Direction=H","UseDPDF=Y")</f>
        <v>89</v>
      </c>
      <c r="T43" s="19">
        <f>_xll.BDH("NBIX US Equity","INC_BEF_XO_LESS_MIN_INT_PREF_DVD","FQ1 2023","FQ1 2023","Currency=USD","Period=FQ","BEST_FPERIOD_OVERRIDE=FQ","FILING_STATUS=MR","SCALING_FORMAT=MLN","FA_ADJUSTED=GAAP","Sort=A","Dates=H","DateFormat=P","Fill=—","Direction=H","UseDPDF=Y")</f>
        <v>-76.599999999999994</v>
      </c>
      <c r="U43" s="19">
        <f>_xll.BDH("NBIX US Equity","INC_BEF_XO_LESS_MIN_INT_PREF_DVD","FQ2 2023","FQ2 2023","Currency=USD","Period=FQ","BEST_FPERIOD_OVERRIDE=FQ","FILING_STATUS=MR","SCALING_FORMAT=MLN","FA_ADJUSTED=GAAP","Sort=A","Dates=H","DateFormat=P","Fill=—","Direction=H","UseDPDF=Y")</f>
        <v>95.5</v>
      </c>
      <c r="V43" s="19">
        <f>_xll.BDH("NBIX US Equity","INC_BEF_XO_LESS_MIN_INT_PREF_DVD","FQ3 2023","FQ3 2023","Currency=USD","Period=FQ","BEST_FPERIOD_OVERRIDE=FQ","FILING_STATUS=MR","SCALING_FORMAT=MLN","FA_ADJUSTED=GAAP","Sort=A","Dates=H","DateFormat=P","Fill=—","Direction=H","UseDPDF=Y")</f>
        <v>83.1</v>
      </c>
      <c r="W43" s="19">
        <f>_xll.BDH("NBIX US Equity","INC_BEF_XO_LESS_MIN_INT_PREF_DVD","FQ4 2023","FQ4 2023","Currency=USD","Period=FQ","BEST_FPERIOD_OVERRIDE=FQ","FILING_STATUS=MR","SCALING_FORMAT=MLN","FA_ADJUSTED=GAAP","Sort=A","Dates=H","DateFormat=P","Fill=—","Direction=H","UseDPDF=Y")</f>
        <v>147.69999999999999</v>
      </c>
      <c r="X43" s="19">
        <f>_xll.BDH("NBIX US Equity","INC_BEF_XO_LESS_MIN_INT_PREF_DVD","FQ1 2024","FQ1 2024","Currency=USD","Period=FQ","BEST_FPERIOD_OVERRIDE=FQ","FILING_STATUS=MR","SCALING_FORMAT=MLN","FA_ADJUSTED=GAAP","Sort=A","Dates=H","DateFormat=P","Fill=—","Direction=H","UseDPDF=Y")</f>
        <v>43.4</v>
      </c>
      <c r="Y43" s="19">
        <f>_xll.BDH("NBIX US Equity","INC_BEF_XO_LESS_MIN_INT_PREF_DVD","FQ2 2024","FQ2 2024","Currency=USD","Period=FQ","BEST_FPERIOD_OVERRIDE=FQ","FILING_STATUS=MR","SCALING_FORMAT=MLN","FA_ADJUSTED=GAAP","Sort=A","Dates=H","DateFormat=P","Fill=—","Direction=H","UseDPDF=Y")</f>
        <v>65</v>
      </c>
      <c r="Z43" s="19">
        <f>_xll.BDH("NBIX US Equity","INC_BEF_XO_LESS_MIN_INT_PREF_DVD","FQ3 2024","FQ3 2024","Currency=USD","Period=FQ","BEST_FPERIOD_OVERRIDE=FQ","FILING_STATUS=MR","SCALING_FORMAT=MLN","FA_ADJUSTED=GAAP","Sort=A","Dates=H","DateFormat=P","Fill=—","Direction=H","UseDPDF=Y")</f>
        <v>129.80000000000001</v>
      </c>
      <c r="AA43" s="19">
        <f>_xll.BDH("NBIX US Equity","INC_BEF_XO_LESS_MIN_INT_PREF_DVD","FQ4 2024","FQ4 2024","Currency=USD","Period=FQ","BEST_FPERIOD_OVERRIDE=FQ","FILING_STATUS=MR","SCALING_FORMAT=MLN","FA_ADJUSTED=GAAP","Sort=A","Dates=H","DateFormat=P","Fill=—","Direction=H","UseDPDF=Y")</f>
        <v>103.1</v>
      </c>
    </row>
    <row r="44" spans="1:27" x14ac:dyDescent="0.25">
      <c r="A44" s="10" t="s">
        <v>588</v>
      </c>
      <c r="B44" s="10" t="s">
        <v>605</v>
      </c>
      <c r="C44" s="13" t="str">
        <f>_xll.BDH("NBIX US Equity","IS_AIP_RD_AFTER_TAX","FQ4 2018","FQ4 2018","Currency=USD","Period=FQ","BEST_FPERIOD_OVERRIDE=FQ","FILING_STATUS=MR","SCALING_FORMAT=MLN","Sort=A","Dates=H","DateFormat=P","Fill=—","Direction=H","UseDPDF=Y")</f>
        <v>—</v>
      </c>
      <c r="D44" s="13">
        <f>_xll.BDH("NBIX US Equity","IS_AIP_RD_AFTER_TAX","FQ1 2019","FQ1 2019","Currency=USD","Period=FQ","BEST_FPERIOD_OVERRIDE=FQ","FILING_STATUS=MR","SCALING_FORMAT=MLN","Sort=A","Dates=H","DateFormat=P","Fill=—","Direction=H","UseDPDF=Y")</f>
        <v>89.334000000000003</v>
      </c>
      <c r="E44" s="13">
        <f>_xll.BDH("NBIX US Equity","IS_AIP_RD_AFTER_TAX","FQ2 2019","FQ2 2019","Currency=USD","Period=FQ","BEST_FPERIOD_OVERRIDE=FQ","FILING_STATUS=MR","SCALING_FORMAT=MLN","Sort=A","Dates=H","DateFormat=P","Fill=—","Direction=H","UseDPDF=Y")</f>
        <v>3.95</v>
      </c>
      <c r="F44" s="13" t="str">
        <f>_xll.BDH("NBIX US Equity","IS_AIP_RD_AFTER_TAX","FQ3 2019","FQ3 2019","Currency=USD","Period=FQ","BEST_FPERIOD_OVERRIDE=FQ","FILING_STATUS=MR","SCALING_FORMAT=MLN","Sort=A","Dates=H","DateFormat=P","Fill=—","Direction=H","UseDPDF=Y")</f>
        <v>—</v>
      </c>
      <c r="G44" s="13">
        <f>_xll.BDH("NBIX US Equity","IS_AIP_RD_AFTER_TAX","FQ4 2019","FQ4 2019","Currency=USD","Period=FQ","BEST_FPERIOD_OVERRIDE=FQ","FILING_STATUS=MR","SCALING_FORMAT=MLN","Sort=A","Dates=H","DateFormat=P","Fill=—","Direction=H","UseDPDF=Y")</f>
        <v>35.780299999999997</v>
      </c>
      <c r="H44" s="13" t="str">
        <f>_xll.BDH("NBIX US Equity","IS_AIP_RD_AFTER_TAX","FQ1 2020","FQ1 2020","Currency=USD","Period=FQ","BEST_FPERIOD_OVERRIDE=FQ","FILING_STATUS=MR","SCALING_FORMAT=MLN","Sort=A","Dates=H","DateFormat=P","Fill=—","Direction=H","UseDPDF=Y")</f>
        <v>—</v>
      </c>
      <c r="I44" s="13">
        <f>_xll.BDH("NBIX US Equity","IS_AIP_RD_AFTER_TAX","FQ2 2020","FQ2 2020","Currency=USD","Period=FQ","BEST_FPERIOD_OVERRIDE=FQ","FILING_STATUS=MR","SCALING_FORMAT=MLN","Sort=A","Dates=H","DateFormat=P","Fill=—","Direction=H","UseDPDF=Y")</f>
        <v>45.922800000000002</v>
      </c>
      <c r="J44" s="13">
        <f>_xll.BDH("NBIX US Equity","IS_AIP_RD_AFTER_TAX","FQ3 2020","FQ3 2020","Currency=USD","Period=FQ","BEST_FPERIOD_OVERRIDE=FQ","FILING_STATUS=MR","SCALING_FORMAT=MLN","Sort=A","Dates=H","DateFormat=P","Fill=—","Direction=H","UseDPDF=Y")</f>
        <v>115.7863</v>
      </c>
      <c r="K44" s="13" t="str">
        <f>_xll.BDH("NBIX US Equity","IS_AIP_RD_AFTER_TAX","FQ4 2020","FQ4 2020","Currency=USD","Period=FQ","BEST_FPERIOD_OVERRIDE=FQ","FILING_STATUS=MR","SCALING_FORMAT=MLN","Sort=A","Dates=H","DateFormat=P","Fill=—","Direction=H","UseDPDF=Y")</f>
        <v>—</v>
      </c>
      <c r="L44" s="13" t="str">
        <f>_xll.BDH("NBIX US Equity","IS_AIP_RD_AFTER_TAX","FQ1 2021","FQ1 2021","Currency=USD","Period=FQ","BEST_FPERIOD_OVERRIDE=FQ","FILING_STATUS=MR","SCALING_FORMAT=MLN","Sort=A","Dates=H","DateFormat=P","Fill=—","Direction=H","UseDPDF=Y")</f>
        <v>—</v>
      </c>
      <c r="M44" s="13">
        <f>_xll.BDH("NBIX US Equity","IS_AIP_RD_AFTER_TAX","FQ2 2021","FQ2 2021","Currency=USD","Period=FQ","BEST_FPERIOD_OVERRIDE=FQ","FILING_STATUS=MR","SCALING_FORMAT=MLN","Sort=A","Dates=H","DateFormat=P","Fill=—","Direction=H","UseDPDF=Y")</f>
        <v>4.3981000000000003</v>
      </c>
      <c r="N44" s="13" t="str">
        <f>_xll.BDH("NBIX US Equity","IS_AIP_RD_AFTER_TAX","FQ3 2021","FQ3 2021","Currency=USD","Period=FQ","BEST_FPERIOD_OVERRIDE=FQ","FILING_STATUS=MR","SCALING_FORMAT=MLN","Sort=A","Dates=H","DateFormat=P","Fill=—","Direction=H","UseDPDF=Y")</f>
        <v>—</v>
      </c>
      <c r="O44" s="13">
        <f>_xll.BDH("NBIX US Equity","IS_AIP_RD_AFTER_TAX","FQ4 2021","FQ4 2021","Currency=USD","Period=FQ","BEST_FPERIOD_OVERRIDE=FQ","FILING_STATUS=MR","SCALING_FORMAT=MLN","Sort=A","Dates=H","DateFormat=P","Fill=—","Direction=H","UseDPDF=Y")</f>
        <v>79.236999999999995</v>
      </c>
      <c r="P44" s="13" t="str">
        <f>_xll.BDH("NBIX US Equity","IS_AIP_RD_AFTER_TAX","FQ1 2022","FQ1 2022","Currency=USD","Period=FQ","BEST_FPERIOD_OVERRIDE=FQ","FILING_STATUS=MR","SCALING_FORMAT=MLN","Sort=A","Dates=H","DateFormat=P","Fill=—","Direction=H","UseDPDF=Y")</f>
        <v>—</v>
      </c>
      <c r="Q44" s="13" t="str">
        <f>_xll.BDH("NBIX US Equity","IS_AIP_RD_AFTER_TAX","FQ2 2022","FQ2 2022","Currency=USD","Period=FQ","BEST_FPERIOD_OVERRIDE=FQ","FILING_STATUS=MR","SCALING_FORMAT=MLN","Sort=A","Dates=H","DateFormat=P","Fill=—","Direction=H","UseDPDF=Y")</f>
        <v>—</v>
      </c>
      <c r="R44" s="13" t="str">
        <f>_xll.BDH("NBIX US Equity","IS_AIP_RD_AFTER_TAX","FQ3 2022","FQ3 2022","Currency=USD","Period=FQ","BEST_FPERIOD_OVERRIDE=FQ","FILING_STATUS=MR","SCALING_FORMAT=MLN","Sort=A","Dates=H","DateFormat=P","Fill=—","Direction=H","UseDPDF=Y")</f>
        <v>—</v>
      </c>
      <c r="S44" s="13" t="str">
        <f>_xll.BDH("NBIX US Equity","IS_AIP_RD_AFTER_TAX","FQ4 2022","FQ4 2022","Currency=USD","Period=FQ","BEST_FPERIOD_OVERRIDE=FQ","FILING_STATUS=MR","SCALING_FORMAT=MLN","Sort=A","Dates=H","DateFormat=P","Fill=—","Direction=H","UseDPDF=Y")</f>
        <v>—</v>
      </c>
      <c r="T44" s="13">
        <f>_xll.BDH("NBIX US Equity","IS_AIP_RD_AFTER_TAX","FQ1 2023","FQ1 2023","Currency=USD","Period=FQ","BEST_FPERIOD_OVERRIDE=FQ","FILING_STATUS=MR","SCALING_FORMAT=MLN","Sort=A","Dates=H","DateFormat=P","Fill=—","Direction=H","UseDPDF=Y")</f>
        <v>113.681</v>
      </c>
      <c r="U44" s="13" t="str">
        <f>_xll.BDH("NBIX US Equity","IS_AIP_RD_AFTER_TAX","FQ2 2023","FQ2 2023","Currency=USD","Period=FQ","BEST_FPERIOD_OVERRIDE=FQ","FILING_STATUS=MR","SCALING_FORMAT=MLN","Sort=A","Dates=H","DateFormat=P","Fill=—","Direction=H","UseDPDF=Y")</f>
        <v>—</v>
      </c>
      <c r="V44" s="13" t="str">
        <f>_xll.BDH("NBIX US Equity","IS_AIP_RD_AFTER_TAX","FQ3 2023","FQ3 2023","Currency=USD","Period=FQ","BEST_FPERIOD_OVERRIDE=FQ","FILING_STATUS=MR","SCALING_FORMAT=MLN","Sort=A","Dates=H","DateFormat=P","Fill=—","Direction=H","UseDPDF=Y")</f>
        <v>—</v>
      </c>
      <c r="W44" s="13" t="str">
        <f>_xll.BDH("NBIX US Equity","IS_AIP_RD_AFTER_TAX","FQ4 2023","FQ4 2023","Currency=USD","Period=FQ","BEST_FPERIOD_OVERRIDE=FQ","FILING_STATUS=MR","SCALING_FORMAT=MLN","Sort=A","Dates=H","DateFormat=P","Fill=—","Direction=H","UseDPDF=Y")</f>
        <v>—</v>
      </c>
      <c r="X44" s="13">
        <f>_xll.BDH("NBIX US Equity","IS_AIP_RD_AFTER_TAX","FQ1 2024","FQ1 2024","Currency=USD","Period=FQ","BEST_FPERIOD_OVERRIDE=FQ","FILING_STATUS=MR","SCALING_FORMAT=MLN","Sort=A","Dates=H","DateFormat=P","Fill=—","Direction=H","UseDPDF=Y")</f>
        <v>4.74</v>
      </c>
      <c r="Y44" s="13">
        <f>_xll.BDH("NBIX US Equity","IS_AIP_RD_AFTER_TAX","FQ2 2024","FQ2 2024","Currency=USD","Period=FQ","BEST_FPERIOD_OVERRIDE=FQ","FILING_STATUS=MR","SCALING_FORMAT=MLN","Sort=A","Dates=H","DateFormat=P","Fill=—","Direction=H","UseDPDF=Y")</f>
        <v>1.9750000000000001</v>
      </c>
      <c r="Z44" s="13">
        <f>_xll.BDH("NBIX US Equity","IS_AIP_RD_AFTER_TAX","FQ3 2024","FQ3 2024","Currency=USD","Period=FQ","BEST_FPERIOD_OVERRIDE=FQ","FILING_STATUS=MR","SCALING_FORMAT=MLN","Sort=A","Dates=H","DateFormat=P","Fill=—","Direction=H","UseDPDF=Y")</f>
        <v>0.95420000000000005</v>
      </c>
      <c r="AA44" s="13">
        <f>_xll.BDH("NBIX US Equity","IS_AIP_RD_AFTER_TAX","FQ4 2024","FQ4 2024","Currency=USD","Period=FQ","BEST_FPERIOD_OVERRIDE=FQ","FILING_STATUS=MR","SCALING_FORMAT=MLN","Sort=A","Dates=H","DateFormat=P","Fill=—","Direction=H","UseDPDF=Y")</f>
        <v>2.37</v>
      </c>
    </row>
    <row r="45" spans="1:27" x14ac:dyDescent="0.25">
      <c r="A45" s="10" t="s">
        <v>590</v>
      </c>
      <c r="B45" s="10" t="s">
        <v>606</v>
      </c>
      <c r="C45" s="13" t="str">
        <f>_xll.BDH("NBIX US Equity","IS_MA_EXPENSE_AFTER_TAX","FQ4 2018","FQ4 2018","Currency=USD","Period=FQ","BEST_FPERIOD_OVERRIDE=FQ","FILING_STATUS=MR","SCALING_FORMAT=MLN","Sort=A","Dates=H","DateFormat=P","Fill=—","Direction=H","UseDPDF=Y")</f>
        <v>—</v>
      </c>
      <c r="D45" s="13" t="str">
        <f>_xll.BDH("NBIX US Equity","IS_MA_EXPENSE_AFTER_TAX","FQ1 2019","FQ1 2019","Currency=USD","Period=FQ","BEST_FPERIOD_OVERRIDE=FQ","FILING_STATUS=MR","SCALING_FORMAT=MLN","Sort=A","Dates=H","DateFormat=P","Fill=—","Direction=H","UseDPDF=Y")</f>
        <v>—</v>
      </c>
      <c r="E45" s="13" t="str">
        <f>_xll.BDH("NBIX US Equity","IS_MA_EXPENSE_AFTER_TAX","FQ2 2019","FQ2 2019","Currency=USD","Period=FQ","BEST_FPERIOD_OVERRIDE=FQ","FILING_STATUS=MR","SCALING_FORMAT=MLN","Sort=A","Dates=H","DateFormat=P","Fill=—","Direction=H","UseDPDF=Y")</f>
        <v>—</v>
      </c>
      <c r="F45" s="13" t="str">
        <f>_xll.BDH("NBIX US Equity","IS_MA_EXPENSE_AFTER_TAX","FQ3 2019","FQ3 2019","Currency=USD","Period=FQ","BEST_FPERIOD_OVERRIDE=FQ","FILING_STATUS=MR","SCALING_FORMAT=MLN","Sort=A","Dates=H","DateFormat=P","Fill=—","Direction=H","UseDPDF=Y")</f>
        <v>—</v>
      </c>
      <c r="G45" s="13" t="str">
        <f>_xll.BDH("NBIX US Equity","IS_MA_EXPENSE_AFTER_TAX","FQ4 2019","FQ4 2019","Currency=USD","Period=FQ","BEST_FPERIOD_OVERRIDE=FQ","FILING_STATUS=MR","SCALING_FORMAT=MLN","Sort=A","Dates=H","DateFormat=P","Fill=—","Direction=H","UseDPDF=Y")</f>
        <v>—</v>
      </c>
      <c r="H45" s="13" t="str">
        <f>_xll.BDH("NBIX US Equity","IS_MA_EXPENSE_AFTER_TAX","FQ1 2020","FQ1 2020","Currency=USD","Period=FQ","BEST_FPERIOD_OVERRIDE=FQ","FILING_STATUS=MR","SCALING_FORMAT=MLN","Sort=A","Dates=H","DateFormat=P","Fill=—","Direction=H","UseDPDF=Y")</f>
        <v>—</v>
      </c>
      <c r="I45" s="13" t="str">
        <f>_xll.BDH("NBIX US Equity","IS_MA_EXPENSE_AFTER_TAX","FQ2 2020","FQ2 2020","Currency=USD","Period=FQ","BEST_FPERIOD_OVERRIDE=FQ","FILING_STATUS=MR","SCALING_FORMAT=MLN","Sort=A","Dates=H","DateFormat=P","Fill=—","Direction=H","UseDPDF=Y")</f>
        <v>—</v>
      </c>
      <c r="J45" s="13" t="str">
        <f>_xll.BDH("NBIX US Equity","IS_MA_EXPENSE_AFTER_TAX","FQ3 2020","FQ3 2020","Currency=USD","Period=FQ","BEST_FPERIOD_OVERRIDE=FQ","FILING_STATUS=MR","SCALING_FORMAT=MLN","Sort=A","Dates=H","DateFormat=P","Fill=—","Direction=H","UseDPDF=Y")</f>
        <v>—</v>
      </c>
      <c r="K45" s="13" t="str">
        <f>_xll.BDH("NBIX US Equity","IS_MA_EXPENSE_AFTER_TAX","FQ4 2020","FQ4 2020","Currency=USD","Period=FQ","BEST_FPERIOD_OVERRIDE=FQ","FILING_STATUS=MR","SCALING_FORMAT=MLN","Sort=A","Dates=H","DateFormat=P","Fill=—","Direction=H","UseDPDF=Y")</f>
        <v>—</v>
      </c>
      <c r="L45" s="13" t="str">
        <f>_xll.BDH("NBIX US Equity","IS_MA_EXPENSE_AFTER_TAX","FQ1 2021","FQ1 2021","Currency=USD","Period=FQ","BEST_FPERIOD_OVERRIDE=FQ","FILING_STATUS=MR","SCALING_FORMAT=MLN","Sort=A","Dates=H","DateFormat=P","Fill=—","Direction=H","UseDPDF=Y")</f>
        <v>—</v>
      </c>
      <c r="M45" s="13" t="str">
        <f>_xll.BDH("NBIX US Equity","IS_MA_EXPENSE_AFTER_TAX","FQ2 2021","FQ2 2021","Currency=USD","Period=FQ","BEST_FPERIOD_OVERRIDE=FQ","FILING_STATUS=MR","SCALING_FORMAT=MLN","Sort=A","Dates=H","DateFormat=P","Fill=—","Direction=H","UseDPDF=Y")</f>
        <v>—</v>
      </c>
      <c r="N45" s="13" t="str">
        <f>_xll.BDH("NBIX US Equity","IS_MA_EXPENSE_AFTER_TAX","FQ3 2021","FQ3 2021","Currency=USD","Period=FQ","BEST_FPERIOD_OVERRIDE=FQ","FILING_STATUS=MR","SCALING_FORMAT=MLN","Sort=A","Dates=H","DateFormat=P","Fill=—","Direction=H","UseDPDF=Y")</f>
        <v>—</v>
      </c>
      <c r="O45" s="13" t="str">
        <f>_xll.BDH("NBIX US Equity","IS_MA_EXPENSE_AFTER_TAX","FQ4 2021","FQ4 2021","Currency=USD","Period=FQ","BEST_FPERIOD_OVERRIDE=FQ","FILING_STATUS=MR","SCALING_FORMAT=MLN","Sort=A","Dates=H","DateFormat=P","Fill=—","Direction=H","UseDPDF=Y")</f>
        <v>—</v>
      </c>
      <c r="P45" s="13" t="str">
        <f>_xll.BDH("NBIX US Equity","IS_MA_EXPENSE_AFTER_TAX","FQ1 2022","FQ1 2022","Currency=USD","Period=FQ","BEST_FPERIOD_OVERRIDE=FQ","FILING_STATUS=MR","SCALING_FORMAT=MLN","Sort=A","Dates=H","DateFormat=P","Fill=—","Direction=H","UseDPDF=Y")</f>
        <v>—</v>
      </c>
      <c r="Q45" s="13" t="str">
        <f>_xll.BDH("NBIX US Equity","IS_MA_EXPENSE_AFTER_TAX","FQ2 2022","FQ2 2022","Currency=USD","Period=FQ","BEST_FPERIOD_OVERRIDE=FQ","FILING_STATUS=MR","SCALING_FORMAT=MLN","Sort=A","Dates=H","DateFormat=P","Fill=—","Direction=H","UseDPDF=Y")</f>
        <v>—</v>
      </c>
      <c r="R45" s="13" t="str">
        <f>_xll.BDH("NBIX US Equity","IS_MA_EXPENSE_AFTER_TAX","FQ3 2022","FQ3 2022","Currency=USD","Period=FQ","BEST_FPERIOD_OVERRIDE=FQ","FILING_STATUS=MR","SCALING_FORMAT=MLN","Sort=A","Dates=H","DateFormat=P","Fill=—","Direction=H","UseDPDF=Y")</f>
        <v>—</v>
      </c>
      <c r="S45" s="13">
        <f>_xll.BDH("NBIX US Equity","IS_MA_EXPENSE_AFTER_TAX","FQ4 2022","FQ4 2022","Currency=USD","Period=FQ","BEST_FPERIOD_OVERRIDE=FQ","FILING_STATUS=MR","SCALING_FORMAT=MLN","Sort=A","Dates=H","DateFormat=P","Fill=—","Direction=H","UseDPDF=Y")</f>
        <v>1.6315</v>
      </c>
      <c r="T45" s="13" t="str">
        <f>_xll.BDH("NBIX US Equity","IS_MA_EXPENSE_AFTER_TAX","FQ1 2023","FQ1 2023","Currency=USD","Period=FQ","BEST_FPERIOD_OVERRIDE=FQ","FILING_STATUS=MR","SCALING_FORMAT=MLN","Sort=A","Dates=H","DateFormat=P","Fill=—","Direction=H","UseDPDF=Y")</f>
        <v>—</v>
      </c>
      <c r="U45" s="13" t="str">
        <f>_xll.BDH("NBIX US Equity","IS_MA_EXPENSE_AFTER_TAX","FQ2 2023","FQ2 2023","Currency=USD","Period=FQ","BEST_FPERIOD_OVERRIDE=FQ","FILING_STATUS=MR","SCALING_FORMAT=MLN","Sort=A","Dates=H","DateFormat=P","Fill=—","Direction=H","UseDPDF=Y")</f>
        <v>—</v>
      </c>
      <c r="V45" s="13">
        <f>_xll.BDH("NBIX US Equity","IS_MA_EXPENSE_AFTER_TAX","FQ3 2023","FQ3 2023","Currency=USD","Period=FQ","BEST_FPERIOD_OVERRIDE=FQ","FILING_STATUS=MR","SCALING_FORMAT=MLN","Sort=A","Dates=H","DateFormat=P","Fill=—","Direction=H","UseDPDF=Y")</f>
        <v>3.0882000000000001</v>
      </c>
      <c r="W45" s="13" t="str">
        <f>_xll.BDH("NBIX US Equity","IS_MA_EXPENSE_AFTER_TAX","FQ4 2023","FQ4 2023","Currency=USD","Period=FQ","BEST_FPERIOD_OVERRIDE=FQ","FILING_STATUS=MR","SCALING_FORMAT=MLN","Sort=A","Dates=H","DateFormat=P","Fill=—","Direction=H","UseDPDF=Y")</f>
        <v>—</v>
      </c>
      <c r="X45" s="13" t="str">
        <f>_xll.BDH("NBIX US Equity","IS_MA_EXPENSE_AFTER_TAX","FQ1 2024","FQ1 2024","Currency=USD","Period=FQ","BEST_FPERIOD_OVERRIDE=FQ","FILING_STATUS=MR","SCALING_FORMAT=MLN","Sort=A","Dates=H","DateFormat=P","Fill=—","Direction=H","UseDPDF=Y")</f>
        <v>—</v>
      </c>
      <c r="Y45" s="13" t="str">
        <f>_xll.BDH("NBIX US Equity","IS_MA_EXPENSE_AFTER_TAX","FQ2 2024","FQ2 2024","Currency=USD","Period=FQ","BEST_FPERIOD_OVERRIDE=FQ","FILING_STATUS=MR","SCALING_FORMAT=MLN","Sort=A","Dates=H","DateFormat=P","Fill=—","Direction=H","UseDPDF=Y")</f>
        <v>—</v>
      </c>
      <c r="Z45" s="13" t="str">
        <f>_xll.BDH("NBIX US Equity","IS_MA_EXPENSE_AFTER_TAX","FQ3 2024","FQ3 2024","Currency=USD","Period=FQ","BEST_FPERIOD_OVERRIDE=FQ","FILING_STATUS=MR","SCALING_FORMAT=MLN","Sort=A","Dates=H","DateFormat=P","Fill=—","Direction=H","UseDPDF=Y")</f>
        <v>—</v>
      </c>
      <c r="AA45" s="13" t="str">
        <f>_xll.BDH("NBIX US Equity","IS_MA_EXPENSE_AFTER_TAX","FQ4 2024","FQ4 2024","Currency=USD","Period=FQ","BEST_FPERIOD_OVERRIDE=FQ","FILING_STATUS=MR","SCALING_FORMAT=MLN","Sort=A","Dates=H","DateFormat=P","Fill=—","Direction=H","UseDPDF=Y")</f>
        <v>—</v>
      </c>
    </row>
    <row r="46" spans="1:27" x14ac:dyDescent="0.25">
      <c r="A46" s="10" t="s">
        <v>597</v>
      </c>
      <c r="B46" s="10" t="s">
        <v>607</v>
      </c>
      <c r="C46" s="13" t="str">
        <f>_xll.BDH("NBIX US Equity","IS_EEOD_AFTER_TAX","FQ4 2018","FQ4 2018","Currency=USD","Period=FQ","BEST_FPERIOD_OVERRIDE=FQ","FILING_STATUS=MR","SCALING_FORMAT=MLN","Sort=A","Dates=H","DateFormat=P","Fill=—","Direction=H","UseDPDF=Y")</f>
        <v>—</v>
      </c>
      <c r="D46" s="13" t="str">
        <f>_xll.BDH("NBIX US Equity","IS_EEOD_AFTER_TAX","FQ1 2019","FQ1 2019","Currency=USD","Period=FQ","BEST_FPERIOD_OVERRIDE=FQ","FILING_STATUS=MR","SCALING_FORMAT=MLN","Sort=A","Dates=H","DateFormat=P","Fill=—","Direction=H","UseDPDF=Y")</f>
        <v>—</v>
      </c>
      <c r="E46" s="13" t="str">
        <f>_xll.BDH("NBIX US Equity","IS_EEOD_AFTER_TAX","FQ2 2019","FQ2 2019","Currency=USD","Period=FQ","BEST_FPERIOD_OVERRIDE=FQ","FILING_STATUS=MR","SCALING_FORMAT=MLN","Sort=A","Dates=H","DateFormat=P","Fill=—","Direction=H","UseDPDF=Y")</f>
        <v>—</v>
      </c>
      <c r="F46" s="13" t="str">
        <f>_xll.BDH("NBIX US Equity","IS_EEOD_AFTER_TAX","FQ3 2019","FQ3 2019","Currency=USD","Period=FQ","BEST_FPERIOD_OVERRIDE=FQ","FILING_STATUS=MR","SCALING_FORMAT=MLN","Sort=A","Dates=H","DateFormat=P","Fill=—","Direction=H","UseDPDF=Y")</f>
        <v>—</v>
      </c>
      <c r="G46" s="13" t="str">
        <f>_xll.BDH("NBIX US Equity","IS_EEOD_AFTER_TAX","FQ4 2019","FQ4 2019","Currency=USD","Period=FQ","BEST_FPERIOD_OVERRIDE=FQ","FILING_STATUS=MR","SCALING_FORMAT=MLN","Sort=A","Dates=H","DateFormat=P","Fill=—","Direction=H","UseDPDF=Y")</f>
        <v>—</v>
      </c>
      <c r="H46" s="13" t="str">
        <f>_xll.BDH("NBIX US Equity","IS_EEOD_AFTER_TAX","FQ1 2020","FQ1 2020","Currency=USD","Period=FQ","BEST_FPERIOD_OVERRIDE=FQ","FILING_STATUS=MR","SCALING_FORMAT=MLN","Sort=A","Dates=H","DateFormat=P","Fill=—","Direction=H","UseDPDF=Y")</f>
        <v>—</v>
      </c>
      <c r="I46" s="13" t="str">
        <f>_xll.BDH("NBIX US Equity","IS_EEOD_AFTER_TAX","FQ2 2020","FQ2 2020","Currency=USD","Period=FQ","BEST_FPERIOD_OVERRIDE=FQ","FILING_STATUS=MR","SCALING_FORMAT=MLN","Sort=A","Dates=H","DateFormat=P","Fill=—","Direction=H","UseDPDF=Y")</f>
        <v>—</v>
      </c>
      <c r="J46" s="13" t="str">
        <f>_xll.BDH("NBIX US Equity","IS_EEOD_AFTER_TAX","FQ3 2020","FQ3 2020","Currency=USD","Period=FQ","BEST_FPERIOD_OVERRIDE=FQ","FILING_STATUS=MR","SCALING_FORMAT=MLN","Sort=A","Dates=H","DateFormat=P","Fill=—","Direction=H","UseDPDF=Y")</f>
        <v>—</v>
      </c>
      <c r="K46" s="13">
        <f>_xll.BDH("NBIX US Equity","IS_EEOD_AFTER_TAX","FQ4 2020","FQ4 2020","Currency=USD","Period=FQ","BEST_FPERIOD_OVERRIDE=FQ","FILING_STATUS=MR","SCALING_FORMAT=MLN","Sort=A","Dates=H","DateFormat=P","Fill=—","Direction=H","UseDPDF=Y")</f>
        <v>-97.161000000000001</v>
      </c>
      <c r="L46" s="13" t="str">
        <f>_xll.BDH("NBIX US Equity","IS_EEOD_AFTER_TAX","FQ1 2021","FQ1 2021","Currency=USD","Period=FQ","BEST_FPERIOD_OVERRIDE=FQ","FILING_STATUS=MR","SCALING_FORMAT=MLN","Sort=A","Dates=H","DateFormat=P","Fill=—","Direction=H","UseDPDF=Y")</f>
        <v>—</v>
      </c>
      <c r="M46" s="13" t="str">
        <f>_xll.BDH("NBIX US Equity","IS_EEOD_AFTER_TAX","FQ2 2021","FQ2 2021","Currency=USD","Period=FQ","BEST_FPERIOD_OVERRIDE=FQ","FILING_STATUS=MR","SCALING_FORMAT=MLN","Sort=A","Dates=H","DateFormat=P","Fill=—","Direction=H","UseDPDF=Y")</f>
        <v>—</v>
      </c>
      <c r="N46" s="13" t="str">
        <f>_xll.BDH("NBIX US Equity","IS_EEOD_AFTER_TAX","FQ3 2021","FQ3 2021","Currency=USD","Period=FQ","BEST_FPERIOD_OVERRIDE=FQ","FILING_STATUS=MR","SCALING_FORMAT=MLN","Sort=A","Dates=H","DateFormat=P","Fill=—","Direction=H","UseDPDF=Y")</f>
        <v>—</v>
      </c>
      <c r="O46" s="13" t="str">
        <f>_xll.BDH("NBIX US Equity","IS_EEOD_AFTER_TAX","FQ4 2021","FQ4 2021","Currency=USD","Period=FQ","BEST_FPERIOD_OVERRIDE=FQ","FILING_STATUS=MR","SCALING_FORMAT=MLN","Sort=A","Dates=H","DateFormat=P","Fill=—","Direction=H","UseDPDF=Y")</f>
        <v>—</v>
      </c>
      <c r="P46" s="13" t="str">
        <f>_xll.BDH("NBIX US Equity","IS_EEOD_AFTER_TAX","FQ1 2022","FQ1 2022","Currency=USD","Period=FQ","BEST_FPERIOD_OVERRIDE=FQ","FILING_STATUS=MR","SCALING_FORMAT=MLN","Sort=A","Dates=H","DateFormat=P","Fill=—","Direction=H","UseDPDF=Y")</f>
        <v>—</v>
      </c>
      <c r="Q46" s="13" t="str">
        <f>_xll.BDH("NBIX US Equity","IS_EEOD_AFTER_TAX","FQ2 2022","FQ2 2022","Currency=USD","Period=FQ","BEST_FPERIOD_OVERRIDE=FQ","FILING_STATUS=MR","SCALING_FORMAT=MLN","Sort=A","Dates=H","DateFormat=P","Fill=—","Direction=H","UseDPDF=Y")</f>
        <v>—</v>
      </c>
      <c r="R46" s="13" t="str">
        <f>_xll.BDH("NBIX US Equity","IS_EEOD_AFTER_TAX","FQ3 2022","FQ3 2022","Currency=USD","Period=FQ","BEST_FPERIOD_OVERRIDE=FQ","FILING_STATUS=MR","SCALING_FORMAT=MLN","Sort=A","Dates=H","DateFormat=P","Fill=—","Direction=H","UseDPDF=Y")</f>
        <v>—</v>
      </c>
      <c r="S46" s="13" t="str">
        <f>_xll.BDH("NBIX US Equity","IS_EEOD_AFTER_TAX","FQ4 2022","FQ4 2022","Currency=USD","Period=FQ","BEST_FPERIOD_OVERRIDE=FQ","FILING_STATUS=MR","SCALING_FORMAT=MLN","Sort=A","Dates=H","DateFormat=P","Fill=—","Direction=H","UseDPDF=Y")</f>
        <v>—</v>
      </c>
      <c r="T46" s="13" t="str">
        <f>_xll.BDH("NBIX US Equity","IS_EEOD_AFTER_TAX","FQ1 2023","FQ1 2023","Currency=USD","Period=FQ","BEST_FPERIOD_OVERRIDE=FQ","FILING_STATUS=MR","SCALING_FORMAT=MLN","Sort=A","Dates=H","DateFormat=P","Fill=—","Direction=H","UseDPDF=Y")</f>
        <v>—</v>
      </c>
      <c r="U46" s="13" t="str">
        <f>_xll.BDH("NBIX US Equity","IS_EEOD_AFTER_TAX","FQ2 2023","FQ2 2023","Currency=USD","Period=FQ","BEST_FPERIOD_OVERRIDE=FQ","FILING_STATUS=MR","SCALING_FORMAT=MLN","Sort=A","Dates=H","DateFormat=P","Fill=—","Direction=H","UseDPDF=Y")</f>
        <v>—</v>
      </c>
      <c r="V46" s="13" t="str">
        <f>_xll.BDH("NBIX US Equity","IS_EEOD_AFTER_TAX","FQ3 2023","FQ3 2023","Currency=USD","Period=FQ","BEST_FPERIOD_OVERRIDE=FQ","FILING_STATUS=MR","SCALING_FORMAT=MLN","Sort=A","Dates=H","DateFormat=P","Fill=—","Direction=H","UseDPDF=Y")</f>
        <v>—</v>
      </c>
      <c r="W46" s="13" t="str">
        <f>_xll.BDH("NBIX US Equity","IS_EEOD_AFTER_TAX","FQ4 2023","FQ4 2023","Currency=USD","Period=FQ","BEST_FPERIOD_OVERRIDE=FQ","FILING_STATUS=MR","SCALING_FORMAT=MLN","Sort=A","Dates=H","DateFormat=P","Fill=—","Direction=H","UseDPDF=Y")</f>
        <v>—</v>
      </c>
      <c r="X46" s="13" t="str">
        <f>_xll.BDH("NBIX US Equity","IS_EEOD_AFTER_TAX","FQ1 2024","FQ1 2024","Currency=USD","Period=FQ","BEST_FPERIOD_OVERRIDE=FQ","FILING_STATUS=MR","SCALING_FORMAT=MLN","Sort=A","Dates=H","DateFormat=P","Fill=—","Direction=H","UseDPDF=Y")</f>
        <v>—</v>
      </c>
      <c r="Y46" s="13" t="str">
        <f>_xll.BDH("NBIX US Equity","IS_EEOD_AFTER_TAX","FQ2 2024","FQ2 2024","Currency=USD","Period=FQ","BEST_FPERIOD_OVERRIDE=FQ","FILING_STATUS=MR","SCALING_FORMAT=MLN","Sort=A","Dates=H","DateFormat=P","Fill=—","Direction=H","UseDPDF=Y")</f>
        <v>—</v>
      </c>
      <c r="Z46" s="13" t="str">
        <f>_xll.BDH("NBIX US Equity","IS_EEOD_AFTER_TAX","FQ3 2024","FQ3 2024","Currency=USD","Period=FQ","BEST_FPERIOD_OVERRIDE=FQ","FILING_STATUS=MR","SCALING_FORMAT=MLN","Sort=A","Dates=H","DateFormat=P","Fill=—","Direction=H","UseDPDF=Y")</f>
        <v>—</v>
      </c>
      <c r="AA46" s="13" t="str">
        <f>_xll.BDH("NBIX US Equity","IS_EEOD_AFTER_TAX","FQ4 2024","FQ4 2024","Currency=USD","Period=FQ","BEST_FPERIOD_OVERRIDE=FQ","FILING_STATUS=MR","SCALING_FORMAT=MLN","Sort=A","Dates=H","DateFormat=P","Fill=—","Direction=H","UseDPDF=Y")</f>
        <v>—</v>
      </c>
    </row>
    <row r="47" spans="1:27" x14ac:dyDescent="0.25">
      <c r="A47" s="10" t="s">
        <v>592</v>
      </c>
      <c r="B47" s="10" t="s">
        <v>608</v>
      </c>
      <c r="C47" s="13" t="str">
        <f>_xll.BDH("NBIX US Equity","IS_IIA_AFTER_TAX","FQ4 2018","FQ4 2018","Currency=USD","Period=FQ","BEST_FPERIOD_OVERRIDE=FQ","FILING_STATUS=MR","SCALING_FORMAT=MLN","Sort=A","Dates=H","DateFormat=P","Fill=—","Direction=H","UseDPDF=Y")</f>
        <v>—</v>
      </c>
      <c r="D47" s="13" t="str">
        <f>_xll.BDH("NBIX US Equity","IS_IIA_AFTER_TAX","FQ1 2019","FQ1 2019","Currency=USD","Period=FQ","BEST_FPERIOD_OVERRIDE=FQ","FILING_STATUS=MR","SCALING_FORMAT=MLN","Sort=A","Dates=H","DateFormat=P","Fill=—","Direction=H","UseDPDF=Y")</f>
        <v>—</v>
      </c>
      <c r="E47" s="13" t="str">
        <f>_xll.BDH("NBIX US Equity","IS_IIA_AFTER_TAX","FQ2 2019","FQ2 2019","Currency=USD","Period=FQ","BEST_FPERIOD_OVERRIDE=FQ","FILING_STATUS=MR","SCALING_FORMAT=MLN","Sort=A","Dates=H","DateFormat=P","Fill=—","Direction=H","UseDPDF=Y")</f>
        <v>—</v>
      </c>
      <c r="F47" s="13" t="str">
        <f>_xll.BDH("NBIX US Equity","IS_IIA_AFTER_TAX","FQ3 2019","FQ3 2019","Currency=USD","Period=FQ","BEST_FPERIOD_OVERRIDE=FQ","FILING_STATUS=MR","SCALING_FORMAT=MLN","Sort=A","Dates=H","DateFormat=P","Fill=—","Direction=H","UseDPDF=Y")</f>
        <v>—</v>
      </c>
      <c r="G47" s="13" t="str">
        <f>_xll.BDH("NBIX US Equity","IS_IIA_AFTER_TAX","FQ4 2019","FQ4 2019","Currency=USD","Period=FQ","BEST_FPERIOD_OVERRIDE=FQ","FILING_STATUS=MR","SCALING_FORMAT=MLN","Sort=A","Dates=H","DateFormat=P","Fill=—","Direction=H","UseDPDF=Y")</f>
        <v>—</v>
      </c>
      <c r="H47" s="13" t="str">
        <f>_xll.BDH("NBIX US Equity","IS_IIA_AFTER_TAX","FQ1 2020","FQ1 2020","Currency=USD","Period=FQ","BEST_FPERIOD_OVERRIDE=FQ","FILING_STATUS=MR","SCALING_FORMAT=MLN","Sort=A","Dates=H","DateFormat=P","Fill=—","Direction=H","UseDPDF=Y")</f>
        <v>—</v>
      </c>
      <c r="I47" s="13" t="str">
        <f>_xll.BDH("NBIX US Equity","IS_IIA_AFTER_TAX","FQ2 2020","FQ2 2020","Currency=USD","Period=FQ","BEST_FPERIOD_OVERRIDE=FQ","FILING_STATUS=MR","SCALING_FORMAT=MLN","Sort=A","Dates=H","DateFormat=P","Fill=—","Direction=H","UseDPDF=Y")</f>
        <v>—</v>
      </c>
      <c r="J47" s="13" t="str">
        <f>_xll.BDH("NBIX US Equity","IS_IIA_AFTER_TAX","FQ3 2020","FQ3 2020","Currency=USD","Period=FQ","BEST_FPERIOD_OVERRIDE=FQ","FILING_STATUS=MR","SCALING_FORMAT=MLN","Sort=A","Dates=H","DateFormat=P","Fill=—","Direction=H","UseDPDF=Y")</f>
        <v>—</v>
      </c>
      <c r="K47" s="13" t="str">
        <f>_xll.BDH("NBIX US Equity","IS_IIA_AFTER_TAX","FQ4 2020","FQ4 2020","Currency=USD","Period=FQ","BEST_FPERIOD_OVERRIDE=FQ","FILING_STATUS=MR","SCALING_FORMAT=MLN","Sort=A","Dates=H","DateFormat=P","Fill=—","Direction=H","UseDPDF=Y")</f>
        <v>—</v>
      </c>
      <c r="L47" s="13" t="str">
        <f>_xll.BDH("NBIX US Equity","IS_IIA_AFTER_TAX","FQ1 2021","FQ1 2021","Currency=USD","Period=FQ","BEST_FPERIOD_OVERRIDE=FQ","FILING_STATUS=MR","SCALING_FORMAT=MLN","Sort=A","Dates=H","DateFormat=P","Fill=—","Direction=H","UseDPDF=Y")</f>
        <v>—</v>
      </c>
      <c r="M47" s="13" t="str">
        <f>_xll.BDH("NBIX US Equity","IS_IIA_AFTER_TAX","FQ2 2021","FQ2 2021","Currency=USD","Period=FQ","BEST_FPERIOD_OVERRIDE=FQ","FILING_STATUS=MR","SCALING_FORMAT=MLN","Sort=A","Dates=H","DateFormat=P","Fill=—","Direction=H","UseDPDF=Y")</f>
        <v>—</v>
      </c>
      <c r="N47" s="13" t="str">
        <f>_xll.BDH("NBIX US Equity","IS_IIA_AFTER_TAX","FQ3 2021","FQ3 2021","Currency=USD","Period=FQ","BEST_FPERIOD_OVERRIDE=FQ","FILING_STATUS=MR","SCALING_FORMAT=MLN","Sort=A","Dates=H","DateFormat=P","Fill=—","Direction=H","UseDPDF=Y")</f>
        <v>—</v>
      </c>
      <c r="O47" s="13" t="str">
        <f>_xll.BDH("NBIX US Equity","IS_IIA_AFTER_TAX","FQ4 2021","FQ4 2021","Currency=USD","Period=FQ","BEST_FPERIOD_OVERRIDE=FQ","FILING_STATUS=MR","SCALING_FORMAT=MLN","Sort=A","Dates=H","DateFormat=P","Fill=—","Direction=H","UseDPDF=Y")</f>
        <v>—</v>
      </c>
      <c r="P47" s="13" t="str">
        <f>_xll.BDH("NBIX US Equity","IS_IIA_AFTER_TAX","FQ1 2022","FQ1 2022","Currency=USD","Period=FQ","BEST_FPERIOD_OVERRIDE=FQ","FILING_STATUS=MR","SCALING_FORMAT=MLN","Sort=A","Dates=H","DateFormat=P","Fill=—","Direction=H","UseDPDF=Y")</f>
        <v>—</v>
      </c>
      <c r="Q47" s="13" t="str">
        <f>_xll.BDH("NBIX US Equity","IS_IIA_AFTER_TAX","FQ2 2022","FQ2 2022","Currency=USD","Period=FQ","BEST_FPERIOD_OVERRIDE=FQ","FILING_STATUS=MR","SCALING_FORMAT=MLN","Sort=A","Dates=H","DateFormat=P","Fill=—","Direction=H","UseDPDF=Y")</f>
        <v>—</v>
      </c>
      <c r="R47" s="13" t="str">
        <f>_xll.BDH("NBIX US Equity","IS_IIA_AFTER_TAX","FQ3 2022","FQ3 2022","Currency=USD","Period=FQ","BEST_FPERIOD_OVERRIDE=FQ","FILING_STATUS=MR","SCALING_FORMAT=MLN","Sort=A","Dates=H","DateFormat=P","Fill=—","Direction=H","UseDPDF=Y")</f>
        <v>—</v>
      </c>
      <c r="S47" s="13" t="str">
        <f>_xll.BDH("NBIX US Equity","IS_IIA_AFTER_TAX","FQ4 2022","FQ4 2022","Currency=USD","Period=FQ","BEST_FPERIOD_OVERRIDE=FQ","FILING_STATUS=MR","SCALING_FORMAT=MLN","Sort=A","Dates=H","DateFormat=P","Fill=—","Direction=H","UseDPDF=Y")</f>
        <v>—</v>
      </c>
      <c r="T47" s="13" t="str">
        <f>_xll.BDH("NBIX US Equity","IS_IIA_AFTER_TAX","FQ1 2023","FQ1 2023","Currency=USD","Period=FQ","BEST_FPERIOD_OVERRIDE=FQ","FILING_STATUS=MR","SCALING_FORMAT=MLN","Sort=A","Dates=H","DateFormat=P","Fill=—","Direction=H","UseDPDF=Y")</f>
        <v>—</v>
      </c>
      <c r="U47" s="13" t="str">
        <f>_xll.BDH("NBIX US Equity","IS_IIA_AFTER_TAX","FQ2 2023","FQ2 2023","Currency=USD","Period=FQ","BEST_FPERIOD_OVERRIDE=FQ","FILING_STATUS=MR","SCALING_FORMAT=MLN","Sort=A","Dates=H","DateFormat=P","Fill=—","Direction=H","UseDPDF=Y")</f>
        <v>—</v>
      </c>
      <c r="V47" s="13" t="str">
        <f>_xll.BDH("NBIX US Equity","IS_IIA_AFTER_TAX","FQ3 2023","FQ3 2023","Currency=USD","Period=FQ","BEST_FPERIOD_OVERRIDE=FQ","FILING_STATUS=MR","SCALING_FORMAT=MLN","Sort=A","Dates=H","DateFormat=P","Fill=—","Direction=H","UseDPDF=Y")</f>
        <v>—</v>
      </c>
      <c r="W47" s="13" t="str">
        <f>_xll.BDH("NBIX US Equity","IS_IIA_AFTER_TAX","FQ4 2023","FQ4 2023","Currency=USD","Period=FQ","BEST_FPERIOD_OVERRIDE=FQ","FILING_STATUS=MR","SCALING_FORMAT=MLN","Sort=A","Dates=H","DateFormat=P","Fill=—","Direction=H","UseDPDF=Y")</f>
        <v>—</v>
      </c>
      <c r="X47" s="13" t="str">
        <f>_xll.BDH("NBIX US Equity","IS_IIA_AFTER_TAX","FQ1 2024","FQ1 2024","Currency=USD","Period=FQ","BEST_FPERIOD_OVERRIDE=FQ","FILING_STATUS=MR","SCALING_FORMAT=MLN","Sort=A","Dates=H","DateFormat=P","Fill=—","Direction=H","UseDPDF=Y")</f>
        <v>—</v>
      </c>
      <c r="Y47" s="13">
        <f>_xll.BDH("NBIX US Equity","IS_IIA_AFTER_TAX","FQ2 2024","FQ2 2024","Currency=USD","Period=FQ","BEST_FPERIOD_OVERRIDE=FQ","FILING_STATUS=MR","SCALING_FORMAT=MLN","Sort=A","Dates=H","DateFormat=P","Fill=—","Direction=H","UseDPDF=Y")</f>
        <v>11.3908</v>
      </c>
      <c r="Z47" s="13" t="str">
        <f>_xll.BDH("NBIX US Equity","IS_IIA_AFTER_TAX","FQ3 2024","FQ3 2024","Currency=USD","Period=FQ","BEST_FPERIOD_OVERRIDE=FQ","FILING_STATUS=MR","SCALING_FORMAT=MLN","Sort=A","Dates=H","DateFormat=P","Fill=—","Direction=H","UseDPDF=Y")</f>
        <v>—</v>
      </c>
      <c r="AA47" s="13" t="str">
        <f>_xll.BDH("NBIX US Equity","IS_IIA_AFTER_TAX","FQ4 2024","FQ4 2024","Currency=USD","Period=FQ","BEST_FPERIOD_OVERRIDE=FQ","FILING_STATUS=MR","SCALING_FORMAT=MLN","Sort=A","Dates=H","DateFormat=P","Fill=—","Direction=H","UseDPDF=Y")</f>
        <v>—</v>
      </c>
    </row>
    <row r="48" spans="1:27" x14ac:dyDescent="0.25">
      <c r="A48" s="10" t="s">
        <v>598</v>
      </c>
      <c r="B48" s="10" t="s">
        <v>609</v>
      </c>
      <c r="C48" s="13" t="str">
        <f>_xll.BDH("NBIX US Equity","IS_UNREALIZED_INVEST_AFT_TAX","FQ4 2018","FQ4 2018","Currency=USD","Period=FQ","BEST_FPERIOD_OVERRIDE=FQ","FILING_STATUS=MR","SCALING_FORMAT=MLN","Sort=A","Dates=H","DateFormat=P","Fill=—","Direction=H","UseDPDF=Y")</f>
        <v>—</v>
      </c>
      <c r="D48" s="13">
        <f>_xll.BDH("NBIX US Equity","IS_UNREALIZED_INVEST_AFT_TAX","FQ1 2019","FQ1 2019","Currency=USD","Period=FQ","BEST_FPERIOD_OVERRIDE=FQ","FILING_STATUS=MR","SCALING_FORMAT=MLN","Sort=A","Dates=H","DateFormat=P","Fill=—","Direction=H","UseDPDF=Y")</f>
        <v>-1.3271999999999999</v>
      </c>
      <c r="E48" s="13">
        <f>_xll.BDH("NBIX US Equity","IS_UNREALIZED_INVEST_AFT_TAX","FQ2 2019","FQ2 2019","Currency=USD","Period=FQ","BEST_FPERIOD_OVERRIDE=FQ","FILING_STATUS=MR","SCALING_FORMAT=MLN","Sort=A","Dates=H","DateFormat=P","Fill=—","Direction=H","UseDPDF=Y")</f>
        <v>-16.5624</v>
      </c>
      <c r="F48" s="13">
        <f>_xll.BDH("NBIX US Equity","IS_UNREALIZED_INVEST_AFT_TAX","FQ3 2019","FQ3 2019","Currency=USD","Period=FQ","BEST_FPERIOD_OVERRIDE=FQ","FILING_STATUS=MR","SCALING_FORMAT=MLN","Sort=A","Dates=H","DateFormat=P","Fill=—","Direction=H","UseDPDF=Y")</f>
        <v>22.4755</v>
      </c>
      <c r="G48" s="13">
        <f>_xll.BDH("NBIX US Equity","IS_UNREALIZED_INVEST_AFT_TAX","FQ4 2019","FQ4 2019","Currency=USD","Period=FQ","BEST_FPERIOD_OVERRIDE=FQ","FILING_STATUS=MR","SCALING_FORMAT=MLN","Sort=A","Dates=H","DateFormat=P","Fill=—","Direction=H","UseDPDF=Y")</f>
        <v>7.1165000000000003</v>
      </c>
      <c r="H48" s="13">
        <f>_xll.BDH("NBIX US Equity","IS_UNREALIZED_INVEST_AFT_TAX","FQ1 2020","FQ1 2020","Currency=USD","Period=FQ","BEST_FPERIOD_OVERRIDE=FQ","FILING_STATUS=MR","SCALING_FORMAT=MLN","Sort=A","Dates=H","DateFormat=P","Fill=—","Direction=H","UseDPDF=Y")</f>
        <v>15.8903</v>
      </c>
      <c r="I48" s="13">
        <f>_xll.BDH("NBIX US Equity","IS_UNREALIZED_INVEST_AFT_TAX","FQ2 2020","FQ2 2020","Currency=USD","Period=FQ","BEST_FPERIOD_OVERRIDE=FQ","FILING_STATUS=MR","SCALING_FORMAT=MLN","Sort=A","Dates=H","DateFormat=P","Fill=—","Direction=H","UseDPDF=Y")</f>
        <v>-11.281000000000001</v>
      </c>
      <c r="J48" s="13">
        <f>_xll.BDH("NBIX US Equity","IS_UNREALIZED_INVEST_AFT_TAX","FQ3 2020","FQ3 2020","Currency=USD","Period=FQ","BEST_FPERIOD_OVERRIDE=FQ","FILING_STATUS=MR","SCALING_FORMAT=MLN","Sort=A","Dates=H","DateFormat=P","Fill=—","Direction=H","UseDPDF=Y")</f>
        <v>6.8396999999999997</v>
      </c>
      <c r="K48" s="13">
        <f>_xll.BDH("NBIX US Equity","IS_UNREALIZED_INVEST_AFT_TAX","FQ4 2020","FQ4 2020","Currency=USD","Period=FQ","BEST_FPERIOD_OVERRIDE=FQ","FILING_STATUS=MR","SCALING_FORMAT=MLN","Sort=A","Dates=H","DateFormat=P","Fill=—","Direction=H","UseDPDF=Y")</f>
        <v>-29.0427</v>
      </c>
      <c r="L48" s="13">
        <f>_xll.BDH("NBIX US Equity","IS_UNREALIZED_INVEST_AFT_TAX","FQ1 2021","FQ1 2021","Currency=USD","Period=FQ","BEST_FPERIOD_OVERRIDE=FQ","FILING_STATUS=MR","SCALING_FORMAT=MLN","Sort=A","Dates=H","DateFormat=P","Fill=—","Direction=H","UseDPDF=Y")</f>
        <v>-0.31330000000000002</v>
      </c>
      <c r="M48" s="13" t="str">
        <f>_xll.BDH("NBIX US Equity","IS_UNREALIZED_INVEST_AFT_TAX","FQ2 2021","FQ2 2021","Currency=USD","Period=FQ","BEST_FPERIOD_OVERRIDE=FQ","FILING_STATUS=MR","SCALING_FORMAT=MLN","Sort=A","Dates=H","DateFormat=P","Fill=—","Direction=H","UseDPDF=Y")</f>
        <v>—</v>
      </c>
      <c r="N48" s="13">
        <f>_xll.BDH("NBIX US Equity","IS_UNREALIZED_INVEST_AFT_TAX","FQ3 2021","FQ3 2021","Currency=USD","Period=FQ","BEST_FPERIOD_OVERRIDE=FQ","FILING_STATUS=MR","SCALING_FORMAT=MLN","Sort=A","Dates=H","DateFormat=P","Fill=—","Direction=H","UseDPDF=Y")</f>
        <v>6.6161000000000003</v>
      </c>
      <c r="O48" s="13">
        <f>_xll.BDH("NBIX US Equity","IS_UNREALIZED_INVEST_AFT_TAX","FQ4 2021","FQ4 2021","Currency=USD","Period=FQ","BEST_FPERIOD_OVERRIDE=FQ","FILING_STATUS=MR","SCALING_FORMAT=MLN","Sort=A","Dates=H","DateFormat=P","Fill=—","Direction=H","UseDPDF=Y")</f>
        <v>-22.436</v>
      </c>
      <c r="P48" s="13">
        <f>_xll.BDH("NBIX US Equity","IS_UNREALIZED_INVEST_AFT_TAX","FQ1 2022","FQ1 2022","Currency=USD","Period=FQ","BEST_FPERIOD_OVERRIDE=FQ","FILING_STATUS=MR","SCALING_FORMAT=MLN","Sort=A","Dates=H","DateFormat=P","Fill=—","Direction=H","UseDPDF=Y")</f>
        <v>-17.966899999999999</v>
      </c>
      <c r="Q48" s="13">
        <f>_xll.BDH("NBIX US Equity","IS_UNREALIZED_INVEST_AFT_TAX","FQ2 2022","FQ2 2022","Currency=USD","Period=FQ","BEST_FPERIOD_OVERRIDE=FQ","FILING_STATUS=MR","SCALING_FORMAT=MLN","Sort=A","Dates=H","DateFormat=P","Fill=—","Direction=H","UseDPDF=Y")</f>
        <v>5.8460000000000001</v>
      </c>
      <c r="R48" s="13">
        <f>_xll.BDH("NBIX US Equity","IS_UNREALIZED_INVEST_AFT_TAX","FQ3 2022","FQ3 2022","Currency=USD","Period=FQ","BEST_FPERIOD_OVERRIDE=FQ","FILING_STATUS=MR","SCALING_FORMAT=MLN","Sort=A","Dates=H","DateFormat=P","Fill=—","Direction=H","UseDPDF=Y")</f>
        <v>10.289300000000001</v>
      </c>
      <c r="S48" s="13">
        <f>_xll.BDH("NBIX US Equity","IS_UNREALIZED_INVEST_AFT_TAX","FQ4 2022","FQ4 2022","Currency=USD","Period=FQ","BEST_FPERIOD_OVERRIDE=FQ","FILING_STATUS=MR","SCALING_FORMAT=MLN","Sort=A","Dates=H","DateFormat=P","Fill=—","Direction=H","UseDPDF=Y")</f>
        <v>-6.9097</v>
      </c>
      <c r="T48" s="13">
        <f>_xll.BDH("NBIX US Equity","IS_UNREALIZED_INVEST_AFT_TAX","FQ1 2023","FQ1 2023","Currency=USD","Period=FQ","BEST_FPERIOD_OVERRIDE=FQ","FILING_STATUS=MR","SCALING_FORMAT=MLN","Sort=A","Dates=H","DateFormat=P","Fill=—","Direction=H","UseDPDF=Y")</f>
        <v>-1.5366</v>
      </c>
      <c r="U48" s="13">
        <f>_xll.BDH("NBIX US Equity","IS_UNREALIZED_INVEST_AFT_TAX","FQ2 2023","FQ2 2023","Currency=USD","Period=FQ","BEST_FPERIOD_OVERRIDE=FQ","FILING_STATUS=MR","SCALING_FORMAT=MLN","Sort=A","Dates=H","DateFormat=P","Fill=—","Direction=H","UseDPDF=Y")</f>
        <v>-29.466999999999999</v>
      </c>
      <c r="V48" s="13">
        <f>_xll.BDH("NBIX US Equity","IS_UNREALIZED_INVEST_AFT_TAX","FQ3 2023","FQ3 2023","Currency=USD","Period=FQ","BEST_FPERIOD_OVERRIDE=FQ","FILING_STATUS=MR","SCALING_FORMAT=MLN","Sort=A","Dates=H","DateFormat=P","Fill=—","Direction=H","UseDPDF=Y")</f>
        <v>31.752800000000001</v>
      </c>
      <c r="W48" s="13">
        <f>_xll.BDH("NBIX US Equity","IS_UNREALIZED_INVEST_AFT_TAX","FQ4 2023","FQ4 2023","Currency=USD","Period=FQ","BEST_FPERIOD_OVERRIDE=FQ","FILING_STATUS=MR","SCALING_FORMAT=MLN","Sort=A","Dates=H","DateFormat=P","Fill=—","Direction=H","UseDPDF=Y")</f>
        <v>-22.91</v>
      </c>
      <c r="X48" s="13">
        <f>_xll.BDH("NBIX US Equity","IS_UNREALIZED_INVEST_AFT_TAX","FQ1 2024","FQ1 2024","Currency=USD","Period=FQ","BEST_FPERIOD_OVERRIDE=FQ","FILING_STATUS=MR","SCALING_FORMAT=MLN","Sort=A","Dates=H","DateFormat=P","Fill=—","Direction=H","UseDPDF=Y")</f>
        <v>-0.98150000000000004</v>
      </c>
      <c r="Y48" s="13">
        <f>_xll.BDH("NBIX US Equity","IS_UNREALIZED_INVEST_AFT_TAX","FQ2 2024","FQ2 2024","Currency=USD","Period=FQ","BEST_FPERIOD_OVERRIDE=FQ","FILING_STATUS=MR","SCALING_FORMAT=MLN","Sort=A","Dates=H","DateFormat=P","Fill=—","Direction=H","UseDPDF=Y")</f>
        <v>16.191199999999998</v>
      </c>
      <c r="Z48" s="13">
        <f>_xll.BDH("NBIX US Equity","IS_UNREALIZED_INVEST_AFT_TAX","FQ3 2024","FQ3 2024","Currency=USD","Period=FQ","BEST_FPERIOD_OVERRIDE=FQ","FILING_STATUS=MR","SCALING_FORMAT=MLN","Sort=A","Dates=H","DateFormat=P","Fill=—","Direction=H","UseDPDF=Y")</f>
        <v>16.125800000000002</v>
      </c>
      <c r="AA48" s="13">
        <f>_xll.BDH("NBIX US Equity","IS_UNREALIZED_INVEST_AFT_TAX","FQ4 2024","FQ4 2024","Currency=USD","Period=FQ","BEST_FPERIOD_OVERRIDE=FQ","FILING_STATUS=MR","SCALING_FORMAT=MLN","Sort=A","Dates=H","DateFormat=P","Fill=—","Direction=H","UseDPDF=Y")</f>
        <v>1.9027000000000001</v>
      </c>
    </row>
    <row r="49" spans="1:27" x14ac:dyDescent="0.25">
      <c r="A49" s="10" t="s">
        <v>594</v>
      </c>
      <c r="B49" s="10" t="s">
        <v>610</v>
      </c>
      <c r="C49" s="13" t="str">
        <f>_xll.BDH("NBIX US Equity","IS_OTH_ONE_TIME_ITEMS_AFTER_TAX","FQ4 2018","FQ4 2018","Currency=USD","Period=FQ","BEST_FPERIOD_OVERRIDE=FQ","FILING_STATUS=MR","SCALING_FORMAT=MLN","Sort=A","Dates=H","DateFormat=P","Fill=—","Direction=H","UseDPDF=Y")</f>
        <v>—</v>
      </c>
      <c r="D49" s="13" t="str">
        <f>_xll.BDH("NBIX US Equity","IS_OTH_ONE_TIME_ITEMS_AFTER_TAX","FQ1 2019","FQ1 2019","Currency=USD","Period=FQ","BEST_FPERIOD_OVERRIDE=FQ","FILING_STATUS=MR","SCALING_FORMAT=MLN","Sort=A","Dates=H","DateFormat=P","Fill=—","Direction=H","UseDPDF=Y")</f>
        <v>—</v>
      </c>
      <c r="E49" s="13" t="str">
        <f>_xll.BDH("NBIX US Equity","IS_OTH_ONE_TIME_ITEMS_AFTER_TAX","FQ2 2019","FQ2 2019","Currency=USD","Period=FQ","BEST_FPERIOD_OVERRIDE=FQ","FILING_STATUS=MR","SCALING_FORMAT=MLN","Sort=A","Dates=H","DateFormat=P","Fill=—","Direction=H","UseDPDF=Y")</f>
        <v>—</v>
      </c>
      <c r="F49" s="13" t="str">
        <f>_xll.BDH("NBIX US Equity","IS_OTH_ONE_TIME_ITEMS_AFTER_TAX","FQ3 2019","FQ3 2019","Currency=USD","Period=FQ","BEST_FPERIOD_OVERRIDE=FQ","FILING_STATUS=MR","SCALING_FORMAT=MLN","Sort=A","Dates=H","DateFormat=P","Fill=—","Direction=H","UseDPDF=Y")</f>
        <v>—</v>
      </c>
      <c r="G49" s="13" t="str">
        <f>_xll.BDH("NBIX US Equity","IS_OTH_ONE_TIME_ITEMS_AFTER_TAX","FQ4 2019","FQ4 2019","Currency=USD","Period=FQ","BEST_FPERIOD_OVERRIDE=FQ","FILING_STATUS=MR","SCALING_FORMAT=MLN","Sort=A","Dates=H","DateFormat=P","Fill=—","Direction=H","UseDPDF=Y")</f>
        <v>—</v>
      </c>
      <c r="H49" s="13" t="str">
        <f>_xll.BDH("NBIX US Equity","IS_OTH_ONE_TIME_ITEMS_AFTER_TAX","FQ1 2020","FQ1 2020","Currency=USD","Period=FQ","BEST_FPERIOD_OVERRIDE=FQ","FILING_STATUS=MR","SCALING_FORMAT=MLN","Sort=A","Dates=H","DateFormat=P","Fill=—","Direction=H","UseDPDF=Y")</f>
        <v>—</v>
      </c>
      <c r="I49" s="13" t="str">
        <f>_xll.BDH("NBIX US Equity","IS_OTH_ONE_TIME_ITEMS_AFTER_TAX","FQ2 2020","FQ2 2020","Currency=USD","Period=FQ","BEST_FPERIOD_OVERRIDE=FQ","FILING_STATUS=MR","SCALING_FORMAT=MLN","Sort=A","Dates=H","DateFormat=P","Fill=—","Direction=H","UseDPDF=Y")</f>
        <v>—</v>
      </c>
      <c r="J49" s="13" t="str">
        <f>_xll.BDH("NBIX US Equity","IS_OTH_ONE_TIME_ITEMS_AFTER_TAX","FQ3 2020","FQ3 2020","Currency=USD","Period=FQ","BEST_FPERIOD_OVERRIDE=FQ","FILING_STATUS=MR","SCALING_FORMAT=MLN","Sort=A","Dates=H","DateFormat=P","Fill=—","Direction=H","UseDPDF=Y")</f>
        <v>—</v>
      </c>
      <c r="K49" s="13" t="str">
        <f>_xll.BDH("NBIX US Equity","IS_OTH_ONE_TIME_ITEMS_AFTER_TAX","FQ4 2020","FQ4 2020","Currency=USD","Period=FQ","BEST_FPERIOD_OVERRIDE=FQ","FILING_STATUS=MR","SCALING_FORMAT=MLN","Sort=A","Dates=H","DateFormat=P","Fill=—","Direction=H","UseDPDF=Y")</f>
        <v>—</v>
      </c>
      <c r="L49" s="13" t="str">
        <f>_xll.BDH("NBIX US Equity","IS_OTH_ONE_TIME_ITEMS_AFTER_TAX","FQ1 2021","FQ1 2021","Currency=USD","Period=FQ","BEST_FPERIOD_OVERRIDE=FQ","FILING_STATUS=MR","SCALING_FORMAT=MLN","Sort=A","Dates=H","DateFormat=P","Fill=—","Direction=H","UseDPDF=Y")</f>
        <v>—</v>
      </c>
      <c r="M49" s="13" t="str">
        <f>_xll.BDH("NBIX US Equity","IS_OTH_ONE_TIME_ITEMS_AFTER_TAX","FQ2 2021","FQ2 2021","Currency=USD","Period=FQ","BEST_FPERIOD_OVERRIDE=FQ","FILING_STATUS=MR","SCALING_FORMAT=MLN","Sort=A","Dates=H","DateFormat=P","Fill=—","Direction=H","UseDPDF=Y")</f>
        <v>—</v>
      </c>
      <c r="N49" s="13" t="str">
        <f>_xll.BDH("NBIX US Equity","IS_OTH_ONE_TIME_ITEMS_AFTER_TAX","FQ3 2021","FQ3 2021","Currency=USD","Period=FQ","BEST_FPERIOD_OVERRIDE=FQ","FILING_STATUS=MR","SCALING_FORMAT=MLN","Sort=A","Dates=H","DateFormat=P","Fill=—","Direction=H","UseDPDF=Y")</f>
        <v>—</v>
      </c>
      <c r="O49" s="13" t="str">
        <f>_xll.BDH("NBIX US Equity","IS_OTH_ONE_TIME_ITEMS_AFTER_TAX","FQ4 2021","FQ4 2021","Currency=USD","Period=FQ","BEST_FPERIOD_OVERRIDE=FQ","FILING_STATUS=MR","SCALING_FORMAT=MLN","Sort=A","Dates=H","DateFormat=P","Fill=—","Direction=H","UseDPDF=Y")</f>
        <v>—</v>
      </c>
      <c r="P49" s="13" t="str">
        <f>_xll.BDH("NBIX US Equity","IS_OTH_ONE_TIME_ITEMS_AFTER_TAX","FQ1 2022","FQ1 2022","Currency=USD","Period=FQ","BEST_FPERIOD_OVERRIDE=FQ","FILING_STATUS=MR","SCALING_FORMAT=MLN","Sort=A","Dates=H","DateFormat=P","Fill=—","Direction=H","UseDPDF=Y")</f>
        <v>—</v>
      </c>
      <c r="Q49" s="13" t="str">
        <f>_xll.BDH("NBIX US Equity","IS_OTH_ONE_TIME_ITEMS_AFTER_TAX","FQ2 2022","FQ2 2022","Currency=USD","Period=FQ","BEST_FPERIOD_OVERRIDE=FQ","FILING_STATUS=MR","SCALING_FORMAT=MLN","Sort=A","Dates=H","DateFormat=P","Fill=—","Direction=H","UseDPDF=Y")</f>
        <v>—</v>
      </c>
      <c r="R49" s="13" t="str">
        <f>_xll.BDH("NBIX US Equity","IS_OTH_ONE_TIME_ITEMS_AFTER_TAX","FQ3 2022","FQ3 2022","Currency=USD","Period=FQ","BEST_FPERIOD_OVERRIDE=FQ","FILING_STATUS=MR","SCALING_FORMAT=MLN","Sort=A","Dates=H","DateFormat=P","Fill=—","Direction=H","UseDPDF=Y")</f>
        <v>—</v>
      </c>
      <c r="S49" s="13" t="str">
        <f>_xll.BDH("NBIX US Equity","IS_OTH_ONE_TIME_ITEMS_AFTER_TAX","FQ4 2022","FQ4 2022","Currency=USD","Period=FQ","BEST_FPERIOD_OVERRIDE=FQ","FILING_STATUS=MR","SCALING_FORMAT=MLN","Sort=A","Dates=H","DateFormat=P","Fill=—","Direction=H","UseDPDF=Y")</f>
        <v>—</v>
      </c>
      <c r="T49" s="13" t="str">
        <f>_xll.BDH("NBIX US Equity","IS_OTH_ONE_TIME_ITEMS_AFTER_TAX","FQ1 2023","FQ1 2023","Currency=USD","Period=FQ","BEST_FPERIOD_OVERRIDE=FQ","FILING_STATUS=MR","SCALING_FORMAT=MLN","Sort=A","Dates=H","DateFormat=P","Fill=—","Direction=H","UseDPDF=Y")</f>
        <v>—</v>
      </c>
      <c r="U49" s="13" t="str">
        <f>_xll.BDH("NBIX US Equity","IS_OTH_ONE_TIME_ITEMS_AFTER_TAX","FQ2 2023","FQ2 2023","Currency=USD","Period=FQ","BEST_FPERIOD_OVERRIDE=FQ","FILING_STATUS=MR","SCALING_FORMAT=MLN","Sort=A","Dates=H","DateFormat=P","Fill=—","Direction=H","UseDPDF=Y")</f>
        <v>—</v>
      </c>
      <c r="V49" s="13" t="str">
        <f>_xll.BDH("NBIX US Equity","IS_OTH_ONE_TIME_ITEMS_AFTER_TAX","FQ3 2023","FQ3 2023","Currency=USD","Period=FQ","BEST_FPERIOD_OVERRIDE=FQ","FILING_STATUS=MR","SCALING_FORMAT=MLN","Sort=A","Dates=H","DateFormat=P","Fill=—","Direction=H","UseDPDF=Y")</f>
        <v>—</v>
      </c>
      <c r="W49" s="13" t="str">
        <f>_xll.BDH("NBIX US Equity","IS_OTH_ONE_TIME_ITEMS_AFTER_TAX","FQ4 2023","FQ4 2023","Currency=USD","Period=FQ","BEST_FPERIOD_OVERRIDE=FQ","FILING_STATUS=MR","SCALING_FORMAT=MLN","Sort=A","Dates=H","DateFormat=P","Fill=—","Direction=H","UseDPDF=Y")</f>
        <v>—</v>
      </c>
      <c r="X49" s="13" t="str">
        <f>_xll.BDH("NBIX US Equity","IS_OTH_ONE_TIME_ITEMS_AFTER_TAX","FQ1 2024","FQ1 2024","Currency=USD","Period=FQ","BEST_FPERIOD_OVERRIDE=FQ","FILING_STATUS=MR","SCALING_FORMAT=MLN","Sort=A","Dates=H","DateFormat=P","Fill=—","Direction=H","UseDPDF=Y")</f>
        <v>—</v>
      </c>
      <c r="Y49" s="13">
        <f>_xll.BDH("NBIX US Equity","IS_OTH_ONE_TIME_ITEMS_AFTER_TAX","FQ2 2024","FQ2 2024","Currency=USD","Period=FQ","BEST_FPERIOD_OVERRIDE=FQ","FILING_STATUS=MR","SCALING_FORMAT=MLN","Sort=A","Dates=H","DateFormat=P","Fill=—","Direction=H","UseDPDF=Y")</f>
        <v>79.700199999999995</v>
      </c>
      <c r="Z49" s="13" t="str">
        <f>_xll.BDH("NBIX US Equity","IS_OTH_ONE_TIME_ITEMS_AFTER_TAX","FQ3 2024","FQ3 2024","Currency=USD","Period=FQ","BEST_FPERIOD_OVERRIDE=FQ","FILING_STATUS=MR","SCALING_FORMAT=MLN","Sort=A","Dates=H","DateFormat=P","Fill=—","Direction=H","UseDPDF=Y")</f>
        <v>—</v>
      </c>
      <c r="AA49" s="13" t="str">
        <f>_xll.BDH("NBIX US Equity","IS_OTH_ONE_TIME_ITEMS_AFTER_TAX","FQ4 2024","FQ4 2024","Currency=USD","Period=FQ","BEST_FPERIOD_OVERRIDE=FQ","FILING_STATUS=MR","SCALING_FORMAT=MLN","Sort=A","Dates=H","DateFormat=P","Fill=—","Direction=H","UseDPDF=Y")</f>
        <v>—</v>
      </c>
    </row>
    <row r="50" spans="1:27" x14ac:dyDescent="0.25">
      <c r="A50" s="10" t="s">
        <v>611</v>
      </c>
      <c r="B50" s="10" t="s">
        <v>612</v>
      </c>
      <c r="C50" s="13" t="str">
        <f>_xll.BDH("NBIX US Equity","IS_ABNORMAL_TAX_PROV_BENEFIT","FQ4 2018","FQ4 2018","Currency=USD","Period=FQ","BEST_FPERIOD_OVERRIDE=FQ","FILING_STATUS=MR","SCALING_FORMAT=MLN","Sort=A","Dates=H","DateFormat=P","Fill=—","Direction=H","UseDPDF=Y")</f>
        <v>—</v>
      </c>
      <c r="D50" s="13" t="str">
        <f>_xll.BDH("NBIX US Equity","IS_ABNORMAL_TAX_PROV_BENEFIT","FQ1 2019","FQ1 2019","Currency=USD","Period=FQ","BEST_FPERIOD_OVERRIDE=FQ","FILING_STATUS=MR","SCALING_FORMAT=MLN","Sort=A","Dates=H","DateFormat=P","Fill=—","Direction=H","UseDPDF=Y")</f>
        <v>—</v>
      </c>
      <c r="E50" s="13" t="str">
        <f>_xll.BDH("NBIX US Equity","IS_ABNORMAL_TAX_PROV_BENEFIT","FQ2 2019","FQ2 2019","Currency=USD","Period=FQ","BEST_FPERIOD_OVERRIDE=FQ","FILING_STATUS=MR","SCALING_FORMAT=MLN","Sort=A","Dates=H","DateFormat=P","Fill=—","Direction=H","UseDPDF=Y")</f>
        <v>—</v>
      </c>
      <c r="F50" s="13" t="str">
        <f>_xll.BDH("NBIX US Equity","IS_ABNORMAL_TAX_PROV_BENEFIT","FQ3 2019","FQ3 2019","Currency=USD","Period=FQ","BEST_FPERIOD_OVERRIDE=FQ","FILING_STATUS=MR","SCALING_FORMAT=MLN","Sort=A","Dates=H","DateFormat=P","Fill=—","Direction=H","UseDPDF=Y")</f>
        <v>—</v>
      </c>
      <c r="G50" s="13" t="str">
        <f>_xll.BDH("NBIX US Equity","IS_ABNORMAL_TAX_PROV_BENEFIT","FQ4 2019","FQ4 2019","Currency=USD","Period=FQ","BEST_FPERIOD_OVERRIDE=FQ","FILING_STATUS=MR","SCALING_FORMAT=MLN","Sort=A","Dates=H","DateFormat=P","Fill=—","Direction=H","UseDPDF=Y")</f>
        <v>—</v>
      </c>
      <c r="H50" s="13" t="str">
        <f>_xll.BDH("NBIX US Equity","IS_ABNORMAL_TAX_PROV_BENEFIT","FQ1 2020","FQ1 2020","Currency=USD","Period=FQ","BEST_FPERIOD_OVERRIDE=FQ","FILING_STATUS=MR","SCALING_FORMAT=MLN","Sort=A","Dates=H","DateFormat=P","Fill=—","Direction=H","UseDPDF=Y")</f>
        <v>—</v>
      </c>
      <c r="I50" s="13" t="str">
        <f>_xll.BDH("NBIX US Equity","IS_ABNORMAL_TAX_PROV_BENEFIT","FQ2 2020","FQ2 2020","Currency=USD","Period=FQ","BEST_FPERIOD_OVERRIDE=FQ","FILING_STATUS=MR","SCALING_FORMAT=MLN","Sort=A","Dates=H","DateFormat=P","Fill=—","Direction=H","UseDPDF=Y")</f>
        <v>—</v>
      </c>
      <c r="J50" s="13" t="str">
        <f>_xll.BDH("NBIX US Equity","IS_ABNORMAL_TAX_PROV_BENEFIT","FQ3 2020","FQ3 2020","Currency=USD","Period=FQ","BEST_FPERIOD_OVERRIDE=FQ","FILING_STATUS=MR","SCALING_FORMAT=MLN","Sort=A","Dates=H","DateFormat=P","Fill=—","Direction=H","UseDPDF=Y")</f>
        <v>—</v>
      </c>
      <c r="K50" s="13" t="str">
        <f>_xll.BDH("NBIX US Equity","IS_ABNORMAL_TAX_PROV_BENEFIT","FQ4 2020","FQ4 2020","Currency=USD","Period=FQ","BEST_FPERIOD_OVERRIDE=FQ","FILING_STATUS=MR","SCALING_FORMAT=MLN","Sort=A","Dates=H","DateFormat=P","Fill=—","Direction=H","UseDPDF=Y")</f>
        <v>—</v>
      </c>
      <c r="L50" s="13" t="str">
        <f>_xll.BDH("NBIX US Equity","IS_ABNORMAL_TAX_PROV_BENEFIT","FQ1 2021","FQ1 2021","Currency=USD","Period=FQ","BEST_FPERIOD_OVERRIDE=FQ","FILING_STATUS=MR","SCALING_FORMAT=MLN","Sort=A","Dates=H","DateFormat=P","Fill=—","Direction=H","UseDPDF=Y")</f>
        <v>—</v>
      </c>
      <c r="M50" s="13" t="str">
        <f>_xll.BDH("NBIX US Equity","IS_ABNORMAL_TAX_PROV_BENEFIT","FQ2 2021","FQ2 2021","Currency=USD","Period=FQ","BEST_FPERIOD_OVERRIDE=FQ","FILING_STATUS=MR","SCALING_FORMAT=MLN","Sort=A","Dates=H","DateFormat=P","Fill=—","Direction=H","UseDPDF=Y")</f>
        <v>—</v>
      </c>
      <c r="N50" s="13">
        <f>_xll.BDH("NBIX US Equity","IS_ABNORMAL_TAX_PROV_BENEFIT","FQ3 2021","FQ3 2021","Currency=USD","Period=FQ","BEST_FPERIOD_OVERRIDE=FQ","FILING_STATUS=MR","SCALING_FORMAT=MLN","Sort=A","Dates=H","DateFormat=P","Fill=—","Direction=H","UseDPDF=Y")</f>
        <v>0.83699999999999997</v>
      </c>
      <c r="O50" s="13" t="str">
        <f>_xll.BDH("NBIX US Equity","IS_ABNORMAL_TAX_PROV_BENEFIT","FQ4 2021","FQ4 2021","Currency=USD","Period=FQ","BEST_FPERIOD_OVERRIDE=FQ","FILING_STATUS=MR","SCALING_FORMAT=MLN","Sort=A","Dates=H","DateFormat=P","Fill=—","Direction=H","UseDPDF=Y")</f>
        <v>—</v>
      </c>
      <c r="P50" s="13" t="str">
        <f>_xll.BDH("NBIX US Equity","IS_ABNORMAL_TAX_PROV_BENEFIT","FQ1 2022","FQ1 2022","Currency=USD","Period=FQ","BEST_FPERIOD_OVERRIDE=FQ","FILING_STATUS=MR","SCALING_FORMAT=MLN","Sort=A","Dates=H","DateFormat=P","Fill=—","Direction=H","UseDPDF=Y")</f>
        <v>—</v>
      </c>
      <c r="Q50" s="13" t="str">
        <f>_xll.BDH("NBIX US Equity","IS_ABNORMAL_TAX_PROV_BENEFIT","FQ2 2022","FQ2 2022","Currency=USD","Period=FQ","BEST_FPERIOD_OVERRIDE=FQ","FILING_STATUS=MR","SCALING_FORMAT=MLN","Sort=A","Dates=H","DateFormat=P","Fill=—","Direction=H","UseDPDF=Y")</f>
        <v>—</v>
      </c>
      <c r="R50" s="13" t="str">
        <f>_xll.BDH("NBIX US Equity","IS_ABNORMAL_TAX_PROV_BENEFIT","FQ3 2022","FQ3 2022","Currency=USD","Period=FQ","BEST_FPERIOD_OVERRIDE=FQ","FILING_STATUS=MR","SCALING_FORMAT=MLN","Sort=A","Dates=H","DateFormat=P","Fill=—","Direction=H","UseDPDF=Y")</f>
        <v>—</v>
      </c>
      <c r="S50" s="13">
        <f>_xll.BDH("NBIX US Equity","IS_ABNORMAL_TAX_PROV_BENEFIT","FQ4 2022","FQ4 2022","Currency=USD","Period=FQ","BEST_FPERIOD_OVERRIDE=FQ","FILING_STATUS=MR","SCALING_FORMAT=MLN","Sort=A","Dates=H","DateFormat=P","Fill=—","Direction=H","UseDPDF=Y")</f>
        <v>6.3120000000000003</v>
      </c>
      <c r="T50" s="13" t="str">
        <f>_xll.BDH("NBIX US Equity","IS_ABNORMAL_TAX_PROV_BENEFIT","FQ1 2023","FQ1 2023","Currency=USD","Period=FQ","BEST_FPERIOD_OVERRIDE=FQ","FILING_STATUS=MR","SCALING_FORMAT=MLN","Sort=A","Dates=H","DateFormat=P","Fill=—","Direction=H","UseDPDF=Y")</f>
        <v>—</v>
      </c>
      <c r="U50" s="13" t="str">
        <f>_xll.BDH("NBIX US Equity","IS_ABNORMAL_TAX_PROV_BENEFIT","FQ2 2023","FQ2 2023","Currency=USD","Period=FQ","BEST_FPERIOD_OVERRIDE=FQ","FILING_STATUS=MR","SCALING_FORMAT=MLN","Sort=A","Dates=H","DateFormat=P","Fill=—","Direction=H","UseDPDF=Y")</f>
        <v>—</v>
      </c>
      <c r="V50" s="13">
        <f>_xll.BDH("NBIX US Equity","IS_ABNORMAL_TAX_PROV_BENEFIT","FQ3 2023","FQ3 2023","Currency=USD","Period=FQ","BEST_FPERIOD_OVERRIDE=FQ","FILING_STATUS=MR","SCALING_FORMAT=MLN","Sort=A","Dates=H","DateFormat=P","Fill=—","Direction=H","UseDPDF=Y")</f>
        <v>20.076000000000001</v>
      </c>
      <c r="W50" s="13" t="str">
        <f>_xll.BDH("NBIX US Equity","IS_ABNORMAL_TAX_PROV_BENEFIT","FQ4 2023","FQ4 2023","Currency=USD","Period=FQ","BEST_FPERIOD_OVERRIDE=FQ","FILING_STATUS=MR","SCALING_FORMAT=MLN","Sort=A","Dates=H","DateFormat=P","Fill=—","Direction=H","UseDPDF=Y")</f>
        <v>—</v>
      </c>
      <c r="X50" s="13" t="str">
        <f>_xll.BDH("NBIX US Equity","IS_ABNORMAL_TAX_PROV_BENEFIT","FQ1 2024","FQ1 2024","Currency=USD","Period=FQ","BEST_FPERIOD_OVERRIDE=FQ","FILING_STATUS=MR","SCALING_FORMAT=MLN","Sort=A","Dates=H","DateFormat=P","Fill=—","Direction=H","UseDPDF=Y")</f>
        <v>—</v>
      </c>
      <c r="Y50" s="13" t="str">
        <f>_xll.BDH("NBIX US Equity","IS_ABNORMAL_TAX_PROV_BENEFIT","FQ2 2024","FQ2 2024","Currency=USD","Period=FQ","BEST_FPERIOD_OVERRIDE=FQ","FILING_STATUS=MR","SCALING_FORMAT=MLN","Sort=A","Dates=H","DateFormat=P","Fill=—","Direction=H","UseDPDF=Y")</f>
        <v>—</v>
      </c>
      <c r="Z50" s="13">
        <f>_xll.BDH("NBIX US Equity","IS_ABNORMAL_TAX_PROV_BENEFIT","FQ3 2024","FQ3 2024","Currency=USD","Period=FQ","BEST_FPERIOD_OVERRIDE=FQ","FILING_STATUS=MR","SCALING_FORMAT=MLN","Sort=A","Dates=H","DateFormat=P","Fill=—","Direction=H","UseDPDF=Y")</f>
        <v>10.393000000000001</v>
      </c>
      <c r="AA50" s="13" t="str">
        <f>_xll.BDH("NBIX US Equity","IS_ABNORMAL_TAX_PROV_BENEFIT","FQ4 2024","FQ4 2024","Currency=USD","Period=FQ","BEST_FPERIOD_OVERRIDE=FQ","FILING_STATUS=MR","SCALING_FORMAT=MLN","Sort=A","Dates=H","DateFormat=P","Fill=—","Direction=H","UseDPDF=Y")</f>
        <v>—</v>
      </c>
    </row>
    <row r="51" spans="1:27" x14ac:dyDescent="0.25">
      <c r="A51" s="6" t="s">
        <v>383</v>
      </c>
      <c r="B51" s="6" t="s">
        <v>80</v>
      </c>
      <c r="C51" s="19">
        <f>_xll.BDH("NBIX US Equity","EARN_FOR_COMMON","FQ4 2018","FQ4 2018","Currency=USD","Period=FQ","BEST_FPERIOD_OVERRIDE=FQ","FILING_STATUS=MR","SCALING_FORMAT=MLN","FA_ADJUSTED=Adjusted","Sort=A","Dates=H","DateFormat=P","Fill=—","Direction=H","UseDPDF=Y")</f>
        <v>18.077999999999999</v>
      </c>
      <c r="D51" s="19">
        <f>_xll.BDH("NBIX US Equity","EARN_FOR_COMMON","FQ1 2019","FQ1 2019","Currency=USD","Period=FQ","BEST_FPERIOD_OVERRIDE=FQ","FILING_STATUS=MR","SCALING_FORMAT=MLN","FA_ADJUSTED=Adjusted","Sort=A","Dates=H","DateFormat=P","Fill=—","Direction=H","UseDPDF=Y")</f>
        <v>-14.1082</v>
      </c>
      <c r="E51" s="19">
        <f>_xll.BDH("NBIX US Equity","EARN_FOR_COMMON","FQ2 2019","FQ2 2019","Currency=USD","Period=FQ","BEST_FPERIOD_OVERRIDE=FQ","FILING_STATUS=MR","SCALING_FORMAT=MLN","FA_ADJUSTED=Adjusted","Sort=A","Dates=H","DateFormat=P","Fill=—","Direction=H","UseDPDF=Y")</f>
        <v>38.725700000000003</v>
      </c>
      <c r="F51" s="19">
        <f>_xll.BDH("NBIX US Equity","EARN_FOR_COMMON","FQ3 2019","FQ3 2019","Currency=USD","Period=FQ","BEST_FPERIOD_OVERRIDE=FQ","FILING_STATUS=MR","SCALING_FORMAT=MLN","FA_ADJUSTED=Adjusted","Sort=A","Dates=H","DateFormat=P","Fill=—","Direction=H","UseDPDF=Y")</f>
        <v>76.264499999999998</v>
      </c>
      <c r="G51" s="19">
        <f>_xll.BDH("NBIX US Equity","EARN_FOR_COMMON","FQ4 2019","FQ4 2019","Currency=USD","Period=FQ","BEST_FPERIOD_OVERRIDE=FQ","FILING_STATUS=MR","SCALING_FORMAT=MLN","FA_ADJUSTED=Adjusted","Sort=A","Dates=H","DateFormat=P","Fill=—","Direction=H","UseDPDF=Y")</f>
        <v>76.896799999999999</v>
      </c>
      <c r="H51" s="19">
        <f>_xll.BDH("NBIX US Equity","EARN_FOR_COMMON","FQ1 2020","FQ1 2020","Currency=USD","Period=FQ","BEST_FPERIOD_OVERRIDE=FQ","FILING_STATUS=MR","SCALING_FORMAT=MLN","FA_ADJUSTED=Adjusted","Sort=A","Dates=H","DateFormat=P","Fill=—","Direction=H","UseDPDF=Y")</f>
        <v>53.290300000000002</v>
      </c>
      <c r="I51" s="19">
        <f>_xll.BDH("NBIX US Equity","EARN_FOR_COMMON","FQ2 2020","FQ2 2020","Currency=USD","Period=FQ","BEST_FPERIOD_OVERRIDE=FQ","FILING_STATUS=MR","SCALING_FORMAT=MLN","FA_ADJUSTED=Adjusted","Sort=A","Dates=H","DateFormat=P","Fill=—","Direction=H","UseDPDF=Y")</f>
        <v>114.2418</v>
      </c>
      <c r="J51" s="19">
        <f>_xll.BDH("NBIX US Equity","EARN_FOR_COMMON","FQ3 2020","FQ3 2020","Currency=USD","Period=FQ","BEST_FPERIOD_OVERRIDE=FQ","FILING_STATUS=MR","SCALING_FORMAT=MLN","FA_ADJUSTED=Adjusted","Sort=A","Dates=H","DateFormat=P","Fill=—","Direction=H","UseDPDF=Y")</f>
        <v>65.025999999999996</v>
      </c>
      <c r="K51" s="19">
        <f>_xll.BDH("NBIX US Equity","EARN_FOR_COMMON","FQ4 2020","FQ4 2020","Currency=USD","Period=FQ","BEST_FPERIOD_OVERRIDE=FQ","FILING_STATUS=MR","SCALING_FORMAT=MLN","FA_ADJUSTED=Adjusted","Sort=A","Dates=H","DateFormat=P","Fill=—","Direction=H","UseDPDF=Y")</f>
        <v>221.69630000000001</v>
      </c>
      <c r="L51" s="19">
        <f>_xll.BDH("NBIX US Equity","EARN_FOR_COMMON","FQ1 2021","FQ1 2021","Currency=USD","Period=FQ","BEST_FPERIOD_OVERRIDE=FQ","FILING_STATUS=MR","SCALING_FORMAT=MLN","FA_ADJUSTED=Adjusted","Sort=A","Dates=H","DateFormat=P","Fill=—","Direction=H","UseDPDF=Y")</f>
        <v>31.7867</v>
      </c>
      <c r="M51" s="19">
        <f>_xll.BDH("NBIX US Equity","EARN_FOR_COMMON","FQ2 2021","FQ2 2021","Currency=USD","Period=FQ","BEST_FPERIOD_OVERRIDE=FQ","FILING_STATUS=MR","SCALING_FORMAT=MLN","FA_ADJUSTED=Adjusted","Sort=A","Dates=H","DateFormat=P","Fill=—","Direction=H","UseDPDF=Y")</f>
        <v>46.698099999999997</v>
      </c>
      <c r="N51" s="19">
        <f>_xll.BDH("NBIX US Equity","EARN_FOR_COMMON","FQ3 2021","FQ3 2021","Currency=USD","Period=FQ","BEST_FPERIOD_OVERRIDE=FQ","FILING_STATUS=MR","SCALING_FORMAT=MLN","FA_ADJUSTED=Adjusted","Sort=A","Dates=H","DateFormat=P","Fill=—","Direction=H","UseDPDF=Y")</f>
        <v>29.953099999999999</v>
      </c>
      <c r="O51" s="19">
        <f>_xll.BDH("NBIX US Equity","EARN_FOR_COMMON","FQ4 2021","FQ4 2021","Currency=USD","Period=FQ","BEST_FPERIOD_OVERRIDE=FQ","FILING_STATUS=MR","SCALING_FORMAT=MLN","FA_ADJUSTED=Adjusted","Sort=A","Dates=H","DateFormat=P","Fill=—","Direction=H","UseDPDF=Y")</f>
        <v>49.500999999999998</v>
      </c>
      <c r="P51" s="19">
        <f>_xll.BDH("NBIX US Equity","EARN_FOR_COMMON","FQ1 2022","FQ1 2022","Currency=USD","Period=FQ","BEST_FPERIOD_OVERRIDE=FQ","FILING_STATUS=MR","SCALING_FORMAT=MLN","FA_ADJUSTED=Adjusted","Sort=A","Dates=H","DateFormat=P","Fill=—","Direction=H","UseDPDF=Y")</f>
        <v>-4.0669000000000004</v>
      </c>
      <c r="Q51" s="19">
        <f>_xll.BDH("NBIX US Equity","EARN_FOR_COMMON","FQ2 2022","FQ2 2022","Currency=USD","Period=FQ","BEST_FPERIOD_OVERRIDE=FQ","FILING_STATUS=MR","SCALING_FORMAT=MLN","FA_ADJUSTED=Adjusted","Sort=A","Dates=H","DateFormat=P","Fill=—","Direction=H","UseDPDF=Y")</f>
        <v>-11.054</v>
      </c>
      <c r="R51" s="19">
        <f>_xll.BDH("NBIX US Equity","EARN_FOR_COMMON","FQ3 2022","FQ3 2022","Currency=USD","Period=FQ","BEST_FPERIOD_OVERRIDE=FQ","FILING_STATUS=MR","SCALING_FORMAT=MLN","FA_ADJUSTED=Adjusted","Sort=A","Dates=H","DateFormat=P","Fill=—","Direction=H","UseDPDF=Y")</f>
        <v>78.789299999999997</v>
      </c>
      <c r="S51" s="19">
        <f>_xll.BDH("NBIX US Equity","EARN_FOR_COMMON","FQ4 2022","FQ4 2022","Currency=USD","Period=FQ","BEST_FPERIOD_OVERRIDE=FQ","FILING_STATUS=MR","SCALING_FORMAT=MLN","FA_ADJUSTED=Adjusted","Sort=A","Dates=H","DateFormat=P","Fill=—","Direction=H","UseDPDF=Y")</f>
        <v>90.033799999999999</v>
      </c>
      <c r="T51" s="19">
        <f>_xll.BDH("NBIX US Equity","EARN_FOR_COMMON","FQ1 2023","FQ1 2023","Currency=USD","Period=FQ","BEST_FPERIOD_OVERRIDE=FQ","FILING_STATUS=MR","SCALING_FORMAT=MLN","FA_ADJUSTED=Adjusted","Sort=A","Dates=H","DateFormat=P","Fill=—","Direction=H","UseDPDF=Y")</f>
        <v>35.544400000000003</v>
      </c>
      <c r="U51" s="19">
        <f>_xll.BDH("NBIX US Equity","EARN_FOR_COMMON","FQ2 2023","FQ2 2023","Currency=USD","Period=FQ","BEST_FPERIOD_OVERRIDE=FQ","FILING_STATUS=MR","SCALING_FORMAT=MLN","FA_ADJUSTED=Adjusted","Sort=A","Dates=H","DateFormat=P","Fill=—","Direction=H","UseDPDF=Y")</f>
        <v>66.033000000000001</v>
      </c>
      <c r="V51" s="19">
        <f>_xll.BDH("NBIX US Equity","EARN_FOR_COMMON","FQ3 2023","FQ3 2023","Currency=USD","Period=FQ","BEST_FPERIOD_OVERRIDE=FQ","FILING_STATUS=MR","SCALING_FORMAT=MLN","FA_ADJUSTED=Adjusted","Sort=A","Dates=H","DateFormat=P","Fill=—","Direction=H","UseDPDF=Y")</f>
        <v>138.017</v>
      </c>
      <c r="W51" s="19">
        <f>_xll.BDH("NBIX US Equity","EARN_FOR_COMMON","FQ4 2023","FQ4 2023","Currency=USD","Period=FQ","BEST_FPERIOD_OVERRIDE=FQ","FILING_STATUS=MR","SCALING_FORMAT=MLN","FA_ADJUSTED=Adjusted","Sort=A","Dates=H","DateFormat=P","Fill=—","Direction=H","UseDPDF=Y")</f>
        <v>124.79</v>
      </c>
      <c r="X51" s="19">
        <f>_xll.BDH("NBIX US Equity","EARN_FOR_COMMON","FQ1 2024","FQ1 2024","Currency=USD","Period=FQ","BEST_FPERIOD_OVERRIDE=FQ","FILING_STATUS=MR","SCALING_FORMAT=MLN","FA_ADJUSTED=Adjusted","Sort=A","Dates=H","DateFormat=P","Fill=—","Direction=H","UseDPDF=Y")</f>
        <v>47.158499999999997</v>
      </c>
      <c r="Y51" s="19">
        <f>_xll.BDH("NBIX US Equity","EARN_FOR_COMMON","FQ2 2024","FQ2 2024","Currency=USD","Period=FQ","BEST_FPERIOD_OVERRIDE=FQ","FILING_STATUS=MR","SCALING_FORMAT=MLN","FA_ADJUSTED=Adjusted","Sort=A","Dates=H","DateFormat=P","Fill=—","Direction=H","UseDPDF=Y")</f>
        <v>174.25710000000001</v>
      </c>
      <c r="Z51" s="19">
        <f>_xll.BDH("NBIX US Equity","EARN_FOR_COMMON","FQ3 2024","FQ3 2024","Currency=USD","Period=FQ","BEST_FPERIOD_OVERRIDE=FQ","FILING_STATUS=MR","SCALING_FORMAT=MLN","FA_ADJUSTED=Adjusted","Sort=A","Dates=H","DateFormat=P","Fill=—","Direction=H","UseDPDF=Y")</f>
        <v>157.27289999999999</v>
      </c>
      <c r="AA51" s="19">
        <f>_xll.BDH("NBIX US Equity","EARN_FOR_COMMON","FQ4 2024","FQ4 2024","Currency=USD","Period=FQ","BEST_FPERIOD_OVERRIDE=FQ","FILING_STATUS=MR","SCALING_FORMAT=MLN","FA_ADJUSTED=Adjusted","Sort=A","Dates=H","DateFormat=P","Fill=—","Direction=H","UseDPDF=Y")</f>
        <v>107.37269999999999</v>
      </c>
    </row>
    <row r="52" spans="1:27" x14ac:dyDescent="0.25">
      <c r="A52" s="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6" t="s">
        <v>613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6" t="s">
        <v>103</v>
      </c>
      <c r="B54" s="6" t="s">
        <v>104</v>
      </c>
      <c r="C54" s="20">
        <f>_xll.BDH("NBIX US Equity","IS_DILUTED_EPS","FQ4 2018","FQ4 2018","Currency=USD","Period=FQ","BEST_FPERIOD_OVERRIDE=FQ","FILING_STATUS=MR","FA_ADJUSTED=GAAP","Sort=A","Dates=H","DateFormat=P","Fill=—","Direction=H","UseDPDF=Y")</f>
        <v>0.19</v>
      </c>
      <c r="D54" s="20">
        <f>_xll.BDH("NBIX US Equity","IS_DILUTED_EPS","FQ1 2019","FQ1 2019","Currency=USD","Period=FQ","BEST_FPERIOD_OVERRIDE=FQ","FILING_STATUS=MR","FA_ADJUSTED=GAAP","Sort=A","Dates=H","DateFormat=P","Fill=—","Direction=H","UseDPDF=Y")</f>
        <v>-1.1200000000000001</v>
      </c>
      <c r="E54" s="20">
        <f>_xll.BDH("NBIX US Equity","IS_DILUTED_EPS","FQ2 2019","FQ2 2019","Currency=USD","Period=FQ","BEST_FPERIOD_OVERRIDE=FQ","FILING_STATUS=MR","FA_ADJUSTED=GAAP","Sort=A","Dates=H","DateFormat=P","Fill=—","Direction=H","UseDPDF=Y")</f>
        <v>0.54</v>
      </c>
      <c r="F54" s="20">
        <f>_xll.BDH("NBIX US Equity","IS_DILUTED_EPS","FQ3 2019","FQ3 2019","Currency=USD","Period=FQ","BEST_FPERIOD_OVERRIDE=FQ","FILING_STATUS=MR","FA_ADJUSTED=GAAP","Sort=A","Dates=H","DateFormat=P","Fill=—","Direction=H","UseDPDF=Y")</f>
        <v>0.56000000000000005</v>
      </c>
      <c r="G54" s="20">
        <f>_xll.BDH("NBIX US Equity","IS_DILUTED_EPS","FQ4 2019","FQ4 2019","Currency=USD","Period=FQ","BEST_FPERIOD_OVERRIDE=FQ","FILING_STATUS=MR","FA_ADJUSTED=GAAP","Sort=A","Dates=H","DateFormat=P","Fill=—","Direction=H","UseDPDF=Y")</f>
        <v>0.35</v>
      </c>
      <c r="H54" s="20">
        <f>_xll.BDH("NBIX US Equity","IS_DILUTED_EPS","FQ1 2020","FQ1 2020","Currency=USD","Period=FQ","BEST_FPERIOD_OVERRIDE=FQ","FILING_STATUS=MR","FA_ADJUSTED=GAAP","Sort=A","Dates=H","DateFormat=P","Fill=—","Direction=H","UseDPDF=Y")</f>
        <v>0.39</v>
      </c>
      <c r="I54" s="20">
        <f>_xll.BDH("NBIX US Equity","IS_DILUTED_EPS","FQ2 2020","FQ2 2020","Currency=USD","Period=FQ","BEST_FPERIOD_OVERRIDE=FQ","FILING_STATUS=MR","FA_ADJUSTED=GAAP","Sort=A","Dates=H","DateFormat=P","Fill=—","Direction=H","UseDPDF=Y")</f>
        <v>0.81</v>
      </c>
      <c r="J54" s="20">
        <f>_xll.BDH("NBIX US Equity","IS_DILUTED_EPS","FQ3 2020","FQ3 2020","Currency=USD","Period=FQ","BEST_FPERIOD_OVERRIDE=FQ","FILING_STATUS=MR","FA_ADJUSTED=GAAP","Sort=A","Dates=H","DateFormat=P","Fill=—","Direction=H","UseDPDF=Y")</f>
        <v>-0.62</v>
      </c>
      <c r="K54" s="20">
        <f>_xll.BDH("NBIX US Equity","IS_DILUTED_EPS","FQ4 2020","FQ4 2020","Currency=USD","Period=FQ","BEST_FPERIOD_OVERRIDE=FQ","FILING_STATUS=MR","FA_ADJUSTED=GAAP","Sort=A","Dates=H","DateFormat=P","Fill=—","Direction=H","UseDPDF=Y")</f>
        <v>3.58</v>
      </c>
      <c r="L54" s="20">
        <f>_xll.BDH("NBIX US Equity","IS_DILUTED_EPS","FQ1 2021","FQ1 2021","Currency=USD","Period=FQ","BEST_FPERIOD_OVERRIDE=FQ","FILING_STATUS=MR","FA_ADJUSTED=GAAP","Sort=A","Dates=H","DateFormat=P","Fill=—","Direction=H","UseDPDF=Y")</f>
        <v>0.33</v>
      </c>
      <c r="M54" s="20">
        <f>_xll.BDH("NBIX US Equity","IS_DILUTED_EPS","FQ2 2021","FQ2 2021","Currency=USD","Period=FQ","BEST_FPERIOD_OVERRIDE=FQ","FILING_STATUS=MR","FA_ADJUSTED=GAAP","Sort=A","Dates=H","DateFormat=P","Fill=—","Direction=H","UseDPDF=Y")</f>
        <v>0.43</v>
      </c>
      <c r="N54" s="20">
        <f>_xll.BDH("NBIX US Equity","IS_DILUTED_EPS","FQ3 2021","FQ3 2021","Currency=USD","Period=FQ","BEST_FPERIOD_OVERRIDE=FQ","FILING_STATUS=MR","FA_ADJUSTED=GAAP","Sort=A","Dates=H","DateFormat=P","Fill=—","Direction=H","UseDPDF=Y")</f>
        <v>0.23</v>
      </c>
      <c r="O54" s="20">
        <f>_xll.BDH("NBIX US Equity","IS_DILUTED_EPS","FQ4 2021","FQ4 2021","Currency=USD","Period=FQ","BEST_FPERIOD_OVERRIDE=FQ","FILING_STATUS=MR","FA_ADJUSTED=GAAP","Sort=A","Dates=H","DateFormat=P","Fill=—","Direction=H","UseDPDF=Y")</f>
        <v>-0.08</v>
      </c>
      <c r="P54" s="20">
        <f>_xll.BDH("NBIX US Equity","IS_DILUTED_EPS","FQ1 2022","FQ1 2022","Currency=USD","Period=FQ","BEST_FPERIOD_OVERRIDE=FQ","FILING_STATUS=MR","FA_ADJUSTED=GAAP","Sort=A","Dates=H","DateFormat=P","Fill=—","Direction=H","UseDPDF=Y")</f>
        <v>0.14000000000000001</v>
      </c>
      <c r="Q54" s="20">
        <f>_xll.BDH("NBIX US Equity","IS_DILUTED_EPS","FQ2 2022","FQ2 2022","Currency=USD","Period=FQ","BEST_FPERIOD_OVERRIDE=FQ","FILING_STATUS=MR","FA_ADJUSTED=GAAP","Sort=A","Dates=H","DateFormat=P","Fill=—","Direction=H","UseDPDF=Y")</f>
        <v>-0.18</v>
      </c>
      <c r="R54" s="20">
        <f>_xll.BDH("NBIX US Equity","IS_DILUTED_EPS","FQ3 2022","FQ3 2022","Currency=USD","Period=FQ","BEST_FPERIOD_OVERRIDE=FQ","FILING_STATUS=MR","FA_ADJUSTED=GAAP","Sort=A","Dates=H","DateFormat=P","Fill=—","Direction=H","UseDPDF=Y")</f>
        <v>0.69</v>
      </c>
      <c r="S54" s="20">
        <f>_xll.BDH("NBIX US Equity","IS_DILUTED_EPS","FQ4 2022","FQ4 2022","Currency=USD","Period=FQ","BEST_FPERIOD_OVERRIDE=FQ","FILING_STATUS=MR","FA_ADJUSTED=GAAP","Sort=A","Dates=H","DateFormat=P","Fill=—","Direction=H","UseDPDF=Y")</f>
        <v>0.88</v>
      </c>
      <c r="T54" s="20">
        <f>_xll.BDH("NBIX US Equity","IS_DILUTED_EPS","FQ1 2023","FQ1 2023","Currency=USD","Period=FQ","BEST_FPERIOD_OVERRIDE=FQ","FILING_STATUS=MR","FA_ADJUSTED=GAAP","Sort=A","Dates=H","DateFormat=P","Fill=—","Direction=H","UseDPDF=Y")</f>
        <v>-0.79</v>
      </c>
      <c r="U54" s="20">
        <f>_xll.BDH("NBIX US Equity","IS_DILUTED_EPS","FQ2 2023","FQ2 2023","Currency=USD","Period=FQ","BEST_FPERIOD_OVERRIDE=FQ","FILING_STATUS=MR","FA_ADJUSTED=GAAP","Sort=A","Dates=H","DateFormat=P","Fill=—","Direction=H","UseDPDF=Y")</f>
        <v>0.95</v>
      </c>
      <c r="V54" s="20">
        <f>_xll.BDH("NBIX US Equity","IS_DILUTED_EPS","FQ3 2023","FQ3 2023","Currency=USD","Period=FQ","BEST_FPERIOD_OVERRIDE=FQ","FILING_STATUS=MR","FA_ADJUSTED=GAAP","Sort=A","Dates=H","DateFormat=P","Fill=—","Direction=H","UseDPDF=Y")</f>
        <v>0.82</v>
      </c>
      <c r="W54" s="20">
        <f>_xll.BDH("NBIX US Equity","IS_DILUTED_EPS","FQ4 2023","FQ4 2023","Currency=USD","Period=FQ","BEST_FPERIOD_OVERRIDE=FQ","FILING_STATUS=MR","FA_ADJUSTED=GAAP","Sort=A","Dates=H","DateFormat=P","Fill=—","Direction=H","UseDPDF=Y")</f>
        <v>1.44</v>
      </c>
      <c r="X54" s="20">
        <f>_xll.BDH("NBIX US Equity","IS_DILUTED_EPS","FQ1 2024","FQ1 2024","Currency=USD","Period=FQ","BEST_FPERIOD_OVERRIDE=FQ","FILING_STATUS=MR","FA_ADJUSTED=GAAP","Sort=A","Dates=H","DateFormat=P","Fill=—","Direction=H","UseDPDF=Y")</f>
        <v>0.42</v>
      </c>
      <c r="Y54" s="20">
        <f>_xll.BDH("NBIX US Equity","IS_DILUTED_EPS","FQ2 2024","FQ2 2024","Currency=USD","Period=FQ","BEST_FPERIOD_OVERRIDE=FQ","FILING_STATUS=MR","FA_ADJUSTED=GAAP","Sort=A","Dates=H","DateFormat=P","Fill=—","Direction=H","UseDPDF=Y")</f>
        <v>0.63</v>
      </c>
      <c r="Z54" s="20">
        <f>_xll.BDH("NBIX US Equity","IS_DILUTED_EPS","FQ3 2024","FQ3 2024","Currency=USD","Period=FQ","BEST_FPERIOD_OVERRIDE=FQ","FILING_STATUS=MR","FA_ADJUSTED=GAAP","Sort=A","Dates=H","DateFormat=P","Fill=—","Direction=H","UseDPDF=Y")</f>
        <v>1.24</v>
      </c>
      <c r="AA54" s="20">
        <f>_xll.BDH("NBIX US Equity","IS_DILUTED_EPS","FQ4 2024","FQ4 2024","Currency=USD","Period=FQ","BEST_FPERIOD_OVERRIDE=FQ","FILING_STATUS=MR","FA_ADJUSTED=GAAP","Sort=A","Dates=H","DateFormat=P","Fill=—","Direction=H","UseDPDF=Y")</f>
        <v>1</v>
      </c>
    </row>
    <row r="55" spans="1:27" x14ac:dyDescent="0.25">
      <c r="A55" s="10" t="s">
        <v>601</v>
      </c>
      <c r="B55" s="10" t="s">
        <v>614</v>
      </c>
      <c r="C55" s="14" t="str">
        <f>_xll.BDH("NBIX US Equity","IS_DISC_OPS_DILUTED_SH","FQ4 2018","FQ4 2018","Currency=USD","Period=FQ","BEST_FPERIOD_OVERRIDE=FQ","FILING_STATUS=MR","Sort=A","Dates=H","DateFormat=P","Fill=—","Direction=H","UseDPDF=Y")</f>
        <v>—</v>
      </c>
      <c r="D55" s="14" t="str">
        <f>_xll.BDH("NBIX US Equity","IS_DISC_OPS_DILUTED_SH","FQ1 2019","FQ1 2019","Currency=USD","Period=FQ","BEST_FPERIOD_OVERRIDE=FQ","FILING_STATUS=MR","Sort=A","Dates=H","DateFormat=P","Fill=—","Direction=H","UseDPDF=Y")</f>
        <v>—</v>
      </c>
      <c r="E55" s="14">
        <f>_xll.BDH("NBIX US Equity","IS_DISC_OPS_DILUTED_SH","FQ2 2019","FQ2 2019","Currency=USD","Period=FQ","BEST_FPERIOD_OVERRIDE=FQ","FILING_STATUS=MR","Sort=A","Dates=H","DateFormat=P","Fill=—","Direction=H","UseDPDF=Y")</f>
        <v>0</v>
      </c>
      <c r="F55" s="14">
        <f>_xll.BDH("NBIX US Equity","IS_DISC_OPS_DILUTED_SH","FQ3 2019","FQ3 2019","Currency=USD","Period=FQ","BEST_FPERIOD_OVERRIDE=FQ","FILING_STATUS=MR","Sort=A","Dates=H","DateFormat=P","Fill=—","Direction=H","UseDPDF=Y")</f>
        <v>0</v>
      </c>
      <c r="G55" s="14">
        <f>_xll.BDH("NBIX US Equity","IS_DISC_OPS_DILUTED_SH","FQ4 2019","FQ4 2019","Currency=USD","Period=FQ","BEST_FPERIOD_OVERRIDE=FQ","FILING_STATUS=MR","Sort=A","Dates=H","DateFormat=P","Fill=—","Direction=H","UseDPDF=Y")</f>
        <v>0</v>
      </c>
      <c r="H55" s="14">
        <f>_xll.BDH("NBIX US Equity","IS_DISC_OPS_DILUTED_SH","FQ1 2020","FQ1 2020","Currency=USD","Period=FQ","BEST_FPERIOD_OVERRIDE=FQ","FILING_STATUS=MR","Sort=A","Dates=H","DateFormat=P","Fill=—","Direction=H","UseDPDF=Y")</f>
        <v>0</v>
      </c>
      <c r="I55" s="14">
        <f>_xll.BDH("NBIX US Equity","IS_DISC_OPS_DILUTED_SH","FQ2 2020","FQ2 2020","Currency=USD","Period=FQ","BEST_FPERIOD_OVERRIDE=FQ","FILING_STATUS=MR","Sort=A","Dates=H","DateFormat=P","Fill=—","Direction=H","UseDPDF=Y")</f>
        <v>0</v>
      </c>
      <c r="J55" s="14">
        <f>_xll.BDH("NBIX US Equity","IS_DISC_OPS_DILUTED_SH","FQ3 2020","FQ3 2020","Currency=USD","Period=FQ","BEST_FPERIOD_OVERRIDE=FQ","FILING_STATUS=MR","Sort=A","Dates=H","DateFormat=P","Fill=—","Direction=H","UseDPDF=Y")</f>
        <v>0</v>
      </c>
      <c r="K55" s="14">
        <f>_xll.BDH("NBIX US Equity","IS_DISC_OPS_DILUTED_SH","FQ4 2020","FQ4 2020","Currency=USD","Period=FQ","BEST_FPERIOD_OVERRIDE=FQ","FILING_STATUS=MR","Sort=A","Dates=H","DateFormat=P","Fill=—","Direction=H","UseDPDF=Y")</f>
        <v>0</v>
      </c>
      <c r="L55" s="14">
        <f>_xll.BDH("NBIX US Equity","IS_DISC_OPS_DILUTED_SH","FQ1 2021","FQ1 2021","Currency=USD","Period=FQ","BEST_FPERIOD_OVERRIDE=FQ","FILING_STATUS=MR","Sort=A","Dates=H","DateFormat=P","Fill=—","Direction=H","UseDPDF=Y")</f>
        <v>0</v>
      </c>
      <c r="M55" s="14">
        <f>_xll.BDH("NBIX US Equity","IS_DISC_OPS_DILUTED_SH","FQ2 2021","FQ2 2021","Currency=USD","Period=FQ","BEST_FPERIOD_OVERRIDE=FQ","FILING_STATUS=MR","Sort=A","Dates=H","DateFormat=P","Fill=—","Direction=H","UseDPDF=Y")</f>
        <v>0</v>
      </c>
      <c r="N55" s="14">
        <f>_xll.BDH("NBIX US Equity","IS_DISC_OPS_DILUTED_SH","FQ3 2021","FQ3 2021","Currency=USD","Period=FQ","BEST_FPERIOD_OVERRIDE=FQ","FILING_STATUS=MR","Sort=A","Dates=H","DateFormat=P","Fill=—","Direction=H","UseDPDF=Y")</f>
        <v>0</v>
      </c>
      <c r="O55" s="14">
        <f>_xll.BDH("NBIX US Equity","IS_DISC_OPS_DILUTED_SH","FQ4 2021","FQ4 2021","Currency=USD","Period=FQ","BEST_FPERIOD_OVERRIDE=FQ","FILING_STATUS=MR","Sort=A","Dates=H","DateFormat=P","Fill=—","Direction=H","UseDPDF=Y")</f>
        <v>0</v>
      </c>
      <c r="P55" s="14" t="str">
        <f>_xll.BDH("NBIX US Equity","IS_DISC_OPS_DILUTED_SH","FQ1 2022","FQ1 2022","Currency=USD","Period=FQ","BEST_FPERIOD_OVERRIDE=FQ","FILING_STATUS=MR","Sort=A","Dates=H","DateFormat=P","Fill=—","Direction=H","UseDPDF=Y")</f>
        <v>—</v>
      </c>
      <c r="Q55" s="14">
        <f>_xll.BDH("NBIX US Equity","IS_DISC_OPS_DILUTED_SH","FQ2 2022","FQ2 2022","Currency=USD","Period=FQ","BEST_FPERIOD_OVERRIDE=FQ","FILING_STATUS=MR","Sort=A","Dates=H","DateFormat=P","Fill=—","Direction=H","UseDPDF=Y")</f>
        <v>0</v>
      </c>
      <c r="R55" s="14">
        <f>_xll.BDH("NBIX US Equity","IS_DISC_OPS_DILUTED_SH","FQ3 2022","FQ3 2022","Currency=USD","Period=FQ","BEST_FPERIOD_OVERRIDE=FQ","FILING_STATUS=MR","Sort=A","Dates=H","DateFormat=P","Fill=—","Direction=H","UseDPDF=Y")</f>
        <v>0</v>
      </c>
      <c r="S55" s="14">
        <f>_xll.BDH("NBIX US Equity","IS_DISC_OPS_DILUTED_SH","FQ4 2022","FQ4 2022","Currency=USD","Period=FQ","BEST_FPERIOD_OVERRIDE=FQ","FILING_STATUS=MR","Sort=A","Dates=H","DateFormat=P","Fill=—","Direction=H","UseDPDF=Y")</f>
        <v>0</v>
      </c>
      <c r="T55" s="14" t="str">
        <f>_xll.BDH("NBIX US Equity","IS_DISC_OPS_DILUTED_SH","FQ1 2023","FQ1 2023","Currency=USD","Period=FQ","BEST_FPERIOD_OVERRIDE=FQ","FILING_STATUS=MR","Sort=A","Dates=H","DateFormat=P","Fill=—","Direction=H","UseDPDF=Y")</f>
        <v>—</v>
      </c>
      <c r="U55" s="14">
        <f>_xll.BDH("NBIX US Equity","IS_DISC_OPS_DILUTED_SH","FQ2 2023","FQ2 2023","Currency=USD","Period=FQ","BEST_FPERIOD_OVERRIDE=FQ","FILING_STATUS=MR","Sort=A","Dates=H","DateFormat=P","Fill=—","Direction=H","UseDPDF=Y")</f>
        <v>0</v>
      </c>
      <c r="V55" s="14">
        <f>_xll.BDH("NBIX US Equity","IS_DISC_OPS_DILUTED_SH","FQ3 2023","FQ3 2023","Currency=USD","Period=FQ","BEST_FPERIOD_OVERRIDE=FQ","FILING_STATUS=MR","Sort=A","Dates=H","DateFormat=P","Fill=—","Direction=H","UseDPDF=Y")</f>
        <v>0</v>
      </c>
      <c r="W55" s="14">
        <f>_xll.BDH("NBIX US Equity","IS_DISC_OPS_DILUTED_SH","FQ4 2023","FQ4 2023","Currency=USD","Period=FQ","BEST_FPERIOD_OVERRIDE=FQ","FILING_STATUS=MR","Sort=A","Dates=H","DateFormat=P","Fill=—","Direction=H","UseDPDF=Y")</f>
        <v>0</v>
      </c>
      <c r="X55" s="14" t="str">
        <f>_xll.BDH("NBIX US Equity","IS_DISC_OPS_DILUTED_SH","FQ1 2024","FQ1 2024","Currency=USD","Period=FQ","BEST_FPERIOD_OVERRIDE=FQ","FILING_STATUS=MR","Sort=A","Dates=H","DateFormat=P","Fill=—","Direction=H","UseDPDF=Y")</f>
        <v>—</v>
      </c>
      <c r="Y55" s="14">
        <f>_xll.BDH("NBIX US Equity","IS_DISC_OPS_DILUTED_SH","FQ2 2024","FQ2 2024","Currency=USD","Period=FQ","BEST_FPERIOD_OVERRIDE=FQ","FILING_STATUS=MR","Sort=A","Dates=H","DateFormat=P","Fill=—","Direction=H","UseDPDF=Y")</f>
        <v>0</v>
      </c>
      <c r="Z55" s="14" t="str">
        <f>_xll.BDH("NBIX US Equity","IS_DISC_OPS_DILUTED_SH","FQ3 2024","FQ3 2024","Currency=USD","Period=FQ","BEST_FPERIOD_OVERRIDE=FQ","FILING_STATUS=MR","Sort=A","Dates=H","DateFormat=P","Fill=—","Direction=H","UseDPDF=Y")</f>
        <v>—</v>
      </c>
      <c r="AA55" s="14">
        <f>_xll.BDH("NBIX US Equity","IS_DISC_OPS_DILUTED_SH","FQ4 2024","FQ4 2024","Currency=USD","Period=FQ","BEST_FPERIOD_OVERRIDE=FQ","FILING_STATUS=MR","Sort=A","Dates=H","DateFormat=P","Fill=—","Direction=H","UseDPDF=Y")</f>
        <v>0</v>
      </c>
    </row>
    <row r="56" spans="1:27" x14ac:dyDescent="0.25">
      <c r="A56" s="10" t="s">
        <v>602</v>
      </c>
      <c r="B56" s="10" t="s">
        <v>615</v>
      </c>
      <c r="C56" s="14">
        <f>_xll.BDH("NBIX US Equity","IS_XO_ITEMS_ACCT_CHG_DIL_SH","FQ4 2018","FQ4 2018","Currency=USD","Period=FQ","BEST_FPERIOD_OVERRIDE=FQ","FILING_STATUS=MR","Sort=A","Dates=H","DateFormat=P","Fill=—","Direction=H","UseDPDF=Y")</f>
        <v>0</v>
      </c>
      <c r="D56" s="14">
        <f>_xll.BDH("NBIX US Equity","IS_XO_ITEMS_ACCT_CHG_DIL_SH","FQ1 2019","FQ1 2019","Currency=USD","Period=FQ","BEST_FPERIOD_OVERRIDE=FQ","FILING_STATUS=MR","Sort=A","Dates=H","DateFormat=P","Fill=—","Direction=H","UseDPDF=Y")</f>
        <v>0</v>
      </c>
      <c r="E56" s="14">
        <f>_xll.BDH("NBIX US Equity","IS_XO_ITEMS_ACCT_CHG_DIL_SH","FQ2 2019","FQ2 2019","Currency=USD","Period=FQ","BEST_FPERIOD_OVERRIDE=FQ","FILING_STATUS=MR","Sort=A","Dates=H","DateFormat=P","Fill=—","Direction=H","UseDPDF=Y")</f>
        <v>0</v>
      </c>
      <c r="F56" s="14">
        <f>_xll.BDH("NBIX US Equity","IS_XO_ITEMS_ACCT_CHG_DIL_SH","FQ3 2019","FQ3 2019","Currency=USD","Period=FQ","BEST_FPERIOD_OVERRIDE=FQ","FILING_STATUS=MR","Sort=A","Dates=H","DateFormat=P","Fill=—","Direction=H","UseDPDF=Y")</f>
        <v>0</v>
      </c>
      <c r="G56" s="14">
        <f>_xll.BDH("NBIX US Equity","IS_XO_ITEMS_ACCT_CHG_DIL_SH","FQ4 2019","FQ4 2019","Currency=USD","Period=FQ","BEST_FPERIOD_OVERRIDE=FQ","FILING_STATUS=MR","Sort=A","Dates=H","DateFormat=P","Fill=—","Direction=H","UseDPDF=Y")</f>
        <v>0</v>
      </c>
      <c r="H56" s="14">
        <f>_xll.BDH("NBIX US Equity","IS_XO_ITEMS_ACCT_CHG_DIL_SH","FQ1 2020","FQ1 2020","Currency=USD","Period=FQ","BEST_FPERIOD_OVERRIDE=FQ","FILING_STATUS=MR","Sort=A","Dates=H","DateFormat=P","Fill=—","Direction=H","UseDPDF=Y")</f>
        <v>0</v>
      </c>
      <c r="I56" s="14">
        <f>_xll.BDH("NBIX US Equity","IS_XO_ITEMS_ACCT_CHG_DIL_SH","FQ2 2020","FQ2 2020","Currency=USD","Period=FQ","BEST_FPERIOD_OVERRIDE=FQ","FILING_STATUS=MR","Sort=A","Dates=H","DateFormat=P","Fill=—","Direction=H","UseDPDF=Y")</f>
        <v>0</v>
      </c>
      <c r="J56" s="14">
        <f>_xll.BDH("NBIX US Equity","IS_XO_ITEMS_ACCT_CHG_DIL_SH","FQ3 2020","FQ3 2020","Currency=USD","Period=FQ","BEST_FPERIOD_OVERRIDE=FQ","FILING_STATUS=MR","Sort=A","Dates=H","DateFormat=P","Fill=—","Direction=H","UseDPDF=Y")</f>
        <v>0</v>
      </c>
      <c r="K56" s="14">
        <f>_xll.BDH("NBIX US Equity","IS_XO_ITEMS_ACCT_CHG_DIL_SH","FQ4 2020","FQ4 2020","Currency=USD","Period=FQ","BEST_FPERIOD_OVERRIDE=FQ","FILING_STATUS=MR","Sort=A","Dates=H","DateFormat=P","Fill=—","Direction=H","UseDPDF=Y")</f>
        <v>0</v>
      </c>
      <c r="L56" s="14">
        <f>_xll.BDH("NBIX US Equity","IS_XO_ITEMS_ACCT_CHG_DIL_SH","FQ1 2021","FQ1 2021","Currency=USD","Period=FQ","BEST_FPERIOD_OVERRIDE=FQ","FILING_STATUS=MR","Sort=A","Dates=H","DateFormat=P","Fill=—","Direction=H","UseDPDF=Y")</f>
        <v>0</v>
      </c>
      <c r="M56" s="14">
        <f>_xll.BDH("NBIX US Equity","IS_XO_ITEMS_ACCT_CHG_DIL_SH","FQ2 2021","FQ2 2021","Currency=USD","Period=FQ","BEST_FPERIOD_OVERRIDE=FQ","FILING_STATUS=MR","Sort=A","Dates=H","DateFormat=P","Fill=—","Direction=H","UseDPDF=Y")</f>
        <v>0</v>
      </c>
      <c r="N56" s="14">
        <f>_xll.BDH("NBIX US Equity","IS_XO_ITEMS_ACCT_CHG_DIL_SH","FQ3 2021","FQ3 2021","Currency=USD","Period=FQ","BEST_FPERIOD_OVERRIDE=FQ","FILING_STATUS=MR","Sort=A","Dates=H","DateFormat=P","Fill=—","Direction=H","UseDPDF=Y")</f>
        <v>0</v>
      </c>
      <c r="O56" s="14">
        <f>_xll.BDH("NBIX US Equity","IS_XO_ITEMS_ACCT_CHG_DIL_SH","FQ4 2021","FQ4 2021","Currency=USD","Period=FQ","BEST_FPERIOD_OVERRIDE=FQ","FILING_STATUS=MR","Sort=A","Dates=H","DateFormat=P","Fill=—","Direction=H","UseDPDF=Y")</f>
        <v>0</v>
      </c>
      <c r="P56" s="14">
        <f>_xll.BDH("NBIX US Equity","IS_XO_ITEMS_ACCT_CHG_DIL_SH","FQ1 2022","FQ1 2022","Currency=USD","Period=FQ","BEST_FPERIOD_OVERRIDE=FQ","FILING_STATUS=MR","Sort=A","Dates=H","DateFormat=P","Fill=—","Direction=H","UseDPDF=Y")</f>
        <v>0</v>
      </c>
      <c r="Q56" s="14">
        <f>_xll.BDH("NBIX US Equity","IS_XO_ITEMS_ACCT_CHG_DIL_SH","FQ2 2022","FQ2 2022","Currency=USD","Period=FQ","BEST_FPERIOD_OVERRIDE=FQ","FILING_STATUS=MR","Sort=A","Dates=H","DateFormat=P","Fill=—","Direction=H","UseDPDF=Y")</f>
        <v>0</v>
      </c>
      <c r="R56" s="14">
        <f>_xll.BDH("NBIX US Equity","IS_XO_ITEMS_ACCT_CHG_DIL_SH","FQ3 2022","FQ3 2022","Currency=USD","Period=FQ","BEST_FPERIOD_OVERRIDE=FQ","FILING_STATUS=MR","Sort=A","Dates=H","DateFormat=P","Fill=—","Direction=H","UseDPDF=Y")</f>
        <v>0</v>
      </c>
      <c r="S56" s="14">
        <f>_xll.BDH("NBIX US Equity","IS_XO_ITEMS_ACCT_CHG_DIL_SH","FQ4 2022","FQ4 2022","Currency=USD","Period=FQ","BEST_FPERIOD_OVERRIDE=FQ","FILING_STATUS=MR","Sort=A","Dates=H","DateFormat=P","Fill=—","Direction=H","UseDPDF=Y")</f>
        <v>0</v>
      </c>
      <c r="T56" s="14">
        <f>_xll.BDH("NBIX US Equity","IS_XO_ITEMS_ACCT_CHG_DIL_SH","FQ1 2023","FQ1 2023","Currency=USD","Period=FQ","BEST_FPERIOD_OVERRIDE=FQ","FILING_STATUS=MR","Sort=A","Dates=H","DateFormat=P","Fill=—","Direction=H","UseDPDF=Y")</f>
        <v>0</v>
      </c>
      <c r="U56" s="14">
        <f>_xll.BDH("NBIX US Equity","IS_XO_ITEMS_ACCT_CHG_DIL_SH","FQ2 2023","FQ2 2023","Currency=USD","Period=FQ","BEST_FPERIOD_OVERRIDE=FQ","FILING_STATUS=MR","Sort=A","Dates=H","DateFormat=P","Fill=—","Direction=H","UseDPDF=Y")</f>
        <v>0</v>
      </c>
      <c r="V56" s="14">
        <f>_xll.BDH("NBIX US Equity","IS_XO_ITEMS_ACCT_CHG_DIL_SH","FQ3 2023","FQ3 2023","Currency=USD","Period=FQ","BEST_FPERIOD_OVERRIDE=FQ","FILING_STATUS=MR","Sort=A","Dates=H","DateFormat=P","Fill=—","Direction=H","UseDPDF=Y")</f>
        <v>0</v>
      </c>
      <c r="W56" s="14">
        <f>_xll.BDH("NBIX US Equity","IS_XO_ITEMS_ACCT_CHG_DIL_SH","FQ4 2023","FQ4 2023","Currency=USD","Period=FQ","BEST_FPERIOD_OVERRIDE=FQ","FILING_STATUS=MR","Sort=A","Dates=H","DateFormat=P","Fill=—","Direction=H","UseDPDF=Y")</f>
        <v>0</v>
      </c>
      <c r="X56" s="14">
        <f>_xll.BDH("NBIX US Equity","IS_XO_ITEMS_ACCT_CHG_DIL_SH","FQ1 2024","FQ1 2024","Currency=USD","Period=FQ","BEST_FPERIOD_OVERRIDE=FQ","FILING_STATUS=MR","Sort=A","Dates=H","DateFormat=P","Fill=—","Direction=H","UseDPDF=Y")</f>
        <v>0</v>
      </c>
      <c r="Y56" s="14">
        <f>_xll.BDH("NBIX US Equity","IS_XO_ITEMS_ACCT_CHG_DIL_SH","FQ2 2024","FQ2 2024","Currency=USD","Period=FQ","BEST_FPERIOD_OVERRIDE=FQ","FILING_STATUS=MR","Sort=A","Dates=H","DateFormat=P","Fill=—","Direction=H","UseDPDF=Y")</f>
        <v>0</v>
      </c>
      <c r="Z56" s="14">
        <f>_xll.BDH("NBIX US Equity","IS_XO_ITEMS_ACCT_CHG_DIL_SH","FQ3 2024","FQ3 2024","Currency=USD","Period=FQ","BEST_FPERIOD_OVERRIDE=FQ","FILING_STATUS=MR","Sort=A","Dates=H","DateFormat=P","Fill=—","Direction=H","UseDPDF=Y")</f>
        <v>0</v>
      </c>
      <c r="AA56" s="14">
        <f>_xll.BDH("NBIX US Equity","IS_XO_ITEMS_ACCT_CHG_DIL_SH","FQ4 2024","FQ4 2024","Currency=USD","Period=FQ","BEST_FPERIOD_OVERRIDE=FQ","FILING_STATUS=MR","Sort=A","Dates=H","DateFormat=P","Fill=—","Direction=H","UseDPDF=Y")</f>
        <v>0</v>
      </c>
    </row>
    <row r="57" spans="1:27" x14ac:dyDescent="0.25">
      <c r="A57" s="6" t="s">
        <v>389</v>
      </c>
      <c r="B57" s="6" t="s">
        <v>271</v>
      </c>
      <c r="C57" s="20">
        <f>_xll.BDH("NBIX US Equity","IS_DIL_EPS_BEF_XO","FQ4 2018","FQ4 2018","Currency=USD","Period=FQ","BEST_FPERIOD_OVERRIDE=FQ","FILING_STATUS=MR","Sort=A","Dates=H","DateFormat=P","Fill=—","Direction=H","UseDPDF=Y")</f>
        <v>0.19</v>
      </c>
      <c r="D57" s="20">
        <f>_xll.BDH("NBIX US Equity","IS_DIL_EPS_BEF_XO","FQ1 2019","FQ1 2019","Currency=USD","Period=FQ","BEST_FPERIOD_OVERRIDE=FQ","FILING_STATUS=MR","Sort=A","Dates=H","DateFormat=P","Fill=—","Direction=H","UseDPDF=Y")</f>
        <v>-1.1200000000000001</v>
      </c>
      <c r="E57" s="20">
        <f>_xll.BDH("NBIX US Equity","IS_DIL_EPS_BEF_XO","FQ2 2019","FQ2 2019","Currency=USD","Period=FQ","BEST_FPERIOD_OVERRIDE=FQ","FILING_STATUS=MR","Sort=A","Dates=H","DateFormat=P","Fill=—","Direction=H","UseDPDF=Y")</f>
        <v>0.54</v>
      </c>
      <c r="F57" s="20">
        <f>_xll.BDH("NBIX US Equity","IS_DIL_EPS_BEF_XO","FQ3 2019","FQ3 2019","Currency=USD","Period=FQ","BEST_FPERIOD_OVERRIDE=FQ","FILING_STATUS=MR","Sort=A","Dates=H","DateFormat=P","Fill=—","Direction=H","UseDPDF=Y")</f>
        <v>0.56000000000000005</v>
      </c>
      <c r="G57" s="20">
        <f>_xll.BDH("NBIX US Equity","IS_DIL_EPS_BEF_XO","FQ4 2019","FQ4 2019","Currency=USD","Period=FQ","BEST_FPERIOD_OVERRIDE=FQ","FILING_STATUS=MR","Sort=A","Dates=H","DateFormat=P","Fill=—","Direction=H","UseDPDF=Y")</f>
        <v>0.35</v>
      </c>
      <c r="H57" s="20">
        <f>_xll.BDH("NBIX US Equity","IS_DIL_EPS_BEF_XO","FQ1 2020","FQ1 2020","Currency=USD","Period=FQ","BEST_FPERIOD_OVERRIDE=FQ","FILING_STATUS=MR","Sort=A","Dates=H","DateFormat=P","Fill=—","Direction=H","UseDPDF=Y")</f>
        <v>0.39</v>
      </c>
      <c r="I57" s="20">
        <f>_xll.BDH("NBIX US Equity","IS_DIL_EPS_BEF_XO","FQ2 2020","FQ2 2020","Currency=USD","Period=FQ","BEST_FPERIOD_OVERRIDE=FQ","FILING_STATUS=MR","Sort=A","Dates=H","DateFormat=P","Fill=—","Direction=H","UseDPDF=Y")</f>
        <v>0.81</v>
      </c>
      <c r="J57" s="20">
        <f>_xll.BDH("NBIX US Equity","IS_DIL_EPS_BEF_XO","FQ3 2020","FQ3 2020","Currency=USD","Period=FQ","BEST_FPERIOD_OVERRIDE=FQ","FILING_STATUS=MR","Sort=A","Dates=H","DateFormat=P","Fill=—","Direction=H","UseDPDF=Y")</f>
        <v>-0.62</v>
      </c>
      <c r="K57" s="20">
        <f>_xll.BDH("NBIX US Equity","IS_DIL_EPS_BEF_XO","FQ4 2020","FQ4 2020","Currency=USD","Period=FQ","BEST_FPERIOD_OVERRIDE=FQ","FILING_STATUS=MR","Sort=A","Dates=H","DateFormat=P","Fill=—","Direction=H","UseDPDF=Y")</f>
        <v>3.58</v>
      </c>
      <c r="L57" s="20">
        <f>_xll.BDH("NBIX US Equity","IS_DIL_EPS_BEF_XO","FQ1 2021","FQ1 2021","Currency=USD","Period=FQ","BEST_FPERIOD_OVERRIDE=FQ","FILING_STATUS=MR","Sort=A","Dates=H","DateFormat=P","Fill=—","Direction=H","UseDPDF=Y")</f>
        <v>0.33</v>
      </c>
      <c r="M57" s="20">
        <f>_xll.BDH("NBIX US Equity","IS_DIL_EPS_BEF_XO","FQ2 2021","FQ2 2021","Currency=USD","Period=FQ","BEST_FPERIOD_OVERRIDE=FQ","FILING_STATUS=MR","Sort=A","Dates=H","DateFormat=P","Fill=—","Direction=H","UseDPDF=Y")</f>
        <v>0.43</v>
      </c>
      <c r="N57" s="20">
        <f>_xll.BDH("NBIX US Equity","IS_DIL_EPS_BEF_XO","FQ3 2021","FQ3 2021","Currency=USD","Period=FQ","BEST_FPERIOD_OVERRIDE=FQ","FILING_STATUS=MR","Sort=A","Dates=H","DateFormat=P","Fill=—","Direction=H","UseDPDF=Y")</f>
        <v>0.23</v>
      </c>
      <c r="O57" s="20">
        <f>_xll.BDH("NBIX US Equity","IS_DIL_EPS_BEF_XO","FQ4 2021","FQ4 2021","Currency=USD","Period=FQ","BEST_FPERIOD_OVERRIDE=FQ","FILING_STATUS=MR","Sort=A","Dates=H","DateFormat=P","Fill=—","Direction=H","UseDPDF=Y")</f>
        <v>-0.08</v>
      </c>
      <c r="P57" s="20">
        <f>_xll.BDH("NBIX US Equity","IS_DIL_EPS_BEF_XO","FQ1 2022","FQ1 2022","Currency=USD","Period=FQ","BEST_FPERIOD_OVERRIDE=FQ","FILING_STATUS=MR","Sort=A","Dates=H","DateFormat=P","Fill=—","Direction=H","UseDPDF=Y")</f>
        <v>0.14000000000000001</v>
      </c>
      <c r="Q57" s="20">
        <f>_xll.BDH("NBIX US Equity","IS_DIL_EPS_BEF_XO","FQ2 2022","FQ2 2022","Currency=USD","Period=FQ","BEST_FPERIOD_OVERRIDE=FQ","FILING_STATUS=MR","Sort=A","Dates=H","DateFormat=P","Fill=—","Direction=H","UseDPDF=Y")</f>
        <v>-0.18</v>
      </c>
      <c r="R57" s="20">
        <f>_xll.BDH("NBIX US Equity","IS_DIL_EPS_BEF_XO","FQ3 2022","FQ3 2022","Currency=USD","Period=FQ","BEST_FPERIOD_OVERRIDE=FQ","FILING_STATUS=MR","Sort=A","Dates=H","DateFormat=P","Fill=—","Direction=H","UseDPDF=Y")</f>
        <v>0.69</v>
      </c>
      <c r="S57" s="20">
        <f>_xll.BDH("NBIX US Equity","IS_DIL_EPS_BEF_XO","FQ4 2022","FQ4 2022","Currency=USD","Period=FQ","BEST_FPERIOD_OVERRIDE=FQ","FILING_STATUS=MR","Sort=A","Dates=H","DateFormat=P","Fill=—","Direction=H","UseDPDF=Y")</f>
        <v>0.88</v>
      </c>
      <c r="T57" s="20">
        <f>_xll.BDH("NBIX US Equity","IS_DIL_EPS_BEF_XO","FQ1 2023","FQ1 2023","Currency=USD","Period=FQ","BEST_FPERIOD_OVERRIDE=FQ","FILING_STATUS=MR","Sort=A","Dates=H","DateFormat=P","Fill=—","Direction=H","UseDPDF=Y")</f>
        <v>-0.79</v>
      </c>
      <c r="U57" s="20">
        <f>_xll.BDH("NBIX US Equity","IS_DIL_EPS_BEF_XO","FQ2 2023","FQ2 2023","Currency=USD","Period=FQ","BEST_FPERIOD_OVERRIDE=FQ","FILING_STATUS=MR","Sort=A","Dates=H","DateFormat=P","Fill=—","Direction=H","UseDPDF=Y")</f>
        <v>0.95</v>
      </c>
      <c r="V57" s="20">
        <f>_xll.BDH("NBIX US Equity","IS_DIL_EPS_BEF_XO","FQ3 2023","FQ3 2023","Currency=USD","Period=FQ","BEST_FPERIOD_OVERRIDE=FQ","FILING_STATUS=MR","Sort=A","Dates=H","DateFormat=P","Fill=—","Direction=H","UseDPDF=Y")</f>
        <v>0.82</v>
      </c>
      <c r="W57" s="20">
        <f>_xll.BDH("NBIX US Equity","IS_DIL_EPS_BEF_XO","FQ4 2023","FQ4 2023","Currency=USD","Period=FQ","BEST_FPERIOD_OVERRIDE=FQ","FILING_STATUS=MR","Sort=A","Dates=H","DateFormat=P","Fill=—","Direction=H","UseDPDF=Y")</f>
        <v>1.44</v>
      </c>
      <c r="X57" s="20">
        <f>_xll.BDH("NBIX US Equity","IS_DIL_EPS_BEF_XO","FQ1 2024","FQ1 2024","Currency=USD","Period=FQ","BEST_FPERIOD_OVERRIDE=FQ","FILING_STATUS=MR","Sort=A","Dates=H","DateFormat=P","Fill=—","Direction=H","UseDPDF=Y")</f>
        <v>0.42</v>
      </c>
      <c r="Y57" s="20">
        <f>_xll.BDH("NBIX US Equity","IS_DIL_EPS_BEF_XO","FQ2 2024","FQ2 2024","Currency=USD","Period=FQ","BEST_FPERIOD_OVERRIDE=FQ","FILING_STATUS=MR","Sort=A","Dates=H","DateFormat=P","Fill=—","Direction=H","UseDPDF=Y")</f>
        <v>0.63</v>
      </c>
      <c r="Z57" s="20">
        <f>_xll.BDH("NBIX US Equity","IS_DIL_EPS_BEF_XO","FQ3 2024","FQ3 2024","Currency=USD","Period=FQ","BEST_FPERIOD_OVERRIDE=FQ","FILING_STATUS=MR","Sort=A","Dates=H","DateFormat=P","Fill=—","Direction=H","UseDPDF=Y")</f>
        <v>1.24</v>
      </c>
      <c r="AA57" s="20">
        <f>_xll.BDH("NBIX US Equity","IS_DIL_EPS_BEF_XO","FQ4 2024","FQ4 2024","Currency=USD","Period=FQ","BEST_FPERIOD_OVERRIDE=FQ","FILING_STATUS=MR","Sort=A","Dates=H","DateFormat=P","Fill=—","Direction=H","UseDPDF=Y")</f>
        <v>1</v>
      </c>
    </row>
    <row r="58" spans="1:27" x14ac:dyDescent="0.25">
      <c r="A58" s="10" t="s">
        <v>588</v>
      </c>
      <c r="B58" s="10" t="s">
        <v>616</v>
      </c>
      <c r="C58" s="14" t="str">
        <f>_xll.BDH("NBIX US Equity","IS_AIP_RD_PER_DILUTED_SHARE","FQ4 2018","FQ4 2018","Currency=USD","Period=FQ","BEST_FPERIOD_OVERRIDE=FQ","FILING_STATUS=MR","Sort=A","Dates=H","DateFormat=P","Fill=—","Direction=H","UseDPDF=Y")</f>
        <v>—</v>
      </c>
      <c r="D58" s="14">
        <f>_xll.BDH("NBIX US Equity","IS_AIP_RD_PER_DILUTED_SHARE","FQ1 2019","FQ1 2019","Currency=USD","Period=FQ","BEST_FPERIOD_OVERRIDE=FQ","FILING_STATUS=MR","Sort=A","Dates=H","DateFormat=P","Fill=—","Direction=H","UseDPDF=Y")</f>
        <v>0.98109999999999997</v>
      </c>
      <c r="E58" s="14">
        <f>_xll.BDH("NBIX US Equity","IS_AIP_RD_PER_DILUTED_SHARE","FQ2 2019","FQ2 2019","Currency=USD","Period=FQ","BEST_FPERIOD_OVERRIDE=FQ","FILING_STATUS=MR","Sort=A","Dates=H","DateFormat=P","Fill=—","Direction=H","UseDPDF=Y")</f>
        <v>4.1700000000000001E-2</v>
      </c>
      <c r="F58" s="14" t="str">
        <f>_xll.BDH("NBIX US Equity","IS_AIP_RD_PER_DILUTED_SHARE","FQ3 2019","FQ3 2019","Currency=USD","Period=FQ","BEST_FPERIOD_OVERRIDE=FQ","FILING_STATUS=MR","Sort=A","Dates=H","DateFormat=P","Fill=—","Direction=H","UseDPDF=Y")</f>
        <v>—</v>
      </c>
      <c r="G58" s="14">
        <f>_xll.BDH("NBIX US Equity","IS_AIP_RD_PER_DILUTED_SHARE","FQ4 2019","FQ4 2019","Currency=USD","Period=FQ","BEST_FPERIOD_OVERRIDE=FQ","FILING_STATUS=MR","Sort=A","Dates=H","DateFormat=P","Fill=—","Direction=H","UseDPDF=Y")</f>
        <v>0.36809999999999998</v>
      </c>
      <c r="H58" s="14" t="str">
        <f>_xll.BDH("NBIX US Equity","IS_AIP_RD_PER_DILUTED_SHARE","FQ1 2020","FQ1 2020","Currency=USD","Period=FQ","BEST_FPERIOD_OVERRIDE=FQ","FILING_STATUS=MR","Sort=A","Dates=H","DateFormat=P","Fill=—","Direction=H","UseDPDF=Y")</f>
        <v>—</v>
      </c>
      <c r="I58" s="14">
        <f>_xll.BDH("NBIX US Equity","IS_AIP_RD_PER_DILUTED_SHARE","FQ2 2020","FQ2 2020","Currency=USD","Period=FQ","BEST_FPERIOD_OVERRIDE=FQ","FILING_STATUS=MR","Sort=A","Dates=H","DateFormat=P","Fill=—","Direction=H","UseDPDF=Y")</f>
        <v>0.46760000000000002</v>
      </c>
      <c r="J58" s="14">
        <f>_xll.BDH("NBIX US Equity","IS_AIP_RD_PER_DILUTED_SHARE","FQ3 2020","FQ3 2020","Currency=USD","Period=FQ","BEST_FPERIOD_OVERRIDE=FQ","FILING_STATUS=MR","Sort=A","Dates=H","DateFormat=P","Fill=—","Direction=H","UseDPDF=Y")</f>
        <v>1.2410000000000001</v>
      </c>
      <c r="K58" s="14" t="str">
        <f>_xll.BDH("NBIX US Equity","IS_AIP_RD_PER_DILUTED_SHARE","FQ4 2020","FQ4 2020","Currency=USD","Period=FQ","BEST_FPERIOD_OVERRIDE=FQ","FILING_STATUS=MR","Sort=A","Dates=H","DateFormat=P","Fill=—","Direction=H","UseDPDF=Y")</f>
        <v>—</v>
      </c>
      <c r="L58" s="14" t="str">
        <f>_xll.BDH("NBIX US Equity","IS_AIP_RD_PER_DILUTED_SHARE","FQ1 2021","FQ1 2021","Currency=USD","Period=FQ","BEST_FPERIOD_OVERRIDE=FQ","FILING_STATUS=MR","Sort=A","Dates=H","DateFormat=P","Fill=—","Direction=H","UseDPDF=Y")</f>
        <v>—</v>
      </c>
      <c r="M58" s="14">
        <f>_xll.BDH("NBIX US Equity","IS_AIP_RD_PER_DILUTED_SHARE","FQ2 2021","FQ2 2021","Currency=USD","Period=FQ","BEST_FPERIOD_OVERRIDE=FQ","FILING_STATUS=MR","Sort=A","Dates=H","DateFormat=P","Fill=—","Direction=H","UseDPDF=Y")</f>
        <v>4.4999999999999998E-2</v>
      </c>
      <c r="N58" s="14" t="str">
        <f>_xll.BDH("NBIX US Equity","IS_AIP_RD_PER_DILUTED_SHARE","FQ3 2021","FQ3 2021","Currency=USD","Period=FQ","BEST_FPERIOD_OVERRIDE=FQ","FILING_STATUS=MR","Sort=A","Dates=H","DateFormat=P","Fill=—","Direction=H","UseDPDF=Y")</f>
        <v>—</v>
      </c>
      <c r="O58" s="14">
        <f>_xll.BDH("NBIX US Equity","IS_AIP_RD_PER_DILUTED_SHARE","FQ4 2021","FQ4 2021","Currency=USD","Period=FQ","BEST_FPERIOD_OVERRIDE=FQ","FILING_STATUS=MR","Sort=A","Dates=H","DateFormat=P","Fill=—","Direction=H","UseDPDF=Y")</f>
        <v>0.83499999999999996</v>
      </c>
      <c r="P58" s="14" t="str">
        <f>_xll.BDH("NBIX US Equity","IS_AIP_RD_PER_DILUTED_SHARE","FQ1 2022","FQ1 2022","Currency=USD","Period=FQ","BEST_FPERIOD_OVERRIDE=FQ","FILING_STATUS=MR","Sort=A","Dates=H","DateFormat=P","Fill=—","Direction=H","UseDPDF=Y")</f>
        <v>—</v>
      </c>
      <c r="Q58" s="14" t="str">
        <f>_xll.BDH("NBIX US Equity","IS_AIP_RD_PER_DILUTED_SHARE","FQ2 2022","FQ2 2022","Currency=USD","Period=FQ","BEST_FPERIOD_OVERRIDE=FQ","FILING_STATUS=MR","Sort=A","Dates=H","DateFormat=P","Fill=—","Direction=H","UseDPDF=Y")</f>
        <v>—</v>
      </c>
      <c r="R58" s="14" t="str">
        <f>_xll.BDH("NBIX US Equity","IS_AIP_RD_PER_DILUTED_SHARE","FQ3 2022","FQ3 2022","Currency=USD","Period=FQ","BEST_FPERIOD_OVERRIDE=FQ","FILING_STATUS=MR","Sort=A","Dates=H","DateFormat=P","Fill=—","Direction=H","UseDPDF=Y")</f>
        <v>—</v>
      </c>
      <c r="S58" s="14" t="str">
        <f>_xll.BDH("NBIX US Equity","IS_AIP_RD_PER_DILUTED_SHARE","FQ4 2022","FQ4 2022","Currency=USD","Period=FQ","BEST_FPERIOD_OVERRIDE=FQ","FILING_STATUS=MR","Sort=A","Dates=H","DateFormat=P","Fill=—","Direction=H","UseDPDF=Y")</f>
        <v>—</v>
      </c>
      <c r="T58" s="14">
        <f>_xll.BDH("NBIX US Equity","IS_AIP_RD_PER_DILUTED_SHARE","FQ1 2023","FQ1 2023","Currency=USD","Period=FQ","BEST_FPERIOD_OVERRIDE=FQ","FILING_STATUS=MR","Sort=A","Dates=H","DateFormat=P","Fill=—","Direction=H","UseDPDF=Y")</f>
        <v>1.1708000000000001</v>
      </c>
      <c r="U58" s="14" t="str">
        <f>_xll.BDH("NBIX US Equity","IS_AIP_RD_PER_DILUTED_SHARE","FQ2 2023","FQ2 2023","Currency=USD","Period=FQ","BEST_FPERIOD_OVERRIDE=FQ","FILING_STATUS=MR","Sort=A","Dates=H","DateFormat=P","Fill=—","Direction=H","UseDPDF=Y")</f>
        <v>—</v>
      </c>
      <c r="V58" s="14" t="str">
        <f>_xll.BDH("NBIX US Equity","IS_AIP_RD_PER_DILUTED_SHARE","FQ3 2023","FQ3 2023","Currency=USD","Period=FQ","BEST_FPERIOD_OVERRIDE=FQ","FILING_STATUS=MR","Sort=A","Dates=H","DateFormat=P","Fill=—","Direction=H","UseDPDF=Y")</f>
        <v>—</v>
      </c>
      <c r="W58" s="14" t="str">
        <f>_xll.BDH("NBIX US Equity","IS_AIP_RD_PER_DILUTED_SHARE","FQ4 2023","FQ4 2023","Currency=USD","Period=FQ","BEST_FPERIOD_OVERRIDE=FQ","FILING_STATUS=MR","Sort=A","Dates=H","DateFormat=P","Fill=—","Direction=H","UseDPDF=Y")</f>
        <v>—</v>
      </c>
      <c r="X58" s="14">
        <f>_xll.BDH("NBIX US Equity","IS_AIP_RD_PER_DILUTED_SHARE","FQ1 2024","FQ1 2024","Currency=USD","Period=FQ","BEST_FPERIOD_OVERRIDE=FQ","FILING_STATUS=MR","Sort=A","Dates=H","DateFormat=P","Fill=—","Direction=H","UseDPDF=Y")</f>
        <v>4.58E-2</v>
      </c>
      <c r="Y58" s="14">
        <f>_xll.BDH("NBIX US Equity","IS_AIP_RD_PER_DILUTED_SHARE","FQ2 2024","FQ2 2024","Currency=USD","Period=FQ","BEST_FPERIOD_OVERRIDE=FQ","FILING_STATUS=MR","Sort=A","Dates=H","DateFormat=P","Fill=—","Direction=H","UseDPDF=Y")</f>
        <v>1.9E-2</v>
      </c>
      <c r="Z58" s="14">
        <f>_xll.BDH("NBIX US Equity","IS_AIP_RD_PER_DILUTED_SHARE","FQ3 2024","FQ3 2024","Currency=USD","Period=FQ","BEST_FPERIOD_OVERRIDE=FQ","FILING_STATUS=MR","Sort=A","Dates=H","DateFormat=P","Fill=—","Direction=H","UseDPDF=Y")</f>
        <v>9.1000000000000004E-3</v>
      </c>
      <c r="AA58" s="14">
        <f>_xll.BDH("NBIX US Equity","IS_AIP_RD_PER_DILUTED_SHARE","FQ4 2024","FQ4 2024","Currency=USD","Period=FQ","BEST_FPERIOD_OVERRIDE=FQ","FILING_STATUS=MR","Sort=A","Dates=H","DateFormat=P","Fill=—","Direction=H","UseDPDF=Y")</f>
        <v>2.3E-2</v>
      </c>
    </row>
    <row r="59" spans="1:27" x14ac:dyDescent="0.25">
      <c r="A59" s="10" t="s">
        <v>590</v>
      </c>
      <c r="B59" s="10" t="s">
        <v>617</v>
      </c>
      <c r="C59" s="14" t="str">
        <f>_xll.BDH("NBIX US Equity","IS_MERGER_ACQUIS_EXPN_DILUTED_SH","FQ4 2018","FQ4 2018","Currency=USD","Period=FQ","BEST_FPERIOD_OVERRIDE=FQ","FILING_STATUS=MR","Sort=A","Dates=H","DateFormat=P","Fill=—","Direction=H","UseDPDF=Y")</f>
        <v>—</v>
      </c>
      <c r="D59" s="14" t="str">
        <f>_xll.BDH("NBIX US Equity","IS_MERGER_ACQUIS_EXPN_DILUTED_SH","FQ1 2019","FQ1 2019","Currency=USD","Period=FQ","BEST_FPERIOD_OVERRIDE=FQ","FILING_STATUS=MR","Sort=A","Dates=H","DateFormat=P","Fill=—","Direction=H","UseDPDF=Y")</f>
        <v>—</v>
      </c>
      <c r="E59" s="14" t="str">
        <f>_xll.BDH("NBIX US Equity","IS_MERGER_ACQUIS_EXPN_DILUTED_SH","FQ2 2019","FQ2 2019","Currency=USD","Period=FQ","BEST_FPERIOD_OVERRIDE=FQ","FILING_STATUS=MR","Sort=A","Dates=H","DateFormat=P","Fill=—","Direction=H","UseDPDF=Y")</f>
        <v>—</v>
      </c>
      <c r="F59" s="14" t="str">
        <f>_xll.BDH("NBIX US Equity","IS_MERGER_ACQUIS_EXPN_DILUTED_SH","FQ3 2019","FQ3 2019","Currency=USD","Period=FQ","BEST_FPERIOD_OVERRIDE=FQ","FILING_STATUS=MR","Sort=A","Dates=H","DateFormat=P","Fill=—","Direction=H","UseDPDF=Y")</f>
        <v>—</v>
      </c>
      <c r="G59" s="14" t="str">
        <f>_xll.BDH("NBIX US Equity","IS_MERGER_ACQUIS_EXPN_DILUTED_SH","FQ4 2019","FQ4 2019","Currency=USD","Period=FQ","BEST_FPERIOD_OVERRIDE=FQ","FILING_STATUS=MR","Sort=A","Dates=H","DateFormat=P","Fill=—","Direction=H","UseDPDF=Y")</f>
        <v>—</v>
      </c>
      <c r="H59" s="14" t="str">
        <f>_xll.BDH("NBIX US Equity","IS_MERGER_ACQUIS_EXPN_DILUTED_SH","FQ1 2020","FQ1 2020","Currency=USD","Period=FQ","BEST_FPERIOD_OVERRIDE=FQ","FILING_STATUS=MR","Sort=A","Dates=H","DateFormat=P","Fill=—","Direction=H","UseDPDF=Y")</f>
        <v>—</v>
      </c>
      <c r="I59" s="14" t="str">
        <f>_xll.BDH("NBIX US Equity","IS_MERGER_ACQUIS_EXPN_DILUTED_SH","FQ2 2020","FQ2 2020","Currency=USD","Period=FQ","BEST_FPERIOD_OVERRIDE=FQ","FILING_STATUS=MR","Sort=A","Dates=H","DateFormat=P","Fill=—","Direction=H","UseDPDF=Y")</f>
        <v>—</v>
      </c>
      <c r="J59" s="14" t="str">
        <f>_xll.BDH("NBIX US Equity","IS_MERGER_ACQUIS_EXPN_DILUTED_SH","FQ3 2020","FQ3 2020","Currency=USD","Period=FQ","BEST_FPERIOD_OVERRIDE=FQ","FILING_STATUS=MR","Sort=A","Dates=H","DateFormat=P","Fill=—","Direction=H","UseDPDF=Y")</f>
        <v>—</v>
      </c>
      <c r="K59" s="14" t="str">
        <f>_xll.BDH("NBIX US Equity","IS_MERGER_ACQUIS_EXPN_DILUTED_SH","FQ4 2020","FQ4 2020","Currency=USD","Period=FQ","BEST_FPERIOD_OVERRIDE=FQ","FILING_STATUS=MR","Sort=A","Dates=H","DateFormat=P","Fill=—","Direction=H","UseDPDF=Y")</f>
        <v>—</v>
      </c>
      <c r="L59" s="14" t="str">
        <f>_xll.BDH("NBIX US Equity","IS_MERGER_ACQUIS_EXPN_DILUTED_SH","FQ1 2021","FQ1 2021","Currency=USD","Period=FQ","BEST_FPERIOD_OVERRIDE=FQ","FILING_STATUS=MR","Sort=A","Dates=H","DateFormat=P","Fill=—","Direction=H","UseDPDF=Y")</f>
        <v>—</v>
      </c>
      <c r="M59" s="14" t="str">
        <f>_xll.BDH("NBIX US Equity","IS_MERGER_ACQUIS_EXPN_DILUTED_SH","FQ2 2021","FQ2 2021","Currency=USD","Period=FQ","BEST_FPERIOD_OVERRIDE=FQ","FILING_STATUS=MR","Sort=A","Dates=H","DateFormat=P","Fill=—","Direction=H","UseDPDF=Y")</f>
        <v>—</v>
      </c>
      <c r="N59" s="14" t="str">
        <f>_xll.BDH("NBIX US Equity","IS_MERGER_ACQUIS_EXPN_DILUTED_SH","FQ3 2021","FQ3 2021","Currency=USD","Period=FQ","BEST_FPERIOD_OVERRIDE=FQ","FILING_STATUS=MR","Sort=A","Dates=H","DateFormat=P","Fill=—","Direction=H","UseDPDF=Y")</f>
        <v>—</v>
      </c>
      <c r="O59" s="14" t="str">
        <f>_xll.BDH("NBIX US Equity","IS_MERGER_ACQUIS_EXPN_DILUTED_SH","FQ4 2021","FQ4 2021","Currency=USD","Period=FQ","BEST_FPERIOD_OVERRIDE=FQ","FILING_STATUS=MR","Sort=A","Dates=H","DateFormat=P","Fill=—","Direction=H","UseDPDF=Y")</f>
        <v>—</v>
      </c>
      <c r="P59" s="14" t="str">
        <f>_xll.BDH("NBIX US Equity","IS_MERGER_ACQUIS_EXPN_DILUTED_SH","FQ1 2022","FQ1 2022","Currency=USD","Period=FQ","BEST_FPERIOD_OVERRIDE=FQ","FILING_STATUS=MR","Sort=A","Dates=H","DateFormat=P","Fill=—","Direction=H","UseDPDF=Y")</f>
        <v>—</v>
      </c>
      <c r="Q59" s="14" t="str">
        <f>_xll.BDH("NBIX US Equity","IS_MERGER_ACQUIS_EXPN_DILUTED_SH","FQ2 2022","FQ2 2022","Currency=USD","Period=FQ","BEST_FPERIOD_OVERRIDE=FQ","FILING_STATUS=MR","Sort=A","Dates=H","DateFormat=P","Fill=—","Direction=H","UseDPDF=Y")</f>
        <v>—</v>
      </c>
      <c r="R59" s="14" t="str">
        <f>_xll.BDH("NBIX US Equity","IS_MERGER_ACQUIS_EXPN_DILUTED_SH","FQ3 2022","FQ3 2022","Currency=USD","Period=FQ","BEST_FPERIOD_OVERRIDE=FQ","FILING_STATUS=MR","Sort=A","Dates=H","DateFormat=P","Fill=—","Direction=H","UseDPDF=Y")</f>
        <v>—</v>
      </c>
      <c r="S59" s="14">
        <f>_xll.BDH("NBIX US Equity","IS_MERGER_ACQUIS_EXPN_DILUTED_SH","FQ4 2022","FQ4 2022","Currency=USD","Period=FQ","BEST_FPERIOD_OVERRIDE=FQ","FILING_STATUS=MR","Sort=A","Dates=H","DateFormat=P","Fill=—","Direction=H","UseDPDF=Y")</f>
        <v>1.6199999999999999E-2</v>
      </c>
      <c r="T59" s="14" t="str">
        <f>_xll.BDH("NBIX US Equity","IS_MERGER_ACQUIS_EXPN_DILUTED_SH","FQ1 2023","FQ1 2023","Currency=USD","Period=FQ","BEST_FPERIOD_OVERRIDE=FQ","FILING_STATUS=MR","Sort=A","Dates=H","DateFormat=P","Fill=—","Direction=H","UseDPDF=Y")</f>
        <v>—</v>
      </c>
      <c r="U59" s="14" t="str">
        <f>_xll.BDH("NBIX US Equity","IS_MERGER_ACQUIS_EXPN_DILUTED_SH","FQ2 2023","FQ2 2023","Currency=USD","Period=FQ","BEST_FPERIOD_OVERRIDE=FQ","FILING_STATUS=MR","Sort=A","Dates=H","DateFormat=P","Fill=—","Direction=H","UseDPDF=Y")</f>
        <v>—</v>
      </c>
      <c r="V59" s="14">
        <f>_xll.BDH("NBIX US Equity","IS_MERGER_ACQUIS_EXPN_DILUTED_SH","FQ3 2023","FQ3 2023","Currency=USD","Period=FQ","BEST_FPERIOD_OVERRIDE=FQ","FILING_STATUS=MR","Sort=A","Dates=H","DateFormat=P","Fill=—","Direction=H","UseDPDF=Y")</f>
        <v>3.0499999999999999E-2</v>
      </c>
      <c r="W59" s="14" t="str">
        <f>_xll.BDH("NBIX US Equity","IS_MERGER_ACQUIS_EXPN_DILUTED_SH","FQ4 2023","FQ4 2023","Currency=USD","Period=FQ","BEST_FPERIOD_OVERRIDE=FQ","FILING_STATUS=MR","Sort=A","Dates=H","DateFormat=P","Fill=—","Direction=H","UseDPDF=Y")</f>
        <v>—</v>
      </c>
      <c r="X59" s="14" t="str">
        <f>_xll.BDH("NBIX US Equity","IS_MERGER_ACQUIS_EXPN_DILUTED_SH","FQ1 2024","FQ1 2024","Currency=USD","Period=FQ","BEST_FPERIOD_OVERRIDE=FQ","FILING_STATUS=MR","Sort=A","Dates=H","DateFormat=P","Fill=—","Direction=H","UseDPDF=Y")</f>
        <v>—</v>
      </c>
      <c r="Y59" s="14" t="str">
        <f>_xll.BDH("NBIX US Equity","IS_MERGER_ACQUIS_EXPN_DILUTED_SH","FQ2 2024","FQ2 2024","Currency=USD","Period=FQ","BEST_FPERIOD_OVERRIDE=FQ","FILING_STATUS=MR","Sort=A","Dates=H","DateFormat=P","Fill=—","Direction=H","UseDPDF=Y")</f>
        <v>—</v>
      </c>
      <c r="Z59" s="14" t="str">
        <f>_xll.BDH("NBIX US Equity","IS_MERGER_ACQUIS_EXPN_DILUTED_SH","FQ3 2024","FQ3 2024","Currency=USD","Period=FQ","BEST_FPERIOD_OVERRIDE=FQ","FILING_STATUS=MR","Sort=A","Dates=H","DateFormat=P","Fill=—","Direction=H","UseDPDF=Y")</f>
        <v>—</v>
      </c>
      <c r="AA59" s="14" t="str">
        <f>_xll.BDH("NBIX US Equity","IS_MERGER_ACQUIS_EXPN_DILUTED_SH","FQ4 2024","FQ4 2024","Currency=USD","Period=FQ","BEST_FPERIOD_OVERRIDE=FQ","FILING_STATUS=MR","Sort=A","Dates=H","DateFormat=P","Fill=—","Direction=H","UseDPDF=Y")</f>
        <v>—</v>
      </c>
    </row>
    <row r="60" spans="1:27" x14ac:dyDescent="0.25">
      <c r="A60" s="10" t="s">
        <v>597</v>
      </c>
      <c r="B60" s="10" t="s">
        <v>618</v>
      </c>
      <c r="C60" s="14" t="str">
        <f>_xll.BDH("NBIX US Equity","IS_EEOD_DILUTED_SHARE","FQ4 2018","FQ4 2018","Currency=USD","Period=FQ","BEST_FPERIOD_OVERRIDE=FQ","FILING_STATUS=MR","Sort=A","Dates=H","DateFormat=P","Fill=—","Direction=H","UseDPDF=Y")</f>
        <v>—</v>
      </c>
      <c r="D60" s="14" t="str">
        <f>_xll.BDH("NBIX US Equity","IS_EEOD_DILUTED_SHARE","FQ1 2019","FQ1 2019","Currency=USD","Period=FQ","BEST_FPERIOD_OVERRIDE=FQ","FILING_STATUS=MR","Sort=A","Dates=H","DateFormat=P","Fill=—","Direction=H","UseDPDF=Y")</f>
        <v>—</v>
      </c>
      <c r="E60" s="14" t="str">
        <f>_xll.BDH("NBIX US Equity","IS_EEOD_DILUTED_SHARE","FQ2 2019","FQ2 2019","Currency=USD","Period=FQ","BEST_FPERIOD_OVERRIDE=FQ","FILING_STATUS=MR","Sort=A","Dates=H","DateFormat=P","Fill=—","Direction=H","UseDPDF=Y")</f>
        <v>—</v>
      </c>
      <c r="F60" s="14" t="str">
        <f>_xll.BDH("NBIX US Equity","IS_EEOD_DILUTED_SHARE","FQ3 2019","FQ3 2019","Currency=USD","Period=FQ","BEST_FPERIOD_OVERRIDE=FQ","FILING_STATUS=MR","Sort=A","Dates=H","DateFormat=P","Fill=—","Direction=H","UseDPDF=Y")</f>
        <v>—</v>
      </c>
      <c r="G60" s="14" t="str">
        <f>_xll.BDH("NBIX US Equity","IS_EEOD_DILUTED_SHARE","FQ4 2019","FQ4 2019","Currency=USD","Period=FQ","BEST_FPERIOD_OVERRIDE=FQ","FILING_STATUS=MR","Sort=A","Dates=H","DateFormat=P","Fill=—","Direction=H","UseDPDF=Y")</f>
        <v>—</v>
      </c>
      <c r="H60" s="14" t="str">
        <f>_xll.BDH("NBIX US Equity","IS_EEOD_DILUTED_SHARE","FQ1 2020","FQ1 2020","Currency=USD","Period=FQ","BEST_FPERIOD_OVERRIDE=FQ","FILING_STATUS=MR","Sort=A","Dates=H","DateFormat=P","Fill=—","Direction=H","UseDPDF=Y")</f>
        <v>—</v>
      </c>
      <c r="I60" s="14" t="str">
        <f>_xll.BDH("NBIX US Equity","IS_EEOD_DILUTED_SHARE","FQ2 2020","FQ2 2020","Currency=USD","Period=FQ","BEST_FPERIOD_OVERRIDE=FQ","FILING_STATUS=MR","Sort=A","Dates=H","DateFormat=P","Fill=—","Direction=H","UseDPDF=Y")</f>
        <v>—</v>
      </c>
      <c r="J60" s="14" t="str">
        <f>_xll.BDH("NBIX US Equity","IS_EEOD_DILUTED_SHARE","FQ3 2020","FQ3 2020","Currency=USD","Period=FQ","BEST_FPERIOD_OVERRIDE=FQ","FILING_STATUS=MR","Sort=A","Dates=H","DateFormat=P","Fill=—","Direction=H","UseDPDF=Y")</f>
        <v>—</v>
      </c>
      <c r="K60" s="14">
        <f>_xll.BDH("NBIX US Equity","IS_EEOD_DILUTED_SHARE","FQ4 2020","FQ4 2020","Currency=USD","Period=FQ","BEST_FPERIOD_OVERRIDE=FQ","FILING_STATUS=MR","Sort=A","Dates=H","DateFormat=P","Fill=—","Direction=H","UseDPDF=Y")</f>
        <v>-0.99960000000000004</v>
      </c>
      <c r="L60" s="14" t="str">
        <f>_xll.BDH("NBIX US Equity","IS_EEOD_DILUTED_SHARE","FQ1 2021","FQ1 2021","Currency=USD","Period=FQ","BEST_FPERIOD_OVERRIDE=FQ","FILING_STATUS=MR","Sort=A","Dates=H","DateFormat=P","Fill=—","Direction=H","UseDPDF=Y")</f>
        <v>—</v>
      </c>
      <c r="M60" s="14" t="str">
        <f>_xll.BDH("NBIX US Equity","IS_EEOD_DILUTED_SHARE","FQ2 2021","FQ2 2021","Currency=USD","Period=FQ","BEST_FPERIOD_OVERRIDE=FQ","FILING_STATUS=MR","Sort=A","Dates=H","DateFormat=P","Fill=—","Direction=H","UseDPDF=Y")</f>
        <v>—</v>
      </c>
      <c r="N60" s="14" t="str">
        <f>_xll.BDH("NBIX US Equity","IS_EEOD_DILUTED_SHARE","FQ3 2021","FQ3 2021","Currency=USD","Period=FQ","BEST_FPERIOD_OVERRIDE=FQ","FILING_STATUS=MR","Sort=A","Dates=H","DateFormat=P","Fill=—","Direction=H","UseDPDF=Y")</f>
        <v>—</v>
      </c>
      <c r="O60" s="14" t="str">
        <f>_xll.BDH("NBIX US Equity","IS_EEOD_DILUTED_SHARE","FQ4 2021","FQ4 2021","Currency=USD","Period=FQ","BEST_FPERIOD_OVERRIDE=FQ","FILING_STATUS=MR","Sort=A","Dates=H","DateFormat=P","Fill=—","Direction=H","UseDPDF=Y")</f>
        <v>—</v>
      </c>
      <c r="P60" s="14" t="str">
        <f>_xll.BDH("NBIX US Equity","IS_EEOD_DILUTED_SHARE","FQ1 2022","FQ1 2022","Currency=USD","Period=FQ","BEST_FPERIOD_OVERRIDE=FQ","FILING_STATUS=MR","Sort=A","Dates=H","DateFormat=P","Fill=—","Direction=H","UseDPDF=Y")</f>
        <v>—</v>
      </c>
      <c r="Q60" s="14" t="str">
        <f>_xll.BDH("NBIX US Equity","IS_EEOD_DILUTED_SHARE","FQ2 2022","FQ2 2022","Currency=USD","Period=FQ","BEST_FPERIOD_OVERRIDE=FQ","FILING_STATUS=MR","Sort=A","Dates=H","DateFormat=P","Fill=—","Direction=H","UseDPDF=Y")</f>
        <v>—</v>
      </c>
      <c r="R60" s="14" t="str">
        <f>_xll.BDH("NBIX US Equity","IS_EEOD_DILUTED_SHARE","FQ3 2022","FQ3 2022","Currency=USD","Period=FQ","BEST_FPERIOD_OVERRIDE=FQ","FILING_STATUS=MR","Sort=A","Dates=H","DateFormat=P","Fill=—","Direction=H","UseDPDF=Y")</f>
        <v>—</v>
      </c>
      <c r="S60" s="14" t="str">
        <f>_xll.BDH("NBIX US Equity","IS_EEOD_DILUTED_SHARE","FQ4 2022","FQ4 2022","Currency=USD","Period=FQ","BEST_FPERIOD_OVERRIDE=FQ","FILING_STATUS=MR","Sort=A","Dates=H","DateFormat=P","Fill=—","Direction=H","UseDPDF=Y")</f>
        <v>—</v>
      </c>
      <c r="T60" s="14" t="str">
        <f>_xll.BDH("NBIX US Equity","IS_EEOD_DILUTED_SHARE","FQ1 2023","FQ1 2023","Currency=USD","Period=FQ","BEST_FPERIOD_OVERRIDE=FQ","FILING_STATUS=MR","Sort=A","Dates=H","DateFormat=P","Fill=—","Direction=H","UseDPDF=Y")</f>
        <v>—</v>
      </c>
      <c r="U60" s="14" t="str">
        <f>_xll.BDH("NBIX US Equity","IS_EEOD_DILUTED_SHARE","FQ2 2023","FQ2 2023","Currency=USD","Period=FQ","BEST_FPERIOD_OVERRIDE=FQ","FILING_STATUS=MR","Sort=A","Dates=H","DateFormat=P","Fill=—","Direction=H","UseDPDF=Y")</f>
        <v>—</v>
      </c>
      <c r="V60" s="14" t="str">
        <f>_xll.BDH("NBIX US Equity","IS_EEOD_DILUTED_SHARE","FQ3 2023","FQ3 2023","Currency=USD","Period=FQ","BEST_FPERIOD_OVERRIDE=FQ","FILING_STATUS=MR","Sort=A","Dates=H","DateFormat=P","Fill=—","Direction=H","UseDPDF=Y")</f>
        <v>—</v>
      </c>
      <c r="W60" s="14" t="str">
        <f>_xll.BDH("NBIX US Equity","IS_EEOD_DILUTED_SHARE","FQ4 2023","FQ4 2023","Currency=USD","Period=FQ","BEST_FPERIOD_OVERRIDE=FQ","FILING_STATUS=MR","Sort=A","Dates=H","DateFormat=P","Fill=—","Direction=H","UseDPDF=Y")</f>
        <v>—</v>
      </c>
      <c r="X60" s="14" t="str">
        <f>_xll.BDH("NBIX US Equity","IS_EEOD_DILUTED_SHARE","FQ1 2024","FQ1 2024","Currency=USD","Period=FQ","BEST_FPERIOD_OVERRIDE=FQ","FILING_STATUS=MR","Sort=A","Dates=H","DateFormat=P","Fill=—","Direction=H","UseDPDF=Y")</f>
        <v>—</v>
      </c>
      <c r="Y60" s="14" t="str">
        <f>_xll.BDH("NBIX US Equity","IS_EEOD_DILUTED_SHARE","FQ2 2024","FQ2 2024","Currency=USD","Period=FQ","BEST_FPERIOD_OVERRIDE=FQ","FILING_STATUS=MR","Sort=A","Dates=H","DateFormat=P","Fill=—","Direction=H","UseDPDF=Y")</f>
        <v>—</v>
      </c>
      <c r="Z60" s="14" t="str">
        <f>_xll.BDH("NBIX US Equity","IS_EEOD_DILUTED_SHARE","FQ3 2024","FQ3 2024","Currency=USD","Period=FQ","BEST_FPERIOD_OVERRIDE=FQ","FILING_STATUS=MR","Sort=A","Dates=H","DateFormat=P","Fill=—","Direction=H","UseDPDF=Y")</f>
        <v>—</v>
      </c>
      <c r="AA60" s="14" t="str">
        <f>_xll.BDH("NBIX US Equity","IS_EEOD_DILUTED_SHARE","FQ4 2024","FQ4 2024","Currency=USD","Period=FQ","BEST_FPERIOD_OVERRIDE=FQ","FILING_STATUS=MR","Sort=A","Dates=H","DateFormat=P","Fill=—","Direction=H","UseDPDF=Y")</f>
        <v>—</v>
      </c>
    </row>
    <row r="61" spans="1:27" x14ac:dyDescent="0.25">
      <c r="A61" s="10" t="s">
        <v>592</v>
      </c>
      <c r="B61" s="10" t="s">
        <v>619</v>
      </c>
      <c r="C61" s="14" t="str">
        <f>_xll.BDH("NBIX US Equity","IS_IIA_DILUTED_SHARE","FQ4 2018","FQ4 2018","Currency=USD","Period=FQ","BEST_FPERIOD_OVERRIDE=FQ","FILING_STATUS=MR","Sort=A","Dates=H","DateFormat=P","Fill=—","Direction=H","UseDPDF=Y")</f>
        <v>—</v>
      </c>
      <c r="D61" s="14" t="str">
        <f>_xll.BDH("NBIX US Equity","IS_IIA_DILUTED_SHARE","FQ1 2019","FQ1 2019","Currency=USD","Period=FQ","BEST_FPERIOD_OVERRIDE=FQ","FILING_STATUS=MR","Sort=A","Dates=H","DateFormat=P","Fill=—","Direction=H","UseDPDF=Y")</f>
        <v>—</v>
      </c>
      <c r="E61" s="14" t="str">
        <f>_xll.BDH("NBIX US Equity","IS_IIA_DILUTED_SHARE","FQ2 2019","FQ2 2019","Currency=USD","Period=FQ","BEST_FPERIOD_OVERRIDE=FQ","FILING_STATUS=MR","Sort=A","Dates=H","DateFormat=P","Fill=—","Direction=H","UseDPDF=Y")</f>
        <v>—</v>
      </c>
      <c r="F61" s="14" t="str">
        <f>_xll.BDH("NBIX US Equity","IS_IIA_DILUTED_SHARE","FQ3 2019","FQ3 2019","Currency=USD","Period=FQ","BEST_FPERIOD_OVERRIDE=FQ","FILING_STATUS=MR","Sort=A","Dates=H","DateFormat=P","Fill=—","Direction=H","UseDPDF=Y")</f>
        <v>—</v>
      </c>
      <c r="G61" s="14" t="str">
        <f>_xll.BDH("NBIX US Equity","IS_IIA_DILUTED_SHARE","FQ4 2019","FQ4 2019","Currency=USD","Period=FQ","BEST_FPERIOD_OVERRIDE=FQ","FILING_STATUS=MR","Sort=A","Dates=H","DateFormat=P","Fill=—","Direction=H","UseDPDF=Y")</f>
        <v>—</v>
      </c>
      <c r="H61" s="14" t="str">
        <f>_xll.BDH("NBIX US Equity","IS_IIA_DILUTED_SHARE","FQ1 2020","FQ1 2020","Currency=USD","Period=FQ","BEST_FPERIOD_OVERRIDE=FQ","FILING_STATUS=MR","Sort=A","Dates=H","DateFormat=P","Fill=—","Direction=H","UseDPDF=Y")</f>
        <v>—</v>
      </c>
      <c r="I61" s="14" t="str">
        <f>_xll.BDH("NBIX US Equity","IS_IIA_DILUTED_SHARE","FQ2 2020","FQ2 2020","Currency=USD","Period=FQ","BEST_FPERIOD_OVERRIDE=FQ","FILING_STATUS=MR","Sort=A","Dates=H","DateFormat=P","Fill=—","Direction=H","UseDPDF=Y")</f>
        <v>—</v>
      </c>
      <c r="J61" s="14" t="str">
        <f>_xll.BDH("NBIX US Equity","IS_IIA_DILUTED_SHARE","FQ3 2020","FQ3 2020","Currency=USD","Period=FQ","BEST_FPERIOD_OVERRIDE=FQ","FILING_STATUS=MR","Sort=A","Dates=H","DateFormat=P","Fill=—","Direction=H","UseDPDF=Y")</f>
        <v>—</v>
      </c>
      <c r="K61" s="14" t="str">
        <f>_xll.BDH("NBIX US Equity","IS_IIA_DILUTED_SHARE","FQ4 2020","FQ4 2020","Currency=USD","Period=FQ","BEST_FPERIOD_OVERRIDE=FQ","FILING_STATUS=MR","Sort=A","Dates=H","DateFormat=P","Fill=—","Direction=H","UseDPDF=Y")</f>
        <v>—</v>
      </c>
      <c r="L61" s="14" t="str">
        <f>_xll.BDH("NBIX US Equity","IS_IIA_DILUTED_SHARE","FQ1 2021","FQ1 2021","Currency=USD","Period=FQ","BEST_FPERIOD_OVERRIDE=FQ","FILING_STATUS=MR","Sort=A","Dates=H","DateFormat=P","Fill=—","Direction=H","UseDPDF=Y")</f>
        <v>—</v>
      </c>
      <c r="M61" s="14" t="str">
        <f>_xll.BDH("NBIX US Equity","IS_IIA_DILUTED_SHARE","FQ2 2021","FQ2 2021","Currency=USD","Period=FQ","BEST_FPERIOD_OVERRIDE=FQ","FILING_STATUS=MR","Sort=A","Dates=H","DateFormat=P","Fill=—","Direction=H","UseDPDF=Y")</f>
        <v>—</v>
      </c>
      <c r="N61" s="14" t="str">
        <f>_xll.BDH("NBIX US Equity","IS_IIA_DILUTED_SHARE","FQ3 2021","FQ3 2021","Currency=USD","Period=FQ","BEST_FPERIOD_OVERRIDE=FQ","FILING_STATUS=MR","Sort=A","Dates=H","DateFormat=P","Fill=—","Direction=H","UseDPDF=Y")</f>
        <v>—</v>
      </c>
      <c r="O61" s="14" t="str">
        <f>_xll.BDH("NBIX US Equity","IS_IIA_DILUTED_SHARE","FQ4 2021","FQ4 2021","Currency=USD","Period=FQ","BEST_FPERIOD_OVERRIDE=FQ","FILING_STATUS=MR","Sort=A","Dates=H","DateFormat=P","Fill=—","Direction=H","UseDPDF=Y")</f>
        <v>—</v>
      </c>
      <c r="P61" s="14" t="str">
        <f>_xll.BDH("NBIX US Equity","IS_IIA_DILUTED_SHARE","FQ1 2022","FQ1 2022","Currency=USD","Period=FQ","BEST_FPERIOD_OVERRIDE=FQ","FILING_STATUS=MR","Sort=A","Dates=H","DateFormat=P","Fill=—","Direction=H","UseDPDF=Y")</f>
        <v>—</v>
      </c>
      <c r="Q61" s="14" t="str">
        <f>_xll.BDH("NBIX US Equity","IS_IIA_DILUTED_SHARE","FQ2 2022","FQ2 2022","Currency=USD","Period=FQ","BEST_FPERIOD_OVERRIDE=FQ","FILING_STATUS=MR","Sort=A","Dates=H","DateFormat=P","Fill=—","Direction=H","UseDPDF=Y")</f>
        <v>—</v>
      </c>
      <c r="R61" s="14" t="str">
        <f>_xll.BDH("NBIX US Equity","IS_IIA_DILUTED_SHARE","FQ3 2022","FQ3 2022","Currency=USD","Period=FQ","BEST_FPERIOD_OVERRIDE=FQ","FILING_STATUS=MR","Sort=A","Dates=H","DateFormat=P","Fill=—","Direction=H","UseDPDF=Y")</f>
        <v>—</v>
      </c>
      <c r="S61" s="14" t="str">
        <f>_xll.BDH("NBIX US Equity","IS_IIA_DILUTED_SHARE","FQ4 2022","FQ4 2022","Currency=USD","Period=FQ","BEST_FPERIOD_OVERRIDE=FQ","FILING_STATUS=MR","Sort=A","Dates=H","DateFormat=P","Fill=—","Direction=H","UseDPDF=Y")</f>
        <v>—</v>
      </c>
      <c r="T61" s="14" t="str">
        <f>_xll.BDH("NBIX US Equity","IS_IIA_DILUTED_SHARE","FQ1 2023","FQ1 2023","Currency=USD","Period=FQ","BEST_FPERIOD_OVERRIDE=FQ","FILING_STATUS=MR","Sort=A","Dates=H","DateFormat=P","Fill=—","Direction=H","UseDPDF=Y")</f>
        <v>—</v>
      </c>
      <c r="U61" s="14" t="str">
        <f>_xll.BDH("NBIX US Equity","IS_IIA_DILUTED_SHARE","FQ2 2023","FQ2 2023","Currency=USD","Period=FQ","BEST_FPERIOD_OVERRIDE=FQ","FILING_STATUS=MR","Sort=A","Dates=H","DateFormat=P","Fill=—","Direction=H","UseDPDF=Y")</f>
        <v>—</v>
      </c>
      <c r="V61" s="14" t="str">
        <f>_xll.BDH("NBIX US Equity","IS_IIA_DILUTED_SHARE","FQ3 2023","FQ3 2023","Currency=USD","Period=FQ","BEST_FPERIOD_OVERRIDE=FQ","FILING_STATUS=MR","Sort=A","Dates=H","DateFormat=P","Fill=—","Direction=H","UseDPDF=Y")</f>
        <v>—</v>
      </c>
      <c r="W61" s="14" t="str">
        <f>_xll.BDH("NBIX US Equity","IS_IIA_DILUTED_SHARE","FQ4 2023","FQ4 2023","Currency=USD","Period=FQ","BEST_FPERIOD_OVERRIDE=FQ","FILING_STATUS=MR","Sort=A","Dates=H","DateFormat=P","Fill=—","Direction=H","UseDPDF=Y")</f>
        <v>—</v>
      </c>
      <c r="X61" s="14" t="str">
        <f>_xll.BDH("NBIX US Equity","IS_IIA_DILUTED_SHARE","FQ1 2024","FQ1 2024","Currency=USD","Period=FQ","BEST_FPERIOD_OVERRIDE=FQ","FILING_STATUS=MR","Sort=A","Dates=H","DateFormat=P","Fill=—","Direction=H","UseDPDF=Y")</f>
        <v>—</v>
      </c>
      <c r="Y61" s="14">
        <f>_xll.BDH("NBIX US Equity","IS_IIA_DILUTED_SHARE","FQ2 2024","FQ2 2024","Currency=USD","Period=FQ","BEST_FPERIOD_OVERRIDE=FQ","FILING_STATUS=MR","Sort=A","Dates=H","DateFormat=P","Fill=—","Direction=H","UseDPDF=Y")</f>
        <v>0.1096</v>
      </c>
      <c r="Z61" s="14" t="str">
        <f>_xll.BDH("NBIX US Equity","IS_IIA_DILUTED_SHARE","FQ3 2024","FQ3 2024","Currency=USD","Period=FQ","BEST_FPERIOD_OVERRIDE=FQ","FILING_STATUS=MR","Sort=A","Dates=H","DateFormat=P","Fill=—","Direction=H","UseDPDF=Y")</f>
        <v>—</v>
      </c>
      <c r="AA61" s="14" t="str">
        <f>_xll.BDH("NBIX US Equity","IS_IIA_DILUTED_SHARE","FQ4 2024","FQ4 2024","Currency=USD","Period=FQ","BEST_FPERIOD_OVERRIDE=FQ","FILING_STATUS=MR","Sort=A","Dates=H","DateFormat=P","Fill=—","Direction=H","UseDPDF=Y")</f>
        <v>—</v>
      </c>
    </row>
    <row r="62" spans="1:27" x14ac:dyDescent="0.25">
      <c r="A62" s="10" t="s">
        <v>598</v>
      </c>
      <c r="B62" s="10" t="s">
        <v>620</v>
      </c>
      <c r="C62" s="14" t="str">
        <f>_xll.BDH("NBIX US Equity","IS_UNREALIZED_INVEST_DILUTED_SH","FQ4 2018","FQ4 2018","Currency=USD","Period=FQ","BEST_FPERIOD_OVERRIDE=FQ","FILING_STATUS=MR","Sort=A","Dates=H","DateFormat=P","Fill=—","Direction=H","UseDPDF=Y")</f>
        <v>—</v>
      </c>
      <c r="D62" s="14">
        <f>_xll.BDH("NBIX US Equity","IS_UNREALIZED_INVEST_DILUTED_SH","FQ1 2019","FQ1 2019","Currency=USD","Period=FQ","BEST_FPERIOD_OVERRIDE=FQ","FILING_STATUS=MR","Sort=A","Dates=H","DateFormat=P","Fill=—","Direction=H","UseDPDF=Y")</f>
        <v>-1.46E-2</v>
      </c>
      <c r="E62" s="14">
        <f>_xll.BDH("NBIX US Equity","IS_UNREALIZED_INVEST_DILUTED_SH","FQ2 2019","FQ2 2019","Currency=USD","Period=FQ","BEST_FPERIOD_OVERRIDE=FQ","FILING_STATUS=MR","Sort=A","Dates=H","DateFormat=P","Fill=—","Direction=H","UseDPDF=Y")</f>
        <v>-0.17469999999999999</v>
      </c>
      <c r="F62" s="14">
        <f>_xll.BDH("NBIX US Equity","IS_UNREALIZED_INVEST_DILUTED_SH","FQ3 2019","FQ3 2019","Currency=USD","Period=FQ","BEST_FPERIOD_OVERRIDE=FQ","FILING_STATUS=MR","Sort=A","Dates=H","DateFormat=P","Fill=—","Direction=H","UseDPDF=Y")</f>
        <v>0.2339</v>
      </c>
      <c r="G62" s="14">
        <f>_xll.BDH("NBIX US Equity","IS_UNREALIZED_INVEST_DILUTED_SH","FQ4 2019","FQ4 2019","Currency=USD","Period=FQ","BEST_FPERIOD_OVERRIDE=FQ","FILING_STATUS=MR","Sort=A","Dates=H","DateFormat=P","Fill=—","Direction=H","UseDPDF=Y")</f>
        <v>7.3200000000000001E-2</v>
      </c>
      <c r="H62" s="14">
        <f>_xll.BDH("NBIX US Equity","IS_UNREALIZED_INVEST_DILUTED_SH","FQ1 2020","FQ1 2020","Currency=USD","Period=FQ","BEST_FPERIOD_OVERRIDE=FQ","FILING_STATUS=MR","Sort=A","Dates=H","DateFormat=P","Fill=—","Direction=H","UseDPDF=Y")</f>
        <v>0.1638</v>
      </c>
      <c r="I62" s="14">
        <f>_xll.BDH("NBIX US Equity","IS_UNREALIZED_INVEST_DILUTED_SH","FQ2 2020","FQ2 2020","Currency=USD","Period=FQ","BEST_FPERIOD_OVERRIDE=FQ","FILING_STATUS=MR","Sort=A","Dates=H","DateFormat=P","Fill=—","Direction=H","UseDPDF=Y")</f>
        <v>-0.1149</v>
      </c>
      <c r="J62" s="14">
        <f>_xll.BDH("NBIX US Equity","IS_UNREALIZED_INVEST_DILUTED_SH","FQ3 2020","FQ3 2020","Currency=USD","Period=FQ","BEST_FPERIOD_OVERRIDE=FQ","FILING_STATUS=MR","Sort=A","Dates=H","DateFormat=P","Fill=—","Direction=H","UseDPDF=Y")</f>
        <v>7.3300000000000004E-2</v>
      </c>
      <c r="K62" s="14">
        <f>_xll.BDH("NBIX US Equity","IS_UNREALIZED_INVEST_DILUTED_SH","FQ4 2020","FQ4 2020","Currency=USD","Period=FQ","BEST_FPERIOD_OVERRIDE=FQ","FILING_STATUS=MR","Sort=A","Dates=H","DateFormat=P","Fill=—","Direction=H","UseDPDF=Y")</f>
        <v>-0.29880000000000001</v>
      </c>
      <c r="L62" s="14">
        <f>_xll.BDH("NBIX US Equity","IS_UNREALIZED_INVEST_DILUTED_SH","FQ1 2021","FQ1 2021","Currency=USD","Period=FQ","BEST_FPERIOD_OVERRIDE=FQ","FILING_STATUS=MR","Sort=A","Dates=H","DateFormat=P","Fill=—","Direction=H","UseDPDF=Y")</f>
        <v>-3.2000000000000002E-3</v>
      </c>
      <c r="M62" s="14" t="str">
        <f>_xll.BDH("NBIX US Equity","IS_UNREALIZED_INVEST_DILUTED_SH","FQ2 2021","FQ2 2021","Currency=USD","Period=FQ","BEST_FPERIOD_OVERRIDE=FQ","FILING_STATUS=MR","Sort=A","Dates=H","DateFormat=P","Fill=—","Direction=H","UseDPDF=Y")</f>
        <v>—</v>
      </c>
      <c r="N62" s="14">
        <f>_xll.BDH("NBIX US Equity","IS_UNREALIZED_INVEST_DILUTED_SH","FQ3 2021","FQ3 2021","Currency=USD","Period=FQ","BEST_FPERIOD_OVERRIDE=FQ","FILING_STATUS=MR","Sort=A","Dates=H","DateFormat=P","Fill=—","Direction=H","UseDPDF=Y")</f>
        <v>6.7699999999999996E-2</v>
      </c>
      <c r="O62" s="14">
        <f>_xll.BDH("NBIX US Equity","IS_UNREALIZED_INVEST_DILUTED_SH","FQ4 2021","FQ4 2021","Currency=USD","Period=FQ","BEST_FPERIOD_OVERRIDE=FQ","FILING_STATUS=MR","Sort=A","Dates=H","DateFormat=P","Fill=—","Direction=H","UseDPDF=Y")</f>
        <v>-0.2364</v>
      </c>
      <c r="P62" s="14">
        <f>_xll.BDH("NBIX US Equity","IS_UNREALIZED_INVEST_DILUTED_SH","FQ1 2022","FQ1 2022","Currency=USD","Period=FQ","BEST_FPERIOD_OVERRIDE=FQ","FILING_STATUS=MR","Sort=A","Dates=H","DateFormat=P","Fill=—","Direction=H","UseDPDF=Y")</f>
        <v>-0.18410000000000001</v>
      </c>
      <c r="Q62" s="14">
        <f>_xll.BDH("NBIX US Equity","IS_UNREALIZED_INVEST_DILUTED_SH","FQ2 2022","FQ2 2022","Currency=USD","Period=FQ","BEST_FPERIOD_OVERRIDE=FQ","FILING_STATUS=MR","Sort=A","Dates=H","DateFormat=P","Fill=—","Direction=H","UseDPDF=Y")</f>
        <v>6.1199999999999997E-2</v>
      </c>
      <c r="R62" s="14">
        <f>_xll.BDH("NBIX US Equity","IS_UNREALIZED_INVEST_DILUTED_SH","FQ3 2022","FQ3 2022","Currency=USD","Period=FQ","BEST_FPERIOD_OVERRIDE=FQ","FILING_STATUS=MR","Sort=A","Dates=H","DateFormat=P","Fill=—","Direction=H","UseDPDF=Y")</f>
        <v>0.10390000000000001</v>
      </c>
      <c r="S62" s="14">
        <f>_xll.BDH("NBIX US Equity","IS_UNREALIZED_INVEST_DILUTED_SH","FQ4 2022","FQ4 2022","Currency=USD","Period=FQ","BEST_FPERIOD_OVERRIDE=FQ","FILING_STATUS=MR","Sort=A","Dates=H","DateFormat=P","Fill=—","Direction=H","UseDPDF=Y")</f>
        <v>-6.8500000000000005E-2</v>
      </c>
      <c r="T62" s="14">
        <f>_xll.BDH("NBIX US Equity","IS_UNREALIZED_INVEST_DILUTED_SH","FQ1 2023","FQ1 2023","Currency=USD","Period=FQ","BEST_FPERIOD_OVERRIDE=FQ","FILING_STATUS=MR","Sort=A","Dates=H","DateFormat=P","Fill=—","Direction=H","UseDPDF=Y")</f>
        <v>-1.5800000000000002E-2</v>
      </c>
      <c r="U62" s="14">
        <f>_xll.BDH("NBIX US Equity","IS_UNREALIZED_INVEST_DILUTED_SH","FQ2 2023","FQ2 2023","Currency=USD","Period=FQ","BEST_FPERIOD_OVERRIDE=FQ","FILING_STATUS=MR","Sort=A","Dates=H","DateFormat=P","Fill=—","Direction=H","UseDPDF=Y")</f>
        <v>-0.29409999999999997</v>
      </c>
      <c r="V62" s="14">
        <f>_xll.BDH("NBIX US Equity","IS_UNREALIZED_INVEST_DILUTED_SH","FQ3 2023","FQ3 2023","Currency=USD","Period=FQ","BEST_FPERIOD_OVERRIDE=FQ","FILING_STATUS=MR","Sort=A","Dates=H","DateFormat=P","Fill=—","Direction=H","UseDPDF=Y")</f>
        <v>0.31409999999999999</v>
      </c>
      <c r="W62" s="14">
        <f>_xll.BDH("NBIX US Equity","IS_UNREALIZED_INVEST_DILUTED_SH","FQ4 2023","FQ4 2023","Currency=USD","Period=FQ","BEST_FPERIOD_OVERRIDE=FQ","FILING_STATUS=MR","Sort=A","Dates=H","DateFormat=P","Fill=—","Direction=H","UseDPDF=Y")</f>
        <v>-0.22389999999999999</v>
      </c>
      <c r="X62" s="14">
        <f>_xll.BDH("NBIX US Equity","IS_UNREALIZED_INVEST_DILUTED_SH","FQ1 2024","FQ1 2024","Currency=USD","Period=FQ","BEST_FPERIOD_OVERRIDE=FQ","FILING_STATUS=MR","Sort=A","Dates=H","DateFormat=P","Fill=—","Direction=H","UseDPDF=Y")</f>
        <v>-9.4999999999999998E-3</v>
      </c>
      <c r="Y62" s="14">
        <f>_xll.BDH("NBIX US Equity","IS_UNREALIZED_INVEST_DILUTED_SH","FQ2 2024","FQ2 2024","Currency=USD","Period=FQ","BEST_FPERIOD_OVERRIDE=FQ","FILING_STATUS=MR","Sort=A","Dates=H","DateFormat=P","Fill=—","Direction=H","UseDPDF=Y")</f>
        <v>0.15579999999999999</v>
      </c>
      <c r="Z62" s="14">
        <f>_xll.BDH("NBIX US Equity","IS_UNREALIZED_INVEST_DILUTED_SH","FQ3 2024","FQ3 2024","Currency=USD","Period=FQ","BEST_FPERIOD_OVERRIDE=FQ","FILING_STATUS=MR","Sort=A","Dates=H","DateFormat=P","Fill=—","Direction=H","UseDPDF=Y")</f>
        <v>0.15459999999999999</v>
      </c>
      <c r="AA62" s="14">
        <f>_xll.BDH("NBIX US Equity","IS_UNREALIZED_INVEST_DILUTED_SH","FQ4 2024","FQ4 2024","Currency=USD","Period=FQ","BEST_FPERIOD_OVERRIDE=FQ","FILING_STATUS=MR","Sort=A","Dates=H","DateFormat=P","Fill=—","Direction=H","UseDPDF=Y")</f>
        <v>1.8499999999999999E-2</v>
      </c>
    </row>
    <row r="63" spans="1:27" x14ac:dyDescent="0.25">
      <c r="A63" s="10" t="s">
        <v>594</v>
      </c>
      <c r="B63" s="10" t="s">
        <v>621</v>
      </c>
      <c r="C63" s="14" t="str">
        <f>_xll.BDH("NBIX US Equity","IS_OTH_ONE_TIME_ITEMS_DILUTED_SH","FQ4 2018","FQ4 2018","Currency=USD","Period=FQ","BEST_FPERIOD_OVERRIDE=FQ","FILING_STATUS=MR","Sort=A","Dates=H","DateFormat=P","Fill=—","Direction=H","UseDPDF=Y")</f>
        <v>—</v>
      </c>
      <c r="D63" s="14" t="str">
        <f>_xll.BDH("NBIX US Equity","IS_OTH_ONE_TIME_ITEMS_DILUTED_SH","FQ1 2019","FQ1 2019","Currency=USD","Period=FQ","BEST_FPERIOD_OVERRIDE=FQ","FILING_STATUS=MR","Sort=A","Dates=H","DateFormat=P","Fill=—","Direction=H","UseDPDF=Y")</f>
        <v>—</v>
      </c>
      <c r="E63" s="14" t="str">
        <f>_xll.BDH("NBIX US Equity","IS_OTH_ONE_TIME_ITEMS_DILUTED_SH","FQ2 2019","FQ2 2019","Currency=USD","Period=FQ","BEST_FPERIOD_OVERRIDE=FQ","FILING_STATUS=MR","Sort=A","Dates=H","DateFormat=P","Fill=—","Direction=H","UseDPDF=Y")</f>
        <v>—</v>
      </c>
      <c r="F63" s="14" t="str">
        <f>_xll.BDH("NBIX US Equity","IS_OTH_ONE_TIME_ITEMS_DILUTED_SH","FQ3 2019","FQ3 2019","Currency=USD","Period=FQ","BEST_FPERIOD_OVERRIDE=FQ","FILING_STATUS=MR","Sort=A","Dates=H","DateFormat=P","Fill=—","Direction=H","UseDPDF=Y")</f>
        <v>—</v>
      </c>
      <c r="G63" s="14" t="str">
        <f>_xll.BDH("NBIX US Equity","IS_OTH_ONE_TIME_ITEMS_DILUTED_SH","FQ4 2019","FQ4 2019","Currency=USD","Period=FQ","BEST_FPERIOD_OVERRIDE=FQ","FILING_STATUS=MR","Sort=A","Dates=H","DateFormat=P","Fill=—","Direction=H","UseDPDF=Y")</f>
        <v>—</v>
      </c>
      <c r="H63" s="14" t="str">
        <f>_xll.BDH("NBIX US Equity","IS_OTH_ONE_TIME_ITEMS_DILUTED_SH","FQ1 2020","FQ1 2020","Currency=USD","Period=FQ","BEST_FPERIOD_OVERRIDE=FQ","FILING_STATUS=MR","Sort=A","Dates=H","DateFormat=P","Fill=—","Direction=H","UseDPDF=Y")</f>
        <v>—</v>
      </c>
      <c r="I63" s="14" t="str">
        <f>_xll.BDH("NBIX US Equity","IS_OTH_ONE_TIME_ITEMS_DILUTED_SH","FQ2 2020","FQ2 2020","Currency=USD","Period=FQ","BEST_FPERIOD_OVERRIDE=FQ","FILING_STATUS=MR","Sort=A","Dates=H","DateFormat=P","Fill=—","Direction=H","UseDPDF=Y")</f>
        <v>—</v>
      </c>
      <c r="J63" s="14" t="str">
        <f>_xll.BDH("NBIX US Equity","IS_OTH_ONE_TIME_ITEMS_DILUTED_SH","FQ3 2020","FQ3 2020","Currency=USD","Period=FQ","BEST_FPERIOD_OVERRIDE=FQ","FILING_STATUS=MR","Sort=A","Dates=H","DateFormat=P","Fill=—","Direction=H","UseDPDF=Y")</f>
        <v>—</v>
      </c>
      <c r="K63" s="14" t="str">
        <f>_xll.BDH("NBIX US Equity","IS_OTH_ONE_TIME_ITEMS_DILUTED_SH","FQ4 2020","FQ4 2020","Currency=USD","Period=FQ","BEST_FPERIOD_OVERRIDE=FQ","FILING_STATUS=MR","Sort=A","Dates=H","DateFormat=P","Fill=—","Direction=H","UseDPDF=Y")</f>
        <v>—</v>
      </c>
      <c r="L63" s="14" t="str">
        <f>_xll.BDH("NBIX US Equity","IS_OTH_ONE_TIME_ITEMS_DILUTED_SH","FQ1 2021","FQ1 2021","Currency=USD","Period=FQ","BEST_FPERIOD_OVERRIDE=FQ","FILING_STATUS=MR","Sort=A","Dates=H","DateFormat=P","Fill=—","Direction=H","UseDPDF=Y")</f>
        <v>—</v>
      </c>
      <c r="M63" s="14" t="str">
        <f>_xll.BDH("NBIX US Equity","IS_OTH_ONE_TIME_ITEMS_DILUTED_SH","FQ2 2021","FQ2 2021","Currency=USD","Period=FQ","BEST_FPERIOD_OVERRIDE=FQ","FILING_STATUS=MR","Sort=A","Dates=H","DateFormat=P","Fill=—","Direction=H","UseDPDF=Y")</f>
        <v>—</v>
      </c>
      <c r="N63" s="14" t="str">
        <f>_xll.BDH("NBIX US Equity","IS_OTH_ONE_TIME_ITEMS_DILUTED_SH","FQ3 2021","FQ3 2021","Currency=USD","Period=FQ","BEST_FPERIOD_OVERRIDE=FQ","FILING_STATUS=MR","Sort=A","Dates=H","DateFormat=P","Fill=—","Direction=H","UseDPDF=Y")</f>
        <v>—</v>
      </c>
      <c r="O63" s="14" t="str">
        <f>_xll.BDH("NBIX US Equity","IS_OTH_ONE_TIME_ITEMS_DILUTED_SH","FQ4 2021","FQ4 2021","Currency=USD","Period=FQ","BEST_FPERIOD_OVERRIDE=FQ","FILING_STATUS=MR","Sort=A","Dates=H","DateFormat=P","Fill=—","Direction=H","UseDPDF=Y")</f>
        <v>—</v>
      </c>
      <c r="P63" s="14" t="str">
        <f>_xll.BDH("NBIX US Equity","IS_OTH_ONE_TIME_ITEMS_DILUTED_SH","FQ1 2022","FQ1 2022","Currency=USD","Period=FQ","BEST_FPERIOD_OVERRIDE=FQ","FILING_STATUS=MR","Sort=A","Dates=H","DateFormat=P","Fill=—","Direction=H","UseDPDF=Y")</f>
        <v>—</v>
      </c>
      <c r="Q63" s="14" t="str">
        <f>_xll.BDH("NBIX US Equity","IS_OTH_ONE_TIME_ITEMS_DILUTED_SH","FQ2 2022","FQ2 2022","Currency=USD","Period=FQ","BEST_FPERIOD_OVERRIDE=FQ","FILING_STATUS=MR","Sort=A","Dates=H","DateFormat=P","Fill=—","Direction=H","UseDPDF=Y")</f>
        <v>—</v>
      </c>
      <c r="R63" s="14" t="str">
        <f>_xll.BDH("NBIX US Equity","IS_OTH_ONE_TIME_ITEMS_DILUTED_SH","FQ3 2022","FQ3 2022","Currency=USD","Period=FQ","BEST_FPERIOD_OVERRIDE=FQ","FILING_STATUS=MR","Sort=A","Dates=H","DateFormat=P","Fill=—","Direction=H","UseDPDF=Y")</f>
        <v>—</v>
      </c>
      <c r="S63" s="14" t="str">
        <f>_xll.BDH("NBIX US Equity","IS_OTH_ONE_TIME_ITEMS_DILUTED_SH","FQ4 2022","FQ4 2022","Currency=USD","Period=FQ","BEST_FPERIOD_OVERRIDE=FQ","FILING_STATUS=MR","Sort=A","Dates=H","DateFormat=P","Fill=—","Direction=H","UseDPDF=Y")</f>
        <v>—</v>
      </c>
      <c r="T63" s="14" t="str">
        <f>_xll.BDH("NBIX US Equity","IS_OTH_ONE_TIME_ITEMS_DILUTED_SH","FQ1 2023","FQ1 2023","Currency=USD","Period=FQ","BEST_FPERIOD_OVERRIDE=FQ","FILING_STATUS=MR","Sort=A","Dates=H","DateFormat=P","Fill=—","Direction=H","UseDPDF=Y")</f>
        <v>—</v>
      </c>
      <c r="U63" s="14" t="str">
        <f>_xll.BDH("NBIX US Equity","IS_OTH_ONE_TIME_ITEMS_DILUTED_SH","FQ2 2023","FQ2 2023","Currency=USD","Period=FQ","BEST_FPERIOD_OVERRIDE=FQ","FILING_STATUS=MR","Sort=A","Dates=H","DateFormat=P","Fill=—","Direction=H","UseDPDF=Y")</f>
        <v>—</v>
      </c>
      <c r="V63" s="14" t="str">
        <f>_xll.BDH("NBIX US Equity","IS_OTH_ONE_TIME_ITEMS_DILUTED_SH","FQ3 2023","FQ3 2023","Currency=USD","Period=FQ","BEST_FPERIOD_OVERRIDE=FQ","FILING_STATUS=MR","Sort=A","Dates=H","DateFormat=P","Fill=—","Direction=H","UseDPDF=Y")</f>
        <v>—</v>
      </c>
      <c r="W63" s="14" t="str">
        <f>_xll.BDH("NBIX US Equity","IS_OTH_ONE_TIME_ITEMS_DILUTED_SH","FQ4 2023","FQ4 2023","Currency=USD","Period=FQ","BEST_FPERIOD_OVERRIDE=FQ","FILING_STATUS=MR","Sort=A","Dates=H","DateFormat=P","Fill=—","Direction=H","UseDPDF=Y")</f>
        <v>—</v>
      </c>
      <c r="X63" s="14" t="str">
        <f>_xll.BDH("NBIX US Equity","IS_OTH_ONE_TIME_ITEMS_DILUTED_SH","FQ1 2024","FQ1 2024","Currency=USD","Period=FQ","BEST_FPERIOD_OVERRIDE=FQ","FILING_STATUS=MR","Sort=A","Dates=H","DateFormat=P","Fill=—","Direction=H","UseDPDF=Y")</f>
        <v>—</v>
      </c>
      <c r="Y63" s="14">
        <f>_xll.BDH("NBIX US Equity","IS_OTH_ONE_TIME_ITEMS_DILUTED_SH","FQ2 2024","FQ2 2024","Currency=USD","Period=FQ","BEST_FPERIOD_OVERRIDE=FQ","FILING_STATUS=MR","Sort=A","Dates=H","DateFormat=P","Fill=—","Direction=H","UseDPDF=Y")</f>
        <v>0.7671</v>
      </c>
      <c r="Z63" s="14" t="str">
        <f>_xll.BDH("NBIX US Equity","IS_OTH_ONE_TIME_ITEMS_DILUTED_SH","FQ3 2024","FQ3 2024","Currency=USD","Period=FQ","BEST_FPERIOD_OVERRIDE=FQ","FILING_STATUS=MR","Sort=A","Dates=H","DateFormat=P","Fill=—","Direction=H","UseDPDF=Y")</f>
        <v>—</v>
      </c>
      <c r="AA63" s="14" t="str">
        <f>_xll.BDH("NBIX US Equity","IS_OTH_ONE_TIME_ITEMS_DILUTED_SH","FQ4 2024","FQ4 2024","Currency=USD","Period=FQ","BEST_FPERIOD_OVERRIDE=FQ","FILING_STATUS=MR","Sort=A","Dates=H","DateFormat=P","Fill=—","Direction=H","UseDPDF=Y")</f>
        <v>—</v>
      </c>
    </row>
    <row r="64" spans="1:27" x14ac:dyDescent="0.25">
      <c r="A64" s="10" t="s">
        <v>611</v>
      </c>
      <c r="B64" s="10" t="s">
        <v>622</v>
      </c>
      <c r="C64" s="14" t="str">
        <f>_xll.BDH("NBIX US Equity","IS_TAX_PROV_BENEFIT_DILUTED_SH","FQ4 2018","FQ4 2018","Currency=USD","Period=FQ","BEST_FPERIOD_OVERRIDE=FQ","FILING_STATUS=MR","Sort=A","Dates=H","DateFormat=P","Fill=—","Direction=H","UseDPDF=Y")</f>
        <v>—</v>
      </c>
      <c r="D64" s="14" t="str">
        <f>_xll.BDH("NBIX US Equity","IS_TAX_PROV_BENEFIT_DILUTED_SH","FQ1 2019","FQ1 2019","Currency=USD","Period=FQ","BEST_FPERIOD_OVERRIDE=FQ","FILING_STATUS=MR","Sort=A","Dates=H","DateFormat=P","Fill=—","Direction=H","UseDPDF=Y")</f>
        <v>—</v>
      </c>
      <c r="E64" s="14" t="str">
        <f>_xll.BDH("NBIX US Equity","IS_TAX_PROV_BENEFIT_DILUTED_SH","FQ2 2019","FQ2 2019","Currency=USD","Period=FQ","BEST_FPERIOD_OVERRIDE=FQ","FILING_STATUS=MR","Sort=A","Dates=H","DateFormat=P","Fill=—","Direction=H","UseDPDF=Y")</f>
        <v>—</v>
      </c>
      <c r="F64" s="14" t="str">
        <f>_xll.BDH("NBIX US Equity","IS_TAX_PROV_BENEFIT_DILUTED_SH","FQ3 2019","FQ3 2019","Currency=USD","Period=FQ","BEST_FPERIOD_OVERRIDE=FQ","FILING_STATUS=MR","Sort=A","Dates=H","DateFormat=P","Fill=—","Direction=H","UseDPDF=Y")</f>
        <v>—</v>
      </c>
      <c r="G64" s="14" t="str">
        <f>_xll.BDH("NBIX US Equity","IS_TAX_PROV_BENEFIT_DILUTED_SH","FQ4 2019","FQ4 2019","Currency=USD","Period=FQ","BEST_FPERIOD_OVERRIDE=FQ","FILING_STATUS=MR","Sort=A","Dates=H","DateFormat=P","Fill=—","Direction=H","UseDPDF=Y")</f>
        <v>—</v>
      </c>
      <c r="H64" s="14" t="str">
        <f>_xll.BDH("NBIX US Equity","IS_TAX_PROV_BENEFIT_DILUTED_SH","FQ1 2020","FQ1 2020","Currency=USD","Period=FQ","BEST_FPERIOD_OVERRIDE=FQ","FILING_STATUS=MR","Sort=A","Dates=H","DateFormat=P","Fill=—","Direction=H","UseDPDF=Y")</f>
        <v>—</v>
      </c>
      <c r="I64" s="14" t="str">
        <f>_xll.BDH("NBIX US Equity","IS_TAX_PROV_BENEFIT_DILUTED_SH","FQ2 2020","FQ2 2020","Currency=USD","Period=FQ","BEST_FPERIOD_OVERRIDE=FQ","FILING_STATUS=MR","Sort=A","Dates=H","DateFormat=P","Fill=—","Direction=H","UseDPDF=Y")</f>
        <v>—</v>
      </c>
      <c r="J64" s="14" t="str">
        <f>_xll.BDH("NBIX US Equity","IS_TAX_PROV_BENEFIT_DILUTED_SH","FQ3 2020","FQ3 2020","Currency=USD","Period=FQ","BEST_FPERIOD_OVERRIDE=FQ","FILING_STATUS=MR","Sort=A","Dates=H","DateFormat=P","Fill=—","Direction=H","UseDPDF=Y")</f>
        <v>—</v>
      </c>
      <c r="K64" s="14" t="str">
        <f>_xll.BDH("NBIX US Equity","IS_TAX_PROV_BENEFIT_DILUTED_SH","FQ4 2020","FQ4 2020","Currency=USD","Period=FQ","BEST_FPERIOD_OVERRIDE=FQ","FILING_STATUS=MR","Sort=A","Dates=H","DateFormat=P","Fill=—","Direction=H","UseDPDF=Y")</f>
        <v>—</v>
      </c>
      <c r="L64" s="14" t="str">
        <f>_xll.BDH("NBIX US Equity","IS_TAX_PROV_BENEFIT_DILUTED_SH","FQ1 2021","FQ1 2021","Currency=USD","Period=FQ","BEST_FPERIOD_OVERRIDE=FQ","FILING_STATUS=MR","Sort=A","Dates=H","DateFormat=P","Fill=—","Direction=H","UseDPDF=Y")</f>
        <v>—</v>
      </c>
      <c r="M64" s="14" t="str">
        <f>_xll.BDH("NBIX US Equity","IS_TAX_PROV_BENEFIT_DILUTED_SH","FQ2 2021","FQ2 2021","Currency=USD","Period=FQ","BEST_FPERIOD_OVERRIDE=FQ","FILING_STATUS=MR","Sort=A","Dates=H","DateFormat=P","Fill=—","Direction=H","UseDPDF=Y")</f>
        <v>—</v>
      </c>
      <c r="N64" s="14">
        <f>_xll.BDH("NBIX US Equity","IS_TAX_PROV_BENEFIT_DILUTED_SH","FQ3 2021","FQ3 2021","Currency=USD","Period=FQ","BEST_FPERIOD_OVERRIDE=FQ","FILING_STATUS=MR","Sort=A","Dates=H","DateFormat=P","Fill=—","Direction=H","UseDPDF=Y")</f>
        <v>8.6E-3</v>
      </c>
      <c r="O64" s="14" t="str">
        <f>_xll.BDH("NBIX US Equity","IS_TAX_PROV_BENEFIT_DILUTED_SH","FQ4 2021","FQ4 2021","Currency=USD","Period=FQ","BEST_FPERIOD_OVERRIDE=FQ","FILING_STATUS=MR","Sort=A","Dates=H","DateFormat=P","Fill=—","Direction=H","UseDPDF=Y")</f>
        <v>—</v>
      </c>
      <c r="P64" s="14" t="str">
        <f>_xll.BDH("NBIX US Equity","IS_TAX_PROV_BENEFIT_DILUTED_SH","FQ1 2022","FQ1 2022","Currency=USD","Period=FQ","BEST_FPERIOD_OVERRIDE=FQ","FILING_STATUS=MR","Sort=A","Dates=H","DateFormat=P","Fill=—","Direction=H","UseDPDF=Y")</f>
        <v>—</v>
      </c>
      <c r="Q64" s="14" t="str">
        <f>_xll.BDH("NBIX US Equity","IS_TAX_PROV_BENEFIT_DILUTED_SH","FQ2 2022","FQ2 2022","Currency=USD","Period=FQ","BEST_FPERIOD_OVERRIDE=FQ","FILING_STATUS=MR","Sort=A","Dates=H","DateFormat=P","Fill=—","Direction=H","UseDPDF=Y")</f>
        <v>—</v>
      </c>
      <c r="R64" s="14" t="str">
        <f>_xll.BDH("NBIX US Equity","IS_TAX_PROV_BENEFIT_DILUTED_SH","FQ3 2022","FQ3 2022","Currency=USD","Period=FQ","BEST_FPERIOD_OVERRIDE=FQ","FILING_STATUS=MR","Sort=A","Dates=H","DateFormat=P","Fill=—","Direction=H","UseDPDF=Y")</f>
        <v>—</v>
      </c>
      <c r="S64" s="14">
        <f>_xll.BDH("NBIX US Equity","IS_TAX_PROV_BENEFIT_DILUTED_SH","FQ4 2022","FQ4 2022","Currency=USD","Period=FQ","BEST_FPERIOD_OVERRIDE=FQ","FILING_STATUS=MR","Sort=A","Dates=H","DateFormat=P","Fill=—","Direction=H","UseDPDF=Y")</f>
        <v>6.2600000000000003E-2</v>
      </c>
      <c r="T64" s="14" t="str">
        <f>_xll.BDH("NBIX US Equity","IS_TAX_PROV_BENEFIT_DILUTED_SH","FQ1 2023","FQ1 2023","Currency=USD","Period=FQ","BEST_FPERIOD_OVERRIDE=FQ","FILING_STATUS=MR","Sort=A","Dates=H","DateFormat=P","Fill=—","Direction=H","UseDPDF=Y")</f>
        <v>—</v>
      </c>
      <c r="U64" s="14" t="str">
        <f>_xll.BDH("NBIX US Equity","IS_TAX_PROV_BENEFIT_DILUTED_SH","FQ2 2023","FQ2 2023","Currency=USD","Period=FQ","BEST_FPERIOD_OVERRIDE=FQ","FILING_STATUS=MR","Sort=A","Dates=H","DateFormat=P","Fill=—","Direction=H","UseDPDF=Y")</f>
        <v>—</v>
      </c>
      <c r="V64" s="14">
        <f>_xll.BDH("NBIX US Equity","IS_TAX_PROV_BENEFIT_DILUTED_SH","FQ3 2023","FQ3 2023","Currency=USD","Period=FQ","BEST_FPERIOD_OVERRIDE=FQ","FILING_STATUS=MR","Sort=A","Dates=H","DateFormat=P","Fill=—","Direction=H","UseDPDF=Y")</f>
        <v>0.1986</v>
      </c>
      <c r="W64" s="14" t="str">
        <f>_xll.BDH("NBIX US Equity","IS_TAX_PROV_BENEFIT_DILUTED_SH","FQ4 2023","FQ4 2023","Currency=USD","Period=FQ","BEST_FPERIOD_OVERRIDE=FQ","FILING_STATUS=MR","Sort=A","Dates=H","DateFormat=P","Fill=—","Direction=H","UseDPDF=Y")</f>
        <v>—</v>
      </c>
      <c r="X64" s="14" t="str">
        <f>_xll.BDH("NBIX US Equity","IS_TAX_PROV_BENEFIT_DILUTED_SH","FQ1 2024","FQ1 2024","Currency=USD","Period=FQ","BEST_FPERIOD_OVERRIDE=FQ","FILING_STATUS=MR","Sort=A","Dates=H","DateFormat=P","Fill=—","Direction=H","UseDPDF=Y")</f>
        <v>—</v>
      </c>
      <c r="Y64" s="14" t="str">
        <f>_xll.BDH("NBIX US Equity","IS_TAX_PROV_BENEFIT_DILUTED_SH","FQ2 2024","FQ2 2024","Currency=USD","Period=FQ","BEST_FPERIOD_OVERRIDE=FQ","FILING_STATUS=MR","Sort=A","Dates=H","DateFormat=P","Fill=—","Direction=H","UseDPDF=Y")</f>
        <v>—</v>
      </c>
      <c r="Z64" s="14">
        <f>_xll.BDH("NBIX US Equity","IS_TAX_PROV_BENEFIT_DILUTED_SH","FQ3 2024","FQ3 2024","Currency=USD","Period=FQ","BEST_FPERIOD_OVERRIDE=FQ","FILING_STATUS=MR","Sort=A","Dates=H","DateFormat=P","Fill=—","Direction=H","UseDPDF=Y")</f>
        <v>9.9599999999999994E-2</v>
      </c>
      <c r="AA64" s="14" t="str">
        <f>_xll.BDH("NBIX US Equity","IS_TAX_PROV_BENEFIT_DILUTED_SH","FQ4 2024","FQ4 2024","Currency=USD","Period=FQ","BEST_FPERIOD_OVERRIDE=FQ","FILING_STATUS=MR","Sort=A","Dates=H","DateFormat=P","Fill=—","Direction=H","UseDPDF=Y")</f>
        <v>—</v>
      </c>
    </row>
    <row r="65" spans="1:27" x14ac:dyDescent="0.25">
      <c r="A65" s="6" t="s">
        <v>623</v>
      </c>
      <c r="B65" s="6" t="s">
        <v>82</v>
      </c>
      <c r="C65" s="20">
        <f>_xll.BDH("NBIX US Equity","IS_DIL_EPS_CONT_OPS","FQ4 2018","FQ4 2018","Currency=USD","Period=FQ","BEST_FPERIOD_OVERRIDE=FQ","FILING_STATUS=MR","Sort=A","Dates=H","DateFormat=P","Fill=—","Direction=H","UseDPDF=Y")</f>
        <v>0.19</v>
      </c>
      <c r="D65" s="20">
        <f>_xll.BDH("NBIX US Equity","IS_DIL_EPS_CONT_OPS","FQ1 2019","FQ1 2019","Currency=USD","Period=FQ","BEST_FPERIOD_OVERRIDE=FQ","FILING_STATUS=MR","Sort=A","Dates=H","DateFormat=P","Fill=—","Direction=H","UseDPDF=Y")</f>
        <v>-0.15490000000000001</v>
      </c>
      <c r="E65" s="20">
        <f>_xll.BDH("NBIX US Equity","IS_DIL_EPS_CONT_OPS","FQ2 2019","FQ2 2019","Currency=USD","Period=FQ","BEST_FPERIOD_OVERRIDE=FQ","FILING_STATUS=MR","Sort=A","Dates=H","DateFormat=P","Fill=—","Direction=H","UseDPDF=Y")</f>
        <v>0.40689999999999998</v>
      </c>
      <c r="F65" s="20">
        <f>_xll.BDH("NBIX US Equity","IS_DIL_EPS_CONT_OPS","FQ3 2019","FQ3 2019","Currency=USD","Period=FQ","BEST_FPERIOD_OVERRIDE=FQ","FILING_STATUS=MR","Sort=A","Dates=H","DateFormat=P","Fill=—","Direction=H","UseDPDF=Y")</f>
        <v>0.79390000000000005</v>
      </c>
      <c r="G65" s="20">
        <f>_xll.BDH("NBIX US Equity","IS_DIL_EPS_CONT_OPS","FQ4 2019","FQ4 2019","Currency=USD","Period=FQ","BEST_FPERIOD_OVERRIDE=FQ","FILING_STATUS=MR","Sort=A","Dates=H","DateFormat=P","Fill=—","Direction=H","UseDPDF=Y")</f>
        <v>0.7913</v>
      </c>
      <c r="H65" s="20">
        <f>_xll.BDH("NBIX US Equity","IS_DIL_EPS_CONT_OPS","FQ1 2020","FQ1 2020","Currency=USD","Period=FQ","BEST_FPERIOD_OVERRIDE=FQ","FILING_STATUS=MR","Sort=A","Dates=H","DateFormat=P","Fill=—","Direction=H","UseDPDF=Y")</f>
        <v>0.55379999999999996</v>
      </c>
      <c r="I65" s="20">
        <f>_xll.BDH("NBIX US Equity","IS_DIL_EPS_CONT_OPS","FQ2 2020","FQ2 2020","Currency=USD","Period=FQ","BEST_FPERIOD_OVERRIDE=FQ","FILING_STATUS=MR","Sort=A","Dates=H","DateFormat=P","Fill=—","Direction=H","UseDPDF=Y")</f>
        <v>1.1628000000000001</v>
      </c>
      <c r="J65" s="20">
        <f>_xll.BDH("NBIX US Equity","IS_DIL_EPS_CONT_OPS","FQ3 2020","FQ3 2020","Currency=USD","Period=FQ","BEST_FPERIOD_OVERRIDE=FQ","FILING_STATUS=MR","Sort=A","Dates=H","DateFormat=P","Fill=—","Direction=H","UseDPDF=Y")</f>
        <v>0.69430000000000003</v>
      </c>
      <c r="K65" s="20">
        <f>_xll.BDH("NBIX US Equity","IS_DIL_EPS_CONT_OPS","FQ4 2020","FQ4 2020","Currency=USD","Period=FQ","BEST_FPERIOD_OVERRIDE=FQ","FILING_STATUS=MR","Sort=A","Dates=H","DateFormat=P","Fill=—","Direction=H","UseDPDF=Y")</f>
        <v>2.2816000000000001</v>
      </c>
      <c r="L65" s="20">
        <f>_xll.BDH("NBIX US Equity","IS_DIL_EPS_CONT_OPS","FQ1 2021","FQ1 2021","Currency=USD","Period=FQ","BEST_FPERIOD_OVERRIDE=FQ","FILING_STATUS=MR","Sort=A","Dates=H","DateFormat=P","Fill=—","Direction=H","UseDPDF=Y")</f>
        <v>0.32679999999999998</v>
      </c>
      <c r="M65" s="20">
        <f>_xll.BDH("NBIX US Equity","IS_DIL_EPS_CONT_OPS","FQ2 2021","FQ2 2021","Currency=USD","Period=FQ","BEST_FPERIOD_OVERRIDE=FQ","FILING_STATUS=MR","Sort=A","Dates=H","DateFormat=P","Fill=—","Direction=H","UseDPDF=Y")</f>
        <v>0.47499999999999998</v>
      </c>
      <c r="N65" s="20">
        <f>_xll.BDH("NBIX US Equity","IS_DIL_EPS_CONT_OPS","FQ3 2021","FQ3 2021","Currency=USD","Period=FQ","BEST_FPERIOD_OVERRIDE=FQ","FILING_STATUS=MR","Sort=A","Dates=H","DateFormat=P","Fill=—","Direction=H","UseDPDF=Y")</f>
        <v>0.30630000000000002</v>
      </c>
      <c r="O65" s="20">
        <f>_xll.BDH("NBIX US Equity","IS_DIL_EPS_CONT_OPS","FQ4 2021","FQ4 2021","Currency=USD","Period=FQ","BEST_FPERIOD_OVERRIDE=FQ","FILING_STATUS=MR","Sort=A","Dates=H","DateFormat=P","Fill=—","Direction=H","UseDPDF=Y")</f>
        <v>0.51849999999999996</v>
      </c>
      <c r="P65" s="20">
        <f>_xll.BDH("NBIX US Equity","IS_DIL_EPS_CONT_OPS","FQ1 2022","FQ1 2022","Currency=USD","Period=FQ","BEST_FPERIOD_OVERRIDE=FQ","FILING_STATUS=MR","Sort=A","Dates=H","DateFormat=P","Fill=—","Direction=H","UseDPDF=Y")</f>
        <v>-4.41E-2</v>
      </c>
      <c r="Q65" s="20">
        <f>_xll.BDH("NBIX US Equity","IS_DIL_EPS_CONT_OPS","FQ2 2022","FQ2 2022","Currency=USD","Period=FQ","BEST_FPERIOD_OVERRIDE=FQ","FILING_STATUS=MR","Sort=A","Dates=H","DateFormat=P","Fill=—","Direction=H","UseDPDF=Y")</f>
        <v>-0.1188</v>
      </c>
      <c r="R65" s="20">
        <f>_xll.BDH("NBIX US Equity","IS_DIL_EPS_CONT_OPS","FQ3 2022","FQ3 2022","Currency=USD","Period=FQ","BEST_FPERIOD_OVERRIDE=FQ","FILING_STATUS=MR","Sort=A","Dates=H","DateFormat=P","Fill=—","Direction=H","UseDPDF=Y")</f>
        <v>0.79390000000000005</v>
      </c>
      <c r="S65" s="20">
        <f>_xll.BDH("NBIX US Equity","IS_DIL_EPS_CONT_OPS","FQ4 2022","FQ4 2022","Currency=USD","Period=FQ","BEST_FPERIOD_OVERRIDE=FQ","FILING_STATUS=MR","Sort=A","Dates=H","DateFormat=P","Fill=—","Direction=H","UseDPDF=Y")</f>
        <v>0.89029999999999998</v>
      </c>
      <c r="T65" s="20">
        <f>_xll.BDH("NBIX US Equity","IS_DIL_EPS_CONT_OPS","FQ1 2023","FQ1 2023","Currency=USD","Period=FQ","BEST_FPERIOD_OVERRIDE=FQ","FILING_STATUS=MR","Sort=A","Dates=H","DateFormat=P","Fill=—","Direction=H","UseDPDF=Y")</f>
        <v>0.3649</v>
      </c>
      <c r="U65" s="20">
        <f>_xll.BDH("NBIX US Equity","IS_DIL_EPS_CONT_OPS","FQ2 2023","FQ2 2023","Currency=USD","Period=FQ","BEST_FPERIOD_OVERRIDE=FQ","FILING_STATUS=MR","Sort=A","Dates=H","DateFormat=P","Fill=—","Direction=H","UseDPDF=Y")</f>
        <v>0.65590000000000004</v>
      </c>
      <c r="V65" s="20">
        <f>_xll.BDH("NBIX US Equity","IS_DIL_EPS_CONT_OPS","FQ3 2023","FQ3 2023","Currency=USD","Period=FQ","BEST_FPERIOD_OVERRIDE=FQ","FILING_STATUS=MR","Sort=A","Dates=H","DateFormat=P","Fill=—","Direction=H","UseDPDF=Y")</f>
        <v>1.3632</v>
      </c>
      <c r="W65" s="20">
        <f>_xll.BDH("NBIX US Equity","IS_DIL_EPS_CONT_OPS","FQ4 2023","FQ4 2023","Currency=USD","Period=FQ","BEST_FPERIOD_OVERRIDE=FQ","FILING_STATUS=MR","Sort=A","Dates=H","DateFormat=P","Fill=—","Direction=H","UseDPDF=Y")</f>
        <v>1.2161</v>
      </c>
      <c r="X65" s="20">
        <f>_xll.BDH("NBIX US Equity","IS_DIL_EPS_CONT_OPS","FQ1 2024","FQ1 2024","Currency=USD","Period=FQ","BEST_FPERIOD_OVERRIDE=FQ","FILING_STATUS=MR","Sort=A","Dates=H","DateFormat=P","Fill=—","Direction=H","UseDPDF=Y")</f>
        <v>0.45629999999999998</v>
      </c>
      <c r="Y65" s="20">
        <f>_xll.BDH("NBIX US Equity","IS_DIL_EPS_CONT_OPS","FQ2 2024","FQ2 2024","Currency=USD","Period=FQ","BEST_FPERIOD_OVERRIDE=FQ","FILING_STATUS=MR","Sort=A","Dates=H","DateFormat=P","Fill=—","Direction=H","UseDPDF=Y")</f>
        <v>1.6816</v>
      </c>
      <c r="Z65" s="20">
        <f>_xll.BDH("NBIX US Equity","IS_DIL_EPS_CONT_OPS","FQ3 2024","FQ3 2024","Currency=USD","Period=FQ","BEST_FPERIOD_OVERRIDE=FQ","FILING_STATUS=MR","Sort=A","Dates=H","DateFormat=P","Fill=—","Direction=H","UseDPDF=Y")</f>
        <v>1.5034000000000001</v>
      </c>
      <c r="AA65" s="20">
        <f>_xll.BDH("NBIX US Equity","IS_DIL_EPS_CONT_OPS","FQ4 2024","FQ4 2024","Currency=USD","Period=FQ","BEST_FPERIOD_OVERRIDE=FQ","FILING_STATUS=MR","Sort=A","Dates=H","DateFormat=P","Fill=—","Direction=H","UseDPDF=Y")</f>
        <v>1.0415000000000001</v>
      </c>
    </row>
    <row r="66" spans="1:27" x14ac:dyDescent="0.25">
      <c r="A66" s="7" t="s">
        <v>90</v>
      </c>
      <c r="B66" s="7"/>
      <c r="C66" s="7" t="s">
        <v>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3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624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613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0" t="s">
        <v>625</v>
      </c>
      <c r="B7" s="10" t="s">
        <v>626</v>
      </c>
      <c r="C7" s="14">
        <f>_xll.BDH("NBIX US Equity","BASIC_EPS_EX_STK_BASED_COMP","FQ4 2018","FQ4 2018","Currency=USD","Period=FQ","BEST_FPERIOD_OVERRIDE=FQ","FILING_STATUS=MR","Sort=A","Dates=H","DateFormat=P","Fill=—","Direction=H","UseDPDF=Y")</f>
        <v>0.3155</v>
      </c>
      <c r="D7" s="14">
        <f>_xll.BDH("NBIX US Equity","BASIC_EPS_EX_STK_BASED_COMP","FQ1 2019","FQ1 2019","Currency=USD","Period=FQ","BEST_FPERIOD_OVERRIDE=FQ","FILING_STATUS=MR","Sort=A","Dates=H","DateFormat=P","Fill=—","Direction=H","UseDPDF=Y")</f>
        <v>-1.8200000000000001E-2</v>
      </c>
      <c r="E7" s="14">
        <f>_xll.BDH("NBIX US Equity","BASIC_EPS_EX_STK_BASED_COMP","FQ2 2019","FQ2 2019","Currency=USD","Period=FQ","BEST_FPERIOD_OVERRIDE=FQ","FILING_STATUS=MR","Sort=A","Dates=H","DateFormat=P","Fill=—","Direction=H","UseDPDF=Y")</f>
        <v>0.57869999999999999</v>
      </c>
      <c r="F7" s="14">
        <f>_xll.BDH("NBIX US Equity","BASIC_EPS_EX_STK_BASED_COMP","FQ3 2019","FQ3 2019","Currency=USD","Period=FQ","BEST_FPERIOD_OVERRIDE=FQ","FILING_STATUS=MR","Sort=A","Dates=H","DateFormat=P","Fill=—","Direction=H","UseDPDF=Y")</f>
        <v>1.0044</v>
      </c>
      <c r="G7" s="14">
        <f>_xll.BDH("NBIX US Equity","BASIC_EPS_EX_STK_BASED_COMP","FQ4 2019","FQ4 2019","Currency=USD","Period=FQ","BEST_FPERIOD_OVERRIDE=FQ","FILING_STATUS=MR","Sort=A","Dates=H","DateFormat=P","Fill=—","Direction=H","UseDPDF=Y")</f>
        <v>1.0624</v>
      </c>
      <c r="H7" s="14">
        <f>_xll.BDH("NBIX US Equity","BASIC_EPS_EX_STK_BASED_COMP","FQ1 2020","FQ1 2020","Currency=USD","Period=FQ","BEST_FPERIOD_OVERRIDE=FQ","FILING_STATUS=MR","Sort=A","Dates=H","DateFormat=P","Fill=—","Direction=H","UseDPDF=Y")</f>
        <v>0.81259999999999999</v>
      </c>
      <c r="I7" s="14">
        <f>_xll.BDH("NBIX US Equity","BASIC_EPS_EX_STK_BASED_COMP","FQ2 2020","FQ2 2020","Currency=USD","Period=FQ","BEST_FPERIOD_OVERRIDE=FQ","FILING_STATUS=MR","Sort=A","Dates=H","DateFormat=P","Fill=—","Direction=H","UseDPDF=Y")</f>
        <v>1.5450999999999999</v>
      </c>
      <c r="J7" s="14">
        <f>_xll.BDH("NBIX US Equity","BASIC_EPS_EX_STK_BASED_COMP","FQ3 2020","FQ3 2020","Currency=USD","Period=FQ","BEST_FPERIOD_OVERRIDE=FQ","FILING_STATUS=MR","Sort=A","Dates=H","DateFormat=P","Fill=—","Direction=H","UseDPDF=Y")</f>
        <v>0.97660000000000002</v>
      </c>
      <c r="K7" s="14">
        <f>_xll.BDH("NBIX US Equity","BASIC_EPS_EX_STK_BASED_COMP","FQ4 2020","FQ4 2020","Currency=USD","Period=FQ","BEST_FPERIOD_OVERRIDE=FQ","FILING_STATUS=MR","Sort=A","Dates=H","DateFormat=P","Fill=—","Direction=H","UseDPDF=Y")</f>
        <v>1.1851</v>
      </c>
      <c r="L7" s="14">
        <f>_xll.BDH("NBIX US Equity","BASIC_EPS_EX_STK_BASED_COMP","FQ1 2021","FQ1 2021","Currency=USD","Period=FQ","BEST_FPERIOD_OVERRIDE=FQ","FILING_STATUS=MR","Sort=A","Dates=H","DateFormat=P","Fill=—","Direction=H","UseDPDF=Y")</f>
        <v>0.49380000000000002</v>
      </c>
      <c r="M7" s="14">
        <f>_xll.BDH("NBIX US Equity","BASIC_EPS_EX_STK_BASED_COMP","FQ2 2021","FQ2 2021","Currency=USD","Period=FQ","BEST_FPERIOD_OVERRIDE=FQ","FILING_STATUS=MR","Sort=A","Dates=H","DateFormat=P","Fill=—","Direction=H","UseDPDF=Y")</f>
        <v>0.75960000000000005</v>
      </c>
      <c r="N7" s="14">
        <f>_xll.BDH("NBIX US Equity","BASIC_EPS_EX_STK_BASED_COMP","FQ3 2021","FQ3 2021","Currency=USD","Period=FQ","BEST_FPERIOD_OVERRIDE=FQ","FILING_STATUS=MR","Sort=A","Dates=H","DateFormat=P","Fill=—","Direction=H","UseDPDF=Y")</f>
        <v>0.63239999999999996</v>
      </c>
      <c r="O7" s="14">
        <f>_xll.BDH("NBIX US Equity","BASIC_EPS_EX_STK_BASED_COMP","FQ4 2021","FQ4 2021","Currency=USD","Period=FQ","BEST_FPERIOD_OVERRIDE=FQ","FILING_STATUS=MR","Sort=A","Dates=H","DateFormat=P","Fill=—","Direction=H","UseDPDF=Y")</f>
        <v>0.81799999999999995</v>
      </c>
      <c r="P7" s="14">
        <f>_xll.BDH("NBIX US Equity","BASIC_EPS_EX_STK_BASED_COMP","FQ1 2022","FQ1 2022","Currency=USD","Period=FQ","BEST_FPERIOD_OVERRIDE=FQ","FILING_STATUS=MR","Sort=A","Dates=H","DateFormat=P","Fill=—","Direction=H","UseDPDF=Y")</f>
        <v>0.30790000000000001</v>
      </c>
      <c r="Q7" s="14">
        <f>_xll.BDH("NBIX US Equity","BASIC_EPS_EX_STK_BASED_COMP","FQ2 2022","FQ2 2022","Currency=USD","Period=FQ","BEST_FPERIOD_OVERRIDE=FQ","FILING_STATUS=MR","Sort=A","Dates=H","DateFormat=P","Fill=—","Direction=H","UseDPDF=Y")</f>
        <v>0.28699999999999998</v>
      </c>
      <c r="R7" s="14">
        <f>_xll.BDH("NBIX US Equity","BASIC_EPS_EX_STK_BASED_COMP","FQ3 2022","FQ3 2022","Currency=USD","Period=FQ","BEST_FPERIOD_OVERRIDE=FQ","FILING_STATUS=MR","Sort=A","Dates=H","DateFormat=P","Fill=—","Direction=H","UseDPDF=Y")</f>
        <v>1.3051999999999999</v>
      </c>
      <c r="S7" s="14">
        <f>_xll.BDH("NBIX US Equity","BASIC_EPS_EX_STK_BASED_COMP","FQ4 2022","FQ4 2022","Currency=USD","Period=FQ","BEST_FPERIOD_OVERRIDE=FQ","FILING_STATUS=MR","Sort=A","Dates=H","DateFormat=P","Fill=—","Direction=H","UseDPDF=Y")</f>
        <v>1.3684000000000001</v>
      </c>
      <c r="T7" s="14">
        <f>_xll.BDH("NBIX US Equity","BASIC_EPS_EX_STK_BASED_COMP","FQ1 2023","FQ1 2023","Currency=USD","Period=FQ","BEST_FPERIOD_OVERRIDE=FQ","FILING_STATUS=MR","Sort=A","Dates=H","DateFormat=P","Fill=—","Direction=H","UseDPDF=Y")</f>
        <v>0.63970000000000005</v>
      </c>
      <c r="U7" s="14">
        <f>_xll.BDH("NBIX US Equity","BASIC_EPS_EX_STK_BASED_COMP","FQ2 2023","FQ2 2023","Currency=USD","Period=FQ","BEST_FPERIOD_OVERRIDE=FQ","FILING_STATUS=MR","Sort=A","Dates=H","DateFormat=P","Fill=—","Direction=H","UseDPDF=Y")</f>
        <v>1.3328</v>
      </c>
      <c r="V7" s="14">
        <f>_xll.BDH("NBIX US Equity","BASIC_EPS_EX_STK_BASED_COMP","FQ3 2023","FQ3 2023","Currency=USD","Period=FQ","BEST_FPERIOD_OVERRIDE=FQ","FILING_STATUS=MR","Sort=A","Dates=H","DateFormat=P","Fill=—","Direction=H","UseDPDF=Y")</f>
        <v>1.7964</v>
      </c>
      <c r="W7" s="14">
        <f>_xll.BDH("NBIX US Equity","BASIC_EPS_EX_STK_BASED_COMP","FQ4 2023","FQ4 2023","Currency=USD","Period=FQ","BEST_FPERIOD_OVERRIDE=FQ","FILING_STATUS=MR","Sort=A","Dates=H","DateFormat=P","Fill=—","Direction=H","UseDPDF=Y")</f>
        <v>1.5741000000000001</v>
      </c>
      <c r="X7" s="14">
        <f>_xll.BDH("NBIX US Equity","BASIC_EPS_EX_STK_BASED_COMP","FQ1 2024","FQ1 2024","Currency=USD","Period=FQ","BEST_FPERIOD_OVERRIDE=FQ","FILING_STATUS=MR","Sort=A","Dates=H","DateFormat=P","Fill=—","Direction=H","UseDPDF=Y")</f>
        <v>0.746</v>
      </c>
      <c r="Y7" s="14">
        <f>_xll.BDH("NBIX US Equity","BASIC_EPS_EX_STK_BASED_COMP","FQ2 2024","FQ2 2024","Currency=USD","Period=FQ","BEST_FPERIOD_OVERRIDE=FQ","FILING_STATUS=MR","Sort=A","Dates=H","DateFormat=P","Fill=—","Direction=H","UseDPDF=Y")</f>
        <v>2.0766</v>
      </c>
      <c r="Z7" s="14">
        <f>_xll.BDH("NBIX US Equity","BASIC_EPS_EX_STK_BASED_COMP","FQ3 2024","FQ3 2024","Currency=USD","Period=FQ","BEST_FPERIOD_OVERRIDE=FQ","FILING_STATUS=MR","Sort=A","Dates=H","DateFormat=P","Fill=—","Direction=H","UseDPDF=Y")</f>
        <v>1.9473</v>
      </c>
      <c r="AA7" s="14">
        <f>_xll.BDH("NBIX US Equity","BASIC_EPS_EX_STK_BASED_COMP","FQ4 2024","FQ4 2024","Currency=USD","Period=FQ","BEST_FPERIOD_OVERRIDE=FQ","FILING_STATUS=MR","Sort=A","Dates=H","DateFormat=P","Fill=—","Direction=H","UseDPDF=Y")</f>
        <v>1.7386999999999999</v>
      </c>
    </row>
    <row r="8" spans="1:27" x14ac:dyDescent="0.25">
      <c r="A8" s="10" t="s">
        <v>627</v>
      </c>
      <c r="B8" s="10" t="s">
        <v>628</v>
      </c>
      <c r="C8" s="14">
        <f>_xll.BDH("NBIX US Equity","DILUTED_EPS_EX_STK_BASED_COMP","FQ4 2018","FQ4 2018","Currency=USD","Period=FQ","BEST_FPERIOD_OVERRIDE=FQ","FILING_STATUS=MR","Sort=A","Dates=H","DateFormat=P","Fill=—","Direction=H","UseDPDF=Y")</f>
        <v>0.29949999999999999</v>
      </c>
      <c r="D8" s="14">
        <f>_xll.BDH("NBIX US Equity","DILUTED_EPS_EX_STK_BASED_COMP","FQ1 2019","FQ1 2019","Currency=USD","Period=FQ","BEST_FPERIOD_OVERRIDE=FQ","FILING_STATUS=MR","Sort=A","Dates=H","DateFormat=P","Fill=—","Direction=H","UseDPDF=Y")</f>
        <v>-1.8200000000000001E-2</v>
      </c>
      <c r="E8" s="14">
        <f>_xll.BDH("NBIX US Equity","DILUTED_EPS_EX_STK_BASED_COMP","FQ2 2019","FQ2 2019","Currency=USD","Period=FQ","BEST_FPERIOD_OVERRIDE=FQ","FILING_STATUS=MR","Sort=A","Dates=H","DateFormat=P","Fill=—","Direction=H","UseDPDF=Y")</f>
        <v>0.55640000000000001</v>
      </c>
      <c r="F8" s="14">
        <f>_xll.BDH("NBIX US Equity","DILUTED_EPS_EX_STK_BASED_COMP","FQ3 2019","FQ3 2019","Currency=USD","Period=FQ","BEST_FPERIOD_OVERRIDE=FQ","FILING_STATUS=MR","Sort=A","Dates=H","DateFormat=P","Fill=—","Direction=H","UseDPDF=Y")</f>
        <v>0.96050000000000002</v>
      </c>
      <c r="G8" s="14">
        <f>_xll.BDH("NBIX US Equity","DILUTED_EPS_EX_STK_BASED_COMP","FQ4 2019","FQ4 2019","Currency=USD","Period=FQ","BEST_FPERIOD_OVERRIDE=FQ","FILING_STATUS=MR","Sort=A","Dates=H","DateFormat=P","Fill=—","Direction=H","UseDPDF=Y")</f>
        <v>1.0079</v>
      </c>
      <c r="H8" s="14">
        <f>_xll.BDH("NBIX US Equity","DILUTED_EPS_EX_STK_BASED_COMP","FQ1 2020","FQ1 2020","Currency=USD","Period=FQ","BEST_FPERIOD_OVERRIDE=FQ","FILING_STATUS=MR","Sort=A","Dates=H","DateFormat=P","Fill=—","Direction=H","UseDPDF=Y")</f>
        <v>0.7802</v>
      </c>
      <c r="I8" s="14">
        <f>_xll.BDH("NBIX US Equity","DILUTED_EPS_EX_STK_BASED_COMP","FQ2 2020","FQ2 2020","Currency=USD","Period=FQ","BEST_FPERIOD_OVERRIDE=FQ","FILING_STATUS=MR","Sort=A","Dates=H","DateFormat=P","Fill=—","Direction=H","UseDPDF=Y")</f>
        <v>1.4626999999999999</v>
      </c>
      <c r="J8" s="14">
        <f>_xll.BDH("NBIX US Equity","DILUTED_EPS_EX_STK_BASED_COMP","FQ3 2020","FQ3 2020","Currency=USD","Period=FQ","BEST_FPERIOD_OVERRIDE=FQ","FILING_STATUS=MR","Sort=A","Dates=H","DateFormat=P","Fill=—","Direction=H","UseDPDF=Y")</f>
        <v>0.97389999999999999</v>
      </c>
      <c r="K8" s="14">
        <f>_xll.BDH("NBIX US Equity","DILUTED_EPS_EX_STK_BASED_COMP","FQ4 2020","FQ4 2020","Currency=USD","Period=FQ","BEST_FPERIOD_OVERRIDE=FQ","FILING_STATUS=MR","Sort=A","Dates=H","DateFormat=P","Fill=—","Direction=H","UseDPDF=Y")</f>
        <v>1.1408</v>
      </c>
      <c r="L8" s="14">
        <f>_xll.BDH("NBIX US Equity","DILUTED_EPS_EX_STK_BASED_COMP","FQ1 2021","FQ1 2021","Currency=USD","Period=FQ","BEST_FPERIOD_OVERRIDE=FQ","FILING_STATUS=MR","Sort=A","Dates=H","DateFormat=P","Fill=—","Direction=H","UseDPDF=Y")</f>
        <v>0.4768</v>
      </c>
      <c r="M8" s="14">
        <f>_xll.BDH("NBIX US Equity","DILUTED_EPS_EX_STK_BASED_COMP","FQ2 2021","FQ2 2021","Currency=USD","Period=FQ","BEST_FPERIOD_OVERRIDE=FQ","FILING_STATUS=MR","Sort=A","Dates=H","DateFormat=P","Fill=—","Direction=H","UseDPDF=Y")</f>
        <v>0.73250000000000004</v>
      </c>
      <c r="N8" s="14">
        <f>_xll.BDH("NBIX US Equity","DILUTED_EPS_EX_STK_BASED_COMP","FQ3 2021","FQ3 2021","Currency=USD","Period=FQ","BEST_FPERIOD_OVERRIDE=FQ","FILING_STATUS=MR","Sort=A","Dates=H","DateFormat=P","Fill=—","Direction=H","UseDPDF=Y")</f>
        <v>0.61270000000000002</v>
      </c>
      <c r="O8" s="14">
        <f>_xll.BDH("NBIX US Equity","DILUTED_EPS_EX_STK_BASED_COMP","FQ4 2021","FQ4 2021","Currency=USD","Period=FQ","BEST_FPERIOD_OVERRIDE=FQ","FILING_STATUS=MR","Sort=A","Dates=H","DateFormat=P","Fill=—","Direction=H","UseDPDF=Y")</f>
        <v>0.81489999999999996</v>
      </c>
      <c r="P8" s="14">
        <f>_xll.BDH("NBIX US Equity","DILUTED_EPS_EX_STK_BASED_COMP","FQ1 2022","FQ1 2022","Currency=USD","Period=FQ","BEST_FPERIOD_OVERRIDE=FQ","FILING_STATUS=MR","Sort=A","Dates=H","DateFormat=P","Fill=—","Direction=H","UseDPDF=Y")</f>
        <v>0.29820000000000002</v>
      </c>
      <c r="Q8" s="14">
        <f>_xll.BDH("NBIX US Equity","DILUTED_EPS_EX_STK_BASED_COMP","FQ2 2022","FQ2 2022","Currency=USD","Period=FQ","BEST_FPERIOD_OVERRIDE=FQ","FILING_STATUS=MR","Sort=A","Dates=H","DateFormat=P","Fill=—","Direction=H","UseDPDF=Y")</f>
        <v>0.2838</v>
      </c>
      <c r="R8" s="14">
        <f>_xll.BDH("NBIX US Equity","DILUTED_EPS_EX_STK_BASED_COMP","FQ3 2022","FQ3 2022","Currency=USD","Period=FQ","BEST_FPERIOD_OVERRIDE=FQ","FILING_STATUS=MR","Sort=A","Dates=H","DateFormat=P","Fill=—","Direction=H","UseDPDF=Y")</f>
        <v>1.2611000000000001</v>
      </c>
      <c r="S8" s="14">
        <f>_xll.BDH("NBIX US Equity","DILUTED_EPS_EX_STK_BASED_COMP","FQ4 2022","FQ4 2022","Currency=USD","Period=FQ","BEST_FPERIOD_OVERRIDE=FQ","FILING_STATUS=MR","Sort=A","Dates=H","DateFormat=P","Fill=—","Direction=H","UseDPDF=Y")</f>
        <v>1.3044</v>
      </c>
      <c r="T8" s="14">
        <f>_xll.BDH("NBIX US Equity","DILUTED_EPS_EX_STK_BASED_COMP","FQ1 2023","FQ1 2023","Currency=USD","Period=FQ","BEST_FPERIOD_OVERRIDE=FQ","FILING_STATUS=MR","Sort=A","Dates=H","DateFormat=P","Fill=—","Direction=H","UseDPDF=Y")</f>
        <v>0.63859999999999995</v>
      </c>
      <c r="U8" s="14">
        <f>_xll.BDH("NBIX US Equity","DILUTED_EPS_EX_STK_BASED_COMP","FQ2 2023","FQ2 2023","Currency=USD","Period=FQ","BEST_FPERIOD_OVERRIDE=FQ","FILING_STATUS=MR","Sort=A","Dates=H","DateFormat=P","Fill=—","Direction=H","UseDPDF=Y")</f>
        <v>1.2950999999999999</v>
      </c>
      <c r="V8" s="14">
        <f>_xll.BDH("NBIX US Equity","DILUTED_EPS_EX_STK_BASED_COMP","FQ3 2023","FQ3 2023","Currency=USD","Period=FQ","BEST_FPERIOD_OVERRIDE=FQ","FILING_STATUS=MR","Sort=A","Dates=H","DateFormat=P","Fill=—","Direction=H","UseDPDF=Y")</f>
        <v>1.7376</v>
      </c>
      <c r="W8" s="14">
        <f>_xll.BDH("NBIX US Equity","DILUTED_EPS_EX_STK_BASED_COMP","FQ4 2023","FQ4 2023","Currency=USD","Period=FQ","BEST_FPERIOD_OVERRIDE=FQ","FILING_STATUS=MR","Sort=A","Dates=H","DateFormat=P","Fill=—","Direction=H","UseDPDF=Y")</f>
        <v>1.5103</v>
      </c>
      <c r="X8" s="14">
        <f>_xll.BDH("NBIX US Equity","DILUTED_EPS_EX_STK_BASED_COMP","FQ1 2024","FQ1 2024","Currency=USD","Period=FQ","BEST_FPERIOD_OVERRIDE=FQ","FILING_STATUS=MR","Sort=A","Dates=H","DateFormat=P","Fill=—","Direction=H","UseDPDF=Y")</f>
        <v>0.7198</v>
      </c>
      <c r="Y8" s="14">
        <f>_xll.BDH("NBIX US Equity","DILUTED_EPS_EX_STK_BASED_COMP","FQ2 2024","FQ2 2024","Currency=USD","Period=FQ","BEST_FPERIOD_OVERRIDE=FQ","FILING_STATUS=MR","Sort=A","Dates=H","DateFormat=P","Fill=—","Direction=H","UseDPDF=Y")</f>
        <v>2.0190999999999999</v>
      </c>
      <c r="Z8" s="14">
        <f>_xll.BDH("NBIX US Equity","DILUTED_EPS_EX_STK_BASED_COMP","FQ3 2024","FQ3 2024","Currency=USD","Period=FQ","BEST_FPERIOD_OVERRIDE=FQ","FILING_STATUS=MR","Sort=A","Dates=H","DateFormat=P","Fill=—","Direction=H","UseDPDF=Y")</f>
        <v>1.8831</v>
      </c>
      <c r="AA8" s="14">
        <f>_xll.BDH("NBIX US Equity","DILUTED_EPS_EX_STK_BASED_COMP","FQ4 2024","FQ4 2024","Currency=USD","Period=FQ","BEST_FPERIOD_OVERRIDE=FQ","FILING_STATUS=MR","Sort=A","Dates=H","DateFormat=P","Fill=—","Direction=H","UseDPDF=Y")</f>
        <v>1.6877</v>
      </c>
    </row>
    <row r="9" spans="1:27" x14ac:dyDescent="0.25">
      <c r="A9" s="10" t="s">
        <v>629</v>
      </c>
      <c r="B9" s="10" t="s">
        <v>630</v>
      </c>
      <c r="C9" s="14" t="str">
        <f>_xll.BDH("NBIX US Equity","ADJ_EPS_EX_AMORT_TOT_INTANG_BAS","FQ4 2018","FQ4 2018","Currency=USD","Period=FQ","BEST_FPERIOD_OVERRIDE=FQ","FILING_STATUS=MR","Sort=A","Dates=H","DateFormat=P","Fill=—","Direction=H","UseDPDF=Y")</f>
        <v>—</v>
      </c>
      <c r="D9" s="14" t="str">
        <f>_xll.BDH("NBIX US Equity","ADJ_EPS_EX_AMORT_TOT_INTANG_BAS","FQ1 2019","FQ1 2019","Currency=USD","Period=FQ","BEST_FPERIOD_OVERRIDE=FQ","FILING_STATUS=MR","Sort=A","Dates=H","DateFormat=P","Fill=—","Direction=H","UseDPDF=Y")</f>
        <v>—</v>
      </c>
      <c r="E9" s="14" t="str">
        <f>_xll.BDH("NBIX US Equity","ADJ_EPS_EX_AMORT_TOT_INTANG_BAS","FQ2 2019","FQ2 2019","Currency=USD","Period=FQ","BEST_FPERIOD_OVERRIDE=FQ","FILING_STATUS=MR","Sort=A","Dates=H","DateFormat=P","Fill=—","Direction=H","UseDPDF=Y")</f>
        <v>—</v>
      </c>
      <c r="F9" s="14" t="str">
        <f>_xll.BDH("NBIX US Equity","ADJ_EPS_EX_AMORT_TOT_INTANG_BAS","FQ3 2019","FQ3 2019","Currency=USD","Period=FQ","BEST_FPERIOD_OVERRIDE=FQ","FILING_STATUS=MR","Sort=A","Dates=H","DateFormat=P","Fill=—","Direction=H","UseDPDF=Y")</f>
        <v>—</v>
      </c>
      <c r="G9" s="14" t="str">
        <f>_xll.BDH("NBIX US Equity","ADJ_EPS_EX_AMORT_TOT_INTANG_BAS","FQ4 2019","FQ4 2019","Currency=USD","Period=FQ","BEST_FPERIOD_OVERRIDE=FQ","FILING_STATUS=MR","Sort=A","Dates=H","DateFormat=P","Fill=—","Direction=H","UseDPDF=Y")</f>
        <v>—</v>
      </c>
      <c r="H9" s="14" t="str">
        <f>_xll.BDH("NBIX US Equity","ADJ_EPS_EX_AMORT_TOT_INTANG_BAS","FQ1 2020","FQ1 2020","Currency=USD","Period=FQ","BEST_FPERIOD_OVERRIDE=FQ","FILING_STATUS=MR","Sort=A","Dates=H","DateFormat=P","Fill=—","Direction=H","UseDPDF=Y")</f>
        <v>—</v>
      </c>
      <c r="I9" s="14" t="str">
        <f>_xll.BDH("NBIX US Equity","ADJ_EPS_EX_AMORT_TOT_INTANG_BAS","FQ2 2020","FQ2 2020","Currency=USD","Period=FQ","BEST_FPERIOD_OVERRIDE=FQ","FILING_STATUS=MR","Sort=A","Dates=H","DateFormat=P","Fill=—","Direction=H","UseDPDF=Y")</f>
        <v>—</v>
      </c>
      <c r="J9" s="14" t="str">
        <f>_xll.BDH("NBIX US Equity","ADJ_EPS_EX_AMORT_TOT_INTANG_BAS","FQ3 2020","FQ3 2020","Currency=USD","Period=FQ","BEST_FPERIOD_OVERRIDE=FQ","FILING_STATUS=MR","Sort=A","Dates=H","DateFormat=P","Fill=—","Direction=H","UseDPDF=Y")</f>
        <v>—</v>
      </c>
      <c r="K9" s="14" t="str">
        <f>_xll.BDH("NBIX US Equity","ADJ_EPS_EX_AMORT_TOT_INTANG_BAS","FQ4 2020","FQ4 2020","Currency=USD","Period=FQ","BEST_FPERIOD_OVERRIDE=FQ","FILING_STATUS=MR","Sort=A","Dates=H","DateFormat=P","Fill=—","Direction=H","UseDPDF=Y")</f>
        <v>—</v>
      </c>
      <c r="L9" s="14" t="str">
        <f>_xll.BDH("NBIX US Equity","ADJ_EPS_EX_AMORT_TOT_INTANG_BAS","FQ1 2021","FQ1 2021","Currency=USD","Period=FQ","BEST_FPERIOD_OVERRIDE=FQ","FILING_STATUS=MR","Sort=A","Dates=H","DateFormat=P","Fill=—","Direction=H","UseDPDF=Y")</f>
        <v>—</v>
      </c>
      <c r="M9" s="14" t="str">
        <f>_xll.BDH("NBIX US Equity","ADJ_EPS_EX_AMORT_TOT_INTANG_BAS","FQ2 2021","FQ2 2021","Currency=USD","Period=FQ","BEST_FPERIOD_OVERRIDE=FQ","FILING_STATUS=MR","Sort=A","Dates=H","DateFormat=P","Fill=—","Direction=H","UseDPDF=Y")</f>
        <v>—</v>
      </c>
      <c r="N9" s="14" t="str">
        <f>_xll.BDH("NBIX US Equity","ADJ_EPS_EX_AMORT_TOT_INTANG_BAS","FQ3 2021","FQ3 2021","Currency=USD","Period=FQ","BEST_FPERIOD_OVERRIDE=FQ","FILING_STATUS=MR","Sort=A","Dates=H","DateFormat=P","Fill=—","Direction=H","UseDPDF=Y")</f>
        <v>—</v>
      </c>
      <c r="O9" s="14" t="str">
        <f>_xll.BDH("NBIX US Equity","ADJ_EPS_EX_AMORT_TOT_INTANG_BAS","FQ4 2021","FQ4 2021","Currency=USD","Period=FQ","BEST_FPERIOD_OVERRIDE=FQ","FILING_STATUS=MR","Sort=A","Dates=H","DateFormat=P","Fill=—","Direction=H","UseDPDF=Y")</f>
        <v>—</v>
      </c>
      <c r="P9" s="14" t="str">
        <f>_xll.BDH("NBIX US Equity","ADJ_EPS_EX_AMORT_TOT_INTANG_BAS","FQ1 2022","FQ1 2022","Currency=USD","Period=FQ","BEST_FPERIOD_OVERRIDE=FQ","FILING_STATUS=MR","Sort=A","Dates=H","DateFormat=P","Fill=—","Direction=H","UseDPDF=Y")</f>
        <v>—</v>
      </c>
      <c r="Q9" s="14" t="str">
        <f>_xll.BDH("NBIX US Equity","ADJ_EPS_EX_AMORT_TOT_INTANG_BAS","FQ2 2022","FQ2 2022","Currency=USD","Period=FQ","BEST_FPERIOD_OVERRIDE=FQ","FILING_STATUS=MR","Sort=A","Dates=H","DateFormat=P","Fill=—","Direction=H","UseDPDF=Y")</f>
        <v>—</v>
      </c>
      <c r="R9" s="14" t="str">
        <f>_xll.BDH("NBIX US Equity","ADJ_EPS_EX_AMORT_TOT_INTANG_BAS","FQ3 2022","FQ3 2022","Currency=USD","Period=FQ","BEST_FPERIOD_OVERRIDE=FQ","FILING_STATUS=MR","Sort=A","Dates=H","DateFormat=P","Fill=—","Direction=H","UseDPDF=Y")</f>
        <v>—</v>
      </c>
      <c r="S9" s="14" t="str">
        <f>_xll.BDH("NBIX US Equity","ADJ_EPS_EX_AMORT_TOT_INTANG_BAS","FQ4 2022","FQ4 2022","Currency=USD","Period=FQ","BEST_FPERIOD_OVERRIDE=FQ","FILING_STATUS=MR","Sort=A","Dates=H","DateFormat=P","Fill=—","Direction=H","UseDPDF=Y")</f>
        <v>—</v>
      </c>
      <c r="T9" s="14" t="str">
        <f>_xll.BDH("NBIX US Equity","ADJ_EPS_EX_AMORT_TOT_INTANG_BAS","FQ1 2023","FQ1 2023","Currency=USD","Period=FQ","BEST_FPERIOD_OVERRIDE=FQ","FILING_STATUS=MR","Sort=A","Dates=H","DateFormat=P","Fill=—","Direction=H","UseDPDF=Y")</f>
        <v>—</v>
      </c>
      <c r="U9" s="14" t="str">
        <f>_xll.BDH("NBIX US Equity","ADJ_EPS_EX_AMORT_TOT_INTANG_BAS","FQ2 2023","FQ2 2023","Currency=USD","Period=FQ","BEST_FPERIOD_OVERRIDE=FQ","FILING_STATUS=MR","Sort=A","Dates=H","DateFormat=P","Fill=—","Direction=H","UseDPDF=Y")</f>
        <v>—</v>
      </c>
      <c r="V9" s="14">
        <f>_xll.BDH("NBIX US Equity","ADJ_EPS_EX_AMORT_TOT_INTANG_BAS","FQ3 2023","FQ3 2023","Currency=USD","Period=FQ","BEST_FPERIOD_OVERRIDE=FQ","FILING_STATUS=MR","Sort=A","Dates=H","DateFormat=P","Fill=—","Direction=H","UseDPDF=Y")</f>
        <v>1.4113</v>
      </c>
      <c r="W9" s="14">
        <f>_xll.BDH("NBIX US Equity","ADJ_EPS_EX_AMORT_TOT_INTANG_BAS","FQ4 2023","FQ4 2023","Currency=USD","Period=FQ","BEST_FPERIOD_OVERRIDE=FQ","FILING_STATUS=MR","Sort=A","Dates=H","DateFormat=P","Fill=—","Direction=H","UseDPDF=Y")</f>
        <v>1.2763</v>
      </c>
      <c r="X9" s="14">
        <f>_xll.BDH("NBIX US Equity","ADJ_EPS_EX_AMORT_TOT_INTANG_BAS","FQ1 2024","FQ1 2024","Currency=USD","Period=FQ","BEST_FPERIOD_OVERRIDE=FQ","FILING_STATUS=MR","Sort=A","Dates=H","DateFormat=P","Fill=—","Direction=H","UseDPDF=Y")</f>
        <v>0.47970000000000002</v>
      </c>
      <c r="Y9" s="14">
        <f>_xll.BDH("NBIX US Equity","ADJ_EPS_EX_AMORT_TOT_INTANG_BAS","FQ2 2024","FQ2 2024","Currency=USD","Period=FQ","BEST_FPERIOD_OVERRIDE=FQ","FILING_STATUS=MR","Sort=A","Dates=H","DateFormat=P","Fill=—","Direction=H","UseDPDF=Y")</f>
        <v>1.736</v>
      </c>
      <c r="Z9" s="14">
        <f>_xll.BDH("NBIX US Equity","ADJ_EPS_EX_AMORT_TOT_INTANG_BAS","FQ3 2024","FQ3 2024","Currency=USD","Period=FQ","BEST_FPERIOD_OVERRIDE=FQ","FILING_STATUS=MR","Sort=A","Dates=H","DateFormat=P","Fill=—","Direction=H","UseDPDF=Y")</f>
        <v>1.5641</v>
      </c>
      <c r="AA9" s="14">
        <f>_xll.BDH("NBIX US Equity","ADJ_EPS_EX_AMORT_TOT_INTANG_BAS","FQ4 2024","FQ4 2024","Currency=USD","Period=FQ","BEST_FPERIOD_OVERRIDE=FQ","FILING_STATUS=MR","Sort=A","Dates=H","DateFormat=P","Fill=—","Direction=H","UseDPDF=Y")</f>
        <v>1.0827</v>
      </c>
    </row>
    <row r="10" spans="1:27" x14ac:dyDescent="0.25">
      <c r="A10" s="10" t="s">
        <v>631</v>
      </c>
      <c r="B10" s="10" t="s">
        <v>632</v>
      </c>
      <c r="C10" s="14" t="str">
        <f>_xll.BDH("NBIX US Equity","ADJ_EPS_EX_AMORT_TOT_INTANG_DIL","FQ4 2018","FQ4 2018","Currency=USD","Period=FQ","BEST_FPERIOD_OVERRIDE=FQ","FILING_STATUS=MR","Sort=A","Dates=H","DateFormat=P","Fill=—","Direction=H","UseDPDF=Y")</f>
        <v>—</v>
      </c>
      <c r="D10" s="14" t="str">
        <f>_xll.BDH("NBIX US Equity","ADJ_EPS_EX_AMORT_TOT_INTANG_DIL","FQ1 2019","FQ1 2019","Currency=USD","Period=FQ","BEST_FPERIOD_OVERRIDE=FQ","FILING_STATUS=MR","Sort=A","Dates=H","DateFormat=P","Fill=—","Direction=H","UseDPDF=Y")</f>
        <v>—</v>
      </c>
      <c r="E10" s="14" t="str">
        <f>_xll.BDH("NBIX US Equity","ADJ_EPS_EX_AMORT_TOT_INTANG_DIL","FQ2 2019","FQ2 2019","Currency=USD","Period=FQ","BEST_FPERIOD_OVERRIDE=FQ","FILING_STATUS=MR","Sort=A","Dates=H","DateFormat=P","Fill=—","Direction=H","UseDPDF=Y")</f>
        <v>—</v>
      </c>
      <c r="F10" s="14" t="str">
        <f>_xll.BDH("NBIX US Equity","ADJ_EPS_EX_AMORT_TOT_INTANG_DIL","FQ3 2019","FQ3 2019","Currency=USD","Period=FQ","BEST_FPERIOD_OVERRIDE=FQ","FILING_STATUS=MR","Sort=A","Dates=H","DateFormat=P","Fill=—","Direction=H","UseDPDF=Y")</f>
        <v>—</v>
      </c>
      <c r="G10" s="14" t="str">
        <f>_xll.BDH("NBIX US Equity","ADJ_EPS_EX_AMORT_TOT_INTANG_DIL","FQ4 2019","FQ4 2019","Currency=USD","Period=FQ","BEST_FPERIOD_OVERRIDE=FQ","FILING_STATUS=MR","Sort=A","Dates=H","DateFormat=P","Fill=—","Direction=H","UseDPDF=Y")</f>
        <v>—</v>
      </c>
      <c r="H10" s="14" t="str">
        <f>_xll.BDH("NBIX US Equity","ADJ_EPS_EX_AMORT_TOT_INTANG_DIL","FQ1 2020","FQ1 2020","Currency=USD","Period=FQ","BEST_FPERIOD_OVERRIDE=FQ","FILING_STATUS=MR","Sort=A","Dates=H","DateFormat=P","Fill=—","Direction=H","UseDPDF=Y")</f>
        <v>—</v>
      </c>
      <c r="I10" s="14" t="str">
        <f>_xll.BDH("NBIX US Equity","ADJ_EPS_EX_AMORT_TOT_INTANG_DIL","FQ2 2020","FQ2 2020","Currency=USD","Period=FQ","BEST_FPERIOD_OVERRIDE=FQ","FILING_STATUS=MR","Sort=A","Dates=H","DateFormat=P","Fill=—","Direction=H","UseDPDF=Y")</f>
        <v>—</v>
      </c>
      <c r="J10" s="14" t="str">
        <f>_xll.BDH("NBIX US Equity","ADJ_EPS_EX_AMORT_TOT_INTANG_DIL","FQ3 2020","FQ3 2020","Currency=USD","Period=FQ","BEST_FPERIOD_OVERRIDE=FQ","FILING_STATUS=MR","Sort=A","Dates=H","DateFormat=P","Fill=—","Direction=H","UseDPDF=Y")</f>
        <v>—</v>
      </c>
      <c r="K10" s="14" t="str">
        <f>_xll.BDH("NBIX US Equity","ADJ_EPS_EX_AMORT_TOT_INTANG_DIL","FQ4 2020","FQ4 2020","Currency=USD","Period=FQ","BEST_FPERIOD_OVERRIDE=FQ","FILING_STATUS=MR","Sort=A","Dates=H","DateFormat=P","Fill=—","Direction=H","UseDPDF=Y")</f>
        <v>—</v>
      </c>
      <c r="L10" s="14" t="str">
        <f>_xll.BDH("NBIX US Equity","ADJ_EPS_EX_AMORT_TOT_INTANG_DIL","FQ1 2021","FQ1 2021","Currency=USD","Period=FQ","BEST_FPERIOD_OVERRIDE=FQ","FILING_STATUS=MR","Sort=A","Dates=H","DateFormat=P","Fill=—","Direction=H","UseDPDF=Y")</f>
        <v>—</v>
      </c>
      <c r="M10" s="14" t="str">
        <f>_xll.BDH("NBIX US Equity","ADJ_EPS_EX_AMORT_TOT_INTANG_DIL","FQ2 2021","FQ2 2021","Currency=USD","Period=FQ","BEST_FPERIOD_OVERRIDE=FQ","FILING_STATUS=MR","Sort=A","Dates=H","DateFormat=P","Fill=—","Direction=H","UseDPDF=Y")</f>
        <v>—</v>
      </c>
      <c r="N10" s="14" t="str">
        <f>_xll.BDH("NBIX US Equity","ADJ_EPS_EX_AMORT_TOT_INTANG_DIL","FQ3 2021","FQ3 2021","Currency=USD","Period=FQ","BEST_FPERIOD_OVERRIDE=FQ","FILING_STATUS=MR","Sort=A","Dates=H","DateFormat=P","Fill=—","Direction=H","UseDPDF=Y")</f>
        <v>—</v>
      </c>
      <c r="O10" s="14" t="str">
        <f>_xll.BDH("NBIX US Equity","ADJ_EPS_EX_AMORT_TOT_INTANG_DIL","FQ4 2021","FQ4 2021","Currency=USD","Period=FQ","BEST_FPERIOD_OVERRIDE=FQ","FILING_STATUS=MR","Sort=A","Dates=H","DateFormat=P","Fill=—","Direction=H","UseDPDF=Y")</f>
        <v>—</v>
      </c>
      <c r="P10" s="14" t="str">
        <f>_xll.BDH("NBIX US Equity","ADJ_EPS_EX_AMORT_TOT_INTANG_DIL","FQ1 2022","FQ1 2022","Currency=USD","Period=FQ","BEST_FPERIOD_OVERRIDE=FQ","FILING_STATUS=MR","Sort=A","Dates=H","DateFormat=P","Fill=—","Direction=H","UseDPDF=Y")</f>
        <v>—</v>
      </c>
      <c r="Q10" s="14" t="str">
        <f>_xll.BDH("NBIX US Equity","ADJ_EPS_EX_AMORT_TOT_INTANG_DIL","FQ2 2022","FQ2 2022","Currency=USD","Period=FQ","BEST_FPERIOD_OVERRIDE=FQ","FILING_STATUS=MR","Sort=A","Dates=H","DateFormat=P","Fill=—","Direction=H","UseDPDF=Y")</f>
        <v>—</v>
      </c>
      <c r="R10" s="14" t="str">
        <f>_xll.BDH("NBIX US Equity","ADJ_EPS_EX_AMORT_TOT_INTANG_DIL","FQ3 2022","FQ3 2022","Currency=USD","Period=FQ","BEST_FPERIOD_OVERRIDE=FQ","FILING_STATUS=MR","Sort=A","Dates=H","DateFormat=P","Fill=—","Direction=H","UseDPDF=Y")</f>
        <v>—</v>
      </c>
      <c r="S10" s="14" t="str">
        <f>_xll.BDH("NBIX US Equity","ADJ_EPS_EX_AMORT_TOT_INTANG_DIL","FQ4 2022","FQ4 2022","Currency=USD","Period=FQ","BEST_FPERIOD_OVERRIDE=FQ","FILING_STATUS=MR","Sort=A","Dates=H","DateFormat=P","Fill=—","Direction=H","UseDPDF=Y")</f>
        <v>—</v>
      </c>
      <c r="T10" s="14" t="str">
        <f>_xll.BDH("NBIX US Equity","ADJ_EPS_EX_AMORT_TOT_INTANG_DIL","FQ1 2023","FQ1 2023","Currency=USD","Period=FQ","BEST_FPERIOD_OVERRIDE=FQ","FILING_STATUS=MR","Sort=A","Dates=H","DateFormat=P","Fill=—","Direction=H","UseDPDF=Y")</f>
        <v>—</v>
      </c>
      <c r="U10" s="14" t="str">
        <f>_xll.BDH("NBIX US Equity","ADJ_EPS_EX_AMORT_TOT_INTANG_DIL","FQ2 2023","FQ2 2023","Currency=USD","Period=FQ","BEST_FPERIOD_OVERRIDE=FQ","FILING_STATUS=MR","Sort=A","Dates=H","DateFormat=P","Fill=—","Direction=H","UseDPDF=Y")</f>
        <v>—</v>
      </c>
      <c r="V10" s="14">
        <f>_xll.BDH("NBIX US Equity","ADJ_EPS_EX_AMORT_TOT_INTANG_DIL","FQ3 2023","FQ3 2023","Currency=USD","Period=FQ","BEST_FPERIOD_OVERRIDE=FQ","FILING_STATUS=MR","Sort=A","Dates=H","DateFormat=P","Fill=—","Direction=H","UseDPDF=Y")</f>
        <v>1.3647</v>
      </c>
      <c r="W10" s="14">
        <f>_xll.BDH("NBIX US Equity","ADJ_EPS_EX_AMORT_TOT_INTANG_DIL","FQ4 2023","FQ4 2023","Currency=USD","Period=FQ","BEST_FPERIOD_OVERRIDE=FQ","FILING_STATUS=MR","Sort=A","Dates=H","DateFormat=P","Fill=—","Direction=H","UseDPDF=Y")</f>
        <v>1.2239</v>
      </c>
      <c r="X10" s="14">
        <f>_xll.BDH("NBIX US Equity","ADJ_EPS_EX_AMORT_TOT_INTANG_DIL","FQ1 2024","FQ1 2024","Currency=USD","Period=FQ","BEST_FPERIOD_OVERRIDE=FQ","FILING_STATUS=MR","Sort=A","Dates=H","DateFormat=P","Fill=—","Direction=H","UseDPDF=Y")</f>
        <v>0.46310000000000001</v>
      </c>
      <c r="Y10" s="14">
        <f>_xll.BDH("NBIX US Equity","ADJ_EPS_EX_AMORT_TOT_INTANG_DIL","FQ2 2024","FQ2 2024","Currency=USD","Period=FQ","BEST_FPERIOD_OVERRIDE=FQ","FILING_STATUS=MR","Sort=A","Dates=H","DateFormat=P","Fill=—","Direction=H","UseDPDF=Y")</f>
        <v>1.6886000000000001</v>
      </c>
      <c r="Z10" s="14">
        <f>_xll.BDH("NBIX US Equity","ADJ_EPS_EX_AMORT_TOT_INTANG_DIL","FQ3 2024","FQ3 2024","Currency=USD","Period=FQ","BEST_FPERIOD_OVERRIDE=FQ","FILING_STATUS=MR","Sort=A","Dates=H","DateFormat=P","Fill=—","Direction=H","UseDPDF=Y")</f>
        <v>1.5116000000000001</v>
      </c>
      <c r="AA10" s="14">
        <f>_xll.BDH("NBIX US Equity","ADJ_EPS_EX_AMORT_TOT_INTANG_DIL","FQ4 2024","FQ4 2024","Currency=USD","Period=FQ","BEST_FPERIOD_OVERRIDE=FQ","FILING_STATUS=MR","Sort=A","Dates=H","DateFormat=P","Fill=—","Direction=H","UseDPDF=Y")</f>
        <v>1.0503</v>
      </c>
    </row>
    <row r="11" spans="1:27" x14ac:dyDescent="0.25">
      <c r="A11" s="10" t="s">
        <v>633</v>
      </c>
      <c r="B11" s="10" t="s">
        <v>634</v>
      </c>
      <c r="C11" s="14" t="str">
        <f>_xll.BDH("NBIX US Equity","ADJ_EPS_EX_SBC_AMORT_TOT_INT_BAS","FQ4 2018","FQ4 2018","Currency=USD","Period=FQ","BEST_FPERIOD_OVERRIDE=FQ","FILING_STATUS=MR","Sort=A","Dates=H","DateFormat=P","Fill=—","Direction=H","UseDPDF=Y")</f>
        <v>—</v>
      </c>
      <c r="D11" s="14" t="str">
        <f>_xll.BDH("NBIX US Equity","ADJ_EPS_EX_SBC_AMORT_TOT_INT_BAS","FQ1 2019","FQ1 2019","Currency=USD","Period=FQ","BEST_FPERIOD_OVERRIDE=FQ","FILING_STATUS=MR","Sort=A","Dates=H","DateFormat=P","Fill=—","Direction=H","UseDPDF=Y")</f>
        <v>—</v>
      </c>
      <c r="E11" s="14" t="str">
        <f>_xll.BDH("NBIX US Equity","ADJ_EPS_EX_SBC_AMORT_TOT_INT_BAS","FQ2 2019","FQ2 2019","Currency=USD","Period=FQ","BEST_FPERIOD_OVERRIDE=FQ","FILING_STATUS=MR","Sort=A","Dates=H","DateFormat=P","Fill=—","Direction=H","UseDPDF=Y")</f>
        <v>—</v>
      </c>
      <c r="F11" s="14" t="str">
        <f>_xll.BDH("NBIX US Equity","ADJ_EPS_EX_SBC_AMORT_TOT_INT_BAS","FQ3 2019","FQ3 2019","Currency=USD","Period=FQ","BEST_FPERIOD_OVERRIDE=FQ","FILING_STATUS=MR","Sort=A","Dates=H","DateFormat=P","Fill=—","Direction=H","UseDPDF=Y")</f>
        <v>—</v>
      </c>
      <c r="G11" s="14" t="str">
        <f>_xll.BDH("NBIX US Equity","ADJ_EPS_EX_SBC_AMORT_TOT_INT_BAS","FQ4 2019","FQ4 2019","Currency=USD","Period=FQ","BEST_FPERIOD_OVERRIDE=FQ","FILING_STATUS=MR","Sort=A","Dates=H","DateFormat=P","Fill=—","Direction=H","UseDPDF=Y")</f>
        <v>—</v>
      </c>
      <c r="H11" s="14" t="str">
        <f>_xll.BDH("NBIX US Equity","ADJ_EPS_EX_SBC_AMORT_TOT_INT_BAS","FQ1 2020","FQ1 2020","Currency=USD","Period=FQ","BEST_FPERIOD_OVERRIDE=FQ","FILING_STATUS=MR","Sort=A","Dates=H","DateFormat=P","Fill=—","Direction=H","UseDPDF=Y")</f>
        <v>—</v>
      </c>
      <c r="I11" s="14" t="str">
        <f>_xll.BDH("NBIX US Equity","ADJ_EPS_EX_SBC_AMORT_TOT_INT_BAS","FQ2 2020","FQ2 2020","Currency=USD","Period=FQ","BEST_FPERIOD_OVERRIDE=FQ","FILING_STATUS=MR","Sort=A","Dates=H","DateFormat=P","Fill=—","Direction=H","UseDPDF=Y")</f>
        <v>—</v>
      </c>
      <c r="J11" s="14" t="str">
        <f>_xll.BDH("NBIX US Equity","ADJ_EPS_EX_SBC_AMORT_TOT_INT_BAS","FQ3 2020","FQ3 2020","Currency=USD","Period=FQ","BEST_FPERIOD_OVERRIDE=FQ","FILING_STATUS=MR","Sort=A","Dates=H","DateFormat=P","Fill=—","Direction=H","UseDPDF=Y")</f>
        <v>—</v>
      </c>
      <c r="K11" s="14" t="str">
        <f>_xll.BDH("NBIX US Equity","ADJ_EPS_EX_SBC_AMORT_TOT_INT_BAS","FQ4 2020","FQ4 2020","Currency=USD","Period=FQ","BEST_FPERIOD_OVERRIDE=FQ","FILING_STATUS=MR","Sort=A","Dates=H","DateFormat=P","Fill=—","Direction=H","UseDPDF=Y")</f>
        <v>—</v>
      </c>
      <c r="L11" s="14" t="str">
        <f>_xll.BDH("NBIX US Equity","ADJ_EPS_EX_SBC_AMORT_TOT_INT_BAS","FQ1 2021","FQ1 2021","Currency=USD","Period=FQ","BEST_FPERIOD_OVERRIDE=FQ","FILING_STATUS=MR","Sort=A","Dates=H","DateFormat=P","Fill=—","Direction=H","UseDPDF=Y")</f>
        <v>—</v>
      </c>
      <c r="M11" s="14" t="str">
        <f>_xll.BDH("NBIX US Equity","ADJ_EPS_EX_SBC_AMORT_TOT_INT_BAS","FQ2 2021","FQ2 2021","Currency=USD","Period=FQ","BEST_FPERIOD_OVERRIDE=FQ","FILING_STATUS=MR","Sort=A","Dates=H","DateFormat=P","Fill=—","Direction=H","UseDPDF=Y")</f>
        <v>—</v>
      </c>
      <c r="N11" s="14" t="str">
        <f>_xll.BDH("NBIX US Equity","ADJ_EPS_EX_SBC_AMORT_TOT_INT_BAS","FQ3 2021","FQ3 2021","Currency=USD","Period=FQ","BEST_FPERIOD_OVERRIDE=FQ","FILING_STATUS=MR","Sort=A","Dates=H","DateFormat=P","Fill=—","Direction=H","UseDPDF=Y")</f>
        <v>—</v>
      </c>
      <c r="O11" s="14" t="str">
        <f>_xll.BDH("NBIX US Equity","ADJ_EPS_EX_SBC_AMORT_TOT_INT_BAS","FQ4 2021","FQ4 2021","Currency=USD","Period=FQ","BEST_FPERIOD_OVERRIDE=FQ","FILING_STATUS=MR","Sort=A","Dates=H","DateFormat=P","Fill=—","Direction=H","UseDPDF=Y")</f>
        <v>—</v>
      </c>
      <c r="P11" s="14" t="str">
        <f>_xll.BDH("NBIX US Equity","ADJ_EPS_EX_SBC_AMORT_TOT_INT_BAS","FQ1 2022","FQ1 2022","Currency=USD","Period=FQ","BEST_FPERIOD_OVERRIDE=FQ","FILING_STATUS=MR","Sort=A","Dates=H","DateFormat=P","Fill=—","Direction=H","UseDPDF=Y")</f>
        <v>—</v>
      </c>
      <c r="Q11" s="14" t="str">
        <f>_xll.BDH("NBIX US Equity","ADJ_EPS_EX_SBC_AMORT_TOT_INT_BAS","FQ2 2022","FQ2 2022","Currency=USD","Period=FQ","BEST_FPERIOD_OVERRIDE=FQ","FILING_STATUS=MR","Sort=A","Dates=H","DateFormat=P","Fill=—","Direction=H","UseDPDF=Y")</f>
        <v>—</v>
      </c>
      <c r="R11" s="14" t="str">
        <f>_xll.BDH("NBIX US Equity","ADJ_EPS_EX_SBC_AMORT_TOT_INT_BAS","FQ3 2022","FQ3 2022","Currency=USD","Period=FQ","BEST_FPERIOD_OVERRIDE=FQ","FILING_STATUS=MR","Sort=A","Dates=H","DateFormat=P","Fill=—","Direction=H","UseDPDF=Y")</f>
        <v>—</v>
      </c>
      <c r="S11" s="14" t="str">
        <f>_xll.BDH("NBIX US Equity","ADJ_EPS_EX_SBC_AMORT_TOT_INT_BAS","FQ4 2022","FQ4 2022","Currency=USD","Period=FQ","BEST_FPERIOD_OVERRIDE=FQ","FILING_STATUS=MR","Sort=A","Dates=H","DateFormat=P","Fill=—","Direction=H","UseDPDF=Y")</f>
        <v>—</v>
      </c>
      <c r="T11" s="14" t="str">
        <f>_xll.BDH("NBIX US Equity","ADJ_EPS_EX_SBC_AMORT_TOT_INT_BAS","FQ1 2023","FQ1 2023","Currency=USD","Period=FQ","BEST_FPERIOD_OVERRIDE=FQ","FILING_STATUS=MR","Sort=A","Dates=H","DateFormat=P","Fill=—","Direction=H","UseDPDF=Y")</f>
        <v>—</v>
      </c>
      <c r="U11" s="14" t="str">
        <f>_xll.BDH("NBIX US Equity","ADJ_EPS_EX_SBC_AMORT_TOT_INT_BAS","FQ2 2023","FQ2 2023","Currency=USD","Period=FQ","BEST_FPERIOD_OVERRIDE=FQ","FILING_STATUS=MR","Sort=A","Dates=H","DateFormat=P","Fill=—","Direction=H","UseDPDF=Y")</f>
        <v>—</v>
      </c>
      <c r="V11" s="14">
        <f>_xll.BDH("NBIX US Equity","ADJ_EPS_EX_SBC_AMORT_TOT_INT_BAS","FQ3 2023","FQ3 2023","Currency=USD","Period=FQ","BEST_FPERIOD_OVERRIDE=FQ","FILING_STATUS=MR","Sort=A","Dates=H","DateFormat=P","Fill=—","Direction=H","UseDPDF=Y")</f>
        <v>1.7979000000000001</v>
      </c>
      <c r="W11" s="14">
        <f>_xll.BDH("NBIX US Equity","ADJ_EPS_EX_SBC_AMORT_TOT_INT_BAS","FQ4 2023","FQ4 2023","Currency=USD","Period=FQ","BEST_FPERIOD_OVERRIDE=FQ","FILING_STATUS=MR","Sort=A","Dates=H","DateFormat=P","Fill=—","Direction=H","UseDPDF=Y")</f>
        <v>1.5822000000000001</v>
      </c>
      <c r="X11" s="14">
        <f>_xll.BDH("NBIX US Equity","ADJ_EPS_EX_SBC_AMORT_TOT_INT_BAS","FQ1 2024","FQ1 2024","Currency=USD","Period=FQ","BEST_FPERIOD_OVERRIDE=FQ","FILING_STATUS=MR","Sort=A","Dates=H","DateFormat=P","Fill=—","Direction=H","UseDPDF=Y")</f>
        <v>0.75319999999999998</v>
      </c>
      <c r="Y11" s="14">
        <f>_xll.BDH("NBIX US Equity","ADJ_EPS_EX_SBC_AMORT_TOT_INT_BAS","FQ2 2024","FQ2 2024","Currency=USD","Period=FQ","BEST_FPERIOD_OVERRIDE=FQ","FILING_STATUS=MR","Sort=A","Dates=H","DateFormat=P","Fill=—","Direction=H","UseDPDF=Y")</f>
        <v>2.0838999999999999</v>
      </c>
      <c r="Z11" s="14">
        <f>_xll.BDH("NBIX US Equity","ADJ_EPS_EX_SBC_AMORT_TOT_INT_BAS","FQ3 2024","FQ3 2024","Currency=USD","Period=FQ","BEST_FPERIOD_OVERRIDE=FQ","FILING_STATUS=MR","Sort=A","Dates=H","DateFormat=P","Fill=—","Direction=H","UseDPDF=Y")</f>
        <v>1.9558</v>
      </c>
      <c r="AA11" s="14">
        <f>_xll.BDH("NBIX US Equity","ADJ_EPS_EX_SBC_AMORT_TOT_INT_BAS","FQ4 2024","FQ4 2024","Currency=USD","Period=FQ","BEST_FPERIOD_OVERRIDE=FQ","FILING_STATUS=MR","Sort=A","Dates=H","DateFormat=P","Fill=—","Direction=H","UseDPDF=Y")</f>
        <v>1.7477</v>
      </c>
    </row>
    <row r="12" spans="1:27" x14ac:dyDescent="0.25">
      <c r="A12" s="10" t="s">
        <v>635</v>
      </c>
      <c r="B12" s="10" t="s">
        <v>636</v>
      </c>
      <c r="C12" s="14" t="str">
        <f>_xll.BDH("NBIX US Equity","ADJ_EPS_EX_SBC_AMORT_TOT_INT_DIL","FQ4 2018","FQ4 2018","Currency=USD","Period=FQ","BEST_FPERIOD_OVERRIDE=FQ","FILING_STATUS=MR","Sort=A","Dates=H","DateFormat=P","Fill=—","Direction=H","UseDPDF=Y")</f>
        <v>—</v>
      </c>
      <c r="D12" s="14" t="str">
        <f>_xll.BDH("NBIX US Equity","ADJ_EPS_EX_SBC_AMORT_TOT_INT_DIL","FQ1 2019","FQ1 2019","Currency=USD","Period=FQ","BEST_FPERIOD_OVERRIDE=FQ","FILING_STATUS=MR","Sort=A","Dates=H","DateFormat=P","Fill=—","Direction=H","UseDPDF=Y")</f>
        <v>—</v>
      </c>
      <c r="E12" s="14" t="str">
        <f>_xll.BDH("NBIX US Equity","ADJ_EPS_EX_SBC_AMORT_TOT_INT_DIL","FQ2 2019","FQ2 2019","Currency=USD","Period=FQ","BEST_FPERIOD_OVERRIDE=FQ","FILING_STATUS=MR","Sort=A","Dates=H","DateFormat=P","Fill=—","Direction=H","UseDPDF=Y")</f>
        <v>—</v>
      </c>
      <c r="F12" s="14" t="str">
        <f>_xll.BDH("NBIX US Equity","ADJ_EPS_EX_SBC_AMORT_TOT_INT_DIL","FQ3 2019","FQ3 2019","Currency=USD","Period=FQ","BEST_FPERIOD_OVERRIDE=FQ","FILING_STATUS=MR","Sort=A","Dates=H","DateFormat=P","Fill=—","Direction=H","UseDPDF=Y")</f>
        <v>—</v>
      </c>
      <c r="G12" s="14" t="str">
        <f>_xll.BDH("NBIX US Equity","ADJ_EPS_EX_SBC_AMORT_TOT_INT_DIL","FQ4 2019","FQ4 2019","Currency=USD","Period=FQ","BEST_FPERIOD_OVERRIDE=FQ","FILING_STATUS=MR","Sort=A","Dates=H","DateFormat=P","Fill=—","Direction=H","UseDPDF=Y")</f>
        <v>—</v>
      </c>
      <c r="H12" s="14" t="str">
        <f>_xll.BDH("NBIX US Equity","ADJ_EPS_EX_SBC_AMORT_TOT_INT_DIL","FQ1 2020","FQ1 2020","Currency=USD","Period=FQ","BEST_FPERIOD_OVERRIDE=FQ","FILING_STATUS=MR","Sort=A","Dates=H","DateFormat=P","Fill=—","Direction=H","UseDPDF=Y")</f>
        <v>—</v>
      </c>
      <c r="I12" s="14" t="str">
        <f>_xll.BDH("NBIX US Equity","ADJ_EPS_EX_SBC_AMORT_TOT_INT_DIL","FQ2 2020","FQ2 2020","Currency=USD","Period=FQ","BEST_FPERIOD_OVERRIDE=FQ","FILING_STATUS=MR","Sort=A","Dates=H","DateFormat=P","Fill=—","Direction=H","UseDPDF=Y")</f>
        <v>—</v>
      </c>
      <c r="J12" s="14" t="str">
        <f>_xll.BDH("NBIX US Equity","ADJ_EPS_EX_SBC_AMORT_TOT_INT_DIL","FQ3 2020","FQ3 2020","Currency=USD","Period=FQ","BEST_FPERIOD_OVERRIDE=FQ","FILING_STATUS=MR","Sort=A","Dates=H","DateFormat=P","Fill=—","Direction=H","UseDPDF=Y")</f>
        <v>—</v>
      </c>
      <c r="K12" s="14" t="str">
        <f>_xll.BDH("NBIX US Equity","ADJ_EPS_EX_SBC_AMORT_TOT_INT_DIL","FQ4 2020","FQ4 2020","Currency=USD","Period=FQ","BEST_FPERIOD_OVERRIDE=FQ","FILING_STATUS=MR","Sort=A","Dates=H","DateFormat=P","Fill=—","Direction=H","UseDPDF=Y")</f>
        <v>—</v>
      </c>
      <c r="L12" s="14" t="str">
        <f>_xll.BDH("NBIX US Equity","ADJ_EPS_EX_SBC_AMORT_TOT_INT_DIL","FQ1 2021","FQ1 2021","Currency=USD","Period=FQ","BEST_FPERIOD_OVERRIDE=FQ","FILING_STATUS=MR","Sort=A","Dates=H","DateFormat=P","Fill=—","Direction=H","UseDPDF=Y")</f>
        <v>—</v>
      </c>
      <c r="M12" s="14" t="str">
        <f>_xll.BDH("NBIX US Equity","ADJ_EPS_EX_SBC_AMORT_TOT_INT_DIL","FQ2 2021","FQ2 2021","Currency=USD","Period=FQ","BEST_FPERIOD_OVERRIDE=FQ","FILING_STATUS=MR","Sort=A","Dates=H","DateFormat=P","Fill=—","Direction=H","UseDPDF=Y")</f>
        <v>—</v>
      </c>
      <c r="N12" s="14" t="str">
        <f>_xll.BDH("NBIX US Equity","ADJ_EPS_EX_SBC_AMORT_TOT_INT_DIL","FQ3 2021","FQ3 2021","Currency=USD","Period=FQ","BEST_FPERIOD_OVERRIDE=FQ","FILING_STATUS=MR","Sort=A","Dates=H","DateFormat=P","Fill=—","Direction=H","UseDPDF=Y")</f>
        <v>—</v>
      </c>
      <c r="O12" s="14" t="str">
        <f>_xll.BDH("NBIX US Equity","ADJ_EPS_EX_SBC_AMORT_TOT_INT_DIL","FQ4 2021","FQ4 2021","Currency=USD","Period=FQ","BEST_FPERIOD_OVERRIDE=FQ","FILING_STATUS=MR","Sort=A","Dates=H","DateFormat=P","Fill=—","Direction=H","UseDPDF=Y")</f>
        <v>—</v>
      </c>
      <c r="P12" s="14" t="str">
        <f>_xll.BDH("NBIX US Equity","ADJ_EPS_EX_SBC_AMORT_TOT_INT_DIL","FQ1 2022","FQ1 2022","Currency=USD","Period=FQ","BEST_FPERIOD_OVERRIDE=FQ","FILING_STATUS=MR","Sort=A","Dates=H","DateFormat=P","Fill=—","Direction=H","UseDPDF=Y")</f>
        <v>—</v>
      </c>
      <c r="Q12" s="14" t="str">
        <f>_xll.BDH("NBIX US Equity","ADJ_EPS_EX_SBC_AMORT_TOT_INT_DIL","FQ2 2022","FQ2 2022","Currency=USD","Period=FQ","BEST_FPERIOD_OVERRIDE=FQ","FILING_STATUS=MR","Sort=A","Dates=H","DateFormat=P","Fill=—","Direction=H","UseDPDF=Y")</f>
        <v>—</v>
      </c>
      <c r="R12" s="14" t="str">
        <f>_xll.BDH("NBIX US Equity","ADJ_EPS_EX_SBC_AMORT_TOT_INT_DIL","FQ3 2022","FQ3 2022","Currency=USD","Period=FQ","BEST_FPERIOD_OVERRIDE=FQ","FILING_STATUS=MR","Sort=A","Dates=H","DateFormat=P","Fill=—","Direction=H","UseDPDF=Y")</f>
        <v>—</v>
      </c>
      <c r="S12" s="14" t="str">
        <f>_xll.BDH("NBIX US Equity","ADJ_EPS_EX_SBC_AMORT_TOT_INT_DIL","FQ4 2022","FQ4 2022","Currency=USD","Period=FQ","BEST_FPERIOD_OVERRIDE=FQ","FILING_STATUS=MR","Sort=A","Dates=H","DateFormat=P","Fill=—","Direction=H","UseDPDF=Y")</f>
        <v>—</v>
      </c>
      <c r="T12" s="14" t="str">
        <f>_xll.BDH("NBIX US Equity","ADJ_EPS_EX_SBC_AMORT_TOT_INT_DIL","FQ1 2023","FQ1 2023","Currency=USD","Period=FQ","BEST_FPERIOD_OVERRIDE=FQ","FILING_STATUS=MR","Sort=A","Dates=H","DateFormat=P","Fill=—","Direction=H","UseDPDF=Y")</f>
        <v>—</v>
      </c>
      <c r="U12" s="14" t="str">
        <f>_xll.BDH("NBIX US Equity","ADJ_EPS_EX_SBC_AMORT_TOT_INT_DIL","FQ2 2023","FQ2 2023","Currency=USD","Period=FQ","BEST_FPERIOD_OVERRIDE=FQ","FILING_STATUS=MR","Sort=A","Dates=H","DateFormat=P","Fill=—","Direction=H","UseDPDF=Y")</f>
        <v>—</v>
      </c>
      <c r="V12" s="14">
        <f>_xll.BDH("NBIX US Equity","ADJ_EPS_EX_SBC_AMORT_TOT_INT_DIL","FQ3 2023","FQ3 2023","Currency=USD","Period=FQ","BEST_FPERIOD_OVERRIDE=FQ","FILING_STATUS=MR","Sort=A","Dates=H","DateFormat=P","Fill=—","Direction=H","UseDPDF=Y")</f>
        <v>1.7391000000000001</v>
      </c>
      <c r="W12" s="14">
        <f>_xll.BDH("NBIX US Equity","ADJ_EPS_EX_SBC_AMORT_TOT_INT_DIL","FQ4 2023","FQ4 2023","Currency=USD","Period=FQ","BEST_FPERIOD_OVERRIDE=FQ","FILING_STATUS=MR","Sort=A","Dates=H","DateFormat=P","Fill=—","Direction=H","UseDPDF=Y")</f>
        <v>1.5181</v>
      </c>
      <c r="X12" s="14">
        <f>_xll.BDH("NBIX US Equity","ADJ_EPS_EX_SBC_AMORT_TOT_INT_DIL","FQ1 2024","FQ1 2024","Currency=USD","Period=FQ","BEST_FPERIOD_OVERRIDE=FQ","FILING_STATUS=MR","Sort=A","Dates=H","DateFormat=P","Fill=—","Direction=H","UseDPDF=Y")</f>
        <v>0.72660000000000002</v>
      </c>
      <c r="Y12" s="14">
        <f>_xll.BDH("NBIX US Equity","ADJ_EPS_EX_SBC_AMORT_TOT_INT_DIL","FQ2 2024","FQ2 2024","Currency=USD","Period=FQ","BEST_FPERIOD_OVERRIDE=FQ","FILING_STATUS=MR","Sort=A","Dates=H","DateFormat=P","Fill=—","Direction=H","UseDPDF=Y")</f>
        <v>2.0261</v>
      </c>
      <c r="Z12" s="14">
        <f>_xll.BDH("NBIX US Equity","ADJ_EPS_EX_SBC_AMORT_TOT_INT_DIL","FQ3 2024","FQ3 2024","Currency=USD","Period=FQ","BEST_FPERIOD_OVERRIDE=FQ","FILING_STATUS=MR","Sort=A","Dates=H","DateFormat=P","Fill=—","Direction=H","UseDPDF=Y")</f>
        <v>1.8913</v>
      </c>
      <c r="AA12" s="14">
        <f>_xll.BDH("NBIX US Equity","ADJ_EPS_EX_SBC_AMORT_TOT_INT_DIL","FQ4 2024","FQ4 2024","Currency=USD","Period=FQ","BEST_FPERIOD_OVERRIDE=FQ","FILING_STATUS=MR","Sort=A","Dates=H","DateFormat=P","Fill=—","Direction=H","UseDPDF=Y")</f>
        <v>1.6964999999999999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637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638</v>
      </c>
      <c r="B15" s="10" t="s">
        <v>639</v>
      </c>
      <c r="C15" s="13">
        <f>_xll.BDH("NBIX US Equity","IS_EXPENSE_STOCK_BASED_COMP","FQ4 2018","FQ4 2018","Currency=USD","Period=FQ","BEST_FPERIOD_OVERRIDE=FQ","FILING_STATUS=MR","SCALING_FORMAT=MLN","Sort=A","Dates=H","DateFormat=P","Fill=—","Direction=H","UseDPDF=Y")</f>
        <v>13.268000000000001</v>
      </c>
      <c r="D15" s="13">
        <f>_xll.BDH("NBIX US Equity","IS_EXPENSE_STOCK_BASED_COMP","FQ1 2019","FQ1 2019","Currency=USD","Period=FQ","BEST_FPERIOD_OVERRIDE=FQ","FILING_STATUS=MR","SCALING_FORMAT=MLN","Sort=A","Dates=H","DateFormat=P","Fill=—","Direction=H","UseDPDF=Y")</f>
        <v>15.763999999999999</v>
      </c>
      <c r="E15" s="13">
        <f>_xll.BDH("NBIX US Equity","IS_EXPENSE_STOCK_BASED_COMP","FQ2 2019","FQ2 2019","Currency=USD","Period=FQ","BEST_FPERIOD_OVERRIDE=FQ","FILING_STATUS=MR","SCALING_FORMAT=MLN","Sort=A","Dates=H","DateFormat=P","Fill=—","Direction=H","UseDPDF=Y")</f>
        <v>17.931000000000001</v>
      </c>
      <c r="F15" s="13">
        <f>_xll.BDH("NBIX US Equity","IS_EXPENSE_STOCK_BASED_COMP","FQ3 2019","FQ3 2019","Currency=USD","Period=FQ","BEST_FPERIOD_OVERRIDE=FQ","FILING_STATUS=MR","SCALING_FORMAT=MLN","Sort=A","Dates=H","DateFormat=P","Fill=—","Direction=H","UseDPDF=Y")</f>
        <v>20.25</v>
      </c>
      <c r="G15" s="13">
        <f>_xll.BDH("NBIX US Equity","IS_EXPENSE_STOCK_BASED_COMP","FQ4 2019","FQ4 2019","Currency=USD","Period=FQ","BEST_FPERIOD_OVERRIDE=FQ","FILING_STATUS=MR","SCALING_FORMAT=MLN","Sort=A","Dates=H","DateFormat=P","Fill=—","Direction=H","UseDPDF=Y")</f>
        <v>21.317</v>
      </c>
      <c r="H15" s="13">
        <f>_xll.BDH("NBIX US Equity","IS_EXPENSE_STOCK_BASED_COMP","FQ1 2020","FQ1 2020","Currency=USD","Period=FQ","BEST_FPERIOD_OVERRIDE=FQ","FILING_STATUS=MR","SCALING_FORMAT=MLN","Sort=A","Dates=H","DateFormat=P","Fill=—","Direction=H","UseDPDF=Y")</f>
        <v>22.8</v>
      </c>
      <c r="I15" s="13">
        <f>_xll.BDH("NBIX US Equity","IS_EXPENSE_STOCK_BASED_COMP","FQ2 2020","FQ2 2020","Currency=USD","Period=FQ","BEST_FPERIOD_OVERRIDE=FQ","FILING_STATUS=MR","SCALING_FORMAT=MLN","Sort=A","Dates=H","DateFormat=P","Fill=—","Direction=H","UseDPDF=Y")</f>
        <v>29.5</v>
      </c>
      <c r="J15" s="13">
        <f>_xll.BDH("NBIX US Equity","IS_EXPENSE_STOCK_BASED_COMP","FQ3 2020","FQ3 2020","Currency=USD","Period=FQ","BEST_FPERIOD_OVERRIDE=FQ","FILING_STATUS=MR","SCALING_FORMAT=MLN","Sort=A","Dates=H","DateFormat=P","Fill=—","Direction=H","UseDPDF=Y")</f>
        <v>26.7</v>
      </c>
      <c r="K15" s="13">
        <f>_xll.BDH("NBIX US Equity","IS_EXPENSE_STOCK_BASED_COMP","FQ4 2020","FQ4 2020","Currency=USD","Period=FQ","BEST_FPERIOD_OVERRIDE=FQ","FILING_STATUS=MR","SCALING_FORMAT=MLN","Sort=A","Dates=H","DateFormat=P","Fill=—","Direction=H","UseDPDF=Y")</f>
        <v>21</v>
      </c>
      <c r="L15" s="13">
        <f>_xll.BDH("NBIX US Equity","IS_EXPENSE_STOCK_BASED_COMP","FQ1 2021","FQ1 2021","Currency=USD","Period=FQ","BEST_FPERIOD_OVERRIDE=FQ","FILING_STATUS=MR","SCALING_FORMAT=MLN","Sort=A","Dates=H","DateFormat=P","Fill=—","Direction=H","UseDPDF=Y")</f>
        <v>32.9</v>
      </c>
      <c r="M15" s="13">
        <f>_xll.BDH("NBIX US Equity","IS_EXPENSE_STOCK_BASED_COMP","FQ2 2021","FQ2 2021","Currency=USD","Period=FQ","BEST_FPERIOD_OVERRIDE=FQ","FILING_STATUS=MR","SCALING_FORMAT=MLN","Sort=A","Dates=H","DateFormat=P","Fill=—","Direction=H","UseDPDF=Y")</f>
        <v>28.6</v>
      </c>
      <c r="N15" s="13">
        <f>_xll.BDH("NBIX US Equity","IS_EXPENSE_STOCK_BASED_COMP","FQ3 2021","FQ3 2021","Currency=USD","Period=FQ","BEST_FPERIOD_OVERRIDE=FQ","FILING_STATUS=MR","SCALING_FORMAT=MLN","Sort=A","Dates=H","DateFormat=P","Fill=—","Direction=H","UseDPDF=Y")</f>
        <v>37.1</v>
      </c>
      <c r="O15" s="13">
        <f>_xll.BDH("NBIX US Equity","IS_EXPENSE_STOCK_BASED_COMP","FQ4 2021","FQ4 2021","Currency=USD","Period=FQ","BEST_FPERIOD_OVERRIDE=FQ","FILING_STATUS=MR","SCALING_FORMAT=MLN","Sort=A","Dates=H","DateFormat=P","Fill=—","Direction=H","UseDPDF=Y")</f>
        <v>35.6</v>
      </c>
      <c r="P15" s="13">
        <f>_xll.BDH("NBIX US Equity","IS_EXPENSE_STOCK_BASED_COMP","FQ1 2022","FQ1 2022","Currency=USD","Period=FQ","BEST_FPERIOD_OVERRIDE=FQ","FILING_STATUS=MR","SCALING_FORMAT=MLN","Sort=A","Dates=H","DateFormat=P","Fill=—","Direction=H","UseDPDF=Y")</f>
        <v>37</v>
      </c>
      <c r="Q15" s="13">
        <f>_xll.BDH("NBIX US Equity","IS_EXPENSE_STOCK_BASED_COMP","FQ2 2022","FQ2 2022","Currency=USD","Period=FQ","BEST_FPERIOD_OVERRIDE=FQ","FILING_STATUS=MR","SCALING_FORMAT=MLN","Sort=A","Dates=H","DateFormat=P","Fill=—","Direction=H","UseDPDF=Y")</f>
        <v>49.5</v>
      </c>
      <c r="R15" s="13">
        <f>_xll.BDH("NBIX US Equity","IS_EXPENSE_STOCK_BASED_COMP","FQ3 2022","FQ3 2022","Currency=USD","Period=FQ","BEST_FPERIOD_OVERRIDE=FQ","FILING_STATUS=MR","SCALING_FORMAT=MLN","Sort=A","Dates=H","DateFormat=P","Fill=—","Direction=H","UseDPDF=Y")</f>
        <v>43.1</v>
      </c>
      <c r="S15" s="13">
        <f>_xll.BDH("NBIX US Equity","IS_EXPENSE_STOCK_BASED_COMP","FQ4 2022","FQ4 2022","Currency=USD","Period=FQ","BEST_FPERIOD_OVERRIDE=FQ","FILING_STATUS=MR","SCALING_FORMAT=MLN","Sort=A","Dates=H","DateFormat=P","Fill=—","Direction=H","UseDPDF=Y")</f>
        <v>43.5</v>
      </c>
      <c r="T15" s="13">
        <f>_xll.BDH("NBIX US Equity","IS_EXPENSE_STOCK_BASED_COMP","FQ1 2023","FQ1 2023","Currency=USD","Period=FQ","BEST_FPERIOD_OVERRIDE=FQ","FILING_STATUS=MR","SCALING_FORMAT=MLN","Sort=A","Dates=H","DateFormat=P","Fill=—","Direction=H","UseDPDF=Y")</f>
        <v>39.9</v>
      </c>
      <c r="U15" s="13">
        <f>_xll.BDH("NBIX US Equity","IS_EXPENSE_STOCK_BASED_COMP","FQ2 2023","FQ2 2023","Currency=USD","Period=FQ","BEST_FPERIOD_OVERRIDE=FQ","FILING_STATUS=MR","SCALING_FORMAT=MLN","Sort=A","Dates=H","DateFormat=P","Fill=—","Direction=H","UseDPDF=Y")</f>
        <v>68.5</v>
      </c>
      <c r="V15" s="13">
        <f>_xll.BDH("NBIX US Equity","IS_EXPENSE_STOCK_BASED_COMP","FQ3 2023","FQ3 2023","Currency=USD","Period=FQ","BEST_FPERIOD_OVERRIDE=FQ","FILING_STATUS=MR","SCALING_FORMAT=MLN","Sort=A","Dates=H","DateFormat=P","Fill=—","Direction=H","UseDPDF=Y")</f>
        <v>47.8</v>
      </c>
      <c r="W15" s="13">
        <f>_xll.BDH("NBIX US Equity","IS_EXPENSE_STOCK_BASED_COMP","FQ4 2023","FQ4 2023","Currency=USD","Period=FQ","BEST_FPERIOD_OVERRIDE=FQ","FILING_STATUS=MR","SCALING_FORMAT=MLN","Sort=A","Dates=H","DateFormat=P","Fill=—","Direction=H","UseDPDF=Y")</f>
        <v>38.1</v>
      </c>
      <c r="X15" s="13">
        <f>_xll.BDH("NBIX US Equity","IS_EXPENSE_STOCK_BASED_COMP","FQ1 2024","FQ1 2024","Currency=USD","Period=FQ","BEST_FPERIOD_OVERRIDE=FQ","FILING_STATUS=MR","SCALING_FORMAT=MLN","Sort=A","Dates=H","DateFormat=P","Fill=—","Direction=H","UseDPDF=Y")</f>
        <v>44.5</v>
      </c>
      <c r="Y15" s="13">
        <f>_xll.BDH("NBIX US Equity","IS_EXPENSE_STOCK_BASED_COMP","FQ2 2024","FQ2 2024","Currency=USD","Period=FQ","BEST_FPERIOD_OVERRIDE=FQ","FILING_STATUS=MR","SCALING_FORMAT=MLN","Sort=A","Dates=H","DateFormat=P","Fill=—","Direction=H","UseDPDF=Y")</f>
        <v>43.1</v>
      </c>
      <c r="Z15" s="13">
        <f>_xll.BDH("NBIX US Equity","IS_EXPENSE_STOCK_BASED_COMP","FQ3 2024","FQ3 2024","Currency=USD","Period=FQ","BEST_FPERIOD_OVERRIDE=FQ","FILING_STATUS=MR","SCALING_FORMAT=MLN","Sort=A","Dates=H","DateFormat=P","Fill=—","Direction=H","UseDPDF=Y")</f>
        <v>41.5</v>
      </c>
      <c r="AA15" s="13">
        <f>_xll.BDH("NBIX US Equity","IS_EXPENSE_STOCK_BASED_COMP","FQ4 2024","FQ4 2024","Currency=USD","Period=FQ","BEST_FPERIOD_OVERRIDE=FQ","FILING_STATUS=MR","SCALING_FORMAT=MLN","Sort=A","Dates=H","DateFormat=P","Fill=—","Direction=H","UseDPDF=Y")</f>
        <v>66.400000000000006</v>
      </c>
    </row>
    <row r="16" spans="1:27" x14ac:dyDescent="0.25">
      <c r="A16" s="10" t="s">
        <v>640</v>
      </c>
      <c r="B16" s="10" t="s">
        <v>641</v>
      </c>
      <c r="C16" s="13">
        <f>_xll.BDH("NBIX US Equity","IS_STK_BASED_COMP_AFT_TAX","FQ4 2018","FQ4 2018","Currency=USD","Period=FQ","BEST_FPERIOD_OVERRIDE=FQ","FILING_STATUS=MR","SCALING_FORMAT=MLN","Sort=A","Dates=H","DateFormat=P","Fill=—","Direction=H","UseDPDF=Y")</f>
        <v>10.4817</v>
      </c>
      <c r="D16" s="13">
        <f>_xll.BDH("NBIX US Equity","IS_STK_BASED_COMP_AFT_TAX","FQ1 2019","FQ1 2019","Currency=USD","Period=FQ","BEST_FPERIOD_OVERRIDE=FQ","FILING_STATUS=MR","SCALING_FORMAT=MLN","Sort=A","Dates=H","DateFormat=P","Fill=—","Direction=H","UseDPDF=Y")</f>
        <v>12.4536</v>
      </c>
      <c r="E16" s="13">
        <f>_xll.BDH("NBIX US Equity","IS_STK_BASED_COMP_AFT_TAX","FQ2 2019","FQ2 2019","Currency=USD","Period=FQ","BEST_FPERIOD_OVERRIDE=FQ","FILING_STATUS=MR","SCALING_FORMAT=MLN","Sort=A","Dates=H","DateFormat=P","Fill=—","Direction=H","UseDPDF=Y")</f>
        <v>14.1655</v>
      </c>
      <c r="F16" s="13">
        <f>_xll.BDH("NBIX US Equity","IS_STK_BASED_COMP_AFT_TAX","FQ3 2019","FQ3 2019","Currency=USD","Period=FQ","BEST_FPERIOD_OVERRIDE=FQ","FILING_STATUS=MR","SCALING_FORMAT=MLN","Sort=A","Dates=H","DateFormat=P","Fill=—","Direction=H","UseDPDF=Y")</f>
        <v>15.9975</v>
      </c>
      <c r="G16" s="13">
        <f>_xll.BDH("NBIX US Equity","IS_STK_BASED_COMP_AFT_TAX","FQ4 2019","FQ4 2019","Currency=USD","Period=FQ","BEST_FPERIOD_OVERRIDE=FQ","FILING_STATUS=MR","SCALING_FORMAT=MLN","Sort=A","Dates=H","DateFormat=P","Fill=—","Direction=H","UseDPDF=Y")</f>
        <v>21.053000000000001</v>
      </c>
      <c r="H16" s="13">
        <f>_xll.BDH("NBIX US Equity","IS_STK_BASED_COMP_AFT_TAX","FQ1 2020","FQ1 2020","Currency=USD","Period=FQ","BEST_FPERIOD_OVERRIDE=FQ","FILING_STATUS=MR","SCALING_FORMAT=MLN","Sort=A","Dates=H","DateFormat=P","Fill=—","Direction=H","UseDPDF=Y")</f>
        <v>21.9575</v>
      </c>
      <c r="I16" s="13">
        <f>_xll.BDH("NBIX US Equity","IS_STK_BASED_COMP_AFT_TAX","FQ2 2020","FQ2 2020","Currency=USD","Period=FQ","BEST_FPERIOD_OVERRIDE=FQ","FILING_STATUS=MR","SCALING_FORMAT=MLN","Sort=A","Dates=H","DateFormat=P","Fill=—","Direction=H","UseDPDF=Y")</f>
        <v>29.450500000000002</v>
      </c>
      <c r="J16" s="13">
        <f>_xll.BDH("NBIX US Equity","IS_STK_BASED_COMP_AFT_TAX","FQ3 2020","FQ3 2020","Currency=USD","Period=FQ","BEST_FPERIOD_OVERRIDE=FQ","FILING_STATUS=MR","SCALING_FORMAT=MLN","Sort=A","Dates=H","DateFormat=P","Fill=—","Direction=H","UseDPDF=Y")</f>
        <v>26.0885</v>
      </c>
      <c r="K16" s="13">
        <f>_xll.BDH("NBIX US Equity","IS_STK_BASED_COMP_AFT_TAX","FQ4 2020","FQ4 2020","Currency=USD","Period=FQ","BEST_FPERIOD_OVERRIDE=FQ","FILING_STATUS=MR","SCALING_FORMAT=MLN","Sort=A","Dates=H","DateFormat=P","Fill=—","Direction=H","UseDPDF=Y")</f>
        <v>-110.89019999999999</v>
      </c>
      <c r="L16" s="13">
        <f>_xll.BDH("NBIX US Equity","IS_STK_BASED_COMP_AFT_TAX","FQ1 2021","FQ1 2021","Currency=USD","Period=FQ","BEST_FPERIOD_OVERRIDE=FQ","FILING_STATUS=MR","SCALING_FORMAT=MLN","Sort=A","Dates=H","DateFormat=P","Fill=—","Direction=H","UseDPDF=Y")</f>
        <v>14.7258</v>
      </c>
      <c r="M16" s="13">
        <f>_xll.BDH("NBIX US Equity","IS_STK_BASED_COMP_AFT_TAX","FQ2 2021","FQ2 2021","Currency=USD","Period=FQ","BEST_FPERIOD_OVERRIDE=FQ","FILING_STATUS=MR","SCALING_FORMAT=MLN","Sort=A","Dates=H","DateFormat=P","Fill=—","Direction=H","UseDPDF=Y")</f>
        <v>25.157399999999999</v>
      </c>
      <c r="N16" s="13">
        <f>_xll.BDH("NBIX US Equity","IS_STK_BASED_COMP_AFT_TAX","FQ3 2021","FQ3 2021","Currency=USD","Period=FQ","BEST_FPERIOD_OVERRIDE=FQ","FILING_STATUS=MR","SCALING_FORMAT=MLN","Sort=A","Dates=H","DateFormat=P","Fill=—","Direction=H","UseDPDF=Y")</f>
        <v>29.933800000000002</v>
      </c>
      <c r="O16" s="13">
        <f>_xll.BDH("NBIX US Equity","IS_STK_BASED_COMP_AFT_TAX","FQ4 2021","FQ4 2021","Currency=USD","Period=FQ","BEST_FPERIOD_OVERRIDE=FQ","FILING_STATUS=MR","SCALING_FORMAT=MLN","Sort=A","Dates=H","DateFormat=P","Fill=—","Direction=H","UseDPDF=Y")</f>
        <v>28.123999999999999</v>
      </c>
      <c r="P16" s="13">
        <f>_xll.BDH("NBIX US Equity","IS_STK_BASED_COMP_AFT_TAX","FQ1 2022","FQ1 2022","Currency=USD","Period=FQ","BEST_FPERIOD_OVERRIDE=FQ","FILING_STATUS=MR","SCALING_FORMAT=MLN","Sort=A","Dates=H","DateFormat=P","Fill=—","Direction=H","UseDPDF=Y")</f>
        <v>33.405700000000003</v>
      </c>
      <c r="Q16" s="13">
        <f>_xll.BDH("NBIX US Equity","IS_STK_BASED_COMP_AFT_TAX","FQ2 2022","FQ2 2022","Currency=USD","Period=FQ","BEST_FPERIOD_OVERRIDE=FQ","FILING_STATUS=MR","SCALING_FORMAT=MLN","Sort=A","Dates=H","DateFormat=P","Fill=—","Direction=H","UseDPDF=Y")</f>
        <v>38.495699999999999</v>
      </c>
      <c r="R16" s="13">
        <f>_xll.BDH("NBIX US Equity","IS_STK_BASED_COMP_AFT_TAX","FQ3 2022","FQ3 2022","Currency=USD","Period=FQ","BEST_FPERIOD_OVERRIDE=FQ","FILING_STATUS=MR","SCALING_FORMAT=MLN","Sort=A","Dates=H","DateFormat=P","Fill=—","Direction=H","UseDPDF=Y")</f>
        <v>46.247799999999998</v>
      </c>
      <c r="S16" s="13">
        <f>_xll.BDH("NBIX US Equity","IS_STK_BASED_COMP_AFT_TAX","FQ4 2022","FQ4 2022","Currency=USD","Period=FQ","BEST_FPERIOD_OVERRIDE=FQ","FILING_STATUS=MR","SCALING_FORMAT=MLN","Sort=A","Dates=H","DateFormat=P","Fill=—","Direction=H","UseDPDF=Y")</f>
        <v>41.746000000000002</v>
      </c>
      <c r="T16" s="13">
        <f>_xll.BDH("NBIX US Equity","IS_STK_BASED_COMP_AFT_TAX","FQ1 2023","FQ1 2023","Currency=USD","Period=FQ","BEST_FPERIOD_OVERRIDE=FQ","FILING_STATUS=MR","SCALING_FORMAT=MLN","Sort=A","Dates=H","DateFormat=P","Fill=—","Direction=H","UseDPDF=Y")</f>
        <v>26.568300000000001</v>
      </c>
      <c r="U16" s="13">
        <f>_xll.BDH("NBIX US Equity","IS_STK_BASED_COMP_AFT_TAX","FQ2 2023","FQ2 2023","Currency=USD","Period=FQ","BEST_FPERIOD_OVERRIDE=FQ","FILING_STATUS=MR","SCALING_FORMAT=MLN","Sort=A","Dates=H","DateFormat=P","Fill=—","Direction=H","UseDPDF=Y")</f>
        <v>64.046400000000006</v>
      </c>
      <c r="V16" s="13">
        <f>_xll.BDH("NBIX US Equity","IS_STK_BASED_COMP_AFT_TAX","FQ3 2023","FQ3 2023","Currency=USD","Period=FQ","BEST_FPERIOD_OVERRIDE=FQ","FILING_STATUS=MR","SCALING_FORMAT=MLN","Sort=A","Dates=H","DateFormat=P","Fill=—","Direction=H","UseDPDF=Y")</f>
        <v>37.85</v>
      </c>
      <c r="W16" s="13">
        <f>_xll.BDH("NBIX US Equity","IS_STK_BASED_COMP_AFT_TAX","FQ4 2023","FQ4 2023","Currency=USD","Period=FQ","BEST_FPERIOD_OVERRIDE=FQ","FILING_STATUS=MR","SCALING_FORMAT=MLN","Sort=A","Dates=H","DateFormat=P","Fill=—","Direction=H","UseDPDF=Y")</f>
        <v>30.099</v>
      </c>
      <c r="X16" s="13">
        <f>_xll.BDH("NBIX US Equity","IS_STK_BASED_COMP_AFT_TAX","FQ1 2024","FQ1 2024","Currency=USD","Period=FQ","BEST_FPERIOD_OVERRIDE=FQ","FILING_STATUS=MR","SCALING_FORMAT=MLN","Sort=A","Dates=H","DateFormat=P","Fill=—","Direction=H","UseDPDF=Y")</f>
        <v>27.296900000000001</v>
      </c>
      <c r="Y16" s="13">
        <f>_xll.BDH("NBIX US Equity","IS_STK_BASED_COMP_AFT_TAX","FQ2 2024","FQ2 2024","Currency=USD","Period=FQ","BEST_FPERIOD_OVERRIDE=FQ","FILING_STATUS=MR","SCALING_FORMAT=MLN","Sort=A","Dates=H","DateFormat=P","Fill=—","Direction=H","UseDPDF=Y")</f>
        <v>35.067300000000003</v>
      </c>
      <c r="Z16" s="13">
        <f>_xll.BDH("NBIX US Equity","IS_STK_BASED_COMP_AFT_TAX","FQ3 2024","FQ3 2024","Currency=USD","Period=FQ","BEST_FPERIOD_OVERRIDE=FQ","FILING_STATUS=MR","SCALING_FORMAT=MLN","Sort=A","Dates=H","DateFormat=P","Fill=—","Direction=H","UseDPDF=Y")</f>
        <v>39.598700000000001</v>
      </c>
      <c r="AA16" s="13">
        <f>_xll.BDH("NBIX US Equity","IS_STK_BASED_COMP_AFT_TAX","FQ4 2024","FQ4 2024","Currency=USD","Period=FQ","BEST_FPERIOD_OVERRIDE=FQ","FILING_STATUS=MR","SCALING_FORMAT=MLN","Sort=A","Dates=H","DateFormat=P","Fill=—","Direction=H","UseDPDF=Y")</f>
        <v>66.494600000000005</v>
      </c>
    </row>
    <row r="17" spans="1:27" x14ac:dyDescent="0.25">
      <c r="A17" s="10" t="s">
        <v>642</v>
      </c>
      <c r="B17" s="10" t="s">
        <v>643</v>
      </c>
      <c r="C17" s="14">
        <f>_xll.BDH("NBIX US Equity","IS_STK_BASED_COMP_PER_BAS_SH","FQ4 2018","FQ4 2018","Currency=USD","Period=FQ","BEST_FPERIOD_OVERRIDE=FQ","FILING_STATUS=MR","Sort=A","Dates=H","DateFormat=P","Fill=—","Direction=H","UseDPDF=Y")</f>
        <v>0.11550000000000001</v>
      </c>
      <c r="D17" s="14">
        <f>_xll.BDH("NBIX US Equity","IS_STK_BASED_COMP_PER_BAS_SH","FQ1 2019","FQ1 2019","Currency=USD","Period=FQ","BEST_FPERIOD_OVERRIDE=FQ","FILING_STATUS=MR","Sort=A","Dates=H","DateFormat=P","Fill=—","Direction=H","UseDPDF=Y")</f>
        <v>0.1368</v>
      </c>
      <c r="E17" s="14">
        <f>_xll.BDH("NBIX US Equity","IS_STK_BASED_COMP_PER_BAS_SH","FQ2 2019","FQ2 2019","Currency=USD","Period=FQ","BEST_FPERIOD_OVERRIDE=FQ","FILING_STATUS=MR","Sort=A","Dates=H","DateFormat=P","Fill=—","Direction=H","UseDPDF=Y")</f>
        <v>0.155</v>
      </c>
      <c r="F17" s="14">
        <f>_xll.BDH("NBIX US Equity","IS_STK_BASED_COMP_PER_BAS_SH","FQ3 2019","FQ3 2019","Currency=USD","Period=FQ","BEST_FPERIOD_OVERRIDE=FQ","FILING_STATUS=MR","Sort=A","Dates=H","DateFormat=P","Fill=—","Direction=H","UseDPDF=Y")</f>
        <v>0.17419999999999999</v>
      </c>
      <c r="G17" s="14">
        <f>_xll.BDH("NBIX US Equity","IS_STK_BASED_COMP_PER_BAS_SH","FQ4 2019","FQ4 2019","Currency=USD","Period=FQ","BEST_FPERIOD_OVERRIDE=FQ","FILING_STATUS=MR","Sort=A","Dates=H","DateFormat=P","Fill=—","Direction=H","UseDPDF=Y")</f>
        <v>0.2283</v>
      </c>
      <c r="H17" s="14">
        <f>_xll.BDH("NBIX US Equity","IS_STK_BASED_COMP_PER_BAS_SH","FQ1 2020","FQ1 2020","Currency=USD","Period=FQ","BEST_FPERIOD_OVERRIDE=FQ","FILING_STATUS=MR","Sort=A","Dates=H","DateFormat=P","Fill=—","Direction=H","UseDPDF=Y")</f>
        <v>0.23710000000000001</v>
      </c>
      <c r="I17" s="14">
        <f>_xll.BDH("NBIX US Equity","IS_STK_BASED_COMP_PER_BAS_SH","FQ2 2020","FQ2 2020","Currency=USD","Period=FQ","BEST_FPERIOD_OVERRIDE=FQ","FILING_STATUS=MR","Sort=A","Dates=H","DateFormat=P","Fill=—","Direction=H","UseDPDF=Y")</f>
        <v>0.31669999999999998</v>
      </c>
      <c r="J17" s="14">
        <f>_xll.BDH("NBIX US Equity","IS_STK_BASED_COMP_PER_BAS_SH","FQ3 2020","FQ3 2020","Currency=USD","Period=FQ","BEST_FPERIOD_OVERRIDE=FQ","FILING_STATUS=MR","Sort=A","Dates=H","DateFormat=P","Fill=—","Direction=H","UseDPDF=Y")</f>
        <v>0.27960000000000002</v>
      </c>
      <c r="K17" s="14">
        <f>_xll.BDH("NBIX US Equity","IS_STK_BASED_COMP_PER_BAS_SH","FQ4 2020","FQ4 2020","Currency=USD","Period=FQ","BEST_FPERIOD_OVERRIDE=FQ","FILING_STATUS=MR","Sort=A","Dates=H","DateFormat=P","Fill=—","Direction=H","UseDPDF=Y")</f>
        <v>-1.1859999999999999</v>
      </c>
      <c r="L17" s="14">
        <f>_xll.BDH("NBIX US Equity","IS_STK_BASED_COMP_PER_BAS_SH","FQ1 2021","FQ1 2021","Currency=USD","Period=FQ","BEST_FPERIOD_OVERRIDE=FQ","FILING_STATUS=MR","Sort=A","Dates=H","DateFormat=P","Fill=—","Direction=H","UseDPDF=Y")</f>
        <v>0.15629999999999999</v>
      </c>
      <c r="M17" s="14">
        <f>_xll.BDH("NBIX US Equity","IS_STK_BASED_COMP_PER_BAS_SH","FQ2 2021","FQ2 2021","Currency=USD","Period=FQ","BEST_FPERIOD_OVERRIDE=FQ","FILING_STATUS=MR","Sort=A","Dates=H","DateFormat=P","Fill=—","Direction=H","UseDPDF=Y")</f>
        <v>0.26590000000000003</v>
      </c>
      <c r="N17" s="14">
        <f>_xll.BDH("NBIX US Equity","IS_STK_BASED_COMP_PER_BAS_SH","FQ3 2021","FQ3 2021","Currency=USD","Period=FQ","BEST_FPERIOD_OVERRIDE=FQ","FILING_STATUS=MR","Sort=A","Dates=H","DateFormat=P","Fill=—","Direction=H","UseDPDF=Y")</f>
        <v>0.31609999999999999</v>
      </c>
      <c r="O17" s="14">
        <f>_xll.BDH("NBIX US Equity","IS_STK_BASED_COMP_PER_BAS_SH","FQ4 2021","FQ4 2021","Currency=USD","Period=FQ","BEST_FPERIOD_OVERRIDE=FQ","FILING_STATUS=MR","Sort=A","Dates=H","DateFormat=P","Fill=—","Direction=H","UseDPDF=Y")</f>
        <v>0.2964</v>
      </c>
      <c r="P17" s="14">
        <f>_xll.BDH("NBIX US Equity","IS_STK_BASED_COMP_PER_BAS_SH","FQ1 2022","FQ1 2022","Currency=USD","Period=FQ","BEST_FPERIOD_OVERRIDE=FQ","FILING_STATUS=MR","Sort=A","Dates=H","DateFormat=P","Fill=—","Direction=H","UseDPDF=Y")</f>
        <v>0.35049999999999998</v>
      </c>
      <c r="Q17" s="14">
        <f>_xll.BDH("NBIX US Equity","IS_STK_BASED_COMP_PER_BAS_SH","FQ2 2022","FQ2 2022","Currency=USD","Period=FQ","BEST_FPERIOD_OVERRIDE=FQ","FILING_STATUS=MR","Sort=A","Dates=H","DateFormat=P","Fill=—","Direction=H","UseDPDF=Y")</f>
        <v>0.4027</v>
      </c>
      <c r="R17" s="14">
        <f>_xll.BDH("NBIX US Equity","IS_STK_BASED_COMP_PER_BAS_SH","FQ3 2022","FQ3 2022","Currency=USD","Period=FQ","BEST_FPERIOD_OVERRIDE=FQ","FILING_STATUS=MR","Sort=A","Dates=H","DateFormat=P","Fill=—","Direction=H","UseDPDF=Y")</f>
        <v>0.48280000000000001</v>
      </c>
      <c r="S17" s="14">
        <f>_xll.BDH("NBIX US Equity","IS_STK_BASED_COMP_PER_BAS_SH","FQ4 2022","FQ4 2022","Currency=USD","Period=FQ","BEST_FPERIOD_OVERRIDE=FQ","FILING_STATUS=MR","Sort=A","Dates=H","DateFormat=P","Fill=—","Direction=H","UseDPDF=Y")</f>
        <v>0.4335</v>
      </c>
      <c r="T17" s="14">
        <f>_xll.BDH("NBIX US Equity","IS_STK_BASED_COMP_PER_BAS_SH","FQ1 2023","FQ1 2023","Currency=USD","Period=FQ","BEST_FPERIOD_OVERRIDE=FQ","FILING_STATUS=MR","Sort=A","Dates=H","DateFormat=P","Fill=—","Direction=H","UseDPDF=Y")</f>
        <v>0.27360000000000001</v>
      </c>
      <c r="U17" s="14">
        <f>_xll.BDH("NBIX US Equity","IS_STK_BASED_COMP_PER_BAS_SH","FQ2 2023","FQ2 2023","Currency=USD","Period=FQ","BEST_FPERIOD_OVERRIDE=FQ","FILING_STATUS=MR","Sort=A","Dates=H","DateFormat=P","Fill=—","Direction=H","UseDPDF=Y")</f>
        <v>0.65620000000000001</v>
      </c>
      <c r="V17" s="14">
        <f>_xll.BDH("NBIX US Equity","IS_STK_BASED_COMP_PER_BAS_SH","FQ3 2023","FQ3 2023","Currency=USD","Period=FQ","BEST_FPERIOD_OVERRIDE=FQ","FILING_STATUS=MR","Sort=A","Dates=H","DateFormat=P","Fill=—","Direction=H","UseDPDF=Y")</f>
        <v>0.3866</v>
      </c>
      <c r="W17" s="14">
        <f>_xll.BDH("NBIX US Equity","IS_STK_BASED_COMP_PER_BAS_SH","FQ4 2023","FQ4 2023","Currency=USD","Period=FQ","BEST_FPERIOD_OVERRIDE=FQ","FILING_STATUS=MR","Sort=A","Dates=H","DateFormat=P","Fill=—","Direction=H","UseDPDF=Y")</f>
        <v>0.30590000000000001</v>
      </c>
      <c r="X17" s="14">
        <f>_xll.BDH("NBIX US Equity","IS_STK_BASED_COMP_PER_BAS_SH","FQ1 2024","FQ1 2024","Currency=USD","Period=FQ","BEST_FPERIOD_OVERRIDE=FQ","FILING_STATUS=MR","Sort=A","Dates=H","DateFormat=P","Fill=—","Direction=H","UseDPDF=Y")</f>
        <v>0.27350000000000002</v>
      </c>
      <c r="Y17" s="14">
        <f>_xll.BDH("NBIX US Equity","IS_STK_BASED_COMP_PER_BAS_SH","FQ2 2024","FQ2 2024","Currency=USD","Period=FQ","BEST_FPERIOD_OVERRIDE=FQ","FILING_STATUS=MR","Sort=A","Dates=H","DateFormat=P","Fill=—","Direction=H","UseDPDF=Y")</f>
        <v>0.34789999999999999</v>
      </c>
      <c r="Z17" s="14">
        <f>_xll.BDH("NBIX US Equity","IS_STK_BASED_COMP_PER_BAS_SH","FQ3 2024","FQ3 2024","Currency=USD","Period=FQ","BEST_FPERIOD_OVERRIDE=FQ","FILING_STATUS=MR","Sort=A","Dates=H","DateFormat=P","Fill=—","Direction=H","UseDPDF=Y")</f>
        <v>0.39169999999999999</v>
      </c>
      <c r="AA17" s="14">
        <f>_xll.BDH("NBIX US Equity","IS_STK_BASED_COMP_PER_BAS_SH","FQ4 2024","FQ4 2024","Currency=USD","Period=FQ","BEST_FPERIOD_OVERRIDE=FQ","FILING_STATUS=MR","Sort=A","Dates=H","DateFormat=P","Fill=—","Direction=H","UseDPDF=Y")</f>
        <v>0.66490000000000005</v>
      </c>
    </row>
    <row r="18" spans="1:27" x14ac:dyDescent="0.25">
      <c r="A18" s="10" t="s">
        <v>644</v>
      </c>
      <c r="B18" s="10" t="s">
        <v>645</v>
      </c>
      <c r="C18" s="14">
        <f>_xll.BDH("NBIX US Equity","IS_STK_BASED_COMP_PER_DIL_SH","FQ4 2018","FQ4 2018","Currency=USD","Period=FQ","BEST_FPERIOD_OVERRIDE=FQ","FILING_STATUS=MR","Sort=A","Dates=H","DateFormat=P","Fill=—","Direction=H","UseDPDF=Y")</f>
        <v>0.1095</v>
      </c>
      <c r="D18" s="14">
        <f>_xll.BDH("NBIX US Equity","IS_STK_BASED_COMP_PER_DIL_SH","FQ1 2019","FQ1 2019","Currency=USD","Period=FQ","BEST_FPERIOD_OVERRIDE=FQ","FILING_STATUS=MR","Sort=A","Dates=H","DateFormat=P","Fill=—","Direction=H","UseDPDF=Y")</f>
        <v>0.1368</v>
      </c>
      <c r="E18" s="14">
        <f>_xll.BDH("NBIX US Equity","IS_STK_BASED_COMP_PER_DIL_SH","FQ2 2019","FQ2 2019","Currency=USD","Period=FQ","BEST_FPERIOD_OVERRIDE=FQ","FILING_STATUS=MR","Sort=A","Dates=H","DateFormat=P","Fill=—","Direction=H","UseDPDF=Y")</f>
        <v>0.14949999999999999</v>
      </c>
      <c r="F18" s="14">
        <f>_xll.BDH("NBIX US Equity","IS_STK_BASED_COMP_PER_DIL_SH","FQ3 2019","FQ3 2019","Currency=USD","Period=FQ","BEST_FPERIOD_OVERRIDE=FQ","FILING_STATUS=MR","Sort=A","Dates=H","DateFormat=P","Fill=—","Direction=H","UseDPDF=Y")</f>
        <v>0.16650000000000001</v>
      </c>
      <c r="G18" s="14">
        <f>_xll.BDH("NBIX US Equity","IS_STK_BASED_COMP_PER_DIL_SH","FQ4 2019","FQ4 2019","Currency=USD","Period=FQ","BEST_FPERIOD_OVERRIDE=FQ","FILING_STATUS=MR","Sort=A","Dates=H","DateFormat=P","Fill=—","Direction=H","UseDPDF=Y")</f>
        <v>0.21659999999999999</v>
      </c>
      <c r="H18" s="14">
        <f>_xll.BDH("NBIX US Equity","IS_STK_BASED_COMP_PER_DIL_SH","FQ1 2020","FQ1 2020","Currency=USD","Period=FQ","BEST_FPERIOD_OVERRIDE=FQ","FILING_STATUS=MR","Sort=A","Dates=H","DateFormat=P","Fill=—","Direction=H","UseDPDF=Y")</f>
        <v>0.22639999999999999</v>
      </c>
      <c r="I18" s="14">
        <f>_xll.BDH("NBIX US Equity","IS_STK_BASED_COMP_PER_DIL_SH","FQ2 2020","FQ2 2020","Currency=USD","Period=FQ","BEST_FPERIOD_OVERRIDE=FQ","FILING_STATUS=MR","Sort=A","Dates=H","DateFormat=P","Fill=—","Direction=H","UseDPDF=Y")</f>
        <v>0.2999</v>
      </c>
      <c r="J18" s="14">
        <f>_xll.BDH("NBIX US Equity","IS_STK_BASED_COMP_PER_DIL_SH","FQ3 2020","FQ3 2020","Currency=USD","Period=FQ","BEST_FPERIOD_OVERRIDE=FQ","FILING_STATUS=MR","Sort=A","Dates=H","DateFormat=P","Fill=—","Direction=H","UseDPDF=Y")</f>
        <v>0.27960000000000002</v>
      </c>
      <c r="K18" s="14">
        <f>_xll.BDH("NBIX US Equity","IS_STK_BASED_COMP_PER_DIL_SH","FQ4 2020","FQ4 2020","Currency=USD","Period=FQ","BEST_FPERIOD_OVERRIDE=FQ","FILING_STATUS=MR","Sort=A","Dates=H","DateFormat=P","Fill=—","Direction=H","UseDPDF=Y")</f>
        <v>-1.1408</v>
      </c>
      <c r="L18" s="14">
        <f>_xll.BDH("NBIX US Equity","IS_STK_BASED_COMP_PER_DIL_SH","FQ1 2021","FQ1 2021","Currency=USD","Period=FQ","BEST_FPERIOD_OVERRIDE=FQ","FILING_STATUS=MR","Sort=A","Dates=H","DateFormat=P","Fill=—","Direction=H","UseDPDF=Y")</f>
        <v>0.15</v>
      </c>
      <c r="M18" s="14">
        <f>_xll.BDH("NBIX US Equity","IS_STK_BASED_COMP_PER_DIL_SH","FQ2 2021","FQ2 2021","Currency=USD","Period=FQ","BEST_FPERIOD_OVERRIDE=FQ","FILING_STATUS=MR","Sort=A","Dates=H","DateFormat=P","Fill=—","Direction=H","UseDPDF=Y")</f>
        <v>0.25750000000000001</v>
      </c>
      <c r="N18" s="14">
        <f>_xll.BDH("NBIX US Equity","IS_STK_BASED_COMP_PER_DIL_SH","FQ3 2021","FQ3 2021","Currency=USD","Period=FQ","BEST_FPERIOD_OVERRIDE=FQ","FILING_STATUS=MR","Sort=A","Dates=H","DateFormat=P","Fill=—","Direction=H","UseDPDF=Y")</f>
        <v>0.30640000000000001</v>
      </c>
      <c r="O18" s="14">
        <f>_xll.BDH("NBIX US Equity","IS_STK_BASED_COMP_PER_DIL_SH","FQ4 2021","FQ4 2021","Currency=USD","Period=FQ","BEST_FPERIOD_OVERRIDE=FQ","FILING_STATUS=MR","Sort=A","Dates=H","DateFormat=P","Fill=—","Direction=H","UseDPDF=Y")</f>
        <v>0.2964</v>
      </c>
      <c r="P18" s="14">
        <f>_xll.BDH("NBIX US Equity","IS_STK_BASED_COMP_PER_DIL_SH","FQ1 2022","FQ1 2022","Currency=USD","Period=FQ","BEST_FPERIOD_OVERRIDE=FQ","FILING_STATUS=MR","Sort=A","Dates=H","DateFormat=P","Fill=—","Direction=H","UseDPDF=Y")</f>
        <v>0.34229999999999999</v>
      </c>
      <c r="Q18" s="14">
        <f>_xll.BDH("NBIX US Equity","IS_STK_BASED_COMP_PER_DIL_SH","FQ2 2022","FQ2 2022","Currency=USD","Period=FQ","BEST_FPERIOD_OVERRIDE=FQ","FILING_STATUS=MR","Sort=A","Dates=H","DateFormat=P","Fill=—","Direction=H","UseDPDF=Y")</f>
        <v>0.4027</v>
      </c>
      <c r="R18" s="14">
        <f>_xll.BDH("NBIX US Equity","IS_STK_BASED_COMP_PER_DIL_SH","FQ3 2022","FQ3 2022","Currency=USD","Period=FQ","BEST_FPERIOD_OVERRIDE=FQ","FILING_STATUS=MR","Sort=A","Dates=H","DateFormat=P","Fill=—","Direction=H","UseDPDF=Y")</f>
        <v>0.46710000000000002</v>
      </c>
      <c r="S18" s="14">
        <f>_xll.BDH("NBIX US Equity","IS_STK_BASED_COMP_PER_DIL_SH","FQ4 2022","FQ4 2022","Currency=USD","Period=FQ","BEST_FPERIOD_OVERRIDE=FQ","FILING_STATUS=MR","Sort=A","Dates=H","DateFormat=P","Fill=—","Direction=H","UseDPDF=Y")</f>
        <v>0.41410000000000002</v>
      </c>
      <c r="T18" s="14">
        <f>_xll.BDH("NBIX US Equity","IS_STK_BASED_COMP_PER_DIL_SH","FQ1 2023","FQ1 2023","Currency=USD","Period=FQ","BEST_FPERIOD_OVERRIDE=FQ","FILING_STATUS=MR","Sort=A","Dates=H","DateFormat=P","Fill=—","Direction=H","UseDPDF=Y")</f>
        <v>0.27360000000000001</v>
      </c>
      <c r="U18" s="14">
        <f>_xll.BDH("NBIX US Equity","IS_STK_BASED_COMP_PER_DIL_SH","FQ2 2023","FQ2 2023","Currency=USD","Period=FQ","BEST_FPERIOD_OVERRIDE=FQ","FILING_STATUS=MR","Sort=A","Dates=H","DateFormat=P","Fill=—","Direction=H","UseDPDF=Y")</f>
        <v>0.63919999999999999</v>
      </c>
      <c r="V18" s="14">
        <f>_xll.BDH("NBIX US Equity","IS_STK_BASED_COMP_PER_DIL_SH","FQ3 2023","FQ3 2023","Currency=USD","Period=FQ","BEST_FPERIOD_OVERRIDE=FQ","FILING_STATUS=MR","Sort=A","Dates=H","DateFormat=P","Fill=—","Direction=H","UseDPDF=Y")</f>
        <v>0.37440000000000001</v>
      </c>
      <c r="W18" s="14">
        <f>_xll.BDH("NBIX US Equity","IS_STK_BASED_COMP_PER_DIL_SH","FQ4 2023","FQ4 2023","Currency=USD","Period=FQ","BEST_FPERIOD_OVERRIDE=FQ","FILING_STATUS=MR","Sort=A","Dates=H","DateFormat=P","Fill=—","Direction=H","UseDPDF=Y")</f>
        <v>0.29420000000000002</v>
      </c>
      <c r="X18" s="14">
        <f>_xll.BDH("NBIX US Equity","IS_STK_BASED_COMP_PER_DIL_SH","FQ1 2024","FQ1 2024","Currency=USD","Period=FQ","BEST_FPERIOD_OVERRIDE=FQ","FILING_STATUS=MR","Sort=A","Dates=H","DateFormat=P","Fill=—","Direction=H","UseDPDF=Y")</f>
        <v>0.26350000000000001</v>
      </c>
      <c r="Y18" s="14">
        <f>_xll.BDH("NBIX US Equity","IS_STK_BASED_COMP_PER_DIL_SH","FQ2 2024","FQ2 2024","Currency=USD","Period=FQ","BEST_FPERIOD_OVERRIDE=FQ","FILING_STATUS=MR","Sort=A","Dates=H","DateFormat=P","Fill=—","Direction=H","UseDPDF=Y")</f>
        <v>0.33750000000000002</v>
      </c>
      <c r="Z18" s="14">
        <f>_xll.BDH("NBIX US Equity","IS_STK_BASED_COMP_PER_DIL_SH","FQ3 2024","FQ3 2024","Currency=USD","Period=FQ","BEST_FPERIOD_OVERRIDE=FQ","FILING_STATUS=MR","Sort=A","Dates=H","DateFormat=P","Fill=—","Direction=H","UseDPDF=Y")</f>
        <v>0.37969999999999998</v>
      </c>
      <c r="AA18" s="14">
        <f>_xll.BDH("NBIX US Equity","IS_STK_BASED_COMP_PER_DIL_SH","FQ4 2024","FQ4 2024","Currency=USD","Period=FQ","BEST_FPERIOD_OVERRIDE=FQ","FILING_STATUS=MR","Sort=A","Dates=H","DateFormat=P","Fill=—","Direction=H","UseDPDF=Y")</f>
        <v>0.6462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646</v>
      </c>
      <c r="B20" s="10" t="s">
        <v>647</v>
      </c>
      <c r="C20" s="13" t="str">
        <f>_xll.BDH("NBIX US Equity","IS_SBC_INCL_SELLING","FQ4 2018","FQ4 2018","Currency=USD","Period=FQ","BEST_FPERIOD_OVERRIDE=FQ","FILING_STATUS=MR","SCALING_FORMAT=MLN","Sort=A","Dates=H","DateFormat=P","Fill=—","Direction=H","UseDPDF=Y")</f>
        <v>—</v>
      </c>
      <c r="D20" s="13" t="str">
        <f>_xll.BDH("NBIX US Equity","IS_SBC_INCL_SELLING","FQ1 2019","FQ1 2019","Currency=USD","Period=FQ","BEST_FPERIOD_OVERRIDE=FQ","FILING_STATUS=MR","SCALING_FORMAT=MLN","Sort=A","Dates=H","DateFormat=P","Fill=—","Direction=H","UseDPDF=Y")</f>
        <v>—</v>
      </c>
      <c r="E20" s="13" t="str">
        <f>_xll.BDH("NBIX US Equity","IS_SBC_INCL_SELLING","FQ2 2019","FQ2 2019","Currency=USD","Period=FQ","BEST_FPERIOD_OVERRIDE=FQ","FILING_STATUS=MR","SCALING_FORMAT=MLN","Sort=A","Dates=H","DateFormat=P","Fill=—","Direction=H","UseDPDF=Y")</f>
        <v>—</v>
      </c>
      <c r="F20" s="13" t="str">
        <f>_xll.BDH("NBIX US Equity","IS_SBC_INCL_SELLING","FQ3 2019","FQ3 2019","Currency=USD","Period=FQ","BEST_FPERIOD_OVERRIDE=FQ","FILING_STATUS=MR","SCALING_FORMAT=MLN","Sort=A","Dates=H","DateFormat=P","Fill=—","Direction=H","UseDPDF=Y")</f>
        <v>—</v>
      </c>
      <c r="G20" s="13" t="str">
        <f>_xll.BDH("NBIX US Equity","IS_SBC_INCL_SELLING","FQ4 2019","FQ4 2019","Currency=USD","Period=FQ","BEST_FPERIOD_OVERRIDE=FQ","FILING_STATUS=MR","SCALING_FORMAT=MLN","Sort=A","Dates=H","DateFormat=P","Fill=—","Direction=H","UseDPDF=Y")</f>
        <v>—</v>
      </c>
      <c r="H20" s="13" t="str">
        <f>_xll.BDH("NBIX US Equity","IS_SBC_INCL_SELLING","FQ1 2020","FQ1 2020","Currency=USD","Period=FQ","BEST_FPERIOD_OVERRIDE=FQ","FILING_STATUS=MR","SCALING_FORMAT=MLN","Sort=A","Dates=H","DateFormat=P","Fill=—","Direction=H","UseDPDF=Y")</f>
        <v>—</v>
      </c>
      <c r="I20" s="13" t="str">
        <f>_xll.BDH("NBIX US Equity","IS_SBC_INCL_SELLING","FQ2 2020","FQ2 2020","Currency=USD","Period=FQ","BEST_FPERIOD_OVERRIDE=FQ","FILING_STATUS=MR","SCALING_FORMAT=MLN","Sort=A","Dates=H","DateFormat=P","Fill=—","Direction=H","UseDPDF=Y")</f>
        <v>—</v>
      </c>
      <c r="J20" s="13" t="str">
        <f>_xll.BDH("NBIX US Equity","IS_SBC_INCL_SELLING","FQ3 2020","FQ3 2020","Currency=USD","Period=FQ","BEST_FPERIOD_OVERRIDE=FQ","FILING_STATUS=MR","SCALING_FORMAT=MLN","Sort=A","Dates=H","DateFormat=P","Fill=—","Direction=H","UseDPDF=Y")</f>
        <v>—</v>
      </c>
      <c r="K20" s="13" t="str">
        <f>_xll.BDH("NBIX US Equity","IS_SBC_INCL_SELLING","FQ4 2020","FQ4 2020","Currency=USD","Period=FQ","BEST_FPERIOD_OVERRIDE=FQ","FILING_STATUS=MR","SCALING_FORMAT=MLN","Sort=A","Dates=H","DateFormat=P","Fill=—","Direction=H","UseDPDF=Y")</f>
        <v>—</v>
      </c>
      <c r="L20" s="13" t="str">
        <f>_xll.BDH("NBIX US Equity","IS_SBC_INCL_SELLING","FQ1 2021","FQ1 2021","Currency=USD","Period=FQ","BEST_FPERIOD_OVERRIDE=FQ","FILING_STATUS=MR","SCALING_FORMAT=MLN","Sort=A","Dates=H","DateFormat=P","Fill=—","Direction=H","UseDPDF=Y")</f>
        <v>—</v>
      </c>
      <c r="M20" s="13" t="str">
        <f>_xll.BDH("NBIX US Equity","IS_SBC_INCL_SELLING","FQ2 2021","FQ2 2021","Currency=USD","Period=FQ","BEST_FPERIOD_OVERRIDE=FQ","FILING_STATUS=MR","SCALING_FORMAT=MLN","Sort=A","Dates=H","DateFormat=P","Fill=—","Direction=H","UseDPDF=Y")</f>
        <v>—</v>
      </c>
      <c r="N20" s="13" t="str">
        <f>_xll.BDH("NBIX US Equity","IS_SBC_INCL_SELLING","FQ3 2021","FQ3 2021","Currency=USD","Period=FQ","BEST_FPERIOD_OVERRIDE=FQ","FILING_STATUS=MR","SCALING_FORMAT=MLN","Sort=A","Dates=H","DateFormat=P","Fill=—","Direction=H","UseDPDF=Y")</f>
        <v>—</v>
      </c>
      <c r="O20" s="13">
        <f>_xll.BDH("NBIX US Equity","IS_SBC_INCL_SELLING","FQ4 2021","FQ4 2021","Currency=USD","Period=FQ","BEST_FPERIOD_OVERRIDE=FQ","FILING_STATUS=MR","SCALING_FORMAT=MLN","Sort=A","Dates=H","DateFormat=P","Fill=—","Direction=H","UseDPDF=Y")</f>
        <v>23.4</v>
      </c>
      <c r="P20" s="13" t="str">
        <f>_xll.BDH("NBIX US Equity","IS_SBC_INCL_SELLING","FQ1 2022","FQ1 2022","Currency=USD","Period=FQ","BEST_FPERIOD_OVERRIDE=FQ","FILING_STATUS=MR","SCALING_FORMAT=MLN","Sort=A","Dates=H","DateFormat=P","Fill=—","Direction=H","UseDPDF=Y")</f>
        <v>—</v>
      </c>
      <c r="Q20" s="13" t="str">
        <f>_xll.BDH("NBIX US Equity","IS_SBC_INCL_SELLING","FQ2 2022","FQ2 2022","Currency=USD","Period=FQ","BEST_FPERIOD_OVERRIDE=FQ","FILING_STATUS=MR","SCALING_FORMAT=MLN","Sort=A","Dates=H","DateFormat=P","Fill=—","Direction=H","UseDPDF=Y")</f>
        <v>—</v>
      </c>
      <c r="R20" s="13" t="str">
        <f>_xll.BDH("NBIX US Equity","IS_SBC_INCL_SELLING","FQ3 2022","FQ3 2022","Currency=USD","Period=FQ","BEST_FPERIOD_OVERRIDE=FQ","FILING_STATUS=MR","SCALING_FORMAT=MLN","Sort=A","Dates=H","DateFormat=P","Fill=—","Direction=H","UseDPDF=Y")</f>
        <v>—</v>
      </c>
      <c r="S20" s="13" t="str">
        <f>_xll.BDH("NBIX US Equity","IS_SBC_INCL_SELLING","FQ4 2022","FQ4 2022","Currency=USD","Period=FQ","BEST_FPERIOD_OVERRIDE=FQ","FILING_STATUS=MR","SCALING_FORMAT=MLN","Sort=A","Dates=H","DateFormat=P","Fill=—","Direction=H","UseDPDF=Y")</f>
        <v>—</v>
      </c>
      <c r="T20" s="13" t="str">
        <f>_xll.BDH("NBIX US Equity","IS_SBC_INCL_SELLING","FQ1 2023","FQ1 2023","Currency=USD","Period=FQ","BEST_FPERIOD_OVERRIDE=FQ","FILING_STATUS=MR","SCALING_FORMAT=MLN","Sort=A","Dates=H","DateFormat=P","Fill=—","Direction=H","UseDPDF=Y")</f>
        <v>—</v>
      </c>
      <c r="U20" s="13" t="str">
        <f>_xll.BDH("NBIX US Equity","IS_SBC_INCL_SELLING","FQ2 2023","FQ2 2023","Currency=USD","Period=FQ","BEST_FPERIOD_OVERRIDE=FQ","FILING_STATUS=MR","SCALING_FORMAT=MLN","Sort=A","Dates=H","DateFormat=P","Fill=—","Direction=H","UseDPDF=Y")</f>
        <v>—</v>
      </c>
      <c r="V20" s="13" t="str">
        <f>_xll.BDH("NBIX US Equity","IS_SBC_INCL_SELLING","FQ3 2023","FQ3 2023","Currency=USD","Period=FQ","BEST_FPERIOD_OVERRIDE=FQ","FILING_STATUS=MR","SCALING_FORMAT=MLN","Sort=A","Dates=H","DateFormat=P","Fill=—","Direction=H","UseDPDF=Y")</f>
        <v>—</v>
      </c>
      <c r="W20" s="13" t="str">
        <f>_xll.BDH("NBIX US Equity","IS_SBC_INCL_SELLING","FQ4 2023","FQ4 2023","Currency=USD","Period=FQ","BEST_FPERIOD_OVERRIDE=FQ","FILING_STATUS=MR","SCALING_FORMAT=MLN","Sort=A","Dates=H","DateFormat=P","Fill=—","Direction=H","UseDPDF=Y")</f>
        <v>—</v>
      </c>
      <c r="X20" s="13" t="str">
        <f>_xll.BDH("NBIX US Equity","IS_SBC_INCL_SELLING","FQ1 2024","FQ1 2024","Currency=USD","Period=FQ","BEST_FPERIOD_OVERRIDE=FQ","FILING_STATUS=MR","SCALING_FORMAT=MLN","Sort=A","Dates=H","DateFormat=P","Fill=—","Direction=H","UseDPDF=Y")</f>
        <v>—</v>
      </c>
      <c r="Y20" s="13" t="str">
        <f>_xll.BDH("NBIX US Equity","IS_SBC_INCL_SELLING","FQ2 2024","FQ2 2024","Currency=USD","Period=FQ","BEST_FPERIOD_OVERRIDE=FQ","FILING_STATUS=MR","SCALING_FORMAT=MLN","Sort=A","Dates=H","DateFormat=P","Fill=—","Direction=H","UseDPDF=Y")</f>
        <v>—</v>
      </c>
      <c r="Z20" s="13" t="str">
        <f>_xll.BDH("NBIX US Equity","IS_SBC_INCL_SELLING","FQ3 2024","FQ3 2024","Currency=USD","Period=FQ","BEST_FPERIOD_OVERRIDE=FQ","FILING_STATUS=MR","SCALING_FORMAT=MLN","Sort=A","Dates=H","DateFormat=P","Fill=—","Direction=H","UseDPDF=Y")</f>
        <v>—</v>
      </c>
      <c r="AA20" s="13" t="str">
        <f>_xll.BDH("NBIX US Equity","IS_SBC_INCL_SELLING","FQ4 2024","FQ4 2024","Currency=USD","Period=FQ","BEST_FPERIOD_OVERRIDE=FQ","FILING_STATUS=MR","SCALING_FORMAT=MLN","Sort=A","Dates=H","DateFormat=P","Fill=—","Direction=H","UseDPDF=Y")</f>
        <v>—</v>
      </c>
    </row>
    <row r="21" spans="1:27" x14ac:dyDescent="0.25">
      <c r="A21" s="10" t="s">
        <v>648</v>
      </c>
      <c r="B21" s="10" t="s">
        <v>649</v>
      </c>
      <c r="C21" s="13">
        <f>_xll.BDH("NBIX US Equity","IS_SBC_INCL_GEN_ADMIN","FQ4 2018","FQ4 2018","Currency=USD","Period=FQ","BEST_FPERIOD_OVERRIDE=FQ","FILING_STATUS=MR","SCALING_FORMAT=MLN","Sort=A","Dates=H","DateFormat=P","Fill=—","Direction=H","UseDPDF=Y")</f>
        <v>8.6479999999999997</v>
      </c>
      <c r="D21" s="13">
        <f>_xll.BDH("NBIX US Equity","IS_SBC_INCL_GEN_ADMIN","FQ1 2019","FQ1 2019","Currency=USD","Period=FQ","BEST_FPERIOD_OVERRIDE=FQ","FILING_STATUS=MR","SCALING_FORMAT=MLN","Sort=A","Dates=H","DateFormat=P","Fill=—","Direction=H","UseDPDF=Y")</f>
        <v>8.0640000000000001</v>
      </c>
      <c r="E21" s="13">
        <f>_xll.BDH("NBIX US Equity","IS_SBC_INCL_GEN_ADMIN","FQ2 2019","FQ2 2019","Currency=USD","Period=FQ","BEST_FPERIOD_OVERRIDE=FQ","FILING_STATUS=MR","SCALING_FORMAT=MLN","Sort=A","Dates=H","DateFormat=P","Fill=—","Direction=H","UseDPDF=Y")</f>
        <v>17.931000000000001</v>
      </c>
      <c r="F21" s="13">
        <f>_xll.BDH("NBIX US Equity","IS_SBC_INCL_GEN_ADMIN","FQ3 2019","FQ3 2019","Currency=USD","Period=FQ","BEST_FPERIOD_OVERRIDE=FQ","FILING_STATUS=MR","SCALING_FORMAT=MLN","Sort=A","Dates=H","DateFormat=P","Fill=—","Direction=H","UseDPDF=Y")</f>
        <v>20.25</v>
      </c>
      <c r="G21" s="13">
        <f>_xll.BDH("NBIX US Equity","IS_SBC_INCL_GEN_ADMIN","FQ4 2019","FQ4 2019","Currency=USD","Period=FQ","BEST_FPERIOD_OVERRIDE=FQ","FILING_STATUS=MR","SCALING_FORMAT=MLN","Sort=A","Dates=H","DateFormat=P","Fill=—","Direction=H","UseDPDF=Y")</f>
        <v>13.9</v>
      </c>
      <c r="H21" s="13">
        <f>_xll.BDH("NBIX US Equity","IS_SBC_INCL_GEN_ADMIN","FQ1 2020","FQ1 2020","Currency=USD","Period=FQ","BEST_FPERIOD_OVERRIDE=FQ","FILING_STATUS=MR","SCALING_FORMAT=MLN","Sort=A","Dates=H","DateFormat=P","Fill=—","Direction=H","UseDPDF=Y")</f>
        <v>15.1</v>
      </c>
      <c r="I21" s="13">
        <f>_xll.BDH("NBIX US Equity","IS_SBC_INCL_GEN_ADMIN","FQ2 2020","FQ2 2020","Currency=USD","Period=FQ","BEST_FPERIOD_OVERRIDE=FQ","FILING_STATUS=MR","SCALING_FORMAT=MLN","Sort=A","Dates=H","DateFormat=P","Fill=—","Direction=H","UseDPDF=Y")</f>
        <v>19.600000000000001</v>
      </c>
      <c r="J21" s="13">
        <f>_xll.BDH("NBIX US Equity","IS_SBC_INCL_GEN_ADMIN","FQ3 2020","FQ3 2020","Currency=USD","Period=FQ","BEST_FPERIOD_OVERRIDE=FQ","FILING_STATUS=MR","SCALING_FORMAT=MLN","Sort=A","Dates=H","DateFormat=P","Fill=—","Direction=H","UseDPDF=Y")</f>
        <v>17.899999999999999</v>
      </c>
      <c r="K21" s="13">
        <f>_xll.BDH("NBIX US Equity","IS_SBC_INCL_GEN_ADMIN","FQ4 2020","FQ4 2020","Currency=USD","Period=FQ","BEST_FPERIOD_OVERRIDE=FQ","FILING_STATUS=MR","SCALING_FORMAT=MLN","Sort=A","Dates=H","DateFormat=P","Fill=—","Direction=H","UseDPDF=Y")</f>
        <v>13.7</v>
      </c>
      <c r="L21" s="13">
        <f>_xll.BDH("NBIX US Equity","IS_SBC_INCL_GEN_ADMIN","FQ1 2021","FQ1 2021","Currency=USD","Period=FQ","BEST_FPERIOD_OVERRIDE=FQ","FILING_STATUS=MR","SCALING_FORMAT=MLN","Sort=A","Dates=H","DateFormat=P","Fill=—","Direction=H","UseDPDF=Y")</f>
        <v>17.899999999999999</v>
      </c>
      <c r="M21" s="13">
        <f>_xll.BDH("NBIX US Equity","IS_SBC_INCL_GEN_ADMIN","FQ2 2021","FQ2 2021","Currency=USD","Period=FQ","BEST_FPERIOD_OVERRIDE=FQ","FILING_STATUS=MR","SCALING_FORMAT=MLN","Sort=A","Dates=H","DateFormat=P","Fill=—","Direction=H","UseDPDF=Y")</f>
        <v>19.399999999999999</v>
      </c>
      <c r="N21" s="13">
        <f>_xll.BDH("NBIX US Equity","IS_SBC_INCL_GEN_ADMIN","FQ3 2021","FQ3 2021","Currency=USD","Period=FQ","BEST_FPERIOD_OVERRIDE=FQ","FILING_STATUS=MR","SCALING_FORMAT=MLN","Sort=A","Dates=H","DateFormat=P","Fill=—","Direction=H","UseDPDF=Y")</f>
        <v>25.1</v>
      </c>
      <c r="O21" s="13">
        <f>_xll.BDH("NBIX US Equity","IS_SBC_INCL_GEN_ADMIN","FQ4 2021","FQ4 2021","Currency=USD","Period=FQ","BEST_FPERIOD_OVERRIDE=FQ","FILING_STATUS=MR","SCALING_FORMAT=MLN","Sort=A","Dates=H","DateFormat=P","Fill=—","Direction=H","UseDPDF=Y")</f>
        <v>23.4</v>
      </c>
      <c r="P21" s="13">
        <f>_xll.BDH("NBIX US Equity","IS_SBC_INCL_GEN_ADMIN","FQ1 2022","FQ1 2022","Currency=USD","Period=FQ","BEST_FPERIOD_OVERRIDE=FQ","FILING_STATUS=MR","SCALING_FORMAT=MLN","Sort=A","Dates=H","DateFormat=P","Fill=—","Direction=H","UseDPDF=Y")</f>
        <v>24.5</v>
      </c>
      <c r="Q21" s="13">
        <f>_xll.BDH("NBIX US Equity","IS_SBC_INCL_GEN_ADMIN","FQ2 2022","FQ2 2022","Currency=USD","Period=FQ","BEST_FPERIOD_OVERRIDE=FQ","FILING_STATUS=MR","SCALING_FORMAT=MLN","Sort=A","Dates=H","DateFormat=P","Fill=—","Direction=H","UseDPDF=Y")</f>
        <v>33.299999999999997</v>
      </c>
      <c r="R21" s="13">
        <f>_xll.BDH("NBIX US Equity","IS_SBC_INCL_GEN_ADMIN","FQ3 2022","FQ3 2022","Currency=USD","Period=FQ","BEST_FPERIOD_OVERRIDE=FQ","FILING_STATUS=MR","SCALING_FORMAT=MLN","Sort=A","Dates=H","DateFormat=P","Fill=—","Direction=H","UseDPDF=Y")</f>
        <v>28.2</v>
      </c>
      <c r="S21" s="13">
        <f>_xll.BDH("NBIX US Equity","IS_SBC_INCL_GEN_ADMIN","FQ4 2022","FQ4 2022","Currency=USD","Period=FQ","BEST_FPERIOD_OVERRIDE=FQ","FILING_STATUS=MR","SCALING_FORMAT=MLN","Sort=A","Dates=H","DateFormat=P","Fill=—","Direction=H","UseDPDF=Y")</f>
        <v>29.4</v>
      </c>
      <c r="T21" s="13">
        <f>_xll.BDH("NBIX US Equity","IS_SBC_INCL_GEN_ADMIN","FQ1 2023","FQ1 2023","Currency=USD","Period=FQ","BEST_FPERIOD_OVERRIDE=FQ","FILING_STATUS=MR","SCALING_FORMAT=MLN","Sort=A","Dates=H","DateFormat=P","Fill=—","Direction=H","UseDPDF=Y")</f>
        <v>26.1</v>
      </c>
      <c r="U21" s="13">
        <f>_xll.BDH("NBIX US Equity","IS_SBC_INCL_GEN_ADMIN","FQ2 2023","FQ2 2023","Currency=USD","Period=FQ","BEST_FPERIOD_OVERRIDE=FQ","FILING_STATUS=MR","SCALING_FORMAT=MLN","Sort=A","Dates=H","DateFormat=P","Fill=—","Direction=H","UseDPDF=Y")</f>
        <v>44.7</v>
      </c>
      <c r="V21" s="13">
        <f>_xll.BDH("NBIX US Equity","IS_SBC_INCL_GEN_ADMIN","FQ3 2023","FQ3 2023","Currency=USD","Period=FQ","BEST_FPERIOD_OVERRIDE=FQ","FILING_STATUS=MR","SCALING_FORMAT=MLN","Sort=A","Dates=H","DateFormat=P","Fill=—","Direction=H","UseDPDF=Y")</f>
        <v>30.6</v>
      </c>
      <c r="W21" s="13">
        <f>_xll.BDH("NBIX US Equity","IS_SBC_INCL_GEN_ADMIN","FQ4 2023","FQ4 2023","Currency=USD","Period=FQ","BEST_FPERIOD_OVERRIDE=FQ","FILING_STATUS=MR","SCALING_FORMAT=MLN","Sort=A","Dates=H","DateFormat=P","Fill=—","Direction=H","UseDPDF=Y")</f>
        <v>24.9</v>
      </c>
      <c r="X21" s="13">
        <f>_xll.BDH("NBIX US Equity","IS_SBC_INCL_GEN_ADMIN","FQ1 2024","FQ1 2024","Currency=USD","Period=FQ","BEST_FPERIOD_OVERRIDE=FQ","FILING_STATUS=MR","SCALING_FORMAT=MLN","Sort=A","Dates=H","DateFormat=P","Fill=—","Direction=H","UseDPDF=Y")</f>
        <v>27.5</v>
      </c>
      <c r="Y21" s="13">
        <f>_xll.BDH("NBIX US Equity","IS_SBC_INCL_GEN_ADMIN","FQ2 2024","FQ2 2024","Currency=USD","Period=FQ","BEST_FPERIOD_OVERRIDE=FQ","FILING_STATUS=MR","SCALING_FORMAT=MLN","Sort=A","Dates=H","DateFormat=P","Fill=—","Direction=H","UseDPDF=Y")</f>
        <v>27.3</v>
      </c>
      <c r="Z21" s="13">
        <f>_xll.BDH("NBIX US Equity","IS_SBC_INCL_GEN_ADMIN","FQ3 2024","FQ3 2024","Currency=USD","Period=FQ","BEST_FPERIOD_OVERRIDE=FQ","FILING_STATUS=MR","SCALING_FORMAT=MLN","Sort=A","Dates=H","DateFormat=P","Fill=—","Direction=H","UseDPDF=Y")</f>
        <v>26.7</v>
      </c>
      <c r="AA21" s="13">
        <f>_xll.BDH("NBIX US Equity","IS_SBC_INCL_GEN_ADMIN","FQ4 2024","FQ4 2024","Currency=USD","Period=FQ","BEST_FPERIOD_OVERRIDE=FQ","FILING_STATUS=MR","SCALING_FORMAT=MLN","Sort=A","Dates=H","DateFormat=P","Fill=—","Direction=H","UseDPDF=Y")</f>
        <v>45.2</v>
      </c>
    </row>
    <row r="22" spans="1:27" x14ac:dyDescent="0.25">
      <c r="A22" s="10" t="s">
        <v>650</v>
      </c>
      <c r="B22" s="10" t="s">
        <v>651</v>
      </c>
      <c r="C22" s="13">
        <f>_xll.BDH("NBIX US Equity","IS_SBC_INCL_RD","FQ4 2018","FQ4 2018","Currency=USD","Period=FQ","BEST_FPERIOD_OVERRIDE=FQ","FILING_STATUS=MR","SCALING_FORMAT=MLN","Sort=A","Dates=H","DateFormat=P","Fill=—","Direction=H","UseDPDF=Y")</f>
        <v>4.62</v>
      </c>
      <c r="D22" s="13">
        <f>_xll.BDH("NBIX US Equity","IS_SBC_INCL_RD","FQ1 2019","FQ1 2019","Currency=USD","Period=FQ","BEST_FPERIOD_OVERRIDE=FQ","FILING_STATUS=MR","SCALING_FORMAT=MLN","Sort=A","Dates=H","DateFormat=P","Fill=—","Direction=H","UseDPDF=Y")</f>
        <v>7.7</v>
      </c>
      <c r="E22" s="13" t="str">
        <f>_xll.BDH("NBIX US Equity","IS_SBC_INCL_RD","FQ2 2019","FQ2 2019","Currency=USD","Period=FQ","BEST_FPERIOD_OVERRIDE=FQ","FILING_STATUS=MR","SCALING_FORMAT=MLN","Sort=A","Dates=H","DateFormat=P","Fill=—","Direction=H","UseDPDF=Y")</f>
        <v>—</v>
      </c>
      <c r="F22" s="13" t="str">
        <f>_xll.BDH("NBIX US Equity","IS_SBC_INCL_RD","FQ3 2019","FQ3 2019","Currency=USD","Period=FQ","BEST_FPERIOD_OVERRIDE=FQ","FILING_STATUS=MR","SCALING_FORMAT=MLN","Sort=A","Dates=H","DateFormat=P","Fill=—","Direction=H","UseDPDF=Y")</f>
        <v>—</v>
      </c>
      <c r="G22" s="13">
        <f>_xll.BDH("NBIX US Equity","IS_SBC_INCL_RD","FQ4 2019","FQ4 2019","Currency=USD","Period=FQ","BEST_FPERIOD_OVERRIDE=FQ","FILING_STATUS=MR","SCALING_FORMAT=MLN","Sort=A","Dates=H","DateFormat=P","Fill=—","Direction=H","UseDPDF=Y")</f>
        <v>7.4</v>
      </c>
      <c r="H22" s="13">
        <f>_xll.BDH("NBIX US Equity","IS_SBC_INCL_RD","FQ1 2020","FQ1 2020","Currency=USD","Period=FQ","BEST_FPERIOD_OVERRIDE=FQ","FILING_STATUS=MR","SCALING_FORMAT=MLN","Sort=A","Dates=H","DateFormat=P","Fill=—","Direction=H","UseDPDF=Y")</f>
        <v>7.7</v>
      </c>
      <c r="I22" s="13">
        <f>_xll.BDH("NBIX US Equity","IS_SBC_INCL_RD","FQ2 2020","FQ2 2020","Currency=USD","Period=FQ","BEST_FPERIOD_OVERRIDE=FQ","FILING_STATUS=MR","SCALING_FORMAT=MLN","Sort=A","Dates=H","DateFormat=P","Fill=—","Direction=H","UseDPDF=Y")</f>
        <v>9.9</v>
      </c>
      <c r="J22" s="13">
        <f>_xll.BDH("NBIX US Equity","IS_SBC_INCL_RD","FQ3 2020","FQ3 2020","Currency=USD","Period=FQ","BEST_FPERIOD_OVERRIDE=FQ","FILING_STATUS=MR","SCALING_FORMAT=MLN","Sort=A","Dates=H","DateFormat=P","Fill=—","Direction=H","UseDPDF=Y")</f>
        <v>8.8000000000000007</v>
      </c>
      <c r="K22" s="13">
        <f>_xll.BDH("NBIX US Equity","IS_SBC_INCL_RD","FQ4 2020","FQ4 2020","Currency=USD","Period=FQ","BEST_FPERIOD_OVERRIDE=FQ","FILING_STATUS=MR","SCALING_FORMAT=MLN","Sort=A","Dates=H","DateFormat=P","Fill=—","Direction=H","UseDPDF=Y")</f>
        <v>7.3</v>
      </c>
      <c r="L22" s="13">
        <f>_xll.BDH("NBIX US Equity","IS_SBC_INCL_RD","FQ1 2021","FQ1 2021","Currency=USD","Period=FQ","BEST_FPERIOD_OVERRIDE=FQ","FILING_STATUS=MR","SCALING_FORMAT=MLN","Sort=A","Dates=H","DateFormat=P","Fill=—","Direction=H","UseDPDF=Y")</f>
        <v>15</v>
      </c>
      <c r="M22" s="13">
        <f>_xll.BDH("NBIX US Equity","IS_SBC_INCL_RD","FQ2 2021","FQ2 2021","Currency=USD","Period=FQ","BEST_FPERIOD_OVERRIDE=FQ","FILING_STATUS=MR","SCALING_FORMAT=MLN","Sort=A","Dates=H","DateFormat=P","Fill=—","Direction=H","UseDPDF=Y")</f>
        <v>9.1999999999999993</v>
      </c>
      <c r="N22" s="13">
        <f>_xll.BDH("NBIX US Equity","IS_SBC_INCL_RD","FQ3 2021","FQ3 2021","Currency=USD","Period=FQ","BEST_FPERIOD_OVERRIDE=FQ","FILING_STATUS=MR","SCALING_FORMAT=MLN","Sort=A","Dates=H","DateFormat=P","Fill=—","Direction=H","UseDPDF=Y")</f>
        <v>12</v>
      </c>
      <c r="O22" s="13">
        <f>_xll.BDH("NBIX US Equity","IS_SBC_INCL_RD","FQ4 2021","FQ4 2021","Currency=USD","Period=FQ","BEST_FPERIOD_OVERRIDE=FQ","FILING_STATUS=MR","SCALING_FORMAT=MLN","Sort=A","Dates=H","DateFormat=P","Fill=—","Direction=H","UseDPDF=Y")</f>
        <v>12.2</v>
      </c>
      <c r="P22" s="13">
        <f>_xll.BDH("NBIX US Equity","IS_SBC_INCL_RD","FQ1 2022","FQ1 2022","Currency=USD","Period=FQ","BEST_FPERIOD_OVERRIDE=FQ","FILING_STATUS=MR","SCALING_FORMAT=MLN","Sort=A","Dates=H","DateFormat=P","Fill=—","Direction=H","UseDPDF=Y")</f>
        <v>12.5</v>
      </c>
      <c r="Q22" s="13">
        <f>_xll.BDH("NBIX US Equity","IS_SBC_INCL_RD","FQ2 2022","FQ2 2022","Currency=USD","Period=FQ","BEST_FPERIOD_OVERRIDE=FQ","FILING_STATUS=MR","SCALING_FORMAT=MLN","Sort=A","Dates=H","DateFormat=P","Fill=—","Direction=H","UseDPDF=Y")</f>
        <v>16.2</v>
      </c>
      <c r="R22" s="13">
        <f>_xll.BDH("NBIX US Equity","IS_SBC_INCL_RD","FQ3 2022","FQ3 2022","Currency=USD","Period=FQ","BEST_FPERIOD_OVERRIDE=FQ","FILING_STATUS=MR","SCALING_FORMAT=MLN","Sort=A","Dates=H","DateFormat=P","Fill=—","Direction=H","UseDPDF=Y")</f>
        <v>14.9</v>
      </c>
      <c r="S22" s="13">
        <f>_xll.BDH("NBIX US Equity","IS_SBC_INCL_RD","FQ4 2022","FQ4 2022","Currency=USD","Period=FQ","BEST_FPERIOD_OVERRIDE=FQ","FILING_STATUS=MR","SCALING_FORMAT=MLN","Sort=A","Dates=H","DateFormat=P","Fill=—","Direction=H","UseDPDF=Y")</f>
        <v>14.1</v>
      </c>
      <c r="T22" s="13">
        <f>_xll.BDH("NBIX US Equity","IS_SBC_INCL_RD","FQ1 2023","FQ1 2023","Currency=USD","Period=FQ","BEST_FPERIOD_OVERRIDE=FQ","FILING_STATUS=MR","SCALING_FORMAT=MLN","Sort=A","Dates=H","DateFormat=P","Fill=—","Direction=H","UseDPDF=Y")</f>
        <v>13.8</v>
      </c>
      <c r="U22" s="13">
        <f>_xll.BDH("NBIX US Equity","IS_SBC_INCL_RD","FQ2 2023","FQ2 2023","Currency=USD","Period=FQ","BEST_FPERIOD_OVERRIDE=FQ","FILING_STATUS=MR","SCALING_FORMAT=MLN","Sort=A","Dates=H","DateFormat=P","Fill=—","Direction=H","UseDPDF=Y")</f>
        <v>23.8</v>
      </c>
      <c r="V22" s="13">
        <f>_xll.BDH("NBIX US Equity","IS_SBC_INCL_RD","FQ3 2023","FQ3 2023","Currency=USD","Period=FQ","BEST_FPERIOD_OVERRIDE=FQ","FILING_STATUS=MR","SCALING_FORMAT=MLN","Sort=A","Dates=H","DateFormat=P","Fill=—","Direction=H","UseDPDF=Y")</f>
        <v>17.2</v>
      </c>
      <c r="W22" s="13">
        <f>_xll.BDH("NBIX US Equity","IS_SBC_INCL_RD","FQ4 2023","FQ4 2023","Currency=USD","Period=FQ","BEST_FPERIOD_OVERRIDE=FQ","FILING_STATUS=MR","SCALING_FORMAT=MLN","Sort=A","Dates=H","DateFormat=P","Fill=—","Direction=H","UseDPDF=Y")</f>
        <v>13.2</v>
      </c>
      <c r="X22" s="13">
        <f>_xll.BDH("NBIX US Equity","IS_SBC_INCL_RD","FQ1 2024","FQ1 2024","Currency=USD","Period=FQ","BEST_FPERIOD_OVERRIDE=FQ","FILING_STATUS=MR","SCALING_FORMAT=MLN","Sort=A","Dates=H","DateFormat=P","Fill=—","Direction=H","UseDPDF=Y")</f>
        <v>17</v>
      </c>
      <c r="Y22" s="13">
        <f>_xll.BDH("NBIX US Equity","IS_SBC_INCL_RD","FQ2 2024","FQ2 2024","Currency=USD","Period=FQ","BEST_FPERIOD_OVERRIDE=FQ","FILING_STATUS=MR","SCALING_FORMAT=MLN","Sort=A","Dates=H","DateFormat=P","Fill=—","Direction=H","UseDPDF=Y")</f>
        <v>15.8</v>
      </c>
      <c r="Z22" s="13">
        <f>_xll.BDH("NBIX US Equity","IS_SBC_INCL_RD","FQ3 2024","FQ3 2024","Currency=USD","Period=FQ","BEST_FPERIOD_OVERRIDE=FQ","FILING_STATUS=MR","SCALING_FORMAT=MLN","Sort=A","Dates=H","DateFormat=P","Fill=—","Direction=H","UseDPDF=Y")</f>
        <v>14.8</v>
      </c>
      <c r="AA22" s="13">
        <f>_xll.BDH("NBIX US Equity","IS_SBC_INCL_RD","FQ4 2024","FQ4 2024","Currency=USD","Period=FQ","BEST_FPERIOD_OVERRIDE=FQ","FILING_STATUS=MR","SCALING_FORMAT=MLN","Sort=A","Dates=H","DateFormat=P","Fill=—","Direction=H","UseDPDF=Y")</f>
        <v>21.2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652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638</v>
      </c>
      <c r="B25" s="10" t="s">
        <v>653</v>
      </c>
      <c r="C25" s="13" t="str">
        <f>_xll.BDH("NBIX US Equity","IS_AMORT_OF_INTANG_ACQUIS_REL","FQ4 2018","FQ4 2018","Currency=USD","Period=FQ","BEST_FPERIOD_OVERRIDE=FQ","FILING_STATUS=MR","SCALING_FORMAT=MLN","Sort=A","Dates=H","DateFormat=P","Fill=—","Direction=H","UseDPDF=Y")</f>
        <v>—</v>
      </c>
      <c r="D25" s="13" t="str">
        <f>_xll.BDH("NBIX US Equity","IS_AMORT_OF_INTANG_ACQUIS_REL","FQ1 2019","FQ1 2019","Currency=USD","Period=FQ","BEST_FPERIOD_OVERRIDE=FQ","FILING_STATUS=MR","SCALING_FORMAT=MLN","Sort=A","Dates=H","DateFormat=P","Fill=—","Direction=H","UseDPDF=Y")</f>
        <v>—</v>
      </c>
      <c r="E25" s="13" t="str">
        <f>_xll.BDH("NBIX US Equity","IS_AMORT_OF_INTANG_ACQUIS_REL","FQ2 2019","FQ2 2019","Currency=USD","Period=FQ","BEST_FPERIOD_OVERRIDE=FQ","FILING_STATUS=MR","SCALING_FORMAT=MLN","Sort=A","Dates=H","DateFormat=P","Fill=—","Direction=H","UseDPDF=Y")</f>
        <v>—</v>
      </c>
      <c r="F25" s="13" t="str">
        <f>_xll.BDH("NBIX US Equity","IS_AMORT_OF_INTANG_ACQUIS_REL","FQ3 2019","FQ3 2019","Currency=USD","Period=FQ","BEST_FPERIOD_OVERRIDE=FQ","FILING_STATUS=MR","SCALING_FORMAT=MLN","Sort=A","Dates=H","DateFormat=P","Fill=—","Direction=H","UseDPDF=Y")</f>
        <v>—</v>
      </c>
      <c r="G25" s="13" t="str">
        <f>_xll.BDH("NBIX US Equity","IS_AMORT_OF_INTANG_ACQUIS_REL","FQ4 2019","FQ4 2019","Currency=USD","Period=FQ","BEST_FPERIOD_OVERRIDE=FQ","FILING_STATUS=MR","SCALING_FORMAT=MLN","Sort=A","Dates=H","DateFormat=P","Fill=—","Direction=H","UseDPDF=Y")</f>
        <v>—</v>
      </c>
      <c r="H25" s="13" t="str">
        <f>_xll.BDH("NBIX US Equity","IS_AMORT_OF_INTANG_ACQUIS_REL","FQ1 2020","FQ1 2020","Currency=USD","Period=FQ","BEST_FPERIOD_OVERRIDE=FQ","FILING_STATUS=MR","SCALING_FORMAT=MLN","Sort=A","Dates=H","DateFormat=P","Fill=—","Direction=H","UseDPDF=Y")</f>
        <v>—</v>
      </c>
      <c r="I25" s="13" t="str">
        <f>_xll.BDH("NBIX US Equity","IS_AMORT_OF_INTANG_ACQUIS_REL","FQ2 2020","FQ2 2020","Currency=USD","Period=FQ","BEST_FPERIOD_OVERRIDE=FQ","FILING_STATUS=MR","SCALING_FORMAT=MLN","Sort=A","Dates=H","DateFormat=P","Fill=—","Direction=H","UseDPDF=Y")</f>
        <v>—</v>
      </c>
      <c r="J25" s="13" t="str">
        <f>_xll.BDH("NBIX US Equity","IS_AMORT_OF_INTANG_ACQUIS_REL","FQ3 2020","FQ3 2020","Currency=USD","Period=FQ","BEST_FPERIOD_OVERRIDE=FQ","FILING_STATUS=MR","SCALING_FORMAT=MLN","Sort=A","Dates=H","DateFormat=P","Fill=—","Direction=H","UseDPDF=Y")</f>
        <v>—</v>
      </c>
      <c r="K25" s="13" t="str">
        <f>_xll.BDH("NBIX US Equity","IS_AMORT_OF_INTANG_ACQUIS_REL","FQ4 2020","FQ4 2020","Currency=USD","Period=FQ","BEST_FPERIOD_OVERRIDE=FQ","FILING_STATUS=MR","SCALING_FORMAT=MLN","Sort=A","Dates=H","DateFormat=P","Fill=—","Direction=H","UseDPDF=Y")</f>
        <v>—</v>
      </c>
      <c r="L25" s="13" t="str">
        <f>_xll.BDH("NBIX US Equity","IS_AMORT_OF_INTANG_ACQUIS_REL","FQ1 2021","FQ1 2021","Currency=USD","Period=FQ","BEST_FPERIOD_OVERRIDE=FQ","FILING_STATUS=MR","SCALING_FORMAT=MLN","Sort=A","Dates=H","DateFormat=P","Fill=—","Direction=H","UseDPDF=Y")</f>
        <v>—</v>
      </c>
      <c r="M25" s="13" t="str">
        <f>_xll.BDH("NBIX US Equity","IS_AMORT_OF_INTANG_ACQUIS_REL","FQ2 2021","FQ2 2021","Currency=USD","Period=FQ","BEST_FPERIOD_OVERRIDE=FQ","FILING_STATUS=MR","SCALING_FORMAT=MLN","Sort=A","Dates=H","DateFormat=P","Fill=—","Direction=H","UseDPDF=Y")</f>
        <v>—</v>
      </c>
      <c r="N25" s="13" t="str">
        <f>_xll.BDH("NBIX US Equity","IS_AMORT_OF_INTANG_ACQUIS_REL","FQ3 2021","FQ3 2021","Currency=USD","Period=FQ","BEST_FPERIOD_OVERRIDE=FQ","FILING_STATUS=MR","SCALING_FORMAT=MLN","Sort=A","Dates=H","DateFormat=P","Fill=—","Direction=H","UseDPDF=Y")</f>
        <v>—</v>
      </c>
      <c r="O25" s="13" t="str">
        <f>_xll.BDH("NBIX US Equity","IS_AMORT_OF_INTANG_ACQUIS_REL","FQ4 2021","FQ4 2021","Currency=USD","Period=FQ","BEST_FPERIOD_OVERRIDE=FQ","FILING_STATUS=MR","SCALING_FORMAT=MLN","Sort=A","Dates=H","DateFormat=P","Fill=—","Direction=H","UseDPDF=Y")</f>
        <v>—</v>
      </c>
      <c r="P25" s="13" t="str">
        <f>_xll.BDH("NBIX US Equity","IS_AMORT_OF_INTANG_ACQUIS_REL","FQ1 2022","FQ1 2022","Currency=USD","Period=FQ","BEST_FPERIOD_OVERRIDE=FQ","FILING_STATUS=MR","SCALING_FORMAT=MLN","Sort=A","Dates=H","DateFormat=P","Fill=—","Direction=H","UseDPDF=Y")</f>
        <v>—</v>
      </c>
      <c r="Q25" s="13" t="str">
        <f>_xll.BDH("NBIX US Equity","IS_AMORT_OF_INTANG_ACQUIS_REL","FQ2 2022","FQ2 2022","Currency=USD","Period=FQ","BEST_FPERIOD_OVERRIDE=FQ","FILING_STATUS=MR","SCALING_FORMAT=MLN","Sort=A","Dates=H","DateFormat=P","Fill=—","Direction=H","UseDPDF=Y")</f>
        <v>—</v>
      </c>
      <c r="R25" s="13" t="str">
        <f>_xll.BDH("NBIX US Equity","IS_AMORT_OF_INTANG_ACQUIS_REL","FQ3 2022","FQ3 2022","Currency=USD","Period=FQ","BEST_FPERIOD_OVERRIDE=FQ","FILING_STATUS=MR","SCALING_FORMAT=MLN","Sort=A","Dates=H","DateFormat=P","Fill=—","Direction=H","UseDPDF=Y")</f>
        <v>—</v>
      </c>
      <c r="S25" s="13" t="str">
        <f>_xll.BDH("NBIX US Equity","IS_AMORT_OF_INTANG_ACQUIS_REL","FQ4 2022","FQ4 2022","Currency=USD","Period=FQ","BEST_FPERIOD_OVERRIDE=FQ","FILING_STATUS=MR","SCALING_FORMAT=MLN","Sort=A","Dates=H","DateFormat=P","Fill=—","Direction=H","UseDPDF=Y")</f>
        <v>—</v>
      </c>
      <c r="T25" s="13" t="str">
        <f>_xll.BDH("NBIX US Equity","IS_AMORT_OF_INTANG_ACQUIS_REL","FQ1 2023","FQ1 2023","Currency=USD","Period=FQ","BEST_FPERIOD_OVERRIDE=FQ","FILING_STATUS=MR","SCALING_FORMAT=MLN","Sort=A","Dates=H","DateFormat=P","Fill=—","Direction=H","UseDPDF=Y")</f>
        <v>—</v>
      </c>
      <c r="U25" s="13" t="str">
        <f>_xll.BDH("NBIX US Equity","IS_AMORT_OF_INTANG_ACQUIS_REL","FQ2 2023","FQ2 2023","Currency=USD","Period=FQ","BEST_FPERIOD_OVERRIDE=FQ","FILING_STATUS=MR","SCALING_FORMAT=MLN","Sort=A","Dates=H","DateFormat=P","Fill=—","Direction=H","UseDPDF=Y")</f>
        <v>—</v>
      </c>
      <c r="V25" s="13">
        <f>_xll.BDH("NBIX US Equity","IS_AMORT_OF_INTANG_ACQUIS_REL","FQ3 2023","FQ3 2023","Currency=USD","Period=FQ","BEST_FPERIOD_OVERRIDE=FQ","FILING_STATUS=MR","SCALING_FORMAT=MLN","Sort=A","Dates=H","DateFormat=P","Fill=—","Direction=H","UseDPDF=Y")</f>
        <v>0.9</v>
      </c>
      <c r="W25" s="13">
        <f>_xll.BDH("NBIX US Equity","IS_AMORT_OF_INTANG_ACQUIS_REL","FQ4 2023","FQ4 2023","Currency=USD","Period=FQ","BEST_FPERIOD_OVERRIDE=FQ","FILING_STATUS=MR","SCALING_FORMAT=MLN","Sort=A","Dates=H","DateFormat=P","Fill=—","Direction=H","UseDPDF=Y")</f>
        <v>0.8</v>
      </c>
      <c r="X25" s="13">
        <f>_xll.BDH("NBIX US Equity","IS_AMORT_OF_INTANG_ACQUIS_REL","FQ1 2024","FQ1 2024","Currency=USD","Period=FQ","BEST_FPERIOD_OVERRIDE=FQ","FILING_STATUS=MR","SCALING_FORMAT=MLN","Sort=A","Dates=H","DateFormat=P","Fill=—","Direction=H","UseDPDF=Y")</f>
        <v>0.9</v>
      </c>
      <c r="Y25" s="13">
        <f>_xll.BDH("NBIX US Equity","IS_AMORT_OF_INTANG_ACQUIS_REL","FQ2 2024","FQ2 2024","Currency=USD","Period=FQ","BEST_FPERIOD_OVERRIDE=FQ","FILING_STATUS=MR","SCALING_FORMAT=MLN","Sort=A","Dates=H","DateFormat=P","Fill=—","Direction=H","UseDPDF=Y")</f>
        <v>0.9</v>
      </c>
      <c r="Z25" s="13">
        <f>_xll.BDH("NBIX US Equity","IS_AMORT_OF_INTANG_ACQUIS_REL","FQ3 2024","FQ3 2024","Currency=USD","Period=FQ","BEST_FPERIOD_OVERRIDE=FQ","FILING_STATUS=MR","SCALING_FORMAT=MLN","Sort=A","Dates=H","DateFormat=P","Fill=—","Direction=H","UseDPDF=Y")</f>
        <v>0.9</v>
      </c>
      <c r="AA25" s="13">
        <f>_xll.BDH("NBIX US Equity","IS_AMORT_OF_INTANG_ACQUIS_REL","FQ4 2024","FQ4 2024","Currency=USD","Period=FQ","BEST_FPERIOD_OVERRIDE=FQ","FILING_STATUS=MR","SCALING_FORMAT=MLN","Sort=A","Dates=H","DateFormat=P","Fill=—","Direction=H","UseDPDF=Y")</f>
        <v>0.9</v>
      </c>
    </row>
    <row r="26" spans="1:27" x14ac:dyDescent="0.25">
      <c r="A26" s="10" t="s">
        <v>640</v>
      </c>
      <c r="B26" s="10" t="s">
        <v>654</v>
      </c>
      <c r="C26" s="13" t="str">
        <f>_xll.BDH("NBIX US Equity","IS_AMORT_INTANG_ACQ_REL_AT","FQ4 2018","FQ4 2018","Currency=USD","Period=FQ","BEST_FPERIOD_OVERRIDE=FQ","FILING_STATUS=MR","SCALING_FORMAT=MLN","Sort=A","Dates=H","DateFormat=P","Fill=—","Direction=H","UseDPDF=Y")</f>
        <v>—</v>
      </c>
      <c r="D26" s="13" t="str">
        <f>_xll.BDH("NBIX US Equity","IS_AMORT_INTANG_ACQ_REL_AT","FQ1 2019","FQ1 2019","Currency=USD","Period=FQ","BEST_FPERIOD_OVERRIDE=FQ","FILING_STATUS=MR","SCALING_FORMAT=MLN","Sort=A","Dates=H","DateFormat=P","Fill=—","Direction=H","UseDPDF=Y")</f>
        <v>—</v>
      </c>
      <c r="E26" s="13" t="str">
        <f>_xll.BDH("NBIX US Equity","IS_AMORT_INTANG_ACQ_REL_AT","FQ2 2019","FQ2 2019","Currency=USD","Period=FQ","BEST_FPERIOD_OVERRIDE=FQ","FILING_STATUS=MR","SCALING_FORMAT=MLN","Sort=A","Dates=H","DateFormat=P","Fill=—","Direction=H","UseDPDF=Y")</f>
        <v>—</v>
      </c>
      <c r="F26" s="13" t="str">
        <f>_xll.BDH("NBIX US Equity","IS_AMORT_INTANG_ACQ_REL_AT","FQ3 2019","FQ3 2019","Currency=USD","Period=FQ","BEST_FPERIOD_OVERRIDE=FQ","FILING_STATUS=MR","SCALING_FORMAT=MLN","Sort=A","Dates=H","DateFormat=P","Fill=—","Direction=H","UseDPDF=Y")</f>
        <v>—</v>
      </c>
      <c r="G26" s="13" t="str">
        <f>_xll.BDH("NBIX US Equity","IS_AMORT_INTANG_ACQ_REL_AT","FQ4 2019","FQ4 2019","Currency=USD","Period=FQ","BEST_FPERIOD_OVERRIDE=FQ","FILING_STATUS=MR","SCALING_FORMAT=MLN","Sort=A","Dates=H","DateFormat=P","Fill=—","Direction=H","UseDPDF=Y")</f>
        <v>—</v>
      </c>
      <c r="H26" s="13" t="str">
        <f>_xll.BDH("NBIX US Equity","IS_AMORT_INTANG_ACQ_REL_AT","FQ1 2020","FQ1 2020","Currency=USD","Period=FQ","BEST_FPERIOD_OVERRIDE=FQ","FILING_STATUS=MR","SCALING_FORMAT=MLN","Sort=A","Dates=H","DateFormat=P","Fill=—","Direction=H","UseDPDF=Y")</f>
        <v>—</v>
      </c>
      <c r="I26" s="13" t="str">
        <f>_xll.BDH("NBIX US Equity","IS_AMORT_INTANG_ACQ_REL_AT","FQ2 2020","FQ2 2020","Currency=USD","Period=FQ","BEST_FPERIOD_OVERRIDE=FQ","FILING_STATUS=MR","SCALING_FORMAT=MLN","Sort=A","Dates=H","DateFormat=P","Fill=—","Direction=H","UseDPDF=Y")</f>
        <v>—</v>
      </c>
      <c r="J26" s="13" t="str">
        <f>_xll.BDH("NBIX US Equity","IS_AMORT_INTANG_ACQ_REL_AT","FQ3 2020","FQ3 2020","Currency=USD","Period=FQ","BEST_FPERIOD_OVERRIDE=FQ","FILING_STATUS=MR","SCALING_FORMAT=MLN","Sort=A","Dates=H","DateFormat=P","Fill=—","Direction=H","UseDPDF=Y")</f>
        <v>—</v>
      </c>
      <c r="K26" s="13" t="str">
        <f>_xll.BDH("NBIX US Equity","IS_AMORT_INTANG_ACQ_REL_AT","FQ4 2020","FQ4 2020","Currency=USD","Period=FQ","BEST_FPERIOD_OVERRIDE=FQ","FILING_STATUS=MR","SCALING_FORMAT=MLN","Sort=A","Dates=H","DateFormat=P","Fill=—","Direction=H","UseDPDF=Y")</f>
        <v>—</v>
      </c>
      <c r="L26" s="13" t="str">
        <f>_xll.BDH("NBIX US Equity","IS_AMORT_INTANG_ACQ_REL_AT","FQ1 2021","FQ1 2021","Currency=USD","Period=FQ","BEST_FPERIOD_OVERRIDE=FQ","FILING_STATUS=MR","SCALING_FORMAT=MLN","Sort=A","Dates=H","DateFormat=P","Fill=—","Direction=H","UseDPDF=Y")</f>
        <v>—</v>
      </c>
      <c r="M26" s="13" t="str">
        <f>_xll.BDH("NBIX US Equity","IS_AMORT_INTANG_ACQ_REL_AT","FQ2 2021","FQ2 2021","Currency=USD","Period=FQ","BEST_FPERIOD_OVERRIDE=FQ","FILING_STATUS=MR","SCALING_FORMAT=MLN","Sort=A","Dates=H","DateFormat=P","Fill=—","Direction=H","UseDPDF=Y")</f>
        <v>—</v>
      </c>
      <c r="N26" s="13" t="str">
        <f>_xll.BDH("NBIX US Equity","IS_AMORT_INTANG_ACQ_REL_AT","FQ3 2021","FQ3 2021","Currency=USD","Period=FQ","BEST_FPERIOD_OVERRIDE=FQ","FILING_STATUS=MR","SCALING_FORMAT=MLN","Sort=A","Dates=H","DateFormat=P","Fill=—","Direction=H","UseDPDF=Y")</f>
        <v>—</v>
      </c>
      <c r="O26" s="13" t="str">
        <f>_xll.BDH("NBIX US Equity","IS_AMORT_INTANG_ACQ_REL_AT","FQ4 2021","FQ4 2021","Currency=USD","Period=FQ","BEST_FPERIOD_OVERRIDE=FQ","FILING_STATUS=MR","SCALING_FORMAT=MLN","Sort=A","Dates=H","DateFormat=P","Fill=—","Direction=H","UseDPDF=Y")</f>
        <v>—</v>
      </c>
      <c r="P26" s="13" t="str">
        <f>_xll.BDH("NBIX US Equity","IS_AMORT_INTANG_ACQ_REL_AT","FQ1 2022","FQ1 2022","Currency=USD","Period=FQ","BEST_FPERIOD_OVERRIDE=FQ","FILING_STATUS=MR","SCALING_FORMAT=MLN","Sort=A","Dates=H","DateFormat=P","Fill=—","Direction=H","UseDPDF=Y")</f>
        <v>—</v>
      </c>
      <c r="Q26" s="13" t="str">
        <f>_xll.BDH("NBIX US Equity","IS_AMORT_INTANG_ACQ_REL_AT","FQ2 2022","FQ2 2022","Currency=USD","Period=FQ","BEST_FPERIOD_OVERRIDE=FQ","FILING_STATUS=MR","SCALING_FORMAT=MLN","Sort=A","Dates=H","DateFormat=P","Fill=—","Direction=H","UseDPDF=Y")</f>
        <v>—</v>
      </c>
      <c r="R26" s="13" t="str">
        <f>_xll.BDH("NBIX US Equity","IS_AMORT_INTANG_ACQ_REL_AT","FQ3 2022","FQ3 2022","Currency=USD","Period=FQ","BEST_FPERIOD_OVERRIDE=FQ","FILING_STATUS=MR","SCALING_FORMAT=MLN","Sort=A","Dates=H","DateFormat=P","Fill=—","Direction=H","UseDPDF=Y")</f>
        <v>—</v>
      </c>
      <c r="S26" s="13" t="str">
        <f>_xll.BDH("NBIX US Equity","IS_AMORT_INTANG_ACQ_REL_AT","FQ4 2022","FQ4 2022","Currency=USD","Period=FQ","BEST_FPERIOD_OVERRIDE=FQ","FILING_STATUS=MR","SCALING_FORMAT=MLN","Sort=A","Dates=H","DateFormat=P","Fill=—","Direction=H","UseDPDF=Y")</f>
        <v>—</v>
      </c>
      <c r="T26" s="13" t="str">
        <f>_xll.BDH("NBIX US Equity","IS_AMORT_INTANG_ACQ_REL_AT","FQ1 2023","FQ1 2023","Currency=USD","Period=FQ","BEST_FPERIOD_OVERRIDE=FQ","FILING_STATUS=MR","SCALING_FORMAT=MLN","Sort=A","Dates=H","DateFormat=P","Fill=—","Direction=H","UseDPDF=Y")</f>
        <v>—</v>
      </c>
      <c r="U26" s="13" t="str">
        <f>_xll.BDH("NBIX US Equity","IS_AMORT_INTANG_ACQ_REL_AT","FQ2 2023","FQ2 2023","Currency=USD","Period=FQ","BEST_FPERIOD_OVERRIDE=FQ","FILING_STATUS=MR","SCALING_FORMAT=MLN","Sort=A","Dates=H","DateFormat=P","Fill=—","Direction=H","UseDPDF=Y")</f>
        <v>—</v>
      </c>
      <c r="V26" s="13">
        <f>_xll.BDH("NBIX US Equity","IS_AMORT_INTANG_ACQ_REL_AT","FQ3 2023","FQ3 2023","Currency=USD","Period=FQ","BEST_FPERIOD_OVERRIDE=FQ","FILING_STATUS=MR","SCALING_FORMAT=MLN","Sort=A","Dates=H","DateFormat=P","Fill=—","Direction=H","UseDPDF=Y")</f>
        <v>0.15060000000000001</v>
      </c>
      <c r="W26" s="13">
        <f>_xll.BDH("NBIX US Equity","IS_AMORT_INTANG_ACQ_REL_AT","FQ4 2023","FQ4 2023","Currency=USD","Period=FQ","BEST_FPERIOD_OVERRIDE=FQ","FILING_STATUS=MR","SCALING_FORMAT=MLN","Sort=A","Dates=H","DateFormat=P","Fill=—","Direction=H","UseDPDF=Y")</f>
        <v>0.8</v>
      </c>
      <c r="X26" s="13">
        <f>_xll.BDH("NBIX US Equity","IS_AMORT_INTANG_ACQ_REL_AT","FQ1 2024","FQ1 2024","Currency=USD","Period=FQ","BEST_FPERIOD_OVERRIDE=FQ","FILING_STATUS=MR","SCALING_FORMAT=MLN","Sort=A","Dates=H","DateFormat=P","Fill=—","Direction=H","UseDPDF=Y")</f>
        <v>0.71099999999999997</v>
      </c>
      <c r="Y26" s="13">
        <f>_xll.BDH("NBIX US Equity","IS_AMORT_INTANG_ACQ_REL_AT","FQ2 2024","FQ2 2024","Currency=USD","Period=FQ","BEST_FPERIOD_OVERRIDE=FQ","FILING_STATUS=MR","SCALING_FORMAT=MLN","Sort=A","Dates=H","DateFormat=P","Fill=—","Direction=H","UseDPDF=Y")</f>
        <v>0.73229999999999995</v>
      </c>
      <c r="Z26" s="13">
        <f>_xll.BDH("NBIX US Equity","IS_AMORT_INTANG_ACQ_REL_AT","FQ3 2024","FQ3 2024","Currency=USD","Period=FQ","BEST_FPERIOD_OVERRIDE=FQ","FILING_STATUS=MR","SCALING_FORMAT=MLN","Sort=A","Dates=H","DateFormat=P","Fill=—","Direction=H","UseDPDF=Y")</f>
        <v>0.85880000000000001</v>
      </c>
      <c r="AA26" s="13">
        <f>_xll.BDH("NBIX US Equity","IS_AMORT_INTANG_ACQ_REL_AT","FQ4 2024","FQ4 2024","Currency=USD","Period=FQ","BEST_FPERIOD_OVERRIDE=FQ","FILING_STATUS=MR","SCALING_FORMAT=MLN","Sort=A","Dates=H","DateFormat=P","Fill=—","Direction=H","UseDPDF=Y")</f>
        <v>0.90129999999999999</v>
      </c>
    </row>
    <row r="27" spans="1:27" x14ac:dyDescent="0.25">
      <c r="A27" s="10" t="s">
        <v>642</v>
      </c>
      <c r="B27" s="10" t="s">
        <v>655</v>
      </c>
      <c r="C27" s="14" t="str">
        <f>_xll.BDH("NBIX US Equity","IS_AMORT_INTANG_ACQ_REL_BASIC_PS","FQ4 2018","FQ4 2018","Currency=USD","Period=FQ","BEST_FPERIOD_OVERRIDE=FQ","FILING_STATUS=MR","Sort=A","Dates=H","DateFormat=P","Fill=—","Direction=H","UseDPDF=Y")</f>
        <v>—</v>
      </c>
      <c r="D27" s="14" t="str">
        <f>_xll.BDH("NBIX US Equity","IS_AMORT_INTANG_ACQ_REL_BASIC_PS","FQ1 2019","FQ1 2019","Currency=USD","Period=FQ","BEST_FPERIOD_OVERRIDE=FQ","FILING_STATUS=MR","Sort=A","Dates=H","DateFormat=P","Fill=—","Direction=H","UseDPDF=Y")</f>
        <v>—</v>
      </c>
      <c r="E27" s="14" t="str">
        <f>_xll.BDH("NBIX US Equity","IS_AMORT_INTANG_ACQ_REL_BASIC_PS","FQ2 2019","FQ2 2019","Currency=USD","Period=FQ","BEST_FPERIOD_OVERRIDE=FQ","FILING_STATUS=MR","Sort=A","Dates=H","DateFormat=P","Fill=—","Direction=H","UseDPDF=Y")</f>
        <v>—</v>
      </c>
      <c r="F27" s="14" t="str">
        <f>_xll.BDH("NBIX US Equity","IS_AMORT_INTANG_ACQ_REL_BASIC_PS","FQ3 2019","FQ3 2019","Currency=USD","Period=FQ","BEST_FPERIOD_OVERRIDE=FQ","FILING_STATUS=MR","Sort=A","Dates=H","DateFormat=P","Fill=—","Direction=H","UseDPDF=Y")</f>
        <v>—</v>
      </c>
      <c r="G27" s="14" t="str">
        <f>_xll.BDH("NBIX US Equity","IS_AMORT_INTANG_ACQ_REL_BASIC_PS","FQ4 2019","FQ4 2019","Currency=USD","Period=FQ","BEST_FPERIOD_OVERRIDE=FQ","FILING_STATUS=MR","Sort=A","Dates=H","DateFormat=P","Fill=—","Direction=H","UseDPDF=Y")</f>
        <v>—</v>
      </c>
      <c r="H27" s="14" t="str">
        <f>_xll.BDH("NBIX US Equity","IS_AMORT_INTANG_ACQ_REL_BASIC_PS","FQ1 2020","FQ1 2020","Currency=USD","Period=FQ","BEST_FPERIOD_OVERRIDE=FQ","FILING_STATUS=MR","Sort=A","Dates=H","DateFormat=P","Fill=—","Direction=H","UseDPDF=Y")</f>
        <v>—</v>
      </c>
      <c r="I27" s="14" t="str">
        <f>_xll.BDH("NBIX US Equity","IS_AMORT_INTANG_ACQ_REL_BASIC_PS","FQ2 2020","FQ2 2020","Currency=USD","Period=FQ","BEST_FPERIOD_OVERRIDE=FQ","FILING_STATUS=MR","Sort=A","Dates=H","DateFormat=P","Fill=—","Direction=H","UseDPDF=Y")</f>
        <v>—</v>
      </c>
      <c r="J27" s="14" t="str">
        <f>_xll.BDH("NBIX US Equity","IS_AMORT_INTANG_ACQ_REL_BASIC_PS","FQ3 2020","FQ3 2020","Currency=USD","Period=FQ","BEST_FPERIOD_OVERRIDE=FQ","FILING_STATUS=MR","Sort=A","Dates=H","DateFormat=P","Fill=—","Direction=H","UseDPDF=Y")</f>
        <v>—</v>
      </c>
      <c r="K27" s="14" t="str">
        <f>_xll.BDH("NBIX US Equity","IS_AMORT_INTANG_ACQ_REL_BASIC_PS","FQ4 2020","FQ4 2020","Currency=USD","Period=FQ","BEST_FPERIOD_OVERRIDE=FQ","FILING_STATUS=MR","Sort=A","Dates=H","DateFormat=P","Fill=—","Direction=H","UseDPDF=Y")</f>
        <v>—</v>
      </c>
      <c r="L27" s="14" t="str">
        <f>_xll.BDH("NBIX US Equity","IS_AMORT_INTANG_ACQ_REL_BASIC_PS","FQ1 2021","FQ1 2021","Currency=USD","Period=FQ","BEST_FPERIOD_OVERRIDE=FQ","FILING_STATUS=MR","Sort=A","Dates=H","DateFormat=P","Fill=—","Direction=H","UseDPDF=Y")</f>
        <v>—</v>
      </c>
      <c r="M27" s="14" t="str">
        <f>_xll.BDH("NBIX US Equity","IS_AMORT_INTANG_ACQ_REL_BASIC_PS","FQ2 2021","FQ2 2021","Currency=USD","Period=FQ","BEST_FPERIOD_OVERRIDE=FQ","FILING_STATUS=MR","Sort=A","Dates=H","DateFormat=P","Fill=—","Direction=H","UseDPDF=Y")</f>
        <v>—</v>
      </c>
      <c r="N27" s="14" t="str">
        <f>_xll.BDH("NBIX US Equity","IS_AMORT_INTANG_ACQ_REL_BASIC_PS","FQ3 2021","FQ3 2021","Currency=USD","Period=FQ","BEST_FPERIOD_OVERRIDE=FQ","FILING_STATUS=MR","Sort=A","Dates=H","DateFormat=P","Fill=—","Direction=H","UseDPDF=Y")</f>
        <v>—</v>
      </c>
      <c r="O27" s="14" t="str">
        <f>_xll.BDH("NBIX US Equity","IS_AMORT_INTANG_ACQ_REL_BASIC_PS","FQ4 2021","FQ4 2021","Currency=USD","Period=FQ","BEST_FPERIOD_OVERRIDE=FQ","FILING_STATUS=MR","Sort=A","Dates=H","DateFormat=P","Fill=—","Direction=H","UseDPDF=Y")</f>
        <v>—</v>
      </c>
      <c r="P27" s="14" t="str">
        <f>_xll.BDH("NBIX US Equity","IS_AMORT_INTANG_ACQ_REL_BASIC_PS","FQ1 2022","FQ1 2022","Currency=USD","Period=FQ","BEST_FPERIOD_OVERRIDE=FQ","FILING_STATUS=MR","Sort=A","Dates=H","DateFormat=P","Fill=—","Direction=H","UseDPDF=Y")</f>
        <v>—</v>
      </c>
      <c r="Q27" s="14" t="str">
        <f>_xll.BDH("NBIX US Equity","IS_AMORT_INTANG_ACQ_REL_BASIC_PS","FQ2 2022","FQ2 2022","Currency=USD","Period=FQ","BEST_FPERIOD_OVERRIDE=FQ","FILING_STATUS=MR","Sort=A","Dates=H","DateFormat=P","Fill=—","Direction=H","UseDPDF=Y")</f>
        <v>—</v>
      </c>
      <c r="R27" s="14" t="str">
        <f>_xll.BDH("NBIX US Equity","IS_AMORT_INTANG_ACQ_REL_BASIC_PS","FQ3 2022","FQ3 2022","Currency=USD","Period=FQ","BEST_FPERIOD_OVERRIDE=FQ","FILING_STATUS=MR","Sort=A","Dates=H","DateFormat=P","Fill=—","Direction=H","UseDPDF=Y")</f>
        <v>—</v>
      </c>
      <c r="S27" s="14" t="str">
        <f>_xll.BDH("NBIX US Equity","IS_AMORT_INTANG_ACQ_REL_BASIC_PS","FQ4 2022","FQ4 2022","Currency=USD","Period=FQ","BEST_FPERIOD_OVERRIDE=FQ","FILING_STATUS=MR","Sort=A","Dates=H","DateFormat=P","Fill=—","Direction=H","UseDPDF=Y")</f>
        <v>—</v>
      </c>
      <c r="T27" s="14" t="str">
        <f>_xll.BDH("NBIX US Equity","IS_AMORT_INTANG_ACQ_REL_BASIC_PS","FQ1 2023","FQ1 2023","Currency=USD","Period=FQ","BEST_FPERIOD_OVERRIDE=FQ","FILING_STATUS=MR","Sort=A","Dates=H","DateFormat=P","Fill=—","Direction=H","UseDPDF=Y")</f>
        <v>—</v>
      </c>
      <c r="U27" s="14" t="str">
        <f>_xll.BDH("NBIX US Equity","IS_AMORT_INTANG_ACQ_REL_BASIC_PS","FQ2 2023","FQ2 2023","Currency=USD","Period=FQ","BEST_FPERIOD_OVERRIDE=FQ","FILING_STATUS=MR","Sort=A","Dates=H","DateFormat=P","Fill=—","Direction=H","UseDPDF=Y")</f>
        <v>—</v>
      </c>
      <c r="V27" s="14">
        <f>_xll.BDH("NBIX US Equity","IS_AMORT_INTANG_ACQ_REL_BASIC_PS","FQ3 2023","FQ3 2023","Currency=USD","Period=FQ","BEST_FPERIOD_OVERRIDE=FQ","FILING_STATUS=MR","Sort=A","Dates=H","DateFormat=P","Fill=—","Direction=H","UseDPDF=Y")</f>
        <v>7.3000000000000001E-3</v>
      </c>
      <c r="W27" s="14">
        <f>_xll.BDH("NBIX US Equity","IS_AMORT_INTANG_ACQ_REL_BASIC_PS","FQ4 2023","FQ4 2023","Currency=USD","Period=FQ","BEST_FPERIOD_OVERRIDE=FQ","FILING_STATUS=MR","Sort=A","Dates=H","DateFormat=P","Fill=—","Direction=H","UseDPDF=Y")</f>
        <v>6.4000000000000003E-3</v>
      </c>
      <c r="X27" s="14">
        <f>_xll.BDH("NBIX US Equity","IS_AMORT_INTANG_ACQ_REL_BASIC_PS","FQ1 2024","FQ1 2024","Currency=USD","Period=FQ","BEST_FPERIOD_OVERRIDE=FQ","FILING_STATUS=MR","Sort=A","Dates=H","DateFormat=P","Fill=—","Direction=H","UseDPDF=Y")</f>
        <v>7.1000000000000004E-3</v>
      </c>
      <c r="Y27" s="14">
        <f>_xll.BDH("NBIX US Equity","IS_AMORT_INTANG_ACQ_REL_BASIC_PS","FQ2 2024","FQ2 2024","Currency=USD","Period=FQ","BEST_FPERIOD_OVERRIDE=FQ","FILING_STATUS=MR","Sort=A","Dates=H","DateFormat=P","Fill=—","Direction=H","UseDPDF=Y")</f>
        <v>7.1000000000000004E-3</v>
      </c>
      <c r="Z27" s="14">
        <f>_xll.BDH("NBIX US Equity","IS_AMORT_INTANG_ACQ_REL_BASIC_PS","FQ3 2024","FQ3 2024","Currency=USD","Period=FQ","BEST_FPERIOD_OVERRIDE=FQ","FILING_STATUS=MR","Sort=A","Dates=H","DateFormat=P","Fill=—","Direction=H","UseDPDF=Y")</f>
        <v>7.0000000000000001E-3</v>
      </c>
      <c r="AA27" s="14">
        <f>_xll.BDH("NBIX US Equity","IS_AMORT_INTANG_ACQ_REL_BASIC_PS","FQ4 2024","FQ4 2024","Currency=USD","Period=FQ","BEST_FPERIOD_OVERRIDE=FQ","FILING_STATUS=MR","Sort=A","Dates=H","DateFormat=P","Fill=—","Direction=H","UseDPDF=Y")</f>
        <v>7.1000000000000004E-3</v>
      </c>
    </row>
    <row r="28" spans="1:27" x14ac:dyDescent="0.25">
      <c r="A28" s="10" t="s">
        <v>644</v>
      </c>
      <c r="B28" s="10" t="s">
        <v>656</v>
      </c>
      <c r="C28" s="14" t="str">
        <f>_xll.BDH("NBIX US Equity","IS_AMORT_INTANG_ACQ_REL_DIL_PS","FQ4 2018","FQ4 2018","Currency=USD","Period=FQ","BEST_FPERIOD_OVERRIDE=FQ","FILING_STATUS=MR","Sort=A","Dates=H","DateFormat=P","Fill=—","Direction=H","UseDPDF=Y")</f>
        <v>—</v>
      </c>
      <c r="D28" s="14" t="str">
        <f>_xll.BDH("NBIX US Equity","IS_AMORT_INTANG_ACQ_REL_DIL_PS","FQ1 2019","FQ1 2019","Currency=USD","Period=FQ","BEST_FPERIOD_OVERRIDE=FQ","FILING_STATUS=MR","Sort=A","Dates=H","DateFormat=P","Fill=—","Direction=H","UseDPDF=Y")</f>
        <v>—</v>
      </c>
      <c r="E28" s="14" t="str">
        <f>_xll.BDH("NBIX US Equity","IS_AMORT_INTANG_ACQ_REL_DIL_PS","FQ2 2019","FQ2 2019","Currency=USD","Period=FQ","BEST_FPERIOD_OVERRIDE=FQ","FILING_STATUS=MR","Sort=A","Dates=H","DateFormat=P","Fill=—","Direction=H","UseDPDF=Y")</f>
        <v>—</v>
      </c>
      <c r="F28" s="14" t="str">
        <f>_xll.BDH("NBIX US Equity","IS_AMORT_INTANG_ACQ_REL_DIL_PS","FQ3 2019","FQ3 2019","Currency=USD","Period=FQ","BEST_FPERIOD_OVERRIDE=FQ","FILING_STATUS=MR","Sort=A","Dates=H","DateFormat=P","Fill=—","Direction=H","UseDPDF=Y")</f>
        <v>—</v>
      </c>
      <c r="G28" s="14" t="str">
        <f>_xll.BDH("NBIX US Equity","IS_AMORT_INTANG_ACQ_REL_DIL_PS","FQ4 2019","FQ4 2019","Currency=USD","Period=FQ","BEST_FPERIOD_OVERRIDE=FQ","FILING_STATUS=MR","Sort=A","Dates=H","DateFormat=P","Fill=—","Direction=H","UseDPDF=Y")</f>
        <v>—</v>
      </c>
      <c r="H28" s="14" t="str">
        <f>_xll.BDH("NBIX US Equity","IS_AMORT_INTANG_ACQ_REL_DIL_PS","FQ1 2020","FQ1 2020","Currency=USD","Period=FQ","BEST_FPERIOD_OVERRIDE=FQ","FILING_STATUS=MR","Sort=A","Dates=H","DateFormat=P","Fill=—","Direction=H","UseDPDF=Y")</f>
        <v>—</v>
      </c>
      <c r="I28" s="14" t="str">
        <f>_xll.BDH("NBIX US Equity","IS_AMORT_INTANG_ACQ_REL_DIL_PS","FQ2 2020","FQ2 2020","Currency=USD","Period=FQ","BEST_FPERIOD_OVERRIDE=FQ","FILING_STATUS=MR","Sort=A","Dates=H","DateFormat=P","Fill=—","Direction=H","UseDPDF=Y")</f>
        <v>—</v>
      </c>
      <c r="J28" s="14" t="str">
        <f>_xll.BDH("NBIX US Equity","IS_AMORT_INTANG_ACQ_REL_DIL_PS","FQ3 2020","FQ3 2020","Currency=USD","Period=FQ","BEST_FPERIOD_OVERRIDE=FQ","FILING_STATUS=MR","Sort=A","Dates=H","DateFormat=P","Fill=—","Direction=H","UseDPDF=Y")</f>
        <v>—</v>
      </c>
      <c r="K28" s="14" t="str">
        <f>_xll.BDH("NBIX US Equity","IS_AMORT_INTANG_ACQ_REL_DIL_PS","FQ4 2020","FQ4 2020","Currency=USD","Period=FQ","BEST_FPERIOD_OVERRIDE=FQ","FILING_STATUS=MR","Sort=A","Dates=H","DateFormat=P","Fill=—","Direction=H","UseDPDF=Y")</f>
        <v>—</v>
      </c>
      <c r="L28" s="14" t="str">
        <f>_xll.BDH("NBIX US Equity","IS_AMORT_INTANG_ACQ_REL_DIL_PS","FQ1 2021","FQ1 2021","Currency=USD","Period=FQ","BEST_FPERIOD_OVERRIDE=FQ","FILING_STATUS=MR","Sort=A","Dates=H","DateFormat=P","Fill=—","Direction=H","UseDPDF=Y")</f>
        <v>—</v>
      </c>
      <c r="M28" s="14" t="str">
        <f>_xll.BDH("NBIX US Equity","IS_AMORT_INTANG_ACQ_REL_DIL_PS","FQ2 2021","FQ2 2021","Currency=USD","Period=FQ","BEST_FPERIOD_OVERRIDE=FQ","FILING_STATUS=MR","Sort=A","Dates=H","DateFormat=P","Fill=—","Direction=H","UseDPDF=Y")</f>
        <v>—</v>
      </c>
      <c r="N28" s="14" t="str">
        <f>_xll.BDH("NBIX US Equity","IS_AMORT_INTANG_ACQ_REL_DIL_PS","FQ3 2021","FQ3 2021","Currency=USD","Period=FQ","BEST_FPERIOD_OVERRIDE=FQ","FILING_STATUS=MR","Sort=A","Dates=H","DateFormat=P","Fill=—","Direction=H","UseDPDF=Y")</f>
        <v>—</v>
      </c>
      <c r="O28" s="14" t="str">
        <f>_xll.BDH("NBIX US Equity","IS_AMORT_INTANG_ACQ_REL_DIL_PS","FQ4 2021","FQ4 2021","Currency=USD","Period=FQ","BEST_FPERIOD_OVERRIDE=FQ","FILING_STATUS=MR","Sort=A","Dates=H","DateFormat=P","Fill=—","Direction=H","UseDPDF=Y")</f>
        <v>—</v>
      </c>
      <c r="P28" s="14" t="str">
        <f>_xll.BDH("NBIX US Equity","IS_AMORT_INTANG_ACQ_REL_DIL_PS","FQ1 2022","FQ1 2022","Currency=USD","Period=FQ","BEST_FPERIOD_OVERRIDE=FQ","FILING_STATUS=MR","Sort=A","Dates=H","DateFormat=P","Fill=—","Direction=H","UseDPDF=Y")</f>
        <v>—</v>
      </c>
      <c r="Q28" s="14" t="str">
        <f>_xll.BDH("NBIX US Equity","IS_AMORT_INTANG_ACQ_REL_DIL_PS","FQ2 2022","FQ2 2022","Currency=USD","Period=FQ","BEST_FPERIOD_OVERRIDE=FQ","FILING_STATUS=MR","Sort=A","Dates=H","DateFormat=P","Fill=—","Direction=H","UseDPDF=Y")</f>
        <v>—</v>
      </c>
      <c r="R28" s="14" t="str">
        <f>_xll.BDH("NBIX US Equity","IS_AMORT_INTANG_ACQ_REL_DIL_PS","FQ3 2022","FQ3 2022","Currency=USD","Period=FQ","BEST_FPERIOD_OVERRIDE=FQ","FILING_STATUS=MR","Sort=A","Dates=H","DateFormat=P","Fill=—","Direction=H","UseDPDF=Y")</f>
        <v>—</v>
      </c>
      <c r="S28" s="14" t="str">
        <f>_xll.BDH("NBIX US Equity","IS_AMORT_INTANG_ACQ_REL_DIL_PS","FQ4 2022","FQ4 2022","Currency=USD","Period=FQ","BEST_FPERIOD_OVERRIDE=FQ","FILING_STATUS=MR","Sort=A","Dates=H","DateFormat=P","Fill=—","Direction=H","UseDPDF=Y")</f>
        <v>—</v>
      </c>
      <c r="T28" s="14" t="str">
        <f>_xll.BDH("NBIX US Equity","IS_AMORT_INTANG_ACQ_REL_DIL_PS","FQ1 2023","FQ1 2023","Currency=USD","Period=FQ","BEST_FPERIOD_OVERRIDE=FQ","FILING_STATUS=MR","Sort=A","Dates=H","DateFormat=P","Fill=—","Direction=H","UseDPDF=Y")</f>
        <v>—</v>
      </c>
      <c r="U28" s="14" t="str">
        <f>_xll.BDH("NBIX US Equity","IS_AMORT_INTANG_ACQ_REL_DIL_PS","FQ2 2023","FQ2 2023","Currency=USD","Period=FQ","BEST_FPERIOD_OVERRIDE=FQ","FILING_STATUS=MR","Sort=A","Dates=H","DateFormat=P","Fill=—","Direction=H","UseDPDF=Y")</f>
        <v>—</v>
      </c>
      <c r="V28" s="14">
        <f>_xll.BDH("NBIX US Equity","IS_AMORT_INTANG_ACQ_REL_DIL_PS","FQ3 2023","FQ3 2023","Currency=USD","Period=FQ","BEST_FPERIOD_OVERRIDE=FQ","FILING_STATUS=MR","Sort=A","Dates=H","DateFormat=P","Fill=—","Direction=H","UseDPDF=Y")</f>
        <v>7.0000000000000001E-3</v>
      </c>
      <c r="W28" s="14">
        <f>_xll.BDH("NBIX US Equity","IS_AMORT_INTANG_ACQ_REL_DIL_PS","FQ4 2023","FQ4 2023","Currency=USD","Period=FQ","BEST_FPERIOD_OVERRIDE=FQ","FILING_STATUS=MR","Sort=A","Dates=H","DateFormat=P","Fill=—","Direction=H","UseDPDF=Y")</f>
        <v>6.1999999999999998E-3</v>
      </c>
      <c r="X28" s="14">
        <f>_xll.BDH("NBIX US Equity","IS_AMORT_INTANG_ACQ_REL_DIL_PS","FQ1 2024","FQ1 2024","Currency=USD","Period=FQ","BEST_FPERIOD_OVERRIDE=FQ","FILING_STATUS=MR","Sort=A","Dates=H","DateFormat=P","Fill=—","Direction=H","UseDPDF=Y")</f>
        <v>6.8999999999999999E-3</v>
      </c>
      <c r="Y28" s="14">
        <f>_xll.BDH("NBIX US Equity","IS_AMORT_INTANG_ACQ_REL_DIL_PS","FQ2 2024","FQ2 2024","Currency=USD","Period=FQ","BEST_FPERIOD_OVERRIDE=FQ","FILING_STATUS=MR","Sort=A","Dates=H","DateFormat=P","Fill=—","Direction=H","UseDPDF=Y")</f>
        <v>6.7999999999999996E-3</v>
      </c>
      <c r="Z28" s="14">
        <f>_xll.BDH("NBIX US Equity","IS_AMORT_INTANG_ACQ_REL_DIL_PS","FQ3 2024","FQ3 2024","Currency=USD","Period=FQ","BEST_FPERIOD_OVERRIDE=FQ","FILING_STATUS=MR","Sort=A","Dates=H","DateFormat=P","Fill=—","Direction=H","UseDPDF=Y")</f>
        <v>6.7999999999999996E-3</v>
      </c>
      <c r="AA28" s="14">
        <f>_xll.BDH("NBIX US Equity","IS_AMORT_INTANG_ACQ_REL_DIL_PS","FQ4 2024","FQ4 2024","Currency=USD","Period=FQ","BEST_FPERIOD_OVERRIDE=FQ","FILING_STATUS=MR","Sort=A","Dates=H","DateFormat=P","Fill=—","Direction=H","UseDPDF=Y")</f>
        <v>6.8999999999999999E-3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5">
      <c r="A31" s="10" t="s">
        <v>657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10" t="s">
        <v>638</v>
      </c>
      <c r="B32" s="10" t="s">
        <v>658</v>
      </c>
      <c r="C32" s="13" t="str">
        <f>_xll.BDH("NBIX US Equity","IS_AMORT_OF_TOT_INTANG_PRETX","FQ4 2018","FQ4 2018","Currency=USD","Period=FQ","BEST_FPERIOD_OVERRIDE=FQ","FILING_STATUS=MR","SCALING_FORMAT=MLN","Sort=A","Dates=H","DateFormat=P","Fill=—","Direction=H","UseDPDF=Y")</f>
        <v>—</v>
      </c>
      <c r="D32" s="13" t="str">
        <f>_xll.BDH("NBIX US Equity","IS_AMORT_OF_TOT_INTANG_PRETX","FQ1 2019","FQ1 2019","Currency=USD","Period=FQ","BEST_FPERIOD_OVERRIDE=FQ","FILING_STATUS=MR","SCALING_FORMAT=MLN","Sort=A","Dates=H","DateFormat=P","Fill=—","Direction=H","UseDPDF=Y")</f>
        <v>—</v>
      </c>
      <c r="E32" s="13" t="str">
        <f>_xll.BDH("NBIX US Equity","IS_AMORT_OF_TOT_INTANG_PRETX","FQ2 2019","FQ2 2019","Currency=USD","Period=FQ","BEST_FPERIOD_OVERRIDE=FQ","FILING_STATUS=MR","SCALING_FORMAT=MLN","Sort=A","Dates=H","DateFormat=P","Fill=—","Direction=H","UseDPDF=Y")</f>
        <v>—</v>
      </c>
      <c r="F32" s="13" t="str">
        <f>_xll.BDH("NBIX US Equity","IS_AMORT_OF_TOT_INTANG_PRETX","FQ3 2019","FQ3 2019","Currency=USD","Period=FQ","BEST_FPERIOD_OVERRIDE=FQ","FILING_STATUS=MR","SCALING_FORMAT=MLN","Sort=A","Dates=H","DateFormat=P","Fill=—","Direction=H","UseDPDF=Y")</f>
        <v>—</v>
      </c>
      <c r="G32" s="13" t="str">
        <f>_xll.BDH("NBIX US Equity","IS_AMORT_OF_TOT_INTANG_PRETX","FQ4 2019","FQ4 2019","Currency=USD","Period=FQ","BEST_FPERIOD_OVERRIDE=FQ","FILING_STATUS=MR","SCALING_FORMAT=MLN","Sort=A","Dates=H","DateFormat=P","Fill=—","Direction=H","UseDPDF=Y")</f>
        <v>—</v>
      </c>
      <c r="H32" s="13" t="str">
        <f>_xll.BDH("NBIX US Equity","IS_AMORT_OF_TOT_INTANG_PRETX","FQ1 2020","FQ1 2020","Currency=USD","Period=FQ","BEST_FPERIOD_OVERRIDE=FQ","FILING_STATUS=MR","SCALING_FORMAT=MLN","Sort=A","Dates=H","DateFormat=P","Fill=—","Direction=H","UseDPDF=Y")</f>
        <v>—</v>
      </c>
      <c r="I32" s="13" t="str">
        <f>_xll.BDH("NBIX US Equity","IS_AMORT_OF_TOT_INTANG_PRETX","FQ2 2020","FQ2 2020","Currency=USD","Period=FQ","BEST_FPERIOD_OVERRIDE=FQ","FILING_STATUS=MR","SCALING_FORMAT=MLN","Sort=A","Dates=H","DateFormat=P","Fill=—","Direction=H","UseDPDF=Y")</f>
        <v>—</v>
      </c>
      <c r="J32" s="13" t="str">
        <f>_xll.BDH("NBIX US Equity","IS_AMORT_OF_TOT_INTANG_PRETX","FQ3 2020","FQ3 2020","Currency=USD","Period=FQ","BEST_FPERIOD_OVERRIDE=FQ","FILING_STATUS=MR","SCALING_FORMAT=MLN","Sort=A","Dates=H","DateFormat=P","Fill=—","Direction=H","UseDPDF=Y")</f>
        <v>—</v>
      </c>
      <c r="K32" s="13" t="str">
        <f>_xll.BDH("NBIX US Equity","IS_AMORT_OF_TOT_INTANG_PRETX","FQ4 2020","FQ4 2020","Currency=USD","Period=FQ","BEST_FPERIOD_OVERRIDE=FQ","FILING_STATUS=MR","SCALING_FORMAT=MLN","Sort=A","Dates=H","DateFormat=P","Fill=—","Direction=H","UseDPDF=Y")</f>
        <v>—</v>
      </c>
      <c r="L32" s="13" t="str">
        <f>_xll.BDH("NBIX US Equity","IS_AMORT_OF_TOT_INTANG_PRETX","FQ1 2021","FQ1 2021","Currency=USD","Period=FQ","BEST_FPERIOD_OVERRIDE=FQ","FILING_STATUS=MR","SCALING_FORMAT=MLN","Sort=A","Dates=H","DateFormat=P","Fill=—","Direction=H","UseDPDF=Y")</f>
        <v>—</v>
      </c>
      <c r="M32" s="13" t="str">
        <f>_xll.BDH("NBIX US Equity","IS_AMORT_OF_TOT_INTANG_PRETX","FQ2 2021","FQ2 2021","Currency=USD","Period=FQ","BEST_FPERIOD_OVERRIDE=FQ","FILING_STATUS=MR","SCALING_FORMAT=MLN","Sort=A","Dates=H","DateFormat=P","Fill=—","Direction=H","UseDPDF=Y")</f>
        <v>—</v>
      </c>
      <c r="N32" s="13" t="str">
        <f>_xll.BDH("NBIX US Equity","IS_AMORT_OF_TOT_INTANG_PRETX","FQ3 2021","FQ3 2021","Currency=USD","Period=FQ","BEST_FPERIOD_OVERRIDE=FQ","FILING_STATUS=MR","SCALING_FORMAT=MLN","Sort=A","Dates=H","DateFormat=P","Fill=—","Direction=H","UseDPDF=Y")</f>
        <v>—</v>
      </c>
      <c r="O32" s="13" t="str">
        <f>_xll.BDH("NBIX US Equity","IS_AMORT_OF_TOT_INTANG_PRETX","FQ4 2021","FQ4 2021","Currency=USD","Period=FQ","BEST_FPERIOD_OVERRIDE=FQ","FILING_STATUS=MR","SCALING_FORMAT=MLN","Sort=A","Dates=H","DateFormat=P","Fill=—","Direction=H","UseDPDF=Y")</f>
        <v>—</v>
      </c>
      <c r="P32" s="13" t="str">
        <f>_xll.BDH("NBIX US Equity","IS_AMORT_OF_TOT_INTANG_PRETX","FQ1 2022","FQ1 2022","Currency=USD","Period=FQ","BEST_FPERIOD_OVERRIDE=FQ","FILING_STATUS=MR","SCALING_FORMAT=MLN","Sort=A","Dates=H","DateFormat=P","Fill=—","Direction=H","UseDPDF=Y")</f>
        <v>—</v>
      </c>
      <c r="Q32" s="13" t="str">
        <f>_xll.BDH("NBIX US Equity","IS_AMORT_OF_TOT_INTANG_PRETX","FQ2 2022","FQ2 2022","Currency=USD","Period=FQ","BEST_FPERIOD_OVERRIDE=FQ","FILING_STATUS=MR","SCALING_FORMAT=MLN","Sort=A","Dates=H","DateFormat=P","Fill=—","Direction=H","UseDPDF=Y")</f>
        <v>—</v>
      </c>
      <c r="R32" s="13" t="str">
        <f>_xll.BDH("NBIX US Equity","IS_AMORT_OF_TOT_INTANG_PRETX","FQ3 2022","FQ3 2022","Currency=USD","Period=FQ","BEST_FPERIOD_OVERRIDE=FQ","FILING_STATUS=MR","SCALING_FORMAT=MLN","Sort=A","Dates=H","DateFormat=P","Fill=—","Direction=H","UseDPDF=Y")</f>
        <v>—</v>
      </c>
      <c r="S32" s="13" t="str">
        <f>_xll.BDH("NBIX US Equity","IS_AMORT_OF_TOT_INTANG_PRETX","FQ4 2022","FQ4 2022","Currency=USD","Period=FQ","BEST_FPERIOD_OVERRIDE=FQ","FILING_STATUS=MR","SCALING_FORMAT=MLN","Sort=A","Dates=H","DateFormat=P","Fill=—","Direction=H","UseDPDF=Y")</f>
        <v>—</v>
      </c>
      <c r="T32" s="13" t="str">
        <f>_xll.BDH("NBIX US Equity","IS_AMORT_OF_TOT_INTANG_PRETX","FQ1 2023","FQ1 2023","Currency=USD","Period=FQ","BEST_FPERIOD_OVERRIDE=FQ","FILING_STATUS=MR","SCALING_FORMAT=MLN","Sort=A","Dates=H","DateFormat=P","Fill=—","Direction=H","UseDPDF=Y")</f>
        <v>—</v>
      </c>
      <c r="U32" s="13" t="str">
        <f>_xll.BDH("NBIX US Equity","IS_AMORT_OF_TOT_INTANG_PRETX","FQ2 2023","FQ2 2023","Currency=USD","Period=FQ","BEST_FPERIOD_OVERRIDE=FQ","FILING_STATUS=MR","SCALING_FORMAT=MLN","Sort=A","Dates=H","DateFormat=P","Fill=—","Direction=H","UseDPDF=Y")</f>
        <v>—</v>
      </c>
      <c r="V32" s="13">
        <f>_xll.BDH("NBIX US Equity","IS_AMORT_OF_TOT_INTANG_PRETX","FQ3 2023","FQ3 2023","Currency=USD","Period=FQ","BEST_FPERIOD_OVERRIDE=FQ","FILING_STATUS=MR","SCALING_FORMAT=MLN","Sort=A","Dates=H","DateFormat=P","Fill=—","Direction=H","UseDPDF=Y")</f>
        <v>0.9</v>
      </c>
      <c r="W32" s="13">
        <f>_xll.BDH("NBIX US Equity","IS_AMORT_OF_TOT_INTANG_PRETX","FQ4 2023","FQ4 2023","Currency=USD","Period=FQ","BEST_FPERIOD_OVERRIDE=FQ","FILING_STATUS=MR","SCALING_FORMAT=MLN","Sort=A","Dates=H","DateFormat=P","Fill=—","Direction=H","UseDPDF=Y")</f>
        <v>0.8</v>
      </c>
      <c r="X32" s="13">
        <f>_xll.BDH("NBIX US Equity","IS_AMORT_OF_TOT_INTANG_PRETX","FQ1 2024","FQ1 2024","Currency=USD","Period=FQ","BEST_FPERIOD_OVERRIDE=FQ","FILING_STATUS=MR","SCALING_FORMAT=MLN","Sort=A","Dates=H","DateFormat=P","Fill=—","Direction=H","UseDPDF=Y")</f>
        <v>0.9</v>
      </c>
      <c r="Y32" s="13">
        <f>_xll.BDH("NBIX US Equity","IS_AMORT_OF_TOT_INTANG_PRETX","FQ2 2024","FQ2 2024","Currency=USD","Period=FQ","BEST_FPERIOD_OVERRIDE=FQ","FILING_STATUS=MR","SCALING_FORMAT=MLN","Sort=A","Dates=H","DateFormat=P","Fill=—","Direction=H","UseDPDF=Y")</f>
        <v>0.9</v>
      </c>
      <c r="Z32" s="13">
        <f>_xll.BDH("NBIX US Equity","IS_AMORT_OF_TOT_INTANG_PRETX","FQ3 2024","FQ3 2024","Currency=USD","Period=FQ","BEST_FPERIOD_OVERRIDE=FQ","FILING_STATUS=MR","SCALING_FORMAT=MLN","Sort=A","Dates=H","DateFormat=P","Fill=—","Direction=H","UseDPDF=Y")</f>
        <v>0.9</v>
      </c>
      <c r="AA32" s="13">
        <f>_xll.BDH("NBIX US Equity","IS_AMORT_OF_TOT_INTANG_PRETX","FQ4 2024","FQ4 2024","Currency=USD","Period=FQ","BEST_FPERIOD_OVERRIDE=FQ","FILING_STATUS=MR","SCALING_FORMAT=MLN","Sort=A","Dates=H","DateFormat=P","Fill=—","Direction=H","UseDPDF=Y")</f>
        <v>0.9</v>
      </c>
    </row>
    <row r="33" spans="1:27" x14ac:dyDescent="0.25">
      <c r="A33" s="10" t="s">
        <v>640</v>
      </c>
      <c r="B33" s="10" t="s">
        <v>659</v>
      </c>
      <c r="C33" s="13" t="str">
        <f>_xll.BDH("NBIX US Equity","IS_AMORT_OF_TOT_INTANG_AFT_TAX","FQ4 2018","FQ4 2018","Currency=USD","Period=FQ","BEST_FPERIOD_OVERRIDE=FQ","FILING_STATUS=MR","SCALING_FORMAT=MLN","Sort=A","Dates=H","DateFormat=P","Fill=—","Direction=H","UseDPDF=Y")</f>
        <v>—</v>
      </c>
      <c r="D33" s="13" t="str">
        <f>_xll.BDH("NBIX US Equity","IS_AMORT_OF_TOT_INTANG_AFT_TAX","FQ1 2019","FQ1 2019","Currency=USD","Period=FQ","BEST_FPERIOD_OVERRIDE=FQ","FILING_STATUS=MR","SCALING_FORMAT=MLN","Sort=A","Dates=H","DateFormat=P","Fill=—","Direction=H","UseDPDF=Y")</f>
        <v>—</v>
      </c>
      <c r="E33" s="13" t="str">
        <f>_xll.BDH("NBIX US Equity","IS_AMORT_OF_TOT_INTANG_AFT_TAX","FQ2 2019","FQ2 2019","Currency=USD","Period=FQ","BEST_FPERIOD_OVERRIDE=FQ","FILING_STATUS=MR","SCALING_FORMAT=MLN","Sort=A","Dates=H","DateFormat=P","Fill=—","Direction=H","UseDPDF=Y")</f>
        <v>—</v>
      </c>
      <c r="F33" s="13" t="str">
        <f>_xll.BDH("NBIX US Equity","IS_AMORT_OF_TOT_INTANG_AFT_TAX","FQ3 2019","FQ3 2019","Currency=USD","Period=FQ","BEST_FPERIOD_OVERRIDE=FQ","FILING_STATUS=MR","SCALING_FORMAT=MLN","Sort=A","Dates=H","DateFormat=P","Fill=—","Direction=H","UseDPDF=Y")</f>
        <v>—</v>
      </c>
      <c r="G33" s="13" t="str">
        <f>_xll.BDH("NBIX US Equity","IS_AMORT_OF_TOT_INTANG_AFT_TAX","FQ4 2019","FQ4 2019","Currency=USD","Period=FQ","BEST_FPERIOD_OVERRIDE=FQ","FILING_STATUS=MR","SCALING_FORMAT=MLN","Sort=A","Dates=H","DateFormat=P","Fill=—","Direction=H","UseDPDF=Y")</f>
        <v>—</v>
      </c>
      <c r="H33" s="13" t="str">
        <f>_xll.BDH("NBIX US Equity","IS_AMORT_OF_TOT_INTANG_AFT_TAX","FQ1 2020","FQ1 2020","Currency=USD","Period=FQ","BEST_FPERIOD_OVERRIDE=FQ","FILING_STATUS=MR","SCALING_FORMAT=MLN","Sort=A","Dates=H","DateFormat=P","Fill=—","Direction=H","UseDPDF=Y")</f>
        <v>—</v>
      </c>
      <c r="I33" s="13" t="str">
        <f>_xll.BDH("NBIX US Equity","IS_AMORT_OF_TOT_INTANG_AFT_TAX","FQ2 2020","FQ2 2020","Currency=USD","Period=FQ","BEST_FPERIOD_OVERRIDE=FQ","FILING_STATUS=MR","SCALING_FORMAT=MLN","Sort=A","Dates=H","DateFormat=P","Fill=—","Direction=H","UseDPDF=Y")</f>
        <v>—</v>
      </c>
      <c r="J33" s="13" t="str">
        <f>_xll.BDH("NBIX US Equity","IS_AMORT_OF_TOT_INTANG_AFT_TAX","FQ3 2020","FQ3 2020","Currency=USD","Period=FQ","BEST_FPERIOD_OVERRIDE=FQ","FILING_STATUS=MR","SCALING_FORMAT=MLN","Sort=A","Dates=H","DateFormat=P","Fill=—","Direction=H","UseDPDF=Y")</f>
        <v>—</v>
      </c>
      <c r="K33" s="13" t="str">
        <f>_xll.BDH("NBIX US Equity","IS_AMORT_OF_TOT_INTANG_AFT_TAX","FQ4 2020","FQ4 2020","Currency=USD","Period=FQ","BEST_FPERIOD_OVERRIDE=FQ","FILING_STATUS=MR","SCALING_FORMAT=MLN","Sort=A","Dates=H","DateFormat=P","Fill=—","Direction=H","UseDPDF=Y")</f>
        <v>—</v>
      </c>
      <c r="L33" s="13" t="str">
        <f>_xll.BDH("NBIX US Equity","IS_AMORT_OF_TOT_INTANG_AFT_TAX","FQ1 2021","FQ1 2021","Currency=USD","Period=FQ","BEST_FPERIOD_OVERRIDE=FQ","FILING_STATUS=MR","SCALING_FORMAT=MLN","Sort=A","Dates=H","DateFormat=P","Fill=—","Direction=H","UseDPDF=Y")</f>
        <v>—</v>
      </c>
      <c r="M33" s="13" t="str">
        <f>_xll.BDH("NBIX US Equity","IS_AMORT_OF_TOT_INTANG_AFT_TAX","FQ2 2021","FQ2 2021","Currency=USD","Period=FQ","BEST_FPERIOD_OVERRIDE=FQ","FILING_STATUS=MR","SCALING_FORMAT=MLN","Sort=A","Dates=H","DateFormat=P","Fill=—","Direction=H","UseDPDF=Y")</f>
        <v>—</v>
      </c>
      <c r="N33" s="13" t="str">
        <f>_xll.BDH("NBIX US Equity","IS_AMORT_OF_TOT_INTANG_AFT_TAX","FQ3 2021","FQ3 2021","Currency=USD","Period=FQ","BEST_FPERIOD_OVERRIDE=FQ","FILING_STATUS=MR","SCALING_FORMAT=MLN","Sort=A","Dates=H","DateFormat=P","Fill=—","Direction=H","UseDPDF=Y")</f>
        <v>—</v>
      </c>
      <c r="O33" s="13" t="str">
        <f>_xll.BDH("NBIX US Equity","IS_AMORT_OF_TOT_INTANG_AFT_TAX","FQ4 2021","FQ4 2021","Currency=USD","Period=FQ","BEST_FPERIOD_OVERRIDE=FQ","FILING_STATUS=MR","SCALING_FORMAT=MLN","Sort=A","Dates=H","DateFormat=P","Fill=—","Direction=H","UseDPDF=Y")</f>
        <v>—</v>
      </c>
      <c r="P33" s="13" t="str">
        <f>_xll.BDH("NBIX US Equity","IS_AMORT_OF_TOT_INTANG_AFT_TAX","FQ1 2022","FQ1 2022","Currency=USD","Period=FQ","BEST_FPERIOD_OVERRIDE=FQ","FILING_STATUS=MR","SCALING_FORMAT=MLN","Sort=A","Dates=H","DateFormat=P","Fill=—","Direction=H","UseDPDF=Y")</f>
        <v>—</v>
      </c>
      <c r="Q33" s="13" t="str">
        <f>_xll.BDH("NBIX US Equity","IS_AMORT_OF_TOT_INTANG_AFT_TAX","FQ2 2022","FQ2 2022","Currency=USD","Period=FQ","BEST_FPERIOD_OVERRIDE=FQ","FILING_STATUS=MR","SCALING_FORMAT=MLN","Sort=A","Dates=H","DateFormat=P","Fill=—","Direction=H","UseDPDF=Y")</f>
        <v>—</v>
      </c>
      <c r="R33" s="13" t="str">
        <f>_xll.BDH("NBIX US Equity","IS_AMORT_OF_TOT_INTANG_AFT_TAX","FQ3 2022","FQ3 2022","Currency=USD","Period=FQ","BEST_FPERIOD_OVERRIDE=FQ","FILING_STATUS=MR","SCALING_FORMAT=MLN","Sort=A","Dates=H","DateFormat=P","Fill=—","Direction=H","UseDPDF=Y")</f>
        <v>—</v>
      </c>
      <c r="S33" s="13" t="str">
        <f>_xll.BDH("NBIX US Equity","IS_AMORT_OF_TOT_INTANG_AFT_TAX","FQ4 2022","FQ4 2022","Currency=USD","Period=FQ","BEST_FPERIOD_OVERRIDE=FQ","FILING_STATUS=MR","SCALING_FORMAT=MLN","Sort=A","Dates=H","DateFormat=P","Fill=—","Direction=H","UseDPDF=Y")</f>
        <v>—</v>
      </c>
      <c r="T33" s="13" t="str">
        <f>_xll.BDH("NBIX US Equity","IS_AMORT_OF_TOT_INTANG_AFT_TAX","FQ1 2023","FQ1 2023","Currency=USD","Period=FQ","BEST_FPERIOD_OVERRIDE=FQ","FILING_STATUS=MR","SCALING_FORMAT=MLN","Sort=A","Dates=H","DateFormat=P","Fill=—","Direction=H","UseDPDF=Y")</f>
        <v>—</v>
      </c>
      <c r="U33" s="13" t="str">
        <f>_xll.BDH("NBIX US Equity","IS_AMORT_OF_TOT_INTANG_AFT_TAX","FQ2 2023","FQ2 2023","Currency=USD","Period=FQ","BEST_FPERIOD_OVERRIDE=FQ","FILING_STATUS=MR","SCALING_FORMAT=MLN","Sort=A","Dates=H","DateFormat=P","Fill=—","Direction=H","UseDPDF=Y")</f>
        <v>—</v>
      </c>
      <c r="V33" s="13">
        <f>_xll.BDH("NBIX US Equity","IS_AMORT_OF_TOT_INTANG_AFT_TAX","FQ3 2023","FQ3 2023","Currency=USD","Period=FQ","BEST_FPERIOD_OVERRIDE=FQ","FILING_STATUS=MR","SCALING_FORMAT=MLN","Sort=A","Dates=H","DateFormat=P","Fill=—","Direction=H","UseDPDF=Y")</f>
        <v>0.15060000000000001</v>
      </c>
      <c r="W33" s="13">
        <f>_xll.BDH("NBIX US Equity","IS_AMORT_OF_TOT_INTANG_AFT_TAX","FQ4 2023","FQ4 2023","Currency=USD","Period=FQ","BEST_FPERIOD_OVERRIDE=FQ","FILING_STATUS=MR","SCALING_FORMAT=MLN","Sort=A","Dates=H","DateFormat=P","Fill=—","Direction=H","UseDPDF=Y")</f>
        <v>0.8</v>
      </c>
      <c r="X33" s="13">
        <f>_xll.BDH("NBIX US Equity","IS_AMORT_OF_TOT_INTANG_AFT_TAX","FQ1 2024","FQ1 2024","Currency=USD","Period=FQ","BEST_FPERIOD_OVERRIDE=FQ","FILING_STATUS=MR","SCALING_FORMAT=MLN","Sort=A","Dates=H","DateFormat=P","Fill=—","Direction=H","UseDPDF=Y")</f>
        <v>0.71099999999999997</v>
      </c>
      <c r="Y33" s="13">
        <f>_xll.BDH("NBIX US Equity","IS_AMORT_OF_TOT_INTANG_AFT_TAX","FQ2 2024","FQ2 2024","Currency=USD","Period=FQ","BEST_FPERIOD_OVERRIDE=FQ","FILING_STATUS=MR","SCALING_FORMAT=MLN","Sort=A","Dates=H","DateFormat=P","Fill=—","Direction=H","UseDPDF=Y")</f>
        <v>0.73229999999999995</v>
      </c>
      <c r="Z33" s="13">
        <f>_xll.BDH("NBIX US Equity","IS_AMORT_OF_TOT_INTANG_AFT_TAX","FQ3 2024","FQ3 2024","Currency=USD","Period=FQ","BEST_FPERIOD_OVERRIDE=FQ","FILING_STATUS=MR","SCALING_FORMAT=MLN","Sort=A","Dates=H","DateFormat=P","Fill=—","Direction=H","UseDPDF=Y")</f>
        <v>0.85880000000000001</v>
      </c>
      <c r="AA33" s="13">
        <f>_xll.BDH("NBIX US Equity","IS_AMORT_OF_TOT_INTANG_AFT_TAX","FQ4 2024","FQ4 2024","Currency=USD","Period=FQ","BEST_FPERIOD_OVERRIDE=FQ","FILING_STATUS=MR","SCALING_FORMAT=MLN","Sort=A","Dates=H","DateFormat=P","Fill=—","Direction=H","UseDPDF=Y")</f>
        <v>0.90129999999999999</v>
      </c>
    </row>
    <row r="34" spans="1:27" x14ac:dyDescent="0.25">
      <c r="A34" s="10" t="s">
        <v>642</v>
      </c>
      <c r="B34" s="10" t="s">
        <v>660</v>
      </c>
      <c r="C34" s="14" t="str">
        <f>_xll.BDH("NBIX US Equity","IS_AMORT_OF_TOT_INTANG_P_BAS_SH","FQ4 2018","FQ4 2018","Currency=USD","Period=FQ","BEST_FPERIOD_OVERRIDE=FQ","FILING_STATUS=MR","Sort=A","Dates=H","DateFormat=P","Fill=—","Direction=H","UseDPDF=Y")</f>
        <v>—</v>
      </c>
      <c r="D34" s="14" t="str">
        <f>_xll.BDH("NBIX US Equity","IS_AMORT_OF_TOT_INTANG_P_BAS_SH","FQ1 2019","FQ1 2019","Currency=USD","Period=FQ","BEST_FPERIOD_OVERRIDE=FQ","FILING_STATUS=MR","Sort=A","Dates=H","DateFormat=P","Fill=—","Direction=H","UseDPDF=Y")</f>
        <v>—</v>
      </c>
      <c r="E34" s="14" t="str">
        <f>_xll.BDH("NBIX US Equity","IS_AMORT_OF_TOT_INTANG_P_BAS_SH","FQ2 2019","FQ2 2019","Currency=USD","Period=FQ","BEST_FPERIOD_OVERRIDE=FQ","FILING_STATUS=MR","Sort=A","Dates=H","DateFormat=P","Fill=—","Direction=H","UseDPDF=Y")</f>
        <v>—</v>
      </c>
      <c r="F34" s="14" t="str">
        <f>_xll.BDH("NBIX US Equity","IS_AMORT_OF_TOT_INTANG_P_BAS_SH","FQ3 2019","FQ3 2019","Currency=USD","Period=FQ","BEST_FPERIOD_OVERRIDE=FQ","FILING_STATUS=MR","Sort=A","Dates=H","DateFormat=P","Fill=—","Direction=H","UseDPDF=Y")</f>
        <v>—</v>
      </c>
      <c r="G34" s="14" t="str">
        <f>_xll.BDH("NBIX US Equity","IS_AMORT_OF_TOT_INTANG_P_BAS_SH","FQ4 2019","FQ4 2019","Currency=USD","Period=FQ","BEST_FPERIOD_OVERRIDE=FQ","FILING_STATUS=MR","Sort=A","Dates=H","DateFormat=P","Fill=—","Direction=H","UseDPDF=Y")</f>
        <v>—</v>
      </c>
      <c r="H34" s="14" t="str">
        <f>_xll.BDH("NBIX US Equity","IS_AMORT_OF_TOT_INTANG_P_BAS_SH","FQ1 2020","FQ1 2020","Currency=USD","Period=FQ","BEST_FPERIOD_OVERRIDE=FQ","FILING_STATUS=MR","Sort=A","Dates=H","DateFormat=P","Fill=—","Direction=H","UseDPDF=Y")</f>
        <v>—</v>
      </c>
      <c r="I34" s="14" t="str">
        <f>_xll.BDH("NBIX US Equity","IS_AMORT_OF_TOT_INTANG_P_BAS_SH","FQ2 2020","FQ2 2020","Currency=USD","Period=FQ","BEST_FPERIOD_OVERRIDE=FQ","FILING_STATUS=MR","Sort=A","Dates=H","DateFormat=P","Fill=—","Direction=H","UseDPDF=Y")</f>
        <v>—</v>
      </c>
      <c r="J34" s="14" t="str">
        <f>_xll.BDH("NBIX US Equity","IS_AMORT_OF_TOT_INTANG_P_BAS_SH","FQ3 2020","FQ3 2020","Currency=USD","Period=FQ","BEST_FPERIOD_OVERRIDE=FQ","FILING_STATUS=MR","Sort=A","Dates=H","DateFormat=P","Fill=—","Direction=H","UseDPDF=Y")</f>
        <v>—</v>
      </c>
      <c r="K34" s="14" t="str">
        <f>_xll.BDH("NBIX US Equity","IS_AMORT_OF_TOT_INTANG_P_BAS_SH","FQ4 2020","FQ4 2020","Currency=USD","Period=FQ","BEST_FPERIOD_OVERRIDE=FQ","FILING_STATUS=MR","Sort=A","Dates=H","DateFormat=P","Fill=—","Direction=H","UseDPDF=Y")</f>
        <v>—</v>
      </c>
      <c r="L34" s="14" t="str">
        <f>_xll.BDH("NBIX US Equity","IS_AMORT_OF_TOT_INTANG_P_BAS_SH","FQ1 2021","FQ1 2021","Currency=USD","Period=FQ","BEST_FPERIOD_OVERRIDE=FQ","FILING_STATUS=MR","Sort=A","Dates=H","DateFormat=P","Fill=—","Direction=H","UseDPDF=Y")</f>
        <v>—</v>
      </c>
      <c r="M34" s="14" t="str">
        <f>_xll.BDH("NBIX US Equity","IS_AMORT_OF_TOT_INTANG_P_BAS_SH","FQ2 2021","FQ2 2021","Currency=USD","Period=FQ","BEST_FPERIOD_OVERRIDE=FQ","FILING_STATUS=MR","Sort=A","Dates=H","DateFormat=P","Fill=—","Direction=H","UseDPDF=Y")</f>
        <v>—</v>
      </c>
      <c r="N34" s="14" t="str">
        <f>_xll.BDH("NBIX US Equity","IS_AMORT_OF_TOT_INTANG_P_BAS_SH","FQ3 2021","FQ3 2021","Currency=USD","Period=FQ","BEST_FPERIOD_OVERRIDE=FQ","FILING_STATUS=MR","Sort=A","Dates=H","DateFormat=P","Fill=—","Direction=H","UseDPDF=Y")</f>
        <v>—</v>
      </c>
      <c r="O34" s="14" t="str">
        <f>_xll.BDH("NBIX US Equity","IS_AMORT_OF_TOT_INTANG_P_BAS_SH","FQ4 2021","FQ4 2021","Currency=USD","Period=FQ","BEST_FPERIOD_OVERRIDE=FQ","FILING_STATUS=MR","Sort=A","Dates=H","DateFormat=P","Fill=—","Direction=H","UseDPDF=Y")</f>
        <v>—</v>
      </c>
      <c r="P34" s="14" t="str">
        <f>_xll.BDH("NBIX US Equity","IS_AMORT_OF_TOT_INTANG_P_BAS_SH","FQ1 2022","FQ1 2022","Currency=USD","Period=FQ","BEST_FPERIOD_OVERRIDE=FQ","FILING_STATUS=MR","Sort=A","Dates=H","DateFormat=P","Fill=—","Direction=H","UseDPDF=Y")</f>
        <v>—</v>
      </c>
      <c r="Q34" s="14" t="str">
        <f>_xll.BDH("NBIX US Equity","IS_AMORT_OF_TOT_INTANG_P_BAS_SH","FQ2 2022","FQ2 2022","Currency=USD","Period=FQ","BEST_FPERIOD_OVERRIDE=FQ","FILING_STATUS=MR","Sort=A","Dates=H","DateFormat=P","Fill=—","Direction=H","UseDPDF=Y")</f>
        <v>—</v>
      </c>
      <c r="R34" s="14" t="str">
        <f>_xll.BDH("NBIX US Equity","IS_AMORT_OF_TOT_INTANG_P_BAS_SH","FQ3 2022","FQ3 2022","Currency=USD","Period=FQ","BEST_FPERIOD_OVERRIDE=FQ","FILING_STATUS=MR","Sort=A","Dates=H","DateFormat=P","Fill=—","Direction=H","UseDPDF=Y")</f>
        <v>—</v>
      </c>
      <c r="S34" s="14" t="str">
        <f>_xll.BDH("NBIX US Equity","IS_AMORT_OF_TOT_INTANG_P_BAS_SH","FQ4 2022","FQ4 2022","Currency=USD","Period=FQ","BEST_FPERIOD_OVERRIDE=FQ","FILING_STATUS=MR","Sort=A","Dates=H","DateFormat=P","Fill=—","Direction=H","UseDPDF=Y")</f>
        <v>—</v>
      </c>
      <c r="T34" s="14" t="str">
        <f>_xll.BDH("NBIX US Equity","IS_AMORT_OF_TOT_INTANG_P_BAS_SH","FQ1 2023","FQ1 2023","Currency=USD","Period=FQ","BEST_FPERIOD_OVERRIDE=FQ","FILING_STATUS=MR","Sort=A","Dates=H","DateFormat=P","Fill=—","Direction=H","UseDPDF=Y")</f>
        <v>—</v>
      </c>
      <c r="U34" s="14" t="str">
        <f>_xll.BDH("NBIX US Equity","IS_AMORT_OF_TOT_INTANG_P_BAS_SH","FQ2 2023","FQ2 2023","Currency=USD","Period=FQ","BEST_FPERIOD_OVERRIDE=FQ","FILING_STATUS=MR","Sort=A","Dates=H","DateFormat=P","Fill=—","Direction=H","UseDPDF=Y")</f>
        <v>—</v>
      </c>
      <c r="V34" s="14">
        <f>_xll.BDH("NBIX US Equity","IS_AMORT_OF_TOT_INTANG_P_BAS_SH","FQ3 2023","FQ3 2023","Currency=USD","Period=FQ","BEST_FPERIOD_OVERRIDE=FQ","FILING_STATUS=MR","Sort=A","Dates=H","DateFormat=P","Fill=—","Direction=H","UseDPDF=Y")</f>
        <v>1.5E-3</v>
      </c>
      <c r="W34" s="14">
        <f>_xll.BDH("NBIX US Equity","IS_AMORT_OF_TOT_INTANG_P_BAS_SH","FQ4 2023","FQ4 2023","Currency=USD","Period=FQ","BEST_FPERIOD_OVERRIDE=FQ","FILING_STATUS=MR","Sort=A","Dates=H","DateFormat=P","Fill=—","Direction=H","UseDPDF=Y")</f>
        <v>8.0999999999999996E-3</v>
      </c>
      <c r="X34" s="14">
        <f>_xll.BDH("NBIX US Equity","IS_AMORT_OF_TOT_INTANG_P_BAS_SH","FQ1 2024","FQ1 2024","Currency=USD","Period=FQ","BEST_FPERIOD_OVERRIDE=FQ","FILING_STATUS=MR","Sort=A","Dates=H","DateFormat=P","Fill=—","Direction=H","UseDPDF=Y")</f>
        <v>7.1000000000000004E-3</v>
      </c>
      <c r="Y34" s="14">
        <f>_xll.BDH("NBIX US Equity","IS_AMORT_OF_TOT_INTANG_P_BAS_SH","FQ2 2024","FQ2 2024","Currency=USD","Period=FQ","BEST_FPERIOD_OVERRIDE=FQ","FILING_STATUS=MR","Sort=A","Dates=H","DateFormat=P","Fill=—","Direction=H","UseDPDF=Y")</f>
        <v>7.3000000000000001E-3</v>
      </c>
      <c r="Z34" s="14">
        <f>_xll.BDH("NBIX US Equity","IS_AMORT_OF_TOT_INTANG_P_BAS_SH","FQ3 2024","FQ3 2024","Currency=USD","Period=FQ","BEST_FPERIOD_OVERRIDE=FQ","FILING_STATUS=MR","Sort=A","Dates=H","DateFormat=P","Fill=—","Direction=H","UseDPDF=Y")</f>
        <v>8.5000000000000006E-3</v>
      </c>
      <c r="AA34" s="14">
        <f>_xll.BDH("NBIX US Equity","IS_AMORT_OF_TOT_INTANG_P_BAS_SH","FQ4 2024","FQ4 2024","Currency=USD","Period=FQ","BEST_FPERIOD_OVERRIDE=FQ","FILING_STATUS=MR","Sort=A","Dates=H","DateFormat=P","Fill=—","Direction=H","UseDPDF=Y")</f>
        <v>8.9999999999999993E-3</v>
      </c>
    </row>
    <row r="35" spans="1:27" x14ac:dyDescent="0.25">
      <c r="A35" s="10" t="s">
        <v>644</v>
      </c>
      <c r="B35" s="10" t="s">
        <v>661</v>
      </c>
      <c r="C35" s="14" t="str">
        <f>_xll.BDH("NBIX US Equity","IS_AMORT_OF_TOT_INTANG_P_DIL_SH","FQ4 2018","FQ4 2018","Currency=USD","Period=FQ","BEST_FPERIOD_OVERRIDE=FQ","FILING_STATUS=MR","Sort=A","Dates=H","DateFormat=P","Fill=—","Direction=H","UseDPDF=Y")</f>
        <v>—</v>
      </c>
      <c r="D35" s="14" t="str">
        <f>_xll.BDH("NBIX US Equity","IS_AMORT_OF_TOT_INTANG_P_DIL_SH","FQ1 2019","FQ1 2019","Currency=USD","Period=FQ","BEST_FPERIOD_OVERRIDE=FQ","FILING_STATUS=MR","Sort=A","Dates=H","DateFormat=P","Fill=—","Direction=H","UseDPDF=Y")</f>
        <v>—</v>
      </c>
      <c r="E35" s="14" t="str">
        <f>_xll.BDH("NBIX US Equity","IS_AMORT_OF_TOT_INTANG_P_DIL_SH","FQ2 2019","FQ2 2019","Currency=USD","Period=FQ","BEST_FPERIOD_OVERRIDE=FQ","FILING_STATUS=MR","Sort=A","Dates=H","DateFormat=P","Fill=—","Direction=H","UseDPDF=Y")</f>
        <v>—</v>
      </c>
      <c r="F35" s="14" t="str">
        <f>_xll.BDH("NBIX US Equity","IS_AMORT_OF_TOT_INTANG_P_DIL_SH","FQ3 2019","FQ3 2019","Currency=USD","Period=FQ","BEST_FPERIOD_OVERRIDE=FQ","FILING_STATUS=MR","Sort=A","Dates=H","DateFormat=P","Fill=—","Direction=H","UseDPDF=Y")</f>
        <v>—</v>
      </c>
      <c r="G35" s="14" t="str">
        <f>_xll.BDH("NBIX US Equity","IS_AMORT_OF_TOT_INTANG_P_DIL_SH","FQ4 2019","FQ4 2019","Currency=USD","Period=FQ","BEST_FPERIOD_OVERRIDE=FQ","FILING_STATUS=MR","Sort=A","Dates=H","DateFormat=P","Fill=—","Direction=H","UseDPDF=Y")</f>
        <v>—</v>
      </c>
      <c r="H35" s="14" t="str">
        <f>_xll.BDH("NBIX US Equity","IS_AMORT_OF_TOT_INTANG_P_DIL_SH","FQ1 2020","FQ1 2020","Currency=USD","Period=FQ","BEST_FPERIOD_OVERRIDE=FQ","FILING_STATUS=MR","Sort=A","Dates=H","DateFormat=P","Fill=—","Direction=H","UseDPDF=Y")</f>
        <v>—</v>
      </c>
      <c r="I35" s="14" t="str">
        <f>_xll.BDH("NBIX US Equity","IS_AMORT_OF_TOT_INTANG_P_DIL_SH","FQ2 2020","FQ2 2020","Currency=USD","Period=FQ","BEST_FPERIOD_OVERRIDE=FQ","FILING_STATUS=MR","Sort=A","Dates=H","DateFormat=P","Fill=—","Direction=H","UseDPDF=Y")</f>
        <v>—</v>
      </c>
      <c r="J35" s="14" t="str">
        <f>_xll.BDH("NBIX US Equity","IS_AMORT_OF_TOT_INTANG_P_DIL_SH","FQ3 2020","FQ3 2020","Currency=USD","Period=FQ","BEST_FPERIOD_OVERRIDE=FQ","FILING_STATUS=MR","Sort=A","Dates=H","DateFormat=P","Fill=—","Direction=H","UseDPDF=Y")</f>
        <v>—</v>
      </c>
      <c r="K35" s="14" t="str">
        <f>_xll.BDH("NBIX US Equity","IS_AMORT_OF_TOT_INTANG_P_DIL_SH","FQ4 2020","FQ4 2020","Currency=USD","Period=FQ","BEST_FPERIOD_OVERRIDE=FQ","FILING_STATUS=MR","Sort=A","Dates=H","DateFormat=P","Fill=—","Direction=H","UseDPDF=Y")</f>
        <v>—</v>
      </c>
      <c r="L35" s="14" t="str">
        <f>_xll.BDH("NBIX US Equity","IS_AMORT_OF_TOT_INTANG_P_DIL_SH","FQ1 2021","FQ1 2021","Currency=USD","Period=FQ","BEST_FPERIOD_OVERRIDE=FQ","FILING_STATUS=MR","Sort=A","Dates=H","DateFormat=P","Fill=—","Direction=H","UseDPDF=Y")</f>
        <v>—</v>
      </c>
      <c r="M35" s="14" t="str">
        <f>_xll.BDH("NBIX US Equity","IS_AMORT_OF_TOT_INTANG_P_DIL_SH","FQ2 2021","FQ2 2021","Currency=USD","Period=FQ","BEST_FPERIOD_OVERRIDE=FQ","FILING_STATUS=MR","Sort=A","Dates=H","DateFormat=P","Fill=—","Direction=H","UseDPDF=Y")</f>
        <v>—</v>
      </c>
      <c r="N35" s="14" t="str">
        <f>_xll.BDH("NBIX US Equity","IS_AMORT_OF_TOT_INTANG_P_DIL_SH","FQ3 2021","FQ3 2021","Currency=USD","Period=FQ","BEST_FPERIOD_OVERRIDE=FQ","FILING_STATUS=MR","Sort=A","Dates=H","DateFormat=P","Fill=—","Direction=H","UseDPDF=Y")</f>
        <v>—</v>
      </c>
      <c r="O35" s="14" t="str">
        <f>_xll.BDH("NBIX US Equity","IS_AMORT_OF_TOT_INTANG_P_DIL_SH","FQ4 2021","FQ4 2021","Currency=USD","Period=FQ","BEST_FPERIOD_OVERRIDE=FQ","FILING_STATUS=MR","Sort=A","Dates=H","DateFormat=P","Fill=—","Direction=H","UseDPDF=Y")</f>
        <v>—</v>
      </c>
      <c r="P35" s="14" t="str">
        <f>_xll.BDH("NBIX US Equity","IS_AMORT_OF_TOT_INTANG_P_DIL_SH","FQ1 2022","FQ1 2022","Currency=USD","Period=FQ","BEST_FPERIOD_OVERRIDE=FQ","FILING_STATUS=MR","Sort=A","Dates=H","DateFormat=P","Fill=—","Direction=H","UseDPDF=Y")</f>
        <v>—</v>
      </c>
      <c r="Q35" s="14" t="str">
        <f>_xll.BDH("NBIX US Equity","IS_AMORT_OF_TOT_INTANG_P_DIL_SH","FQ2 2022","FQ2 2022","Currency=USD","Period=FQ","BEST_FPERIOD_OVERRIDE=FQ","FILING_STATUS=MR","Sort=A","Dates=H","DateFormat=P","Fill=—","Direction=H","UseDPDF=Y")</f>
        <v>—</v>
      </c>
      <c r="R35" s="14" t="str">
        <f>_xll.BDH("NBIX US Equity","IS_AMORT_OF_TOT_INTANG_P_DIL_SH","FQ3 2022","FQ3 2022","Currency=USD","Period=FQ","BEST_FPERIOD_OVERRIDE=FQ","FILING_STATUS=MR","Sort=A","Dates=H","DateFormat=P","Fill=—","Direction=H","UseDPDF=Y")</f>
        <v>—</v>
      </c>
      <c r="S35" s="14" t="str">
        <f>_xll.BDH("NBIX US Equity","IS_AMORT_OF_TOT_INTANG_P_DIL_SH","FQ4 2022","FQ4 2022","Currency=USD","Period=FQ","BEST_FPERIOD_OVERRIDE=FQ","FILING_STATUS=MR","Sort=A","Dates=H","DateFormat=P","Fill=—","Direction=H","UseDPDF=Y")</f>
        <v>—</v>
      </c>
      <c r="T35" s="14" t="str">
        <f>_xll.BDH("NBIX US Equity","IS_AMORT_OF_TOT_INTANG_P_DIL_SH","FQ1 2023","FQ1 2023","Currency=USD","Period=FQ","BEST_FPERIOD_OVERRIDE=FQ","FILING_STATUS=MR","Sort=A","Dates=H","DateFormat=P","Fill=—","Direction=H","UseDPDF=Y")</f>
        <v>—</v>
      </c>
      <c r="U35" s="14" t="str">
        <f>_xll.BDH("NBIX US Equity","IS_AMORT_OF_TOT_INTANG_P_DIL_SH","FQ2 2023","FQ2 2023","Currency=USD","Period=FQ","BEST_FPERIOD_OVERRIDE=FQ","FILING_STATUS=MR","Sort=A","Dates=H","DateFormat=P","Fill=—","Direction=H","UseDPDF=Y")</f>
        <v>—</v>
      </c>
      <c r="V35" s="14">
        <f>_xll.BDH("NBIX US Equity","IS_AMORT_OF_TOT_INTANG_P_DIL_SH","FQ3 2023","FQ3 2023","Currency=USD","Period=FQ","BEST_FPERIOD_OVERRIDE=FQ","FILING_STATUS=MR","Sort=A","Dates=H","DateFormat=P","Fill=—","Direction=H","UseDPDF=Y")</f>
        <v>1.5E-3</v>
      </c>
      <c r="W35" s="14">
        <f>_xll.BDH("NBIX US Equity","IS_AMORT_OF_TOT_INTANG_P_DIL_SH","FQ4 2023","FQ4 2023","Currency=USD","Period=FQ","BEST_FPERIOD_OVERRIDE=FQ","FILING_STATUS=MR","Sort=A","Dates=H","DateFormat=P","Fill=—","Direction=H","UseDPDF=Y")</f>
        <v>7.7999999999999996E-3</v>
      </c>
      <c r="X35" s="14">
        <f>_xll.BDH("NBIX US Equity","IS_AMORT_OF_TOT_INTANG_P_DIL_SH","FQ1 2024","FQ1 2024","Currency=USD","Period=FQ","BEST_FPERIOD_OVERRIDE=FQ","FILING_STATUS=MR","Sort=A","Dates=H","DateFormat=P","Fill=—","Direction=H","UseDPDF=Y")</f>
        <v>6.8999999999999999E-3</v>
      </c>
      <c r="Y35" s="14">
        <f>_xll.BDH("NBIX US Equity","IS_AMORT_OF_TOT_INTANG_P_DIL_SH","FQ2 2024","FQ2 2024","Currency=USD","Period=FQ","BEST_FPERIOD_OVERRIDE=FQ","FILING_STATUS=MR","Sort=A","Dates=H","DateFormat=P","Fill=—","Direction=H","UseDPDF=Y")</f>
        <v>7.0000000000000001E-3</v>
      </c>
      <c r="Z35" s="14">
        <f>_xll.BDH("NBIX US Equity","IS_AMORT_OF_TOT_INTANG_P_DIL_SH","FQ3 2024","FQ3 2024","Currency=USD","Period=FQ","BEST_FPERIOD_OVERRIDE=FQ","FILING_STATUS=MR","Sort=A","Dates=H","DateFormat=P","Fill=—","Direction=H","UseDPDF=Y")</f>
        <v>8.2000000000000007E-3</v>
      </c>
      <c r="AA35" s="14">
        <f>_xll.BDH("NBIX US Equity","IS_AMORT_OF_TOT_INTANG_P_DIL_SH","FQ4 2024","FQ4 2024","Currency=USD","Period=FQ","BEST_FPERIOD_OVERRIDE=FQ","FILING_STATUS=MR","Sort=A","Dates=H","DateFormat=P","Fill=—","Direction=H","UseDPDF=Y")</f>
        <v>8.8000000000000005E-3</v>
      </c>
    </row>
    <row r="36" spans="1:27" x14ac:dyDescent="0.25">
      <c r="A36" s="7" t="s">
        <v>90</v>
      </c>
      <c r="B36" s="7"/>
      <c r="C36" s="7" t="s">
        <v>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662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_xll.BDH("NBIX US Equity","SALES_REV_TURN","FQ2 2019","FQ2 2019","Currency=USD","Period=FQ","BEST_FPERIOD_OVERRIDE=FQ","FILING_STATUS=MR","SCALING_FORMAT=MLN","FA_ADJUSTED=Adjusted","Sort=A","Dates=H","DateFormat=P","Fill=—","Direction=H","UseDPDF=Y")</f>
        <v>183.58</v>
      </c>
      <c r="D6" s="19">
        <f>_xll.BDH("NBIX US Equity","SALES_REV_TURN","FQ3 2019","FQ3 2019","Currency=USD","Period=FQ","BEST_FPERIOD_OVERRIDE=FQ","FILING_STATUS=MR","SCALING_FORMAT=MLN","FA_ADJUSTED=Adjusted","Sort=A","Dates=H","DateFormat=P","Fill=—","Direction=H","UseDPDF=Y")</f>
        <v>222.09399999999999</v>
      </c>
      <c r="E6" s="19">
        <f>_xll.BDH("NBIX US Equity","SALES_REV_TURN","FQ4 2019","FQ4 2019","Currency=USD","Period=FQ","BEST_FPERIOD_OVERRIDE=FQ","FILING_STATUS=MR","SCALING_FORMAT=MLN","FA_ADJUSTED=Adjusted","Sort=A","Dates=H","DateFormat=P","Fill=—","Direction=H","UseDPDF=Y")</f>
        <v>244.1</v>
      </c>
      <c r="F6" s="19">
        <f>_xll.BDH("NBIX US Equity","SALES_REV_TURN","FQ1 2020","FQ1 2020","Currency=USD","Period=FQ","BEST_FPERIOD_OVERRIDE=FQ","FILING_STATUS=MR","SCALING_FORMAT=MLN","FA_ADJUSTED=Adjusted","Sort=A","Dates=H","DateFormat=P","Fill=—","Direction=H","UseDPDF=Y")</f>
        <v>237.1</v>
      </c>
      <c r="G6" s="19">
        <f>_xll.BDH("NBIX US Equity","SALES_REV_TURN","FQ2 2020","FQ2 2020","Currency=USD","Period=FQ","BEST_FPERIOD_OVERRIDE=FQ","FILING_STATUS=MR","SCALING_FORMAT=MLN","FA_ADJUSTED=Adjusted","Sort=A","Dates=H","DateFormat=P","Fill=—","Direction=H","UseDPDF=Y")</f>
        <v>302.39999999999998</v>
      </c>
      <c r="H6" s="19">
        <f>_xll.BDH("NBIX US Equity","SALES_REV_TURN","FQ3 2020","FQ3 2020","Currency=USD","Period=FQ","BEST_FPERIOD_OVERRIDE=FQ","FILING_STATUS=MR","SCALING_FORMAT=MLN","FA_ADJUSTED=Adjusted","Sort=A","Dates=H","DateFormat=P","Fill=—","Direction=H","UseDPDF=Y")</f>
        <v>258.5</v>
      </c>
      <c r="I6" s="19">
        <f>_xll.BDH("NBIX US Equity","SALES_REV_TURN","FQ4 2020","FQ4 2020","Currency=USD","Period=FQ","BEST_FPERIOD_OVERRIDE=FQ","FILING_STATUS=MR","SCALING_FORMAT=MLN","FA_ADJUSTED=Adjusted","Sort=A","Dates=H","DateFormat=P","Fill=—","Direction=H","UseDPDF=Y")</f>
        <v>247.9</v>
      </c>
      <c r="J6" s="19">
        <f>_xll.BDH("NBIX US Equity","SALES_REV_TURN","FQ1 2021","FQ1 2021","Currency=USD","Period=FQ","BEST_FPERIOD_OVERRIDE=FQ","FILING_STATUS=MR","SCALING_FORMAT=MLN","FA_ADJUSTED=Adjusted","Sort=A","Dates=H","DateFormat=P","Fill=—","Direction=H","UseDPDF=Y")</f>
        <v>236.6</v>
      </c>
      <c r="K6" s="19">
        <f>_xll.BDH("NBIX US Equity","SALES_REV_TURN","FQ2 2021","FQ2 2021","Currency=USD","Period=FQ","BEST_FPERIOD_OVERRIDE=FQ","FILING_STATUS=MR","SCALING_FORMAT=MLN","FA_ADJUSTED=Adjusted","Sort=A","Dates=H","DateFormat=P","Fill=—","Direction=H","UseDPDF=Y")</f>
        <v>288.89999999999998</v>
      </c>
      <c r="L6" s="19">
        <f>_xll.BDH("NBIX US Equity","SALES_REV_TURN","FQ3 2021","FQ3 2021","Currency=USD","Period=FQ","BEST_FPERIOD_OVERRIDE=FQ","FILING_STATUS=MR","SCALING_FORMAT=MLN","FA_ADJUSTED=Adjusted","Sort=A","Dates=H","DateFormat=P","Fill=—","Direction=H","UseDPDF=Y")</f>
        <v>296</v>
      </c>
      <c r="M6" s="19">
        <f>_xll.BDH("NBIX US Equity","SALES_REV_TURN","FQ4 2021","FQ4 2021","Currency=USD","Period=FQ","BEST_FPERIOD_OVERRIDE=FQ","FILING_STATUS=MR","SCALING_FORMAT=MLN","FA_ADJUSTED=Adjusted","Sort=A","Dates=H","DateFormat=P","Fill=—","Direction=H","UseDPDF=Y")</f>
        <v>312</v>
      </c>
      <c r="N6" s="19">
        <f>_xll.BDH("NBIX US Equity","SALES_REV_TURN","FQ1 2022","FQ1 2022","Currency=USD","Period=FQ","BEST_FPERIOD_OVERRIDE=FQ","FILING_STATUS=MR","SCALING_FORMAT=MLN","FA_ADJUSTED=Adjusted","Sort=A","Dates=H","DateFormat=P","Fill=—","Direction=H","UseDPDF=Y")</f>
        <v>310.60000000000002</v>
      </c>
      <c r="O6" s="19">
        <f>_xll.BDH("NBIX US Equity","SALES_REV_TURN","FQ2 2022","FQ2 2022","Currency=USD","Period=FQ","BEST_FPERIOD_OVERRIDE=FQ","FILING_STATUS=MR","SCALING_FORMAT=MLN","FA_ADJUSTED=Adjusted","Sort=A","Dates=H","DateFormat=P","Fill=—","Direction=H","UseDPDF=Y")</f>
        <v>378.2</v>
      </c>
      <c r="P6" s="19">
        <f>_xll.BDH("NBIX US Equity","SALES_REV_TURN","FQ3 2022","FQ3 2022","Currency=USD","Period=FQ","BEST_FPERIOD_OVERRIDE=FQ","FILING_STATUS=MR","SCALING_FORMAT=MLN","FA_ADJUSTED=Adjusted","Sort=A","Dates=H","DateFormat=P","Fill=—","Direction=H","UseDPDF=Y")</f>
        <v>387.9</v>
      </c>
      <c r="Q6" s="19">
        <f>_xll.BDH("NBIX US Equity","SALES_REV_TURN","FQ4 2022","FQ4 2022","Currency=USD","Period=FQ","BEST_FPERIOD_OVERRIDE=FQ","FILING_STATUS=MR","SCALING_FORMAT=MLN","FA_ADJUSTED=Adjusted","Sort=A","Dates=H","DateFormat=P","Fill=—","Direction=H","UseDPDF=Y")</f>
        <v>412</v>
      </c>
      <c r="R6" s="19">
        <f>_xll.BDH("NBIX US Equity","SALES_REV_TURN","FQ1 2023","FQ1 2023","Currency=USD","Period=FQ","BEST_FPERIOD_OVERRIDE=FQ","FILING_STATUS=MR","SCALING_FORMAT=MLN","FA_ADJUSTED=Adjusted","Sort=A","Dates=H","DateFormat=P","Fill=—","Direction=H","UseDPDF=Y")</f>
        <v>420.4</v>
      </c>
      <c r="S6" s="19">
        <f>_xll.BDH("NBIX US Equity","SALES_REV_TURN","FQ2 2023","FQ2 2023","Currency=USD","Period=FQ","BEST_FPERIOD_OVERRIDE=FQ","FILING_STATUS=MR","SCALING_FORMAT=MLN","FA_ADJUSTED=Adjusted","Sort=A","Dates=H","DateFormat=P","Fill=—","Direction=H","UseDPDF=Y")</f>
        <v>452.7</v>
      </c>
      <c r="T6" s="19">
        <f>_xll.BDH("NBIX US Equity","SALES_REV_TURN","FQ3 2023","FQ3 2023","Currency=USD","Period=FQ","BEST_FPERIOD_OVERRIDE=FQ","FILING_STATUS=MR","SCALING_FORMAT=MLN","FA_ADJUSTED=Adjusted","Sort=A","Dates=H","DateFormat=P","Fill=—","Direction=H","UseDPDF=Y")</f>
        <v>498.8</v>
      </c>
      <c r="U6" s="19">
        <f>_xll.BDH("NBIX US Equity","SALES_REV_TURN","FQ4 2023","FQ4 2023","Currency=USD","Period=FQ","BEST_FPERIOD_OVERRIDE=FQ","FILING_STATUS=MR","SCALING_FORMAT=MLN","FA_ADJUSTED=Adjusted","Sort=A","Dates=H","DateFormat=P","Fill=—","Direction=H","UseDPDF=Y")</f>
        <v>515.20000000000005</v>
      </c>
      <c r="V6" s="19">
        <f>_xll.BDH("NBIX US Equity","SALES_REV_TURN","FQ1 2024","FQ1 2024","Currency=USD","Period=FQ","BEST_FPERIOD_OVERRIDE=FQ","FILING_STATUS=MR","SCALING_FORMAT=MLN","FA_ADJUSTED=Adjusted","Sort=A","Dates=H","DateFormat=P","Fill=—","Direction=H","UseDPDF=Y")</f>
        <v>515.29999999999995</v>
      </c>
      <c r="W6" s="19">
        <f>_xll.BDH("NBIX US Equity","SALES_REV_TURN","FQ2 2024","FQ2 2024","Currency=USD","Period=FQ","BEST_FPERIOD_OVERRIDE=FQ","FILING_STATUS=MR","SCALING_FORMAT=MLN","FA_ADJUSTED=Adjusted","Sort=A","Dates=H","DateFormat=P","Fill=—","Direction=H","UseDPDF=Y")</f>
        <v>590.20000000000005</v>
      </c>
      <c r="X6" s="19">
        <f>_xll.BDH("NBIX US Equity","SALES_REV_TURN","FQ3 2024","FQ3 2024","Currency=USD","Period=FQ","BEST_FPERIOD_OVERRIDE=FQ","FILING_STATUS=MR","SCALING_FORMAT=MLN","FA_ADJUSTED=Adjusted","Sort=A","Dates=H","DateFormat=P","Fill=—","Direction=H","UseDPDF=Y")</f>
        <v>622.1</v>
      </c>
      <c r="Y6" s="19">
        <f>_xll.BDH("NBIX US Equity","SALES_REV_TURN","FQ4 2024","FQ4 2024","Currency=USD","Period=FQ","BEST_FPERIOD_OVERRIDE=FQ","FILING_STATUS=MR","SCALING_FORMAT=MLN","FA_ADJUSTED=Adjusted","Sort=A","Dates=H","DateFormat=P","Fill=—","Direction=H","UseDPDF=Y")</f>
        <v>627.70000000000005</v>
      </c>
      <c r="Z6" s="19">
        <v>595.54499999999996</v>
      </c>
      <c r="AA6" s="19">
        <v>648</v>
      </c>
    </row>
    <row r="7" spans="1:27" x14ac:dyDescent="0.25">
      <c r="A7" s="10" t="s">
        <v>313</v>
      </c>
      <c r="B7" s="10" t="s">
        <v>314</v>
      </c>
      <c r="C7" s="13">
        <v>98.346225078984602</v>
      </c>
      <c r="D7" s="13">
        <v>89.1937648022909</v>
      </c>
      <c r="E7" s="13">
        <v>97.460057353543604</v>
      </c>
      <c r="F7" s="13">
        <v>97.469422184732196</v>
      </c>
      <c r="G7" s="13">
        <v>88.492063492063494</v>
      </c>
      <c r="H7" s="13">
        <v>98.297872340425499</v>
      </c>
      <c r="I7" s="13">
        <v>97.337636143606304</v>
      </c>
      <c r="J7" s="13">
        <v>97.633136094674597</v>
      </c>
      <c r="K7" s="13">
        <v>92.350294219453104</v>
      </c>
      <c r="L7" s="13">
        <v>97.567567567567593</v>
      </c>
      <c r="M7" s="13">
        <v>97.275641025640994</v>
      </c>
      <c r="N7" s="13">
        <v>98.197037990985194</v>
      </c>
      <c r="O7" s="13">
        <v>93.072448439978899</v>
      </c>
      <c r="P7" s="13">
        <v>97.782933745810794</v>
      </c>
      <c r="Q7" s="13">
        <v>98.203883495145604</v>
      </c>
      <c r="R7" s="13">
        <v>98.786869647954305</v>
      </c>
      <c r="S7" s="13">
        <v>98.586260216478905</v>
      </c>
      <c r="T7" s="13">
        <v>98.596631916599804</v>
      </c>
      <c r="U7" s="13">
        <v>98.447204968944106</v>
      </c>
      <c r="V7" s="13">
        <v>98.777411216766893</v>
      </c>
      <c r="W7" s="13">
        <v>98.915621823110797</v>
      </c>
      <c r="X7" s="13">
        <v>99.115897765632496</v>
      </c>
      <c r="Y7" s="13">
        <v>98.964473474589795</v>
      </c>
      <c r="Z7" s="13"/>
      <c r="AA7" s="13"/>
    </row>
    <row r="8" spans="1:27" x14ac:dyDescent="0.25">
      <c r="A8" s="10" t="s">
        <v>315</v>
      </c>
      <c r="B8" s="10" t="s">
        <v>316</v>
      </c>
      <c r="C8" s="13">
        <v>1.6537749210153601</v>
      </c>
      <c r="D8" s="13">
        <v>10.8062351977091</v>
      </c>
      <c r="E8" s="13">
        <v>2.5399426464563701</v>
      </c>
      <c r="F8" s="13">
        <v>2.53057781526782</v>
      </c>
      <c r="G8" s="13">
        <v>11.507936507936501</v>
      </c>
      <c r="H8" s="13">
        <v>1.7021276595744701</v>
      </c>
      <c r="I8" s="13">
        <v>2.6623638563937102</v>
      </c>
      <c r="J8" s="13">
        <v>2.3668639053254399</v>
      </c>
      <c r="K8" s="13">
        <v>7.6497057805469</v>
      </c>
      <c r="L8" s="13">
        <v>2.4324324324324298</v>
      </c>
      <c r="M8" s="13">
        <v>2.72435897435897</v>
      </c>
      <c r="N8" s="13">
        <v>1.80296200901481</v>
      </c>
      <c r="O8" s="13">
        <v>6.9275515600211497</v>
      </c>
      <c r="P8" s="13">
        <v>2.2170662541892199</v>
      </c>
      <c r="Q8" s="13">
        <v>1.7961165048543699</v>
      </c>
      <c r="R8" s="13">
        <v>1.21313035204567</v>
      </c>
      <c r="S8" s="13">
        <v>1.4137397835211001</v>
      </c>
      <c r="T8" s="13">
        <v>1.4033680834001601</v>
      </c>
      <c r="U8" s="13">
        <v>1.5527950310559</v>
      </c>
      <c r="V8" s="13">
        <v>1.22258878323307</v>
      </c>
      <c r="W8" s="13">
        <v>1.08437817688919</v>
      </c>
      <c r="X8" s="13">
        <v>0.88410223436746505</v>
      </c>
      <c r="Y8" s="13">
        <v>1.0355265254102299</v>
      </c>
      <c r="Z8" s="13"/>
      <c r="AA8" s="13"/>
    </row>
    <row r="9" spans="1:27" x14ac:dyDescent="0.25">
      <c r="A9" s="10" t="s">
        <v>317</v>
      </c>
      <c r="B9" s="10" t="s">
        <v>318</v>
      </c>
      <c r="C9" s="13">
        <v>0.87591240875912402</v>
      </c>
      <c r="D9" s="13">
        <v>1.0036290939872301</v>
      </c>
      <c r="E9" s="13">
        <v>1.02417042195821</v>
      </c>
      <c r="F9" s="13">
        <v>0.88570223534373704</v>
      </c>
      <c r="G9" s="13">
        <v>0.79365079365079405</v>
      </c>
      <c r="H9" s="13">
        <v>1.04448742746615</v>
      </c>
      <c r="I9" s="13">
        <v>1.1698265429608701</v>
      </c>
      <c r="J9" s="13">
        <v>1.22569737954353</v>
      </c>
      <c r="K9" s="13">
        <v>1.0730356524749001</v>
      </c>
      <c r="L9" s="13">
        <v>1.41891891891892</v>
      </c>
      <c r="M9" s="13">
        <v>1.3141025641025601</v>
      </c>
      <c r="N9" s="13">
        <v>1.48100450740502</v>
      </c>
      <c r="O9" s="13">
        <v>1.2691697514542599</v>
      </c>
      <c r="P9" s="13">
        <v>1.5725702500644501</v>
      </c>
      <c r="Q9" s="13">
        <v>1.86893203883495</v>
      </c>
      <c r="R9" s="13">
        <v>2.0218839200761201</v>
      </c>
      <c r="S9" s="13">
        <v>2.5403136735144698</v>
      </c>
      <c r="T9" s="13">
        <v>2.2453889334402599</v>
      </c>
      <c r="U9" s="13">
        <v>1.64984472049689</v>
      </c>
      <c r="V9" s="13">
        <v>1.45546283718222</v>
      </c>
      <c r="W9" s="13">
        <v>1.5587936292782101</v>
      </c>
      <c r="X9" s="13">
        <v>1.2859668863526801</v>
      </c>
      <c r="Y9" s="13">
        <v>1.4815994902023299</v>
      </c>
      <c r="Z9" s="13"/>
      <c r="AA9" s="13"/>
    </row>
    <row r="10" spans="1:27" x14ac:dyDescent="0.25">
      <c r="A10" s="10" t="s">
        <v>319</v>
      </c>
      <c r="B10" s="10" t="s">
        <v>320</v>
      </c>
      <c r="C10" s="13">
        <v>0.87591240875912402</v>
      </c>
      <c r="D10" s="13">
        <v>1.0036290939872301</v>
      </c>
      <c r="E10" s="13">
        <v>1.02417042195821</v>
      </c>
      <c r="F10" s="13">
        <v>0.88570223534373704</v>
      </c>
      <c r="G10" s="13">
        <v>0.79365079365079405</v>
      </c>
      <c r="H10" s="13">
        <v>1.04448742746615</v>
      </c>
      <c r="I10" s="13">
        <v>1.1698265429608701</v>
      </c>
      <c r="J10" s="13">
        <v>1.22569737954353</v>
      </c>
      <c r="K10" s="13">
        <v>1.0730356524749001</v>
      </c>
      <c r="L10" s="13">
        <v>1.41891891891892</v>
      </c>
      <c r="M10" s="13">
        <v>1.3141025641025601</v>
      </c>
      <c r="N10" s="13">
        <v>1.48100450740502</v>
      </c>
      <c r="O10" s="13">
        <v>1.2691697514542599</v>
      </c>
      <c r="P10" s="13">
        <v>1.5725702500644501</v>
      </c>
      <c r="Q10" s="13">
        <v>1.86893203883495</v>
      </c>
      <c r="R10" s="13">
        <v>2.0218839200761201</v>
      </c>
      <c r="S10" s="13">
        <v>2.5403136735144698</v>
      </c>
      <c r="T10" s="13">
        <v>2.2453889334402599</v>
      </c>
      <c r="U10" s="13">
        <v>1.64984472049689</v>
      </c>
      <c r="V10" s="13">
        <v>1.45546283718222</v>
      </c>
      <c r="W10" s="13">
        <v>1.5587936292782101</v>
      </c>
      <c r="X10" s="13">
        <v>1.2859668863526801</v>
      </c>
      <c r="Y10" s="13">
        <v>1.4815994902023299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v>99.124087591240894</v>
      </c>
      <c r="D11" s="19">
        <v>98.9963709060128</v>
      </c>
      <c r="E11" s="19">
        <v>98.975829578041797</v>
      </c>
      <c r="F11" s="19">
        <v>99.1142977646563</v>
      </c>
      <c r="G11" s="19">
        <v>99.206349206349202</v>
      </c>
      <c r="H11" s="19">
        <v>98.955512572533806</v>
      </c>
      <c r="I11" s="19">
        <v>98.830173457039095</v>
      </c>
      <c r="J11" s="19">
        <v>98.774302620456496</v>
      </c>
      <c r="K11" s="19">
        <v>98.9269643475251</v>
      </c>
      <c r="L11" s="19">
        <v>98.581081081081095</v>
      </c>
      <c r="M11" s="19">
        <v>98.685897435897402</v>
      </c>
      <c r="N11" s="19">
        <v>98.518995492594996</v>
      </c>
      <c r="O11" s="19">
        <v>98.730830248545701</v>
      </c>
      <c r="P11" s="19">
        <v>98.427429749935598</v>
      </c>
      <c r="Q11" s="19">
        <v>98.131067961165101</v>
      </c>
      <c r="R11" s="19">
        <v>97.978116079923893</v>
      </c>
      <c r="S11" s="19">
        <v>97.459686326485496</v>
      </c>
      <c r="T11" s="19">
        <v>97.754611066559704</v>
      </c>
      <c r="U11" s="19">
        <v>98.350155279503099</v>
      </c>
      <c r="V11" s="19">
        <v>98.544537162817804</v>
      </c>
      <c r="W11" s="19">
        <v>98.441206370721801</v>
      </c>
      <c r="X11" s="19">
        <v>98.714033113647304</v>
      </c>
      <c r="Y11" s="19">
        <v>98.518400509797701</v>
      </c>
      <c r="Z11" s="19">
        <v>98.278000000000006</v>
      </c>
      <c r="AA11" s="19">
        <v>98.36</v>
      </c>
    </row>
    <row r="12" spans="1:27" x14ac:dyDescent="0.25">
      <c r="A12" s="10" t="s">
        <v>321</v>
      </c>
      <c r="B12" s="10" t="s">
        <v>322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/>
      <c r="AA12" s="13"/>
    </row>
    <row r="13" spans="1:27" x14ac:dyDescent="0.25">
      <c r="A13" s="10" t="s">
        <v>323</v>
      </c>
      <c r="B13" s="10" t="s">
        <v>324</v>
      </c>
      <c r="C13" s="13">
        <v>77.628826669571794</v>
      </c>
      <c r="D13" s="13">
        <v>58.428863454213101</v>
      </c>
      <c r="E13" s="13">
        <v>64.154035231462501</v>
      </c>
      <c r="F13" s="13">
        <v>74.272458878110498</v>
      </c>
      <c r="G13" s="13">
        <v>58.6640211640212</v>
      </c>
      <c r="H13" s="13">
        <v>70.2514506769826</v>
      </c>
      <c r="I13" s="13">
        <v>69.866881807180306</v>
      </c>
      <c r="J13" s="13">
        <v>85.460693153000804</v>
      </c>
      <c r="K13" s="13">
        <v>75.458636206299801</v>
      </c>
      <c r="L13" s="13">
        <v>83.547297297297305</v>
      </c>
      <c r="M13" s="13">
        <v>78.173076923076906</v>
      </c>
      <c r="N13" s="13">
        <v>97.520927237604596</v>
      </c>
      <c r="O13" s="13">
        <v>84.267583289264905</v>
      </c>
      <c r="P13" s="13">
        <v>75.792730085073501</v>
      </c>
      <c r="Q13" s="13">
        <v>72.621359223300999</v>
      </c>
      <c r="R13" s="13">
        <v>90.913415794481395</v>
      </c>
      <c r="S13" s="13">
        <v>81.201678815992906</v>
      </c>
      <c r="T13" s="13">
        <v>68.664795509222103</v>
      </c>
      <c r="U13" s="13">
        <v>69.177018633540399</v>
      </c>
      <c r="V13" s="13">
        <v>78.109838928779396</v>
      </c>
      <c r="W13" s="13">
        <v>62.588952897322898</v>
      </c>
      <c r="X13" s="13">
        <v>69.008198038900503</v>
      </c>
      <c r="Y13" s="13">
        <v>75.418193404492598</v>
      </c>
      <c r="Z13" s="13"/>
      <c r="AA13" s="13"/>
    </row>
    <row r="14" spans="1:27" x14ac:dyDescent="0.25">
      <c r="A14" s="10" t="s">
        <v>325</v>
      </c>
      <c r="B14" s="10" t="s">
        <v>326</v>
      </c>
      <c r="C14" s="13">
        <v>44.026582416385203</v>
      </c>
      <c r="D14" s="13">
        <v>38.042000234135102</v>
      </c>
      <c r="E14" s="13">
        <v>41.4993854977468</v>
      </c>
      <c r="F14" s="13">
        <v>49.683677773091503</v>
      </c>
      <c r="G14" s="13">
        <v>31.9113756613757</v>
      </c>
      <c r="H14" s="13">
        <v>43.5203094777563</v>
      </c>
      <c r="I14" s="13">
        <v>42.960871319080297</v>
      </c>
      <c r="J14" s="13">
        <v>54.522400676246797</v>
      </c>
      <c r="K14" s="13">
        <v>49.567324333679501</v>
      </c>
      <c r="L14" s="13">
        <v>52.229729729729698</v>
      </c>
      <c r="M14" s="13">
        <v>50.160256410256402</v>
      </c>
      <c r="N14" s="13">
        <v>64.616870573084299</v>
      </c>
      <c r="O14" s="13">
        <v>48.334214701216297</v>
      </c>
      <c r="P14" s="13">
        <v>48.027842227378201</v>
      </c>
      <c r="Q14" s="13">
        <v>44.393203883495097</v>
      </c>
      <c r="R14" s="13">
        <v>57.730732635585198</v>
      </c>
      <c r="S14" s="13">
        <v>48.994919372653001</v>
      </c>
      <c r="T14" s="13">
        <v>40.938251804330399</v>
      </c>
      <c r="U14" s="13">
        <v>42.488354037267101</v>
      </c>
      <c r="V14" s="13">
        <v>47.1764020958665</v>
      </c>
      <c r="W14" s="13">
        <v>41.003049813622503</v>
      </c>
      <c r="X14" s="13">
        <v>37.662755184053999</v>
      </c>
      <c r="Y14" s="13">
        <v>45.849928309702101</v>
      </c>
      <c r="Z14" s="13"/>
      <c r="AA14" s="13"/>
    </row>
    <row r="15" spans="1:27" x14ac:dyDescent="0.25">
      <c r="A15" s="11" t="s">
        <v>327</v>
      </c>
      <c r="B15" s="11" t="s">
        <v>328</v>
      </c>
      <c r="C15" s="25">
        <v>44.026582416385203</v>
      </c>
      <c r="D15" s="25">
        <v>38.042000234135102</v>
      </c>
      <c r="E15" s="25">
        <v>41.4993854977468</v>
      </c>
      <c r="F15" s="25">
        <v>49.683677773091503</v>
      </c>
      <c r="G15" s="25">
        <v>31.9113756613757</v>
      </c>
      <c r="H15" s="25">
        <v>43.5203094777563</v>
      </c>
      <c r="I15" s="25">
        <v>42.960871319080297</v>
      </c>
      <c r="J15" s="25">
        <v>54.522400676246797</v>
      </c>
      <c r="K15" s="25">
        <v>49.567324333679501</v>
      </c>
      <c r="L15" s="25">
        <v>52.229729729729698</v>
      </c>
      <c r="M15" s="25">
        <v>50.160256410256402</v>
      </c>
      <c r="N15" s="25">
        <v>64.616870573084299</v>
      </c>
      <c r="O15" s="25">
        <v>48.334214701216297</v>
      </c>
      <c r="P15" s="25">
        <v>48.027842227378201</v>
      </c>
      <c r="Q15" s="25">
        <v>44.393203883495097</v>
      </c>
      <c r="R15" s="25">
        <v>57.730732635585198</v>
      </c>
      <c r="S15" s="25">
        <v>48.994919372653001</v>
      </c>
      <c r="T15" s="25">
        <v>40.938251804330399</v>
      </c>
      <c r="U15" s="25">
        <v>42.488354037267101</v>
      </c>
      <c r="V15" s="25">
        <v>47.1764020958665</v>
      </c>
      <c r="W15" s="25">
        <v>41.003049813622503</v>
      </c>
      <c r="X15" s="25">
        <v>37.662755184053999</v>
      </c>
      <c r="Y15" s="25">
        <v>45.849928309702101</v>
      </c>
      <c r="Z15" s="25"/>
      <c r="AA15" s="25"/>
    </row>
    <row r="16" spans="1:27" x14ac:dyDescent="0.25">
      <c r="A16" s="10" t="s">
        <v>329</v>
      </c>
      <c r="B16" s="10" t="s">
        <v>330</v>
      </c>
      <c r="C16" s="13">
        <v>33.602244253186598</v>
      </c>
      <c r="D16" s="13">
        <v>20.386863220077998</v>
      </c>
      <c r="E16" s="13">
        <v>22.654649733715701</v>
      </c>
      <c r="F16" s="13">
        <v>24.588781105018999</v>
      </c>
      <c r="G16" s="13">
        <v>26.7526455026455</v>
      </c>
      <c r="H16" s="13">
        <v>26.7311411992263</v>
      </c>
      <c r="I16" s="13">
        <v>26.906010488100002</v>
      </c>
      <c r="J16" s="13">
        <v>30.938292476754</v>
      </c>
      <c r="K16" s="13">
        <v>25.8913118726203</v>
      </c>
      <c r="L16" s="13">
        <v>31.3175675675676</v>
      </c>
      <c r="M16" s="13">
        <v>28.0128205128205</v>
      </c>
      <c r="N16" s="13">
        <v>32.904056664520297</v>
      </c>
      <c r="O16" s="13">
        <v>35.933368588048701</v>
      </c>
      <c r="P16" s="13">
        <v>27.7648878576953</v>
      </c>
      <c r="Q16" s="13">
        <v>28.6407766990291</v>
      </c>
      <c r="R16" s="13">
        <v>33.182683158896303</v>
      </c>
      <c r="S16" s="13">
        <v>32.206759443339998</v>
      </c>
      <c r="T16" s="13">
        <v>28.5084202085004</v>
      </c>
      <c r="U16" s="13">
        <v>26.688664596273298</v>
      </c>
      <c r="V16" s="13">
        <v>30.9334368329129</v>
      </c>
      <c r="W16" s="13">
        <v>32.378854625550701</v>
      </c>
      <c r="X16" s="13">
        <v>31.3454428548465</v>
      </c>
      <c r="Y16" s="13">
        <v>29.568265094790501</v>
      </c>
      <c r="Z16" s="13"/>
      <c r="AA16" s="13"/>
    </row>
    <row r="17" spans="1:27" x14ac:dyDescent="0.25">
      <c r="A17" s="10" t="s">
        <v>331</v>
      </c>
      <c r="B17" s="10" t="s">
        <v>332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-0.41262135922330101</v>
      </c>
      <c r="R17" s="13">
        <v>0</v>
      </c>
      <c r="S17" s="13">
        <v>0</v>
      </c>
      <c r="T17" s="13">
        <v>-0.78187650360866101</v>
      </c>
      <c r="U17" s="13">
        <v>0</v>
      </c>
      <c r="V17" s="13">
        <v>0</v>
      </c>
      <c r="W17" s="13">
        <v>-10.792951541850201</v>
      </c>
      <c r="X17" s="13">
        <v>0</v>
      </c>
      <c r="Y17" s="13">
        <v>0</v>
      </c>
      <c r="Z17" s="13"/>
      <c r="AA17" s="13"/>
    </row>
    <row r="18" spans="1:27" x14ac:dyDescent="0.25">
      <c r="A18" s="6" t="s">
        <v>333</v>
      </c>
      <c r="B18" s="6" t="s">
        <v>99</v>
      </c>
      <c r="C18" s="19">
        <v>21.495260921669001</v>
      </c>
      <c r="D18" s="19">
        <v>40.567507451799699</v>
      </c>
      <c r="E18" s="19">
        <v>34.821794346579303</v>
      </c>
      <c r="F18" s="19">
        <v>24.841838886545801</v>
      </c>
      <c r="G18" s="19">
        <v>40.542328042328002</v>
      </c>
      <c r="H18" s="19">
        <v>28.704061895551298</v>
      </c>
      <c r="I18" s="19">
        <v>28.9632916498588</v>
      </c>
      <c r="J18" s="19">
        <v>13.313609467455599</v>
      </c>
      <c r="K18" s="19">
        <v>23.4683281412253</v>
      </c>
      <c r="L18" s="19">
        <v>15.0337837837838</v>
      </c>
      <c r="M18" s="19">
        <v>20.5128205128205</v>
      </c>
      <c r="N18" s="19">
        <v>0.99806825499034102</v>
      </c>
      <c r="O18" s="19">
        <v>14.4632469592808</v>
      </c>
      <c r="P18" s="19">
        <v>22.634699664862101</v>
      </c>
      <c r="Q18" s="19">
        <v>25.509708737864099</v>
      </c>
      <c r="R18" s="19">
        <v>7.0647002854424397</v>
      </c>
      <c r="S18" s="19">
        <v>16.2580075104926</v>
      </c>
      <c r="T18" s="19">
        <v>29.089815557337602</v>
      </c>
      <c r="U18" s="19">
        <v>29.1731366459627</v>
      </c>
      <c r="V18" s="19">
        <v>20.4346982340384</v>
      </c>
      <c r="W18" s="19">
        <v>35.852253473398797</v>
      </c>
      <c r="X18" s="19">
        <v>29.705835074746801</v>
      </c>
      <c r="Y18" s="19">
        <v>23.100207105305099</v>
      </c>
      <c r="Z18" s="19">
        <v>17.899067240930599</v>
      </c>
      <c r="AA18" s="19">
        <v>20.537962962963</v>
      </c>
    </row>
    <row r="19" spans="1:27" x14ac:dyDescent="0.25">
      <c r="A19" s="10" t="s">
        <v>334</v>
      </c>
      <c r="B19" s="10" t="s">
        <v>335</v>
      </c>
      <c r="C19" s="13">
        <v>1.8166466935396</v>
      </c>
      <c r="D19" s="13">
        <v>1.45929201149063</v>
      </c>
      <c r="E19" s="13">
        <v>1.22900450634986</v>
      </c>
      <c r="F19" s="13">
        <v>1.4761703922395599</v>
      </c>
      <c r="G19" s="13">
        <v>1.5542328042328</v>
      </c>
      <c r="H19" s="13">
        <v>2.24371373307544</v>
      </c>
      <c r="I19" s="13">
        <v>2.5010084711577201</v>
      </c>
      <c r="J19" s="13">
        <v>2.1132713440405699</v>
      </c>
      <c r="K19" s="13">
        <v>1.8345448251990299</v>
      </c>
      <c r="L19" s="13">
        <v>1.9594594594594601</v>
      </c>
      <c r="M19" s="13">
        <v>1.8910256410256401</v>
      </c>
      <c r="N19" s="13">
        <v>0.51513200257566005</v>
      </c>
      <c r="O19" s="13">
        <v>18.667371760973001</v>
      </c>
      <c r="P19" s="13">
        <v>-5.4653261149780903</v>
      </c>
      <c r="Q19" s="13">
        <v>-1.77184466019417</v>
      </c>
      <c r="R19" s="13">
        <v>-2.0694576593720302</v>
      </c>
      <c r="S19" s="13">
        <v>-2.3635962005743298</v>
      </c>
      <c r="T19" s="13">
        <v>-2.9069767441860499</v>
      </c>
      <c r="U19" s="13">
        <v>-3.6684782608695601</v>
      </c>
      <c r="V19" s="13">
        <v>12.885697651853301</v>
      </c>
      <c r="W19" s="13">
        <v>-3.8630972551677401</v>
      </c>
      <c r="X19" s="13">
        <v>-3.7614531425815798</v>
      </c>
      <c r="Y19" s="13">
        <v>-3.58451489565079</v>
      </c>
      <c r="Z19" s="13"/>
      <c r="AA19" s="13"/>
    </row>
    <row r="20" spans="1:27" x14ac:dyDescent="0.25">
      <c r="A20" s="11" t="s">
        <v>336</v>
      </c>
      <c r="B20" s="11" t="s">
        <v>337</v>
      </c>
      <c r="C20" s="25">
        <v>4.3261793223662703</v>
      </c>
      <c r="D20" s="25">
        <v>3.6191882716327299</v>
      </c>
      <c r="E20" s="25">
        <v>3.3592789840229398</v>
      </c>
      <c r="F20" s="25">
        <v>3.4584563475326902</v>
      </c>
      <c r="G20" s="25">
        <v>2.7447089947090002</v>
      </c>
      <c r="H20" s="25">
        <v>3.2882011605415902</v>
      </c>
      <c r="I20" s="25">
        <v>3.14643001210165</v>
      </c>
      <c r="J20" s="25">
        <v>2.7049873203719401</v>
      </c>
      <c r="K20" s="25">
        <v>2.1460713049498099</v>
      </c>
      <c r="L20" s="25">
        <v>2.2297297297297298</v>
      </c>
      <c r="M20" s="25">
        <v>2.1153846153846101</v>
      </c>
      <c r="N20" s="25">
        <v>0.83708950418544703</v>
      </c>
      <c r="O20" s="25">
        <v>0.58170280274986796</v>
      </c>
      <c r="P20" s="25">
        <v>0.30935808197989201</v>
      </c>
      <c r="Q20" s="25">
        <v>0.26699029126213603</v>
      </c>
      <c r="R20" s="25">
        <v>0.26165556612749802</v>
      </c>
      <c r="S20" s="25">
        <v>0.28716589352772298</v>
      </c>
      <c r="T20" s="25">
        <v>0.220529270248597</v>
      </c>
      <c r="U20" s="25">
        <v>0.213509316770186</v>
      </c>
      <c r="V20" s="25">
        <v>0.21346788278672599</v>
      </c>
      <c r="W20" s="25" t="s">
        <v>141</v>
      </c>
      <c r="X20" s="25" t="s">
        <v>141</v>
      </c>
      <c r="Y20" s="25" t="s">
        <v>141</v>
      </c>
      <c r="Z20" s="25"/>
      <c r="AA20" s="25"/>
    </row>
    <row r="21" spans="1:27" x14ac:dyDescent="0.25">
      <c r="A21" s="10" t="s">
        <v>338</v>
      </c>
      <c r="B21" s="10" t="s">
        <v>339</v>
      </c>
      <c r="C21" s="13">
        <v>-2.5095326288266699</v>
      </c>
      <c r="D21" s="13">
        <v>-2.1598962601421001</v>
      </c>
      <c r="E21" s="13">
        <v>-2.1302744776730802</v>
      </c>
      <c r="F21" s="13">
        <v>-1.98228595529313</v>
      </c>
      <c r="G21" s="13">
        <v>-1.19047619047619</v>
      </c>
      <c r="H21" s="13">
        <v>-1.04448742746615</v>
      </c>
      <c r="I21" s="13">
        <v>-0.64542154094392901</v>
      </c>
      <c r="J21" s="13">
        <v>-0.59171597633136097</v>
      </c>
      <c r="K21" s="13">
        <v>-0.31152647975077902</v>
      </c>
      <c r="L21" s="13">
        <v>-0.27027027027027001</v>
      </c>
      <c r="M21" s="13">
        <v>-0.22435897435897401</v>
      </c>
      <c r="N21" s="13">
        <v>-0.32195750160978698</v>
      </c>
      <c r="O21" s="13">
        <v>-0.42305658381808597</v>
      </c>
      <c r="P21" s="13">
        <v>-5.1559680329981997E-2</v>
      </c>
      <c r="Q21" s="13">
        <v>-2.0388349514563102</v>
      </c>
      <c r="R21" s="13">
        <v>-2.3311132254995202</v>
      </c>
      <c r="S21" s="13">
        <v>-2.65076209410205</v>
      </c>
      <c r="T21" s="13">
        <v>-3.12750601443464</v>
      </c>
      <c r="U21" s="13">
        <v>-3.8819875776397499</v>
      </c>
      <c r="V21" s="13">
        <v>-4.54104405200854</v>
      </c>
      <c r="W21" s="13">
        <v>-3.8630972551677401</v>
      </c>
      <c r="X21" s="13">
        <v>-3.7614531425815798</v>
      </c>
      <c r="Y21" s="13">
        <v>-3.58451489565079</v>
      </c>
      <c r="Z21" s="13"/>
      <c r="AA21" s="13"/>
    </row>
    <row r="22" spans="1:27" x14ac:dyDescent="0.25">
      <c r="A22" s="10" t="s">
        <v>340</v>
      </c>
      <c r="B22" s="10" t="s">
        <v>341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18.508725542041201</v>
      </c>
      <c r="P22" s="13">
        <v>-5.7231245166280003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17.213273821075099</v>
      </c>
      <c r="W22" s="13">
        <v>0</v>
      </c>
      <c r="X22" s="13">
        <v>0</v>
      </c>
      <c r="Y22" s="13">
        <v>0</v>
      </c>
      <c r="Z22" s="13"/>
      <c r="AA22" s="13"/>
    </row>
    <row r="23" spans="1:27" x14ac:dyDescent="0.25">
      <c r="A23" s="6" t="s">
        <v>342</v>
      </c>
      <c r="B23" s="6" t="s">
        <v>158</v>
      </c>
      <c r="C23" s="19">
        <v>19.678614228129401</v>
      </c>
      <c r="D23" s="19">
        <v>39.108215440309102</v>
      </c>
      <c r="E23" s="19">
        <v>33.592789840229401</v>
      </c>
      <c r="F23" s="19">
        <v>23.365668494306199</v>
      </c>
      <c r="G23" s="19">
        <v>38.988095238095198</v>
      </c>
      <c r="H23" s="19">
        <v>26.4603481624758</v>
      </c>
      <c r="I23" s="19">
        <v>26.462283178701099</v>
      </c>
      <c r="J23" s="19">
        <v>11.200338123414999</v>
      </c>
      <c r="K23" s="19">
        <v>21.6337833160263</v>
      </c>
      <c r="L23" s="19">
        <v>13.0743243243243</v>
      </c>
      <c r="M23" s="19">
        <v>18.621794871794901</v>
      </c>
      <c r="N23" s="19">
        <v>0.48293625241468102</v>
      </c>
      <c r="O23" s="19">
        <v>-4.2041248016922301</v>
      </c>
      <c r="P23" s="19">
        <v>28.100025779840198</v>
      </c>
      <c r="Q23" s="19">
        <v>27.2815533980583</v>
      </c>
      <c r="R23" s="19">
        <v>9.1341579448144596</v>
      </c>
      <c r="S23" s="19">
        <v>18.6216037110669</v>
      </c>
      <c r="T23" s="19">
        <v>31.996792301523701</v>
      </c>
      <c r="U23" s="19">
        <v>32.841614906832298</v>
      </c>
      <c r="V23" s="19">
        <v>7.5490005821851396</v>
      </c>
      <c r="W23" s="19">
        <v>39.715350728566598</v>
      </c>
      <c r="X23" s="19">
        <v>33.467288217328402</v>
      </c>
      <c r="Y23" s="19">
        <v>26.684722000955901</v>
      </c>
      <c r="Z23" s="19">
        <v>18.9270332216709</v>
      </c>
      <c r="AA23" s="19">
        <v>20.207407407407398</v>
      </c>
    </row>
    <row r="24" spans="1:27" x14ac:dyDescent="0.25">
      <c r="A24" s="10" t="s">
        <v>343</v>
      </c>
      <c r="B24" s="10" t="s">
        <v>344</v>
      </c>
      <c r="C24" s="13">
        <v>-8.6964810981588396</v>
      </c>
      <c r="D24" s="13">
        <v>12.8098913072843</v>
      </c>
      <c r="E24" s="13">
        <v>17.779598525194601</v>
      </c>
      <c r="F24" s="13">
        <v>6.9590889919865004</v>
      </c>
      <c r="G24" s="13">
        <v>11.4748677248677</v>
      </c>
      <c r="H24" s="13">
        <v>48.549323017408099</v>
      </c>
      <c r="I24" s="13">
        <v>9.6409842678499391</v>
      </c>
      <c r="J24" s="13">
        <v>-0.29585798816567999</v>
      </c>
      <c r="K24" s="13">
        <v>1.7307026652821</v>
      </c>
      <c r="L24" s="13">
        <v>2.7702702702702702</v>
      </c>
      <c r="M24" s="13">
        <v>23.044871794871799</v>
      </c>
      <c r="N24" s="13">
        <v>-6.4069542820347696</v>
      </c>
      <c r="O24" s="13">
        <v>1.95663670015865</v>
      </c>
      <c r="P24" s="13">
        <v>2.8615622583140001</v>
      </c>
      <c r="Q24" s="13">
        <v>-1.3349514563106799</v>
      </c>
      <c r="R24" s="13">
        <v>33.705994291151299</v>
      </c>
      <c r="S24" s="13">
        <v>-8.2394521758338808</v>
      </c>
      <c r="T24" s="13">
        <v>8.8211708099438706</v>
      </c>
      <c r="U24" s="13">
        <v>-5.6288819875776399</v>
      </c>
      <c r="V24" s="13">
        <v>0.85387153114690495</v>
      </c>
      <c r="W24" s="13">
        <v>23.0091494408675</v>
      </c>
      <c r="X24" s="13">
        <v>2.87735090821411</v>
      </c>
      <c r="Y24" s="13">
        <v>0.78062768838617203</v>
      </c>
      <c r="Z24" s="13"/>
      <c r="AA24" s="13"/>
    </row>
    <row r="25" spans="1:27" x14ac:dyDescent="0.25">
      <c r="A25" s="10" t="s">
        <v>345</v>
      </c>
      <c r="B25" s="10" t="s">
        <v>346</v>
      </c>
      <c r="C25" s="13">
        <v>2.7236082361913101</v>
      </c>
      <c r="D25" s="13" t="s">
        <v>141</v>
      </c>
      <c r="E25" s="13">
        <v>14.829987709954899</v>
      </c>
      <c r="F25" s="13" t="s">
        <v>141</v>
      </c>
      <c r="G25" s="13">
        <v>15.2116402116402</v>
      </c>
      <c r="H25" s="13">
        <v>45.841392649903298</v>
      </c>
      <c r="I25" s="13" t="s">
        <v>141</v>
      </c>
      <c r="J25" s="13" t="s">
        <v>141</v>
      </c>
      <c r="K25" s="13">
        <v>1.7307026652821</v>
      </c>
      <c r="L25" s="13" t="s">
        <v>141</v>
      </c>
      <c r="M25" s="13">
        <v>32.147435897435898</v>
      </c>
      <c r="N25" s="13" t="s">
        <v>141</v>
      </c>
      <c r="O25" s="13" t="s">
        <v>141</v>
      </c>
      <c r="P25" s="13" t="s">
        <v>141</v>
      </c>
      <c r="Q25" s="13" t="s">
        <v>141</v>
      </c>
      <c r="R25" s="13">
        <v>34.229305423406302</v>
      </c>
      <c r="S25" s="13" t="s">
        <v>141</v>
      </c>
      <c r="T25" s="13" t="s">
        <v>141</v>
      </c>
      <c r="U25" s="13" t="s">
        <v>141</v>
      </c>
      <c r="V25" s="13">
        <v>1.1643702697457801</v>
      </c>
      <c r="W25" s="13">
        <v>0.42358522534734</v>
      </c>
      <c r="X25" s="13">
        <v>0.16074586079408501</v>
      </c>
      <c r="Y25" s="13">
        <v>0.47793531942010498</v>
      </c>
      <c r="Z25" s="13"/>
      <c r="AA25" s="13"/>
    </row>
    <row r="26" spans="1:27" x14ac:dyDescent="0.25">
      <c r="A26" s="10" t="s">
        <v>347</v>
      </c>
      <c r="B26" s="10" t="s">
        <v>348</v>
      </c>
      <c r="C26" s="13" t="s">
        <v>141</v>
      </c>
      <c r="D26" s="13" t="s">
        <v>141</v>
      </c>
      <c r="E26" s="13" t="s">
        <v>141</v>
      </c>
      <c r="F26" s="13" t="s">
        <v>141</v>
      </c>
      <c r="G26" s="13" t="s">
        <v>141</v>
      </c>
      <c r="H26" s="13" t="s">
        <v>141</v>
      </c>
      <c r="I26" s="13" t="s">
        <v>141</v>
      </c>
      <c r="J26" s="13" t="s">
        <v>141</v>
      </c>
      <c r="K26" s="13" t="s">
        <v>141</v>
      </c>
      <c r="L26" s="13" t="s">
        <v>141</v>
      </c>
      <c r="M26" s="13" t="s">
        <v>141</v>
      </c>
      <c r="N26" s="13" t="s">
        <v>141</v>
      </c>
      <c r="O26" s="13" t="s">
        <v>141</v>
      </c>
      <c r="P26" s="13" t="s">
        <v>141</v>
      </c>
      <c r="Q26" s="13">
        <v>0.41262135922330101</v>
      </c>
      <c r="R26" s="13" t="s">
        <v>141</v>
      </c>
      <c r="S26" s="13" t="s">
        <v>141</v>
      </c>
      <c r="T26" s="13">
        <v>0.78187650360866101</v>
      </c>
      <c r="U26" s="13" t="s">
        <v>141</v>
      </c>
      <c r="V26" s="13" t="s">
        <v>141</v>
      </c>
      <c r="W26" s="13" t="s">
        <v>141</v>
      </c>
      <c r="X26" s="13" t="s">
        <v>141</v>
      </c>
      <c r="Y26" s="13" t="s">
        <v>141</v>
      </c>
      <c r="Z26" s="13"/>
      <c r="AA26" s="13"/>
    </row>
    <row r="27" spans="1:27" x14ac:dyDescent="0.25">
      <c r="A27" s="10" t="s">
        <v>349</v>
      </c>
      <c r="B27" s="10" t="s">
        <v>350</v>
      </c>
      <c r="C27" s="13" t="s">
        <v>141</v>
      </c>
      <c r="D27" s="13" t="s">
        <v>141</v>
      </c>
      <c r="E27" s="13" t="s">
        <v>141</v>
      </c>
      <c r="F27" s="13" t="s">
        <v>141</v>
      </c>
      <c r="G27" s="13" t="s">
        <v>141</v>
      </c>
      <c r="H27" s="13" t="s">
        <v>141</v>
      </c>
      <c r="I27" s="13">
        <v>7.4223477208551802</v>
      </c>
      <c r="J27" s="13" t="s">
        <v>141</v>
      </c>
      <c r="K27" s="13" t="s">
        <v>141</v>
      </c>
      <c r="L27" s="13" t="s">
        <v>141</v>
      </c>
      <c r="M27" s="13" t="s">
        <v>141</v>
      </c>
      <c r="N27" s="13" t="s">
        <v>141</v>
      </c>
      <c r="O27" s="13" t="s">
        <v>141</v>
      </c>
      <c r="P27" s="13" t="s">
        <v>141</v>
      </c>
      <c r="Q27" s="13" t="s">
        <v>141</v>
      </c>
      <c r="R27" s="13" t="s">
        <v>141</v>
      </c>
      <c r="S27" s="13" t="s">
        <v>141</v>
      </c>
      <c r="T27" s="13" t="s">
        <v>141</v>
      </c>
      <c r="U27" s="13" t="s">
        <v>141</v>
      </c>
      <c r="V27" s="13" t="s">
        <v>141</v>
      </c>
      <c r="W27" s="13" t="s">
        <v>141</v>
      </c>
      <c r="X27" s="13" t="s">
        <v>141</v>
      </c>
      <c r="Y27" s="13" t="s">
        <v>141</v>
      </c>
      <c r="Z27" s="13"/>
      <c r="AA27" s="13"/>
    </row>
    <row r="28" spans="1:27" x14ac:dyDescent="0.25">
      <c r="A28" s="10" t="s">
        <v>351</v>
      </c>
      <c r="B28" s="10" t="s">
        <v>352</v>
      </c>
      <c r="C28" s="13" t="s">
        <v>141</v>
      </c>
      <c r="D28" s="13" t="s">
        <v>141</v>
      </c>
      <c r="E28" s="13" t="s">
        <v>141</v>
      </c>
      <c r="F28" s="13" t="s">
        <v>141</v>
      </c>
      <c r="G28" s="13" t="s">
        <v>141</v>
      </c>
      <c r="H28" s="13" t="s">
        <v>141</v>
      </c>
      <c r="I28" s="13" t="s">
        <v>141</v>
      </c>
      <c r="J28" s="13" t="s">
        <v>141</v>
      </c>
      <c r="K28" s="13" t="s">
        <v>141</v>
      </c>
      <c r="L28" s="13" t="s">
        <v>141</v>
      </c>
      <c r="M28" s="13" t="s">
        <v>141</v>
      </c>
      <c r="N28" s="13" t="s">
        <v>141</v>
      </c>
      <c r="O28" s="13" t="s">
        <v>141</v>
      </c>
      <c r="P28" s="13" t="s">
        <v>141</v>
      </c>
      <c r="Q28" s="13" t="s">
        <v>141</v>
      </c>
      <c r="R28" s="13" t="s">
        <v>141</v>
      </c>
      <c r="S28" s="13" t="s">
        <v>141</v>
      </c>
      <c r="T28" s="13" t="s">
        <v>141</v>
      </c>
      <c r="U28" s="13" t="s">
        <v>141</v>
      </c>
      <c r="V28" s="13" t="s">
        <v>141</v>
      </c>
      <c r="W28" s="13">
        <v>2.3720772619450998</v>
      </c>
      <c r="X28" s="13" t="s">
        <v>141</v>
      </c>
      <c r="Y28" s="13" t="s">
        <v>141</v>
      </c>
      <c r="Z28" s="13"/>
      <c r="AA28" s="13"/>
    </row>
    <row r="29" spans="1:27" x14ac:dyDescent="0.25">
      <c r="A29" s="10" t="s">
        <v>353</v>
      </c>
      <c r="B29" s="10" t="s">
        <v>354</v>
      </c>
      <c r="C29" s="13">
        <v>-11.4200893343501</v>
      </c>
      <c r="D29" s="13">
        <v>12.8098913072843</v>
      </c>
      <c r="E29" s="13">
        <v>2.9496108152396601</v>
      </c>
      <c r="F29" s="13">
        <v>6.9590889919865004</v>
      </c>
      <c r="G29" s="13">
        <v>-3.7367724867724901</v>
      </c>
      <c r="H29" s="13">
        <v>2.7079303675048401</v>
      </c>
      <c r="I29" s="13">
        <v>2.2186365469947602</v>
      </c>
      <c r="J29" s="13">
        <v>-0.29585798816567999</v>
      </c>
      <c r="K29" s="13" t="s">
        <v>141</v>
      </c>
      <c r="L29" s="13">
        <v>2.7702702702702702</v>
      </c>
      <c r="M29" s="13">
        <v>-9.1025641025641004</v>
      </c>
      <c r="N29" s="13">
        <v>-6.4069542820347696</v>
      </c>
      <c r="O29" s="13">
        <v>1.95663670015865</v>
      </c>
      <c r="P29" s="13">
        <v>2.8615622583140001</v>
      </c>
      <c r="Q29" s="13">
        <v>-1.74757281553398</v>
      </c>
      <c r="R29" s="13">
        <v>-0.52331113225499504</v>
      </c>
      <c r="S29" s="13">
        <v>-8.2394521758338808</v>
      </c>
      <c r="T29" s="13">
        <v>8.0392943063352007</v>
      </c>
      <c r="U29" s="13">
        <v>-5.6288819875776399</v>
      </c>
      <c r="V29" s="13">
        <v>-0.310498738598875</v>
      </c>
      <c r="W29" s="13">
        <v>3.37173839376482</v>
      </c>
      <c r="X29" s="13">
        <v>2.7166050474200301</v>
      </c>
      <c r="Y29" s="13">
        <v>0.30269236896606699</v>
      </c>
      <c r="Z29" s="13"/>
      <c r="AA29" s="13"/>
    </row>
    <row r="30" spans="1:27" x14ac:dyDescent="0.25">
      <c r="A30" s="10" t="s">
        <v>355</v>
      </c>
      <c r="B30" s="10" t="s">
        <v>356</v>
      </c>
      <c r="C30" s="13" t="s">
        <v>141</v>
      </c>
      <c r="D30" s="13" t="s">
        <v>141</v>
      </c>
      <c r="E30" s="13" t="s">
        <v>141</v>
      </c>
      <c r="F30" s="13" t="s">
        <v>141</v>
      </c>
      <c r="G30" s="13" t="s">
        <v>141</v>
      </c>
      <c r="H30" s="13" t="s">
        <v>141</v>
      </c>
      <c r="I30" s="13" t="s">
        <v>141</v>
      </c>
      <c r="J30" s="13" t="s">
        <v>141</v>
      </c>
      <c r="K30" s="13" t="s">
        <v>141</v>
      </c>
      <c r="L30" s="13" t="s">
        <v>141</v>
      </c>
      <c r="M30" s="13" t="s">
        <v>141</v>
      </c>
      <c r="N30" s="13" t="s">
        <v>141</v>
      </c>
      <c r="O30" s="13" t="s">
        <v>141</v>
      </c>
      <c r="P30" s="13" t="s">
        <v>141</v>
      </c>
      <c r="Q30" s="13" t="s">
        <v>141</v>
      </c>
      <c r="R30" s="13" t="s">
        <v>141</v>
      </c>
      <c r="S30" s="13" t="s">
        <v>141</v>
      </c>
      <c r="T30" s="13" t="s">
        <v>141</v>
      </c>
      <c r="U30" s="13" t="s">
        <v>141</v>
      </c>
      <c r="V30" s="13" t="s">
        <v>141</v>
      </c>
      <c r="W30" s="13">
        <v>16.841748559810199</v>
      </c>
      <c r="X30" s="13" t="s">
        <v>141</v>
      </c>
      <c r="Y30" s="13" t="s">
        <v>141</v>
      </c>
      <c r="Z30" s="13"/>
      <c r="AA30" s="13"/>
    </row>
    <row r="31" spans="1:27" x14ac:dyDescent="0.25">
      <c r="A31" s="6" t="s">
        <v>357</v>
      </c>
      <c r="B31" s="6" t="s">
        <v>158</v>
      </c>
      <c r="C31" s="19">
        <v>28.375095326288299</v>
      </c>
      <c r="D31" s="19">
        <v>26.298324133024799</v>
      </c>
      <c r="E31" s="19">
        <v>15.8131913150348</v>
      </c>
      <c r="F31" s="19">
        <v>16.406579502319701</v>
      </c>
      <c r="G31" s="19">
        <v>27.513227513227498</v>
      </c>
      <c r="H31" s="19">
        <v>-22.0889748549323</v>
      </c>
      <c r="I31" s="19">
        <v>16.821298910851201</v>
      </c>
      <c r="J31" s="19">
        <v>11.4961961115807</v>
      </c>
      <c r="K31" s="19">
        <v>19.903080650744201</v>
      </c>
      <c r="L31" s="19">
        <v>10.304054054054101</v>
      </c>
      <c r="M31" s="19">
        <v>-4.4230769230769198</v>
      </c>
      <c r="N31" s="19">
        <v>6.8898905344494503</v>
      </c>
      <c r="O31" s="19">
        <v>-6.1607615018508701</v>
      </c>
      <c r="P31" s="19">
        <v>25.238463521526199</v>
      </c>
      <c r="Q31" s="19">
        <v>28.616504854368898</v>
      </c>
      <c r="R31" s="19">
        <v>-24.571836346336799</v>
      </c>
      <c r="S31" s="19">
        <v>26.8610558869008</v>
      </c>
      <c r="T31" s="19">
        <v>23.1756214915798</v>
      </c>
      <c r="U31" s="19">
        <v>38.470496894409898</v>
      </c>
      <c r="V31" s="19">
        <v>6.6951290510382302</v>
      </c>
      <c r="W31" s="19">
        <v>16.706201287699098</v>
      </c>
      <c r="X31" s="19">
        <v>30.589937309114301</v>
      </c>
      <c r="Y31" s="19">
        <v>25.904094312569701</v>
      </c>
      <c r="Z31" s="19">
        <v>18.9270332216709</v>
      </c>
      <c r="AA31" s="19">
        <v>20.207407407407398</v>
      </c>
    </row>
    <row r="32" spans="1:27" x14ac:dyDescent="0.25">
      <c r="A32" s="10" t="s">
        <v>358</v>
      </c>
      <c r="B32" s="10" t="s">
        <v>359</v>
      </c>
      <c r="C32" s="13">
        <v>0.410175400370411</v>
      </c>
      <c r="D32" s="13">
        <v>2.0792997559591901</v>
      </c>
      <c r="E32" s="13">
        <v>1.88447357640311</v>
      </c>
      <c r="F32" s="13">
        <v>0.632644453816955</v>
      </c>
      <c r="G32" s="13">
        <v>1.19047619047619</v>
      </c>
      <c r="H32" s="13">
        <v>0.19342359767891701</v>
      </c>
      <c r="I32" s="13">
        <v>-123.517547398144</v>
      </c>
      <c r="J32" s="13">
        <v>-2.0710059171597601</v>
      </c>
      <c r="K32" s="13">
        <v>5.2613361024575998</v>
      </c>
      <c r="L32" s="13">
        <v>2.7027027027027</v>
      </c>
      <c r="M32" s="13">
        <v>-2.0833333333333299</v>
      </c>
      <c r="N32" s="13">
        <v>2.4146812620734099</v>
      </c>
      <c r="O32" s="13">
        <v>-1.6922263352723399</v>
      </c>
      <c r="P32" s="13">
        <v>7.5792730085073501</v>
      </c>
      <c r="Q32" s="13">
        <v>7.0145631067961203</v>
      </c>
      <c r="R32" s="13">
        <v>-6.3510941960038103</v>
      </c>
      <c r="S32" s="13">
        <v>5.7654075546719703</v>
      </c>
      <c r="T32" s="13">
        <v>6.5156375300721701</v>
      </c>
      <c r="U32" s="13">
        <v>9.8020186335403707</v>
      </c>
      <c r="V32" s="13">
        <v>-1.7271492334562399</v>
      </c>
      <c r="W32" s="13">
        <v>5.6929854286682504</v>
      </c>
      <c r="X32" s="13">
        <v>9.7251245780421094</v>
      </c>
      <c r="Y32" s="13">
        <v>9.4790505018320808</v>
      </c>
      <c r="Z32" s="13"/>
      <c r="AA32" s="13"/>
    </row>
    <row r="33" spans="1:27" x14ac:dyDescent="0.25">
      <c r="A33" s="10" t="s">
        <v>360</v>
      </c>
      <c r="B33" s="10" t="s">
        <v>361</v>
      </c>
      <c r="C33" s="13" t="s">
        <v>141</v>
      </c>
      <c r="D33" s="13" t="s">
        <v>141</v>
      </c>
      <c r="E33" s="13" t="s">
        <v>141</v>
      </c>
      <c r="F33" s="13" t="s">
        <v>141</v>
      </c>
      <c r="G33" s="13" t="s">
        <v>141</v>
      </c>
      <c r="H33" s="13" t="s">
        <v>141</v>
      </c>
      <c r="I33" s="13" t="s">
        <v>141</v>
      </c>
      <c r="J33" s="13" t="s">
        <v>141</v>
      </c>
      <c r="K33" s="13" t="s">
        <v>141</v>
      </c>
      <c r="L33" s="13" t="s">
        <v>141</v>
      </c>
      <c r="M33" s="13" t="s">
        <v>141</v>
      </c>
      <c r="N33" s="13" t="s">
        <v>141</v>
      </c>
      <c r="O33" s="13" t="s">
        <v>141</v>
      </c>
      <c r="P33" s="13" t="s">
        <v>141</v>
      </c>
      <c r="Q33" s="13" t="s">
        <v>141</v>
      </c>
      <c r="R33" s="13" t="s">
        <v>141</v>
      </c>
      <c r="S33" s="13" t="s">
        <v>141</v>
      </c>
      <c r="T33" s="13" t="s">
        <v>141</v>
      </c>
      <c r="U33" s="13" t="s">
        <v>141</v>
      </c>
      <c r="V33" s="13" t="s">
        <v>141</v>
      </c>
      <c r="W33" s="13" t="s">
        <v>141</v>
      </c>
      <c r="X33" s="13" t="s">
        <v>141</v>
      </c>
      <c r="Y33" s="13" t="s">
        <v>141</v>
      </c>
      <c r="Z33" s="13"/>
      <c r="AA33" s="13"/>
    </row>
    <row r="34" spans="1:27" x14ac:dyDescent="0.25">
      <c r="A34" s="10" t="s">
        <v>362</v>
      </c>
      <c r="B34" s="10" t="s">
        <v>363</v>
      </c>
      <c r="C34" s="13" t="s">
        <v>141</v>
      </c>
      <c r="D34" s="13" t="s">
        <v>141</v>
      </c>
      <c r="E34" s="13" t="s">
        <v>141</v>
      </c>
      <c r="F34" s="13" t="s">
        <v>141</v>
      </c>
      <c r="G34" s="13" t="s">
        <v>141</v>
      </c>
      <c r="H34" s="13" t="s">
        <v>141</v>
      </c>
      <c r="I34" s="13" t="s">
        <v>141</v>
      </c>
      <c r="J34" s="13" t="s">
        <v>141</v>
      </c>
      <c r="K34" s="13" t="s">
        <v>141</v>
      </c>
      <c r="L34" s="13" t="s">
        <v>141</v>
      </c>
      <c r="M34" s="13" t="s">
        <v>141</v>
      </c>
      <c r="N34" s="13" t="s">
        <v>141</v>
      </c>
      <c r="O34" s="13" t="s">
        <v>141</v>
      </c>
      <c r="P34" s="13" t="s">
        <v>141</v>
      </c>
      <c r="Q34" s="13" t="s">
        <v>141</v>
      </c>
      <c r="R34" s="13" t="s">
        <v>141</v>
      </c>
      <c r="S34" s="13" t="s">
        <v>141</v>
      </c>
      <c r="T34" s="13" t="s">
        <v>141</v>
      </c>
      <c r="U34" s="13" t="s">
        <v>141</v>
      </c>
      <c r="V34" s="13" t="s">
        <v>141</v>
      </c>
      <c r="W34" s="13" t="s">
        <v>141</v>
      </c>
      <c r="X34" s="13" t="s">
        <v>141</v>
      </c>
      <c r="Y34" s="13" t="s">
        <v>141</v>
      </c>
      <c r="Z34" s="13"/>
      <c r="AA34" s="13"/>
    </row>
    <row r="35" spans="1:27" x14ac:dyDescent="0.25">
      <c r="A35" s="6" t="s">
        <v>364</v>
      </c>
      <c r="B35" s="6" t="s">
        <v>365</v>
      </c>
      <c r="C35" s="19">
        <v>27.964919925917901</v>
      </c>
      <c r="D35" s="19">
        <v>24.219024377065601</v>
      </c>
      <c r="E35" s="19">
        <v>13.9287177386317</v>
      </c>
      <c r="F35" s="19">
        <v>15.7739350485027</v>
      </c>
      <c r="G35" s="19">
        <v>26.322751322751301</v>
      </c>
      <c r="H35" s="19">
        <v>-22.282398452611201</v>
      </c>
      <c r="I35" s="19">
        <v>140.33884630899601</v>
      </c>
      <c r="J35" s="19">
        <v>13.5672020287405</v>
      </c>
      <c r="K35" s="19">
        <v>14.641744548286599</v>
      </c>
      <c r="L35" s="19">
        <v>7.60135135135135</v>
      </c>
      <c r="M35" s="19">
        <v>-2.3397435897435899</v>
      </c>
      <c r="N35" s="19">
        <v>4.4752092723760502</v>
      </c>
      <c r="O35" s="19">
        <v>-4.4685351665785298</v>
      </c>
      <c r="P35" s="19">
        <v>17.6591905130188</v>
      </c>
      <c r="Q35" s="19">
        <v>21.601941747572798</v>
      </c>
      <c r="R35" s="19">
        <v>-18.220742150332999</v>
      </c>
      <c r="S35" s="19">
        <v>21.095648332228901</v>
      </c>
      <c r="T35" s="19">
        <v>16.659983961507599</v>
      </c>
      <c r="U35" s="19">
        <v>28.668478260869598</v>
      </c>
      <c r="V35" s="19">
        <v>8.4222782844944692</v>
      </c>
      <c r="W35" s="19">
        <v>11.013215859030799</v>
      </c>
      <c r="X35" s="19">
        <v>20.864812731072199</v>
      </c>
      <c r="Y35" s="19">
        <v>16.425043810737598</v>
      </c>
      <c r="Z35" s="19">
        <v>14.3752361282523</v>
      </c>
      <c r="AA35" s="19">
        <v>15.0513888888889</v>
      </c>
    </row>
    <row r="36" spans="1:27" x14ac:dyDescent="0.25">
      <c r="A36" s="10" t="s">
        <v>366</v>
      </c>
      <c r="B36" s="10" t="s">
        <v>367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/>
      <c r="AA36" s="13"/>
    </row>
    <row r="37" spans="1:27" x14ac:dyDescent="0.25">
      <c r="A37" s="10" t="s">
        <v>368</v>
      </c>
      <c r="B37" s="10" t="s">
        <v>369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/>
      <c r="AA37" s="13"/>
    </row>
    <row r="38" spans="1:27" x14ac:dyDescent="0.25">
      <c r="A38" s="10" t="s">
        <v>370</v>
      </c>
      <c r="B38" s="10" t="s">
        <v>371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/>
      <c r="AA38" s="13"/>
    </row>
    <row r="39" spans="1:27" x14ac:dyDescent="0.25">
      <c r="A39" s="6" t="s">
        <v>372</v>
      </c>
      <c r="B39" s="6" t="s">
        <v>373</v>
      </c>
      <c r="C39" s="19">
        <v>27.964919925917901</v>
      </c>
      <c r="D39" s="19">
        <v>24.219024377065601</v>
      </c>
      <c r="E39" s="19">
        <v>13.9287177386317</v>
      </c>
      <c r="F39" s="19">
        <v>15.7739350485027</v>
      </c>
      <c r="G39" s="19">
        <v>26.322751322751301</v>
      </c>
      <c r="H39" s="19">
        <v>-22.282398452611201</v>
      </c>
      <c r="I39" s="19">
        <v>140.33884630899601</v>
      </c>
      <c r="J39" s="19">
        <v>13.5672020287405</v>
      </c>
      <c r="K39" s="19">
        <v>14.641744548286599</v>
      </c>
      <c r="L39" s="19">
        <v>7.60135135135135</v>
      </c>
      <c r="M39" s="19">
        <v>-2.3397435897435899</v>
      </c>
      <c r="N39" s="19">
        <v>4.4752092723760502</v>
      </c>
      <c r="O39" s="19">
        <v>-4.4685351665785298</v>
      </c>
      <c r="P39" s="19">
        <v>17.6591905130188</v>
      </c>
      <c r="Q39" s="19">
        <v>21.601941747572798</v>
      </c>
      <c r="R39" s="19">
        <v>-18.220742150332999</v>
      </c>
      <c r="S39" s="19">
        <v>21.095648332228901</v>
      </c>
      <c r="T39" s="19">
        <v>16.659983961507599</v>
      </c>
      <c r="U39" s="19">
        <v>28.668478260869598</v>
      </c>
      <c r="V39" s="19">
        <v>8.4222782844944692</v>
      </c>
      <c r="W39" s="19">
        <v>11.013215859030799</v>
      </c>
      <c r="X39" s="19">
        <v>20.864812731072199</v>
      </c>
      <c r="Y39" s="19">
        <v>16.425043810737598</v>
      </c>
      <c r="Z39" s="19"/>
      <c r="AA39" s="19"/>
    </row>
    <row r="40" spans="1:27" x14ac:dyDescent="0.25">
      <c r="A40" s="10" t="s">
        <v>374</v>
      </c>
      <c r="B40" s="10" t="s">
        <v>375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/>
      <c r="AA40" s="13"/>
    </row>
    <row r="41" spans="1:27" x14ac:dyDescent="0.25">
      <c r="A41" s="6" t="s">
        <v>376</v>
      </c>
      <c r="B41" s="6" t="s">
        <v>377</v>
      </c>
      <c r="C41" s="19">
        <v>27.964919925917901</v>
      </c>
      <c r="D41" s="19">
        <v>24.219024377065601</v>
      </c>
      <c r="E41" s="19">
        <v>13.9287177386317</v>
      </c>
      <c r="F41" s="19">
        <v>15.7739350485027</v>
      </c>
      <c r="G41" s="19">
        <v>26.322751322751301</v>
      </c>
      <c r="H41" s="19">
        <v>-22.282398452611201</v>
      </c>
      <c r="I41" s="19">
        <v>140.33884630899601</v>
      </c>
      <c r="J41" s="19">
        <v>13.5672020287405</v>
      </c>
      <c r="K41" s="19">
        <v>14.641744548286599</v>
      </c>
      <c r="L41" s="19">
        <v>7.60135135135135</v>
      </c>
      <c r="M41" s="19">
        <v>-2.3397435897435899</v>
      </c>
      <c r="N41" s="19">
        <v>4.4752092723760502</v>
      </c>
      <c r="O41" s="19">
        <v>-4.4685351665785298</v>
      </c>
      <c r="P41" s="19">
        <v>17.6591905130188</v>
      </c>
      <c r="Q41" s="19">
        <v>21.601941747572798</v>
      </c>
      <c r="R41" s="19">
        <v>-18.220742150332999</v>
      </c>
      <c r="S41" s="19">
        <v>21.095648332228901</v>
      </c>
      <c r="T41" s="19">
        <v>16.659983961507599</v>
      </c>
      <c r="U41" s="19">
        <v>28.668478260869598</v>
      </c>
      <c r="V41" s="19">
        <v>8.4222782844944692</v>
      </c>
      <c r="W41" s="19">
        <v>11.013215859030799</v>
      </c>
      <c r="X41" s="19">
        <v>20.864812731072199</v>
      </c>
      <c r="Y41" s="19">
        <v>16.425043810737598</v>
      </c>
      <c r="Z41" s="19">
        <v>14.3752361282523</v>
      </c>
      <c r="AA41" s="19">
        <v>15.0513888888889</v>
      </c>
    </row>
    <row r="42" spans="1:27" x14ac:dyDescent="0.25">
      <c r="A42" s="10" t="s">
        <v>378</v>
      </c>
      <c r="B42" s="10" t="s">
        <v>379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/>
      <c r="AA42" s="13"/>
    </row>
    <row r="43" spans="1:27" x14ac:dyDescent="0.25">
      <c r="A43" s="10" t="s">
        <v>380</v>
      </c>
      <c r="B43" s="10" t="s">
        <v>381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/>
      <c r="AA43" s="13"/>
    </row>
    <row r="44" spans="1:27" x14ac:dyDescent="0.25">
      <c r="A44" s="6" t="s">
        <v>382</v>
      </c>
      <c r="B44" s="6" t="s">
        <v>80</v>
      </c>
      <c r="C44" s="19">
        <v>27.964919925917901</v>
      </c>
      <c r="D44" s="19">
        <v>24.219024377065601</v>
      </c>
      <c r="E44" s="19">
        <v>13.9287177386317</v>
      </c>
      <c r="F44" s="19">
        <v>15.7739350485027</v>
      </c>
      <c r="G44" s="19">
        <v>26.322751322751301</v>
      </c>
      <c r="H44" s="19">
        <v>-22.282398452611201</v>
      </c>
      <c r="I44" s="19">
        <v>140.33884630899601</v>
      </c>
      <c r="J44" s="19">
        <v>13.5672020287405</v>
      </c>
      <c r="K44" s="19">
        <v>14.641744548286599</v>
      </c>
      <c r="L44" s="19">
        <v>7.60135135135135</v>
      </c>
      <c r="M44" s="19">
        <v>-2.3397435897435899</v>
      </c>
      <c r="N44" s="19">
        <v>4.4752092723760502</v>
      </c>
      <c r="O44" s="19">
        <v>-4.4685351665785298</v>
      </c>
      <c r="P44" s="19">
        <v>17.6591905130188</v>
      </c>
      <c r="Q44" s="19">
        <v>21.601941747572798</v>
      </c>
      <c r="R44" s="19">
        <v>-18.220742150332999</v>
      </c>
      <c r="S44" s="19">
        <v>21.095648332228901</v>
      </c>
      <c r="T44" s="19">
        <v>16.659983961507599</v>
      </c>
      <c r="U44" s="19">
        <v>28.668478260869598</v>
      </c>
      <c r="V44" s="19">
        <v>8.4222782844944692</v>
      </c>
      <c r="W44" s="19">
        <v>11.013215859030799</v>
      </c>
      <c r="X44" s="19">
        <v>20.864812731072199</v>
      </c>
      <c r="Y44" s="19">
        <v>16.425043810737598</v>
      </c>
      <c r="Z44" s="19">
        <v>14.3752361282523</v>
      </c>
      <c r="AA44" s="19">
        <v>15.0513888888889</v>
      </c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10" t="s">
        <v>384</v>
      </c>
      <c r="B46" s="10" t="s">
        <v>385</v>
      </c>
      <c r="C46" s="13">
        <v>-6.8702200675454801</v>
      </c>
      <c r="D46" s="13">
        <v>10.1198141327546</v>
      </c>
      <c r="E46" s="13">
        <v>17.5734584186809</v>
      </c>
      <c r="F46" s="13">
        <v>6.7019401096583699</v>
      </c>
      <c r="G46" s="13">
        <v>11.455614748677201</v>
      </c>
      <c r="H46" s="13">
        <v>47.437506382978697</v>
      </c>
      <c r="I46" s="13">
        <v>-50.909100040338799</v>
      </c>
      <c r="J46" s="13">
        <v>-0.132423499577346</v>
      </c>
      <c r="K46" s="13">
        <v>1.52237729318103</v>
      </c>
      <c r="L46" s="13">
        <v>2.5179381756756798</v>
      </c>
      <c r="M46" s="13">
        <v>18.205448717948698</v>
      </c>
      <c r="N46" s="13">
        <v>-5.7845643915003198</v>
      </c>
      <c r="O46" s="13">
        <v>1.5457429931253299</v>
      </c>
      <c r="P46" s="13">
        <v>2.6525717968548599</v>
      </c>
      <c r="Q46" s="13">
        <v>0.25091601941747599</v>
      </c>
      <c r="R46" s="13">
        <v>26.675642721217901</v>
      </c>
      <c r="S46" s="13">
        <v>-6.5091672189087699</v>
      </c>
      <c r="T46" s="13">
        <v>11.0098203688853</v>
      </c>
      <c r="U46" s="13">
        <v>-4.4468167701863299</v>
      </c>
      <c r="V46" s="13">
        <v>0.72938831748496002</v>
      </c>
      <c r="W46" s="13">
        <v>18.511878515757399</v>
      </c>
      <c r="X46" s="13">
        <v>4.4161609066066596</v>
      </c>
      <c r="Y46" s="13">
        <v>0.68069252827783999</v>
      </c>
      <c r="Z46" s="13"/>
      <c r="AA46" s="13"/>
    </row>
    <row r="47" spans="1:27" x14ac:dyDescent="0.25">
      <c r="A47" s="10" t="s">
        <v>386</v>
      </c>
      <c r="B47" s="10" t="s">
        <v>367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/>
      <c r="AA47" s="13"/>
    </row>
    <row r="48" spans="1:27" x14ac:dyDescent="0.25">
      <c r="A48" s="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259</v>
      </c>
      <c r="B49" s="10" t="s">
        <v>106</v>
      </c>
      <c r="C49" s="13">
        <v>49.7815666194575</v>
      </c>
      <c r="D49" s="13">
        <v>41.360414959431601</v>
      </c>
      <c r="E49" s="13">
        <v>37.771405161818898</v>
      </c>
      <c r="F49" s="13">
        <v>39.055250948966702</v>
      </c>
      <c r="G49" s="13">
        <v>30.753968253968299</v>
      </c>
      <c r="H49" s="13">
        <v>36.092843326885898</v>
      </c>
      <c r="I49" s="13">
        <v>37.716821298910901</v>
      </c>
      <c r="J49" s="13">
        <v>39.814032121724402</v>
      </c>
      <c r="K49" s="13">
        <v>32.744894427137403</v>
      </c>
      <c r="L49" s="13">
        <v>31.993243243243199</v>
      </c>
      <c r="M49" s="13">
        <v>30.4166666666667</v>
      </c>
      <c r="N49" s="13">
        <v>30.682549903412699</v>
      </c>
      <c r="O49" s="13">
        <v>25.277630883130598</v>
      </c>
      <c r="P49" s="13">
        <v>24.697086878061398</v>
      </c>
      <c r="Q49" s="13">
        <v>23.373786407767</v>
      </c>
      <c r="R49" s="13">
        <v>23.097050428163701</v>
      </c>
      <c r="S49" s="13">
        <v>21.559531698696698</v>
      </c>
      <c r="T49" s="13">
        <v>19.627105052125099</v>
      </c>
      <c r="U49" s="13">
        <v>19.099378881987601</v>
      </c>
      <c r="V49" s="13">
        <v>19.367358820104801</v>
      </c>
      <c r="W49" s="13">
        <v>17.078956286004701</v>
      </c>
      <c r="X49" s="13">
        <v>16.251406526281901</v>
      </c>
      <c r="Y49" s="13">
        <v>15.9311773140035</v>
      </c>
      <c r="Z49" s="13"/>
      <c r="AA49" s="13"/>
    </row>
    <row r="50" spans="1:27" x14ac:dyDescent="0.25">
      <c r="A50" s="6" t="s">
        <v>101</v>
      </c>
      <c r="B50" s="6" t="s">
        <v>102</v>
      </c>
      <c r="C50" s="19">
        <v>0.30504412245342599</v>
      </c>
      <c r="D50" s="19">
        <v>0.26565328194368099</v>
      </c>
      <c r="E50" s="19">
        <v>0.151577222449816</v>
      </c>
      <c r="F50" s="19">
        <v>0.168705187684521</v>
      </c>
      <c r="G50" s="19">
        <v>0.28439153439153397</v>
      </c>
      <c r="H50" s="19">
        <v>-0.239845261121857</v>
      </c>
      <c r="I50" s="19">
        <v>1.50060508269463</v>
      </c>
      <c r="J50" s="19">
        <v>0.14370245139475901</v>
      </c>
      <c r="K50" s="19">
        <v>0.15576323987538901</v>
      </c>
      <c r="L50" s="19">
        <v>8.1081081081081099E-2</v>
      </c>
      <c r="M50" s="19">
        <v>-2.5641025641025599E-2</v>
      </c>
      <c r="N50" s="19">
        <v>4.8293625241468102E-2</v>
      </c>
      <c r="O50" s="19">
        <v>-4.7593865679534601E-2</v>
      </c>
      <c r="P50" s="19">
        <v>0.185614849187935</v>
      </c>
      <c r="Q50" s="19">
        <v>0.223300970873786</v>
      </c>
      <c r="R50" s="19">
        <v>-0.187916270218839</v>
      </c>
      <c r="S50" s="19">
        <v>0.216478904351668</v>
      </c>
      <c r="T50" s="19">
        <v>0.170408981555734</v>
      </c>
      <c r="U50" s="19">
        <v>0.29114906832298099</v>
      </c>
      <c r="V50" s="19">
        <v>8.3446535998447494E-2</v>
      </c>
      <c r="W50" s="19">
        <v>0.108437817688919</v>
      </c>
      <c r="X50" s="19">
        <v>0.20575470181642799</v>
      </c>
      <c r="Y50" s="19">
        <v>0.164091126334236</v>
      </c>
      <c r="Z50" s="19">
        <v>0.13668152700467601</v>
      </c>
      <c r="AA50" s="19">
        <v>0.15</v>
      </c>
    </row>
    <row r="51" spans="1:27" x14ac:dyDescent="0.25">
      <c r="A51" s="6" t="s">
        <v>387</v>
      </c>
      <c r="B51" s="6" t="s">
        <v>266</v>
      </c>
      <c r="C51" s="19">
        <v>0.30504412245342599</v>
      </c>
      <c r="D51" s="19">
        <v>0.26565328194368099</v>
      </c>
      <c r="E51" s="19">
        <v>0.151577222449816</v>
      </c>
      <c r="F51" s="19">
        <v>0.168705187684521</v>
      </c>
      <c r="G51" s="19">
        <v>0.28439153439153397</v>
      </c>
      <c r="H51" s="19">
        <v>-0.239845261121857</v>
      </c>
      <c r="I51" s="19">
        <v>1.50060508269463</v>
      </c>
      <c r="J51" s="19">
        <v>0.14370245139475901</v>
      </c>
      <c r="K51" s="19">
        <v>0.15576323987538901</v>
      </c>
      <c r="L51" s="19">
        <v>8.1081081081081099E-2</v>
      </c>
      <c r="M51" s="19">
        <v>-2.5641025641025599E-2</v>
      </c>
      <c r="N51" s="19">
        <v>4.8293625241468102E-2</v>
      </c>
      <c r="O51" s="19">
        <v>-4.7593865679534601E-2</v>
      </c>
      <c r="P51" s="19">
        <v>0.185614849187935</v>
      </c>
      <c r="Q51" s="19">
        <v>0.223300970873786</v>
      </c>
      <c r="R51" s="19">
        <v>-0.187916270218839</v>
      </c>
      <c r="S51" s="19">
        <v>0.216478904351668</v>
      </c>
      <c r="T51" s="19">
        <v>0.170408981555734</v>
      </c>
      <c r="U51" s="19">
        <v>0.29114906832298099</v>
      </c>
      <c r="V51" s="19">
        <v>8.3446535998447494E-2</v>
      </c>
      <c r="W51" s="19">
        <v>0.108437817688919</v>
      </c>
      <c r="X51" s="19">
        <v>0.20575470181642799</v>
      </c>
      <c r="Y51" s="19">
        <v>0.164091126334236</v>
      </c>
      <c r="Z51" s="19">
        <v>0.13668152700467601</v>
      </c>
      <c r="AA51" s="19">
        <v>0.15</v>
      </c>
    </row>
    <row r="52" spans="1:27" x14ac:dyDescent="0.25">
      <c r="A52" s="6" t="s">
        <v>388</v>
      </c>
      <c r="B52" s="6" t="s">
        <v>268</v>
      </c>
      <c r="C52" s="19">
        <v>0.23082307440897701</v>
      </c>
      <c r="D52" s="19">
        <v>0.37382099471394997</v>
      </c>
      <c r="E52" s="19">
        <v>0.34167226546497298</v>
      </c>
      <c r="F52" s="19">
        <v>0.24271994938844399</v>
      </c>
      <c r="G52" s="19">
        <v>0.40621891534391502</v>
      </c>
      <c r="H52" s="19">
        <v>0.26961547388781398</v>
      </c>
      <c r="I52" s="19">
        <v>0.95646793061718405</v>
      </c>
      <c r="J52" s="19">
        <v>0.14261961115807301</v>
      </c>
      <c r="K52" s="19">
        <v>0.170868120456906</v>
      </c>
      <c r="L52" s="19">
        <v>0.10685641891891901</v>
      </c>
      <c r="M52" s="19">
        <v>0.16718333333333299</v>
      </c>
      <c r="N52" s="19">
        <v>-1.37392144236961E-2</v>
      </c>
      <c r="O52" s="19">
        <v>-3.05732416710735E-2</v>
      </c>
      <c r="P52" s="19">
        <v>0.21202268625934501</v>
      </c>
      <c r="Q52" s="19">
        <v>0.22692475728155301</v>
      </c>
      <c r="R52" s="19">
        <v>8.7074215033301594E-2</v>
      </c>
      <c r="S52" s="19">
        <v>0.14945173404020301</v>
      </c>
      <c r="T52" s="19">
        <v>0.28263331996792301</v>
      </c>
      <c r="U52" s="19">
        <v>0.24615508540372699</v>
      </c>
      <c r="V52" s="19">
        <v>9.1699980593828806E-2</v>
      </c>
      <c r="W52" s="19">
        <v>0.29290765842087402</v>
      </c>
      <c r="X52" s="19">
        <v>0.25005915447677202</v>
      </c>
      <c r="Y52" s="19">
        <v>0.17105735223832999</v>
      </c>
      <c r="Z52" s="19">
        <v>0.20905221267914301</v>
      </c>
      <c r="AA52" s="19">
        <v>0.22283950617284001</v>
      </c>
    </row>
    <row r="53" spans="1:27" x14ac:dyDescent="0.25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10" t="s">
        <v>258</v>
      </c>
      <c r="B54" s="10" t="s">
        <v>108</v>
      </c>
      <c r="C54" s="13">
        <v>51.628173003595201</v>
      </c>
      <c r="D54" s="13">
        <v>43.258260016029197</v>
      </c>
      <c r="E54" s="13">
        <v>39.819746005735396</v>
      </c>
      <c r="F54" s="13">
        <v>40.911008013496399</v>
      </c>
      <c r="G54" s="13">
        <v>32.473544973545003</v>
      </c>
      <c r="H54" s="13">
        <v>36.092843326885898</v>
      </c>
      <c r="I54" s="13">
        <v>39.209358612343699</v>
      </c>
      <c r="J54" s="13">
        <v>41.504649196956898</v>
      </c>
      <c r="K54" s="13">
        <v>33.817930079612303</v>
      </c>
      <c r="L54" s="13">
        <v>33.006756756756801</v>
      </c>
      <c r="M54" s="13">
        <v>30.4166666666667</v>
      </c>
      <c r="N54" s="13">
        <v>31.423052157115301</v>
      </c>
      <c r="O54" s="13">
        <v>25.277630883130598</v>
      </c>
      <c r="P54" s="13">
        <v>25.5220417633411</v>
      </c>
      <c r="Q54" s="13">
        <v>24.4660194174757</v>
      </c>
      <c r="R54" s="13">
        <v>23.097050428163701</v>
      </c>
      <c r="S54" s="13">
        <v>22.133863485752201</v>
      </c>
      <c r="T54" s="13">
        <v>20.268644747393701</v>
      </c>
      <c r="U54" s="13">
        <v>19.856366459627299</v>
      </c>
      <c r="V54" s="13">
        <v>20.1047933242771</v>
      </c>
      <c r="W54" s="13">
        <v>17.604201965435401</v>
      </c>
      <c r="X54" s="13">
        <v>16.765793280823001</v>
      </c>
      <c r="Y54" s="13">
        <v>16.393181456109598</v>
      </c>
      <c r="Z54" s="13"/>
      <c r="AA54" s="13"/>
    </row>
    <row r="55" spans="1:27" x14ac:dyDescent="0.25">
      <c r="A55" s="6" t="s">
        <v>103</v>
      </c>
      <c r="B55" s="6" t="s">
        <v>104</v>
      </c>
      <c r="C55" s="19">
        <v>0.29414968950866099</v>
      </c>
      <c r="D55" s="19">
        <v>0.25214548794654501</v>
      </c>
      <c r="E55" s="19">
        <v>0.14338385907414999</v>
      </c>
      <c r="F55" s="19">
        <v>0.164487557992408</v>
      </c>
      <c r="G55" s="19">
        <v>0.26785714285714302</v>
      </c>
      <c r="H55" s="19">
        <v>-0.239845261121857</v>
      </c>
      <c r="I55" s="19">
        <v>1.4441306978620401</v>
      </c>
      <c r="J55" s="19">
        <v>0.139475908706678</v>
      </c>
      <c r="K55" s="19">
        <v>0.14884042921426099</v>
      </c>
      <c r="L55" s="19">
        <v>7.77027027027027E-2</v>
      </c>
      <c r="M55" s="19">
        <v>-2.5641025641025599E-2</v>
      </c>
      <c r="N55" s="19">
        <v>4.5074050225370303E-2</v>
      </c>
      <c r="O55" s="19">
        <v>-4.7593865679534601E-2</v>
      </c>
      <c r="P55" s="19">
        <v>0.17788089713843799</v>
      </c>
      <c r="Q55" s="19">
        <v>0.213592233009709</v>
      </c>
      <c r="R55" s="19">
        <v>-0.187916270218839</v>
      </c>
      <c r="S55" s="19">
        <v>0.209851999116413</v>
      </c>
      <c r="T55" s="19">
        <v>0.16439454691259001</v>
      </c>
      <c r="U55" s="19">
        <v>0.27950310559006197</v>
      </c>
      <c r="V55" s="19">
        <v>8.1505918882204501E-2</v>
      </c>
      <c r="W55" s="19">
        <v>0.10674347678753</v>
      </c>
      <c r="X55" s="19">
        <v>0.19932486738466501</v>
      </c>
      <c r="Y55" s="19">
        <v>0.159311773140035</v>
      </c>
      <c r="Z55" s="19">
        <v>0.13668152700467601</v>
      </c>
      <c r="AA55" s="19">
        <v>0.15</v>
      </c>
    </row>
    <row r="56" spans="1:27" x14ac:dyDescent="0.25">
      <c r="A56" s="6" t="s">
        <v>389</v>
      </c>
      <c r="B56" s="6" t="s">
        <v>271</v>
      </c>
      <c r="C56" s="19">
        <v>0.29414968950866099</v>
      </c>
      <c r="D56" s="19">
        <v>0.25214548794654501</v>
      </c>
      <c r="E56" s="19">
        <v>0.14338385907414999</v>
      </c>
      <c r="F56" s="19">
        <v>0.164487557992408</v>
      </c>
      <c r="G56" s="19">
        <v>0.26785714285714302</v>
      </c>
      <c r="H56" s="19">
        <v>-0.239845261121857</v>
      </c>
      <c r="I56" s="19">
        <v>1.4441306978620401</v>
      </c>
      <c r="J56" s="19">
        <v>0.139475908706678</v>
      </c>
      <c r="K56" s="19">
        <v>0.14884042921426099</v>
      </c>
      <c r="L56" s="19">
        <v>7.77027027027027E-2</v>
      </c>
      <c r="M56" s="19">
        <v>-2.5641025641025599E-2</v>
      </c>
      <c r="N56" s="19">
        <v>4.5074050225370303E-2</v>
      </c>
      <c r="O56" s="19">
        <v>-4.7593865679534601E-2</v>
      </c>
      <c r="P56" s="19">
        <v>0.17788089713843799</v>
      </c>
      <c r="Q56" s="19">
        <v>0.213592233009709</v>
      </c>
      <c r="R56" s="19">
        <v>-0.187916270218839</v>
      </c>
      <c r="S56" s="19">
        <v>0.209851999116413</v>
      </c>
      <c r="T56" s="19">
        <v>0.16439454691259001</v>
      </c>
      <c r="U56" s="19">
        <v>0.27950310559006197</v>
      </c>
      <c r="V56" s="19">
        <v>8.1505918882204501E-2</v>
      </c>
      <c r="W56" s="19">
        <v>0.10674347678753</v>
      </c>
      <c r="X56" s="19">
        <v>0.19932486738466501</v>
      </c>
      <c r="Y56" s="19">
        <v>0.159311773140035</v>
      </c>
      <c r="Z56" s="19">
        <v>0.13668152700467601</v>
      </c>
      <c r="AA56" s="19">
        <v>0.15</v>
      </c>
    </row>
    <row r="57" spans="1:27" x14ac:dyDescent="0.25">
      <c r="A57" s="6" t="s">
        <v>390</v>
      </c>
      <c r="B57" s="6" t="s">
        <v>82</v>
      </c>
      <c r="C57" s="19">
        <v>0.221663035189018</v>
      </c>
      <c r="D57" s="19">
        <v>0.35747881527641501</v>
      </c>
      <c r="E57" s="19">
        <v>0.32418066366243298</v>
      </c>
      <c r="F57" s="19">
        <v>0.23357992408266601</v>
      </c>
      <c r="G57" s="19">
        <v>0.38451322751322797</v>
      </c>
      <c r="H57" s="19">
        <v>0.26859535783365601</v>
      </c>
      <c r="I57" s="19">
        <v>0.920374344493747</v>
      </c>
      <c r="J57" s="19">
        <v>0.13812721893491101</v>
      </c>
      <c r="K57" s="19">
        <v>0.16442263759086201</v>
      </c>
      <c r="L57" s="19">
        <v>0.103475</v>
      </c>
      <c r="M57" s="19">
        <v>0.16619711538461501</v>
      </c>
      <c r="N57" s="19">
        <v>-1.41941403734707E-2</v>
      </c>
      <c r="O57" s="19">
        <v>-3.1424907456372303E-2</v>
      </c>
      <c r="P57" s="19">
        <v>0.20467465841711799</v>
      </c>
      <c r="Q57" s="19">
        <v>0.21608155339805801</v>
      </c>
      <c r="R57" s="19">
        <v>8.6807088487155099E-2</v>
      </c>
      <c r="S57" s="19">
        <v>0.14489021426993601</v>
      </c>
      <c r="T57" s="19">
        <v>0.27329490777866899</v>
      </c>
      <c r="U57" s="19">
        <v>0.23603474378882</v>
      </c>
      <c r="V57" s="19">
        <v>8.8546283718222402E-2</v>
      </c>
      <c r="W57" s="19">
        <v>0.28491358861402899</v>
      </c>
      <c r="X57" s="19">
        <v>0.24166580935540899</v>
      </c>
      <c r="Y57" s="19">
        <v>0.16592687589612901</v>
      </c>
      <c r="Z57" s="19">
        <v>0.20905221267914301</v>
      </c>
      <c r="AA57" s="19">
        <v>0.22283950617284001</v>
      </c>
    </row>
    <row r="58" spans="1:27" x14ac:dyDescent="0.25">
      <c r="A58" s="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6" t="s">
        <v>4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10" t="s">
        <v>391</v>
      </c>
      <c r="B60" s="10" t="s">
        <v>392</v>
      </c>
      <c r="C60" s="12" t="s">
        <v>393</v>
      </c>
      <c r="D60" s="12" t="s">
        <v>393</v>
      </c>
      <c r="E60" s="12" t="s">
        <v>393</v>
      </c>
      <c r="F60" s="12" t="s">
        <v>393</v>
      </c>
      <c r="G60" s="12" t="s">
        <v>393</v>
      </c>
      <c r="H60" s="12" t="s">
        <v>393</v>
      </c>
      <c r="I60" s="12" t="s">
        <v>393</v>
      </c>
      <c r="J60" s="12" t="s">
        <v>393</v>
      </c>
      <c r="K60" s="12" t="s">
        <v>393</v>
      </c>
      <c r="L60" s="12" t="s">
        <v>393</v>
      </c>
      <c r="M60" s="12" t="s">
        <v>393</v>
      </c>
      <c r="N60" s="12" t="s">
        <v>393</v>
      </c>
      <c r="O60" s="12" t="s">
        <v>393</v>
      </c>
      <c r="P60" s="12" t="s">
        <v>393</v>
      </c>
      <c r="Q60" s="12" t="s">
        <v>393</v>
      </c>
      <c r="R60" s="12" t="s">
        <v>393</v>
      </c>
      <c r="S60" s="12" t="s">
        <v>393</v>
      </c>
      <c r="T60" s="12" t="s">
        <v>393</v>
      </c>
      <c r="U60" s="12" t="s">
        <v>393</v>
      </c>
      <c r="V60" s="12" t="s">
        <v>393</v>
      </c>
      <c r="W60" s="12" t="s">
        <v>393</v>
      </c>
      <c r="X60" s="12" t="s">
        <v>393</v>
      </c>
      <c r="Y60" s="12" t="s">
        <v>393</v>
      </c>
      <c r="Z60" s="12"/>
      <c r="AA60" s="12"/>
    </row>
    <row r="61" spans="1:27" x14ac:dyDescent="0.25">
      <c r="A61" s="10" t="s">
        <v>78</v>
      </c>
      <c r="B61" s="10" t="s">
        <v>78</v>
      </c>
      <c r="C61" s="13">
        <v>23.557577078113098</v>
      </c>
      <c r="D61" s="13">
        <v>42.372598989617003</v>
      </c>
      <c r="E61" s="13">
        <v>36.558377714051602</v>
      </c>
      <c r="F61" s="13">
        <v>26.7819485449178</v>
      </c>
      <c r="G61" s="13">
        <v>42.063492063492099</v>
      </c>
      <c r="H61" s="13">
        <v>30.483558994197299</v>
      </c>
      <c r="I61" s="13">
        <v>30.939895118999601</v>
      </c>
      <c r="J61" s="13">
        <v>15.8072696534235</v>
      </c>
      <c r="K61" s="13">
        <v>25.7182416060921</v>
      </c>
      <c r="L61" s="13">
        <v>17.297297297297298</v>
      </c>
      <c r="M61" s="13">
        <v>22.788461538461501</v>
      </c>
      <c r="N61" s="13">
        <v>3.3805537669027701</v>
      </c>
      <c r="O61" s="13">
        <v>16.578529878371199</v>
      </c>
      <c r="P61" s="13">
        <v>24.774426398556301</v>
      </c>
      <c r="Q61" s="13">
        <v>27.5</v>
      </c>
      <c r="R61" s="13">
        <v>9.2293054234062808</v>
      </c>
      <c r="S61" s="13">
        <v>18.290258449304201</v>
      </c>
      <c r="T61" s="13">
        <v>30.954290296712099</v>
      </c>
      <c r="U61" s="13">
        <v>31.133540372670801</v>
      </c>
      <c r="V61" s="13">
        <v>23.384436250727699</v>
      </c>
      <c r="W61" s="13">
        <v>38.6479159606913</v>
      </c>
      <c r="X61" s="13">
        <v>32.165246744896301</v>
      </c>
      <c r="Y61" s="13">
        <v>26.620997291699901</v>
      </c>
      <c r="Z61" s="13">
        <v>25.043111771570601</v>
      </c>
      <c r="AA61" s="13">
        <v>26.300771604938301</v>
      </c>
    </row>
    <row r="62" spans="1:27" x14ac:dyDescent="0.25">
      <c r="A62" s="10" t="s">
        <v>394</v>
      </c>
      <c r="B62" s="10" t="s">
        <v>395</v>
      </c>
      <c r="C62" s="13">
        <v>12.3614315284889</v>
      </c>
      <c r="D62" s="13">
        <v>11.733551559249699</v>
      </c>
      <c r="E62" s="13">
        <v>12.585786972552199</v>
      </c>
      <c r="F62" s="13">
        <v>13.795700970054799</v>
      </c>
      <c r="G62" s="13">
        <v>12.299214285714299</v>
      </c>
      <c r="H62" s="13">
        <v>13.3170688588008</v>
      </c>
      <c r="I62" s="13">
        <v>13.352432029044</v>
      </c>
      <c r="J62" s="13">
        <v>12.941613693998301</v>
      </c>
      <c r="K62" s="13">
        <v>8.9629567324333692</v>
      </c>
      <c r="L62" s="13">
        <v>7.5692861486486498</v>
      </c>
      <c r="M62" s="13">
        <v>6.6166740384615403</v>
      </c>
      <c r="N62" s="13">
        <v>5.52193786220219</v>
      </c>
      <c r="O62" s="13">
        <v>3.9861372289793802</v>
      </c>
      <c r="P62" s="13">
        <v>4.4627878319154402</v>
      </c>
      <c r="Q62" s="13">
        <v>4.6075254854368897</v>
      </c>
      <c r="R62" s="13">
        <v>4.6264234062797298</v>
      </c>
      <c r="S62" s="13">
        <v>4.3704037994256701</v>
      </c>
      <c r="T62" s="13">
        <v>4.3750946271050504</v>
      </c>
      <c r="U62" s="13">
        <v>4.4886317934782598</v>
      </c>
      <c r="V62" s="13">
        <v>5.0728239860275597</v>
      </c>
      <c r="W62" s="13">
        <v>5.3032590647238198</v>
      </c>
      <c r="X62" s="13">
        <v>5.0822583185983001</v>
      </c>
      <c r="Y62" s="13">
        <v>4.8416493547873198</v>
      </c>
      <c r="Z62" s="13">
        <v>4.3218154986548303</v>
      </c>
      <c r="AA62" s="13">
        <v>4.8106546291019701</v>
      </c>
    </row>
    <row r="63" spans="1:27" x14ac:dyDescent="0.25">
      <c r="A63" s="10" t="s">
        <v>396</v>
      </c>
      <c r="B63" s="10" t="s">
        <v>396</v>
      </c>
      <c r="C63" s="13" t="s">
        <v>141</v>
      </c>
      <c r="D63" s="13" t="s">
        <v>141</v>
      </c>
      <c r="E63" s="13">
        <v>35.723064317902498</v>
      </c>
      <c r="F63" s="13">
        <v>25.896246309574</v>
      </c>
      <c r="G63" s="13">
        <v>41.369047619047599</v>
      </c>
      <c r="H63" s="13">
        <v>29.632495164410098</v>
      </c>
      <c r="I63" s="13">
        <v>30.052440500201701</v>
      </c>
      <c r="J63" s="13">
        <v>14.750633981403199</v>
      </c>
      <c r="K63" s="13">
        <v>24.8182762201454</v>
      </c>
      <c r="L63" s="13">
        <v>16.351351351351401</v>
      </c>
      <c r="M63" s="13">
        <v>21.826923076923102</v>
      </c>
      <c r="N63" s="13">
        <v>2.3180940115904698</v>
      </c>
      <c r="O63" s="13">
        <v>15.5473294553146</v>
      </c>
      <c r="P63" s="13">
        <v>23.7432327919567</v>
      </c>
      <c r="Q63" s="13">
        <v>26.553398058252402</v>
      </c>
      <c r="R63" s="13">
        <v>8.2540437678401499</v>
      </c>
      <c r="S63" s="13">
        <v>17.362491716368499</v>
      </c>
      <c r="T63" s="13">
        <v>30.0320769847634</v>
      </c>
      <c r="U63" s="13">
        <v>30.182453416149102</v>
      </c>
      <c r="V63" s="13">
        <v>22.355909179118999</v>
      </c>
      <c r="W63" s="13">
        <v>37.563537783802097</v>
      </c>
      <c r="X63" s="13">
        <v>31.265069924449399</v>
      </c>
      <c r="Y63" s="13">
        <v>25.633264298231602</v>
      </c>
      <c r="Z63" s="13"/>
      <c r="AA63" s="13"/>
    </row>
    <row r="64" spans="1:27" x14ac:dyDescent="0.25">
      <c r="A64" s="10" t="s">
        <v>142</v>
      </c>
      <c r="B64" s="10" t="s">
        <v>142</v>
      </c>
      <c r="C64" s="13">
        <v>21.495260921669001</v>
      </c>
      <c r="D64" s="13">
        <v>40.567507451799699</v>
      </c>
      <c r="E64" s="13">
        <v>34.821794346579303</v>
      </c>
      <c r="F64" s="13">
        <v>24.841838886545801</v>
      </c>
      <c r="G64" s="13">
        <v>40.542328042328002</v>
      </c>
      <c r="H64" s="13">
        <v>28.704061895551298</v>
      </c>
      <c r="I64" s="13">
        <v>28.9632916498588</v>
      </c>
      <c r="J64" s="13">
        <v>13.313609467455599</v>
      </c>
      <c r="K64" s="13">
        <v>23.4683281412253</v>
      </c>
      <c r="L64" s="13">
        <v>15.0337837837838</v>
      </c>
      <c r="M64" s="13">
        <v>20.5128205128205</v>
      </c>
      <c r="N64" s="13">
        <v>0.99806825499034102</v>
      </c>
      <c r="O64" s="13">
        <v>14.4632469592808</v>
      </c>
      <c r="P64" s="13">
        <v>22.634699664862101</v>
      </c>
      <c r="Q64" s="13">
        <v>25.509708737864099</v>
      </c>
      <c r="R64" s="13">
        <v>7.0647002854424397</v>
      </c>
      <c r="S64" s="13">
        <v>16.2580075104926</v>
      </c>
      <c r="T64" s="13">
        <v>29.089815557337602</v>
      </c>
      <c r="U64" s="13">
        <v>29.1731366459627</v>
      </c>
      <c r="V64" s="13">
        <v>20.4346982340384</v>
      </c>
      <c r="W64" s="13">
        <v>35.852253473398797</v>
      </c>
      <c r="X64" s="13">
        <v>29.705835074746801</v>
      </c>
      <c r="Y64" s="13">
        <v>23.100207105305099</v>
      </c>
      <c r="Z64" s="13">
        <v>17.899067240930599</v>
      </c>
      <c r="AA64" s="13">
        <v>20.537962962963</v>
      </c>
    </row>
    <row r="65" spans="1:27" x14ac:dyDescent="0.25">
      <c r="A65" s="10" t="s">
        <v>397</v>
      </c>
      <c r="B65" s="10" t="s">
        <v>153</v>
      </c>
      <c r="C65" s="13">
        <v>53.995036496350401</v>
      </c>
      <c r="D65" s="13">
        <v>44.574086197736101</v>
      </c>
      <c r="E65" s="13">
        <v>40.547247029905797</v>
      </c>
      <c r="F65" s="13">
        <v>41.802740615773899</v>
      </c>
      <c r="G65" s="13">
        <v>32.806332341269801</v>
      </c>
      <c r="H65" s="13">
        <v>38.280662669245601</v>
      </c>
      <c r="I65" s="13">
        <v>39.8669515933844</v>
      </c>
      <c r="J65" s="13">
        <v>41.7473808114962</v>
      </c>
      <c r="K65" s="13">
        <v>34.242632052613402</v>
      </c>
      <c r="L65" s="13">
        <v>33.304419256756802</v>
      </c>
      <c r="M65" s="13">
        <v>31.630095192307699</v>
      </c>
      <c r="N65" s="13">
        <v>31.718929491307101</v>
      </c>
      <c r="O65" s="13">
        <v>26.1054547858276</v>
      </c>
      <c r="P65" s="13">
        <v>25.374434132508402</v>
      </c>
      <c r="Q65" s="13">
        <v>23.818220388349499</v>
      </c>
      <c r="R65" s="13">
        <v>23.305926736441499</v>
      </c>
      <c r="S65" s="13">
        <v>21.528536779324099</v>
      </c>
      <c r="T65" s="13">
        <v>19.597957297514</v>
      </c>
      <c r="U65" s="13">
        <v>19.089703998447199</v>
      </c>
      <c r="V65" s="13">
        <v>19.123721521443802</v>
      </c>
      <c r="W65" s="13">
        <v>16.679296170789598</v>
      </c>
      <c r="X65" s="13">
        <v>15.867872207040699</v>
      </c>
      <c r="Y65" s="13">
        <v>15.695141150231001</v>
      </c>
      <c r="Z65" s="13">
        <v>16.502195468016701</v>
      </c>
      <c r="AA65" s="13">
        <v>15.179012345679</v>
      </c>
    </row>
    <row r="66" spans="1:27" x14ac:dyDescent="0.25">
      <c r="A66" s="10" t="s">
        <v>398</v>
      </c>
      <c r="B66" s="10" t="s">
        <v>399</v>
      </c>
      <c r="C66" s="13">
        <v>11.7089339797364</v>
      </c>
      <c r="D66" s="13">
        <v>18.2659175844462</v>
      </c>
      <c r="E66" s="13">
        <v>14.265380581728801</v>
      </c>
      <c r="F66" s="13">
        <v>10.477367777309199</v>
      </c>
      <c r="G66" s="13">
        <v>13.4068544973545</v>
      </c>
      <c r="H66" s="13">
        <v>11.104085880077401</v>
      </c>
      <c r="I66" s="13">
        <v>11.6834578459056</v>
      </c>
      <c r="J66" s="13">
        <v>5.6270536770921398</v>
      </c>
      <c r="K66" s="13">
        <v>8.1233395638629293</v>
      </c>
      <c r="L66" s="13">
        <v>5.0789810810810803</v>
      </c>
      <c r="M66" s="13">
        <v>6.5746221153846198</v>
      </c>
      <c r="N66" s="13">
        <v>0.32133547971667697</v>
      </c>
      <c r="O66" s="13">
        <v>3.82423241671074</v>
      </c>
      <c r="P66" s="13">
        <v>5.8351894818252097</v>
      </c>
      <c r="Q66" s="13">
        <v>6.1916769417475699</v>
      </c>
      <c r="R66" s="13">
        <v>1.6804709800190301</v>
      </c>
      <c r="S66" s="13">
        <v>3.5913426110006599</v>
      </c>
      <c r="T66" s="13">
        <v>5.8319599037690502</v>
      </c>
      <c r="U66" s="13">
        <v>5.66248777173913</v>
      </c>
      <c r="V66" s="13">
        <v>3.96559247040559</v>
      </c>
      <c r="W66" s="13">
        <v>6.07459386648594</v>
      </c>
      <c r="X66" s="13">
        <v>4.7750900176820403</v>
      </c>
      <c r="Y66" s="13">
        <v>3.6801349370718501</v>
      </c>
      <c r="Z66" s="13">
        <v>3.0054936639432102</v>
      </c>
      <c r="AA66" s="13">
        <v>3.16943872885231</v>
      </c>
    </row>
    <row r="67" spans="1:27" x14ac:dyDescent="0.25">
      <c r="A67" s="10" t="s">
        <v>400</v>
      </c>
      <c r="B67" s="10" t="s">
        <v>401</v>
      </c>
      <c r="C67" s="13">
        <v>11.4907397319969</v>
      </c>
      <c r="D67" s="13">
        <v>15.4613987770944</v>
      </c>
      <c r="E67" s="13">
        <v>12.905438754608801</v>
      </c>
      <c r="F67" s="13">
        <v>9.4794917756220993</v>
      </c>
      <c r="G67" s="13">
        <v>12.4928458994709</v>
      </c>
      <c r="H67" s="13">
        <v>9.7311829787233997</v>
      </c>
      <c r="I67" s="13">
        <v>36.0749277934651</v>
      </c>
      <c r="J67" s="13">
        <v>5.67826627218935</v>
      </c>
      <c r="K67" s="13">
        <v>5.5950578054690201</v>
      </c>
      <c r="L67" s="13">
        <v>3.41867871621622</v>
      </c>
      <c r="M67" s="13">
        <v>5.0851618589743603</v>
      </c>
      <c r="N67" s="13">
        <v>-0.42155666452028301</v>
      </c>
      <c r="O67" s="13">
        <v>-0.77281649920676898</v>
      </c>
      <c r="P67" s="13">
        <v>5.23633977829338</v>
      </c>
      <c r="Q67" s="13">
        <v>5.3040917475728202</v>
      </c>
      <c r="R67" s="13">
        <v>2.0111562797335898</v>
      </c>
      <c r="S67" s="13">
        <v>3.2221075767616498</v>
      </c>
      <c r="T67" s="13">
        <v>5.5472742582197299</v>
      </c>
      <c r="U67" s="13">
        <v>4.7014093555900596</v>
      </c>
      <c r="V67" s="13">
        <v>1.77598816223559</v>
      </c>
      <c r="W67" s="13">
        <v>5.0025574381565603</v>
      </c>
      <c r="X67" s="13">
        <v>4.0638119273428703</v>
      </c>
      <c r="Y67" s="13">
        <v>2.7251451330253298</v>
      </c>
      <c r="Z67" s="13">
        <v>3.2551032721581601</v>
      </c>
      <c r="AA67" s="13">
        <v>3.2159731748209102</v>
      </c>
    </row>
    <row r="68" spans="1:27" x14ac:dyDescent="0.25">
      <c r="A68" s="10" t="s">
        <v>402</v>
      </c>
      <c r="B68" s="10" t="s">
        <v>403</v>
      </c>
      <c r="C68" s="13" t="s">
        <v>141</v>
      </c>
      <c r="D68" s="13" t="s">
        <v>141</v>
      </c>
      <c r="E68" s="13">
        <v>142857.14285702599</v>
      </c>
      <c r="F68" s="13" t="s">
        <v>141</v>
      </c>
      <c r="G68" s="13" t="s">
        <v>141</v>
      </c>
      <c r="H68" s="13" t="s">
        <v>141</v>
      </c>
      <c r="I68" s="13">
        <v>118343.195266236</v>
      </c>
      <c r="J68" s="13" t="s">
        <v>141</v>
      </c>
      <c r="K68" s="13" t="s">
        <v>141</v>
      </c>
      <c r="L68" s="13" t="s">
        <v>141</v>
      </c>
      <c r="M68" s="13">
        <v>111111.11111121799</v>
      </c>
      <c r="N68" s="13" t="s">
        <v>141</v>
      </c>
      <c r="O68" s="13" t="s">
        <v>141</v>
      </c>
      <c r="P68" s="13" t="s">
        <v>141</v>
      </c>
      <c r="Q68" s="13">
        <v>83333.333333252405</v>
      </c>
      <c r="R68" s="13" t="s">
        <v>141</v>
      </c>
      <c r="S68" s="13" t="s">
        <v>141</v>
      </c>
      <c r="T68" s="13" t="s">
        <v>141</v>
      </c>
      <c r="U68" s="13">
        <v>71428.571428571406</v>
      </c>
      <c r="V68" s="13" t="s">
        <v>141</v>
      </c>
      <c r="W68" s="13" t="s">
        <v>141</v>
      </c>
      <c r="X68" s="13">
        <v>58823.529411830903</v>
      </c>
      <c r="Y68" s="13">
        <v>55555.555555520099</v>
      </c>
      <c r="Z68" s="13"/>
      <c r="AA68" s="13"/>
    </row>
    <row r="69" spans="1:27" x14ac:dyDescent="0.25">
      <c r="A69" s="10" t="s">
        <v>404</v>
      </c>
      <c r="B69" s="10" t="s">
        <v>274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/>
      <c r="AA69" s="13"/>
    </row>
    <row r="70" spans="1:27" x14ac:dyDescent="0.25">
      <c r="A70" s="10" t="s">
        <v>405</v>
      </c>
      <c r="B70" s="10" t="s">
        <v>406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/>
      <c r="AA70" s="13"/>
    </row>
    <row r="71" spans="1:27" x14ac:dyDescent="0.25">
      <c r="A71" s="10" t="s">
        <v>407</v>
      </c>
      <c r="B71" s="10" t="s">
        <v>408</v>
      </c>
      <c r="C71" s="13">
        <v>0</v>
      </c>
      <c r="D71" s="13">
        <v>0</v>
      </c>
      <c r="E71" s="13" t="s">
        <v>141</v>
      </c>
      <c r="F71" s="13" t="s">
        <v>141</v>
      </c>
      <c r="G71" s="13" t="s">
        <v>141</v>
      </c>
      <c r="H71" s="13" t="s">
        <v>141</v>
      </c>
      <c r="I71" s="13" t="s">
        <v>141</v>
      </c>
      <c r="J71" s="13" t="s">
        <v>141</v>
      </c>
      <c r="K71" s="13" t="s">
        <v>141</v>
      </c>
      <c r="L71" s="13" t="s">
        <v>141</v>
      </c>
      <c r="M71" s="13" t="s">
        <v>141</v>
      </c>
      <c r="N71" s="13" t="s">
        <v>141</v>
      </c>
      <c r="O71" s="13" t="s">
        <v>141</v>
      </c>
      <c r="P71" s="13" t="s">
        <v>141</v>
      </c>
      <c r="Q71" s="13" t="s">
        <v>141</v>
      </c>
      <c r="R71" s="13" t="s">
        <v>141</v>
      </c>
      <c r="S71" s="13" t="s">
        <v>141</v>
      </c>
      <c r="T71" s="13" t="s">
        <v>141</v>
      </c>
      <c r="U71" s="13" t="s">
        <v>141</v>
      </c>
      <c r="V71" s="13" t="s">
        <v>141</v>
      </c>
      <c r="W71" s="13" t="s">
        <v>141</v>
      </c>
      <c r="X71" s="13" t="s">
        <v>141</v>
      </c>
      <c r="Y71" s="13" t="s">
        <v>141</v>
      </c>
      <c r="Z71" s="13"/>
      <c r="AA71" s="13"/>
    </row>
    <row r="72" spans="1:27" x14ac:dyDescent="0.25">
      <c r="A72" s="10" t="s">
        <v>409</v>
      </c>
      <c r="B72" s="10" t="s">
        <v>410</v>
      </c>
      <c r="C72" s="13" t="s">
        <v>141</v>
      </c>
      <c r="D72" s="13" t="s">
        <v>141</v>
      </c>
      <c r="E72" s="13">
        <v>0.83531339614911904</v>
      </c>
      <c r="F72" s="13">
        <v>0.88570223534373704</v>
      </c>
      <c r="G72" s="13">
        <v>0.69444444444444497</v>
      </c>
      <c r="H72" s="13">
        <v>0.85106382978723405</v>
      </c>
      <c r="I72" s="13">
        <v>0.887454618797902</v>
      </c>
      <c r="J72" s="13">
        <v>1.0566356720202901</v>
      </c>
      <c r="K72" s="13">
        <v>0.89996538594669495</v>
      </c>
      <c r="L72" s="13">
        <v>0.94594594594594605</v>
      </c>
      <c r="M72" s="13">
        <v>0.96153846153846201</v>
      </c>
      <c r="N72" s="13">
        <v>1.0624597553123001</v>
      </c>
      <c r="O72" s="13">
        <v>1.0312004230565801</v>
      </c>
      <c r="P72" s="13">
        <v>1.0311936065996401</v>
      </c>
      <c r="Q72" s="13">
        <v>0.94660194174757295</v>
      </c>
      <c r="R72" s="13">
        <v>0.97526165556612698</v>
      </c>
      <c r="S72" s="13">
        <v>0.92776673293571899</v>
      </c>
      <c r="T72" s="13">
        <v>0.92221331194867695</v>
      </c>
      <c r="U72" s="13">
        <v>0.95108695652173902</v>
      </c>
      <c r="V72" s="13">
        <v>1.02852707160877</v>
      </c>
      <c r="W72" s="13">
        <v>1.08437817688919</v>
      </c>
      <c r="X72" s="13">
        <v>0.90017682044687297</v>
      </c>
      <c r="Y72" s="13">
        <v>0.98773299346821697</v>
      </c>
      <c r="Z72" s="13"/>
      <c r="AA72" s="13"/>
    </row>
    <row r="73" spans="1:27" x14ac:dyDescent="0.25">
      <c r="A73" s="10" t="s">
        <v>411</v>
      </c>
      <c r="B73" s="10" t="s">
        <v>412</v>
      </c>
      <c r="C73" s="13">
        <v>1.08944329447652</v>
      </c>
      <c r="D73" s="13">
        <v>0.90051959980909002</v>
      </c>
      <c r="E73" s="13">
        <v>0.90126997132322795</v>
      </c>
      <c r="F73" s="13">
        <v>1.0544074230282601</v>
      </c>
      <c r="G73" s="13">
        <v>0.82671957671957697</v>
      </c>
      <c r="H73" s="13">
        <v>0.92843326885880095</v>
      </c>
      <c r="I73" s="13">
        <v>1.0891488503428799</v>
      </c>
      <c r="J73" s="13">
        <v>1.4370245139475899</v>
      </c>
      <c r="K73" s="13">
        <v>1.34994807892004</v>
      </c>
      <c r="L73" s="13">
        <v>1.31756756756757</v>
      </c>
      <c r="M73" s="13">
        <v>1.3141025641025601</v>
      </c>
      <c r="N73" s="13">
        <v>1.3200257566001301</v>
      </c>
      <c r="O73" s="13">
        <v>1.08408249603384</v>
      </c>
      <c r="P73" s="13">
        <v>1.1085331270946099</v>
      </c>
      <c r="Q73" s="13">
        <v>0.92233009708737901</v>
      </c>
      <c r="R73" s="13">
        <v>0.97526165556612698</v>
      </c>
      <c r="S73" s="13">
        <v>0.90567704881820199</v>
      </c>
      <c r="T73" s="13">
        <v>0.76182838813151599</v>
      </c>
      <c r="U73" s="13">
        <v>0.85403726708074501</v>
      </c>
      <c r="V73" s="13">
        <v>1.74655540461867</v>
      </c>
      <c r="W73" s="13">
        <v>1.5587936292782101</v>
      </c>
      <c r="X73" s="13">
        <v>1.4145635749879399</v>
      </c>
      <c r="Y73" s="13">
        <v>2.38967659710053</v>
      </c>
      <c r="Z73" s="13"/>
      <c r="AA73" s="13"/>
    </row>
    <row r="74" spans="1:27" x14ac:dyDescent="0.25">
      <c r="A74" s="7" t="s">
        <v>90</v>
      </c>
      <c r="B74" s="7"/>
      <c r="C74" s="7" t="s">
        <v>5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664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_xll.BDH("NBIX US Equity","SALES_REV_TURN","FQ3 2019","FQ3 2019","Currency=USD","Period=FQ","BEST_FPERIOD_OVERRIDE=FQ","FILING_STATUS=MR","SCALING_FORMAT=MLN","FA_ADJUSTED=GAAP","Sort=A","Dates=H","DateFormat=P","Fill=—","Direction=H","UseDPDF=Y")</f>
        <v>222.09399999999999</v>
      </c>
      <c r="D6" s="19">
        <f>_xll.BDH("NBIX US Equity","SALES_REV_TURN","FQ4 2019","FQ4 2019","Currency=USD","Period=FQ","BEST_FPERIOD_OVERRIDE=FQ","FILING_STATUS=MR","SCALING_FORMAT=MLN","FA_ADJUSTED=GAAP","Sort=A","Dates=H","DateFormat=P","Fill=—","Direction=H","UseDPDF=Y")</f>
        <v>244.1</v>
      </c>
      <c r="E6" s="19">
        <f>_xll.BDH("NBIX US Equity","SALES_REV_TURN","FQ1 2020","FQ1 2020","Currency=USD","Period=FQ","BEST_FPERIOD_OVERRIDE=FQ","FILING_STATUS=MR","SCALING_FORMAT=MLN","FA_ADJUSTED=GAAP","Sort=A","Dates=H","DateFormat=P","Fill=—","Direction=H","UseDPDF=Y")</f>
        <v>237.1</v>
      </c>
      <c r="F6" s="19">
        <f>_xll.BDH("NBIX US Equity","SALES_REV_TURN","FQ2 2020","FQ2 2020","Currency=USD","Period=FQ","BEST_FPERIOD_OVERRIDE=FQ","FILING_STATUS=MR","SCALING_FORMAT=MLN","FA_ADJUSTED=GAAP","Sort=A","Dates=H","DateFormat=P","Fill=—","Direction=H","UseDPDF=Y")</f>
        <v>302.39999999999998</v>
      </c>
      <c r="G6" s="19">
        <f>_xll.BDH("NBIX US Equity","SALES_REV_TURN","FQ3 2020","FQ3 2020","Currency=USD","Period=FQ","BEST_FPERIOD_OVERRIDE=FQ","FILING_STATUS=MR","SCALING_FORMAT=MLN","FA_ADJUSTED=GAAP","Sort=A","Dates=H","DateFormat=P","Fill=—","Direction=H","UseDPDF=Y")</f>
        <v>258.5</v>
      </c>
      <c r="H6" s="19">
        <f>_xll.BDH("NBIX US Equity","SALES_REV_TURN","FQ4 2020","FQ4 2020","Currency=USD","Period=FQ","BEST_FPERIOD_OVERRIDE=FQ","FILING_STATUS=MR","SCALING_FORMAT=MLN","FA_ADJUSTED=GAAP","Sort=A","Dates=H","DateFormat=P","Fill=—","Direction=H","UseDPDF=Y")</f>
        <v>247.9</v>
      </c>
      <c r="I6" s="19">
        <f>_xll.BDH("NBIX US Equity","SALES_REV_TURN","FQ1 2021","FQ1 2021","Currency=USD","Period=FQ","BEST_FPERIOD_OVERRIDE=FQ","FILING_STATUS=MR","SCALING_FORMAT=MLN","FA_ADJUSTED=GAAP","Sort=A","Dates=H","DateFormat=P","Fill=—","Direction=H","UseDPDF=Y")</f>
        <v>236.6</v>
      </c>
      <c r="J6" s="19">
        <f>_xll.BDH("NBIX US Equity","SALES_REV_TURN","FQ2 2021","FQ2 2021","Currency=USD","Period=FQ","BEST_FPERIOD_OVERRIDE=FQ","FILING_STATUS=MR","SCALING_FORMAT=MLN","FA_ADJUSTED=GAAP","Sort=A","Dates=H","DateFormat=P","Fill=—","Direction=H","UseDPDF=Y")</f>
        <v>288.89999999999998</v>
      </c>
      <c r="K6" s="19">
        <f>_xll.BDH("NBIX US Equity","SALES_REV_TURN","FQ3 2021","FQ3 2021","Currency=USD","Period=FQ","BEST_FPERIOD_OVERRIDE=FQ","FILING_STATUS=MR","SCALING_FORMAT=MLN","FA_ADJUSTED=GAAP","Sort=A","Dates=H","DateFormat=P","Fill=—","Direction=H","UseDPDF=Y")</f>
        <v>296</v>
      </c>
      <c r="L6" s="19">
        <f>_xll.BDH("NBIX US Equity","SALES_REV_TURN","FQ4 2021","FQ4 2021","Currency=USD","Period=FQ","BEST_FPERIOD_OVERRIDE=FQ","FILING_STATUS=MR","SCALING_FORMAT=MLN","FA_ADJUSTED=GAAP","Sort=A","Dates=H","DateFormat=P","Fill=—","Direction=H","UseDPDF=Y")</f>
        <v>312</v>
      </c>
      <c r="M6" s="19">
        <f>_xll.BDH("NBIX US Equity","SALES_REV_TURN","FQ1 2022","FQ1 2022","Currency=USD","Period=FQ","BEST_FPERIOD_OVERRIDE=FQ","FILING_STATUS=MR","SCALING_FORMAT=MLN","FA_ADJUSTED=GAAP","Sort=A","Dates=H","DateFormat=P","Fill=—","Direction=H","UseDPDF=Y")</f>
        <v>310.60000000000002</v>
      </c>
      <c r="N6" s="19">
        <f>_xll.BDH("NBIX US Equity","SALES_REV_TURN","FQ2 2022","FQ2 2022","Currency=USD","Period=FQ","BEST_FPERIOD_OVERRIDE=FQ","FILING_STATUS=MR","SCALING_FORMAT=MLN","FA_ADJUSTED=GAAP","Sort=A","Dates=H","DateFormat=P","Fill=—","Direction=H","UseDPDF=Y")</f>
        <v>378.2</v>
      </c>
      <c r="O6" s="19">
        <f>_xll.BDH("NBIX US Equity","SALES_REV_TURN","FQ3 2022","FQ3 2022","Currency=USD","Period=FQ","BEST_FPERIOD_OVERRIDE=FQ","FILING_STATUS=MR","SCALING_FORMAT=MLN","FA_ADJUSTED=GAAP","Sort=A","Dates=H","DateFormat=P","Fill=—","Direction=H","UseDPDF=Y")</f>
        <v>387.9</v>
      </c>
      <c r="P6" s="19">
        <f>_xll.BDH("NBIX US Equity","SALES_REV_TURN","FQ4 2022","FQ4 2022","Currency=USD","Period=FQ","BEST_FPERIOD_OVERRIDE=FQ","FILING_STATUS=MR","SCALING_FORMAT=MLN","FA_ADJUSTED=GAAP","Sort=A","Dates=H","DateFormat=P","Fill=—","Direction=H","UseDPDF=Y")</f>
        <v>412</v>
      </c>
      <c r="Q6" s="19">
        <f>_xll.BDH("NBIX US Equity","SALES_REV_TURN","FQ1 2023","FQ1 2023","Currency=USD","Period=FQ","BEST_FPERIOD_OVERRIDE=FQ","FILING_STATUS=MR","SCALING_FORMAT=MLN","FA_ADJUSTED=GAAP","Sort=A","Dates=H","DateFormat=P","Fill=—","Direction=H","UseDPDF=Y")</f>
        <v>420.4</v>
      </c>
      <c r="R6" s="19">
        <f>_xll.BDH("NBIX US Equity","SALES_REV_TURN","FQ2 2023","FQ2 2023","Currency=USD","Period=FQ","BEST_FPERIOD_OVERRIDE=FQ","FILING_STATUS=MR","SCALING_FORMAT=MLN","FA_ADJUSTED=GAAP","Sort=A","Dates=H","DateFormat=P","Fill=—","Direction=H","UseDPDF=Y")</f>
        <v>452.7</v>
      </c>
      <c r="S6" s="19">
        <f>_xll.BDH("NBIX US Equity","SALES_REV_TURN","FQ3 2023","FQ3 2023","Currency=USD","Period=FQ","BEST_FPERIOD_OVERRIDE=FQ","FILING_STATUS=MR","SCALING_FORMAT=MLN","FA_ADJUSTED=GAAP","Sort=A","Dates=H","DateFormat=P","Fill=—","Direction=H","UseDPDF=Y")</f>
        <v>498.8</v>
      </c>
      <c r="T6" s="19">
        <f>_xll.BDH("NBIX US Equity","SALES_REV_TURN","FQ4 2023","FQ4 2023","Currency=USD","Period=FQ","BEST_FPERIOD_OVERRIDE=FQ","FILING_STATUS=MR","SCALING_FORMAT=MLN","FA_ADJUSTED=GAAP","Sort=A","Dates=H","DateFormat=P","Fill=—","Direction=H","UseDPDF=Y")</f>
        <v>515.20000000000005</v>
      </c>
      <c r="U6" s="19">
        <f>_xll.BDH("NBIX US Equity","SALES_REV_TURN","FQ1 2024","FQ1 2024","Currency=USD","Period=FQ","BEST_FPERIOD_OVERRIDE=FQ","FILING_STATUS=MR","SCALING_FORMAT=MLN","FA_ADJUSTED=GAAP","Sort=A","Dates=H","DateFormat=P","Fill=—","Direction=H","UseDPDF=Y")</f>
        <v>515.29999999999995</v>
      </c>
      <c r="V6" s="19">
        <f>_xll.BDH("NBIX US Equity","SALES_REV_TURN","FQ2 2024","FQ2 2024","Currency=USD","Period=FQ","BEST_FPERIOD_OVERRIDE=FQ","FILING_STATUS=MR","SCALING_FORMAT=MLN","FA_ADJUSTED=GAAP","Sort=A","Dates=H","DateFormat=P","Fill=—","Direction=H","UseDPDF=Y")</f>
        <v>590.20000000000005</v>
      </c>
      <c r="W6" s="19">
        <f>_xll.BDH("NBIX US Equity","SALES_REV_TURN","FQ3 2024","FQ3 2024","Currency=USD","Period=FQ","BEST_FPERIOD_OVERRIDE=FQ","FILING_STATUS=MR","SCALING_FORMAT=MLN","FA_ADJUSTED=GAAP","Sort=A","Dates=H","DateFormat=P","Fill=—","Direction=H","UseDPDF=Y")</f>
        <v>622.1</v>
      </c>
      <c r="X6" s="19">
        <f>_xll.BDH("NBIX US Equity","SALES_REV_TURN","FQ4 2024","FQ4 2024","Currency=USD","Period=FQ","BEST_FPERIOD_OVERRIDE=FQ","FILING_STATUS=MR","SCALING_FORMAT=MLN","FA_ADJUSTED=GAAP","Sort=A","Dates=H","DateFormat=P","Fill=—","Direction=H","UseDPDF=Y")</f>
        <v>627.70000000000005</v>
      </c>
      <c r="Y6" s="22">
        <v>2355.3000000000002</v>
      </c>
      <c r="Z6" s="19">
        <v>595.54499999999996</v>
      </c>
      <c r="AA6" s="19">
        <v>648</v>
      </c>
    </row>
    <row r="7" spans="1:27" x14ac:dyDescent="0.25">
      <c r="A7" s="10" t="s">
        <v>313</v>
      </c>
      <c r="B7" s="10" t="s">
        <v>314</v>
      </c>
      <c r="C7" s="13">
        <v>89.1937648022909</v>
      </c>
      <c r="D7" s="13">
        <v>97.460057353543604</v>
      </c>
      <c r="E7" s="13">
        <v>97.469422184732196</v>
      </c>
      <c r="F7" s="13">
        <v>88.492063492063494</v>
      </c>
      <c r="G7" s="13">
        <v>98.297872340425499</v>
      </c>
      <c r="H7" s="13">
        <v>97.337636143606304</v>
      </c>
      <c r="I7" s="13">
        <v>97.633136094674597</v>
      </c>
      <c r="J7" s="13">
        <v>92.350294219453104</v>
      </c>
      <c r="K7" s="13">
        <v>97.567567567567593</v>
      </c>
      <c r="L7" s="13">
        <v>97.275641025640994</v>
      </c>
      <c r="M7" s="13">
        <v>98.197037990985194</v>
      </c>
      <c r="N7" s="13">
        <v>93.072448439978899</v>
      </c>
      <c r="O7" s="13">
        <v>97.782933745810794</v>
      </c>
      <c r="P7" s="13">
        <v>98.203883495145604</v>
      </c>
      <c r="Q7" s="13">
        <v>98.786869647954305</v>
      </c>
      <c r="R7" s="13">
        <v>98.586260216478905</v>
      </c>
      <c r="S7" s="13">
        <v>98.596631916599804</v>
      </c>
      <c r="T7" s="13">
        <v>98.447204968944106</v>
      </c>
      <c r="U7" s="13">
        <v>98.777411216766893</v>
      </c>
      <c r="V7" s="13">
        <v>98.915621823110797</v>
      </c>
      <c r="W7" s="13">
        <v>99.115897765632496</v>
      </c>
      <c r="X7" s="13">
        <v>98.964473474589795</v>
      </c>
      <c r="Y7" s="16">
        <v>98.951301320426296</v>
      </c>
      <c r="Z7" s="13"/>
      <c r="AA7" s="13"/>
    </row>
    <row r="8" spans="1:27" x14ac:dyDescent="0.25">
      <c r="A8" s="10" t="s">
        <v>315</v>
      </c>
      <c r="B8" s="10" t="s">
        <v>316</v>
      </c>
      <c r="C8" s="13">
        <v>10.8062351977091</v>
      </c>
      <c r="D8" s="13">
        <v>2.5399426464563701</v>
      </c>
      <c r="E8" s="13">
        <v>2.53057781526782</v>
      </c>
      <c r="F8" s="13">
        <v>11.507936507936501</v>
      </c>
      <c r="G8" s="13">
        <v>1.7021276595744701</v>
      </c>
      <c r="H8" s="13">
        <v>2.6623638563937102</v>
      </c>
      <c r="I8" s="13">
        <v>2.3668639053254399</v>
      </c>
      <c r="J8" s="13">
        <v>7.6497057805469</v>
      </c>
      <c r="K8" s="13">
        <v>2.4324324324324298</v>
      </c>
      <c r="L8" s="13">
        <v>2.72435897435897</v>
      </c>
      <c r="M8" s="13">
        <v>1.80296200901481</v>
      </c>
      <c r="N8" s="13">
        <v>6.9275515600211497</v>
      </c>
      <c r="O8" s="13">
        <v>2.2170662541892199</v>
      </c>
      <c r="P8" s="13">
        <v>1.7961165048543699</v>
      </c>
      <c r="Q8" s="13">
        <v>1.21313035204567</v>
      </c>
      <c r="R8" s="13">
        <v>1.4137397835211001</v>
      </c>
      <c r="S8" s="13">
        <v>1.4033680834001601</v>
      </c>
      <c r="T8" s="13">
        <v>1.5527950310559</v>
      </c>
      <c r="U8" s="13">
        <v>1.22258878323307</v>
      </c>
      <c r="V8" s="13">
        <v>1.08437817688919</v>
      </c>
      <c r="W8" s="13">
        <v>0.88410223436746505</v>
      </c>
      <c r="X8" s="13">
        <v>1.0355265254102299</v>
      </c>
      <c r="Y8" s="16">
        <v>1.0486986795737301</v>
      </c>
      <c r="Z8" s="13"/>
      <c r="AA8" s="13"/>
    </row>
    <row r="9" spans="1:27" x14ac:dyDescent="0.25">
      <c r="A9" s="10" t="s">
        <v>317</v>
      </c>
      <c r="B9" s="10" t="s">
        <v>318</v>
      </c>
      <c r="C9" s="13">
        <v>1.0036290939872301</v>
      </c>
      <c r="D9" s="13">
        <v>1.02417042195821</v>
      </c>
      <c r="E9" s="13">
        <v>0.88570223534373704</v>
      </c>
      <c r="F9" s="13">
        <v>0.79365079365079405</v>
      </c>
      <c r="G9" s="13">
        <v>1.04448742746615</v>
      </c>
      <c r="H9" s="13">
        <v>1.1698265429608701</v>
      </c>
      <c r="I9" s="13">
        <v>1.22569737954353</v>
      </c>
      <c r="J9" s="13">
        <v>1.0730356524749001</v>
      </c>
      <c r="K9" s="13">
        <v>1.41891891891892</v>
      </c>
      <c r="L9" s="13">
        <v>1.3141025641025601</v>
      </c>
      <c r="M9" s="13">
        <v>1.48100450740502</v>
      </c>
      <c r="N9" s="13">
        <v>1.2691697514542599</v>
      </c>
      <c r="O9" s="13">
        <v>1.5725702500644501</v>
      </c>
      <c r="P9" s="13">
        <v>1.86893203883495</v>
      </c>
      <c r="Q9" s="13">
        <v>2.0218839200761201</v>
      </c>
      <c r="R9" s="13">
        <v>2.5403136735144698</v>
      </c>
      <c r="S9" s="13">
        <v>2.2453889334402599</v>
      </c>
      <c r="T9" s="13">
        <v>1.64984472049689</v>
      </c>
      <c r="U9" s="13">
        <v>1.45546283718222</v>
      </c>
      <c r="V9" s="13">
        <v>1.5587936292782101</v>
      </c>
      <c r="W9" s="13">
        <v>1.2859668863526801</v>
      </c>
      <c r="X9" s="13">
        <v>1.4815994902023299</v>
      </c>
      <c r="Y9" s="16">
        <v>1.4435528382796201</v>
      </c>
      <c r="Z9" s="13"/>
      <c r="AA9" s="13"/>
    </row>
    <row r="10" spans="1:27" x14ac:dyDescent="0.25">
      <c r="A10" s="10" t="s">
        <v>319</v>
      </c>
      <c r="B10" s="10" t="s">
        <v>320</v>
      </c>
      <c r="C10" s="13">
        <v>1.0036290939872301</v>
      </c>
      <c r="D10" s="13">
        <v>1.02417042195821</v>
      </c>
      <c r="E10" s="13">
        <v>0.88570223534373704</v>
      </c>
      <c r="F10" s="13">
        <v>0.79365079365079405</v>
      </c>
      <c r="G10" s="13">
        <v>1.04448742746615</v>
      </c>
      <c r="H10" s="13">
        <v>1.1698265429608701</v>
      </c>
      <c r="I10" s="13">
        <v>1.22569737954353</v>
      </c>
      <c r="J10" s="13">
        <v>1.0730356524749001</v>
      </c>
      <c r="K10" s="13">
        <v>1.41891891891892</v>
      </c>
      <c r="L10" s="13">
        <v>1.3141025641025601</v>
      </c>
      <c r="M10" s="13">
        <v>1.48100450740502</v>
      </c>
      <c r="N10" s="13">
        <v>1.2691697514542599</v>
      </c>
      <c r="O10" s="13">
        <v>1.5725702500644501</v>
      </c>
      <c r="P10" s="13">
        <v>1.86893203883495</v>
      </c>
      <c r="Q10" s="13">
        <v>2.0218839200761201</v>
      </c>
      <c r="R10" s="13">
        <v>2.5403136735144698</v>
      </c>
      <c r="S10" s="13">
        <v>2.2453889334402599</v>
      </c>
      <c r="T10" s="13">
        <v>1.64984472049689</v>
      </c>
      <c r="U10" s="13">
        <v>1.45546283718222</v>
      </c>
      <c r="V10" s="13">
        <v>1.5587936292782101</v>
      </c>
      <c r="W10" s="13">
        <v>1.2859668863526801</v>
      </c>
      <c r="X10" s="13">
        <v>1.4815994902023299</v>
      </c>
      <c r="Y10" s="16">
        <v>1.4435528382796201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v>98.9963709060128</v>
      </c>
      <c r="D11" s="19">
        <v>98.975829578041797</v>
      </c>
      <c r="E11" s="19">
        <v>99.1142977646563</v>
      </c>
      <c r="F11" s="19">
        <v>99.206349206349202</v>
      </c>
      <c r="G11" s="19">
        <v>98.955512572533806</v>
      </c>
      <c r="H11" s="19">
        <v>98.830173457039095</v>
      </c>
      <c r="I11" s="19">
        <v>98.774302620456496</v>
      </c>
      <c r="J11" s="19">
        <v>98.9269643475251</v>
      </c>
      <c r="K11" s="19">
        <v>98.581081081081095</v>
      </c>
      <c r="L11" s="19">
        <v>98.685897435897402</v>
      </c>
      <c r="M11" s="19">
        <v>98.518995492594996</v>
      </c>
      <c r="N11" s="19">
        <v>98.730830248545701</v>
      </c>
      <c r="O11" s="19">
        <v>98.427429749935598</v>
      </c>
      <c r="P11" s="19">
        <v>98.131067961165101</v>
      </c>
      <c r="Q11" s="19">
        <v>97.978116079923893</v>
      </c>
      <c r="R11" s="19">
        <v>97.459686326485496</v>
      </c>
      <c r="S11" s="19">
        <v>97.754611066559704</v>
      </c>
      <c r="T11" s="19">
        <v>98.350155279503099</v>
      </c>
      <c r="U11" s="19">
        <v>98.544537162817804</v>
      </c>
      <c r="V11" s="19">
        <v>98.441206370721801</v>
      </c>
      <c r="W11" s="19">
        <v>98.714033113647304</v>
      </c>
      <c r="X11" s="19">
        <v>98.518400509797701</v>
      </c>
      <c r="Y11" s="22">
        <v>98.556445606882605</v>
      </c>
      <c r="Z11" s="19">
        <v>98.278000000000006</v>
      </c>
      <c r="AA11" s="19">
        <v>98.36</v>
      </c>
    </row>
    <row r="12" spans="1:27" x14ac:dyDescent="0.25">
      <c r="A12" s="10" t="s">
        <v>321</v>
      </c>
      <c r="B12" s="10" t="s">
        <v>322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6">
        <v>0</v>
      </c>
      <c r="Z12" s="13"/>
      <c r="AA12" s="13"/>
    </row>
    <row r="13" spans="1:27" x14ac:dyDescent="0.25">
      <c r="A13" s="10" t="s">
        <v>323</v>
      </c>
      <c r="B13" s="10" t="s">
        <v>324</v>
      </c>
      <c r="C13" s="13">
        <v>58.428863454213101</v>
      </c>
      <c r="D13" s="13">
        <v>78.984022941417507</v>
      </c>
      <c r="E13" s="13">
        <v>74.272458878110498</v>
      </c>
      <c r="F13" s="13">
        <v>73.875661375661394</v>
      </c>
      <c r="G13" s="13">
        <v>116.092843326886</v>
      </c>
      <c r="H13" s="13">
        <v>69.866881807180306</v>
      </c>
      <c r="I13" s="13">
        <v>85.460693153000804</v>
      </c>
      <c r="J13" s="13">
        <v>77.189338871581896</v>
      </c>
      <c r="K13" s="13">
        <v>83.547297297297305</v>
      </c>
      <c r="L13" s="13">
        <v>110.320512820513</v>
      </c>
      <c r="M13" s="13">
        <v>97.520927237604596</v>
      </c>
      <c r="N13" s="13">
        <v>84.267583289264905</v>
      </c>
      <c r="O13" s="13">
        <v>75.792730085073501</v>
      </c>
      <c r="P13" s="13">
        <v>73.033980582524293</v>
      </c>
      <c r="Q13" s="13">
        <v>125.142721217888</v>
      </c>
      <c r="R13" s="13">
        <v>81.201678815992906</v>
      </c>
      <c r="S13" s="13">
        <v>69.446672012830803</v>
      </c>
      <c r="T13" s="13">
        <v>69.177018633540399</v>
      </c>
      <c r="U13" s="13">
        <v>79.274209198525099</v>
      </c>
      <c r="V13" s="13">
        <v>73.805489664520493</v>
      </c>
      <c r="W13" s="13">
        <v>69.168943899694597</v>
      </c>
      <c r="X13" s="13">
        <v>75.896128723912696</v>
      </c>
      <c r="Y13" s="16">
        <v>74.334479684116701</v>
      </c>
      <c r="Z13" s="13"/>
      <c r="AA13" s="13"/>
    </row>
    <row r="14" spans="1:27" x14ac:dyDescent="0.25">
      <c r="A14" s="10" t="s">
        <v>325</v>
      </c>
      <c r="B14" s="10" t="s">
        <v>326</v>
      </c>
      <c r="C14" s="13">
        <v>38.042000234135102</v>
      </c>
      <c r="D14" s="13">
        <v>41.4993854977468</v>
      </c>
      <c r="E14" s="13">
        <v>49.683677773091503</v>
      </c>
      <c r="F14" s="13">
        <v>31.9113756613757</v>
      </c>
      <c r="G14" s="13">
        <v>43.5203094777563</v>
      </c>
      <c r="H14" s="13">
        <v>42.960871319080297</v>
      </c>
      <c r="I14" s="13">
        <v>54.522400676246797</v>
      </c>
      <c r="J14" s="13">
        <v>49.567324333679501</v>
      </c>
      <c r="K14" s="13">
        <v>52.229729729729698</v>
      </c>
      <c r="L14" s="13">
        <v>50.160256410256402</v>
      </c>
      <c r="M14" s="13">
        <v>64.616870573084299</v>
      </c>
      <c r="N14" s="13">
        <v>48.334214701216297</v>
      </c>
      <c r="O14" s="13">
        <v>48.027842227378201</v>
      </c>
      <c r="P14" s="13">
        <v>44.393203883495097</v>
      </c>
      <c r="Q14" s="13">
        <v>57.730732635585198</v>
      </c>
      <c r="R14" s="13">
        <v>48.994919372653001</v>
      </c>
      <c r="S14" s="13">
        <v>40.938251804330399</v>
      </c>
      <c r="T14" s="13">
        <v>42.488354037267101</v>
      </c>
      <c r="U14" s="13">
        <v>47.1764020958665</v>
      </c>
      <c r="V14" s="13">
        <v>41.003049813622503</v>
      </c>
      <c r="W14" s="13">
        <v>37.662755184053999</v>
      </c>
      <c r="X14" s="13">
        <v>45.849928309702101</v>
      </c>
      <c r="Y14" s="16">
        <v>42.763129962212901</v>
      </c>
      <c r="Z14" s="13"/>
      <c r="AA14" s="13"/>
    </row>
    <row r="15" spans="1:27" x14ac:dyDescent="0.25">
      <c r="A15" s="11" t="s">
        <v>327</v>
      </c>
      <c r="B15" s="11" t="s">
        <v>328</v>
      </c>
      <c r="C15" s="25">
        <v>38.042000234135102</v>
      </c>
      <c r="D15" s="25">
        <v>41.4993854977468</v>
      </c>
      <c r="E15" s="25">
        <v>49.683677773091503</v>
      </c>
      <c r="F15" s="25">
        <v>31.9113756613757</v>
      </c>
      <c r="G15" s="25">
        <v>43.5203094777563</v>
      </c>
      <c r="H15" s="25">
        <v>42.960871319080297</v>
      </c>
      <c r="I15" s="25">
        <v>54.522400676246797</v>
      </c>
      <c r="J15" s="25">
        <v>49.567324333679501</v>
      </c>
      <c r="K15" s="25">
        <v>52.229729729729698</v>
      </c>
      <c r="L15" s="25">
        <v>50.160256410256402</v>
      </c>
      <c r="M15" s="25">
        <v>64.616870573084299</v>
      </c>
      <c r="N15" s="25">
        <v>48.334214701216297</v>
      </c>
      <c r="O15" s="25">
        <v>48.027842227378201</v>
      </c>
      <c r="P15" s="25">
        <v>44.393203883495097</v>
      </c>
      <c r="Q15" s="25">
        <v>57.730732635585198</v>
      </c>
      <c r="R15" s="25">
        <v>48.994919372653001</v>
      </c>
      <c r="S15" s="25">
        <v>40.938251804330399</v>
      </c>
      <c r="T15" s="25">
        <v>42.488354037267101</v>
      </c>
      <c r="U15" s="25">
        <v>47.1764020958665</v>
      </c>
      <c r="V15" s="25">
        <v>41.003049813622503</v>
      </c>
      <c r="W15" s="25">
        <v>37.662755184053999</v>
      </c>
      <c r="X15" s="25">
        <v>45.849928309702101</v>
      </c>
      <c r="Y15" s="28">
        <v>42.763129962212901</v>
      </c>
      <c r="Z15" s="25"/>
      <c r="AA15" s="25"/>
    </row>
    <row r="16" spans="1:27" x14ac:dyDescent="0.25">
      <c r="A16" s="10" t="s">
        <v>329</v>
      </c>
      <c r="B16" s="10" t="s">
        <v>414</v>
      </c>
      <c r="C16" s="13">
        <v>20.386863220077998</v>
      </c>
      <c r="D16" s="13">
        <v>22.654649733715701</v>
      </c>
      <c r="E16" s="13">
        <v>24.588781105018999</v>
      </c>
      <c r="F16" s="13">
        <v>26.7526455026455</v>
      </c>
      <c r="G16" s="13">
        <v>26.7311411992263</v>
      </c>
      <c r="H16" s="13">
        <v>26.906010488100002</v>
      </c>
      <c r="I16" s="13">
        <v>30.938292476754</v>
      </c>
      <c r="J16" s="13">
        <v>25.8913118726203</v>
      </c>
      <c r="K16" s="13">
        <v>31.3175675675676</v>
      </c>
      <c r="L16" s="13">
        <v>28.0128205128205</v>
      </c>
      <c r="M16" s="13">
        <v>32.904056664520297</v>
      </c>
      <c r="N16" s="13">
        <v>35.933368588048701</v>
      </c>
      <c r="O16" s="13">
        <v>27.7648878576953</v>
      </c>
      <c r="P16" s="13">
        <v>28.6407766990291</v>
      </c>
      <c r="Q16" s="13">
        <v>33.182683158896303</v>
      </c>
      <c r="R16" s="13">
        <v>32.206759443339998</v>
      </c>
      <c r="S16" s="13">
        <v>28.5084202085004</v>
      </c>
      <c r="T16" s="13">
        <v>26.688664596273298</v>
      </c>
      <c r="U16" s="13">
        <v>30.9334368329129</v>
      </c>
      <c r="V16" s="13">
        <v>32.378854625550701</v>
      </c>
      <c r="W16" s="13">
        <v>31.3454428548465</v>
      </c>
      <c r="X16" s="13">
        <v>29.568265094790501</v>
      </c>
      <c r="Y16" s="16">
        <v>31.040631766653899</v>
      </c>
      <c r="Z16" s="13"/>
      <c r="AA16" s="13"/>
    </row>
    <row r="17" spans="1:27" x14ac:dyDescent="0.25">
      <c r="A17" s="10" t="s">
        <v>331</v>
      </c>
      <c r="B17" s="10" t="s">
        <v>415</v>
      </c>
      <c r="C17" s="13">
        <v>0</v>
      </c>
      <c r="D17" s="13">
        <v>14.829987709954899</v>
      </c>
      <c r="E17" s="13">
        <v>0</v>
      </c>
      <c r="F17" s="13">
        <v>15.2116402116402</v>
      </c>
      <c r="G17" s="13">
        <v>45.841392649903298</v>
      </c>
      <c r="H17" s="13">
        <v>0</v>
      </c>
      <c r="I17" s="13">
        <v>0</v>
      </c>
      <c r="J17" s="13">
        <v>1.7307026652821</v>
      </c>
      <c r="K17" s="13">
        <v>0</v>
      </c>
      <c r="L17" s="13">
        <v>32.147435897435898</v>
      </c>
      <c r="M17" s="13">
        <v>0</v>
      </c>
      <c r="N17" s="13">
        <v>0</v>
      </c>
      <c r="O17" s="13">
        <v>0</v>
      </c>
      <c r="P17" s="13">
        <v>0</v>
      </c>
      <c r="Q17" s="13">
        <v>34.229305423406302</v>
      </c>
      <c r="R17" s="13">
        <v>0</v>
      </c>
      <c r="S17" s="13">
        <v>0</v>
      </c>
      <c r="T17" s="13">
        <v>0</v>
      </c>
      <c r="U17" s="13">
        <v>1.1643702697457801</v>
      </c>
      <c r="V17" s="13">
        <v>0.42358522534734</v>
      </c>
      <c r="W17" s="13">
        <v>0.16074586079408501</v>
      </c>
      <c r="X17" s="13">
        <v>0.47793531942010498</v>
      </c>
      <c r="Y17" s="16">
        <v>0.53071795524986198</v>
      </c>
      <c r="Z17" s="13"/>
      <c r="AA17" s="13"/>
    </row>
    <row r="18" spans="1:27" x14ac:dyDescent="0.25">
      <c r="A18" s="6" t="s">
        <v>333</v>
      </c>
      <c r="B18" s="6" t="s">
        <v>99</v>
      </c>
      <c r="C18" s="19">
        <v>40.567507451799699</v>
      </c>
      <c r="D18" s="19">
        <v>19.9918066366243</v>
      </c>
      <c r="E18" s="19">
        <v>24.841838886545801</v>
      </c>
      <c r="F18" s="19">
        <v>25.3306878306878</v>
      </c>
      <c r="G18" s="19">
        <v>-17.137330754352</v>
      </c>
      <c r="H18" s="19">
        <v>28.9632916498588</v>
      </c>
      <c r="I18" s="19">
        <v>13.313609467455599</v>
      </c>
      <c r="J18" s="19">
        <v>21.737625475943201</v>
      </c>
      <c r="K18" s="19">
        <v>15.0337837837838</v>
      </c>
      <c r="L18" s="19">
        <v>-11.634615384615399</v>
      </c>
      <c r="M18" s="19">
        <v>0.99806825499034102</v>
      </c>
      <c r="N18" s="19">
        <v>14.4632469592808</v>
      </c>
      <c r="O18" s="19">
        <v>22.634699664862101</v>
      </c>
      <c r="P18" s="19">
        <v>25.097087378640801</v>
      </c>
      <c r="Q18" s="19">
        <v>-27.1646051379639</v>
      </c>
      <c r="R18" s="19">
        <v>16.2580075104926</v>
      </c>
      <c r="S18" s="19">
        <v>28.307939053728902</v>
      </c>
      <c r="T18" s="19">
        <v>29.1731366459627</v>
      </c>
      <c r="U18" s="19">
        <v>19.270327964292601</v>
      </c>
      <c r="V18" s="19">
        <v>24.6357167062013</v>
      </c>
      <c r="W18" s="19">
        <v>29.5450892139527</v>
      </c>
      <c r="X18" s="19">
        <v>22.622271785885001</v>
      </c>
      <c r="Y18" s="22">
        <v>24.221967477603702</v>
      </c>
      <c r="Z18" s="19">
        <v>17.899067240930599</v>
      </c>
      <c r="AA18" s="19">
        <v>20.537962962963</v>
      </c>
    </row>
    <row r="19" spans="1:27" x14ac:dyDescent="0.25">
      <c r="A19" s="10" t="s">
        <v>334</v>
      </c>
      <c r="B19" s="10" t="s">
        <v>416</v>
      </c>
      <c r="C19" s="13">
        <v>14.2691833187749</v>
      </c>
      <c r="D19" s="13">
        <v>4.1786153215895103</v>
      </c>
      <c r="E19" s="13">
        <v>8.4352593842260593</v>
      </c>
      <c r="F19" s="13">
        <v>-2.1825396825396801</v>
      </c>
      <c r="G19" s="13">
        <v>4.9516441005802703</v>
      </c>
      <c r="H19" s="13">
        <v>12.1419927390077</v>
      </c>
      <c r="I19" s="13">
        <v>1.8174133558748899</v>
      </c>
      <c r="J19" s="13">
        <v>1.8345448251990299</v>
      </c>
      <c r="K19" s="13">
        <v>4.7297297297297298</v>
      </c>
      <c r="L19" s="13">
        <v>-7.2115384615384599</v>
      </c>
      <c r="M19" s="13">
        <v>-5.8918222794591104</v>
      </c>
      <c r="N19" s="13">
        <v>20.624008461131702</v>
      </c>
      <c r="O19" s="13">
        <v>-2.6037638566640902</v>
      </c>
      <c r="P19" s="13">
        <v>-3.5194174757281602</v>
      </c>
      <c r="Q19" s="13">
        <v>-2.5927687916270199</v>
      </c>
      <c r="R19" s="13">
        <v>-10.6030483764082</v>
      </c>
      <c r="S19" s="13">
        <v>5.1323175621491597</v>
      </c>
      <c r="T19" s="13">
        <v>-9.2973602484472</v>
      </c>
      <c r="U19" s="13">
        <v>12.5751989132544</v>
      </c>
      <c r="V19" s="13">
        <v>7.9295154185022003</v>
      </c>
      <c r="W19" s="13">
        <v>-1.04484809516155</v>
      </c>
      <c r="X19" s="13">
        <v>-3.2818225266847199</v>
      </c>
      <c r="Y19" s="16">
        <v>3.5876533774890702</v>
      </c>
      <c r="Z19" s="13"/>
      <c r="AA19" s="13"/>
    </row>
    <row r="20" spans="1:27" x14ac:dyDescent="0.25">
      <c r="A20" s="11" t="s">
        <v>336</v>
      </c>
      <c r="B20" s="11" t="s">
        <v>337</v>
      </c>
      <c r="C20" s="25">
        <v>3.6191882716327299</v>
      </c>
      <c r="D20" s="25">
        <v>3.3592789840229398</v>
      </c>
      <c r="E20" s="25">
        <v>3.4584563475326902</v>
      </c>
      <c r="F20" s="25">
        <v>2.7447089947090002</v>
      </c>
      <c r="G20" s="25">
        <v>3.2882011605415902</v>
      </c>
      <c r="H20" s="25">
        <v>3.14643001210165</v>
      </c>
      <c r="I20" s="25">
        <v>2.7049873203719401</v>
      </c>
      <c r="J20" s="25">
        <v>2.1460713049498099</v>
      </c>
      <c r="K20" s="25">
        <v>2.2297297297297298</v>
      </c>
      <c r="L20" s="25">
        <v>2.1153846153846101</v>
      </c>
      <c r="M20" s="25">
        <v>0.83708950418544703</v>
      </c>
      <c r="N20" s="25">
        <v>0.58170280274986796</v>
      </c>
      <c r="O20" s="25">
        <v>0.30935808197989201</v>
      </c>
      <c r="P20" s="25">
        <v>0.26699029126213603</v>
      </c>
      <c r="Q20" s="25">
        <v>0.26165556612749802</v>
      </c>
      <c r="R20" s="25">
        <v>0.28716589352772298</v>
      </c>
      <c r="S20" s="25">
        <v>0.220529270248597</v>
      </c>
      <c r="T20" s="25">
        <v>0.213509316770186</v>
      </c>
      <c r="U20" s="25">
        <v>0.21346788278672599</v>
      </c>
      <c r="V20" s="25" t="s">
        <v>141</v>
      </c>
      <c r="W20" s="25" t="s">
        <v>141</v>
      </c>
      <c r="X20" s="25" t="s">
        <v>141</v>
      </c>
      <c r="Y20" s="28"/>
      <c r="Z20" s="25"/>
      <c r="AA20" s="25"/>
    </row>
    <row r="21" spans="1:27" x14ac:dyDescent="0.25">
      <c r="A21" s="10" t="s">
        <v>338</v>
      </c>
      <c r="B21" s="10" t="s">
        <v>339</v>
      </c>
      <c r="C21" s="13">
        <v>-2.1598962601421001</v>
      </c>
      <c r="D21" s="13">
        <v>-2.1302744776730802</v>
      </c>
      <c r="E21" s="13">
        <v>-1.98228595529313</v>
      </c>
      <c r="F21" s="13">
        <v>-1.19047619047619</v>
      </c>
      <c r="G21" s="13">
        <v>-1.04448742746615</v>
      </c>
      <c r="H21" s="13">
        <v>-0.64542154094392901</v>
      </c>
      <c r="I21" s="13">
        <v>-0.59171597633136097</v>
      </c>
      <c r="J21" s="13">
        <v>-0.31152647975077902</v>
      </c>
      <c r="K21" s="13">
        <v>-0.27027027027027001</v>
      </c>
      <c r="L21" s="13">
        <v>-0.22435897435897401</v>
      </c>
      <c r="M21" s="13">
        <v>-0.32195750160978698</v>
      </c>
      <c r="N21" s="13">
        <v>-0.42305658381808597</v>
      </c>
      <c r="O21" s="13">
        <v>-5.1559680329981997E-2</v>
      </c>
      <c r="P21" s="13">
        <v>-2.0388349514563102</v>
      </c>
      <c r="Q21" s="13">
        <v>-2.3311132254995202</v>
      </c>
      <c r="R21" s="13">
        <v>-2.65076209410205</v>
      </c>
      <c r="S21" s="13">
        <v>-3.12750601443464</v>
      </c>
      <c r="T21" s="13">
        <v>-3.8819875776397499</v>
      </c>
      <c r="U21" s="13">
        <v>-4.54104405200854</v>
      </c>
      <c r="V21" s="13">
        <v>-3.8630972551677401</v>
      </c>
      <c r="W21" s="13">
        <v>-3.7614531425815798</v>
      </c>
      <c r="X21" s="13">
        <v>-3.58451489565079</v>
      </c>
      <c r="Y21" s="16">
        <v>-3.9103298942809799</v>
      </c>
      <c r="Z21" s="13"/>
      <c r="AA21" s="13"/>
    </row>
    <row r="22" spans="1:27" x14ac:dyDescent="0.25">
      <c r="A22" s="10" t="s">
        <v>340</v>
      </c>
      <c r="B22" s="10" t="s">
        <v>417</v>
      </c>
      <c r="C22" s="13">
        <v>12.8098913072843</v>
      </c>
      <c r="D22" s="13">
        <v>2.9496108152396601</v>
      </c>
      <c r="E22" s="13">
        <v>6.9590889919865004</v>
      </c>
      <c r="F22" s="13">
        <v>-3.7367724867724901</v>
      </c>
      <c r="G22" s="13">
        <v>2.7079303675048401</v>
      </c>
      <c r="H22" s="13">
        <v>9.6409842678499391</v>
      </c>
      <c r="I22" s="13">
        <v>-0.29585798816567999</v>
      </c>
      <c r="J22" s="13">
        <v>0</v>
      </c>
      <c r="K22" s="13">
        <v>2.7702702702702702</v>
      </c>
      <c r="L22" s="13">
        <v>-9.1025641025641004</v>
      </c>
      <c r="M22" s="13">
        <v>-6.4069542820347696</v>
      </c>
      <c r="N22" s="13">
        <v>20.465362242199902</v>
      </c>
      <c r="O22" s="13">
        <v>-2.8615622583140001</v>
      </c>
      <c r="P22" s="13">
        <v>-1.74757281553398</v>
      </c>
      <c r="Q22" s="13">
        <v>-0.52331113225499504</v>
      </c>
      <c r="R22" s="13">
        <v>-8.2394521758338808</v>
      </c>
      <c r="S22" s="13">
        <v>8.0392943063352007</v>
      </c>
      <c r="T22" s="13">
        <v>-5.6288819875776399</v>
      </c>
      <c r="U22" s="13">
        <v>16.9027750824762</v>
      </c>
      <c r="V22" s="13">
        <v>11.7926126736699</v>
      </c>
      <c r="W22" s="13">
        <v>2.7166050474200301</v>
      </c>
      <c r="X22" s="13">
        <v>0.30269236896606699</v>
      </c>
      <c r="Y22" s="16">
        <v>7.4512800917080604</v>
      </c>
      <c r="Z22" s="13"/>
      <c r="AA22" s="13"/>
    </row>
    <row r="23" spans="1:27" x14ac:dyDescent="0.25">
      <c r="A23" s="6" t="s">
        <v>418</v>
      </c>
      <c r="B23" s="6" t="s">
        <v>158</v>
      </c>
      <c r="C23" s="19">
        <v>26.298324133024799</v>
      </c>
      <c r="D23" s="19">
        <v>15.8131913150348</v>
      </c>
      <c r="E23" s="19">
        <v>16.406579502319701</v>
      </c>
      <c r="F23" s="19">
        <v>27.513227513227498</v>
      </c>
      <c r="G23" s="19">
        <v>-22.0889748549323</v>
      </c>
      <c r="H23" s="19">
        <v>16.821298910851201</v>
      </c>
      <c r="I23" s="19">
        <v>11.4961961115807</v>
      </c>
      <c r="J23" s="19">
        <v>19.903080650744201</v>
      </c>
      <c r="K23" s="19">
        <v>10.304054054054101</v>
      </c>
      <c r="L23" s="19">
        <v>-4.4230769230769198</v>
      </c>
      <c r="M23" s="19">
        <v>6.8898905344494503</v>
      </c>
      <c r="N23" s="19">
        <v>-6.1607615018508701</v>
      </c>
      <c r="O23" s="19">
        <v>25.238463521526199</v>
      </c>
      <c r="P23" s="19">
        <v>28.616504854368898</v>
      </c>
      <c r="Q23" s="19">
        <v>-24.571836346336799</v>
      </c>
      <c r="R23" s="19">
        <v>26.8610558869008</v>
      </c>
      <c r="S23" s="19">
        <v>23.1756214915798</v>
      </c>
      <c r="T23" s="19">
        <v>38.470496894409898</v>
      </c>
      <c r="U23" s="19">
        <v>6.6951290510382302</v>
      </c>
      <c r="V23" s="19">
        <v>16.706201287699098</v>
      </c>
      <c r="W23" s="19">
        <v>30.589937309114301</v>
      </c>
      <c r="X23" s="19">
        <v>25.904094312569701</v>
      </c>
      <c r="Y23" s="22">
        <v>20.6343141648995</v>
      </c>
      <c r="Z23" s="19">
        <v>18.9270332216709</v>
      </c>
      <c r="AA23" s="19">
        <v>20.207407407407398</v>
      </c>
    </row>
    <row r="24" spans="1:27" x14ac:dyDescent="0.25">
      <c r="A24" s="10" t="s">
        <v>358</v>
      </c>
      <c r="B24" s="10" t="s">
        <v>359</v>
      </c>
      <c r="C24" s="13">
        <v>2.0792997559591901</v>
      </c>
      <c r="D24" s="13">
        <v>1.88447357640311</v>
      </c>
      <c r="E24" s="13">
        <v>0.632644453816955</v>
      </c>
      <c r="F24" s="13">
        <v>1.19047619047619</v>
      </c>
      <c r="G24" s="13">
        <v>0.19342359767891701</v>
      </c>
      <c r="H24" s="13">
        <v>-123.517547398144</v>
      </c>
      <c r="I24" s="13">
        <v>-2.0710059171597601</v>
      </c>
      <c r="J24" s="13">
        <v>5.2613361024575998</v>
      </c>
      <c r="K24" s="13">
        <v>2.7027027027027</v>
      </c>
      <c r="L24" s="13">
        <v>-2.0833333333333299</v>
      </c>
      <c r="M24" s="13">
        <v>2.4146812620734099</v>
      </c>
      <c r="N24" s="13">
        <v>-1.6922263352723399</v>
      </c>
      <c r="O24" s="13">
        <v>7.5792730085073501</v>
      </c>
      <c r="P24" s="13">
        <v>7.0145631067961203</v>
      </c>
      <c r="Q24" s="13">
        <v>-6.3510941960038103</v>
      </c>
      <c r="R24" s="13">
        <v>5.7654075546719703</v>
      </c>
      <c r="S24" s="13">
        <v>6.5156375300721701</v>
      </c>
      <c r="T24" s="13">
        <v>9.8020186335403707</v>
      </c>
      <c r="U24" s="13">
        <v>-1.7271492334562399</v>
      </c>
      <c r="V24" s="13">
        <v>5.6929854286682504</v>
      </c>
      <c r="W24" s="13">
        <v>9.7251245780421094</v>
      </c>
      <c r="X24" s="13">
        <v>9.4790505018320808</v>
      </c>
      <c r="Y24" s="16">
        <v>6.1435910499724002</v>
      </c>
      <c r="Z24" s="13"/>
      <c r="AA24" s="13"/>
    </row>
    <row r="25" spans="1:27" x14ac:dyDescent="0.25">
      <c r="A25" s="10" t="s">
        <v>360</v>
      </c>
      <c r="B25" s="10" t="s">
        <v>361</v>
      </c>
      <c r="C25" s="13" t="s">
        <v>141</v>
      </c>
      <c r="D25" s="13" t="s">
        <v>141</v>
      </c>
      <c r="E25" s="13" t="s">
        <v>141</v>
      </c>
      <c r="F25" s="13" t="s">
        <v>141</v>
      </c>
      <c r="G25" s="13" t="s">
        <v>141</v>
      </c>
      <c r="H25" s="13" t="s">
        <v>141</v>
      </c>
      <c r="I25" s="13" t="s">
        <v>141</v>
      </c>
      <c r="J25" s="13" t="s">
        <v>141</v>
      </c>
      <c r="K25" s="13" t="s">
        <v>141</v>
      </c>
      <c r="L25" s="13" t="s">
        <v>141</v>
      </c>
      <c r="M25" s="13" t="s">
        <v>141</v>
      </c>
      <c r="N25" s="13" t="s">
        <v>141</v>
      </c>
      <c r="O25" s="13" t="s">
        <v>141</v>
      </c>
      <c r="P25" s="13" t="s">
        <v>141</v>
      </c>
      <c r="Q25" s="13" t="s">
        <v>141</v>
      </c>
      <c r="R25" s="13" t="s">
        <v>141</v>
      </c>
      <c r="S25" s="13" t="s">
        <v>141</v>
      </c>
      <c r="T25" s="13" t="s">
        <v>141</v>
      </c>
      <c r="U25" s="13" t="s">
        <v>141</v>
      </c>
      <c r="V25" s="13" t="s">
        <v>141</v>
      </c>
      <c r="W25" s="13" t="s">
        <v>141</v>
      </c>
      <c r="X25" s="13" t="s">
        <v>141</v>
      </c>
      <c r="Y25" s="16"/>
      <c r="Z25" s="13"/>
      <c r="AA25" s="13"/>
    </row>
    <row r="26" spans="1:27" x14ac:dyDescent="0.25">
      <c r="A26" s="10" t="s">
        <v>362</v>
      </c>
      <c r="B26" s="10" t="s">
        <v>363</v>
      </c>
      <c r="C26" s="13" t="s">
        <v>141</v>
      </c>
      <c r="D26" s="13" t="s">
        <v>141</v>
      </c>
      <c r="E26" s="13" t="s">
        <v>141</v>
      </c>
      <c r="F26" s="13" t="s">
        <v>141</v>
      </c>
      <c r="G26" s="13" t="s">
        <v>141</v>
      </c>
      <c r="H26" s="13" t="s">
        <v>141</v>
      </c>
      <c r="I26" s="13" t="s">
        <v>141</v>
      </c>
      <c r="J26" s="13" t="s">
        <v>141</v>
      </c>
      <c r="K26" s="13" t="s">
        <v>141</v>
      </c>
      <c r="L26" s="13" t="s">
        <v>141</v>
      </c>
      <c r="M26" s="13" t="s">
        <v>141</v>
      </c>
      <c r="N26" s="13" t="s">
        <v>141</v>
      </c>
      <c r="O26" s="13" t="s">
        <v>141</v>
      </c>
      <c r="P26" s="13" t="s">
        <v>141</v>
      </c>
      <c r="Q26" s="13" t="s">
        <v>141</v>
      </c>
      <c r="R26" s="13" t="s">
        <v>141</v>
      </c>
      <c r="S26" s="13" t="s">
        <v>141</v>
      </c>
      <c r="T26" s="13" t="s">
        <v>141</v>
      </c>
      <c r="U26" s="13" t="s">
        <v>141</v>
      </c>
      <c r="V26" s="13" t="s">
        <v>141</v>
      </c>
      <c r="W26" s="13" t="s">
        <v>141</v>
      </c>
      <c r="X26" s="13" t="s">
        <v>141</v>
      </c>
      <c r="Y26" s="16"/>
      <c r="Z26" s="13"/>
      <c r="AA26" s="13"/>
    </row>
    <row r="27" spans="1:27" x14ac:dyDescent="0.25">
      <c r="A27" s="6" t="s">
        <v>364</v>
      </c>
      <c r="B27" s="6" t="s">
        <v>365</v>
      </c>
      <c r="C27" s="19">
        <v>24.219024377065601</v>
      </c>
      <c r="D27" s="19">
        <v>13.9287177386317</v>
      </c>
      <c r="E27" s="19">
        <v>15.7739350485027</v>
      </c>
      <c r="F27" s="19">
        <v>26.322751322751301</v>
      </c>
      <c r="G27" s="19">
        <v>-22.282398452611201</v>
      </c>
      <c r="H27" s="19">
        <v>140.33884630899601</v>
      </c>
      <c r="I27" s="19">
        <v>13.5672020287405</v>
      </c>
      <c r="J27" s="19">
        <v>14.641744548286599</v>
      </c>
      <c r="K27" s="19">
        <v>7.60135135135135</v>
      </c>
      <c r="L27" s="19">
        <v>-2.3397435897435899</v>
      </c>
      <c r="M27" s="19">
        <v>4.4752092723760502</v>
      </c>
      <c r="N27" s="19">
        <v>-4.4685351665785298</v>
      </c>
      <c r="O27" s="19">
        <v>17.6591905130188</v>
      </c>
      <c r="P27" s="19">
        <v>21.601941747572798</v>
      </c>
      <c r="Q27" s="19">
        <v>-18.220742150332999</v>
      </c>
      <c r="R27" s="19">
        <v>21.095648332228901</v>
      </c>
      <c r="S27" s="19">
        <v>16.659983961507599</v>
      </c>
      <c r="T27" s="19">
        <v>28.668478260869598</v>
      </c>
      <c r="U27" s="19">
        <v>8.4222782844944692</v>
      </c>
      <c r="V27" s="19">
        <v>11.013215859030799</v>
      </c>
      <c r="W27" s="19">
        <v>20.864812731072199</v>
      </c>
      <c r="X27" s="19">
        <v>16.425043810737598</v>
      </c>
      <c r="Y27" s="22">
        <v>14.490723050142201</v>
      </c>
      <c r="Z27" s="19">
        <v>14.3752361282523</v>
      </c>
      <c r="AA27" s="19">
        <v>15.0513888888889</v>
      </c>
    </row>
    <row r="28" spans="1:27" x14ac:dyDescent="0.25">
      <c r="A28" s="10" t="s">
        <v>366</v>
      </c>
      <c r="B28" s="10" t="s">
        <v>367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6">
        <v>0</v>
      </c>
      <c r="Z28" s="13"/>
      <c r="AA28" s="13"/>
    </row>
    <row r="29" spans="1:27" x14ac:dyDescent="0.25">
      <c r="A29" s="10" t="s">
        <v>368</v>
      </c>
      <c r="B29" s="10" t="s">
        <v>369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6">
        <v>0</v>
      </c>
      <c r="Z29" s="13"/>
      <c r="AA29" s="13"/>
    </row>
    <row r="30" spans="1:27" x14ac:dyDescent="0.25">
      <c r="A30" s="10" t="s">
        <v>370</v>
      </c>
      <c r="B30" s="10" t="s">
        <v>371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6">
        <v>0</v>
      </c>
      <c r="Z30" s="13"/>
      <c r="AA30" s="13"/>
    </row>
    <row r="31" spans="1:27" x14ac:dyDescent="0.25">
      <c r="A31" s="6" t="s">
        <v>372</v>
      </c>
      <c r="B31" s="6" t="s">
        <v>373</v>
      </c>
      <c r="C31" s="19">
        <v>24.219024377065601</v>
      </c>
      <c r="D31" s="19">
        <v>13.9287177386317</v>
      </c>
      <c r="E31" s="19">
        <v>15.7739350485027</v>
      </c>
      <c r="F31" s="19">
        <v>26.322751322751301</v>
      </c>
      <c r="G31" s="19">
        <v>-22.282398452611201</v>
      </c>
      <c r="H31" s="19">
        <v>140.33884630899601</v>
      </c>
      <c r="I31" s="19">
        <v>13.5672020287405</v>
      </c>
      <c r="J31" s="19">
        <v>14.641744548286599</v>
      </c>
      <c r="K31" s="19">
        <v>7.60135135135135</v>
      </c>
      <c r="L31" s="19">
        <v>-2.3397435897435899</v>
      </c>
      <c r="M31" s="19">
        <v>4.4752092723760502</v>
      </c>
      <c r="N31" s="19">
        <v>-4.4685351665785298</v>
      </c>
      <c r="O31" s="19">
        <v>17.6591905130188</v>
      </c>
      <c r="P31" s="19">
        <v>21.601941747572798</v>
      </c>
      <c r="Q31" s="19">
        <v>-18.220742150332999</v>
      </c>
      <c r="R31" s="19">
        <v>21.095648332228901</v>
      </c>
      <c r="S31" s="19">
        <v>16.659983961507599</v>
      </c>
      <c r="T31" s="19">
        <v>28.668478260869598</v>
      </c>
      <c r="U31" s="19">
        <v>8.4222782844944692</v>
      </c>
      <c r="V31" s="19">
        <v>11.013215859030799</v>
      </c>
      <c r="W31" s="19">
        <v>20.864812731072199</v>
      </c>
      <c r="X31" s="19">
        <v>16.425043810737598</v>
      </c>
      <c r="Y31" s="22">
        <v>14.490723050142201</v>
      </c>
      <c r="Z31" s="19"/>
      <c r="AA31" s="19"/>
    </row>
    <row r="32" spans="1:27" x14ac:dyDescent="0.25">
      <c r="A32" s="10" t="s">
        <v>374</v>
      </c>
      <c r="B32" s="10" t="s">
        <v>375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6">
        <v>0</v>
      </c>
      <c r="Z32" s="13"/>
      <c r="AA32" s="13"/>
    </row>
    <row r="33" spans="1:27" x14ac:dyDescent="0.25">
      <c r="A33" s="6" t="s">
        <v>376</v>
      </c>
      <c r="B33" s="6" t="s">
        <v>377</v>
      </c>
      <c r="C33" s="19">
        <v>24.219024377065601</v>
      </c>
      <c r="D33" s="19">
        <v>13.9287177386317</v>
      </c>
      <c r="E33" s="19">
        <v>15.7739350485027</v>
      </c>
      <c r="F33" s="19">
        <v>26.322751322751301</v>
      </c>
      <c r="G33" s="19">
        <v>-22.282398452611201</v>
      </c>
      <c r="H33" s="19">
        <v>140.33884630899601</v>
      </c>
      <c r="I33" s="19">
        <v>13.5672020287405</v>
      </c>
      <c r="J33" s="19">
        <v>14.641744548286599</v>
      </c>
      <c r="K33" s="19">
        <v>7.60135135135135</v>
      </c>
      <c r="L33" s="19">
        <v>-2.3397435897435899</v>
      </c>
      <c r="M33" s="19">
        <v>4.4752092723760502</v>
      </c>
      <c r="N33" s="19">
        <v>-4.4685351665785298</v>
      </c>
      <c r="O33" s="19">
        <v>17.6591905130188</v>
      </c>
      <c r="P33" s="19">
        <v>21.601941747572798</v>
      </c>
      <c r="Q33" s="19">
        <v>-18.220742150332999</v>
      </c>
      <c r="R33" s="19">
        <v>21.095648332228901</v>
      </c>
      <c r="S33" s="19">
        <v>16.659983961507599</v>
      </c>
      <c r="T33" s="19">
        <v>28.668478260869598</v>
      </c>
      <c r="U33" s="19">
        <v>8.4222782844944692</v>
      </c>
      <c r="V33" s="19">
        <v>11.013215859030799</v>
      </c>
      <c r="W33" s="19">
        <v>20.864812731072199</v>
      </c>
      <c r="X33" s="19">
        <v>16.425043810737598</v>
      </c>
      <c r="Y33" s="22">
        <v>14.490723050142201</v>
      </c>
      <c r="Z33" s="19">
        <v>14.3752361282523</v>
      </c>
      <c r="AA33" s="19">
        <v>15.0513888888889</v>
      </c>
    </row>
    <row r="34" spans="1:27" x14ac:dyDescent="0.25">
      <c r="A34" s="10" t="s">
        <v>378</v>
      </c>
      <c r="B34" s="10" t="s">
        <v>379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6">
        <v>0</v>
      </c>
      <c r="Z34" s="13"/>
      <c r="AA34" s="13"/>
    </row>
    <row r="35" spans="1:27" x14ac:dyDescent="0.25">
      <c r="A35" s="10" t="s">
        <v>380</v>
      </c>
      <c r="B35" s="10" t="s">
        <v>381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6">
        <v>0</v>
      </c>
      <c r="Z35" s="13"/>
      <c r="AA35" s="13"/>
    </row>
    <row r="36" spans="1:27" x14ac:dyDescent="0.25">
      <c r="A36" s="6" t="s">
        <v>382</v>
      </c>
      <c r="B36" s="6" t="s">
        <v>80</v>
      </c>
      <c r="C36" s="19">
        <v>24.219024377065601</v>
      </c>
      <c r="D36" s="19">
        <v>13.9287177386317</v>
      </c>
      <c r="E36" s="19">
        <v>15.7739350485027</v>
      </c>
      <c r="F36" s="19">
        <v>26.322751322751301</v>
      </c>
      <c r="G36" s="19">
        <v>-22.282398452611201</v>
      </c>
      <c r="H36" s="19">
        <v>140.33884630899601</v>
      </c>
      <c r="I36" s="19">
        <v>13.5672020287405</v>
      </c>
      <c r="J36" s="19">
        <v>14.641744548286599</v>
      </c>
      <c r="K36" s="19">
        <v>7.60135135135135</v>
      </c>
      <c r="L36" s="19">
        <v>-2.3397435897435899</v>
      </c>
      <c r="M36" s="19">
        <v>4.4752092723760502</v>
      </c>
      <c r="N36" s="19">
        <v>-4.4685351665785298</v>
      </c>
      <c r="O36" s="19">
        <v>17.6591905130188</v>
      </c>
      <c r="P36" s="19">
        <v>21.601941747572798</v>
      </c>
      <c r="Q36" s="19">
        <v>-18.220742150332999</v>
      </c>
      <c r="R36" s="19">
        <v>21.095648332228901</v>
      </c>
      <c r="S36" s="19">
        <v>16.659983961507599</v>
      </c>
      <c r="T36" s="19">
        <v>28.668478260869598</v>
      </c>
      <c r="U36" s="19">
        <v>8.4222782844944692</v>
      </c>
      <c r="V36" s="19">
        <v>11.013215859030799</v>
      </c>
      <c r="W36" s="19">
        <v>20.864812731072199</v>
      </c>
      <c r="X36" s="19">
        <v>16.425043810737598</v>
      </c>
      <c r="Y36" s="22">
        <v>14.490723244497</v>
      </c>
      <c r="Z36" s="19">
        <v>14.3752361282523</v>
      </c>
      <c r="AA36" s="19">
        <v>15.0513888888889</v>
      </c>
    </row>
    <row r="37" spans="1:27" x14ac:dyDescent="0.25">
      <c r="A37" s="6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21"/>
      <c r="Z37" s="18"/>
      <c r="AA37" s="18"/>
    </row>
    <row r="38" spans="1:27" x14ac:dyDescent="0.25">
      <c r="A38" s="10" t="s">
        <v>384</v>
      </c>
      <c r="B38" s="10" t="s">
        <v>385</v>
      </c>
      <c r="C38" s="13">
        <v>10.1198141327546</v>
      </c>
      <c r="D38" s="13">
        <v>17.5734584186809</v>
      </c>
      <c r="E38" s="13">
        <v>6.7019401096583699</v>
      </c>
      <c r="F38" s="13">
        <v>11.455614748677201</v>
      </c>
      <c r="G38" s="13">
        <v>47.437506382978697</v>
      </c>
      <c r="H38" s="13">
        <v>-50.909100040338799</v>
      </c>
      <c r="I38" s="13">
        <v>-0.132423499577346</v>
      </c>
      <c r="J38" s="13">
        <v>1.52237729318103</v>
      </c>
      <c r="K38" s="13">
        <v>2.5179381756756798</v>
      </c>
      <c r="L38" s="13">
        <v>18.205448717948698</v>
      </c>
      <c r="M38" s="13">
        <v>-5.7845643915003198</v>
      </c>
      <c r="N38" s="13">
        <v>1.5457429931253299</v>
      </c>
      <c r="O38" s="13">
        <v>2.6525717968548599</v>
      </c>
      <c r="P38" s="13">
        <v>0.25091601941747599</v>
      </c>
      <c r="Q38" s="13">
        <v>26.675642721217901</v>
      </c>
      <c r="R38" s="13">
        <v>-6.5091672189087699</v>
      </c>
      <c r="S38" s="13">
        <v>11.0098203688853</v>
      </c>
      <c r="T38" s="13">
        <v>-4.4468167701863299</v>
      </c>
      <c r="U38" s="13">
        <v>0.72938831748496002</v>
      </c>
      <c r="V38" s="13">
        <v>18.511878515757399</v>
      </c>
      <c r="W38" s="13">
        <v>4.4161609066066596</v>
      </c>
      <c r="X38" s="13">
        <v>0.68069252827783999</v>
      </c>
      <c r="Y38" s="16">
        <v>6.1461932110564703</v>
      </c>
      <c r="Z38" s="13"/>
      <c r="AA38" s="13"/>
    </row>
    <row r="39" spans="1:27" x14ac:dyDescent="0.25">
      <c r="A39" s="10" t="s">
        <v>386</v>
      </c>
      <c r="B39" s="10" t="s">
        <v>367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6">
        <v>0</v>
      </c>
      <c r="Z39" s="13"/>
      <c r="AA39" s="13"/>
    </row>
    <row r="40" spans="1:27" x14ac:dyDescent="0.25">
      <c r="A40" s="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21"/>
      <c r="Z40" s="18"/>
      <c r="AA40" s="18"/>
    </row>
    <row r="41" spans="1:27" x14ac:dyDescent="0.25">
      <c r="A41" s="10" t="s">
        <v>259</v>
      </c>
      <c r="B41" s="10" t="s">
        <v>106</v>
      </c>
      <c r="C41" s="13">
        <v>41.360414959431601</v>
      </c>
      <c r="D41" s="13">
        <v>37.771405161818898</v>
      </c>
      <c r="E41" s="13">
        <v>39.055250948966702</v>
      </c>
      <c r="F41" s="13">
        <v>30.753968253968299</v>
      </c>
      <c r="G41" s="13">
        <v>36.092843326885898</v>
      </c>
      <c r="H41" s="13">
        <v>37.716821298910901</v>
      </c>
      <c r="I41" s="13">
        <v>39.814032121724402</v>
      </c>
      <c r="J41" s="13">
        <v>32.744894427137403</v>
      </c>
      <c r="K41" s="13">
        <v>31.993243243243199</v>
      </c>
      <c r="L41" s="13">
        <v>30.4166666666667</v>
      </c>
      <c r="M41" s="13">
        <v>30.682549903412699</v>
      </c>
      <c r="N41" s="13">
        <v>25.277630883130598</v>
      </c>
      <c r="O41" s="13">
        <v>24.697086878061398</v>
      </c>
      <c r="P41" s="13">
        <v>23.373786407767</v>
      </c>
      <c r="Q41" s="13">
        <v>23.097050428163701</v>
      </c>
      <c r="R41" s="13">
        <v>21.559531698696698</v>
      </c>
      <c r="S41" s="13">
        <v>19.627105052125099</v>
      </c>
      <c r="T41" s="13">
        <v>19.099378881987601</v>
      </c>
      <c r="U41" s="13">
        <v>19.367358820104801</v>
      </c>
      <c r="V41" s="13">
        <v>17.078956286004701</v>
      </c>
      <c r="W41" s="13">
        <v>16.251406526281901</v>
      </c>
      <c r="X41" s="13">
        <v>15.9311773140035</v>
      </c>
      <c r="Y41" s="16">
        <v>4.2457436419989003</v>
      </c>
      <c r="Z41" s="13"/>
      <c r="AA41" s="13"/>
    </row>
    <row r="42" spans="1:27" x14ac:dyDescent="0.25">
      <c r="A42" s="6" t="s">
        <v>101</v>
      </c>
      <c r="B42" s="6" t="s">
        <v>102</v>
      </c>
      <c r="C42" s="19">
        <v>0.26565328194368099</v>
      </c>
      <c r="D42" s="19">
        <v>0.151577222449816</v>
      </c>
      <c r="E42" s="19">
        <v>0.168705187684521</v>
      </c>
      <c r="F42" s="19">
        <v>0.28439153439153397</v>
      </c>
      <c r="G42" s="19">
        <v>-0.239845261121857</v>
      </c>
      <c r="H42" s="19">
        <v>1.50060508269463</v>
      </c>
      <c r="I42" s="19">
        <v>0.14370245139475901</v>
      </c>
      <c r="J42" s="19">
        <v>0.15576323987538901</v>
      </c>
      <c r="K42" s="19">
        <v>8.1081081081081099E-2</v>
      </c>
      <c r="L42" s="19">
        <v>-2.5641025641025599E-2</v>
      </c>
      <c r="M42" s="19">
        <v>4.8293625241468102E-2</v>
      </c>
      <c r="N42" s="19">
        <v>-4.7593865679534601E-2</v>
      </c>
      <c r="O42" s="19">
        <v>0.185614849187935</v>
      </c>
      <c r="P42" s="19">
        <v>0.223300970873786</v>
      </c>
      <c r="Q42" s="19">
        <v>-0.187916270218839</v>
      </c>
      <c r="R42" s="19">
        <v>0.216478904351668</v>
      </c>
      <c r="S42" s="19">
        <v>0.170408981555734</v>
      </c>
      <c r="T42" s="19">
        <v>0.29114906832298099</v>
      </c>
      <c r="U42" s="19">
        <v>8.3446535998447494E-2</v>
      </c>
      <c r="V42" s="19">
        <v>0.108437817688919</v>
      </c>
      <c r="W42" s="19">
        <v>0.20575470181642799</v>
      </c>
      <c r="X42" s="19">
        <v>0.164091126334236</v>
      </c>
      <c r="Y42" s="22">
        <v>0.143506135099563</v>
      </c>
      <c r="Z42" s="19">
        <v>0.13668152700467601</v>
      </c>
      <c r="AA42" s="19">
        <v>0.15</v>
      </c>
    </row>
    <row r="43" spans="1:27" x14ac:dyDescent="0.25">
      <c r="A43" s="6" t="s">
        <v>387</v>
      </c>
      <c r="B43" s="6" t="s">
        <v>266</v>
      </c>
      <c r="C43" s="19">
        <v>0.26565328194368099</v>
      </c>
      <c r="D43" s="19">
        <v>0.151577222449816</v>
      </c>
      <c r="E43" s="19">
        <v>0.168705187684521</v>
      </c>
      <c r="F43" s="19">
        <v>0.28439153439153397</v>
      </c>
      <c r="G43" s="19">
        <v>-0.239845261121857</v>
      </c>
      <c r="H43" s="19">
        <v>1.50060508269463</v>
      </c>
      <c r="I43" s="19">
        <v>0.14370245139475901</v>
      </c>
      <c r="J43" s="19">
        <v>0.15576323987538901</v>
      </c>
      <c r="K43" s="19">
        <v>8.1081081081081099E-2</v>
      </c>
      <c r="L43" s="19">
        <v>-2.5641025641025599E-2</v>
      </c>
      <c r="M43" s="19">
        <v>4.8293625241468102E-2</v>
      </c>
      <c r="N43" s="19">
        <v>-4.7593865679534601E-2</v>
      </c>
      <c r="O43" s="19">
        <v>0.185614849187935</v>
      </c>
      <c r="P43" s="19">
        <v>0.223300970873786</v>
      </c>
      <c r="Q43" s="19">
        <v>-0.187916270218839</v>
      </c>
      <c r="R43" s="19">
        <v>0.216478904351668</v>
      </c>
      <c r="S43" s="19">
        <v>0.170408981555734</v>
      </c>
      <c r="T43" s="19">
        <v>0.29114906832298099</v>
      </c>
      <c r="U43" s="19">
        <v>8.3446535998447494E-2</v>
      </c>
      <c r="V43" s="19">
        <v>0.108437817688919</v>
      </c>
      <c r="W43" s="19">
        <v>0.20575470181642799</v>
      </c>
      <c r="X43" s="19">
        <v>0.164091126334236</v>
      </c>
      <c r="Y43" s="22">
        <v>0.143506135099563</v>
      </c>
      <c r="Z43" s="19">
        <v>0.13668152700467601</v>
      </c>
      <c r="AA43" s="19">
        <v>0.15</v>
      </c>
    </row>
    <row r="44" spans="1:27" x14ac:dyDescent="0.25">
      <c r="A44" s="6" t="s">
        <v>388</v>
      </c>
      <c r="B44" s="6" t="s">
        <v>268</v>
      </c>
      <c r="C44" s="19">
        <v>0.37382099471394997</v>
      </c>
      <c r="D44" s="19">
        <v>0.34167226546497298</v>
      </c>
      <c r="E44" s="19">
        <v>0.24271994938844399</v>
      </c>
      <c r="F44" s="19">
        <v>0.40621891534391502</v>
      </c>
      <c r="G44" s="19">
        <v>0.26961547388781398</v>
      </c>
      <c r="H44" s="19">
        <v>0.95646793061718405</v>
      </c>
      <c r="I44" s="19">
        <v>0.14261961115807301</v>
      </c>
      <c r="J44" s="19">
        <v>0.170868120456906</v>
      </c>
      <c r="K44" s="19">
        <v>0.10685641891891901</v>
      </c>
      <c r="L44" s="19">
        <v>0.16718333333333299</v>
      </c>
      <c r="M44" s="19">
        <v>-1.37392144236961E-2</v>
      </c>
      <c r="N44" s="19">
        <v>-3.05732416710735E-2</v>
      </c>
      <c r="O44" s="19">
        <v>0.21202268625934501</v>
      </c>
      <c r="P44" s="19">
        <v>0.22692475728155301</v>
      </c>
      <c r="Q44" s="19">
        <v>8.7074215033301594E-2</v>
      </c>
      <c r="R44" s="19">
        <v>0.14945173404020301</v>
      </c>
      <c r="S44" s="19">
        <v>0.28263331996792301</v>
      </c>
      <c r="T44" s="19">
        <v>0.24615508540372699</v>
      </c>
      <c r="U44" s="19">
        <v>9.1699980593828806E-2</v>
      </c>
      <c r="V44" s="19">
        <v>0.29290765842087402</v>
      </c>
      <c r="W44" s="19">
        <v>0.25005915447677202</v>
      </c>
      <c r="X44" s="19">
        <v>0.17105735223832999</v>
      </c>
      <c r="Y44" s="22">
        <v>0.205095571689381</v>
      </c>
      <c r="Z44" s="19">
        <v>0.20905221267914301</v>
      </c>
      <c r="AA44" s="19">
        <v>0.22283950617284001</v>
      </c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21"/>
      <c r="Z45" s="18"/>
      <c r="AA45" s="18"/>
    </row>
    <row r="46" spans="1:27" x14ac:dyDescent="0.25">
      <c r="A46" s="10" t="s">
        <v>258</v>
      </c>
      <c r="B46" s="10" t="s">
        <v>108</v>
      </c>
      <c r="C46" s="13">
        <v>43.258260016029197</v>
      </c>
      <c r="D46" s="13">
        <v>39.819746005735396</v>
      </c>
      <c r="E46" s="13">
        <v>40.911008013496399</v>
      </c>
      <c r="F46" s="13">
        <v>32.473544973545003</v>
      </c>
      <c r="G46" s="13">
        <v>36.092843326885898</v>
      </c>
      <c r="H46" s="13">
        <v>39.209358612343699</v>
      </c>
      <c r="I46" s="13">
        <v>41.504649196956898</v>
      </c>
      <c r="J46" s="13">
        <v>33.817930079612303</v>
      </c>
      <c r="K46" s="13">
        <v>33.006756756756801</v>
      </c>
      <c r="L46" s="13">
        <v>30.4166666666667</v>
      </c>
      <c r="M46" s="13">
        <v>31.423052157115301</v>
      </c>
      <c r="N46" s="13">
        <v>25.277630883130598</v>
      </c>
      <c r="O46" s="13">
        <v>25.5220417633411</v>
      </c>
      <c r="P46" s="13">
        <v>24.4660194174757</v>
      </c>
      <c r="Q46" s="13">
        <v>23.097050428163701</v>
      </c>
      <c r="R46" s="13">
        <v>22.133863485752201</v>
      </c>
      <c r="S46" s="13">
        <v>20.268644747393701</v>
      </c>
      <c r="T46" s="13">
        <v>19.856366459627299</v>
      </c>
      <c r="U46" s="13">
        <v>20.1047933242771</v>
      </c>
      <c r="V46" s="13">
        <v>17.604201965435401</v>
      </c>
      <c r="W46" s="13">
        <v>16.765793280823001</v>
      </c>
      <c r="X46" s="13">
        <v>16.393181456109598</v>
      </c>
      <c r="Y46" s="16">
        <v>4.36887020761686</v>
      </c>
      <c r="Z46" s="13"/>
      <c r="AA46" s="13"/>
    </row>
    <row r="47" spans="1:27" x14ac:dyDescent="0.25">
      <c r="A47" s="6" t="s">
        <v>103</v>
      </c>
      <c r="B47" s="6" t="s">
        <v>104</v>
      </c>
      <c r="C47" s="19">
        <v>0.25214548794654501</v>
      </c>
      <c r="D47" s="19">
        <v>0.14338385907414999</v>
      </c>
      <c r="E47" s="19">
        <v>0.164487557992408</v>
      </c>
      <c r="F47" s="19">
        <v>0.26785714285714302</v>
      </c>
      <c r="G47" s="19">
        <v>-0.239845261121857</v>
      </c>
      <c r="H47" s="19">
        <v>1.4441306978620401</v>
      </c>
      <c r="I47" s="19">
        <v>0.139475908706678</v>
      </c>
      <c r="J47" s="19">
        <v>0.14884042921426099</v>
      </c>
      <c r="K47" s="19">
        <v>7.77027027027027E-2</v>
      </c>
      <c r="L47" s="19">
        <v>-2.5641025641025599E-2</v>
      </c>
      <c r="M47" s="19">
        <v>4.5074050225370303E-2</v>
      </c>
      <c r="N47" s="19">
        <v>-4.7593865679534601E-2</v>
      </c>
      <c r="O47" s="19">
        <v>0.17788089713843799</v>
      </c>
      <c r="P47" s="19">
        <v>0.213592233009709</v>
      </c>
      <c r="Q47" s="19">
        <v>-0.187916270218839</v>
      </c>
      <c r="R47" s="19">
        <v>0.209851999116413</v>
      </c>
      <c r="S47" s="19">
        <v>0.16439454691259001</v>
      </c>
      <c r="T47" s="19">
        <v>0.27950310559006197</v>
      </c>
      <c r="U47" s="19">
        <v>8.1505918882204501E-2</v>
      </c>
      <c r="V47" s="19">
        <v>0.10674347678753</v>
      </c>
      <c r="W47" s="19">
        <v>0.19932486738466501</v>
      </c>
      <c r="X47" s="19">
        <v>0.159311773140035</v>
      </c>
      <c r="Y47" s="22">
        <v>0.13968496582176401</v>
      </c>
      <c r="Z47" s="19">
        <v>0.13668152700467601</v>
      </c>
      <c r="AA47" s="19">
        <v>0.15</v>
      </c>
    </row>
    <row r="48" spans="1:27" x14ac:dyDescent="0.25">
      <c r="A48" s="6" t="s">
        <v>389</v>
      </c>
      <c r="B48" s="6" t="s">
        <v>271</v>
      </c>
      <c r="C48" s="19">
        <v>0.25214548794654501</v>
      </c>
      <c r="D48" s="19">
        <v>0.14338385907414999</v>
      </c>
      <c r="E48" s="19">
        <v>0.164487557992408</v>
      </c>
      <c r="F48" s="19">
        <v>0.26785714285714302</v>
      </c>
      <c r="G48" s="19">
        <v>-0.239845261121857</v>
      </c>
      <c r="H48" s="19">
        <v>1.4441306978620401</v>
      </c>
      <c r="I48" s="19">
        <v>0.139475908706678</v>
      </c>
      <c r="J48" s="19">
        <v>0.14884042921426099</v>
      </c>
      <c r="K48" s="19">
        <v>7.77027027027027E-2</v>
      </c>
      <c r="L48" s="19">
        <v>-2.5641025641025599E-2</v>
      </c>
      <c r="M48" s="19">
        <v>4.5074050225370303E-2</v>
      </c>
      <c r="N48" s="19">
        <v>-4.7593865679534601E-2</v>
      </c>
      <c r="O48" s="19">
        <v>0.17788089713843799</v>
      </c>
      <c r="P48" s="19">
        <v>0.213592233009709</v>
      </c>
      <c r="Q48" s="19">
        <v>-0.187916270218839</v>
      </c>
      <c r="R48" s="19">
        <v>0.209851999116413</v>
      </c>
      <c r="S48" s="19">
        <v>0.16439454691259001</v>
      </c>
      <c r="T48" s="19">
        <v>0.27950310559006197</v>
      </c>
      <c r="U48" s="19">
        <v>8.1505918882204501E-2</v>
      </c>
      <c r="V48" s="19">
        <v>0.10674347678753</v>
      </c>
      <c r="W48" s="19">
        <v>0.19932486738466501</v>
      </c>
      <c r="X48" s="19">
        <v>0.159311773140035</v>
      </c>
      <c r="Y48" s="22">
        <v>0.13968496582176401</v>
      </c>
      <c r="Z48" s="19">
        <v>0.13668152700467601</v>
      </c>
      <c r="AA48" s="19">
        <v>0.15</v>
      </c>
    </row>
    <row r="49" spans="1:27" x14ac:dyDescent="0.25">
      <c r="A49" s="6" t="s">
        <v>390</v>
      </c>
      <c r="B49" s="6" t="s">
        <v>82</v>
      </c>
      <c r="C49" s="19">
        <v>0.35747881527641501</v>
      </c>
      <c r="D49" s="19">
        <v>0.32418066366243298</v>
      </c>
      <c r="E49" s="19">
        <v>0.23357992408266601</v>
      </c>
      <c r="F49" s="19">
        <v>0.38451322751322797</v>
      </c>
      <c r="G49" s="19">
        <v>0.26859535783365601</v>
      </c>
      <c r="H49" s="19">
        <v>0.920374344493747</v>
      </c>
      <c r="I49" s="19">
        <v>0.13812721893491101</v>
      </c>
      <c r="J49" s="19">
        <v>0.16442263759086201</v>
      </c>
      <c r="K49" s="19">
        <v>0.103475</v>
      </c>
      <c r="L49" s="19">
        <v>0.16619711538461501</v>
      </c>
      <c r="M49" s="19">
        <v>-1.41941403734707E-2</v>
      </c>
      <c r="N49" s="19">
        <v>-3.1424907456372303E-2</v>
      </c>
      <c r="O49" s="19">
        <v>0.20467465841711799</v>
      </c>
      <c r="P49" s="19">
        <v>0.21608155339805801</v>
      </c>
      <c r="Q49" s="19">
        <v>8.6807088487155099E-2</v>
      </c>
      <c r="R49" s="19">
        <v>0.14489021426993601</v>
      </c>
      <c r="S49" s="19">
        <v>0.27329490777866899</v>
      </c>
      <c r="T49" s="19">
        <v>0.23603474378882</v>
      </c>
      <c r="U49" s="19">
        <v>8.8546283718222402E-2</v>
      </c>
      <c r="V49" s="19">
        <v>0.28491358861402899</v>
      </c>
      <c r="W49" s="19">
        <v>0.24166580935540899</v>
      </c>
      <c r="X49" s="19">
        <v>0.16592687589612901</v>
      </c>
      <c r="Y49" s="22">
        <v>0.19881819725725</v>
      </c>
      <c r="Z49" s="19">
        <v>0.20905221267914301</v>
      </c>
      <c r="AA49" s="19">
        <v>0.22283950617284001</v>
      </c>
    </row>
    <row r="50" spans="1:27" x14ac:dyDescent="0.25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21"/>
      <c r="Z50" s="18"/>
      <c r="AA50" s="18"/>
    </row>
    <row r="51" spans="1:27" x14ac:dyDescent="0.25">
      <c r="A51" s="6" t="s">
        <v>4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21"/>
      <c r="Z51" s="18"/>
      <c r="AA51" s="18"/>
    </row>
    <row r="52" spans="1:27" x14ac:dyDescent="0.25">
      <c r="A52" s="10" t="s">
        <v>391</v>
      </c>
      <c r="B52" s="10" t="s">
        <v>392</v>
      </c>
      <c r="C52" s="12" t="s">
        <v>393</v>
      </c>
      <c r="D52" s="12" t="s">
        <v>393</v>
      </c>
      <c r="E52" s="12" t="s">
        <v>393</v>
      </c>
      <c r="F52" s="12" t="s">
        <v>393</v>
      </c>
      <c r="G52" s="12" t="s">
        <v>393</v>
      </c>
      <c r="H52" s="12" t="s">
        <v>393</v>
      </c>
      <c r="I52" s="12" t="s">
        <v>393</v>
      </c>
      <c r="J52" s="12" t="s">
        <v>393</v>
      </c>
      <c r="K52" s="12" t="s">
        <v>393</v>
      </c>
      <c r="L52" s="12" t="s">
        <v>393</v>
      </c>
      <c r="M52" s="12" t="s">
        <v>393</v>
      </c>
      <c r="N52" s="12" t="s">
        <v>393</v>
      </c>
      <c r="O52" s="12" t="s">
        <v>393</v>
      </c>
      <c r="P52" s="12" t="s">
        <v>393</v>
      </c>
      <c r="Q52" s="12" t="s">
        <v>393</v>
      </c>
      <c r="R52" s="12" t="s">
        <v>393</v>
      </c>
      <c r="S52" s="12" t="s">
        <v>393</v>
      </c>
      <c r="T52" s="12" t="s">
        <v>393</v>
      </c>
      <c r="U52" s="12" t="s">
        <v>393</v>
      </c>
      <c r="V52" s="12" t="s">
        <v>393</v>
      </c>
      <c r="W52" s="12" t="s">
        <v>393</v>
      </c>
      <c r="X52" s="12" t="s">
        <v>393</v>
      </c>
      <c r="Y52" s="15"/>
      <c r="Z52" s="12"/>
      <c r="AA52" s="12"/>
    </row>
    <row r="53" spans="1:27" x14ac:dyDescent="0.25">
      <c r="A53" s="10" t="s">
        <v>78</v>
      </c>
      <c r="B53" s="10" t="s">
        <v>78</v>
      </c>
      <c r="C53" s="13">
        <v>42.372598989617003</v>
      </c>
      <c r="D53" s="13">
        <v>21.728390004096699</v>
      </c>
      <c r="E53" s="13">
        <v>26.7819485449178</v>
      </c>
      <c r="F53" s="13">
        <v>26.851851851851901</v>
      </c>
      <c r="G53" s="13">
        <v>-15.357833655705999</v>
      </c>
      <c r="H53" s="13">
        <v>30.939895118999601</v>
      </c>
      <c r="I53" s="13">
        <v>15.8072696534235</v>
      </c>
      <c r="J53" s="13">
        <v>23.987538940810001</v>
      </c>
      <c r="K53" s="13">
        <v>17.297297297297298</v>
      </c>
      <c r="L53" s="13">
        <v>-9.3589743589743595</v>
      </c>
      <c r="M53" s="13">
        <v>3.3805537669027701</v>
      </c>
      <c r="N53" s="13">
        <v>16.578529878371199</v>
      </c>
      <c r="O53" s="13">
        <v>24.774426398556301</v>
      </c>
      <c r="P53" s="13">
        <v>27.087378640776699</v>
      </c>
      <c r="Q53" s="13">
        <v>-25</v>
      </c>
      <c r="R53" s="13">
        <v>18.290258449304201</v>
      </c>
      <c r="S53" s="13">
        <v>30.172413793103399</v>
      </c>
      <c r="T53" s="13">
        <v>31.133540372670801</v>
      </c>
      <c r="U53" s="13">
        <v>22.220065980982</v>
      </c>
      <c r="V53" s="13">
        <v>27.431379193493701</v>
      </c>
      <c r="W53" s="13">
        <v>32.0045008841022</v>
      </c>
      <c r="X53" s="13">
        <v>26.1430619722797</v>
      </c>
      <c r="Y53" s="16">
        <v>27.1557763342249</v>
      </c>
      <c r="Z53" s="13">
        <v>25.043111771570601</v>
      </c>
      <c r="AA53" s="13">
        <v>26.300771604938301</v>
      </c>
    </row>
    <row r="54" spans="1:27" x14ac:dyDescent="0.25">
      <c r="A54" s="10" t="s">
        <v>394</v>
      </c>
      <c r="B54" s="10" t="s">
        <v>395</v>
      </c>
      <c r="C54" s="13">
        <v>3.8635744324475199</v>
      </c>
      <c r="D54" s="13">
        <v>4.5667742728389999</v>
      </c>
      <c r="E54" s="13">
        <v>11.836388443694601</v>
      </c>
      <c r="F54" s="13">
        <v>9.5963505291005298</v>
      </c>
      <c r="G54" s="13">
        <v>5.8667059961315298</v>
      </c>
      <c r="H54" s="13">
        <v>7.0079056070996399</v>
      </c>
      <c r="I54" s="13">
        <v>6.2908939137785298</v>
      </c>
      <c r="J54" s="13">
        <v>4.8202727587400496</v>
      </c>
      <c r="K54" s="13">
        <v>7.4113293918918899</v>
      </c>
      <c r="L54" s="13">
        <v>3.6391708333333299</v>
      </c>
      <c r="M54" s="13">
        <v>2.7143084352865401</v>
      </c>
      <c r="N54" s="13">
        <v>1.94107535695399</v>
      </c>
      <c r="O54" s="13">
        <v>2.60081773653003</v>
      </c>
      <c r="P54" s="13">
        <v>4.5798087378640799</v>
      </c>
      <c r="Q54" s="13">
        <v>2.4597871075166502</v>
      </c>
      <c r="R54" s="13">
        <v>2.4479542743538798</v>
      </c>
      <c r="S54" s="13">
        <v>2.6949595028067401</v>
      </c>
      <c r="T54" s="13">
        <v>2.9684213897515499</v>
      </c>
      <c r="U54" s="13">
        <v>4.9758911313797798</v>
      </c>
      <c r="V54" s="13">
        <v>4.6949110471026803</v>
      </c>
      <c r="W54" s="13">
        <v>4.5576196752933598</v>
      </c>
      <c r="X54" s="13">
        <v>4.3262348255536098</v>
      </c>
      <c r="Y54" s="16">
        <v>1.1529646471457999</v>
      </c>
      <c r="Z54" s="13">
        <v>4.3218154986548303</v>
      </c>
      <c r="AA54" s="13">
        <v>4.8106546291019701</v>
      </c>
    </row>
    <row r="55" spans="1:27" x14ac:dyDescent="0.25">
      <c r="A55" s="10" t="s">
        <v>396</v>
      </c>
      <c r="B55" s="10" t="s">
        <v>396</v>
      </c>
      <c r="C55" s="13" t="s">
        <v>141</v>
      </c>
      <c r="D55" s="13">
        <v>20.893076607947599</v>
      </c>
      <c r="E55" s="13">
        <v>25.896246309574</v>
      </c>
      <c r="F55" s="13">
        <v>26.157407407407401</v>
      </c>
      <c r="G55" s="13">
        <v>-16.2088974854932</v>
      </c>
      <c r="H55" s="13">
        <v>30.052440500201701</v>
      </c>
      <c r="I55" s="13">
        <v>14.750633981403199</v>
      </c>
      <c r="J55" s="13">
        <v>23.087573554863301</v>
      </c>
      <c r="K55" s="13">
        <v>16.351351351351401</v>
      </c>
      <c r="L55" s="13">
        <v>-10.3205128205128</v>
      </c>
      <c r="M55" s="13">
        <v>2.3180940115904698</v>
      </c>
      <c r="N55" s="13">
        <v>15.5473294553146</v>
      </c>
      <c r="O55" s="13">
        <v>23.7432327919567</v>
      </c>
      <c r="P55" s="13">
        <v>26.1407766990291</v>
      </c>
      <c r="Q55" s="13">
        <v>-25.975261655566101</v>
      </c>
      <c r="R55" s="13">
        <v>17.362491716368499</v>
      </c>
      <c r="S55" s="13">
        <v>29.250200481154799</v>
      </c>
      <c r="T55" s="13">
        <v>30.182453416149102</v>
      </c>
      <c r="U55" s="13">
        <v>21.1915389093732</v>
      </c>
      <c r="V55" s="13">
        <v>26.347001016604501</v>
      </c>
      <c r="W55" s="13">
        <v>31.104324063655401</v>
      </c>
      <c r="X55" s="13">
        <v>25.1553289788115</v>
      </c>
      <c r="Y55" s="16">
        <v>26.158026578355202</v>
      </c>
      <c r="Z55" s="13"/>
      <c r="AA55" s="13"/>
    </row>
    <row r="56" spans="1:27" x14ac:dyDescent="0.25">
      <c r="A56" s="10" t="s">
        <v>142</v>
      </c>
      <c r="B56" s="10" t="s">
        <v>142</v>
      </c>
      <c r="C56" s="13">
        <v>40.567507451799699</v>
      </c>
      <c r="D56" s="13">
        <v>19.9918066366243</v>
      </c>
      <c r="E56" s="13">
        <v>24.841838886545801</v>
      </c>
      <c r="F56" s="13">
        <v>25.3306878306878</v>
      </c>
      <c r="G56" s="13">
        <v>-17.137330754352</v>
      </c>
      <c r="H56" s="13">
        <v>28.9632916498588</v>
      </c>
      <c r="I56" s="13">
        <v>13.313609467455599</v>
      </c>
      <c r="J56" s="13">
        <v>21.737625475943201</v>
      </c>
      <c r="K56" s="13">
        <v>15.0337837837838</v>
      </c>
      <c r="L56" s="13">
        <v>-11.634615384615399</v>
      </c>
      <c r="M56" s="13">
        <v>0.99806825499034102</v>
      </c>
      <c r="N56" s="13">
        <v>14.4632469592808</v>
      </c>
      <c r="O56" s="13">
        <v>22.634699664862101</v>
      </c>
      <c r="P56" s="13">
        <v>25.097087378640801</v>
      </c>
      <c r="Q56" s="13">
        <v>-27.1646051379639</v>
      </c>
      <c r="R56" s="13">
        <v>16.2580075104926</v>
      </c>
      <c r="S56" s="13">
        <v>28.307939053728902</v>
      </c>
      <c r="T56" s="13">
        <v>29.1731366459627</v>
      </c>
      <c r="U56" s="13">
        <v>19.270327964292601</v>
      </c>
      <c r="V56" s="13">
        <v>24.6357167062013</v>
      </c>
      <c r="W56" s="13">
        <v>29.5450892139527</v>
      </c>
      <c r="X56" s="13">
        <v>22.622271785885001</v>
      </c>
      <c r="Y56" s="16">
        <v>24.221967477603702</v>
      </c>
      <c r="Z56" s="13">
        <v>17.899067240930599</v>
      </c>
      <c r="AA56" s="13">
        <v>20.537962962963</v>
      </c>
    </row>
    <row r="57" spans="1:27" x14ac:dyDescent="0.25">
      <c r="A57" s="10" t="s">
        <v>397</v>
      </c>
      <c r="B57" s="10" t="s">
        <v>153</v>
      </c>
      <c r="C57" s="13">
        <v>44.574086197736101</v>
      </c>
      <c r="D57" s="13">
        <v>40.547247029905797</v>
      </c>
      <c r="E57" s="13">
        <v>41.802740615773899</v>
      </c>
      <c r="F57" s="13">
        <v>32.806332341269801</v>
      </c>
      <c r="G57" s="13">
        <v>38.280662669245601</v>
      </c>
      <c r="H57" s="13">
        <v>39.8669515933844</v>
      </c>
      <c r="I57" s="13">
        <v>41.7473808114962</v>
      </c>
      <c r="J57" s="13">
        <v>34.242632052613402</v>
      </c>
      <c r="K57" s="13">
        <v>33.304419256756802</v>
      </c>
      <c r="L57" s="13">
        <v>31.630095192307699</v>
      </c>
      <c r="M57" s="13">
        <v>31.718929491307101</v>
      </c>
      <c r="N57" s="13">
        <v>26.1054547858276</v>
      </c>
      <c r="O57" s="13">
        <v>25.374434132508402</v>
      </c>
      <c r="P57" s="13">
        <v>23.818220388349499</v>
      </c>
      <c r="Q57" s="13">
        <v>23.305926736441499</v>
      </c>
      <c r="R57" s="13">
        <v>21.528536779324099</v>
      </c>
      <c r="S57" s="13">
        <v>19.597957297514</v>
      </c>
      <c r="T57" s="13">
        <v>19.089703998447199</v>
      </c>
      <c r="U57" s="13">
        <v>19.123721521443802</v>
      </c>
      <c r="V57" s="13">
        <v>16.679296170789598</v>
      </c>
      <c r="W57" s="13">
        <v>15.867872207040699</v>
      </c>
      <c r="X57" s="13">
        <v>15.695141150231001</v>
      </c>
      <c r="Y57" s="16">
        <v>4.1844540891487396</v>
      </c>
      <c r="Z57" s="13"/>
      <c r="AA57" s="13"/>
    </row>
    <row r="58" spans="1:27" x14ac:dyDescent="0.25">
      <c r="A58" s="10" t="s">
        <v>398</v>
      </c>
      <c r="B58" s="10" t="s">
        <v>399</v>
      </c>
      <c r="C58" s="13">
        <v>18.2659175844462</v>
      </c>
      <c r="D58" s="13">
        <v>8.1900069643588704</v>
      </c>
      <c r="E58" s="13">
        <v>10.477367777309199</v>
      </c>
      <c r="F58" s="13">
        <v>8.3765502645502607</v>
      </c>
      <c r="G58" s="13">
        <v>-6.6295284332688604</v>
      </c>
      <c r="H58" s="13">
        <v>11.6834578459056</v>
      </c>
      <c r="I58" s="13">
        <v>5.6270536770921398</v>
      </c>
      <c r="J58" s="13">
        <v>7.5242731048805798</v>
      </c>
      <c r="K58" s="13">
        <v>5.0789810810810803</v>
      </c>
      <c r="L58" s="13">
        <v>-3.72904326923077</v>
      </c>
      <c r="M58" s="13">
        <v>0.32133547971667697</v>
      </c>
      <c r="N58" s="13">
        <v>3.82423241671074</v>
      </c>
      <c r="O58" s="13">
        <v>5.8351894818252097</v>
      </c>
      <c r="P58" s="13">
        <v>6.0915259708737901</v>
      </c>
      <c r="Q58" s="13">
        <v>-6.4616091817316796</v>
      </c>
      <c r="R58" s="13">
        <v>3.5913426110006599</v>
      </c>
      <c r="S58" s="13">
        <v>5.6752082999198104</v>
      </c>
      <c r="T58" s="13">
        <v>5.66248777173913</v>
      </c>
      <c r="U58" s="13">
        <v>3.7396328352416099</v>
      </c>
      <c r="V58" s="13">
        <v>4.1741302948153196</v>
      </c>
      <c r="W58" s="13">
        <v>4.7492507635428396</v>
      </c>
      <c r="X58" s="13">
        <v>3.60399426477617</v>
      </c>
      <c r="Y58" s="16">
        <v>1.0284026441473999</v>
      </c>
      <c r="Z58" s="13">
        <v>3.0054936639432102</v>
      </c>
      <c r="AA58" s="13">
        <v>3.16943872885231</v>
      </c>
    </row>
    <row r="59" spans="1:27" x14ac:dyDescent="0.25">
      <c r="A59" s="10" t="s">
        <v>400</v>
      </c>
      <c r="B59" s="10" t="s">
        <v>401</v>
      </c>
      <c r="C59" s="13">
        <v>10.9048529001234</v>
      </c>
      <c r="D59" s="13">
        <v>5.7061523965587897</v>
      </c>
      <c r="E59" s="13">
        <v>6.6528616617461003</v>
      </c>
      <c r="F59" s="13">
        <v>8.7046134259259293</v>
      </c>
      <c r="G59" s="13">
        <v>-8.6198831721470004</v>
      </c>
      <c r="H59" s="13">
        <v>56.611071399758004</v>
      </c>
      <c r="I59" s="13">
        <v>5.7342358410819996</v>
      </c>
      <c r="J59" s="13">
        <v>5.0681014191761902</v>
      </c>
      <c r="K59" s="13">
        <v>2.56802398648649</v>
      </c>
      <c r="L59" s="13">
        <v>-0.74991794871794903</v>
      </c>
      <c r="M59" s="13">
        <v>1.44082710882164</v>
      </c>
      <c r="N59" s="13">
        <v>-1.1815269698572199</v>
      </c>
      <c r="O59" s="13">
        <v>4.5525112142304698</v>
      </c>
      <c r="P59" s="13">
        <v>5.2431898058252404</v>
      </c>
      <c r="Q59" s="13">
        <v>-4.3341441484300702</v>
      </c>
      <c r="R59" s="13">
        <v>4.6599620057433198</v>
      </c>
      <c r="S59" s="13">
        <v>3.3400128307939099</v>
      </c>
      <c r="T59" s="13">
        <v>5.5645337732919202</v>
      </c>
      <c r="U59" s="13">
        <v>1.63444168445566</v>
      </c>
      <c r="V59" s="13">
        <v>1.86601423246357</v>
      </c>
      <c r="W59" s="13">
        <v>3.3539323259926102</v>
      </c>
      <c r="X59" s="13">
        <v>2.6167028835430899</v>
      </c>
      <c r="Y59" s="16">
        <v>0.61523895258108197</v>
      </c>
      <c r="Z59" s="13">
        <v>3.2551032721581601</v>
      </c>
      <c r="AA59" s="13">
        <v>3.2159731748209102</v>
      </c>
    </row>
    <row r="60" spans="1:27" x14ac:dyDescent="0.25">
      <c r="A60" s="10" t="s">
        <v>402</v>
      </c>
      <c r="B60" s="10" t="s">
        <v>403</v>
      </c>
      <c r="C60" s="13" t="s">
        <v>141</v>
      </c>
      <c r="D60" s="13">
        <v>142857.14285702599</v>
      </c>
      <c r="E60" s="13" t="s">
        <v>141</v>
      </c>
      <c r="F60" s="13" t="s">
        <v>141</v>
      </c>
      <c r="G60" s="13" t="s">
        <v>141</v>
      </c>
      <c r="H60" s="13">
        <v>118343.195266236</v>
      </c>
      <c r="I60" s="13" t="s">
        <v>141</v>
      </c>
      <c r="J60" s="13" t="s">
        <v>141</v>
      </c>
      <c r="K60" s="13" t="s">
        <v>141</v>
      </c>
      <c r="L60" s="13">
        <v>111111.11111121799</v>
      </c>
      <c r="M60" s="13" t="s">
        <v>141</v>
      </c>
      <c r="N60" s="13" t="s">
        <v>141</v>
      </c>
      <c r="O60" s="13" t="s">
        <v>141</v>
      </c>
      <c r="P60" s="13">
        <v>83333.333333252405</v>
      </c>
      <c r="Q60" s="13" t="s">
        <v>141</v>
      </c>
      <c r="R60" s="13" t="s">
        <v>141</v>
      </c>
      <c r="S60" s="13" t="s">
        <v>141</v>
      </c>
      <c r="T60" s="13">
        <v>71428.571428571406</v>
      </c>
      <c r="U60" s="13" t="s">
        <v>141</v>
      </c>
      <c r="V60" s="13" t="s">
        <v>141</v>
      </c>
      <c r="W60" s="13">
        <v>58823.529411830903</v>
      </c>
      <c r="X60" s="13">
        <v>55555.555555520099</v>
      </c>
      <c r="Y60" s="16">
        <v>30342.775811693198</v>
      </c>
      <c r="Z60" s="13"/>
      <c r="AA60" s="13"/>
    </row>
    <row r="61" spans="1:27" x14ac:dyDescent="0.25">
      <c r="A61" s="10" t="s">
        <v>404</v>
      </c>
      <c r="B61" s="10" t="s">
        <v>274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6">
        <v>0</v>
      </c>
      <c r="Z61" s="13"/>
      <c r="AA61" s="13"/>
    </row>
    <row r="62" spans="1:27" x14ac:dyDescent="0.25">
      <c r="A62" s="10" t="s">
        <v>405</v>
      </c>
      <c r="B62" s="10" t="s">
        <v>406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6">
        <v>0</v>
      </c>
      <c r="Z62" s="13"/>
      <c r="AA62" s="13"/>
    </row>
    <row r="63" spans="1:27" x14ac:dyDescent="0.25">
      <c r="A63" s="10" t="s">
        <v>407</v>
      </c>
      <c r="B63" s="10" t="s">
        <v>408</v>
      </c>
      <c r="C63" s="13">
        <v>0</v>
      </c>
      <c r="D63" s="13" t="s">
        <v>141</v>
      </c>
      <c r="E63" s="13" t="s">
        <v>141</v>
      </c>
      <c r="F63" s="13" t="s">
        <v>141</v>
      </c>
      <c r="G63" s="13" t="s">
        <v>141</v>
      </c>
      <c r="H63" s="13" t="s">
        <v>141</v>
      </c>
      <c r="I63" s="13" t="s">
        <v>141</v>
      </c>
      <c r="J63" s="13" t="s">
        <v>141</v>
      </c>
      <c r="K63" s="13" t="s">
        <v>141</v>
      </c>
      <c r="L63" s="13" t="s">
        <v>141</v>
      </c>
      <c r="M63" s="13" t="s">
        <v>141</v>
      </c>
      <c r="N63" s="13" t="s">
        <v>141</v>
      </c>
      <c r="O63" s="13" t="s">
        <v>141</v>
      </c>
      <c r="P63" s="13" t="s">
        <v>141</v>
      </c>
      <c r="Q63" s="13" t="s">
        <v>141</v>
      </c>
      <c r="R63" s="13" t="s">
        <v>141</v>
      </c>
      <c r="S63" s="13" t="s">
        <v>141</v>
      </c>
      <c r="T63" s="13" t="s">
        <v>141</v>
      </c>
      <c r="U63" s="13" t="s">
        <v>141</v>
      </c>
      <c r="V63" s="13" t="s">
        <v>141</v>
      </c>
      <c r="W63" s="13" t="s">
        <v>141</v>
      </c>
      <c r="X63" s="13" t="s">
        <v>141</v>
      </c>
      <c r="Y63" s="16"/>
      <c r="Z63" s="13"/>
      <c r="AA63" s="13"/>
    </row>
    <row r="64" spans="1:27" x14ac:dyDescent="0.25">
      <c r="A64" s="10" t="s">
        <v>409</v>
      </c>
      <c r="B64" s="10" t="s">
        <v>410</v>
      </c>
      <c r="C64" s="13" t="s">
        <v>141</v>
      </c>
      <c r="D64" s="13">
        <v>0.83531339614911904</v>
      </c>
      <c r="E64" s="13">
        <v>0.88570223534373704</v>
      </c>
      <c r="F64" s="13">
        <v>0.69444444444444497</v>
      </c>
      <c r="G64" s="13">
        <v>0.85106382978723405</v>
      </c>
      <c r="H64" s="13">
        <v>0.887454618797902</v>
      </c>
      <c r="I64" s="13">
        <v>1.0566356720202901</v>
      </c>
      <c r="J64" s="13">
        <v>0.89996538594669495</v>
      </c>
      <c r="K64" s="13">
        <v>0.94594594594594605</v>
      </c>
      <c r="L64" s="13">
        <v>0.96153846153846201</v>
      </c>
      <c r="M64" s="13">
        <v>1.0624597553123001</v>
      </c>
      <c r="N64" s="13">
        <v>1.0312004230565801</v>
      </c>
      <c r="O64" s="13">
        <v>1.0311936065996401</v>
      </c>
      <c r="P64" s="13">
        <v>0.94660194174757295</v>
      </c>
      <c r="Q64" s="13">
        <v>0.97526165556612698</v>
      </c>
      <c r="R64" s="13">
        <v>0.92776673293571899</v>
      </c>
      <c r="S64" s="13">
        <v>0.92221331194867695</v>
      </c>
      <c r="T64" s="13">
        <v>0.95108695652173902</v>
      </c>
      <c r="U64" s="13">
        <v>1.02852707160877</v>
      </c>
      <c r="V64" s="13">
        <v>1.08437817688919</v>
      </c>
      <c r="W64" s="13">
        <v>0.90017682044687297</v>
      </c>
      <c r="X64" s="13">
        <v>0.98773299346821697</v>
      </c>
      <c r="Y64" s="16">
        <v>0.99774975586974102</v>
      </c>
      <c r="Z64" s="13"/>
      <c r="AA64" s="13"/>
    </row>
    <row r="65" spans="1:27" x14ac:dyDescent="0.25">
      <c r="A65" s="10" t="s">
        <v>411</v>
      </c>
      <c r="B65" s="10" t="s">
        <v>412</v>
      </c>
      <c r="C65" s="13">
        <v>0.90051959980909002</v>
      </c>
      <c r="D65" s="13">
        <v>0.90126997132322795</v>
      </c>
      <c r="E65" s="13">
        <v>1.0544074230282601</v>
      </c>
      <c r="F65" s="13">
        <v>0.82671957671957697</v>
      </c>
      <c r="G65" s="13">
        <v>0.92843326885880095</v>
      </c>
      <c r="H65" s="13">
        <v>1.0891488503428799</v>
      </c>
      <c r="I65" s="13">
        <v>1.4370245139475899</v>
      </c>
      <c r="J65" s="13">
        <v>1.34994807892004</v>
      </c>
      <c r="K65" s="13">
        <v>1.31756756756757</v>
      </c>
      <c r="L65" s="13">
        <v>1.3141025641025601</v>
      </c>
      <c r="M65" s="13">
        <v>1.3200257566001301</v>
      </c>
      <c r="N65" s="13">
        <v>1.08408249603384</v>
      </c>
      <c r="O65" s="13">
        <v>1.1085331270946099</v>
      </c>
      <c r="P65" s="13">
        <v>0.92233009708737901</v>
      </c>
      <c r="Q65" s="13">
        <v>0.97526165556612698</v>
      </c>
      <c r="R65" s="13">
        <v>0.90567704881820199</v>
      </c>
      <c r="S65" s="13">
        <v>0.76182838813151599</v>
      </c>
      <c r="T65" s="13">
        <v>0.85403726708074501</v>
      </c>
      <c r="U65" s="13">
        <v>1.74655540461867</v>
      </c>
      <c r="V65" s="13">
        <v>1.5587936292782101</v>
      </c>
      <c r="W65" s="13">
        <v>1.4145635749879399</v>
      </c>
      <c r="X65" s="13">
        <v>2.38967659710053</v>
      </c>
      <c r="Y65" s="16">
        <v>1.7832123296395399</v>
      </c>
      <c r="Z65" s="13"/>
      <c r="AA65" s="13"/>
    </row>
    <row r="66" spans="1:27" x14ac:dyDescent="0.25">
      <c r="A66" s="7" t="s">
        <v>90</v>
      </c>
      <c r="B66" s="7"/>
      <c r="C66" s="7" t="s">
        <v>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665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112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666</v>
      </c>
      <c r="B7" s="10" t="s">
        <v>667</v>
      </c>
      <c r="C7" s="13">
        <f>_xll.BDH("NBIX US Equity","CASH_CASH_EQTY_STI_DETAILED","FQ4 2018","FQ4 2018","Currency=USD","Period=FQ","BEST_FPERIOD_OVERRIDE=FQ","FILING_STATUS=MR","SCALING_FORMAT=MLN","Sort=A","Dates=H","DateFormat=P","Fill=—","Direction=H","UseDPDF=Y")</f>
        <v>650.91300000000001</v>
      </c>
      <c r="D7" s="13">
        <f>_xll.BDH("NBIX US Equity","CASH_CASH_EQTY_STI_DETAILED","FQ1 2019","FQ1 2019","Currency=USD","Period=FQ","BEST_FPERIOD_OVERRIDE=FQ","FILING_STATUS=MR","SCALING_FORMAT=MLN","Sort=A","Dates=H","DateFormat=P","Fill=—","Direction=H","UseDPDF=Y")</f>
        <v>524.06799999999998</v>
      </c>
      <c r="E7" s="13">
        <f>_xll.BDH("NBIX US Equity","CASH_CASH_EQTY_STI_DETAILED","FQ2 2019","FQ2 2019","Currency=USD","Period=FQ","BEST_FPERIOD_OVERRIDE=FQ","FILING_STATUS=MR","SCALING_FORMAT=MLN","Sort=A","Dates=H","DateFormat=P","Fill=—","Direction=H","UseDPDF=Y")</f>
        <v>619.97799999999995</v>
      </c>
      <c r="F7" s="13">
        <f>_xll.BDH("NBIX US Equity","CASH_CASH_EQTY_STI_DETAILED","FQ3 2019","FQ3 2019","Currency=USD","Period=FQ","BEST_FPERIOD_OVERRIDE=FQ","FILING_STATUS=MR","SCALING_FORMAT=MLN","Sort=A","Dates=H","DateFormat=P","Fill=—","Direction=H","UseDPDF=Y")</f>
        <v>670.16200000000003</v>
      </c>
      <c r="G7" s="13">
        <f>_xll.BDH("NBIX US Equity","CASH_CASH_EQTY_STI_DETAILED","FQ4 2019","FQ4 2019","Currency=USD","Period=FQ","BEST_FPERIOD_OVERRIDE=FQ","FILING_STATUS=MR","SCALING_FORMAT=MLN","Sort=A","Dates=H","DateFormat=P","Fill=—","Direction=H","UseDPDF=Y")</f>
        <v>670.5</v>
      </c>
      <c r="H7" s="13">
        <f>_xll.BDH("NBIX US Equity","CASH_CASH_EQTY_STI_DETAILED","FQ1 2020","FQ1 2020","Currency=USD","Period=FQ","BEST_FPERIOD_OVERRIDE=FQ","FILING_STATUS=MR","SCALING_FORMAT=MLN","Sort=A","Dates=H","DateFormat=P","Fill=—","Direction=H","UseDPDF=Y")</f>
        <v>771.7</v>
      </c>
      <c r="I7" s="13">
        <f>_xll.BDH("NBIX US Equity","CASH_CASH_EQTY_STI_DETAILED","FQ2 2020","FQ2 2020","Currency=USD","Period=FQ","BEST_FPERIOD_OVERRIDE=FQ","FILING_STATUS=MR","SCALING_FORMAT=MLN","Sort=A","Dates=H","DateFormat=P","Fill=—","Direction=H","UseDPDF=Y")</f>
        <v>948.3</v>
      </c>
      <c r="J7" s="13">
        <f>_xll.BDH("NBIX US Equity","CASH_CASH_EQTY_STI_DETAILED","FQ3 2020","FQ3 2020","Currency=USD","Period=FQ","BEST_FPERIOD_OVERRIDE=FQ","FILING_STATUS=MR","SCALING_FORMAT=MLN","Sort=A","Dates=H","DateFormat=P","Fill=—","Direction=H","UseDPDF=Y")</f>
        <v>944.7</v>
      </c>
      <c r="K7" s="13">
        <f>_xll.BDH("NBIX US Equity","CASH_CASH_EQTY_STI_DETAILED","FQ4 2020","FQ4 2020","Currency=USD","Period=FQ","BEST_FPERIOD_OVERRIDE=FQ","FILING_STATUS=MR","SCALING_FORMAT=MLN","Sort=A","Dates=H","DateFormat=P","Fill=—","Direction=H","UseDPDF=Y")</f>
        <v>801</v>
      </c>
      <c r="L7" s="13">
        <f>_xll.BDH("NBIX US Equity","CASH_CASH_EQTY_STI_DETAILED","FQ1 2021","FQ1 2021","Currency=USD","Period=FQ","BEST_FPERIOD_OVERRIDE=FQ","FILING_STATUS=MR","SCALING_FORMAT=MLN","Sort=A","Dates=H","DateFormat=P","Fill=—","Direction=H","UseDPDF=Y")</f>
        <v>873.7</v>
      </c>
      <c r="M7" s="13">
        <f>_xll.BDH("NBIX US Equity","CASH_CASH_EQTY_STI_DETAILED","FQ2 2021","FQ2 2021","Currency=USD","Period=FQ","BEST_FPERIOD_OVERRIDE=FQ","FILING_STATUS=MR","SCALING_FORMAT=MLN","Sort=A","Dates=H","DateFormat=P","Fill=—","Direction=H","UseDPDF=Y")</f>
        <v>884.9</v>
      </c>
      <c r="N7" s="13">
        <f>_xll.BDH("NBIX US Equity","CASH_CASH_EQTY_STI_DETAILED","FQ3 2021","FQ3 2021","Currency=USD","Period=FQ","BEST_FPERIOD_OVERRIDE=FQ","FILING_STATUS=MR","SCALING_FORMAT=MLN","Sort=A","Dates=H","DateFormat=P","Fill=—","Direction=H","UseDPDF=Y")</f>
        <v>765.9</v>
      </c>
      <c r="O7" s="13">
        <f>_xll.BDH("NBIX US Equity","CASH_CASH_EQTY_STI_DETAILED","FQ4 2021","FQ4 2021","Currency=USD","Period=FQ","BEST_FPERIOD_OVERRIDE=FQ","FILING_STATUS=MR","SCALING_FORMAT=MLN","Sort=A","Dates=H","DateFormat=P","Fill=—","Direction=H","UseDPDF=Y")</f>
        <v>711.3</v>
      </c>
      <c r="P7" s="13">
        <f>_xll.BDH("NBIX US Equity","CASH_CASH_EQTY_STI_DETAILED","FQ1 2022","FQ1 2022","Currency=USD","Period=FQ","BEST_FPERIOD_OVERRIDE=FQ","FILING_STATUS=MR","SCALING_FORMAT=MLN","Sort=A","Dates=H","DateFormat=P","Fill=—","Direction=H","UseDPDF=Y")</f>
        <v>664.9</v>
      </c>
      <c r="Q7" s="13">
        <f>_xll.BDH("NBIX US Equity","CASH_CASH_EQTY_STI_DETAILED","FQ2 2022","FQ2 2022","Currency=USD","Period=FQ","BEST_FPERIOD_OVERRIDE=FQ","FILING_STATUS=MR","SCALING_FORMAT=MLN","Sort=A","Dates=H","DateFormat=P","Fill=—","Direction=H","UseDPDF=Y")</f>
        <v>648.29999999999995</v>
      </c>
      <c r="R7" s="13">
        <f>_xll.BDH("NBIX US Equity","CASH_CASH_EQTY_STI_DETAILED","FQ3 2022","FQ3 2022","Currency=USD","Period=FQ","BEST_FPERIOD_OVERRIDE=FQ","FILING_STATUS=MR","SCALING_FORMAT=MLN","Sort=A","Dates=H","DateFormat=P","Fill=—","Direction=H","UseDPDF=Y")</f>
        <v>799.4</v>
      </c>
      <c r="S7" s="13">
        <f>_xll.BDH("NBIX US Equity","CASH_CASH_EQTY_STI_DETAILED","FQ4 2022","FQ4 2022","Currency=USD","Period=FQ","BEST_FPERIOD_OVERRIDE=FQ","FILING_STATUS=MR","SCALING_FORMAT=MLN","Sort=A","Dates=H","DateFormat=P","Fill=—","Direction=H","UseDPDF=Y")</f>
        <v>989.3</v>
      </c>
      <c r="T7" s="13">
        <f>_xll.BDH("NBIX US Equity","CASH_CASH_EQTY_STI_DETAILED","FQ1 2023","FQ1 2023","Currency=USD","Period=FQ","BEST_FPERIOD_OVERRIDE=FQ","FILING_STATUS=MR","SCALING_FORMAT=MLN","Sort=A","Dates=H","DateFormat=P","Fill=—","Direction=H","UseDPDF=Y")</f>
        <v>894.6</v>
      </c>
      <c r="U7" s="13">
        <f>_xll.BDH("NBIX US Equity","CASH_CASH_EQTY_STI_DETAILED","FQ2 2023","FQ2 2023","Currency=USD","Period=FQ","BEST_FPERIOD_OVERRIDE=FQ","FILING_STATUS=MR","SCALING_FORMAT=MLN","Sort=A","Dates=H","DateFormat=P","Fill=—","Direction=H","UseDPDF=Y")</f>
        <v>976.7</v>
      </c>
      <c r="V7" s="13">
        <f>_xll.BDH("NBIX US Equity","CASH_CASH_EQTY_STI_DETAILED","FQ3 2023","FQ3 2023","Currency=USD","Period=FQ","BEST_FPERIOD_OVERRIDE=FQ","FILING_STATUS=MR","SCALING_FORMAT=MLN","Sort=A","Dates=H","DateFormat=P","Fill=—","Direction=H","UseDPDF=Y")</f>
        <v>1095.0999999999999</v>
      </c>
      <c r="W7" s="13">
        <f>_xll.BDH("NBIX US Equity","CASH_CASH_EQTY_STI_DETAILED","FQ4 2023","FQ4 2023","Currency=USD","Period=FQ","BEST_FPERIOD_OVERRIDE=FQ","FILING_STATUS=MR","SCALING_FORMAT=MLN","Sort=A","Dates=H","DateFormat=P","Fill=—","Direction=H","UseDPDF=Y")</f>
        <v>1031.5999999999999</v>
      </c>
      <c r="X7" s="13">
        <f>_xll.BDH("NBIX US Equity","CASH_CASH_EQTY_STI_DETAILED","FQ1 2024","FQ1 2024","Currency=USD","Period=FQ","BEST_FPERIOD_OVERRIDE=FQ","FILING_STATUS=MR","SCALING_FORMAT=MLN","Sort=A","Dates=H","DateFormat=P","Fill=—","Direction=H","UseDPDF=Y")</f>
        <v>1210.5999999999999</v>
      </c>
      <c r="Y7" s="13">
        <f>_xll.BDH("NBIX US Equity","CASH_CASH_EQTY_STI_DETAILED","FQ2 2024","FQ2 2024","Currency=USD","Period=FQ","BEST_FPERIOD_OVERRIDE=FQ","FILING_STATUS=MR","SCALING_FORMAT=MLN","Sort=A","Dates=H","DateFormat=P","Fill=—","Direction=H","UseDPDF=Y")</f>
        <v>1038.9000000000001</v>
      </c>
      <c r="Z7" s="13">
        <f>_xll.BDH("NBIX US Equity","CASH_CASH_EQTY_STI_DETAILED","FQ3 2024","FQ3 2024","Currency=USD","Period=FQ","BEST_FPERIOD_OVERRIDE=FQ","FILING_STATUS=MR","SCALING_FORMAT=MLN","Sort=A","Dates=H","DateFormat=P","Fill=—","Direction=H","UseDPDF=Y")</f>
        <v>1228</v>
      </c>
      <c r="AA7" s="13">
        <f>_xll.BDH("NBIX US Equity","CASH_CASH_EQTY_STI_DETAILED","FQ4 2024","FQ4 2024","Currency=USD","Period=FQ","BEST_FPERIOD_OVERRIDE=FQ","FILING_STATUS=MR","SCALING_FORMAT=MLN","Sort=A","Dates=H","DateFormat=P","Fill=—","Direction=H","UseDPDF=Y")</f>
        <v>1076.0999999999999</v>
      </c>
    </row>
    <row r="8" spans="1:27" x14ac:dyDescent="0.25">
      <c r="A8" s="10" t="s">
        <v>668</v>
      </c>
      <c r="B8" s="10" t="s">
        <v>669</v>
      </c>
      <c r="C8" s="13">
        <f>_xll.BDH("NBIX US Equity","BS_CASH_NEAR_CASH_ITEM","FQ4 2018","FQ4 2018","Currency=USD","Period=FQ","BEST_FPERIOD_OVERRIDE=FQ","FILING_STATUS=MR","SCALING_FORMAT=MLN","Sort=A","Dates=H","DateFormat=P","Fill=—","Direction=H","UseDPDF=Y")</f>
        <v>141.714</v>
      </c>
      <c r="D8" s="13">
        <f>_xll.BDH("NBIX US Equity","BS_CASH_NEAR_CASH_ITEM","FQ1 2019","FQ1 2019","Currency=USD","Period=FQ","BEST_FPERIOD_OVERRIDE=FQ","FILING_STATUS=MR","SCALING_FORMAT=MLN","Sort=A","Dates=H","DateFormat=P","Fill=—","Direction=H","UseDPDF=Y")</f>
        <v>72.778000000000006</v>
      </c>
      <c r="E8" s="13">
        <f>_xll.BDH("NBIX US Equity","BS_CASH_NEAR_CASH_ITEM","FQ2 2019","FQ2 2019","Currency=USD","Period=FQ","BEST_FPERIOD_OVERRIDE=FQ","FILING_STATUS=MR","SCALING_FORMAT=MLN","Sort=A","Dates=H","DateFormat=P","Fill=—","Direction=H","UseDPDF=Y")</f>
        <v>140.98500000000001</v>
      </c>
      <c r="F8" s="13">
        <f>_xll.BDH("NBIX US Equity","BS_CASH_NEAR_CASH_ITEM","FQ3 2019","FQ3 2019","Currency=USD","Period=FQ","BEST_FPERIOD_OVERRIDE=FQ","FILING_STATUS=MR","SCALING_FORMAT=MLN","Sort=A","Dates=H","DateFormat=P","Fill=—","Direction=H","UseDPDF=Y")</f>
        <v>166.637</v>
      </c>
      <c r="G8" s="13">
        <f>_xll.BDH("NBIX US Equity","BS_CASH_NEAR_CASH_ITEM","FQ4 2019","FQ4 2019","Currency=USD","Period=FQ","BEST_FPERIOD_OVERRIDE=FQ","FILING_STATUS=MR","SCALING_FORMAT=MLN","Sort=A","Dates=H","DateFormat=P","Fill=—","Direction=H","UseDPDF=Y")</f>
        <v>112.3</v>
      </c>
      <c r="H8" s="13">
        <f>_xll.BDH("NBIX US Equity","BS_CASH_NEAR_CASH_ITEM","FQ1 2020","FQ1 2020","Currency=USD","Period=FQ","BEST_FPERIOD_OVERRIDE=FQ","FILING_STATUS=MR","SCALING_FORMAT=MLN","Sort=A","Dates=H","DateFormat=P","Fill=—","Direction=H","UseDPDF=Y")</f>
        <v>187</v>
      </c>
      <c r="I8" s="13">
        <f>_xll.BDH("NBIX US Equity","BS_CASH_NEAR_CASH_ITEM","FQ2 2020","FQ2 2020","Currency=USD","Period=FQ","BEST_FPERIOD_OVERRIDE=FQ","FILING_STATUS=MR","SCALING_FORMAT=MLN","Sort=A","Dates=H","DateFormat=P","Fill=—","Direction=H","UseDPDF=Y")</f>
        <v>415.1</v>
      </c>
      <c r="J8" s="13">
        <f>_xll.BDH("NBIX US Equity","BS_CASH_NEAR_CASH_ITEM","FQ3 2020","FQ3 2020","Currency=USD","Period=FQ","BEST_FPERIOD_OVERRIDE=FQ","FILING_STATUS=MR","SCALING_FORMAT=MLN","Sort=A","Dates=H","DateFormat=P","Fill=—","Direction=H","UseDPDF=Y")</f>
        <v>425.3</v>
      </c>
      <c r="K8" s="13">
        <f>_xll.BDH("NBIX US Equity","BS_CASH_NEAR_CASH_ITEM","FQ4 2020","FQ4 2020","Currency=USD","Period=FQ","BEST_FPERIOD_OVERRIDE=FQ","FILING_STATUS=MR","SCALING_FORMAT=MLN","Sort=A","Dates=H","DateFormat=P","Fill=—","Direction=H","UseDPDF=Y")</f>
        <v>187.1</v>
      </c>
      <c r="L8" s="13">
        <f>_xll.BDH("NBIX US Equity","BS_CASH_NEAR_CASH_ITEM","FQ1 2021","FQ1 2021","Currency=USD","Period=FQ","BEST_FPERIOD_OVERRIDE=FQ","FILING_STATUS=MR","SCALING_FORMAT=MLN","Sort=A","Dates=H","DateFormat=P","Fill=—","Direction=H","UseDPDF=Y")</f>
        <v>352.6</v>
      </c>
      <c r="M8" s="13">
        <f>_xll.BDH("NBIX US Equity","BS_CASH_NEAR_CASH_ITEM","FQ2 2021","FQ2 2021","Currency=USD","Period=FQ","BEST_FPERIOD_OVERRIDE=FQ","FILING_STATUS=MR","SCALING_FORMAT=MLN","Sort=A","Dates=H","DateFormat=P","Fill=—","Direction=H","UseDPDF=Y")</f>
        <v>368</v>
      </c>
      <c r="N8" s="13">
        <f>_xll.BDH("NBIX US Equity","BS_CASH_NEAR_CASH_ITEM","FQ3 2021","FQ3 2021","Currency=USD","Period=FQ","BEST_FPERIOD_OVERRIDE=FQ","FILING_STATUS=MR","SCALING_FORMAT=MLN","Sort=A","Dates=H","DateFormat=P","Fill=—","Direction=H","UseDPDF=Y")</f>
        <v>311.10000000000002</v>
      </c>
      <c r="O8" s="13">
        <f>_xll.BDH("NBIX US Equity","BS_CASH_NEAR_CASH_ITEM","FQ4 2021","FQ4 2021","Currency=USD","Period=FQ","BEST_FPERIOD_OVERRIDE=FQ","FILING_STATUS=MR","SCALING_FORMAT=MLN","Sort=A","Dates=H","DateFormat=P","Fill=—","Direction=H","UseDPDF=Y")</f>
        <v>340.8</v>
      </c>
      <c r="P8" s="13">
        <f>_xll.BDH("NBIX US Equity","BS_CASH_NEAR_CASH_ITEM","FQ1 2022","FQ1 2022","Currency=USD","Period=FQ","BEST_FPERIOD_OVERRIDE=FQ","FILING_STATUS=MR","SCALING_FORMAT=MLN","Sort=A","Dates=H","DateFormat=P","Fill=—","Direction=H","UseDPDF=Y")</f>
        <v>270.2</v>
      </c>
      <c r="Q8" s="13">
        <f>_xll.BDH("NBIX US Equity","BS_CASH_NEAR_CASH_ITEM","FQ2 2022","FQ2 2022","Currency=USD","Period=FQ","BEST_FPERIOD_OVERRIDE=FQ","FILING_STATUS=MR","SCALING_FORMAT=MLN","Sort=A","Dates=H","DateFormat=P","Fill=—","Direction=H","UseDPDF=Y")</f>
        <v>163.30000000000001</v>
      </c>
      <c r="R8" s="13">
        <f>_xll.BDH("NBIX US Equity","BS_CASH_NEAR_CASH_ITEM","FQ3 2022","FQ3 2022","Currency=USD","Period=FQ","BEST_FPERIOD_OVERRIDE=FQ","FILING_STATUS=MR","SCALING_FORMAT=MLN","Sort=A","Dates=H","DateFormat=P","Fill=—","Direction=H","UseDPDF=Y")</f>
        <v>212.2</v>
      </c>
      <c r="S8" s="13">
        <f>_xll.BDH("NBIX US Equity","BS_CASH_NEAR_CASH_ITEM","FQ4 2022","FQ4 2022","Currency=USD","Period=FQ","BEST_FPERIOD_OVERRIDE=FQ","FILING_STATUS=MR","SCALING_FORMAT=MLN","Sort=A","Dates=H","DateFormat=P","Fill=—","Direction=H","UseDPDF=Y")</f>
        <v>262.89999999999998</v>
      </c>
      <c r="T8" s="13">
        <f>_xll.BDH("NBIX US Equity","BS_CASH_NEAR_CASH_ITEM","FQ1 2023","FQ1 2023","Currency=USD","Period=FQ","BEST_FPERIOD_OVERRIDE=FQ","FILING_STATUS=MR","SCALING_FORMAT=MLN","Sort=A","Dates=H","DateFormat=P","Fill=—","Direction=H","UseDPDF=Y")</f>
        <v>103.8</v>
      </c>
      <c r="U8" s="13">
        <f>_xll.BDH("NBIX US Equity","BS_CASH_NEAR_CASH_ITEM","FQ2 2023","FQ2 2023","Currency=USD","Period=FQ","BEST_FPERIOD_OVERRIDE=FQ","FILING_STATUS=MR","SCALING_FORMAT=MLN","Sort=A","Dates=H","DateFormat=P","Fill=—","Direction=H","UseDPDF=Y")</f>
        <v>160.19999999999999</v>
      </c>
      <c r="V8" s="13">
        <f>_xll.BDH("NBIX US Equity","BS_CASH_NEAR_CASH_ITEM","FQ3 2023","FQ3 2023","Currency=USD","Period=FQ","BEST_FPERIOD_OVERRIDE=FQ","FILING_STATUS=MR","SCALING_FORMAT=MLN","Sort=A","Dates=H","DateFormat=P","Fill=—","Direction=H","UseDPDF=Y")</f>
        <v>293.7</v>
      </c>
      <c r="W8" s="13">
        <f>_xll.BDH("NBIX US Equity","BS_CASH_NEAR_CASH_ITEM","FQ4 2023","FQ4 2023","Currency=USD","Period=FQ","BEST_FPERIOD_OVERRIDE=FQ","FILING_STATUS=MR","SCALING_FORMAT=MLN","Sort=A","Dates=H","DateFormat=P","Fill=—","Direction=H","UseDPDF=Y")</f>
        <v>251.1</v>
      </c>
      <c r="X8" s="13">
        <f>_xll.BDH("NBIX US Equity","BS_CASH_NEAR_CASH_ITEM","FQ1 2024","FQ1 2024","Currency=USD","Period=FQ","BEST_FPERIOD_OVERRIDE=FQ","FILING_STATUS=MR","SCALING_FORMAT=MLN","Sort=A","Dates=H","DateFormat=P","Fill=—","Direction=H","UseDPDF=Y")</f>
        <v>396.3</v>
      </c>
      <c r="Y8" s="13">
        <f>_xll.BDH("NBIX US Equity","BS_CASH_NEAR_CASH_ITEM","FQ2 2024","FQ2 2024","Currency=USD","Period=FQ","BEST_FPERIOD_OVERRIDE=FQ","FILING_STATUS=MR","SCALING_FORMAT=MLN","Sort=A","Dates=H","DateFormat=P","Fill=—","Direction=H","UseDPDF=Y")</f>
        <v>139.69999999999999</v>
      </c>
      <c r="Z8" s="13">
        <f>_xll.BDH("NBIX US Equity","BS_CASH_NEAR_CASH_ITEM","FQ3 2024","FQ3 2024","Currency=USD","Period=FQ","BEST_FPERIOD_OVERRIDE=FQ","FILING_STATUS=MR","SCALING_FORMAT=MLN","Sort=A","Dates=H","DateFormat=P","Fill=—","Direction=H","UseDPDF=Y")</f>
        <v>349.1</v>
      </c>
      <c r="AA8" s="13">
        <f>_xll.BDH("NBIX US Equity","BS_CASH_NEAR_CASH_ITEM","FQ4 2024","FQ4 2024","Currency=USD","Period=FQ","BEST_FPERIOD_OVERRIDE=FQ","FILING_STATUS=MR","SCALING_FORMAT=MLN","Sort=A","Dates=H","DateFormat=P","Fill=—","Direction=H","UseDPDF=Y")</f>
        <v>233</v>
      </c>
    </row>
    <row r="9" spans="1:27" x14ac:dyDescent="0.25">
      <c r="A9" s="10" t="s">
        <v>670</v>
      </c>
      <c r="B9" s="10" t="s">
        <v>671</v>
      </c>
      <c r="C9" s="13">
        <f>_xll.BDH("NBIX US Equity","BS_MKT_SEC_OTHER_ST_INVEST","FQ4 2018","FQ4 2018","Currency=USD","Period=FQ","BEST_FPERIOD_OVERRIDE=FQ","FILING_STATUS=MR","SCALING_FORMAT=MLN","Sort=A","Dates=H","DateFormat=P","Fill=—","Direction=H","UseDPDF=Y")</f>
        <v>509.19900000000001</v>
      </c>
      <c r="D9" s="13">
        <f>_xll.BDH("NBIX US Equity","BS_MKT_SEC_OTHER_ST_INVEST","FQ1 2019","FQ1 2019","Currency=USD","Period=FQ","BEST_FPERIOD_OVERRIDE=FQ","FILING_STATUS=MR","SCALING_FORMAT=MLN","Sort=A","Dates=H","DateFormat=P","Fill=—","Direction=H","UseDPDF=Y")</f>
        <v>451.29</v>
      </c>
      <c r="E9" s="13">
        <f>_xll.BDH("NBIX US Equity","BS_MKT_SEC_OTHER_ST_INVEST","FQ2 2019","FQ2 2019","Currency=USD","Period=FQ","BEST_FPERIOD_OVERRIDE=FQ","FILING_STATUS=MR","SCALING_FORMAT=MLN","Sort=A","Dates=H","DateFormat=P","Fill=—","Direction=H","UseDPDF=Y")</f>
        <v>478.99299999999999</v>
      </c>
      <c r="F9" s="13">
        <f>_xll.BDH("NBIX US Equity","BS_MKT_SEC_OTHER_ST_INVEST","FQ3 2019","FQ3 2019","Currency=USD","Period=FQ","BEST_FPERIOD_OVERRIDE=FQ","FILING_STATUS=MR","SCALING_FORMAT=MLN","Sort=A","Dates=H","DateFormat=P","Fill=—","Direction=H","UseDPDF=Y")</f>
        <v>503.52499999999998</v>
      </c>
      <c r="G9" s="13">
        <f>_xll.BDH("NBIX US Equity","BS_MKT_SEC_OTHER_ST_INVEST","FQ4 2019","FQ4 2019","Currency=USD","Period=FQ","BEST_FPERIOD_OVERRIDE=FQ","FILING_STATUS=MR","SCALING_FORMAT=MLN","Sort=A","Dates=H","DateFormat=P","Fill=—","Direction=H","UseDPDF=Y")</f>
        <v>558.20000000000005</v>
      </c>
      <c r="H9" s="13">
        <f>_xll.BDH("NBIX US Equity","BS_MKT_SEC_OTHER_ST_INVEST","FQ1 2020","FQ1 2020","Currency=USD","Period=FQ","BEST_FPERIOD_OVERRIDE=FQ","FILING_STATUS=MR","SCALING_FORMAT=MLN","Sort=A","Dates=H","DateFormat=P","Fill=—","Direction=H","UseDPDF=Y")</f>
        <v>584.70000000000005</v>
      </c>
      <c r="I9" s="13">
        <f>_xll.BDH("NBIX US Equity","BS_MKT_SEC_OTHER_ST_INVEST","FQ2 2020","FQ2 2020","Currency=USD","Period=FQ","BEST_FPERIOD_OVERRIDE=FQ","FILING_STATUS=MR","SCALING_FORMAT=MLN","Sort=A","Dates=H","DateFormat=P","Fill=—","Direction=H","UseDPDF=Y")</f>
        <v>533.20000000000005</v>
      </c>
      <c r="J9" s="13">
        <f>_xll.BDH("NBIX US Equity","BS_MKT_SEC_OTHER_ST_INVEST","FQ3 2020","FQ3 2020","Currency=USD","Period=FQ","BEST_FPERIOD_OVERRIDE=FQ","FILING_STATUS=MR","SCALING_FORMAT=MLN","Sort=A","Dates=H","DateFormat=P","Fill=—","Direction=H","UseDPDF=Y")</f>
        <v>519.4</v>
      </c>
      <c r="K9" s="13">
        <f>_xll.BDH("NBIX US Equity","BS_MKT_SEC_OTHER_ST_INVEST","FQ4 2020","FQ4 2020","Currency=USD","Period=FQ","BEST_FPERIOD_OVERRIDE=FQ","FILING_STATUS=MR","SCALING_FORMAT=MLN","Sort=A","Dates=H","DateFormat=P","Fill=—","Direction=H","UseDPDF=Y")</f>
        <v>613.9</v>
      </c>
      <c r="L9" s="13">
        <f>_xll.BDH("NBIX US Equity","BS_MKT_SEC_OTHER_ST_INVEST","FQ1 2021","FQ1 2021","Currency=USD","Period=FQ","BEST_FPERIOD_OVERRIDE=FQ","FILING_STATUS=MR","SCALING_FORMAT=MLN","Sort=A","Dates=H","DateFormat=P","Fill=—","Direction=H","UseDPDF=Y")</f>
        <v>521.1</v>
      </c>
      <c r="M9" s="13">
        <f>_xll.BDH("NBIX US Equity","BS_MKT_SEC_OTHER_ST_INVEST","FQ2 2021","FQ2 2021","Currency=USD","Period=FQ","BEST_FPERIOD_OVERRIDE=FQ","FILING_STATUS=MR","SCALING_FORMAT=MLN","Sort=A","Dates=H","DateFormat=P","Fill=—","Direction=H","UseDPDF=Y")</f>
        <v>516.9</v>
      </c>
      <c r="N9" s="13">
        <f>_xll.BDH("NBIX US Equity","BS_MKT_SEC_OTHER_ST_INVEST","FQ3 2021","FQ3 2021","Currency=USD","Period=FQ","BEST_FPERIOD_OVERRIDE=FQ","FILING_STATUS=MR","SCALING_FORMAT=MLN","Sort=A","Dates=H","DateFormat=P","Fill=—","Direction=H","UseDPDF=Y")</f>
        <v>454.8</v>
      </c>
      <c r="O9" s="13">
        <f>_xll.BDH("NBIX US Equity","BS_MKT_SEC_OTHER_ST_INVEST","FQ4 2021","FQ4 2021","Currency=USD","Period=FQ","BEST_FPERIOD_OVERRIDE=FQ","FILING_STATUS=MR","SCALING_FORMAT=MLN","Sort=A","Dates=H","DateFormat=P","Fill=—","Direction=H","UseDPDF=Y")</f>
        <v>370.5</v>
      </c>
      <c r="P9" s="13">
        <f>_xll.BDH("NBIX US Equity","BS_MKT_SEC_OTHER_ST_INVEST","FQ1 2022","FQ1 2022","Currency=USD","Period=FQ","BEST_FPERIOD_OVERRIDE=FQ","FILING_STATUS=MR","SCALING_FORMAT=MLN","Sort=A","Dates=H","DateFormat=P","Fill=—","Direction=H","UseDPDF=Y")</f>
        <v>394.7</v>
      </c>
      <c r="Q9" s="13">
        <f>_xll.BDH("NBIX US Equity","BS_MKT_SEC_OTHER_ST_INVEST","FQ2 2022","FQ2 2022","Currency=USD","Period=FQ","BEST_FPERIOD_OVERRIDE=FQ","FILING_STATUS=MR","SCALING_FORMAT=MLN","Sort=A","Dates=H","DateFormat=P","Fill=—","Direction=H","UseDPDF=Y")</f>
        <v>485</v>
      </c>
      <c r="R9" s="13">
        <f>_xll.BDH("NBIX US Equity","BS_MKT_SEC_OTHER_ST_INVEST","FQ3 2022","FQ3 2022","Currency=USD","Period=FQ","BEST_FPERIOD_OVERRIDE=FQ","FILING_STATUS=MR","SCALING_FORMAT=MLN","Sort=A","Dates=H","DateFormat=P","Fill=—","Direction=H","UseDPDF=Y")</f>
        <v>587.20000000000005</v>
      </c>
      <c r="S9" s="13">
        <f>_xll.BDH("NBIX US Equity","BS_MKT_SEC_OTHER_ST_INVEST","FQ4 2022","FQ4 2022","Currency=USD","Period=FQ","BEST_FPERIOD_OVERRIDE=FQ","FILING_STATUS=MR","SCALING_FORMAT=MLN","Sort=A","Dates=H","DateFormat=P","Fill=—","Direction=H","UseDPDF=Y")</f>
        <v>726.4</v>
      </c>
      <c r="T9" s="13">
        <f>_xll.BDH("NBIX US Equity","BS_MKT_SEC_OTHER_ST_INVEST","FQ1 2023","FQ1 2023","Currency=USD","Period=FQ","BEST_FPERIOD_OVERRIDE=FQ","FILING_STATUS=MR","SCALING_FORMAT=MLN","Sort=A","Dates=H","DateFormat=P","Fill=—","Direction=H","UseDPDF=Y")</f>
        <v>790.8</v>
      </c>
      <c r="U9" s="13">
        <f>_xll.BDH("NBIX US Equity","BS_MKT_SEC_OTHER_ST_INVEST","FQ2 2023","FQ2 2023","Currency=USD","Period=FQ","BEST_FPERIOD_OVERRIDE=FQ","FILING_STATUS=MR","SCALING_FORMAT=MLN","Sort=A","Dates=H","DateFormat=P","Fill=—","Direction=H","UseDPDF=Y")</f>
        <v>816.5</v>
      </c>
      <c r="V9" s="13">
        <f>_xll.BDH("NBIX US Equity","BS_MKT_SEC_OTHER_ST_INVEST","FQ3 2023","FQ3 2023","Currency=USD","Period=FQ","BEST_FPERIOD_OVERRIDE=FQ","FILING_STATUS=MR","SCALING_FORMAT=MLN","Sort=A","Dates=H","DateFormat=P","Fill=—","Direction=H","UseDPDF=Y")</f>
        <v>801.4</v>
      </c>
      <c r="W9" s="13">
        <f>_xll.BDH("NBIX US Equity","BS_MKT_SEC_OTHER_ST_INVEST","FQ4 2023","FQ4 2023","Currency=USD","Period=FQ","BEST_FPERIOD_OVERRIDE=FQ","FILING_STATUS=MR","SCALING_FORMAT=MLN","Sort=A","Dates=H","DateFormat=P","Fill=—","Direction=H","UseDPDF=Y")</f>
        <v>780.5</v>
      </c>
      <c r="X9" s="13">
        <f>_xll.BDH("NBIX US Equity","BS_MKT_SEC_OTHER_ST_INVEST","FQ1 2024","FQ1 2024","Currency=USD","Period=FQ","BEST_FPERIOD_OVERRIDE=FQ","FILING_STATUS=MR","SCALING_FORMAT=MLN","Sort=A","Dates=H","DateFormat=P","Fill=—","Direction=H","UseDPDF=Y")</f>
        <v>814.3</v>
      </c>
      <c r="Y9" s="13">
        <f>_xll.BDH("NBIX US Equity","BS_MKT_SEC_OTHER_ST_INVEST","FQ2 2024","FQ2 2024","Currency=USD","Period=FQ","BEST_FPERIOD_OVERRIDE=FQ","FILING_STATUS=MR","SCALING_FORMAT=MLN","Sort=A","Dates=H","DateFormat=P","Fill=—","Direction=H","UseDPDF=Y")</f>
        <v>899.2</v>
      </c>
      <c r="Z9" s="13">
        <f>_xll.BDH("NBIX US Equity","BS_MKT_SEC_OTHER_ST_INVEST","FQ3 2024","FQ3 2024","Currency=USD","Period=FQ","BEST_FPERIOD_OVERRIDE=FQ","FILING_STATUS=MR","SCALING_FORMAT=MLN","Sort=A","Dates=H","DateFormat=P","Fill=—","Direction=H","UseDPDF=Y")</f>
        <v>878.9</v>
      </c>
      <c r="AA9" s="13">
        <f>_xll.BDH("NBIX US Equity","BS_MKT_SEC_OTHER_ST_INVEST","FQ4 2024","FQ4 2024","Currency=USD","Period=FQ","BEST_FPERIOD_OVERRIDE=FQ","FILING_STATUS=MR","SCALING_FORMAT=MLN","Sort=A","Dates=H","DateFormat=P","Fill=—","Direction=H","UseDPDF=Y")</f>
        <v>843.1</v>
      </c>
    </row>
    <row r="10" spans="1:27" x14ac:dyDescent="0.25">
      <c r="A10" s="10" t="s">
        <v>672</v>
      </c>
      <c r="B10" s="10" t="s">
        <v>673</v>
      </c>
      <c r="C10" s="13">
        <f>_xll.BDH("NBIX US Equity","BS_ACCT_NOTE_RCV","FQ4 2018","FQ4 2018","Currency=USD","Period=FQ","BEST_FPERIOD_OVERRIDE=FQ","FILING_STATUS=MR","SCALING_FORMAT=MLN","Sort=A","Dates=H","DateFormat=P","Fill=—","Direction=H","UseDPDF=Y")</f>
        <v>56.24</v>
      </c>
      <c r="D10" s="13">
        <f>_xll.BDH("NBIX US Equity","BS_ACCT_NOTE_RCV","FQ1 2019","FQ1 2019","Currency=USD","Period=FQ","BEST_FPERIOD_OVERRIDE=FQ","FILING_STATUS=MR","SCALING_FORMAT=MLN","Sort=A","Dates=H","DateFormat=P","Fill=—","Direction=H","UseDPDF=Y")</f>
        <v>71.963999999999999</v>
      </c>
      <c r="E10" s="13">
        <f>_xll.BDH("NBIX US Equity","BS_ACCT_NOTE_RCV","FQ2 2019","FQ2 2019","Currency=USD","Period=FQ","BEST_FPERIOD_OVERRIDE=FQ","FILING_STATUS=MR","SCALING_FORMAT=MLN","Sort=A","Dates=H","DateFormat=P","Fill=—","Direction=H","UseDPDF=Y")</f>
        <v>95.356999999999999</v>
      </c>
      <c r="F10" s="13">
        <f>_xll.BDH("NBIX US Equity","BS_ACCT_NOTE_RCV","FQ3 2019","FQ3 2019","Currency=USD","Period=FQ","BEST_FPERIOD_OVERRIDE=FQ","FILING_STATUS=MR","SCALING_FORMAT=MLN","Sort=A","Dates=H","DateFormat=P","Fill=—","Direction=H","UseDPDF=Y")</f>
        <v>115.318</v>
      </c>
      <c r="G10" s="13">
        <f>_xll.BDH("NBIX US Equity","BS_ACCT_NOTE_RCV","FQ4 2019","FQ4 2019","Currency=USD","Period=FQ","BEST_FPERIOD_OVERRIDE=FQ","FILING_STATUS=MR","SCALING_FORMAT=MLN","Sort=A","Dates=H","DateFormat=P","Fill=—","Direction=H","UseDPDF=Y")</f>
        <v>126.6</v>
      </c>
      <c r="H10" s="13">
        <f>_xll.BDH("NBIX US Equity","BS_ACCT_NOTE_RCV","FQ1 2020","FQ1 2020","Currency=USD","Period=FQ","BEST_FPERIOD_OVERRIDE=FQ","FILING_STATUS=MR","SCALING_FORMAT=MLN","Sort=A","Dates=H","DateFormat=P","Fill=—","Direction=H","UseDPDF=Y")</f>
        <v>148.6</v>
      </c>
      <c r="I10" s="13">
        <f>_xll.BDH("NBIX US Equity","BS_ACCT_NOTE_RCV","FQ2 2020","FQ2 2020","Currency=USD","Period=FQ","BEST_FPERIOD_OVERRIDE=FQ","FILING_STATUS=MR","SCALING_FORMAT=MLN","Sort=A","Dates=H","DateFormat=P","Fill=—","Direction=H","UseDPDF=Y")</f>
        <v>148.4</v>
      </c>
      <c r="J10" s="13">
        <f>_xll.BDH("NBIX US Equity","BS_ACCT_NOTE_RCV","FQ3 2020","FQ3 2020","Currency=USD","Period=FQ","BEST_FPERIOD_OVERRIDE=FQ","FILING_STATUS=MR","SCALING_FORMAT=MLN","Sort=A","Dates=H","DateFormat=P","Fill=—","Direction=H","UseDPDF=Y")</f>
        <v>156.9</v>
      </c>
      <c r="K10" s="13">
        <f>_xll.BDH("NBIX US Equity","BS_ACCT_NOTE_RCV","FQ4 2020","FQ4 2020","Currency=USD","Period=FQ","BEST_FPERIOD_OVERRIDE=FQ","FILING_STATUS=MR","SCALING_FORMAT=MLN","Sort=A","Dates=H","DateFormat=P","Fill=—","Direction=H","UseDPDF=Y")</f>
        <v>157.1</v>
      </c>
      <c r="L10" s="13">
        <f>_xll.BDH("NBIX US Equity","BS_ACCT_NOTE_RCV","FQ1 2021","FQ1 2021","Currency=USD","Period=FQ","BEST_FPERIOD_OVERRIDE=FQ","FILING_STATUS=MR","SCALING_FORMAT=MLN","Sort=A","Dates=H","DateFormat=P","Fill=—","Direction=H","UseDPDF=Y")</f>
        <v>147.80000000000001</v>
      </c>
      <c r="M10" s="13">
        <f>_xll.BDH("NBIX US Equity","BS_ACCT_NOTE_RCV","FQ2 2021","FQ2 2021","Currency=USD","Period=FQ","BEST_FPERIOD_OVERRIDE=FQ","FILING_STATUS=MR","SCALING_FORMAT=MLN","Sort=A","Dates=H","DateFormat=P","Fill=—","Direction=H","UseDPDF=Y")</f>
        <v>158.5</v>
      </c>
      <c r="N10" s="13">
        <f>_xll.BDH("NBIX US Equity","BS_ACCT_NOTE_RCV","FQ3 2021","FQ3 2021","Currency=USD","Period=FQ","BEST_FPERIOD_OVERRIDE=FQ","FILING_STATUS=MR","SCALING_FORMAT=MLN","Sort=A","Dates=H","DateFormat=P","Fill=—","Direction=H","UseDPDF=Y")</f>
        <v>163.80000000000001</v>
      </c>
      <c r="O10" s="13">
        <f>_xll.BDH("NBIX US Equity","BS_ACCT_NOTE_RCV","FQ4 2021","FQ4 2021","Currency=USD","Period=FQ","BEST_FPERIOD_OVERRIDE=FQ","FILING_STATUS=MR","SCALING_FORMAT=MLN","Sort=A","Dates=H","DateFormat=P","Fill=—","Direction=H","UseDPDF=Y")</f>
        <v>185.5</v>
      </c>
      <c r="P10" s="13">
        <f>_xll.BDH("NBIX US Equity","BS_ACCT_NOTE_RCV","FQ1 2022","FQ1 2022","Currency=USD","Period=FQ","BEST_FPERIOD_OVERRIDE=FQ","FILING_STATUS=MR","SCALING_FORMAT=MLN","Sort=A","Dates=H","DateFormat=P","Fill=—","Direction=H","UseDPDF=Y")</f>
        <v>263.5</v>
      </c>
      <c r="Q10" s="13">
        <f>_xll.BDH("NBIX US Equity","BS_ACCT_NOTE_RCV","FQ2 2022","FQ2 2022","Currency=USD","Period=FQ","BEST_FPERIOD_OVERRIDE=FQ","FILING_STATUS=MR","SCALING_FORMAT=MLN","Sort=A","Dates=H","DateFormat=P","Fill=—","Direction=H","UseDPDF=Y")</f>
        <v>279</v>
      </c>
      <c r="R10" s="13">
        <f>_xll.BDH("NBIX US Equity","BS_ACCT_NOTE_RCV","FQ3 2022","FQ3 2022","Currency=USD","Period=FQ","BEST_FPERIOD_OVERRIDE=FQ","FILING_STATUS=MR","SCALING_FORMAT=MLN","Sort=A","Dates=H","DateFormat=P","Fill=—","Direction=H","UseDPDF=Y")</f>
        <v>301.2</v>
      </c>
      <c r="S10" s="13">
        <f>_xll.BDH("NBIX US Equity","BS_ACCT_NOTE_RCV","FQ4 2022","FQ4 2022","Currency=USD","Period=FQ","BEST_FPERIOD_OVERRIDE=FQ","FILING_STATUS=MR","SCALING_FORMAT=MLN","Sort=A","Dates=H","DateFormat=P","Fill=—","Direction=H","UseDPDF=Y")</f>
        <v>350</v>
      </c>
      <c r="T10" s="13">
        <f>_xll.BDH("NBIX US Equity","BS_ACCT_NOTE_RCV","FQ1 2023","FQ1 2023","Currency=USD","Period=FQ","BEST_FPERIOD_OVERRIDE=FQ","FILING_STATUS=MR","SCALING_FORMAT=MLN","Sort=A","Dates=H","DateFormat=P","Fill=—","Direction=H","UseDPDF=Y")</f>
        <v>391.6</v>
      </c>
      <c r="U10" s="13">
        <f>_xll.BDH("NBIX US Equity","BS_ACCT_NOTE_RCV","FQ2 2023","FQ2 2023","Currency=USD","Period=FQ","BEST_FPERIOD_OVERRIDE=FQ","FILING_STATUS=MR","SCALING_FORMAT=MLN","Sort=A","Dates=H","DateFormat=P","Fill=—","Direction=H","UseDPDF=Y")</f>
        <v>387.6</v>
      </c>
      <c r="V10" s="13">
        <f>_xll.BDH("NBIX US Equity","BS_ACCT_NOTE_RCV","FQ3 2023","FQ3 2023","Currency=USD","Period=FQ","BEST_FPERIOD_OVERRIDE=FQ","FILING_STATUS=MR","SCALING_FORMAT=MLN","Sort=A","Dates=H","DateFormat=P","Fill=—","Direction=H","UseDPDF=Y")</f>
        <v>417.8</v>
      </c>
      <c r="W10" s="13">
        <f>_xll.BDH("NBIX US Equity","BS_ACCT_NOTE_RCV","FQ4 2023","FQ4 2023","Currency=USD","Period=FQ","BEST_FPERIOD_OVERRIDE=FQ","FILING_STATUS=MR","SCALING_FORMAT=MLN","Sort=A","Dates=H","DateFormat=P","Fill=—","Direction=H","UseDPDF=Y")</f>
        <v>439.3</v>
      </c>
      <c r="X10" s="13">
        <f>_xll.BDH("NBIX US Equity","BS_ACCT_NOTE_RCV","FQ1 2024","FQ1 2024","Currency=USD","Period=FQ","BEST_FPERIOD_OVERRIDE=FQ","FILING_STATUS=MR","SCALING_FORMAT=MLN","Sort=A","Dates=H","DateFormat=P","Fill=—","Direction=H","UseDPDF=Y")</f>
        <v>450.7</v>
      </c>
      <c r="Y10" s="13">
        <f>_xll.BDH("NBIX US Equity","BS_ACCT_NOTE_RCV","FQ2 2024","FQ2 2024","Currency=USD","Period=FQ","BEST_FPERIOD_OVERRIDE=FQ","FILING_STATUS=MR","SCALING_FORMAT=MLN","Sort=A","Dates=H","DateFormat=P","Fill=—","Direction=H","UseDPDF=Y")</f>
        <v>468.2</v>
      </c>
      <c r="Z10" s="13">
        <f>_xll.BDH("NBIX US Equity","BS_ACCT_NOTE_RCV","FQ3 2024","FQ3 2024","Currency=USD","Period=FQ","BEST_FPERIOD_OVERRIDE=FQ","FILING_STATUS=MR","SCALING_FORMAT=MLN","Sort=A","Dates=H","DateFormat=P","Fill=—","Direction=H","UseDPDF=Y")</f>
        <v>481.1</v>
      </c>
      <c r="AA10" s="13">
        <f>_xll.BDH("NBIX US Equity","BS_ACCT_NOTE_RCV","FQ4 2024","FQ4 2024","Currency=USD","Period=FQ","BEST_FPERIOD_OVERRIDE=FQ","FILING_STATUS=MR","SCALING_FORMAT=MLN","Sort=A","Dates=H","DateFormat=P","Fill=—","Direction=H","UseDPDF=Y")</f>
        <v>479.1</v>
      </c>
    </row>
    <row r="11" spans="1:27" x14ac:dyDescent="0.25">
      <c r="A11" s="10" t="s">
        <v>674</v>
      </c>
      <c r="B11" s="10" t="s">
        <v>675</v>
      </c>
      <c r="C11" s="13">
        <f>_xll.BDH("NBIX US Equity","BS_ACCTS_REC_EXCL_NOTES_REC","FQ4 2018","FQ4 2018","Currency=USD","Period=FQ","BEST_FPERIOD_OVERRIDE=FQ","FILING_STATUS=MR","SCALING_FORMAT=MLN","Sort=A","Dates=H","DateFormat=P","Fill=—","Direction=H","UseDPDF=Y")</f>
        <v>56.24</v>
      </c>
      <c r="D11" s="13">
        <f>_xll.BDH("NBIX US Equity","BS_ACCTS_REC_EXCL_NOTES_REC","FQ1 2019","FQ1 2019","Currency=USD","Period=FQ","BEST_FPERIOD_OVERRIDE=FQ","FILING_STATUS=MR","SCALING_FORMAT=MLN","Sort=A","Dates=H","DateFormat=P","Fill=—","Direction=H","UseDPDF=Y")</f>
        <v>71.963999999999999</v>
      </c>
      <c r="E11" s="13">
        <f>_xll.BDH("NBIX US Equity","BS_ACCTS_REC_EXCL_NOTES_REC","FQ2 2019","FQ2 2019","Currency=USD","Period=FQ","BEST_FPERIOD_OVERRIDE=FQ","FILING_STATUS=MR","SCALING_FORMAT=MLN","Sort=A","Dates=H","DateFormat=P","Fill=—","Direction=H","UseDPDF=Y")</f>
        <v>95.356999999999999</v>
      </c>
      <c r="F11" s="13">
        <f>_xll.BDH("NBIX US Equity","BS_ACCTS_REC_EXCL_NOTES_REC","FQ3 2019","FQ3 2019","Currency=USD","Period=FQ","BEST_FPERIOD_OVERRIDE=FQ","FILING_STATUS=MR","SCALING_FORMAT=MLN","Sort=A","Dates=H","DateFormat=P","Fill=—","Direction=H","UseDPDF=Y")</f>
        <v>115.318</v>
      </c>
      <c r="G11" s="13">
        <f>_xll.BDH("NBIX US Equity","BS_ACCTS_REC_EXCL_NOTES_REC","FQ4 2019","FQ4 2019","Currency=USD","Period=FQ","BEST_FPERIOD_OVERRIDE=FQ","FILING_STATUS=MR","SCALING_FORMAT=MLN","Sort=A","Dates=H","DateFormat=P","Fill=—","Direction=H","UseDPDF=Y")</f>
        <v>126.6</v>
      </c>
      <c r="H11" s="13">
        <f>_xll.BDH("NBIX US Equity","BS_ACCTS_REC_EXCL_NOTES_REC","FQ1 2020","FQ1 2020","Currency=USD","Period=FQ","BEST_FPERIOD_OVERRIDE=FQ","FILING_STATUS=MR","SCALING_FORMAT=MLN","Sort=A","Dates=H","DateFormat=P","Fill=—","Direction=H","UseDPDF=Y")</f>
        <v>148.6</v>
      </c>
      <c r="I11" s="13">
        <f>_xll.BDH("NBIX US Equity","BS_ACCTS_REC_EXCL_NOTES_REC","FQ2 2020","FQ2 2020","Currency=USD","Period=FQ","BEST_FPERIOD_OVERRIDE=FQ","FILING_STATUS=MR","SCALING_FORMAT=MLN","Sort=A","Dates=H","DateFormat=P","Fill=—","Direction=H","UseDPDF=Y")</f>
        <v>148.4</v>
      </c>
      <c r="J11" s="13">
        <f>_xll.BDH("NBIX US Equity","BS_ACCTS_REC_EXCL_NOTES_REC","FQ3 2020","FQ3 2020","Currency=USD","Period=FQ","BEST_FPERIOD_OVERRIDE=FQ","FILING_STATUS=MR","SCALING_FORMAT=MLN","Sort=A","Dates=H","DateFormat=P","Fill=—","Direction=H","UseDPDF=Y")</f>
        <v>156.9</v>
      </c>
      <c r="K11" s="13">
        <f>_xll.BDH("NBIX US Equity","BS_ACCTS_REC_EXCL_NOTES_REC","FQ4 2020","FQ4 2020","Currency=USD","Period=FQ","BEST_FPERIOD_OVERRIDE=FQ","FILING_STATUS=MR","SCALING_FORMAT=MLN","Sort=A","Dates=H","DateFormat=P","Fill=—","Direction=H","UseDPDF=Y")</f>
        <v>157.1</v>
      </c>
      <c r="L11" s="13">
        <f>_xll.BDH("NBIX US Equity","BS_ACCTS_REC_EXCL_NOTES_REC","FQ1 2021","FQ1 2021","Currency=USD","Period=FQ","BEST_FPERIOD_OVERRIDE=FQ","FILING_STATUS=MR","SCALING_FORMAT=MLN","Sort=A","Dates=H","DateFormat=P","Fill=—","Direction=H","UseDPDF=Y")</f>
        <v>147.80000000000001</v>
      </c>
      <c r="M11" s="13">
        <f>_xll.BDH("NBIX US Equity","BS_ACCTS_REC_EXCL_NOTES_REC","FQ2 2021","FQ2 2021","Currency=USD","Period=FQ","BEST_FPERIOD_OVERRIDE=FQ","FILING_STATUS=MR","SCALING_FORMAT=MLN","Sort=A","Dates=H","DateFormat=P","Fill=—","Direction=H","UseDPDF=Y")</f>
        <v>158.5</v>
      </c>
      <c r="N11" s="13">
        <f>_xll.BDH("NBIX US Equity","BS_ACCTS_REC_EXCL_NOTES_REC","FQ3 2021","FQ3 2021","Currency=USD","Period=FQ","BEST_FPERIOD_OVERRIDE=FQ","FILING_STATUS=MR","SCALING_FORMAT=MLN","Sort=A","Dates=H","DateFormat=P","Fill=—","Direction=H","UseDPDF=Y")</f>
        <v>163.80000000000001</v>
      </c>
      <c r="O11" s="13">
        <f>_xll.BDH("NBIX US Equity","BS_ACCTS_REC_EXCL_NOTES_REC","FQ4 2021","FQ4 2021","Currency=USD","Period=FQ","BEST_FPERIOD_OVERRIDE=FQ","FILING_STATUS=MR","SCALING_FORMAT=MLN","Sort=A","Dates=H","DateFormat=P","Fill=—","Direction=H","UseDPDF=Y")</f>
        <v>185.5</v>
      </c>
      <c r="P11" s="13">
        <f>_xll.BDH("NBIX US Equity","BS_ACCTS_REC_EXCL_NOTES_REC","FQ1 2022","FQ1 2022","Currency=USD","Period=FQ","BEST_FPERIOD_OVERRIDE=FQ","FILING_STATUS=MR","SCALING_FORMAT=MLN","Sort=A","Dates=H","DateFormat=P","Fill=—","Direction=H","UseDPDF=Y")</f>
        <v>263.5</v>
      </c>
      <c r="Q11" s="13">
        <f>_xll.BDH("NBIX US Equity","BS_ACCTS_REC_EXCL_NOTES_REC","FQ2 2022","FQ2 2022","Currency=USD","Period=FQ","BEST_FPERIOD_OVERRIDE=FQ","FILING_STATUS=MR","SCALING_FORMAT=MLN","Sort=A","Dates=H","DateFormat=P","Fill=—","Direction=H","UseDPDF=Y")</f>
        <v>279</v>
      </c>
      <c r="R11" s="13">
        <f>_xll.BDH("NBIX US Equity","BS_ACCTS_REC_EXCL_NOTES_REC","FQ3 2022","FQ3 2022","Currency=USD","Period=FQ","BEST_FPERIOD_OVERRIDE=FQ","FILING_STATUS=MR","SCALING_FORMAT=MLN","Sort=A","Dates=H","DateFormat=P","Fill=—","Direction=H","UseDPDF=Y")</f>
        <v>301.2</v>
      </c>
      <c r="S11" s="13">
        <f>_xll.BDH("NBIX US Equity","BS_ACCTS_REC_EXCL_NOTES_REC","FQ4 2022","FQ4 2022","Currency=USD","Period=FQ","BEST_FPERIOD_OVERRIDE=FQ","FILING_STATUS=MR","SCALING_FORMAT=MLN","Sort=A","Dates=H","DateFormat=P","Fill=—","Direction=H","UseDPDF=Y")</f>
        <v>350</v>
      </c>
      <c r="T11" s="13">
        <f>_xll.BDH("NBIX US Equity","BS_ACCTS_REC_EXCL_NOTES_REC","FQ1 2023","FQ1 2023","Currency=USD","Period=FQ","BEST_FPERIOD_OVERRIDE=FQ","FILING_STATUS=MR","SCALING_FORMAT=MLN","Sort=A","Dates=H","DateFormat=P","Fill=—","Direction=H","UseDPDF=Y")</f>
        <v>391.6</v>
      </c>
      <c r="U11" s="13">
        <f>_xll.BDH("NBIX US Equity","BS_ACCTS_REC_EXCL_NOTES_REC","FQ2 2023","FQ2 2023","Currency=USD","Period=FQ","BEST_FPERIOD_OVERRIDE=FQ","FILING_STATUS=MR","SCALING_FORMAT=MLN","Sort=A","Dates=H","DateFormat=P","Fill=—","Direction=H","UseDPDF=Y")</f>
        <v>387.6</v>
      </c>
      <c r="V11" s="13">
        <f>_xll.BDH("NBIX US Equity","BS_ACCTS_REC_EXCL_NOTES_REC","FQ3 2023","FQ3 2023","Currency=USD","Period=FQ","BEST_FPERIOD_OVERRIDE=FQ","FILING_STATUS=MR","SCALING_FORMAT=MLN","Sort=A","Dates=H","DateFormat=P","Fill=—","Direction=H","UseDPDF=Y")</f>
        <v>417.8</v>
      </c>
      <c r="W11" s="13">
        <f>_xll.BDH("NBIX US Equity","BS_ACCTS_REC_EXCL_NOTES_REC","FQ4 2023","FQ4 2023","Currency=USD","Period=FQ","BEST_FPERIOD_OVERRIDE=FQ","FILING_STATUS=MR","SCALING_FORMAT=MLN","Sort=A","Dates=H","DateFormat=P","Fill=—","Direction=H","UseDPDF=Y")</f>
        <v>439.3</v>
      </c>
      <c r="X11" s="13">
        <f>_xll.BDH("NBIX US Equity","BS_ACCTS_REC_EXCL_NOTES_REC","FQ1 2024","FQ1 2024","Currency=USD","Period=FQ","BEST_FPERIOD_OVERRIDE=FQ","FILING_STATUS=MR","SCALING_FORMAT=MLN","Sort=A","Dates=H","DateFormat=P","Fill=—","Direction=H","UseDPDF=Y")</f>
        <v>450.7</v>
      </c>
      <c r="Y11" s="13">
        <f>_xll.BDH("NBIX US Equity","BS_ACCTS_REC_EXCL_NOTES_REC","FQ2 2024","FQ2 2024","Currency=USD","Period=FQ","BEST_FPERIOD_OVERRIDE=FQ","FILING_STATUS=MR","SCALING_FORMAT=MLN","Sort=A","Dates=H","DateFormat=P","Fill=—","Direction=H","UseDPDF=Y")</f>
        <v>468.2</v>
      </c>
      <c r="Z11" s="13">
        <f>_xll.BDH("NBIX US Equity","BS_ACCTS_REC_EXCL_NOTES_REC","FQ3 2024","FQ3 2024","Currency=USD","Period=FQ","BEST_FPERIOD_OVERRIDE=FQ","FILING_STATUS=MR","SCALING_FORMAT=MLN","Sort=A","Dates=H","DateFormat=P","Fill=—","Direction=H","UseDPDF=Y")</f>
        <v>481.1</v>
      </c>
      <c r="AA11" s="13">
        <f>_xll.BDH("NBIX US Equity","BS_ACCTS_REC_EXCL_NOTES_REC","FQ4 2024","FQ4 2024","Currency=USD","Period=FQ","BEST_FPERIOD_OVERRIDE=FQ","FILING_STATUS=MR","SCALING_FORMAT=MLN","Sort=A","Dates=H","DateFormat=P","Fill=—","Direction=H","UseDPDF=Y")</f>
        <v>479.1</v>
      </c>
    </row>
    <row r="12" spans="1:27" x14ac:dyDescent="0.25">
      <c r="A12" s="10" t="s">
        <v>676</v>
      </c>
      <c r="B12" s="10" t="s">
        <v>677</v>
      </c>
      <c r="C12" s="13">
        <f>_xll.BDH("NBIX US Equity","NOTES_RECEIVABLE","FQ4 2018","FQ4 2018","Currency=USD","Period=FQ","BEST_FPERIOD_OVERRIDE=FQ","FILING_STATUS=MR","SCALING_FORMAT=MLN","Sort=A","Dates=H","DateFormat=P","Fill=—","Direction=H","UseDPDF=Y")</f>
        <v>0</v>
      </c>
      <c r="D12" s="13">
        <f>_xll.BDH("NBIX US Equity","NOTES_RECEIVABLE","FQ1 2019","FQ1 2019","Currency=USD","Period=FQ","BEST_FPERIOD_OVERRIDE=FQ","FILING_STATUS=MR","SCALING_FORMAT=MLN","Sort=A","Dates=H","DateFormat=P","Fill=—","Direction=H","UseDPDF=Y")</f>
        <v>0</v>
      </c>
      <c r="E12" s="13">
        <f>_xll.BDH("NBIX US Equity","NOTES_RECEIVABLE","FQ2 2019","FQ2 2019","Currency=USD","Period=FQ","BEST_FPERIOD_OVERRIDE=FQ","FILING_STATUS=MR","SCALING_FORMAT=MLN","Sort=A","Dates=H","DateFormat=P","Fill=—","Direction=H","UseDPDF=Y")</f>
        <v>0</v>
      </c>
      <c r="F12" s="13">
        <f>_xll.BDH("NBIX US Equity","NOTES_RECEIVABLE","FQ3 2019","FQ3 2019","Currency=USD","Period=FQ","BEST_FPERIOD_OVERRIDE=FQ","FILING_STATUS=MR","SCALING_FORMAT=MLN","Sort=A","Dates=H","DateFormat=P","Fill=—","Direction=H","UseDPDF=Y")</f>
        <v>0</v>
      </c>
      <c r="G12" s="13">
        <f>_xll.BDH("NBIX US Equity","NOTES_RECEIVABLE","FQ4 2019","FQ4 2019","Currency=USD","Period=FQ","BEST_FPERIOD_OVERRIDE=FQ","FILING_STATUS=MR","SCALING_FORMAT=MLN","Sort=A","Dates=H","DateFormat=P","Fill=—","Direction=H","UseDPDF=Y")</f>
        <v>0</v>
      </c>
      <c r="H12" s="13">
        <f>_xll.BDH("NBIX US Equity","NOTES_RECEIVABLE","FQ1 2020","FQ1 2020","Currency=USD","Period=FQ","BEST_FPERIOD_OVERRIDE=FQ","FILING_STATUS=MR","SCALING_FORMAT=MLN","Sort=A","Dates=H","DateFormat=P","Fill=—","Direction=H","UseDPDF=Y")</f>
        <v>0</v>
      </c>
      <c r="I12" s="13">
        <f>_xll.BDH("NBIX US Equity","NOTES_RECEIVABLE","FQ2 2020","FQ2 2020","Currency=USD","Period=FQ","BEST_FPERIOD_OVERRIDE=FQ","FILING_STATUS=MR","SCALING_FORMAT=MLN","Sort=A","Dates=H","DateFormat=P","Fill=—","Direction=H","UseDPDF=Y")</f>
        <v>0</v>
      </c>
      <c r="J12" s="13">
        <f>_xll.BDH("NBIX US Equity","NOTES_RECEIVABLE","FQ3 2020","FQ3 2020","Currency=USD","Period=FQ","BEST_FPERIOD_OVERRIDE=FQ","FILING_STATUS=MR","SCALING_FORMAT=MLN","Sort=A","Dates=H","DateFormat=P","Fill=—","Direction=H","UseDPDF=Y")</f>
        <v>0</v>
      </c>
      <c r="K12" s="13">
        <f>_xll.BDH("NBIX US Equity","NOTES_RECEIVABLE","FQ4 2020","FQ4 2020","Currency=USD","Period=FQ","BEST_FPERIOD_OVERRIDE=FQ","FILING_STATUS=MR","SCALING_FORMAT=MLN","Sort=A","Dates=H","DateFormat=P","Fill=—","Direction=H","UseDPDF=Y")</f>
        <v>0</v>
      </c>
      <c r="L12" s="13">
        <f>_xll.BDH("NBIX US Equity","NOTES_RECEIVABLE","FQ1 2021","FQ1 2021","Currency=USD","Period=FQ","BEST_FPERIOD_OVERRIDE=FQ","FILING_STATUS=MR","SCALING_FORMAT=MLN","Sort=A","Dates=H","DateFormat=P","Fill=—","Direction=H","UseDPDF=Y")</f>
        <v>0</v>
      </c>
      <c r="M12" s="13">
        <f>_xll.BDH("NBIX US Equity","NOTES_RECEIVABLE","FQ2 2021","FQ2 2021","Currency=USD","Period=FQ","BEST_FPERIOD_OVERRIDE=FQ","FILING_STATUS=MR","SCALING_FORMAT=MLN","Sort=A","Dates=H","DateFormat=P","Fill=—","Direction=H","UseDPDF=Y")</f>
        <v>0</v>
      </c>
      <c r="N12" s="13">
        <f>_xll.BDH("NBIX US Equity","NOTES_RECEIVABLE","FQ3 2021","FQ3 2021","Currency=USD","Period=FQ","BEST_FPERIOD_OVERRIDE=FQ","FILING_STATUS=MR","SCALING_FORMAT=MLN","Sort=A","Dates=H","DateFormat=P","Fill=—","Direction=H","UseDPDF=Y")</f>
        <v>0</v>
      </c>
      <c r="O12" s="13">
        <f>_xll.BDH("NBIX US Equity","NOTES_RECEIVABLE","FQ4 2021","FQ4 2021","Currency=USD","Period=FQ","BEST_FPERIOD_OVERRIDE=FQ","FILING_STATUS=MR","SCALING_FORMAT=MLN","Sort=A","Dates=H","DateFormat=P","Fill=—","Direction=H","UseDPDF=Y")</f>
        <v>0</v>
      </c>
      <c r="P12" s="13">
        <f>_xll.BDH("NBIX US Equity","NOTES_RECEIVABLE","FQ1 2022","FQ1 2022","Currency=USD","Period=FQ","BEST_FPERIOD_OVERRIDE=FQ","FILING_STATUS=MR","SCALING_FORMAT=MLN","Sort=A","Dates=H","DateFormat=P","Fill=—","Direction=H","UseDPDF=Y")</f>
        <v>0</v>
      </c>
      <c r="Q12" s="13">
        <f>_xll.BDH("NBIX US Equity","NOTES_RECEIVABLE","FQ2 2022","FQ2 2022","Currency=USD","Period=FQ","BEST_FPERIOD_OVERRIDE=FQ","FILING_STATUS=MR","SCALING_FORMAT=MLN","Sort=A","Dates=H","DateFormat=P","Fill=—","Direction=H","UseDPDF=Y")</f>
        <v>0</v>
      </c>
      <c r="R12" s="13">
        <f>_xll.BDH("NBIX US Equity","NOTES_RECEIVABLE","FQ3 2022","FQ3 2022","Currency=USD","Period=FQ","BEST_FPERIOD_OVERRIDE=FQ","FILING_STATUS=MR","SCALING_FORMAT=MLN","Sort=A","Dates=H","DateFormat=P","Fill=—","Direction=H","UseDPDF=Y")</f>
        <v>0</v>
      </c>
      <c r="S12" s="13">
        <f>_xll.BDH("NBIX US Equity","NOTES_RECEIVABLE","FQ4 2022","FQ4 2022","Currency=USD","Period=FQ","BEST_FPERIOD_OVERRIDE=FQ","FILING_STATUS=MR","SCALING_FORMAT=MLN","Sort=A","Dates=H","DateFormat=P","Fill=—","Direction=H","UseDPDF=Y")</f>
        <v>0</v>
      </c>
      <c r="T12" s="13">
        <f>_xll.BDH("NBIX US Equity","NOTES_RECEIVABLE","FQ1 2023","FQ1 2023","Currency=USD","Period=FQ","BEST_FPERIOD_OVERRIDE=FQ","FILING_STATUS=MR","SCALING_FORMAT=MLN","Sort=A","Dates=H","DateFormat=P","Fill=—","Direction=H","UseDPDF=Y")</f>
        <v>0</v>
      </c>
      <c r="U12" s="13">
        <f>_xll.BDH("NBIX US Equity","NOTES_RECEIVABLE","FQ2 2023","FQ2 2023","Currency=USD","Period=FQ","BEST_FPERIOD_OVERRIDE=FQ","FILING_STATUS=MR","SCALING_FORMAT=MLN","Sort=A","Dates=H","DateFormat=P","Fill=—","Direction=H","UseDPDF=Y")</f>
        <v>0</v>
      </c>
      <c r="V12" s="13">
        <f>_xll.BDH("NBIX US Equity","NOTES_RECEIVABLE","FQ3 2023","FQ3 2023","Currency=USD","Period=FQ","BEST_FPERIOD_OVERRIDE=FQ","FILING_STATUS=MR","SCALING_FORMAT=MLN","Sort=A","Dates=H","DateFormat=P","Fill=—","Direction=H","UseDPDF=Y")</f>
        <v>0</v>
      </c>
      <c r="W12" s="13">
        <f>_xll.BDH("NBIX US Equity","NOTES_RECEIVABLE","FQ4 2023","FQ4 2023","Currency=USD","Period=FQ","BEST_FPERIOD_OVERRIDE=FQ","FILING_STATUS=MR","SCALING_FORMAT=MLN","Sort=A","Dates=H","DateFormat=P","Fill=—","Direction=H","UseDPDF=Y")</f>
        <v>0</v>
      </c>
      <c r="X12" s="13">
        <f>_xll.BDH("NBIX US Equity","NOTES_RECEIVABLE","FQ1 2024","FQ1 2024","Currency=USD","Period=FQ","BEST_FPERIOD_OVERRIDE=FQ","FILING_STATUS=MR","SCALING_FORMAT=MLN","Sort=A","Dates=H","DateFormat=P","Fill=—","Direction=H","UseDPDF=Y")</f>
        <v>0</v>
      </c>
      <c r="Y12" s="13">
        <f>_xll.BDH("NBIX US Equity","NOTES_RECEIVABLE","FQ2 2024","FQ2 2024","Currency=USD","Period=FQ","BEST_FPERIOD_OVERRIDE=FQ","FILING_STATUS=MR","SCALING_FORMAT=MLN","Sort=A","Dates=H","DateFormat=P","Fill=—","Direction=H","UseDPDF=Y")</f>
        <v>0</v>
      </c>
      <c r="Z12" s="13">
        <f>_xll.BDH("NBIX US Equity","NOTES_RECEIVABLE","FQ3 2024","FQ3 2024","Currency=USD","Period=FQ","BEST_FPERIOD_OVERRIDE=FQ","FILING_STATUS=MR","SCALING_FORMAT=MLN","Sort=A","Dates=H","DateFormat=P","Fill=—","Direction=H","UseDPDF=Y")</f>
        <v>0</v>
      </c>
      <c r="AA12" s="13">
        <f>_xll.BDH("NBIX US Equity","NOTES_RECEIVABLE","FQ4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678</v>
      </c>
      <c r="B13" s="10" t="s">
        <v>679</v>
      </c>
      <c r="C13" s="13">
        <f>_xll.BDH("NBIX US Equity","BS_INVENTORIES","FQ4 2018","FQ4 2018","Currency=USD","Period=FQ","BEST_FPERIOD_OVERRIDE=FQ","FILING_STATUS=MR","SCALING_FORMAT=MLN","Sort=A","Dates=H","DateFormat=P","Fill=—","Direction=H","UseDPDF=Y")</f>
        <v>10.864000000000001</v>
      </c>
      <c r="D13" s="13">
        <f>_xll.BDH("NBIX US Equity","BS_INVENTORIES","FQ1 2019","FQ1 2019","Currency=USD","Period=FQ","BEST_FPERIOD_OVERRIDE=FQ","FILING_STATUS=MR","SCALING_FORMAT=MLN","Sort=A","Dates=H","DateFormat=P","Fill=—","Direction=H","UseDPDF=Y")</f>
        <v>13.01</v>
      </c>
      <c r="E13" s="13">
        <f>_xll.BDH("NBIX US Equity","BS_INVENTORIES","FQ2 2019","FQ2 2019","Currency=USD","Period=FQ","BEST_FPERIOD_OVERRIDE=FQ","FILING_STATUS=MR","SCALING_FORMAT=MLN","Sort=A","Dates=H","DateFormat=P","Fill=—","Direction=H","UseDPDF=Y")</f>
        <v>12.018000000000001</v>
      </c>
      <c r="F13" s="13">
        <f>_xll.BDH("NBIX US Equity","BS_INVENTORIES","FQ3 2019","FQ3 2019","Currency=USD","Period=FQ","BEST_FPERIOD_OVERRIDE=FQ","FILING_STATUS=MR","SCALING_FORMAT=MLN","Sort=A","Dates=H","DateFormat=P","Fill=—","Direction=H","UseDPDF=Y")</f>
        <v>10.798</v>
      </c>
      <c r="G13" s="13">
        <f>_xll.BDH("NBIX US Equity","BS_INVENTORIES","FQ4 2019","FQ4 2019","Currency=USD","Period=FQ","BEST_FPERIOD_OVERRIDE=FQ","FILING_STATUS=MR","SCALING_FORMAT=MLN","Sort=A","Dates=H","DateFormat=P","Fill=—","Direction=H","UseDPDF=Y")</f>
        <v>17.3</v>
      </c>
      <c r="H13" s="13">
        <f>_xll.BDH("NBIX US Equity","BS_INVENTORIES","FQ1 2020","FQ1 2020","Currency=USD","Period=FQ","BEST_FPERIOD_OVERRIDE=FQ","FILING_STATUS=MR","SCALING_FORMAT=MLN","Sort=A","Dates=H","DateFormat=P","Fill=—","Direction=H","UseDPDF=Y")</f>
        <v>21.2</v>
      </c>
      <c r="I13" s="13">
        <f>_xll.BDH("NBIX US Equity","BS_INVENTORIES","FQ2 2020","FQ2 2020","Currency=USD","Period=FQ","BEST_FPERIOD_OVERRIDE=FQ","FILING_STATUS=MR","SCALING_FORMAT=MLN","Sort=A","Dates=H","DateFormat=P","Fill=—","Direction=H","UseDPDF=Y")</f>
        <v>22</v>
      </c>
      <c r="J13" s="13">
        <f>_xll.BDH("NBIX US Equity","BS_INVENTORIES","FQ3 2020","FQ3 2020","Currency=USD","Period=FQ","BEST_FPERIOD_OVERRIDE=FQ","FILING_STATUS=MR","SCALING_FORMAT=MLN","Sort=A","Dates=H","DateFormat=P","Fill=—","Direction=H","UseDPDF=Y")</f>
        <v>20.6</v>
      </c>
      <c r="K13" s="13">
        <f>_xll.BDH("NBIX US Equity","BS_INVENTORIES","FQ4 2020","FQ4 2020","Currency=USD","Period=FQ","BEST_FPERIOD_OVERRIDE=FQ","FILING_STATUS=MR","SCALING_FORMAT=MLN","Sort=A","Dates=H","DateFormat=P","Fill=—","Direction=H","UseDPDF=Y")</f>
        <v>28</v>
      </c>
      <c r="L13" s="13">
        <f>_xll.BDH("NBIX US Equity","BS_INVENTORIES","FQ1 2021","FQ1 2021","Currency=USD","Period=FQ","BEST_FPERIOD_OVERRIDE=FQ","FILING_STATUS=MR","SCALING_FORMAT=MLN","Sort=A","Dates=H","DateFormat=P","Fill=—","Direction=H","UseDPDF=Y")</f>
        <v>30.1</v>
      </c>
      <c r="M13" s="13">
        <f>_xll.BDH("NBIX US Equity","BS_INVENTORIES","FQ2 2021","FQ2 2021","Currency=USD","Period=FQ","BEST_FPERIOD_OVERRIDE=FQ","FILING_STATUS=MR","SCALING_FORMAT=MLN","Sort=A","Dates=H","DateFormat=P","Fill=—","Direction=H","UseDPDF=Y")</f>
        <v>28.3</v>
      </c>
      <c r="N13" s="13">
        <f>_xll.BDH("NBIX US Equity","BS_INVENTORIES","FQ3 2021","FQ3 2021","Currency=USD","Period=FQ","BEST_FPERIOD_OVERRIDE=FQ","FILING_STATUS=MR","SCALING_FORMAT=MLN","Sort=A","Dates=H","DateFormat=P","Fill=—","Direction=H","UseDPDF=Y")</f>
        <v>25.5</v>
      </c>
      <c r="O13" s="13">
        <f>_xll.BDH("NBIX US Equity","BS_INVENTORIES","FQ4 2021","FQ4 2021","Currency=USD","Period=FQ","BEST_FPERIOD_OVERRIDE=FQ","FILING_STATUS=MR","SCALING_FORMAT=MLN","Sort=A","Dates=H","DateFormat=P","Fill=—","Direction=H","UseDPDF=Y")</f>
        <v>30.5</v>
      </c>
      <c r="P13" s="13">
        <f>_xll.BDH("NBIX US Equity","BS_INVENTORIES","FQ1 2022","FQ1 2022","Currency=USD","Period=FQ","BEST_FPERIOD_OVERRIDE=FQ","FILING_STATUS=MR","SCALING_FORMAT=MLN","Sort=A","Dates=H","DateFormat=P","Fill=—","Direction=H","UseDPDF=Y")</f>
        <v>29</v>
      </c>
      <c r="Q13" s="13">
        <f>_xll.BDH("NBIX US Equity","BS_INVENTORIES","FQ2 2022","FQ2 2022","Currency=USD","Period=FQ","BEST_FPERIOD_OVERRIDE=FQ","FILING_STATUS=MR","SCALING_FORMAT=MLN","Sort=A","Dates=H","DateFormat=P","Fill=—","Direction=H","UseDPDF=Y")</f>
        <v>29.3</v>
      </c>
      <c r="R13" s="13">
        <f>_xll.BDH("NBIX US Equity","BS_INVENTORIES","FQ3 2022","FQ3 2022","Currency=USD","Period=FQ","BEST_FPERIOD_OVERRIDE=FQ","FILING_STATUS=MR","SCALING_FORMAT=MLN","Sort=A","Dates=H","DateFormat=P","Fill=—","Direction=H","UseDPDF=Y")</f>
        <v>37</v>
      </c>
      <c r="S13" s="13">
        <f>_xll.BDH("NBIX US Equity","BS_INVENTORIES","FQ4 2022","FQ4 2022","Currency=USD","Period=FQ","BEST_FPERIOD_OVERRIDE=FQ","FILING_STATUS=MR","SCALING_FORMAT=MLN","Sort=A","Dates=H","DateFormat=P","Fill=—","Direction=H","UseDPDF=Y")</f>
        <v>35.1</v>
      </c>
      <c r="T13" s="13">
        <f>_xll.BDH("NBIX US Equity","BS_INVENTORIES","FQ1 2023","FQ1 2023","Currency=USD","Period=FQ","BEST_FPERIOD_OVERRIDE=FQ","FILING_STATUS=MR","SCALING_FORMAT=MLN","Sort=A","Dates=H","DateFormat=P","Fill=—","Direction=H","UseDPDF=Y")</f>
        <v>33.4</v>
      </c>
      <c r="U13" s="13">
        <f>_xll.BDH("NBIX US Equity","BS_INVENTORIES","FQ2 2023","FQ2 2023","Currency=USD","Period=FQ","BEST_FPERIOD_OVERRIDE=FQ","FILING_STATUS=MR","SCALING_FORMAT=MLN","Sort=A","Dates=H","DateFormat=P","Fill=—","Direction=H","UseDPDF=Y")</f>
        <v>31.7</v>
      </c>
      <c r="V13" s="13">
        <f>_xll.BDH("NBIX US Equity","BS_INVENTORIES","FQ3 2023","FQ3 2023","Currency=USD","Period=FQ","BEST_FPERIOD_OVERRIDE=FQ","FILING_STATUS=MR","SCALING_FORMAT=MLN","Sort=A","Dates=H","DateFormat=P","Fill=—","Direction=H","UseDPDF=Y")</f>
        <v>28.8</v>
      </c>
      <c r="W13" s="13">
        <f>_xll.BDH("NBIX US Equity","BS_INVENTORIES","FQ4 2023","FQ4 2023","Currency=USD","Period=FQ","BEST_FPERIOD_OVERRIDE=FQ","FILING_STATUS=MR","SCALING_FORMAT=MLN","Sort=A","Dates=H","DateFormat=P","Fill=—","Direction=H","UseDPDF=Y")</f>
        <v>38.299999999999997</v>
      </c>
      <c r="X13" s="13">
        <f>_xll.BDH("NBIX US Equity","BS_INVENTORIES","FQ1 2024","FQ1 2024","Currency=USD","Period=FQ","BEST_FPERIOD_OVERRIDE=FQ","FILING_STATUS=MR","SCALING_FORMAT=MLN","Sort=A","Dates=H","DateFormat=P","Fill=—","Direction=H","UseDPDF=Y")</f>
        <v>37.200000000000003</v>
      </c>
      <c r="Y13" s="13">
        <f>_xll.BDH("NBIX US Equity","BS_INVENTORIES","FQ2 2024","FQ2 2024","Currency=USD","Period=FQ","BEST_FPERIOD_OVERRIDE=FQ","FILING_STATUS=MR","SCALING_FORMAT=MLN","Sort=A","Dates=H","DateFormat=P","Fill=—","Direction=H","UseDPDF=Y")</f>
        <v>42.5</v>
      </c>
      <c r="Z13" s="13">
        <f>_xll.BDH("NBIX US Equity","BS_INVENTORIES","FQ3 2024","FQ3 2024","Currency=USD","Period=FQ","BEST_FPERIOD_OVERRIDE=FQ","FILING_STATUS=MR","SCALING_FORMAT=MLN","Sort=A","Dates=H","DateFormat=P","Fill=—","Direction=H","UseDPDF=Y")</f>
        <v>45.8</v>
      </c>
      <c r="AA13" s="13">
        <f>_xll.BDH("NBIX US Equity","BS_INVENTORIES","FQ4 2024","FQ4 2024","Currency=USD","Period=FQ","BEST_FPERIOD_OVERRIDE=FQ","FILING_STATUS=MR","SCALING_FORMAT=MLN","Sort=A","Dates=H","DateFormat=P","Fill=—","Direction=H","UseDPDF=Y")</f>
        <v>57.4</v>
      </c>
    </row>
    <row r="14" spans="1:27" x14ac:dyDescent="0.25">
      <c r="A14" s="10" t="s">
        <v>680</v>
      </c>
      <c r="B14" s="10" t="s">
        <v>681</v>
      </c>
      <c r="C14" s="13">
        <f>_xll.BDH("NBIX US Equity","INVTRY_RAW_MATERIALS","FQ4 2018","FQ4 2018","Currency=USD","Period=FQ","BEST_FPERIOD_OVERRIDE=FQ","FILING_STATUS=MR","SCALING_FORMAT=MLN","Sort=A","Dates=H","DateFormat=P","Fill=—","Direction=H","UseDPDF=Y")</f>
        <v>7.8550000000000004</v>
      </c>
      <c r="D14" s="13">
        <f>_xll.BDH("NBIX US Equity","INVTRY_RAW_MATERIALS","FQ1 2019","FQ1 2019","Currency=USD","Period=FQ","BEST_FPERIOD_OVERRIDE=FQ","FILING_STATUS=MR","SCALING_FORMAT=MLN","Sort=A","Dates=H","DateFormat=P","Fill=—","Direction=H","UseDPDF=Y")</f>
        <v>7.7329999999999997</v>
      </c>
      <c r="E14" s="13">
        <f>_xll.BDH("NBIX US Equity","INVTRY_RAW_MATERIALS","FQ2 2019","FQ2 2019","Currency=USD","Period=FQ","BEST_FPERIOD_OVERRIDE=FQ","FILING_STATUS=MR","SCALING_FORMAT=MLN","Sort=A","Dates=H","DateFormat=P","Fill=—","Direction=H","UseDPDF=Y")</f>
        <v>6.6719999999999997</v>
      </c>
      <c r="F14" s="13">
        <f>_xll.BDH("NBIX US Equity","INVTRY_RAW_MATERIALS","FQ3 2019","FQ3 2019","Currency=USD","Period=FQ","BEST_FPERIOD_OVERRIDE=FQ","FILING_STATUS=MR","SCALING_FORMAT=MLN","Sort=A","Dates=H","DateFormat=P","Fill=—","Direction=H","UseDPDF=Y")</f>
        <v>6.4610000000000003</v>
      </c>
      <c r="G14" s="13">
        <f>_xll.BDH("NBIX US Equity","INVTRY_RAW_MATERIALS","FQ4 2019","FQ4 2019","Currency=USD","Period=FQ","BEST_FPERIOD_OVERRIDE=FQ","FILING_STATUS=MR","SCALING_FORMAT=MLN","Sort=A","Dates=H","DateFormat=P","Fill=—","Direction=H","UseDPDF=Y")</f>
        <v>14.1</v>
      </c>
      <c r="H14" s="13">
        <f>_xll.BDH("NBIX US Equity","INVTRY_RAW_MATERIALS","FQ1 2020","FQ1 2020","Currency=USD","Period=FQ","BEST_FPERIOD_OVERRIDE=FQ","FILING_STATUS=MR","SCALING_FORMAT=MLN","Sort=A","Dates=H","DateFormat=P","Fill=—","Direction=H","UseDPDF=Y")</f>
        <v>17.8</v>
      </c>
      <c r="I14" s="13">
        <f>_xll.BDH("NBIX US Equity","INVTRY_RAW_MATERIALS","FQ2 2020","FQ2 2020","Currency=USD","Period=FQ","BEST_FPERIOD_OVERRIDE=FQ","FILING_STATUS=MR","SCALING_FORMAT=MLN","Sort=A","Dates=H","DateFormat=P","Fill=—","Direction=H","UseDPDF=Y")</f>
        <v>15.8</v>
      </c>
      <c r="J14" s="13">
        <f>_xll.BDH("NBIX US Equity","INVTRY_RAW_MATERIALS","FQ3 2020","FQ3 2020","Currency=USD","Period=FQ","BEST_FPERIOD_OVERRIDE=FQ","FILING_STATUS=MR","SCALING_FORMAT=MLN","Sort=A","Dates=H","DateFormat=P","Fill=—","Direction=H","UseDPDF=Y")</f>
        <v>14.8</v>
      </c>
      <c r="K14" s="13">
        <f>_xll.BDH("NBIX US Equity","INVTRY_RAW_MATERIALS","FQ4 2020","FQ4 2020","Currency=USD","Period=FQ","BEST_FPERIOD_OVERRIDE=FQ","FILING_STATUS=MR","SCALING_FORMAT=MLN","Sort=A","Dates=H","DateFormat=P","Fill=—","Direction=H","UseDPDF=Y")</f>
        <v>16.600000000000001</v>
      </c>
      <c r="L14" s="13">
        <f>_xll.BDH("NBIX US Equity","INVTRY_RAW_MATERIALS","FQ1 2021","FQ1 2021","Currency=USD","Period=FQ","BEST_FPERIOD_OVERRIDE=FQ","FILING_STATUS=MR","SCALING_FORMAT=MLN","Sort=A","Dates=H","DateFormat=P","Fill=—","Direction=H","UseDPDF=Y")</f>
        <v>14.8</v>
      </c>
      <c r="M14" s="13">
        <f>_xll.BDH("NBIX US Equity","INVTRY_RAW_MATERIALS","FQ2 2021","FQ2 2021","Currency=USD","Period=FQ","BEST_FPERIOD_OVERRIDE=FQ","FILING_STATUS=MR","SCALING_FORMAT=MLN","Sort=A","Dates=H","DateFormat=P","Fill=—","Direction=H","UseDPDF=Y")</f>
        <v>14.2</v>
      </c>
      <c r="N14" s="13">
        <f>_xll.BDH("NBIX US Equity","INVTRY_RAW_MATERIALS","FQ3 2021","FQ3 2021","Currency=USD","Period=FQ","BEST_FPERIOD_OVERRIDE=FQ","FILING_STATUS=MR","SCALING_FORMAT=MLN","Sort=A","Dates=H","DateFormat=P","Fill=—","Direction=H","UseDPDF=Y")</f>
        <v>13</v>
      </c>
      <c r="O14" s="13">
        <f>_xll.BDH("NBIX US Equity","INVTRY_RAW_MATERIALS","FQ4 2021","FQ4 2021","Currency=USD","Period=FQ","BEST_FPERIOD_OVERRIDE=FQ","FILING_STATUS=MR","SCALING_FORMAT=MLN","Sort=A","Dates=H","DateFormat=P","Fill=—","Direction=H","UseDPDF=Y")</f>
        <v>11.2</v>
      </c>
      <c r="P14" s="13">
        <f>_xll.BDH("NBIX US Equity","INVTRY_RAW_MATERIALS","FQ1 2022","FQ1 2022","Currency=USD","Period=FQ","BEST_FPERIOD_OVERRIDE=FQ","FILING_STATUS=MR","SCALING_FORMAT=MLN","Sort=A","Dates=H","DateFormat=P","Fill=—","Direction=H","UseDPDF=Y")</f>
        <v>9.1999999999999993</v>
      </c>
      <c r="Q14" s="13">
        <f>_xll.BDH("NBIX US Equity","INVTRY_RAW_MATERIALS","FQ2 2022","FQ2 2022","Currency=USD","Period=FQ","BEST_FPERIOD_OVERRIDE=FQ","FILING_STATUS=MR","SCALING_FORMAT=MLN","Sort=A","Dates=H","DateFormat=P","Fill=—","Direction=H","UseDPDF=Y")</f>
        <v>8</v>
      </c>
      <c r="R14" s="13">
        <f>_xll.BDH("NBIX US Equity","INVTRY_RAW_MATERIALS","FQ3 2022","FQ3 2022","Currency=USD","Period=FQ","BEST_FPERIOD_OVERRIDE=FQ","FILING_STATUS=MR","SCALING_FORMAT=MLN","Sort=A","Dates=H","DateFormat=P","Fill=—","Direction=H","UseDPDF=Y")</f>
        <v>15</v>
      </c>
      <c r="S14" s="13">
        <f>_xll.BDH("NBIX US Equity","INVTRY_RAW_MATERIALS","FQ4 2022","FQ4 2022","Currency=USD","Period=FQ","BEST_FPERIOD_OVERRIDE=FQ","FILING_STATUS=MR","SCALING_FORMAT=MLN","Sort=A","Dates=H","DateFormat=P","Fill=—","Direction=H","UseDPDF=Y")</f>
        <v>12</v>
      </c>
      <c r="T14" s="13">
        <f>_xll.BDH("NBIX US Equity","INVTRY_RAW_MATERIALS","FQ1 2023","FQ1 2023","Currency=USD","Period=FQ","BEST_FPERIOD_OVERRIDE=FQ","FILING_STATUS=MR","SCALING_FORMAT=MLN","Sort=A","Dates=H","DateFormat=P","Fill=—","Direction=H","UseDPDF=Y")</f>
        <v>6.7</v>
      </c>
      <c r="U14" s="13">
        <f>_xll.BDH("NBIX US Equity","INVTRY_RAW_MATERIALS","FQ2 2023","FQ2 2023","Currency=USD","Period=FQ","BEST_FPERIOD_OVERRIDE=FQ","FILING_STATUS=MR","SCALING_FORMAT=MLN","Sort=A","Dates=H","DateFormat=P","Fill=—","Direction=H","UseDPDF=Y")</f>
        <v>10.4</v>
      </c>
      <c r="V14" s="13">
        <f>_xll.BDH("NBIX US Equity","INVTRY_RAW_MATERIALS","FQ3 2023","FQ3 2023","Currency=USD","Period=FQ","BEST_FPERIOD_OVERRIDE=FQ","FILING_STATUS=MR","SCALING_FORMAT=MLN","Sort=A","Dates=H","DateFormat=P","Fill=—","Direction=H","UseDPDF=Y")</f>
        <v>9.1</v>
      </c>
      <c r="W14" s="13">
        <f>_xll.BDH("NBIX US Equity","INVTRY_RAW_MATERIALS","FQ4 2023","FQ4 2023","Currency=USD","Period=FQ","BEST_FPERIOD_OVERRIDE=FQ","FILING_STATUS=MR","SCALING_FORMAT=MLN","Sort=A","Dates=H","DateFormat=P","Fill=—","Direction=H","UseDPDF=Y")</f>
        <v>21.5</v>
      </c>
      <c r="X14" s="13">
        <f>_xll.BDH("NBIX US Equity","INVTRY_RAW_MATERIALS","FQ1 2024","FQ1 2024","Currency=USD","Period=FQ","BEST_FPERIOD_OVERRIDE=FQ","FILING_STATUS=MR","SCALING_FORMAT=MLN","Sort=A","Dates=H","DateFormat=P","Fill=—","Direction=H","UseDPDF=Y")</f>
        <v>18.100000000000001</v>
      </c>
      <c r="Y14" s="13">
        <f>_xll.BDH("NBIX US Equity","INVTRY_RAW_MATERIALS","FQ2 2024","FQ2 2024","Currency=USD","Period=FQ","BEST_FPERIOD_OVERRIDE=FQ","FILING_STATUS=MR","SCALING_FORMAT=MLN","Sort=A","Dates=H","DateFormat=P","Fill=—","Direction=H","UseDPDF=Y")</f>
        <v>21.3</v>
      </c>
      <c r="Z14" s="13">
        <f>_xll.BDH("NBIX US Equity","INVTRY_RAW_MATERIALS","FQ3 2024","FQ3 2024","Currency=USD","Period=FQ","BEST_FPERIOD_OVERRIDE=FQ","FILING_STATUS=MR","SCALING_FORMAT=MLN","Sort=A","Dates=H","DateFormat=P","Fill=—","Direction=H","UseDPDF=Y")</f>
        <v>23.7</v>
      </c>
      <c r="AA14" s="13">
        <f>_xll.BDH("NBIX US Equity","INVTRY_RAW_MATERIALS","FQ4 2024","FQ4 2024","Currency=USD","Period=FQ","BEST_FPERIOD_OVERRIDE=FQ","FILING_STATUS=MR","SCALING_FORMAT=MLN","Sort=A","Dates=H","DateFormat=P","Fill=—","Direction=H","UseDPDF=Y")</f>
        <v>33.700000000000003</v>
      </c>
    </row>
    <row r="15" spans="1:27" x14ac:dyDescent="0.25">
      <c r="A15" s="10" t="s">
        <v>682</v>
      </c>
      <c r="B15" s="10" t="s">
        <v>683</v>
      </c>
      <c r="C15" s="13">
        <f>_xll.BDH("NBIX US Equity","INVTRY_IN_PROGRESS","FQ4 2018","FQ4 2018","Currency=USD","Period=FQ","BEST_FPERIOD_OVERRIDE=FQ","FILING_STATUS=MR","SCALING_FORMAT=MLN","Sort=A","Dates=H","DateFormat=P","Fill=—","Direction=H","UseDPDF=Y")</f>
        <v>2.2080000000000002</v>
      </c>
      <c r="D15" s="13">
        <f>_xll.BDH("NBIX US Equity","INVTRY_IN_PROGRESS","FQ1 2019","FQ1 2019","Currency=USD","Period=FQ","BEST_FPERIOD_OVERRIDE=FQ","FILING_STATUS=MR","SCALING_FORMAT=MLN","Sort=A","Dates=H","DateFormat=P","Fill=—","Direction=H","UseDPDF=Y")</f>
        <v>4.4580000000000002</v>
      </c>
      <c r="E15" s="13">
        <f>_xll.BDH("NBIX US Equity","INVTRY_IN_PROGRESS","FQ2 2019","FQ2 2019","Currency=USD","Period=FQ","BEST_FPERIOD_OVERRIDE=FQ","FILING_STATUS=MR","SCALING_FORMAT=MLN","Sort=A","Dates=H","DateFormat=P","Fill=—","Direction=H","UseDPDF=Y")</f>
        <v>3.4510000000000001</v>
      </c>
      <c r="F15" s="13">
        <f>_xll.BDH("NBIX US Equity","INVTRY_IN_PROGRESS","FQ3 2019","FQ3 2019","Currency=USD","Period=FQ","BEST_FPERIOD_OVERRIDE=FQ","FILING_STATUS=MR","SCALING_FORMAT=MLN","Sort=A","Dates=H","DateFormat=P","Fill=—","Direction=H","UseDPDF=Y")</f>
        <v>2.2490000000000001</v>
      </c>
      <c r="G15" s="13">
        <f>_xll.BDH("NBIX US Equity","INVTRY_IN_PROGRESS","FQ4 2019","FQ4 2019","Currency=USD","Period=FQ","BEST_FPERIOD_OVERRIDE=FQ","FILING_STATUS=MR","SCALING_FORMAT=MLN","Sort=A","Dates=H","DateFormat=P","Fill=—","Direction=H","UseDPDF=Y")</f>
        <v>1.5</v>
      </c>
      <c r="H15" s="13">
        <f>_xll.BDH("NBIX US Equity","INVTRY_IN_PROGRESS","FQ1 2020","FQ1 2020","Currency=USD","Period=FQ","BEST_FPERIOD_OVERRIDE=FQ","FILING_STATUS=MR","SCALING_FORMAT=MLN","Sort=A","Dates=H","DateFormat=P","Fill=—","Direction=H","UseDPDF=Y")</f>
        <v>1.1000000000000001</v>
      </c>
      <c r="I15" s="13">
        <f>_xll.BDH("NBIX US Equity","INVTRY_IN_PROGRESS","FQ2 2020","FQ2 2020","Currency=USD","Period=FQ","BEST_FPERIOD_OVERRIDE=FQ","FILING_STATUS=MR","SCALING_FORMAT=MLN","Sort=A","Dates=H","DateFormat=P","Fill=—","Direction=H","UseDPDF=Y")</f>
        <v>1.8</v>
      </c>
      <c r="J15" s="13">
        <f>_xll.BDH("NBIX US Equity","INVTRY_IN_PROGRESS","FQ3 2020","FQ3 2020","Currency=USD","Period=FQ","BEST_FPERIOD_OVERRIDE=FQ","FILING_STATUS=MR","SCALING_FORMAT=MLN","Sort=A","Dates=H","DateFormat=P","Fill=—","Direction=H","UseDPDF=Y")</f>
        <v>1</v>
      </c>
      <c r="K15" s="13">
        <f>_xll.BDH("NBIX US Equity","INVTRY_IN_PROGRESS","FQ4 2020","FQ4 2020","Currency=USD","Period=FQ","BEST_FPERIOD_OVERRIDE=FQ","FILING_STATUS=MR","SCALING_FORMAT=MLN","Sort=A","Dates=H","DateFormat=P","Fill=—","Direction=H","UseDPDF=Y")</f>
        <v>2.4</v>
      </c>
      <c r="L15" s="13">
        <f>_xll.BDH("NBIX US Equity","INVTRY_IN_PROGRESS","FQ1 2021","FQ1 2021","Currency=USD","Period=FQ","BEST_FPERIOD_OVERRIDE=FQ","FILING_STATUS=MR","SCALING_FORMAT=MLN","Sort=A","Dates=H","DateFormat=P","Fill=—","Direction=H","UseDPDF=Y")</f>
        <v>2.5</v>
      </c>
      <c r="M15" s="13">
        <f>_xll.BDH("NBIX US Equity","INVTRY_IN_PROGRESS","FQ2 2021","FQ2 2021","Currency=USD","Period=FQ","BEST_FPERIOD_OVERRIDE=FQ","FILING_STATUS=MR","SCALING_FORMAT=MLN","Sort=A","Dates=H","DateFormat=P","Fill=—","Direction=H","UseDPDF=Y")</f>
        <v>2.6</v>
      </c>
      <c r="N15" s="13">
        <f>_xll.BDH("NBIX US Equity","INVTRY_IN_PROGRESS","FQ3 2021","FQ3 2021","Currency=USD","Period=FQ","BEST_FPERIOD_OVERRIDE=FQ","FILING_STATUS=MR","SCALING_FORMAT=MLN","Sort=A","Dates=H","DateFormat=P","Fill=—","Direction=H","UseDPDF=Y")</f>
        <v>1.3</v>
      </c>
      <c r="O15" s="13">
        <f>_xll.BDH("NBIX US Equity","INVTRY_IN_PROGRESS","FQ4 2021","FQ4 2021","Currency=USD","Period=FQ","BEST_FPERIOD_OVERRIDE=FQ","FILING_STATUS=MR","SCALING_FORMAT=MLN","Sort=A","Dates=H","DateFormat=P","Fill=—","Direction=H","UseDPDF=Y")</f>
        <v>3.6</v>
      </c>
      <c r="P15" s="13">
        <f>_xll.BDH("NBIX US Equity","INVTRY_IN_PROGRESS","FQ1 2022","FQ1 2022","Currency=USD","Period=FQ","BEST_FPERIOD_OVERRIDE=FQ","FILING_STATUS=MR","SCALING_FORMAT=MLN","Sort=A","Dates=H","DateFormat=P","Fill=—","Direction=H","UseDPDF=Y")</f>
        <v>4.4000000000000004</v>
      </c>
      <c r="Q15" s="13">
        <f>_xll.BDH("NBIX US Equity","INVTRY_IN_PROGRESS","FQ2 2022","FQ2 2022","Currency=USD","Period=FQ","BEST_FPERIOD_OVERRIDE=FQ","FILING_STATUS=MR","SCALING_FORMAT=MLN","Sort=A","Dates=H","DateFormat=P","Fill=—","Direction=H","UseDPDF=Y")</f>
        <v>3.4</v>
      </c>
      <c r="R15" s="13">
        <f>_xll.BDH("NBIX US Equity","INVTRY_IN_PROGRESS","FQ3 2022","FQ3 2022","Currency=USD","Period=FQ","BEST_FPERIOD_OVERRIDE=FQ","FILING_STATUS=MR","SCALING_FORMAT=MLN","Sort=A","Dates=H","DateFormat=P","Fill=—","Direction=H","UseDPDF=Y")</f>
        <v>5</v>
      </c>
      <c r="S15" s="13">
        <f>_xll.BDH("NBIX US Equity","INVTRY_IN_PROGRESS","FQ4 2022","FQ4 2022","Currency=USD","Period=FQ","BEST_FPERIOD_OVERRIDE=FQ","FILING_STATUS=MR","SCALING_FORMAT=MLN","Sort=A","Dates=H","DateFormat=P","Fill=—","Direction=H","UseDPDF=Y")</f>
        <v>5.6</v>
      </c>
      <c r="T15" s="13">
        <f>_xll.BDH("NBIX US Equity","INVTRY_IN_PROGRESS","FQ1 2023","FQ1 2023","Currency=USD","Period=FQ","BEST_FPERIOD_OVERRIDE=FQ","FILING_STATUS=MR","SCALING_FORMAT=MLN","Sort=A","Dates=H","DateFormat=P","Fill=—","Direction=H","UseDPDF=Y")</f>
        <v>8.6999999999999993</v>
      </c>
      <c r="U15" s="13">
        <f>_xll.BDH("NBIX US Equity","INVTRY_IN_PROGRESS","FQ2 2023","FQ2 2023","Currency=USD","Period=FQ","BEST_FPERIOD_OVERRIDE=FQ","FILING_STATUS=MR","SCALING_FORMAT=MLN","Sort=A","Dates=H","DateFormat=P","Fill=—","Direction=H","UseDPDF=Y")</f>
        <v>6.3</v>
      </c>
      <c r="V15" s="13">
        <f>_xll.BDH("NBIX US Equity","INVTRY_IN_PROGRESS","FQ3 2023","FQ3 2023","Currency=USD","Period=FQ","BEST_FPERIOD_OVERRIDE=FQ","FILING_STATUS=MR","SCALING_FORMAT=MLN","Sort=A","Dates=H","DateFormat=P","Fill=—","Direction=H","UseDPDF=Y")</f>
        <v>9.3000000000000007</v>
      </c>
      <c r="W15" s="13">
        <f>_xll.BDH("NBIX US Equity","INVTRY_IN_PROGRESS","FQ4 2023","FQ4 2023","Currency=USD","Period=FQ","BEST_FPERIOD_OVERRIDE=FQ","FILING_STATUS=MR","SCALING_FORMAT=MLN","Sort=A","Dates=H","DateFormat=P","Fill=—","Direction=H","UseDPDF=Y")</f>
        <v>9.6999999999999993</v>
      </c>
      <c r="X15" s="13">
        <f>_xll.BDH("NBIX US Equity","INVTRY_IN_PROGRESS","FQ1 2024","FQ1 2024","Currency=USD","Period=FQ","BEST_FPERIOD_OVERRIDE=FQ","FILING_STATUS=MR","SCALING_FORMAT=MLN","Sort=A","Dates=H","DateFormat=P","Fill=—","Direction=H","UseDPDF=Y")</f>
        <v>12</v>
      </c>
      <c r="Y15" s="13">
        <f>_xll.BDH("NBIX US Equity","INVTRY_IN_PROGRESS","FQ2 2024","FQ2 2024","Currency=USD","Period=FQ","BEST_FPERIOD_OVERRIDE=FQ","FILING_STATUS=MR","SCALING_FORMAT=MLN","Sort=A","Dates=H","DateFormat=P","Fill=—","Direction=H","UseDPDF=Y")</f>
        <v>12</v>
      </c>
      <c r="Z15" s="13">
        <f>_xll.BDH("NBIX US Equity","INVTRY_IN_PROGRESS","FQ3 2024","FQ3 2024","Currency=USD","Period=FQ","BEST_FPERIOD_OVERRIDE=FQ","FILING_STATUS=MR","SCALING_FORMAT=MLN","Sort=A","Dates=H","DateFormat=P","Fill=—","Direction=H","UseDPDF=Y")</f>
        <v>10.6</v>
      </c>
      <c r="AA15" s="13">
        <f>_xll.BDH("NBIX US Equity","INVTRY_IN_PROGRESS","FQ4 2024","FQ4 2024","Currency=USD","Period=FQ","BEST_FPERIOD_OVERRIDE=FQ","FILING_STATUS=MR","SCALING_FORMAT=MLN","Sort=A","Dates=H","DateFormat=P","Fill=—","Direction=H","UseDPDF=Y")</f>
        <v>10.9</v>
      </c>
    </row>
    <row r="16" spans="1:27" x14ac:dyDescent="0.25">
      <c r="A16" s="10" t="s">
        <v>684</v>
      </c>
      <c r="B16" s="10" t="s">
        <v>685</v>
      </c>
      <c r="C16" s="13">
        <f>_xll.BDH("NBIX US Equity","INVTRY_FINISHED_GOODS","FQ4 2018","FQ4 2018","Currency=USD","Period=FQ","BEST_FPERIOD_OVERRIDE=FQ","FILING_STATUS=MR","SCALING_FORMAT=MLN","Sort=A","Dates=H","DateFormat=P","Fill=—","Direction=H","UseDPDF=Y")</f>
        <v>0.80100000000000005</v>
      </c>
      <c r="D16" s="13">
        <f>_xll.BDH("NBIX US Equity","INVTRY_FINISHED_GOODS","FQ1 2019","FQ1 2019","Currency=USD","Period=FQ","BEST_FPERIOD_OVERRIDE=FQ","FILING_STATUS=MR","SCALING_FORMAT=MLN","Sort=A","Dates=H","DateFormat=P","Fill=—","Direction=H","UseDPDF=Y")</f>
        <v>0.81899999999999995</v>
      </c>
      <c r="E16" s="13">
        <f>_xll.BDH("NBIX US Equity","INVTRY_FINISHED_GOODS","FQ2 2019","FQ2 2019","Currency=USD","Period=FQ","BEST_FPERIOD_OVERRIDE=FQ","FILING_STATUS=MR","SCALING_FORMAT=MLN","Sort=A","Dates=H","DateFormat=P","Fill=—","Direction=H","UseDPDF=Y")</f>
        <v>1.895</v>
      </c>
      <c r="F16" s="13">
        <f>_xll.BDH("NBIX US Equity","INVTRY_FINISHED_GOODS","FQ3 2019","FQ3 2019","Currency=USD","Period=FQ","BEST_FPERIOD_OVERRIDE=FQ","FILING_STATUS=MR","SCALING_FORMAT=MLN","Sort=A","Dates=H","DateFormat=P","Fill=—","Direction=H","UseDPDF=Y")</f>
        <v>2.0880000000000001</v>
      </c>
      <c r="G16" s="13">
        <f>_xll.BDH("NBIX US Equity","INVTRY_FINISHED_GOODS","FQ4 2019","FQ4 2019","Currency=USD","Period=FQ","BEST_FPERIOD_OVERRIDE=FQ","FILING_STATUS=MR","SCALING_FORMAT=MLN","Sort=A","Dates=H","DateFormat=P","Fill=—","Direction=H","UseDPDF=Y")</f>
        <v>1.7</v>
      </c>
      <c r="H16" s="13">
        <f>_xll.BDH("NBIX US Equity","INVTRY_FINISHED_GOODS","FQ1 2020","FQ1 2020","Currency=USD","Period=FQ","BEST_FPERIOD_OVERRIDE=FQ","FILING_STATUS=MR","SCALING_FORMAT=MLN","Sort=A","Dates=H","DateFormat=P","Fill=—","Direction=H","UseDPDF=Y")</f>
        <v>2.2999999999999998</v>
      </c>
      <c r="I16" s="13">
        <f>_xll.BDH("NBIX US Equity","INVTRY_FINISHED_GOODS","FQ2 2020","FQ2 2020","Currency=USD","Period=FQ","BEST_FPERIOD_OVERRIDE=FQ","FILING_STATUS=MR","SCALING_FORMAT=MLN","Sort=A","Dates=H","DateFormat=P","Fill=—","Direction=H","UseDPDF=Y")</f>
        <v>4.4000000000000004</v>
      </c>
      <c r="J16" s="13">
        <f>_xll.BDH("NBIX US Equity","INVTRY_FINISHED_GOODS","FQ3 2020","FQ3 2020","Currency=USD","Period=FQ","BEST_FPERIOD_OVERRIDE=FQ","FILING_STATUS=MR","SCALING_FORMAT=MLN","Sort=A","Dates=H","DateFormat=P","Fill=—","Direction=H","UseDPDF=Y")</f>
        <v>4.8</v>
      </c>
      <c r="K16" s="13">
        <f>_xll.BDH("NBIX US Equity","INVTRY_FINISHED_GOODS","FQ4 2020","FQ4 2020","Currency=USD","Period=FQ","BEST_FPERIOD_OVERRIDE=FQ","FILING_STATUS=MR","SCALING_FORMAT=MLN","Sort=A","Dates=H","DateFormat=P","Fill=—","Direction=H","UseDPDF=Y")</f>
        <v>9</v>
      </c>
      <c r="L16" s="13">
        <f>_xll.BDH("NBIX US Equity","INVTRY_FINISHED_GOODS","FQ1 2021","FQ1 2021","Currency=USD","Period=FQ","BEST_FPERIOD_OVERRIDE=FQ","FILING_STATUS=MR","SCALING_FORMAT=MLN","Sort=A","Dates=H","DateFormat=P","Fill=—","Direction=H","UseDPDF=Y")</f>
        <v>12.8</v>
      </c>
      <c r="M16" s="13">
        <f>_xll.BDH("NBIX US Equity","INVTRY_FINISHED_GOODS","FQ2 2021","FQ2 2021","Currency=USD","Period=FQ","BEST_FPERIOD_OVERRIDE=FQ","FILING_STATUS=MR","SCALING_FORMAT=MLN","Sort=A","Dates=H","DateFormat=P","Fill=—","Direction=H","UseDPDF=Y")</f>
        <v>11.5</v>
      </c>
      <c r="N16" s="13">
        <f>_xll.BDH("NBIX US Equity","INVTRY_FINISHED_GOODS","FQ3 2021","FQ3 2021","Currency=USD","Period=FQ","BEST_FPERIOD_OVERRIDE=FQ","FILING_STATUS=MR","SCALING_FORMAT=MLN","Sort=A","Dates=H","DateFormat=P","Fill=—","Direction=H","UseDPDF=Y")</f>
        <v>11.2</v>
      </c>
      <c r="O16" s="13">
        <f>_xll.BDH("NBIX US Equity","INVTRY_FINISHED_GOODS","FQ4 2021","FQ4 2021","Currency=USD","Period=FQ","BEST_FPERIOD_OVERRIDE=FQ","FILING_STATUS=MR","SCALING_FORMAT=MLN","Sort=A","Dates=H","DateFormat=P","Fill=—","Direction=H","UseDPDF=Y")</f>
        <v>15.7</v>
      </c>
      <c r="P16" s="13">
        <f>_xll.BDH("NBIX US Equity","INVTRY_FINISHED_GOODS","FQ1 2022","FQ1 2022","Currency=USD","Period=FQ","BEST_FPERIOD_OVERRIDE=FQ","FILING_STATUS=MR","SCALING_FORMAT=MLN","Sort=A","Dates=H","DateFormat=P","Fill=—","Direction=H","UseDPDF=Y")</f>
        <v>15.4</v>
      </c>
      <c r="Q16" s="13">
        <f>_xll.BDH("NBIX US Equity","INVTRY_FINISHED_GOODS","FQ2 2022","FQ2 2022","Currency=USD","Period=FQ","BEST_FPERIOD_OVERRIDE=FQ","FILING_STATUS=MR","SCALING_FORMAT=MLN","Sort=A","Dates=H","DateFormat=P","Fill=—","Direction=H","UseDPDF=Y")</f>
        <v>17.899999999999999</v>
      </c>
      <c r="R16" s="13">
        <f>_xll.BDH("NBIX US Equity","INVTRY_FINISHED_GOODS","FQ3 2022","FQ3 2022","Currency=USD","Period=FQ","BEST_FPERIOD_OVERRIDE=FQ","FILING_STATUS=MR","SCALING_FORMAT=MLN","Sort=A","Dates=H","DateFormat=P","Fill=—","Direction=H","UseDPDF=Y")</f>
        <v>17</v>
      </c>
      <c r="S16" s="13">
        <f>_xll.BDH("NBIX US Equity","INVTRY_FINISHED_GOODS","FQ4 2022","FQ4 2022","Currency=USD","Period=FQ","BEST_FPERIOD_OVERRIDE=FQ","FILING_STATUS=MR","SCALING_FORMAT=MLN","Sort=A","Dates=H","DateFormat=P","Fill=—","Direction=H","UseDPDF=Y")</f>
        <v>17.5</v>
      </c>
      <c r="T16" s="13">
        <f>_xll.BDH("NBIX US Equity","INVTRY_FINISHED_GOODS","FQ1 2023","FQ1 2023","Currency=USD","Period=FQ","BEST_FPERIOD_OVERRIDE=FQ","FILING_STATUS=MR","SCALING_FORMAT=MLN","Sort=A","Dates=H","DateFormat=P","Fill=—","Direction=H","UseDPDF=Y")</f>
        <v>18</v>
      </c>
      <c r="U16" s="13">
        <f>_xll.BDH("NBIX US Equity","INVTRY_FINISHED_GOODS","FQ2 2023","FQ2 2023","Currency=USD","Period=FQ","BEST_FPERIOD_OVERRIDE=FQ","FILING_STATUS=MR","SCALING_FORMAT=MLN","Sort=A","Dates=H","DateFormat=P","Fill=—","Direction=H","UseDPDF=Y")</f>
        <v>15</v>
      </c>
      <c r="V16" s="13">
        <f>_xll.BDH("NBIX US Equity","INVTRY_FINISHED_GOODS","FQ3 2023","FQ3 2023","Currency=USD","Period=FQ","BEST_FPERIOD_OVERRIDE=FQ","FILING_STATUS=MR","SCALING_FORMAT=MLN","Sort=A","Dates=H","DateFormat=P","Fill=—","Direction=H","UseDPDF=Y")</f>
        <v>10.4</v>
      </c>
      <c r="W16" s="13">
        <f>_xll.BDH("NBIX US Equity","INVTRY_FINISHED_GOODS","FQ4 2023","FQ4 2023","Currency=USD","Period=FQ","BEST_FPERIOD_OVERRIDE=FQ","FILING_STATUS=MR","SCALING_FORMAT=MLN","Sort=A","Dates=H","DateFormat=P","Fill=—","Direction=H","UseDPDF=Y")</f>
        <v>12.3</v>
      </c>
      <c r="X16" s="13">
        <f>_xll.BDH("NBIX US Equity","INVTRY_FINISHED_GOODS","FQ1 2024","FQ1 2024","Currency=USD","Period=FQ","BEST_FPERIOD_OVERRIDE=FQ","FILING_STATUS=MR","SCALING_FORMAT=MLN","Sort=A","Dates=H","DateFormat=P","Fill=—","Direction=H","UseDPDF=Y")</f>
        <v>7.5</v>
      </c>
      <c r="Y16" s="13">
        <f>_xll.BDH("NBIX US Equity","INVTRY_FINISHED_GOODS","FQ2 2024","FQ2 2024","Currency=USD","Period=FQ","BEST_FPERIOD_OVERRIDE=FQ","FILING_STATUS=MR","SCALING_FORMAT=MLN","Sort=A","Dates=H","DateFormat=P","Fill=—","Direction=H","UseDPDF=Y")</f>
        <v>10.4</v>
      </c>
      <c r="Z16" s="13">
        <f>_xll.BDH("NBIX US Equity","INVTRY_FINISHED_GOODS","FQ3 2024","FQ3 2024","Currency=USD","Period=FQ","BEST_FPERIOD_OVERRIDE=FQ","FILING_STATUS=MR","SCALING_FORMAT=MLN","Sort=A","Dates=H","DateFormat=P","Fill=—","Direction=H","UseDPDF=Y")</f>
        <v>11.5</v>
      </c>
      <c r="AA16" s="13">
        <f>_xll.BDH("NBIX US Equity","INVTRY_FINISHED_GOODS","FQ4 2024","FQ4 2024","Currency=USD","Period=FQ","BEST_FPERIOD_OVERRIDE=FQ","FILING_STATUS=MR","SCALING_FORMAT=MLN","Sort=A","Dates=H","DateFormat=P","Fill=—","Direction=H","UseDPDF=Y")</f>
        <v>12.8</v>
      </c>
    </row>
    <row r="17" spans="1:27" x14ac:dyDescent="0.25">
      <c r="A17" s="10" t="s">
        <v>686</v>
      </c>
      <c r="B17" s="10" t="s">
        <v>687</v>
      </c>
      <c r="C17" s="13">
        <f>_xll.BDH("NBIX US Equity","BS_OTHER_INV","FQ4 2018","FQ4 2018","Currency=USD","Period=FQ","BEST_FPERIOD_OVERRIDE=FQ","FILING_STATUS=MR","SCALING_FORMAT=MLN","Sort=A","Dates=H","DateFormat=P","Fill=—","Direction=H","UseDPDF=Y")</f>
        <v>0</v>
      </c>
      <c r="D17" s="13">
        <f>_xll.BDH("NBIX US Equity","BS_OTHER_INV","FQ1 2019","FQ1 2019","Currency=USD","Period=FQ","BEST_FPERIOD_OVERRIDE=FQ","FILING_STATUS=MR","SCALING_FORMAT=MLN","Sort=A","Dates=H","DateFormat=P","Fill=—","Direction=H","UseDPDF=Y")</f>
        <v>0</v>
      </c>
      <c r="E17" s="13">
        <f>_xll.BDH("NBIX US Equity","BS_OTHER_INV","FQ2 2019","FQ2 2019","Currency=USD","Period=FQ","BEST_FPERIOD_OVERRIDE=FQ","FILING_STATUS=MR","SCALING_FORMAT=MLN","Sort=A","Dates=H","DateFormat=P","Fill=—","Direction=H","UseDPDF=Y")</f>
        <v>0</v>
      </c>
      <c r="F17" s="13">
        <f>_xll.BDH("NBIX US Equity","BS_OTHER_INV","FQ3 2019","FQ3 2019","Currency=USD","Period=FQ","BEST_FPERIOD_OVERRIDE=FQ","FILING_STATUS=MR","SCALING_FORMAT=MLN","Sort=A","Dates=H","DateFormat=P","Fill=—","Direction=H","UseDPDF=Y")</f>
        <v>0</v>
      </c>
      <c r="G17" s="13">
        <f>_xll.BDH("NBIX US Equity","BS_OTHER_INV","FQ4 2019","FQ4 2019","Currency=USD","Period=FQ","BEST_FPERIOD_OVERRIDE=FQ","FILING_STATUS=MR","SCALING_FORMAT=MLN","Sort=A","Dates=H","DateFormat=P","Fill=—","Direction=H","UseDPDF=Y")</f>
        <v>0</v>
      </c>
      <c r="H17" s="13">
        <f>_xll.BDH("NBIX US Equity","BS_OTHER_INV","FQ1 2020","FQ1 2020","Currency=USD","Period=FQ","BEST_FPERIOD_OVERRIDE=FQ","FILING_STATUS=MR","SCALING_FORMAT=MLN","Sort=A","Dates=H","DateFormat=P","Fill=—","Direction=H","UseDPDF=Y")</f>
        <v>0</v>
      </c>
      <c r="I17" s="13">
        <f>_xll.BDH("NBIX US Equity","BS_OTHER_INV","FQ2 2020","FQ2 2020","Currency=USD","Period=FQ","BEST_FPERIOD_OVERRIDE=FQ","FILING_STATUS=MR","SCALING_FORMAT=MLN","Sort=A","Dates=H","DateFormat=P","Fill=—","Direction=H","UseDPDF=Y")</f>
        <v>0</v>
      </c>
      <c r="J17" s="13">
        <f>_xll.BDH("NBIX US Equity","BS_OTHER_INV","FQ3 2020","FQ3 2020","Currency=USD","Period=FQ","BEST_FPERIOD_OVERRIDE=FQ","FILING_STATUS=MR","SCALING_FORMAT=MLN","Sort=A","Dates=H","DateFormat=P","Fill=—","Direction=H","UseDPDF=Y")</f>
        <v>0</v>
      </c>
      <c r="K17" s="13">
        <f>_xll.BDH("NBIX US Equity","BS_OTHER_INV","FQ4 2020","FQ4 2020","Currency=USD","Period=FQ","BEST_FPERIOD_OVERRIDE=FQ","FILING_STATUS=MR","SCALING_FORMAT=MLN","Sort=A","Dates=H","DateFormat=P","Fill=—","Direction=H","UseDPDF=Y")</f>
        <v>0</v>
      </c>
      <c r="L17" s="13">
        <f>_xll.BDH("NBIX US Equity","BS_OTHER_INV","FQ1 2021","FQ1 2021","Currency=USD","Period=FQ","BEST_FPERIOD_OVERRIDE=FQ","FILING_STATUS=MR","SCALING_FORMAT=MLN","Sort=A","Dates=H","DateFormat=P","Fill=—","Direction=H","UseDPDF=Y")</f>
        <v>0</v>
      </c>
      <c r="M17" s="13">
        <f>_xll.BDH("NBIX US Equity","BS_OTHER_INV","FQ2 2021","FQ2 2021","Currency=USD","Period=FQ","BEST_FPERIOD_OVERRIDE=FQ","FILING_STATUS=MR","SCALING_FORMAT=MLN","Sort=A","Dates=H","DateFormat=P","Fill=—","Direction=H","UseDPDF=Y")</f>
        <v>0</v>
      </c>
      <c r="N17" s="13">
        <f>_xll.BDH("NBIX US Equity","BS_OTHER_INV","FQ3 2021","FQ3 2021","Currency=USD","Period=FQ","BEST_FPERIOD_OVERRIDE=FQ","FILING_STATUS=MR","SCALING_FORMAT=MLN","Sort=A","Dates=H","DateFormat=P","Fill=—","Direction=H","UseDPDF=Y")</f>
        <v>0</v>
      </c>
      <c r="O17" s="13">
        <f>_xll.BDH("NBIX US Equity","BS_OTHER_INV","FQ4 2021","FQ4 2021","Currency=USD","Period=FQ","BEST_FPERIOD_OVERRIDE=FQ","FILING_STATUS=MR","SCALING_FORMAT=MLN","Sort=A","Dates=H","DateFormat=P","Fill=—","Direction=H","UseDPDF=Y")</f>
        <v>0</v>
      </c>
      <c r="P17" s="13">
        <f>_xll.BDH("NBIX US Equity","BS_OTHER_INV","FQ1 2022","FQ1 2022","Currency=USD","Period=FQ","BEST_FPERIOD_OVERRIDE=FQ","FILING_STATUS=MR","SCALING_FORMAT=MLN","Sort=A","Dates=H","DateFormat=P","Fill=—","Direction=H","UseDPDF=Y")</f>
        <v>0</v>
      </c>
      <c r="Q17" s="13">
        <f>_xll.BDH("NBIX US Equity","BS_OTHER_INV","FQ2 2022","FQ2 2022","Currency=USD","Period=FQ","BEST_FPERIOD_OVERRIDE=FQ","FILING_STATUS=MR","SCALING_FORMAT=MLN","Sort=A","Dates=H","DateFormat=P","Fill=—","Direction=H","UseDPDF=Y")</f>
        <v>0</v>
      </c>
      <c r="R17" s="13">
        <f>_xll.BDH("NBIX US Equity","BS_OTHER_INV","FQ3 2022","FQ3 2022","Currency=USD","Period=FQ","BEST_FPERIOD_OVERRIDE=FQ","FILING_STATUS=MR","SCALING_FORMAT=MLN","Sort=A","Dates=H","DateFormat=P","Fill=—","Direction=H","UseDPDF=Y")</f>
        <v>0</v>
      </c>
      <c r="S17" s="13">
        <f>_xll.BDH("NBIX US Equity","BS_OTHER_INV","FQ4 2022","FQ4 2022","Currency=USD","Period=FQ","BEST_FPERIOD_OVERRIDE=FQ","FILING_STATUS=MR","SCALING_FORMAT=MLN","Sort=A","Dates=H","DateFormat=P","Fill=—","Direction=H","UseDPDF=Y")</f>
        <v>0</v>
      </c>
      <c r="T17" s="13">
        <f>_xll.BDH("NBIX US Equity","BS_OTHER_INV","FQ1 2023","FQ1 2023","Currency=USD","Period=FQ","BEST_FPERIOD_OVERRIDE=FQ","FILING_STATUS=MR","SCALING_FORMAT=MLN","Sort=A","Dates=H","DateFormat=P","Fill=—","Direction=H","UseDPDF=Y")</f>
        <v>0</v>
      </c>
      <c r="U17" s="13">
        <f>_xll.BDH("NBIX US Equity","BS_OTHER_INV","FQ2 2023","FQ2 2023","Currency=USD","Period=FQ","BEST_FPERIOD_OVERRIDE=FQ","FILING_STATUS=MR","SCALING_FORMAT=MLN","Sort=A","Dates=H","DateFormat=P","Fill=—","Direction=H","UseDPDF=Y")</f>
        <v>0</v>
      </c>
      <c r="V17" s="13">
        <f>_xll.BDH("NBIX US Equity","BS_OTHER_INV","FQ3 2023","FQ3 2023","Currency=USD","Period=FQ","BEST_FPERIOD_OVERRIDE=FQ","FILING_STATUS=MR","SCALING_FORMAT=MLN","Sort=A","Dates=H","DateFormat=P","Fill=—","Direction=H","UseDPDF=Y")</f>
        <v>0</v>
      </c>
      <c r="W17" s="13">
        <f>_xll.BDH("NBIX US Equity","BS_OTHER_INV","FQ4 2023","FQ4 2023","Currency=USD","Period=FQ","BEST_FPERIOD_OVERRIDE=FQ","FILING_STATUS=MR","SCALING_FORMAT=MLN","Sort=A","Dates=H","DateFormat=P","Fill=—","Direction=H","UseDPDF=Y")</f>
        <v>-5.2</v>
      </c>
      <c r="X17" s="13">
        <f>_xll.BDH("NBIX US Equity","BS_OTHER_INV","FQ1 2024","FQ1 2024","Currency=USD","Period=FQ","BEST_FPERIOD_OVERRIDE=FQ","FILING_STATUS=MR","SCALING_FORMAT=MLN","Sort=A","Dates=H","DateFormat=P","Fill=—","Direction=H","UseDPDF=Y")</f>
        <v>-0.4</v>
      </c>
      <c r="Y17" s="13">
        <f>_xll.BDH("NBIX US Equity","BS_OTHER_INV","FQ2 2024","FQ2 2024","Currency=USD","Period=FQ","BEST_FPERIOD_OVERRIDE=FQ","FILING_STATUS=MR","SCALING_FORMAT=MLN","Sort=A","Dates=H","DateFormat=P","Fill=—","Direction=H","UseDPDF=Y")</f>
        <v>-1.2</v>
      </c>
      <c r="Z17" s="13">
        <f>_xll.BDH("NBIX US Equity","BS_OTHER_INV","FQ3 2024","FQ3 2024","Currency=USD","Period=FQ","BEST_FPERIOD_OVERRIDE=FQ","FILING_STATUS=MR","SCALING_FORMAT=MLN","Sort=A","Dates=H","DateFormat=P","Fill=—","Direction=H","UseDPDF=Y")</f>
        <v>0</v>
      </c>
      <c r="AA17" s="13">
        <f>_xll.BDH("NBIX US Equity","BS_OTHER_INV","FQ4 2024","FQ4 2024","Currency=USD","Period=FQ","BEST_FPERIOD_OVERRIDE=FQ","FILING_STATUS=MR","SCALING_FORMAT=MLN","Sort=A","Dates=H","DateFormat=P","Fill=—","Direction=H","UseDPDF=Y")</f>
        <v>0</v>
      </c>
    </row>
    <row r="18" spans="1:27" x14ac:dyDescent="0.25">
      <c r="A18" s="10" t="s">
        <v>688</v>
      </c>
      <c r="B18" s="10" t="s">
        <v>689</v>
      </c>
      <c r="C18" s="13">
        <f>_xll.BDH("NBIX US Equity","OTHER_CURRENT_ASSETS_DETAILED","FQ4 2018","FQ4 2018","Currency=USD","Period=FQ","BEST_FPERIOD_OVERRIDE=FQ","FILING_STATUS=MR","SCALING_FORMAT=MLN","Sort=A","Dates=H","DateFormat=P","Fill=—","Direction=H","UseDPDF=Y")</f>
        <v>19.760000000000002</v>
      </c>
      <c r="D18" s="13">
        <f>_xll.BDH("NBIX US Equity","OTHER_CURRENT_ASSETS_DETAILED","FQ1 2019","FQ1 2019","Currency=USD","Period=FQ","BEST_FPERIOD_OVERRIDE=FQ","FILING_STATUS=MR","SCALING_FORMAT=MLN","Sort=A","Dates=H","DateFormat=P","Fill=—","Direction=H","UseDPDF=Y")</f>
        <v>24.15</v>
      </c>
      <c r="E18" s="13">
        <f>_xll.BDH("NBIX US Equity","OTHER_CURRENT_ASSETS_DETAILED","FQ2 2019","FQ2 2019","Currency=USD","Period=FQ","BEST_FPERIOD_OVERRIDE=FQ","FILING_STATUS=MR","SCALING_FORMAT=MLN","Sort=A","Dates=H","DateFormat=P","Fill=—","Direction=H","UseDPDF=Y")</f>
        <v>21.454999999999998</v>
      </c>
      <c r="F18" s="13">
        <f>_xll.BDH("NBIX US Equity","OTHER_CURRENT_ASSETS_DETAILED","FQ3 2019","FQ3 2019","Currency=USD","Period=FQ","BEST_FPERIOD_OVERRIDE=FQ","FILING_STATUS=MR","SCALING_FORMAT=MLN","Sort=A","Dates=H","DateFormat=P","Fill=—","Direction=H","UseDPDF=Y")</f>
        <v>22.954000000000001</v>
      </c>
      <c r="G18" s="13">
        <f>_xll.BDH("NBIX US Equity","OTHER_CURRENT_ASSETS_DETAILED","FQ4 2019","FQ4 2019","Currency=USD","Period=FQ","BEST_FPERIOD_OVERRIDE=FQ","FILING_STATUS=MR","SCALING_FORMAT=MLN","Sort=A","Dates=H","DateFormat=P","Fill=—","Direction=H","UseDPDF=Y")</f>
        <v>16.600000000000001</v>
      </c>
      <c r="H18" s="13">
        <f>_xll.BDH("NBIX US Equity","OTHER_CURRENT_ASSETS_DETAILED","FQ1 2020","FQ1 2020","Currency=USD","Period=FQ","BEST_FPERIOD_OVERRIDE=FQ","FILING_STATUS=MR","SCALING_FORMAT=MLN","Sort=A","Dates=H","DateFormat=P","Fill=—","Direction=H","UseDPDF=Y")</f>
        <v>26.7</v>
      </c>
      <c r="I18" s="13">
        <f>_xll.BDH("NBIX US Equity","OTHER_CURRENT_ASSETS_DETAILED","FQ2 2020","FQ2 2020","Currency=USD","Period=FQ","BEST_FPERIOD_OVERRIDE=FQ","FILING_STATUS=MR","SCALING_FORMAT=MLN","Sort=A","Dates=H","DateFormat=P","Fill=—","Direction=H","UseDPDF=Y")</f>
        <v>27.5</v>
      </c>
      <c r="J18" s="13">
        <f>_xll.BDH("NBIX US Equity","OTHER_CURRENT_ASSETS_DETAILED","FQ3 2020","FQ3 2020","Currency=USD","Period=FQ","BEST_FPERIOD_OVERRIDE=FQ","FILING_STATUS=MR","SCALING_FORMAT=MLN","Sort=A","Dates=H","DateFormat=P","Fill=—","Direction=H","UseDPDF=Y")</f>
        <v>34.700000000000003</v>
      </c>
      <c r="K18" s="13">
        <f>_xll.BDH("NBIX US Equity","OTHER_CURRENT_ASSETS_DETAILED","FQ4 2020","FQ4 2020","Currency=USD","Period=FQ","BEST_FPERIOD_OVERRIDE=FQ","FILING_STATUS=MR","SCALING_FORMAT=MLN","Sort=A","Dates=H","DateFormat=P","Fill=—","Direction=H","UseDPDF=Y")</f>
        <v>30.1</v>
      </c>
      <c r="L18" s="13">
        <f>_xll.BDH("NBIX US Equity","OTHER_CURRENT_ASSETS_DETAILED","FQ1 2021","FQ1 2021","Currency=USD","Period=FQ","BEST_FPERIOD_OVERRIDE=FQ","FILING_STATUS=MR","SCALING_FORMAT=MLN","Sort=A","Dates=H","DateFormat=P","Fill=—","Direction=H","UseDPDF=Y")</f>
        <v>33.799999999999997</v>
      </c>
      <c r="M18" s="13">
        <f>_xll.BDH("NBIX US Equity","OTHER_CURRENT_ASSETS_DETAILED","FQ2 2021","FQ2 2021","Currency=USD","Period=FQ","BEST_FPERIOD_OVERRIDE=FQ","FILING_STATUS=MR","SCALING_FORMAT=MLN","Sort=A","Dates=H","DateFormat=P","Fill=—","Direction=H","UseDPDF=Y")</f>
        <v>38.4</v>
      </c>
      <c r="N18" s="13">
        <f>_xll.BDH("NBIX US Equity","OTHER_CURRENT_ASSETS_DETAILED","FQ3 2021","FQ3 2021","Currency=USD","Period=FQ","BEST_FPERIOD_OVERRIDE=FQ","FILING_STATUS=MR","SCALING_FORMAT=MLN","Sort=A","Dates=H","DateFormat=P","Fill=—","Direction=H","UseDPDF=Y")</f>
        <v>50.5</v>
      </c>
      <c r="O18" s="13">
        <f>_xll.BDH("NBIX US Equity","OTHER_CURRENT_ASSETS_DETAILED","FQ4 2021","FQ4 2021","Currency=USD","Period=FQ","BEST_FPERIOD_OVERRIDE=FQ","FILING_STATUS=MR","SCALING_FORMAT=MLN","Sort=A","Dates=H","DateFormat=P","Fill=—","Direction=H","UseDPDF=Y")</f>
        <v>45.5</v>
      </c>
      <c r="P18" s="13">
        <f>_xll.BDH("NBIX US Equity","OTHER_CURRENT_ASSETS_DETAILED","FQ1 2022","FQ1 2022","Currency=USD","Period=FQ","BEST_FPERIOD_OVERRIDE=FQ","FILING_STATUS=MR","SCALING_FORMAT=MLN","Sort=A","Dates=H","DateFormat=P","Fill=—","Direction=H","UseDPDF=Y")</f>
        <v>60.8</v>
      </c>
      <c r="Q18" s="13">
        <f>_xll.BDH("NBIX US Equity","OTHER_CURRENT_ASSETS_DETAILED","FQ2 2022","FQ2 2022","Currency=USD","Period=FQ","BEST_FPERIOD_OVERRIDE=FQ","FILING_STATUS=MR","SCALING_FORMAT=MLN","Sort=A","Dates=H","DateFormat=P","Fill=—","Direction=H","UseDPDF=Y")</f>
        <v>62.7</v>
      </c>
      <c r="R18" s="13">
        <f>_xll.BDH("NBIX US Equity","OTHER_CURRENT_ASSETS_DETAILED","FQ3 2022","FQ3 2022","Currency=USD","Period=FQ","BEST_FPERIOD_OVERRIDE=FQ","FILING_STATUS=MR","SCALING_FORMAT=MLN","Sort=A","Dates=H","DateFormat=P","Fill=—","Direction=H","UseDPDF=Y")</f>
        <v>67.900000000000006</v>
      </c>
      <c r="S18" s="13">
        <f>_xll.BDH("NBIX US Equity","OTHER_CURRENT_ASSETS_DETAILED","FQ4 2022","FQ4 2022","Currency=USD","Period=FQ","BEST_FPERIOD_OVERRIDE=FQ","FILING_STATUS=MR","SCALING_FORMAT=MLN","Sort=A","Dates=H","DateFormat=P","Fill=—","Direction=H","UseDPDF=Y")</f>
        <v>79.099999999999994</v>
      </c>
      <c r="T18" s="13">
        <f>_xll.BDH("NBIX US Equity","OTHER_CURRENT_ASSETS_DETAILED","FQ1 2023","FQ1 2023","Currency=USD","Period=FQ","BEST_FPERIOD_OVERRIDE=FQ","FILING_STATUS=MR","SCALING_FORMAT=MLN","Sort=A","Dates=H","DateFormat=P","Fill=—","Direction=H","UseDPDF=Y")</f>
        <v>113.2</v>
      </c>
      <c r="U18" s="13">
        <f>_xll.BDH("NBIX US Equity","OTHER_CURRENT_ASSETS_DETAILED","FQ2 2023","FQ2 2023","Currency=USD","Period=FQ","BEST_FPERIOD_OVERRIDE=FQ","FILING_STATUS=MR","SCALING_FORMAT=MLN","Sort=A","Dates=H","DateFormat=P","Fill=—","Direction=H","UseDPDF=Y")</f>
        <v>100.6</v>
      </c>
      <c r="V18" s="13">
        <f>_xll.BDH("NBIX US Equity","OTHER_CURRENT_ASSETS_DETAILED","FQ3 2023","FQ3 2023","Currency=USD","Period=FQ","BEST_FPERIOD_OVERRIDE=FQ","FILING_STATUS=MR","SCALING_FORMAT=MLN","Sort=A","Dates=H","DateFormat=P","Fill=—","Direction=H","UseDPDF=Y")</f>
        <v>108.2</v>
      </c>
      <c r="W18" s="13">
        <f>_xll.BDH("NBIX US Equity","OTHER_CURRENT_ASSETS_DETAILED","FQ4 2023","FQ4 2023","Currency=USD","Period=FQ","BEST_FPERIOD_OVERRIDE=FQ","FILING_STATUS=MR","SCALING_FORMAT=MLN","Sort=A","Dates=H","DateFormat=P","Fill=—","Direction=H","UseDPDF=Y")</f>
        <v>97.8</v>
      </c>
      <c r="X18" s="13">
        <f>_xll.BDH("NBIX US Equity","OTHER_CURRENT_ASSETS_DETAILED","FQ1 2024","FQ1 2024","Currency=USD","Period=FQ","BEST_FPERIOD_OVERRIDE=FQ","FILING_STATUS=MR","SCALING_FORMAT=MLN","Sort=A","Dates=H","DateFormat=P","Fill=—","Direction=H","UseDPDF=Y")</f>
        <v>100.5</v>
      </c>
      <c r="Y18" s="13">
        <f>_xll.BDH("NBIX US Equity","OTHER_CURRENT_ASSETS_DETAILED","FQ2 2024","FQ2 2024","Currency=USD","Period=FQ","BEST_FPERIOD_OVERRIDE=FQ","FILING_STATUS=MR","SCALING_FORMAT=MLN","Sort=A","Dates=H","DateFormat=P","Fill=—","Direction=H","UseDPDF=Y")</f>
        <v>120.2</v>
      </c>
      <c r="Z18" s="13">
        <f>_xll.BDH("NBIX US Equity","OTHER_CURRENT_ASSETS_DETAILED","FQ3 2024","FQ3 2024","Currency=USD","Period=FQ","BEST_FPERIOD_OVERRIDE=FQ","FILING_STATUS=MR","SCALING_FORMAT=MLN","Sort=A","Dates=H","DateFormat=P","Fill=—","Direction=H","UseDPDF=Y")</f>
        <v>121.7</v>
      </c>
      <c r="AA18" s="13">
        <f>_xll.BDH("NBIX US Equity","OTHER_CURRENT_ASSETS_DETAILED","FQ4 2024","FQ4 2024","Currency=USD","Period=FQ","BEST_FPERIOD_OVERRIDE=FQ","FILING_STATUS=MR","SCALING_FORMAT=MLN","Sort=A","Dates=H","DateFormat=P","Fill=—","Direction=H","UseDPDF=Y")</f>
        <v>112.1</v>
      </c>
    </row>
    <row r="19" spans="1:27" x14ac:dyDescent="0.25">
      <c r="A19" s="10" t="s">
        <v>690</v>
      </c>
      <c r="B19" s="10" t="s">
        <v>691</v>
      </c>
      <c r="C19" s="13">
        <f>_xll.BDH("NBIX US Equity","BS_DERIV_HEDGING_ASST_ST","FQ4 2018","FQ4 2018","Currency=USD","Period=FQ","BEST_FPERIOD_OVERRIDE=FQ","FILING_STATUS=MR","SCALING_FORMAT=MLN","Sort=A","Dates=H","DateFormat=P","Fill=—","Direction=H","UseDPDF=Y")</f>
        <v>0</v>
      </c>
      <c r="D19" s="13" t="str">
        <f>_xll.BDH("NBIX US Equity","BS_DERIV_HEDGING_ASST_ST","FQ1 2019","FQ1 2019","Currency=USD","Period=FQ","BEST_FPERIOD_OVERRIDE=FQ","FILING_STATUS=MR","SCALING_FORMAT=MLN","Sort=A","Dates=H","DateFormat=P","Fill=—","Direction=H","UseDPDF=Y")</f>
        <v>—</v>
      </c>
      <c r="E19" s="13" t="str">
        <f>_xll.BDH("NBIX US Equity","BS_DERIV_HEDGING_ASST_ST","FQ2 2019","FQ2 2019","Currency=USD","Period=FQ","BEST_FPERIOD_OVERRIDE=FQ","FILING_STATUS=MR","SCALING_FORMAT=MLN","Sort=A","Dates=H","DateFormat=P","Fill=—","Direction=H","UseDPDF=Y")</f>
        <v>—</v>
      </c>
      <c r="F19" s="13" t="str">
        <f>_xll.BDH("NBIX US Equity","BS_DERIV_HEDGING_ASST_ST","FQ3 2019","FQ3 2019","Currency=USD","Period=FQ","BEST_FPERIOD_OVERRIDE=FQ","FILING_STATUS=MR","SCALING_FORMAT=MLN","Sort=A","Dates=H","DateFormat=P","Fill=—","Direction=H","UseDPDF=Y")</f>
        <v>—</v>
      </c>
      <c r="G19" s="13" t="str">
        <f>_xll.BDH("NBIX US Equity","BS_DERIV_HEDGING_ASST_ST","FQ4 2019","FQ4 2019","Currency=USD","Period=FQ","BEST_FPERIOD_OVERRIDE=FQ","FILING_STATUS=MR","SCALING_FORMAT=MLN","Sort=A","Dates=H","DateFormat=P","Fill=—","Direction=H","UseDPDF=Y")</f>
        <v>—</v>
      </c>
      <c r="H19" s="13" t="str">
        <f>_xll.BDH("NBIX US Equity","BS_DERIV_HEDGING_ASST_ST","FQ1 2020","FQ1 2020","Currency=USD","Period=FQ","BEST_FPERIOD_OVERRIDE=FQ","FILING_STATUS=MR","SCALING_FORMAT=MLN","Sort=A","Dates=H","DateFormat=P","Fill=—","Direction=H","UseDPDF=Y")</f>
        <v>—</v>
      </c>
      <c r="I19" s="13" t="str">
        <f>_xll.BDH("NBIX US Equity","BS_DERIV_HEDGING_ASST_ST","FQ2 2020","FQ2 2020","Currency=USD","Period=FQ","BEST_FPERIOD_OVERRIDE=FQ","FILING_STATUS=MR","SCALING_FORMAT=MLN","Sort=A","Dates=H","DateFormat=P","Fill=—","Direction=H","UseDPDF=Y")</f>
        <v>—</v>
      </c>
      <c r="J19" s="13" t="str">
        <f>_xll.BDH("NBIX US Equity","BS_DERIV_HEDGING_ASST_ST","FQ3 2020","FQ3 2020","Currency=USD","Period=FQ","BEST_FPERIOD_OVERRIDE=FQ","FILING_STATUS=MR","SCALING_FORMAT=MLN","Sort=A","Dates=H","DateFormat=P","Fill=—","Direction=H","UseDPDF=Y")</f>
        <v>—</v>
      </c>
      <c r="K19" s="13">
        <f>_xll.BDH("NBIX US Equity","BS_DERIV_HEDGING_ASST_ST","FQ4 2020","FQ4 2020","Currency=USD","Period=FQ","BEST_FPERIOD_OVERRIDE=FQ","FILING_STATUS=MR","SCALING_FORMAT=MLN","Sort=A","Dates=H","DateFormat=P","Fill=—","Direction=H","UseDPDF=Y")</f>
        <v>0</v>
      </c>
      <c r="L19" s="13" t="str">
        <f>_xll.BDH("NBIX US Equity","BS_DERIV_HEDGING_ASST_ST","FQ1 2021","FQ1 2021","Currency=USD","Period=FQ","BEST_FPERIOD_OVERRIDE=FQ","FILING_STATUS=MR","SCALING_FORMAT=MLN","Sort=A","Dates=H","DateFormat=P","Fill=—","Direction=H","UseDPDF=Y")</f>
        <v>—</v>
      </c>
      <c r="M19" s="13" t="str">
        <f>_xll.BDH("NBIX US Equity","BS_DERIV_HEDGING_ASST_ST","FQ2 2021","FQ2 2021","Currency=USD","Period=FQ","BEST_FPERIOD_OVERRIDE=FQ","FILING_STATUS=MR","SCALING_FORMAT=MLN","Sort=A","Dates=H","DateFormat=P","Fill=—","Direction=H","UseDPDF=Y")</f>
        <v>—</v>
      </c>
      <c r="N19" s="13" t="str">
        <f>_xll.BDH("NBIX US Equity","BS_DERIV_HEDGING_ASST_ST","FQ3 2021","FQ3 2021","Currency=USD","Period=FQ","BEST_FPERIOD_OVERRIDE=FQ","FILING_STATUS=MR","SCALING_FORMAT=MLN","Sort=A","Dates=H","DateFormat=P","Fill=—","Direction=H","UseDPDF=Y")</f>
        <v>—</v>
      </c>
      <c r="O19" s="13">
        <f>_xll.BDH("NBIX US Equity","BS_DERIV_HEDGING_ASST_ST","FQ4 2021","FQ4 2021","Currency=USD","Period=FQ","BEST_FPERIOD_OVERRIDE=FQ","FILING_STATUS=MR","SCALING_FORMAT=MLN","Sort=A","Dates=H","DateFormat=P","Fill=—","Direction=H","UseDPDF=Y")</f>
        <v>0</v>
      </c>
      <c r="P19" s="13" t="str">
        <f>_xll.BDH("NBIX US Equity","BS_DERIV_HEDGING_ASST_ST","FQ1 2022","FQ1 2022","Currency=USD","Period=FQ","BEST_FPERIOD_OVERRIDE=FQ","FILING_STATUS=MR","SCALING_FORMAT=MLN","Sort=A","Dates=H","DateFormat=P","Fill=—","Direction=H","UseDPDF=Y")</f>
        <v>—</v>
      </c>
      <c r="Q19" s="13" t="str">
        <f>_xll.BDH("NBIX US Equity","BS_DERIV_HEDGING_ASST_ST","FQ2 2022","FQ2 2022","Currency=USD","Period=FQ","BEST_FPERIOD_OVERRIDE=FQ","FILING_STATUS=MR","SCALING_FORMAT=MLN","Sort=A","Dates=H","DateFormat=P","Fill=—","Direction=H","UseDPDF=Y")</f>
        <v>—</v>
      </c>
      <c r="R19" s="13" t="str">
        <f>_xll.BDH("NBIX US Equity","BS_DERIV_HEDGING_ASST_ST","FQ3 2022","FQ3 2022","Currency=USD","Period=FQ","BEST_FPERIOD_OVERRIDE=FQ","FILING_STATUS=MR","SCALING_FORMAT=MLN","Sort=A","Dates=H","DateFormat=P","Fill=—","Direction=H","UseDPDF=Y")</f>
        <v>—</v>
      </c>
      <c r="S19" s="13">
        <f>_xll.BDH("NBIX US Equity","BS_DERIV_HEDGING_ASST_ST","FQ4 2022","FQ4 2022","Currency=USD","Period=FQ","BEST_FPERIOD_OVERRIDE=FQ","FILING_STATUS=MR","SCALING_FORMAT=MLN","Sort=A","Dates=H","DateFormat=P","Fill=—","Direction=H","UseDPDF=Y")</f>
        <v>0</v>
      </c>
      <c r="T19" s="13" t="str">
        <f>_xll.BDH("NBIX US Equity","BS_DERIV_HEDGING_ASST_ST","FQ1 2023","FQ1 2023","Currency=USD","Period=FQ","BEST_FPERIOD_OVERRIDE=FQ","FILING_STATUS=MR","SCALING_FORMAT=MLN","Sort=A","Dates=H","DateFormat=P","Fill=—","Direction=H","UseDPDF=Y")</f>
        <v>—</v>
      </c>
      <c r="U19" s="13" t="str">
        <f>_xll.BDH("NBIX US Equity","BS_DERIV_HEDGING_ASST_ST","FQ2 2023","FQ2 2023","Currency=USD","Period=FQ","BEST_FPERIOD_OVERRIDE=FQ","FILING_STATUS=MR","SCALING_FORMAT=MLN","Sort=A","Dates=H","DateFormat=P","Fill=—","Direction=H","UseDPDF=Y")</f>
        <v>—</v>
      </c>
      <c r="V19" s="13" t="str">
        <f>_xll.BDH("NBIX US Equity","BS_DERIV_HEDGING_ASST_ST","FQ3 2023","FQ3 2023","Currency=USD","Period=FQ","BEST_FPERIOD_OVERRIDE=FQ","FILING_STATUS=MR","SCALING_FORMAT=MLN","Sort=A","Dates=H","DateFormat=P","Fill=—","Direction=H","UseDPDF=Y")</f>
        <v>—</v>
      </c>
      <c r="W19" s="13">
        <f>_xll.BDH("NBIX US Equity","BS_DERIV_HEDGING_ASST_ST","FQ4 2023","FQ4 2023","Currency=USD","Period=FQ","BEST_FPERIOD_OVERRIDE=FQ","FILING_STATUS=MR","SCALING_FORMAT=MLN","Sort=A","Dates=H","DateFormat=P","Fill=—","Direction=H","UseDPDF=Y")</f>
        <v>0</v>
      </c>
      <c r="X19" s="13" t="str">
        <f>_xll.BDH("NBIX US Equity","BS_DERIV_HEDGING_ASST_ST","FQ1 2024","FQ1 2024","Currency=USD","Period=FQ","BEST_FPERIOD_OVERRIDE=FQ","FILING_STATUS=MR","SCALING_FORMAT=MLN","Sort=A","Dates=H","DateFormat=P","Fill=—","Direction=H","UseDPDF=Y")</f>
        <v>—</v>
      </c>
      <c r="Y19" s="13" t="str">
        <f>_xll.BDH("NBIX US Equity","BS_DERIV_HEDGING_ASST_ST","FQ2 2024","FQ2 2024","Currency=USD","Period=FQ","BEST_FPERIOD_OVERRIDE=FQ","FILING_STATUS=MR","SCALING_FORMAT=MLN","Sort=A","Dates=H","DateFormat=P","Fill=—","Direction=H","UseDPDF=Y")</f>
        <v>—</v>
      </c>
      <c r="Z19" s="13" t="str">
        <f>_xll.BDH("NBIX US Equity","BS_DERIV_HEDGING_ASST_ST","FQ3 2024","FQ3 2024","Currency=USD","Period=FQ","BEST_FPERIOD_OVERRIDE=FQ","FILING_STATUS=MR","SCALING_FORMAT=MLN","Sort=A","Dates=H","DateFormat=P","Fill=—","Direction=H","UseDPDF=Y")</f>
        <v>—</v>
      </c>
      <c r="AA19" s="13">
        <f>_xll.BDH("NBIX US Equity","BS_DERIV_HEDGING_ASST_ST","FQ4 2024","FQ4 2024","Currency=USD","Period=FQ","BEST_FPERIOD_OVERRIDE=FQ","FILING_STATUS=MR","SCALING_FORMAT=MLN","Sort=A","Dates=H","DateFormat=P","Fill=—","Direction=H","UseDPDF=Y")</f>
        <v>0</v>
      </c>
    </row>
    <row r="20" spans="1:27" x14ac:dyDescent="0.25">
      <c r="A20" s="10" t="s">
        <v>692</v>
      </c>
      <c r="B20" s="10" t="s">
        <v>693</v>
      </c>
      <c r="C20" s="13">
        <f>_xll.BDH("NBIX US Equity","BS_OTHER_CUR_ASSET_LESS_PREPAY","FQ4 2018","FQ4 2018","Currency=USD","Period=FQ","BEST_FPERIOD_OVERRIDE=FQ","FILING_STATUS=MR","SCALING_FORMAT=MLN","Sort=A","Dates=H","DateFormat=P","Fill=—","Direction=H","UseDPDF=Y")</f>
        <v>19.760000000000002</v>
      </c>
      <c r="D20" s="13">
        <f>_xll.BDH("NBIX US Equity","BS_OTHER_CUR_ASSET_LESS_PREPAY","FQ1 2019","FQ1 2019","Currency=USD","Period=FQ","BEST_FPERIOD_OVERRIDE=FQ","FILING_STATUS=MR","SCALING_FORMAT=MLN","Sort=A","Dates=H","DateFormat=P","Fill=—","Direction=H","UseDPDF=Y")</f>
        <v>24.15</v>
      </c>
      <c r="E20" s="13">
        <f>_xll.BDH("NBIX US Equity","BS_OTHER_CUR_ASSET_LESS_PREPAY","FQ2 2019","FQ2 2019","Currency=USD","Period=FQ","BEST_FPERIOD_OVERRIDE=FQ","FILING_STATUS=MR","SCALING_FORMAT=MLN","Sort=A","Dates=H","DateFormat=P","Fill=—","Direction=H","UseDPDF=Y")</f>
        <v>21.454999999999998</v>
      </c>
      <c r="F20" s="13">
        <f>_xll.BDH("NBIX US Equity","BS_OTHER_CUR_ASSET_LESS_PREPAY","FQ3 2019","FQ3 2019","Currency=USD","Period=FQ","BEST_FPERIOD_OVERRIDE=FQ","FILING_STATUS=MR","SCALING_FORMAT=MLN","Sort=A","Dates=H","DateFormat=P","Fill=—","Direction=H","UseDPDF=Y")</f>
        <v>22.954000000000001</v>
      </c>
      <c r="G20" s="13">
        <f>_xll.BDH("NBIX US Equity","BS_OTHER_CUR_ASSET_LESS_PREPAY","FQ4 2019","FQ4 2019","Currency=USD","Period=FQ","BEST_FPERIOD_OVERRIDE=FQ","FILING_STATUS=MR","SCALING_FORMAT=MLN","Sort=A","Dates=H","DateFormat=P","Fill=—","Direction=H","UseDPDF=Y")</f>
        <v>16.600000000000001</v>
      </c>
      <c r="H20" s="13">
        <f>_xll.BDH("NBIX US Equity","BS_OTHER_CUR_ASSET_LESS_PREPAY","FQ1 2020","FQ1 2020","Currency=USD","Period=FQ","BEST_FPERIOD_OVERRIDE=FQ","FILING_STATUS=MR","SCALING_FORMAT=MLN","Sort=A","Dates=H","DateFormat=P","Fill=—","Direction=H","UseDPDF=Y")</f>
        <v>26.7</v>
      </c>
      <c r="I20" s="13">
        <f>_xll.BDH("NBIX US Equity","BS_OTHER_CUR_ASSET_LESS_PREPAY","FQ2 2020","FQ2 2020","Currency=USD","Period=FQ","BEST_FPERIOD_OVERRIDE=FQ","FILING_STATUS=MR","SCALING_FORMAT=MLN","Sort=A","Dates=H","DateFormat=P","Fill=—","Direction=H","UseDPDF=Y")</f>
        <v>27.5</v>
      </c>
      <c r="J20" s="13">
        <f>_xll.BDH("NBIX US Equity","BS_OTHER_CUR_ASSET_LESS_PREPAY","FQ3 2020","FQ3 2020","Currency=USD","Period=FQ","BEST_FPERIOD_OVERRIDE=FQ","FILING_STATUS=MR","SCALING_FORMAT=MLN","Sort=A","Dates=H","DateFormat=P","Fill=—","Direction=H","UseDPDF=Y")</f>
        <v>34.700000000000003</v>
      </c>
      <c r="K20" s="13">
        <f>_xll.BDH("NBIX US Equity","BS_OTHER_CUR_ASSET_LESS_PREPAY","FQ4 2020","FQ4 2020","Currency=USD","Period=FQ","BEST_FPERIOD_OVERRIDE=FQ","FILING_STATUS=MR","SCALING_FORMAT=MLN","Sort=A","Dates=H","DateFormat=P","Fill=—","Direction=H","UseDPDF=Y")</f>
        <v>30.1</v>
      </c>
      <c r="L20" s="13">
        <f>_xll.BDH("NBIX US Equity","BS_OTHER_CUR_ASSET_LESS_PREPAY","FQ1 2021","FQ1 2021","Currency=USD","Period=FQ","BEST_FPERIOD_OVERRIDE=FQ","FILING_STATUS=MR","SCALING_FORMAT=MLN","Sort=A","Dates=H","DateFormat=P","Fill=—","Direction=H","UseDPDF=Y")</f>
        <v>33.799999999999997</v>
      </c>
      <c r="M20" s="13">
        <f>_xll.BDH("NBIX US Equity","BS_OTHER_CUR_ASSET_LESS_PREPAY","FQ2 2021","FQ2 2021","Currency=USD","Period=FQ","BEST_FPERIOD_OVERRIDE=FQ","FILING_STATUS=MR","SCALING_FORMAT=MLN","Sort=A","Dates=H","DateFormat=P","Fill=—","Direction=H","UseDPDF=Y")</f>
        <v>38.4</v>
      </c>
      <c r="N20" s="13">
        <f>_xll.BDH("NBIX US Equity","BS_OTHER_CUR_ASSET_LESS_PREPAY","FQ3 2021","FQ3 2021","Currency=USD","Period=FQ","BEST_FPERIOD_OVERRIDE=FQ","FILING_STATUS=MR","SCALING_FORMAT=MLN","Sort=A","Dates=H","DateFormat=P","Fill=—","Direction=H","UseDPDF=Y")</f>
        <v>50.5</v>
      </c>
      <c r="O20" s="13">
        <f>_xll.BDH("NBIX US Equity","BS_OTHER_CUR_ASSET_LESS_PREPAY","FQ4 2021","FQ4 2021","Currency=USD","Period=FQ","BEST_FPERIOD_OVERRIDE=FQ","FILING_STATUS=MR","SCALING_FORMAT=MLN","Sort=A","Dates=H","DateFormat=P","Fill=—","Direction=H","UseDPDF=Y")</f>
        <v>45.5</v>
      </c>
      <c r="P20" s="13">
        <f>_xll.BDH("NBIX US Equity","BS_OTHER_CUR_ASSET_LESS_PREPAY","FQ1 2022","FQ1 2022","Currency=USD","Period=FQ","BEST_FPERIOD_OVERRIDE=FQ","FILING_STATUS=MR","SCALING_FORMAT=MLN","Sort=A","Dates=H","DateFormat=P","Fill=—","Direction=H","UseDPDF=Y")</f>
        <v>60.8</v>
      </c>
      <c r="Q20" s="13">
        <f>_xll.BDH("NBIX US Equity","BS_OTHER_CUR_ASSET_LESS_PREPAY","FQ2 2022","FQ2 2022","Currency=USD","Period=FQ","BEST_FPERIOD_OVERRIDE=FQ","FILING_STATUS=MR","SCALING_FORMAT=MLN","Sort=A","Dates=H","DateFormat=P","Fill=—","Direction=H","UseDPDF=Y")</f>
        <v>62.7</v>
      </c>
      <c r="R20" s="13">
        <f>_xll.BDH("NBIX US Equity","BS_OTHER_CUR_ASSET_LESS_PREPAY","FQ3 2022","FQ3 2022","Currency=USD","Period=FQ","BEST_FPERIOD_OVERRIDE=FQ","FILING_STATUS=MR","SCALING_FORMAT=MLN","Sort=A","Dates=H","DateFormat=P","Fill=—","Direction=H","UseDPDF=Y")</f>
        <v>67.900000000000006</v>
      </c>
      <c r="S20" s="13">
        <f>_xll.BDH("NBIX US Equity","BS_OTHER_CUR_ASSET_LESS_PREPAY","FQ4 2022","FQ4 2022","Currency=USD","Period=FQ","BEST_FPERIOD_OVERRIDE=FQ","FILING_STATUS=MR","SCALING_FORMAT=MLN","Sort=A","Dates=H","DateFormat=P","Fill=—","Direction=H","UseDPDF=Y")</f>
        <v>79.099999999999994</v>
      </c>
      <c r="T20" s="13">
        <f>_xll.BDH("NBIX US Equity","BS_OTHER_CUR_ASSET_LESS_PREPAY","FQ1 2023","FQ1 2023","Currency=USD","Period=FQ","BEST_FPERIOD_OVERRIDE=FQ","FILING_STATUS=MR","SCALING_FORMAT=MLN","Sort=A","Dates=H","DateFormat=P","Fill=—","Direction=H","UseDPDF=Y")</f>
        <v>113.2</v>
      </c>
      <c r="U20" s="13">
        <f>_xll.BDH("NBIX US Equity","BS_OTHER_CUR_ASSET_LESS_PREPAY","FQ2 2023","FQ2 2023","Currency=USD","Period=FQ","BEST_FPERIOD_OVERRIDE=FQ","FILING_STATUS=MR","SCALING_FORMAT=MLN","Sort=A","Dates=H","DateFormat=P","Fill=—","Direction=H","UseDPDF=Y")</f>
        <v>100.6</v>
      </c>
      <c r="V20" s="13">
        <f>_xll.BDH("NBIX US Equity","BS_OTHER_CUR_ASSET_LESS_PREPAY","FQ3 2023","FQ3 2023","Currency=USD","Period=FQ","BEST_FPERIOD_OVERRIDE=FQ","FILING_STATUS=MR","SCALING_FORMAT=MLN","Sort=A","Dates=H","DateFormat=P","Fill=—","Direction=H","UseDPDF=Y")</f>
        <v>108.2</v>
      </c>
      <c r="W20" s="13">
        <f>_xll.BDH("NBIX US Equity","BS_OTHER_CUR_ASSET_LESS_PREPAY","FQ4 2023","FQ4 2023","Currency=USD","Period=FQ","BEST_FPERIOD_OVERRIDE=FQ","FILING_STATUS=MR","SCALING_FORMAT=MLN","Sort=A","Dates=H","DateFormat=P","Fill=—","Direction=H","UseDPDF=Y")</f>
        <v>97.8</v>
      </c>
      <c r="X20" s="13">
        <f>_xll.BDH("NBIX US Equity","BS_OTHER_CUR_ASSET_LESS_PREPAY","FQ1 2024","FQ1 2024","Currency=USD","Period=FQ","BEST_FPERIOD_OVERRIDE=FQ","FILING_STATUS=MR","SCALING_FORMAT=MLN","Sort=A","Dates=H","DateFormat=P","Fill=—","Direction=H","UseDPDF=Y")</f>
        <v>100.5</v>
      </c>
      <c r="Y20" s="13">
        <f>_xll.BDH("NBIX US Equity","BS_OTHER_CUR_ASSET_LESS_PREPAY","FQ2 2024","FQ2 2024","Currency=USD","Period=FQ","BEST_FPERIOD_OVERRIDE=FQ","FILING_STATUS=MR","SCALING_FORMAT=MLN","Sort=A","Dates=H","DateFormat=P","Fill=—","Direction=H","UseDPDF=Y")</f>
        <v>120.2</v>
      </c>
      <c r="Z20" s="13">
        <f>_xll.BDH("NBIX US Equity","BS_OTHER_CUR_ASSET_LESS_PREPAY","FQ3 2024","FQ3 2024","Currency=USD","Period=FQ","BEST_FPERIOD_OVERRIDE=FQ","FILING_STATUS=MR","SCALING_FORMAT=MLN","Sort=A","Dates=H","DateFormat=P","Fill=—","Direction=H","UseDPDF=Y")</f>
        <v>121.7</v>
      </c>
      <c r="AA20" s="13">
        <f>_xll.BDH("NBIX US Equity","BS_OTHER_CUR_ASSET_LESS_PREPAY","FQ4 2024","FQ4 2024","Currency=USD","Period=FQ","BEST_FPERIOD_OVERRIDE=FQ","FILING_STATUS=MR","SCALING_FORMAT=MLN","Sort=A","Dates=H","DateFormat=P","Fill=—","Direction=H","UseDPDF=Y")</f>
        <v>112.1</v>
      </c>
    </row>
    <row r="21" spans="1:27" x14ac:dyDescent="0.25">
      <c r="A21" s="6" t="s">
        <v>110</v>
      </c>
      <c r="B21" s="6" t="s">
        <v>111</v>
      </c>
      <c r="C21" s="19">
        <f>_xll.BDH("NBIX US Equity","BS_CUR_ASSET_REPORT","FQ4 2018","FQ4 2018","Currency=USD","Period=FQ","BEST_FPERIOD_OVERRIDE=FQ","FILING_STATUS=MR","SCALING_FORMAT=MLN","Sort=A","Dates=H","DateFormat=P","Fill=—","Direction=H","UseDPDF=Y")</f>
        <v>737.77700000000004</v>
      </c>
      <c r="D21" s="19">
        <f>_xll.BDH("NBIX US Equity","BS_CUR_ASSET_REPORT","FQ1 2019","FQ1 2019","Currency=USD","Period=FQ","BEST_FPERIOD_OVERRIDE=FQ","FILING_STATUS=MR","SCALING_FORMAT=MLN","Sort=A","Dates=H","DateFormat=P","Fill=—","Direction=H","UseDPDF=Y")</f>
        <v>633.19200000000001</v>
      </c>
      <c r="E21" s="19">
        <f>_xll.BDH("NBIX US Equity","BS_CUR_ASSET_REPORT","FQ2 2019","FQ2 2019","Currency=USD","Period=FQ","BEST_FPERIOD_OVERRIDE=FQ","FILING_STATUS=MR","SCALING_FORMAT=MLN","Sort=A","Dates=H","DateFormat=P","Fill=—","Direction=H","UseDPDF=Y")</f>
        <v>748.80799999999999</v>
      </c>
      <c r="F21" s="19">
        <f>_xll.BDH("NBIX US Equity","BS_CUR_ASSET_REPORT","FQ3 2019","FQ3 2019","Currency=USD","Period=FQ","BEST_FPERIOD_OVERRIDE=FQ","FILING_STATUS=MR","SCALING_FORMAT=MLN","Sort=A","Dates=H","DateFormat=P","Fill=—","Direction=H","UseDPDF=Y")</f>
        <v>819.23199999999997</v>
      </c>
      <c r="G21" s="19">
        <f>_xll.BDH("NBIX US Equity","BS_CUR_ASSET_REPORT","FQ4 2019","FQ4 2019","Currency=USD","Period=FQ","BEST_FPERIOD_OVERRIDE=FQ","FILING_STATUS=MR","SCALING_FORMAT=MLN","Sort=A","Dates=H","DateFormat=P","Fill=—","Direction=H","UseDPDF=Y")</f>
        <v>831</v>
      </c>
      <c r="H21" s="19">
        <f>_xll.BDH("NBIX US Equity","BS_CUR_ASSET_REPORT","FQ1 2020","FQ1 2020","Currency=USD","Period=FQ","BEST_FPERIOD_OVERRIDE=FQ","FILING_STATUS=MR","SCALING_FORMAT=MLN","Sort=A","Dates=H","DateFormat=P","Fill=—","Direction=H","UseDPDF=Y")</f>
        <v>968.2</v>
      </c>
      <c r="I21" s="19">
        <f>_xll.BDH("NBIX US Equity","BS_CUR_ASSET_REPORT","FQ2 2020","FQ2 2020","Currency=USD","Period=FQ","BEST_FPERIOD_OVERRIDE=FQ","FILING_STATUS=MR","SCALING_FORMAT=MLN","Sort=A","Dates=H","DateFormat=P","Fill=—","Direction=H","UseDPDF=Y")</f>
        <v>1146.2</v>
      </c>
      <c r="J21" s="19">
        <f>_xll.BDH("NBIX US Equity","BS_CUR_ASSET_REPORT","FQ3 2020","FQ3 2020","Currency=USD","Period=FQ","BEST_FPERIOD_OVERRIDE=FQ","FILING_STATUS=MR","SCALING_FORMAT=MLN","Sort=A","Dates=H","DateFormat=P","Fill=—","Direction=H","UseDPDF=Y")</f>
        <v>1156.9000000000001</v>
      </c>
      <c r="K21" s="19">
        <f>_xll.BDH("NBIX US Equity","BS_CUR_ASSET_REPORT","FQ4 2020","FQ4 2020","Currency=USD","Period=FQ","BEST_FPERIOD_OVERRIDE=FQ","FILING_STATUS=MR","SCALING_FORMAT=MLN","Sort=A","Dates=H","DateFormat=P","Fill=—","Direction=H","UseDPDF=Y")</f>
        <v>1016.2</v>
      </c>
      <c r="L21" s="19">
        <f>_xll.BDH("NBIX US Equity","BS_CUR_ASSET_REPORT","FQ1 2021","FQ1 2021","Currency=USD","Period=FQ","BEST_FPERIOD_OVERRIDE=FQ","FILING_STATUS=MR","SCALING_FORMAT=MLN","Sort=A","Dates=H","DateFormat=P","Fill=—","Direction=H","UseDPDF=Y")</f>
        <v>1085.4000000000001</v>
      </c>
      <c r="M21" s="19">
        <f>_xll.BDH("NBIX US Equity","BS_CUR_ASSET_REPORT","FQ2 2021","FQ2 2021","Currency=USD","Period=FQ","BEST_FPERIOD_OVERRIDE=FQ","FILING_STATUS=MR","SCALING_FORMAT=MLN","Sort=A","Dates=H","DateFormat=P","Fill=—","Direction=H","UseDPDF=Y")</f>
        <v>1110.0999999999999</v>
      </c>
      <c r="N21" s="19">
        <f>_xll.BDH("NBIX US Equity","BS_CUR_ASSET_REPORT","FQ3 2021","FQ3 2021","Currency=USD","Period=FQ","BEST_FPERIOD_OVERRIDE=FQ","FILING_STATUS=MR","SCALING_FORMAT=MLN","Sort=A","Dates=H","DateFormat=P","Fill=—","Direction=H","UseDPDF=Y")</f>
        <v>1005.7</v>
      </c>
      <c r="O21" s="19">
        <f>_xll.BDH("NBIX US Equity","BS_CUR_ASSET_REPORT","FQ4 2021","FQ4 2021","Currency=USD","Period=FQ","BEST_FPERIOD_OVERRIDE=FQ","FILING_STATUS=MR","SCALING_FORMAT=MLN","Sort=A","Dates=H","DateFormat=P","Fill=—","Direction=H","UseDPDF=Y")</f>
        <v>972.8</v>
      </c>
      <c r="P21" s="19">
        <f>_xll.BDH("NBIX US Equity","BS_CUR_ASSET_REPORT","FQ1 2022","FQ1 2022","Currency=USD","Period=FQ","BEST_FPERIOD_OVERRIDE=FQ","FILING_STATUS=MR","SCALING_FORMAT=MLN","Sort=A","Dates=H","DateFormat=P","Fill=—","Direction=H","UseDPDF=Y")</f>
        <v>1018.2</v>
      </c>
      <c r="Q21" s="19">
        <f>_xll.BDH("NBIX US Equity","BS_CUR_ASSET_REPORT","FQ2 2022","FQ2 2022","Currency=USD","Period=FQ","BEST_FPERIOD_OVERRIDE=FQ","FILING_STATUS=MR","SCALING_FORMAT=MLN","Sort=A","Dates=H","DateFormat=P","Fill=—","Direction=H","UseDPDF=Y")</f>
        <v>1019.3</v>
      </c>
      <c r="R21" s="19">
        <f>_xll.BDH("NBIX US Equity","BS_CUR_ASSET_REPORT","FQ3 2022","FQ3 2022","Currency=USD","Period=FQ","BEST_FPERIOD_OVERRIDE=FQ","FILING_STATUS=MR","SCALING_FORMAT=MLN","Sort=A","Dates=H","DateFormat=P","Fill=—","Direction=H","UseDPDF=Y")</f>
        <v>1205.5</v>
      </c>
      <c r="S21" s="19">
        <f>_xll.BDH("NBIX US Equity","BS_CUR_ASSET_REPORT","FQ4 2022","FQ4 2022","Currency=USD","Period=FQ","BEST_FPERIOD_OVERRIDE=FQ","FILING_STATUS=MR","SCALING_FORMAT=MLN","Sort=A","Dates=H","DateFormat=P","Fill=—","Direction=H","UseDPDF=Y")</f>
        <v>1453.5</v>
      </c>
      <c r="T21" s="19">
        <f>_xll.BDH("NBIX US Equity","BS_CUR_ASSET_REPORT","FQ1 2023","FQ1 2023","Currency=USD","Period=FQ","BEST_FPERIOD_OVERRIDE=FQ","FILING_STATUS=MR","SCALING_FORMAT=MLN","Sort=A","Dates=H","DateFormat=P","Fill=—","Direction=H","UseDPDF=Y")</f>
        <v>1432.8</v>
      </c>
      <c r="U21" s="19">
        <f>_xll.BDH("NBIX US Equity","BS_CUR_ASSET_REPORT","FQ2 2023","FQ2 2023","Currency=USD","Period=FQ","BEST_FPERIOD_OVERRIDE=FQ","FILING_STATUS=MR","SCALING_FORMAT=MLN","Sort=A","Dates=H","DateFormat=P","Fill=—","Direction=H","UseDPDF=Y")</f>
        <v>1496.6</v>
      </c>
      <c r="V21" s="19">
        <f>_xll.BDH("NBIX US Equity","BS_CUR_ASSET_REPORT","FQ3 2023","FQ3 2023","Currency=USD","Period=FQ","BEST_FPERIOD_OVERRIDE=FQ","FILING_STATUS=MR","SCALING_FORMAT=MLN","Sort=A","Dates=H","DateFormat=P","Fill=—","Direction=H","UseDPDF=Y")</f>
        <v>1649.9</v>
      </c>
      <c r="W21" s="19">
        <f>_xll.BDH("NBIX US Equity","BS_CUR_ASSET_REPORT","FQ4 2023","FQ4 2023","Currency=USD","Period=FQ","BEST_FPERIOD_OVERRIDE=FQ","FILING_STATUS=MR","SCALING_FORMAT=MLN","Sort=A","Dates=H","DateFormat=P","Fill=—","Direction=H","UseDPDF=Y")</f>
        <v>1607</v>
      </c>
      <c r="X21" s="19">
        <f>_xll.BDH("NBIX US Equity","BS_CUR_ASSET_REPORT","FQ1 2024","FQ1 2024","Currency=USD","Period=FQ","BEST_FPERIOD_OVERRIDE=FQ","FILING_STATUS=MR","SCALING_FORMAT=MLN","Sort=A","Dates=H","DateFormat=P","Fill=—","Direction=H","UseDPDF=Y")</f>
        <v>1799</v>
      </c>
      <c r="Y21" s="19">
        <f>_xll.BDH("NBIX US Equity","BS_CUR_ASSET_REPORT","FQ2 2024","FQ2 2024","Currency=USD","Period=FQ","BEST_FPERIOD_OVERRIDE=FQ","FILING_STATUS=MR","SCALING_FORMAT=MLN","Sort=A","Dates=H","DateFormat=P","Fill=—","Direction=H","UseDPDF=Y")</f>
        <v>1669.8</v>
      </c>
      <c r="Z21" s="19">
        <f>_xll.BDH("NBIX US Equity","BS_CUR_ASSET_REPORT","FQ3 2024","FQ3 2024","Currency=USD","Period=FQ","BEST_FPERIOD_OVERRIDE=FQ","FILING_STATUS=MR","SCALING_FORMAT=MLN","Sort=A","Dates=H","DateFormat=P","Fill=—","Direction=H","UseDPDF=Y")</f>
        <v>1876.6</v>
      </c>
      <c r="AA21" s="19">
        <f>_xll.BDH("NBIX US Equity","BS_CUR_ASSET_REPORT","FQ4 2024","FQ4 2024","Currency=USD","Period=FQ","BEST_FPERIOD_OVERRIDE=FQ","FILING_STATUS=MR","SCALING_FORMAT=MLN","Sort=A","Dates=H","DateFormat=P","Fill=—","Direction=H","UseDPDF=Y")</f>
        <v>1724.7</v>
      </c>
    </row>
    <row r="22" spans="1:27" x14ac:dyDescent="0.25">
      <c r="A22" s="10" t="s">
        <v>694</v>
      </c>
      <c r="B22" s="10" t="s">
        <v>695</v>
      </c>
      <c r="C22" s="13">
        <f>_xll.BDH("NBIX US Equity","BS_NET_FIX_ASSET","FQ4 2018","FQ4 2018","Currency=USD","Period=FQ","BEST_FPERIOD_OVERRIDE=FQ","FILING_STATUS=MR","SCALING_FORMAT=MLN","Sort=A","Dates=H","DateFormat=P","Fill=—","Direction=H","UseDPDF=Y")</f>
        <v>33.869</v>
      </c>
      <c r="D22" s="13">
        <f>_xll.BDH("NBIX US Equity","BS_NET_FIX_ASSET","FQ1 2019","FQ1 2019","Currency=USD","Period=FQ","BEST_FPERIOD_OVERRIDE=FQ","FILING_STATUS=MR","SCALING_FORMAT=MLN","Sort=A","Dates=H","DateFormat=P","Fill=—","Direction=H","UseDPDF=Y")</f>
        <v>85.965000000000003</v>
      </c>
      <c r="E22" s="13">
        <f>_xll.BDH("NBIX US Equity","BS_NET_FIX_ASSET","FQ2 2019","FQ2 2019","Currency=USD","Period=FQ","BEST_FPERIOD_OVERRIDE=FQ","FILING_STATUS=MR","SCALING_FORMAT=MLN","Sort=A","Dates=H","DateFormat=P","Fill=—","Direction=H","UseDPDF=Y")</f>
        <v>88.707999999999998</v>
      </c>
      <c r="F22" s="13">
        <f>_xll.BDH("NBIX US Equity","BS_NET_FIX_ASSET","FQ3 2019","FQ3 2019","Currency=USD","Period=FQ","BEST_FPERIOD_OVERRIDE=FQ","FILING_STATUS=MR","SCALING_FORMAT=MLN","Sort=A","Dates=H","DateFormat=P","Fill=—","Direction=H","UseDPDF=Y")</f>
        <v>102.289</v>
      </c>
      <c r="G22" s="13">
        <f>_xll.BDH("NBIX US Equity","BS_NET_FIX_ASSET","FQ4 2019","FQ4 2019","Currency=USD","Period=FQ","BEST_FPERIOD_OVERRIDE=FQ","FILING_STATUS=MR","SCALING_FORMAT=MLN","Sort=A","Dates=H","DateFormat=P","Fill=—","Direction=H","UseDPDF=Y")</f>
        <v>116.2</v>
      </c>
      <c r="H22" s="13">
        <f>_xll.BDH("NBIX US Equity","BS_NET_FIX_ASSET","FQ1 2020","FQ1 2020","Currency=USD","Period=FQ","BEST_FPERIOD_OVERRIDE=FQ","FILING_STATUS=MR","SCALING_FORMAT=MLN","Sort=A","Dates=H","DateFormat=P","Fill=—","Direction=H","UseDPDF=Y")</f>
        <v>115.2</v>
      </c>
      <c r="I22" s="13">
        <f>_xll.BDH("NBIX US Equity","BS_NET_FIX_ASSET","FQ2 2020","FQ2 2020","Currency=USD","Period=FQ","BEST_FPERIOD_OVERRIDE=FQ","FILING_STATUS=MR","SCALING_FORMAT=MLN","Sort=A","Dates=H","DateFormat=P","Fill=—","Direction=H","UseDPDF=Y")</f>
        <v>116.7</v>
      </c>
      <c r="J22" s="13">
        <f>_xll.BDH("NBIX US Equity","BS_NET_FIX_ASSET","FQ3 2020","FQ3 2020","Currency=USD","Period=FQ","BEST_FPERIOD_OVERRIDE=FQ","FILING_STATUS=MR","SCALING_FORMAT=MLN","Sort=A","Dates=H","DateFormat=P","Fill=—","Direction=H","UseDPDF=Y")</f>
        <v>114</v>
      </c>
      <c r="K22" s="13">
        <f>_xll.BDH("NBIX US Equity","BS_NET_FIX_ASSET","FQ4 2020","FQ4 2020","Currency=USD","Period=FQ","BEST_FPERIOD_OVERRIDE=FQ","FILING_STATUS=MR","SCALING_FORMAT=MLN","Sort=A","Dates=H","DateFormat=P","Fill=—","Direction=H","UseDPDF=Y")</f>
        <v>127.4</v>
      </c>
      <c r="L22" s="13">
        <f>_xll.BDH("NBIX US Equity","BS_NET_FIX_ASSET","FQ1 2021","FQ1 2021","Currency=USD","Period=FQ","BEST_FPERIOD_OVERRIDE=FQ","FILING_STATUS=MR","SCALING_FORMAT=MLN","Sort=A","Dates=H","DateFormat=P","Fill=—","Direction=H","UseDPDF=Y")</f>
        <v>142.30000000000001</v>
      </c>
      <c r="M22" s="13">
        <f>_xll.BDH("NBIX US Equity","BS_NET_FIX_ASSET","FQ2 2021","FQ2 2021","Currency=USD","Period=FQ","BEST_FPERIOD_OVERRIDE=FQ","FILING_STATUS=MR","SCALING_FORMAT=MLN","Sort=A","Dates=H","DateFormat=P","Fill=—","Direction=H","UseDPDF=Y")</f>
        <v>150.30000000000001</v>
      </c>
      <c r="N22" s="13">
        <f>_xll.BDH("NBIX US Equity","BS_NET_FIX_ASSET","FQ3 2021","FQ3 2021","Currency=USD","Period=FQ","BEST_FPERIOD_OVERRIDE=FQ","FILING_STATUS=MR","SCALING_FORMAT=MLN","Sort=A","Dates=H","DateFormat=P","Fill=—","Direction=H","UseDPDF=Y")</f>
        <v>149</v>
      </c>
      <c r="O22" s="13">
        <f>_xll.BDH("NBIX US Equity","BS_NET_FIX_ASSET","FQ4 2021","FQ4 2021","Currency=USD","Period=FQ","BEST_FPERIOD_OVERRIDE=FQ","FILING_STATUS=MR","SCALING_FORMAT=MLN","Sort=A","Dates=H","DateFormat=P","Fill=—","Direction=H","UseDPDF=Y")</f>
        <v>155.80000000000001</v>
      </c>
      <c r="P22" s="13">
        <f>_xll.BDH("NBIX US Equity","BS_NET_FIX_ASSET","FQ1 2022","FQ1 2022","Currency=USD","Period=FQ","BEST_FPERIOD_OVERRIDE=FQ","FILING_STATUS=MR","SCALING_FORMAT=MLN","Sort=A","Dates=H","DateFormat=P","Fill=—","Direction=H","UseDPDF=Y")</f>
        <v>158.6</v>
      </c>
      <c r="Q22" s="13">
        <f>_xll.BDH("NBIX US Equity","BS_NET_FIX_ASSET","FQ2 2022","FQ2 2022","Currency=USD","Period=FQ","BEST_FPERIOD_OVERRIDE=FQ","FILING_STATUS=MR","SCALING_FORMAT=MLN","Sort=A","Dates=H","DateFormat=P","Fill=—","Direction=H","UseDPDF=Y")</f>
        <v>159</v>
      </c>
      <c r="R22" s="13">
        <f>_xll.BDH("NBIX US Equity","BS_NET_FIX_ASSET","FQ3 2022","FQ3 2022","Currency=USD","Period=FQ","BEST_FPERIOD_OVERRIDE=FQ","FILING_STATUS=MR","SCALING_FORMAT=MLN","Sort=A","Dates=H","DateFormat=P","Fill=—","Direction=H","UseDPDF=Y")</f>
        <v>150.5</v>
      </c>
      <c r="S22" s="13">
        <f>_xll.BDH("NBIX US Equity","BS_NET_FIX_ASSET","FQ4 2022","FQ4 2022","Currency=USD","Period=FQ","BEST_FPERIOD_OVERRIDE=FQ","FILING_STATUS=MR","SCALING_FORMAT=MLN","Sort=A","Dates=H","DateFormat=P","Fill=—","Direction=H","UseDPDF=Y")</f>
        <v>145.6</v>
      </c>
      <c r="T22" s="13">
        <f>_xll.BDH("NBIX US Equity","BS_NET_FIX_ASSET","FQ1 2023","FQ1 2023","Currency=USD","Period=FQ","BEST_FPERIOD_OVERRIDE=FQ","FILING_STATUS=MR","SCALING_FORMAT=MLN","Sort=A","Dates=H","DateFormat=P","Fill=—","Direction=H","UseDPDF=Y")</f>
        <v>147.19999999999999</v>
      </c>
      <c r="U22" s="13">
        <f>_xll.BDH("NBIX US Equity","BS_NET_FIX_ASSET","FQ2 2023","FQ2 2023","Currency=USD","Period=FQ","BEST_FPERIOD_OVERRIDE=FQ","FILING_STATUS=MR","SCALING_FORMAT=MLN","Sort=A","Dates=H","DateFormat=P","Fill=—","Direction=H","UseDPDF=Y")</f>
        <v>149.1</v>
      </c>
      <c r="V22" s="13">
        <f>_xll.BDH("NBIX US Equity","BS_NET_FIX_ASSET","FQ3 2023","FQ3 2023","Currency=USD","Period=FQ","BEST_FPERIOD_OVERRIDE=FQ","FILING_STATUS=MR","SCALING_FORMAT=MLN","Sort=A","Dates=H","DateFormat=P","Fill=—","Direction=H","UseDPDF=Y")</f>
        <v>149.6</v>
      </c>
      <c r="W22" s="13">
        <f>_xll.BDH("NBIX US Equity","BS_NET_FIX_ASSET","FQ4 2023","FQ4 2023","Currency=USD","Period=FQ","BEST_FPERIOD_OVERRIDE=FQ","FILING_STATUS=MR","SCALING_FORMAT=MLN","Sort=A","Dates=H","DateFormat=P","Fill=—","Direction=H","UseDPDF=Y")</f>
        <v>347.3</v>
      </c>
      <c r="X22" s="13">
        <f>_xll.BDH("NBIX US Equity","BS_NET_FIX_ASSET","FQ1 2024","FQ1 2024","Currency=USD","Period=FQ","BEST_FPERIOD_OVERRIDE=FQ","FILING_STATUS=MR","SCALING_FORMAT=MLN","Sort=A","Dates=H","DateFormat=P","Fill=—","Direction=H","UseDPDF=Y")</f>
        <v>346.1</v>
      </c>
      <c r="Y22" s="13">
        <f>_xll.BDH("NBIX US Equity","BS_NET_FIX_ASSET","FQ2 2024","FQ2 2024","Currency=USD","Period=FQ","BEST_FPERIOD_OVERRIDE=FQ","FILING_STATUS=MR","SCALING_FORMAT=MLN","Sort=A","Dates=H","DateFormat=P","Fill=—","Direction=H","UseDPDF=Y")</f>
        <v>343</v>
      </c>
      <c r="Z22" s="13">
        <f>_xll.BDH("NBIX US Equity","BS_NET_FIX_ASSET","FQ3 2024","FQ3 2024","Currency=USD","Period=FQ","BEST_FPERIOD_OVERRIDE=FQ","FILING_STATUS=MR","SCALING_FORMAT=MLN","Sort=A","Dates=H","DateFormat=P","Fill=—","Direction=H","UseDPDF=Y")</f>
        <v>337.3</v>
      </c>
      <c r="AA22" s="13">
        <f>_xll.BDH("NBIX US Equity","BS_NET_FIX_ASSET","FQ4 2024","FQ4 2024","Currency=USD","Period=FQ","BEST_FPERIOD_OVERRIDE=FQ","FILING_STATUS=MR","SCALING_FORMAT=MLN","Sort=A","Dates=H","DateFormat=P","Fill=—","Direction=H","UseDPDF=Y")</f>
        <v>592</v>
      </c>
    </row>
    <row r="23" spans="1:27" x14ac:dyDescent="0.25">
      <c r="A23" s="10" t="s">
        <v>696</v>
      </c>
      <c r="B23" s="10" t="s">
        <v>697</v>
      </c>
      <c r="C23" s="13">
        <f>_xll.BDH("NBIX US Equity","BS_GROSS_FIX_ASSET","FQ4 2018","FQ4 2018","Currency=USD","Period=FQ","BEST_FPERIOD_OVERRIDE=FQ","FILING_STATUS=MR","SCALING_FORMAT=MLN","Sort=A","Dates=H","DateFormat=P","Fill=—","Direction=H","UseDPDF=Y")</f>
        <v>62.14</v>
      </c>
      <c r="D23" s="13" t="str">
        <f>_xll.BDH("NBIX US Equity","BS_GROSS_FIX_ASSET","FQ1 2019","FQ1 2019","Currency=USD","Period=FQ","BEST_FPERIOD_OVERRIDE=FQ","FILING_STATUS=MR","SCALING_FORMAT=MLN","Sort=A","Dates=H","DateFormat=P","Fill=—","Direction=H","UseDPDF=Y")</f>
        <v>—</v>
      </c>
      <c r="E23" s="13" t="str">
        <f>_xll.BDH("NBIX US Equity","BS_GROSS_FIX_ASSET","FQ2 2019","FQ2 2019","Currency=USD","Period=FQ","BEST_FPERIOD_OVERRIDE=FQ","FILING_STATUS=MR","SCALING_FORMAT=MLN","Sort=A","Dates=H","DateFormat=P","Fill=—","Direction=H","UseDPDF=Y")</f>
        <v>—</v>
      </c>
      <c r="F23" s="13" t="str">
        <f>_xll.BDH("NBIX US Equity","BS_GROSS_FIX_ASSET","FQ3 2019","FQ3 2019","Currency=USD","Period=FQ","BEST_FPERIOD_OVERRIDE=FQ","FILING_STATUS=MR","SCALING_FORMAT=MLN","Sort=A","Dates=H","DateFormat=P","Fill=—","Direction=H","UseDPDF=Y")</f>
        <v>—</v>
      </c>
      <c r="G23" s="13">
        <f>_xll.BDH("NBIX US Equity","BS_GROSS_FIX_ASSET","FQ4 2019","FQ4 2019","Currency=USD","Period=FQ","BEST_FPERIOD_OVERRIDE=FQ","FILING_STATUS=MR","SCALING_FORMAT=MLN","Sort=A","Dates=H","DateFormat=P","Fill=—","Direction=H","UseDPDF=Y")</f>
        <v>149.80000000000001</v>
      </c>
      <c r="H23" s="13" t="str">
        <f>_xll.BDH("NBIX US Equity","BS_GROSS_FIX_ASSET","FQ1 2020","FQ1 2020","Currency=USD","Period=FQ","BEST_FPERIOD_OVERRIDE=FQ","FILING_STATUS=MR","SCALING_FORMAT=MLN","Sort=A","Dates=H","DateFormat=P","Fill=—","Direction=H","UseDPDF=Y")</f>
        <v>—</v>
      </c>
      <c r="I23" s="13" t="str">
        <f>_xll.BDH("NBIX US Equity","BS_GROSS_FIX_ASSET","FQ2 2020","FQ2 2020","Currency=USD","Period=FQ","BEST_FPERIOD_OVERRIDE=FQ","FILING_STATUS=MR","SCALING_FORMAT=MLN","Sort=A","Dates=H","DateFormat=P","Fill=—","Direction=H","UseDPDF=Y")</f>
        <v>—</v>
      </c>
      <c r="J23" s="13" t="str">
        <f>_xll.BDH("NBIX US Equity","BS_GROSS_FIX_ASSET","FQ3 2020","FQ3 2020","Currency=USD","Period=FQ","BEST_FPERIOD_OVERRIDE=FQ","FILING_STATUS=MR","SCALING_FORMAT=MLN","Sort=A","Dates=H","DateFormat=P","Fill=—","Direction=H","UseDPDF=Y")</f>
        <v>—</v>
      </c>
      <c r="K23" s="13">
        <f>_xll.BDH("NBIX US Equity","BS_GROSS_FIX_ASSET","FQ4 2020","FQ4 2020","Currency=USD","Period=FQ","BEST_FPERIOD_OVERRIDE=FQ","FILING_STATUS=MR","SCALING_FORMAT=MLN","Sort=A","Dates=H","DateFormat=P","Fill=—","Direction=H","UseDPDF=Y")</f>
        <v>169.1</v>
      </c>
      <c r="L23" s="13" t="str">
        <f>_xll.BDH("NBIX US Equity","BS_GROSS_FIX_ASSET","FQ1 2021","FQ1 2021","Currency=USD","Period=FQ","BEST_FPERIOD_OVERRIDE=FQ","FILING_STATUS=MR","SCALING_FORMAT=MLN","Sort=A","Dates=H","DateFormat=P","Fill=—","Direction=H","UseDPDF=Y")</f>
        <v>—</v>
      </c>
      <c r="M23" s="13" t="str">
        <f>_xll.BDH("NBIX US Equity","BS_GROSS_FIX_ASSET","FQ2 2021","FQ2 2021","Currency=USD","Period=FQ","BEST_FPERIOD_OVERRIDE=FQ","FILING_STATUS=MR","SCALING_FORMAT=MLN","Sort=A","Dates=H","DateFormat=P","Fill=—","Direction=H","UseDPDF=Y")</f>
        <v>—</v>
      </c>
      <c r="N23" s="13" t="str">
        <f>_xll.BDH("NBIX US Equity","BS_GROSS_FIX_ASSET","FQ3 2021","FQ3 2021","Currency=USD","Period=FQ","BEST_FPERIOD_OVERRIDE=FQ","FILING_STATUS=MR","SCALING_FORMAT=MLN","Sort=A","Dates=H","DateFormat=P","Fill=—","Direction=H","UseDPDF=Y")</f>
        <v>—</v>
      </c>
      <c r="O23" s="13">
        <f>_xll.BDH("NBIX US Equity","BS_GROSS_FIX_ASSET","FQ4 2021","FQ4 2021","Currency=USD","Period=FQ","BEST_FPERIOD_OVERRIDE=FQ","FILING_STATUS=MR","SCALING_FORMAT=MLN","Sort=A","Dates=H","DateFormat=P","Fill=—","Direction=H","UseDPDF=Y")</f>
        <v>207.7</v>
      </c>
      <c r="P23" s="13" t="str">
        <f>_xll.BDH("NBIX US Equity","BS_GROSS_FIX_ASSET","FQ1 2022","FQ1 2022","Currency=USD","Period=FQ","BEST_FPERIOD_OVERRIDE=FQ","FILING_STATUS=MR","SCALING_FORMAT=MLN","Sort=A","Dates=H","DateFormat=P","Fill=—","Direction=H","UseDPDF=Y")</f>
        <v>—</v>
      </c>
      <c r="Q23" s="13" t="str">
        <f>_xll.BDH("NBIX US Equity","BS_GROSS_FIX_ASSET","FQ2 2022","FQ2 2022","Currency=USD","Period=FQ","BEST_FPERIOD_OVERRIDE=FQ","FILING_STATUS=MR","SCALING_FORMAT=MLN","Sort=A","Dates=H","DateFormat=P","Fill=—","Direction=H","UseDPDF=Y")</f>
        <v>—</v>
      </c>
      <c r="R23" s="13" t="str">
        <f>_xll.BDH("NBIX US Equity","BS_GROSS_FIX_ASSET","FQ3 2022","FQ3 2022","Currency=USD","Period=FQ","BEST_FPERIOD_OVERRIDE=FQ","FILING_STATUS=MR","SCALING_FORMAT=MLN","Sort=A","Dates=H","DateFormat=P","Fill=—","Direction=H","UseDPDF=Y")</f>
        <v>—</v>
      </c>
      <c r="S23" s="13">
        <f>_xll.BDH("NBIX US Equity","BS_GROSS_FIX_ASSET","FQ4 2022","FQ4 2022","Currency=USD","Period=FQ","BEST_FPERIOD_OVERRIDE=FQ","FILING_STATUS=MR","SCALING_FORMAT=MLN","Sort=A","Dates=H","DateFormat=P","Fill=—","Direction=H","UseDPDF=Y")</f>
        <v>211.9</v>
      </c>
      <c r="T23" s="13" t="str">
        <f>_xll.BDH("NBIX US Equity","BS_GROSS_FIX_ASSET","FQ1 2023","FQ1 2023","Currency=USD","Period=FQ","BEST_FPERIOD_OVERRIDE=FQ","FILING_STATUS=MR","SCALING_FORMAT=MLN","Sort=A","Dates=H","DateFormat=P","Fill=—","Direction=H","UseDPDF=Y")</f>
        <v>—</v>
      </c>
      <c r="U23" s="13" t="str">
        <f>_xll.BDH("NBIX US Equity","BS_GROSS_FIX_ASSET","FQ2 2023","FQ2 2023","Currency=USD","Period=FQ","BEST_FPERIOD_OVERRIDE=FQ","FILING_STATUS=MR","SCALING_FORMAT=MLN","Sort=A","Dates=H","DateFormat=P","Fill=—","Direction=H","UseDPDF=Y")</f>
        <v>—</v>
      </c>
      <c r="V23" s="13" t="str">
        <f>_xll.BDH("NBIX US Equity","BS_GROSS_FIX_ASSET","FQ3 2023","FQ3 2023","Currency=USD","Period=FQ","BEST_FPERIOD_OVERRIDE=FQ","FILING_STATUS=MR","SCALING_FORMAT=MLN","Sort=A","Dates=H","DateFormat=P","Fill=—","Direction=H","UseDPDF=Y")</f>
        <v>—</v>
      </c>
      <c r="W23" s="13">
        <f>_xll.BDH("NBIX US Equity","BS_GROSS_FIX_ASSET","FQ4 2023","FQ4 2023","Currency=USD","Period=FQ","BEST_FPERIOD_OVERRIDE=FQ","FILING_STATUS=MR","SCALING_FORMAT=MLN","Sort=A","Dates=H","DateFormat=P","Fill=—","Direction=H","UseDPDF=Y")</f>
        <v>430.3</v>
      </c>
      <c r="X23" s="13" t="str">
        <f>_xll.BDH("NBIX US Equity","BS_GROSS_FIX_ASSET","FQ1 2024","FQ1 2024","Currency=USD","Period=FQ","BEST_FPERIOD_OVERRIDE=FQ","FILING_STATUS=MR","SCALING_FORMAT=MLN","Sort=A","Dates=H","DateFormat=P","Fill=—","Direction=H","UseDPDF=Y")</f>
        <v>—</v>
      </c>
      <c r="Y23" s="13" t="str">
        <f>_xll.BDH("NBIX US Equity","BS_GROSS_FIX_ASSET","FQ2 2024","FQ2 2024","Currency=USD","Period=FQ","BEST_FPERIOD_OVERRIDE=FQ","FILING_STATUS=MR","SCALING_FORMAT=MLN","Sort=A","Dates=H","DateFormat=P","Fill=—","Direction=H","UseDPDF=Y")</f>
        <v>—</v>
      </c>
      <c r="Z23" s="13" t="str">
        <f>_xll.BDH("NBIX US Equity","BS_GROSS_FIX_ASSET","FQ3 2024","FQ3 2024","Currency=USD","Period=FQ","BEST_FPERIOD_OVERRIDE=FQ","FILING_STATUS=MR","SCALING_FORMAT=MLN","Sort=A","Dates=H","DateFormat=P","Fill=—","Direction=H","UseDPDF=Y")</f>
        <v>—</v>
      </c>
      <c r="AA23" s="13">
        <f>_xll.BDH("NBIX US Equity","BS_GROSS_FIX_ASSET","FQ4 2024","FQ4 2024","Currency=USD","Period=FQ","BEST_FPERIOD_OVERRIDE=FQ","FILING_STATUS=MR","SCALING_FORMAT=MLN","Sort=A","Dates=H","DateFormat=P","Fill=—","Direction=H","UseDPDF=Y")</f>
        <v>698.5</v>
      </c>
    </row>
    <row r="24" spans="1:27" x14ac:dyDescent="0.25">
      <c r="A24" s="10" t="s">
        <v>698</v>
      </c>
      <c r="B24" s="10" t="s">
        <v>699</v>
      </c>
      <c r="C24" s="13">
        <f>_xll.BDH("NBIX US Equity","BS_ACCUM_DEPR","FQ4 2018","FQ4 2018","Currency=USD","Period=FQ","BEST_FPERIOD_OVERRIDE=FQ","FILING_STATUS=MR","SCALING_FORMAT=MLN","Sort=A","Dates=H","DateFormat=P","Fill=—","Direction=H","UseDPDF=Y")</f>
        <v>28.271000000000001</v>
      </c>
      <c r="D24" s="13" t="str">
        <f>_xll.BDH("NBIX US Equity","BS_ACCUM_DEPR","FQ1 2019","FQ1 2019","Currency=USD","Period=FQ","BEST_FPERIOD_OVERRIDE=FQ","FILING_STATUS=MR","SCALING_FORMAT=MLN","Sort=A","Dates=H","DateFormat=P","Fill=—","Direction=H","UseDPDF=Y")</f>
        <v>—</v>
      </c>
      <c r="E24" s="13" t="str">
        <f>_xll.BDH("NBIX US Equity","BS_ACCUM_DEPR","FQ2 2019","FQ2 2019","Currency=USD","Period=FQ","BEST_FPERIOD_OVERRIDE=FQ","FILING_STATUS=MR","SCALING_FORMAT=MLN","Sort=A","Dates=H","DateFormat=P","Fill=—","Direction=H","UseDPDF=Y")</f>
        <v>—</v>
      </c>
      <c r="F24" s="13" t="str">
        <f>_xll.BDH("NBIX US Equity","BS_ACCUM_DEPR","FQ3 2019","FQ3 2019","Currency=USD","Period=FQ","BEST_FPERIOD_OVERRIDE=FQ","FILING_STATUS=MR","SCALING_FORMAT=MLN","Sort=A","Dates=H","DateFormat=P","Fill=—","Direction=H","UseDPDF=Y")</f>
        <v>—</v>
      </c>
      <c r="G24" s="13">
        <f>_xll.BDH("NBIX US Equity","BS_ACCUM_DEPR","FQ4 2019","FQ4 2019","Currency=USD","Period=FQ","BEST_FPERIOD_OVERRIDE=FQ","FILING_STATUS=MR","SCALING_FORMAT=MLN","Sort=A","Dates=H","DateFormat=P","Fill=—","Direction=H","UseDPDF=Y")</f>
        <v>33.6</v>
      </c>
      <c r="H24" s="13" t="str">
        <f>_xll.BDH("NBIX US Equity","BS_ACCUM_DEPR","FQ1 2020","FQ1 2020","Currency=USD","Period=FQ","BEST_FPERIOD_OVERRIDE=FQ","FILING_STATUS=MR","SCALING_FORMAT=MLN","Sort=A","Dates=H","DateFormat=P","Fill=—","Direction=H","UseDPDF=Y")</f>
        <v>—</v>
      </c>
      <c r="I24" s="13" t="str">
        <f>_xll.BDH("NBIX US Equity","BS_ACCUM_DEPR","FQ2 2020","FQ2 2020","Currency=USD","Period=FQ","BEST_FPERIOD_OVERRIDE=FQ","FILING_STATUS=MR","SCALING_FORMAT=MLN","Sort=A","Dates=H","DateFormat=P","Fill=—","Direction=H","UseDPDF=Y")</f>
        <v>—</v>
      </c>
      <c r="J24" s="13" t="str">
        <f>_xll.BDH("NBIX US Equity","BS_ACCUM_DEPR","FQ3 2020","FQ3 2020","Currency=USD","Period=FQ","BEST_FPERIOD_OVERRIDE=FQ","FILING_STATUS=MR","SCALING_FORMAT=MLN","Sort=A","Dates=H","DateFormat=P","Fill=—","Direction=H","UseDPDF=Y")</f>
        <v>—</v>
      </c>
      <c r="K24" s="13">
        <f>_xll.BDH("NBIX US Equity","BS_ACCUM_DEPR","FQ4 2020","FQ4 2020","Currency=USD","Period=FQ","BEST_FPERIOD_OVERRIDE=FQ","FILING_STATUS=MR","SCALING_FORMAT=MLN","Sort=A","Dates=H","DateFormat=P","Fill=—","Direction=H","UseDPDF=Y")</f>
        <v>41.7</v>
      </c>
      <c r="L24" s="13" t="str">
        <f>_xll.BDH("NBIX US Equity","BS_ACCUM_DEPR","FQ1 2021","FQ1 2021","Currency=USD","Period=FQ","BEST_FPERIOD_OVERRIDE=FQ","FILING_STATUS=MR","SCALING_FORMAT=MLN","Sort=A","Dates=H","DateFormat=P","Fill=—","Direction=H","UseDPDF=Y")</f>
        <v>—</v>
      </c>
      <c r="M24" s="13" t="str">
        <f>_xll.BDH("NBIX US Equity","BS_ACCUM_DEPR","FQ2 2021","FQ2 2021","Currency=USD","Period=FQ","BEST_FPERIOD_OVERRIDE=FQ","FILING_STATUS=MR","SCALING_FORMAT=MLN","Sort=A","Dates=H","DateFormat=P","Fill=—","Direction=H","UseDPDF=Y")</f>
        <v>—</v>
      </c>
      <c r="N24" s="13" t="str">
        <f>_xll.BDH("NBIX US Equity","BS_ACCUM_DEPR","FQ3 2021","FQ3 2021","Currency=USD","Period=FQ","BEST_FPERIOD_OVERRIDE=FQ","FILING_STATUS=MR","SCALING_FORMAT=MLN","Sort=A","Dates=H","DateFormat=P","Fill=—","Direction=H","UseDPDF=Y")</f>
        <v>—</v>
      </c>
      <c r="O24" s="13">
        <f>_xll.BDH("NBIX US Equity","BS_ACCUM_DEPR","FQ4 2021","FQ4 2021","Currency=USD","Period=FQ","BEST_FPERIOD_OVERRIDE=FQ","FILING_STATUS=MR","SCALING_FORMAT=MLN","Sort=A","Dates=H","DateFormat=P","Fill=—","Direction=H","UseDPDF=Y")</f>
        <v>51.9</v>
      </c>
      <c r="P24" s="13" t="str">
        <f>_xll.BDH("NBIX US Equity","BS_ACCUM_DEPR","FQ1 2022","FQ1 2022","Currency=USD","Period=FQ","BEST_FPERIOD_OVERRIDE=FQ","FILING_STATUS=MR","SCALING_FORMAT=MLN","Sort=A","Dates=H","DateFormat=P","Fill=—","Direction=H","UseDPDF=Y")</f>
        <v>—</v>
      </c>
      <c r="Q24" s="13" t="str">
        <f>_xll.BDH("NBIX US Equity","BS_ACCUM_DEPR","FQ2 2022","FQ2 2022","Currency=USD","Period=FQ","BEST_FPERIOD_OVERRIDE=FQ","FILING_STATUS=MR","SCALING_FORMAT=MLN","Sort=A","Dates=H","DateFormat=P","Fill=—","Direction=H","UseDPDF=Y")</f>
        <v>—</v>
      </c>
      <c r="R24" s="13" t="str">
        <f>_xll.BDH("NBIX US Equity","BS_ACCUM_DEPR","FQ3 2022","FQ3 2022","Currency=USD","Period=FQ","BEST_FPERIOD_OVERRIDE=FQ","FILING_STATUS=MR","SCALING_FORMAT=MLN","Sort=A","Dates=H","DateFormat=P","Fill=—","Direction=H","UseDPDF=Y")</f>
        <v>—</v>
      </c>
      <c r="S24" s="13">
        <f>_xll.BDH("NBIX US Equity","BS_ACCUM_DEPR","FQ4 2022","FQ4 2022","Currency=USD","Period=FQ","BEST_FPERIOD_OVERRIDE=FQ","FILING_STATUS=MR","SCALING_FORMAT=MLN","Sort=A","Dates=H","DateFormat=P","Fill=—","Direction=H","UseDPDF=Y")</f>
        <v>66.3</v>
      </c>
      <c r="T24" s="13" t="str">
        <f>_xll.BDH("NBIX US Equity","BS_ACCUM_DEPR","FQ1 2023","FQ1 2023","Currency=USD","Period=FQ","BEST_FPERIOD_OVERRIDE=FQ","FILING_STATUS=MR","SCALING_FORMAT=MLN","Sort=A","Dates=H","DateFormat=P","Fill=—","Direction=H","UseDPDF=Y")</f>
        <v>—</v>
      </c>
      <c r="U24" s="13" t="str">
        <f>_xll.BDH("NBIX US Equity","BS_ACCUM_DEPR","FQ2 2023","FQ2 2023","Currency=USD","Period=FQ","BEST_FPERIOD_OVERRIDE=FQ","FILING_STATUS=MR","SCALING_FORMAT=MLN","Sort=A","Dates=H","DateFormat=P","Fill=—","Direction=H","UseDPDF=Y")</f>
        <v>—</v>
      </c>
      <c r="V24" s="13" t="str">
        <f>_xll.BDH("NBIX US Equity","BS_ACCUM_DEPR","FQ3 2023","FQ3 2023","Currency=USD","Period=FQ","BEST_FPERIOD_OVERRIDE=FQ","FILING_STATUS=MR","SCALING_FORMAT=MLN","Sort=A","Dates=H","DateFormat=P","Fill=—","Direction=H","UseDPDF=Y")</f>
        <v>—</v>
      </c>
      <c r="W24" s="13">
        <f>_xll.BDH("NBIX US Equity","BS_ACCUM_DEPR","FQ4 2023","FQ4 2023","Currency=USD","Period=FQ","BEST_FPERIOD_OVERRIDE=FQ","FILING_STATUS=MR","SCALING_FORMAT=MLN","Sort=A","Dates=H","DateFormat=P","Fill=—","Direction=H","UseDPDF=Y")</f>
        <v>83</v>
      </c>
      <c r="X24" s="13" t="str">
        <f>_xll.BDH("NBIX US Equity","BS_ACCUM_DEPR","FQ1 2024","FQ1 2024","Currency=USD","Period=FQ","BEST_FPERIOD_OVERRIDE=FQ","FILING_STATUS=MR","SCALING_FORMAT=MLN","Sort=A","Dates=H","DateFormat=P","Fill=—","Direction=H","UseDPDF=Y")</f>
        <v>—</v>
      </c>
      <c r="Y24" s="13" t="str">
        <f>_xll.BDH("NBIX US Equity","BS_ACCUM_DEPR","FQ2 2024","FQ2 2024","Currency=USD","Period=FQ","BEST_FPERIOD_OVERRIDE=FQ","FILING_STATUS=MR","SCALING_FORMAT=MLN","Sort=A","Dates=H","DateFormat=P","Fill=—","Direction=H","UseDPDF=Y")</f>
        <v>—</v>
      </c>
      <c r="Z24" s="13" t="str">
        <f>_xll.BDH("NBIX US Equity","BS_ACCUM_DEPR","FQ3 2024","FQ3 2024","Currency=USD","Period=FQ","BEST_FPERIOD_OVERRIDE=FQ","FILING_STATUS=MR","SCALING_FORMAT=MLN","Sort=A","Dates=H","DateFormat=P","Fill=—","Direction=H","UseDPDF=Y")</f>
        <v>—</v>
      </c>
      <c r="AA24" s="13">
        <f>_xll.BDH("NBIX US Equity","BS_ACCUM_DEPR","FQ4 2024","FQ4 2024","Currency=USD","Period=FQ","BEST_FPERIOD_OVERRIDE=FQ","FILING_STATUS=MR","SCALING_FORMAT=MLN","Sort=A","Dates=H","DateFormat=P","Fill=—","Direction=H","UseDPDF=Y")</f>
        <v>106.5</v>
      </c>
    </row>
    <row r="25" spans="1:27" x14ac:dyDescent="0.25">
      <c r="A25" s="10" t="s">
        <v>700</v>
      </c>
      <c r="B25" s="10" t="s">
        <v>701</v>
      </c>
      <c r="C25" s="13">
        <f>_xll.BDH("NBIX US Equity","BS_LT_INVEST","FQ4 2018","FQ4 2018","Currency=USD","Period=FQ","BEST_FPERIOD_OVERRIDE=FQ","FILING_STATUS=MR","SCALING_FORMAT=MLN","Sort=A","Dates=H","DateFormat=P","Fill=—","Direction=H","UseDPDF=Y")</f>
        <v>216.02799999999999</v>
      </c>
      <c r="D25" s="13">
        <f>_xll.BDH("NBIX US Equity","BS_LT_INVEST","FQ1 2019","FQ1 2019","Currency=USD","Period=FQ","BEST_FPERIOD_OVERRIDE=FQ","FILING_STATUS=MR","SCALING_FORMAT=MLN","Sort=A","Dates=H","DateFormat=P","Fill=—","Direction=H","UseDPDF=Y")</f>
        <v>176.68899999999999</v>
      </c>
      <c r="E25" s="13">
        <f>_xll.BDH("NBIX US Equity","BS_LT_INVEST","FQ2 2019","FQ2 2019","Currency=USD","Period=FQ","BEST_FPERIOD_OVERRIDE=FQ","FILING_STATUS=MR","SCALING_FORMAT=MLN","Sort=A","Dates=H","DateFormat=P","Fill=—","Direction=H","UseDPDF=Y")</f>
        <v>146.50299999999999</v>
      </c>
      <c r="F25" s="13">
        <f>_xll.BDH("NBIX US Equity","BS_LT_INVEST","FQ3 2019","FQ3 2019","Currency=USD","Period=FQ","BEST_FPERIOD_OVERRIDE=FQ","FILING_STATUS=MR","SCALING_FORMAT=MLN","Sort=A","Dates=H","DateFormat=P","Fill=—","Direction=H","UseDPDF=Y")</f>
        <v>204.79300000000001</v>
      </c>
      <c r="G25" s="13">
        <f>_xll.BDH("NBIX US Equity","BS_LT_INVEST","FQ4 2019","FQ4 2019","Currency=USD","Period=FQ","BEST_FPERIOD_OVERRIDE=FQ","FILING_STATUS=MR","SCALING_FORMAT=MLN","Sort=A","Dates=H","DateFormat=P","Fill=—","Direction=H","UseDPDF=Y")</f>
        <v>299.7</v>
      </c>
      <c r="H25" s="13">
        <f>_xll.BDH("NBIX US Equity","BS_LT_INVEST","FQ1 2020","FQ1 2020","Currency=USD","Period=FQ","BEST_FPERIOD_OVERRIDE=FQ","FILING_STATUS=MR","SCALING_FORMAT=MLN","Sort=A","Dates=H","DateFormat=P","Fill=—","Direction=H","UseDPDF=Y")</f>
        <v>235.9</v>
      </c>
      <c r="I25" s="13">
        <f>_xll.BDH("NBIX US Equity","BS_LT_INVEST","FQ2 2020","FQ2 2020","Currency=USD","Period=FQ","BEST_FPERIOD_OVERRIDE=FQ","FILING_STATUS=MR","SCALING_FORMAT=MLN","Sort=A","Dates=H","DateFormat=P","Fill=—","Direction=H","UseDPDF=Y")</f>
        <v>195.2</v>
      </c>
      <c r="J25" s="13">
        <f>_xll.BDH("NBIX US Equity","BS_LT_INVEST","FQ3 2020","FQ3 2020","Currency=USD","Period=FQ","BEST_FPERIOD_OVERRIDE=FQ","FILING_STATUS=MR","SCALING_FORMAT=MLN","Sort=A","Dates=H","DateFormat=P","Fill=—","Direction=H","UseDPDF=Y")</f>
        <v>181.4</v>
      </c>
      <c r="K25" s="13">
        <f>_xll.BDH("NBIX US Equity","BS_LT_INVEST","FQ4 2020","FQ4 2020","Currency=USD","Period=FQ","BEST_FPERIOD_OVERRIDE=FQ","FILING_STATUS=MR","SCALING_FORMAT=MLN","Sort=A","Dates=H","DateFormat=P","Fill=—","Direction=H","UseDPDF=Y")</f>
        <v>227.1</v>
      </c>
      <c r="L25" s="13">
        <f>_xll.BDH("NBIX US Equity","BS_LT_INVEST","FQ1 2021","FQ1 2021","Currency=USD","Period=FQ","BEST_FPERIOD_OVERRIDE=FQ","FILING_STATUS=MR","SCALING_FORMAT=MLN","Sort=A","Dates=H","DateFormat=P","Fill=—","Direction=H","UseDPDF=Y")</f>
        <v>249.6</v>
      </c>
      <c r="M25" s="13">
        <f>_xll.BDH("NBIX US Equity","BS_LT_INVEST","FQ2 2021","FQ2 2021","Currency=USD","Period=FQ","BEST_FPERIOD_OVERRIDE=FQ","FILING_STATUS=MR","SCALING_FORMAT=MLN","Sort=A","Dates=H","DateFormat=P","Fill=—","Direction=H","UseDPDF=Y")</f>
        <v>337.8</v>
      </c>
      <c r="N25" s="13">
        <f>_xll.BDH("NBIX US Equity","BS_LT_INVEST","FQ3 2021","FQ3 2021","Currency=USD","Period=FQ","BEST_FPERIOD_OVERRIDE=FQ","FILING_STATUS=MR","SCALING_FORMAT=MLN","Sort=A","Dates=H","DateFormat=P","Fill=—","Direction=H","UseDPDF=Y")</f>
        <v>513.70000000000005</v>
      </c>
      <c r="O25" s="13">
        <f>_xll.BDH("NBIX US Equity","BS_LT_INVEST","FQ4 2021","FQ4 2021","Currency=USD","Period=FQ","BEST_FPERIOD_OVERRIDE=FQ","FILING_STATUS=MR","SCALING_FORMAT=MLN","Sort=A","Dates=H","DateFormat=P","Fill=—","Direction=H","UseDPDF=Y")</f>
        <v>560.70000000000005</v>
      </c>
      <c r="P25" s="13">
        <f>_xll.BDH("NBIX US Equity","BS_LT_INVEST","FQ1 2022","FQ1 2022","Currency=USD","Period=FQ","BEST_FPERIOD_OVERRIDE=FQ","FILING_STATUS=MR","SCALING_FORMAT=MLN","Sort=A","Dates=H","DateFormat=P","Fill=—","Direction=H","UseDPDF=Y")</f>
        <v>541</v>
      </c>
      <c r="Q25" s="13">
        <f>_xll.BDH("NBIX US Equity","BS_LT_INVEST","FQ2 2022","FQ2 2022","Currency=USD","Period=FQ","BEST_FPERIOD_OVERRIDE=FQ","FILING_STATUS=MR","SCALING_FORMAT=MLN","Sort=A","Dates=H","DateFormat=P","Fill=—","Direction=H","UseDPDF=Y")</f>
        <v>405.2</v>
      </c>
      <c r="R25" s="13">
        <f>_xll.BDH("NBIX US Equity","BS_LT_INVEST","FQ3 2022","FQ3 2022","Currency=USD","Period=FQ","BEST_FPERIOD_OVERRIDE=FQ","FILING_STATUS=MR","SCALING_FORMAT=MLN","Sort=A","Dates=H","DateFormat=P","Fill=—","Direction=H","UseDPDF=Y")</f>
        <v>362.6</v>
      </c>
      <c r="S25" s="13">
        <f>_xll.BDH("NBIX US Equity","BS_LT_INVEST","FQ4 2022","FQ4 2022","Currency=USD","Period=FQ","BEST_FPERIOD_OVERRIDE=FQ","FILING_STATUS=MR","SCALING_FORMAT=MLN","Sort=A","Dates=H","DateFormat=P","Fill=—","Direction=H","UseDPDF=Y")</f>
        <v>299.39999999999998</v>
      </c>
      <c r="T25" s="13">
        <f>_xll.BDH("NBIX US Equity","BS_LT_INVEST","FQ1 2023","FQ1 2023","Currency=USD","Period=FQ","BEST_FPERIOD_OVERRIDE=FQ","FILING_STATUS=MR","SCALING_FORMAT=MLN","Sort=A","Dates=H","DateFormat=P","Fill=—","Direction=H","UseDPDF=Y")</f>
        <v>244.6</v>
      </c>
      <c r="U25" s="13">
        <f>_xll.BDH("NBIX US Equity","BS_LT_INVEST","FQ2 2023","FQ2 2023","Currency=USD","Period=FQ","BEST_FPERIOD_OVERRIDE=FQ","FILING_STATUS=MR","SCALING_FORMAT=MLN","Sort=A","Dates=H","DateFormat=P","Fill=—","Direction=H","UseDPDF=Y")</f>
        <v>342.6</v>
      </c>
      <c r="V25" s="13">
        <f>_xll.BDH("NBIX US Equity","BS_LT_INVEST","FQ3 2023","FQ3 2023","Currency=USD","Period=FQ","BEST_FPERIOD_OVERRIDE=FQ","FILING_STATUS=MR","SCALING_FORMAT=MLN","Sort=A","Dates=H","DateFormat=P","Fill=—","Direction=H","UseDPDF=Y")</f>
        <v>454.7</v>
      </c>
      <c r="W25" s="13">
        <f>_xll.BDH("NBIX US Equity","BS_LT_INVEST","FQ4 2023","FQ4 2023","Currency=USD","Period=FQ","BEST_FPERIOD_OVERRIDE=FQ","FILING_STATUS=MR","SCALING_FORMAT=MLN","Sort=A","Dates=H","DateFormat=P","Fill=—","Direction=H","UseDPDF=Y")</f>
        <v>687.5</v>
      </c>
      <c r="X25" s="13">
        <f>_xll.BDH("NBIX US Equity","BS_LT_INVEST","FQ1 2024","FQ1 2024","Currency=USD","Period=FQ","BEST_FPERIOD_OVERRIDE=FQ","FILING_STATUS=MR","SCALING_FORMAT=MLN","Sort=A","Dates=H","DateFormat=P","Fill=—","Direction=H","UseDPDF=Y")</f>
        <v>700.4</v>
      </c>
      <c r="Y25" s="13">
        <f>_xll.BDH("NBIX US Equity","BS_LT_INVEST","FQ2 2024","FQ2 2024","Currency=USD","Period=FQ","BEST_FPERIOD_OVERRIDE=FQ","FILING_STATUS=MR","SCALING_FORMAT=MLN","Sort=A","Dates=H","DateFormat=P","Fill=—","Direction=H","UseDPDF=Y")</f>
        <v>637.79999999999995</v>
      </c>
      <c r="Z25" s="13">
        <f>_xll.BDH("NBIX US Equity","BS_LT_INVEST","FQ3 2024","FQ3 2024","Currency=USD","Period=FQ","BEST_FPERIOD_OVERRIDE=FQ","FILING_STATUS=MR","SCALING_FORMAT=MLN","Sort=A","Dates=H","DateFormat=P","Fill=—","Direction=H","UseDPDF=Y")</f>
        <v>643.9</v>
      </c>
      <c r="AA25" s="13">
        <f>_xll.BDH("NBIX US Equity","BS_LT_INVEST","FQ4 2024","FQ4 2024","Currency=USD","Period=FQ","BEST_FPERIOD_OVERRIDE=FQ","FILING_STATUS=MR","SCALING_FORMAT=MLN","Sort=A","Dates=H","DateFormat=P","Fill=—","Direction=H","UseDPDF=Y")</f>
        <v>739.5</v>
      </c>
    </row>
    <row r="26" spans="1:27" x14ac:dyDescent="0.25">
      <c r="A26" s="10" t="s">
        <v>702</v>
      </c>
      <c r="B26" s="10" t="s">
        <v>703</v>
      </c>
      <c r="C26" s="13">
        <f>_xll.BDH("NBIX US Equity","BS_LONG_TERM_INVESTMENTS","FQ4 2018","FQ4 2018","Currency=USD","Period=FQ","BEST_FPERIOD_OVERRIDE=FQ","FILING_STATUS=MR","SCALING_FORMAT=MLN","Sort=A","Dates=H","DateFormat=P","Fill=—","Direction=H","UseDPDF=Y")</f>
        <v>216.02799999999999</v>
      </c>
      <c r="D26" s="13">
        <f>_xll.BDH("NBIX US Equity","BS_LONG_TERM_INVESTMENTS","FQ1 2019","FQ1 2019","Currency=USD","Period=FQ","BEST_FPERIOD_OVERRIDE=FQ","FILING_STATUS=MR","SCALING_FORMAT=MLN","Sort=A","Dates=H","DateFormat=P","Fill=—","Direction=H","UseDPDF=Y")</f>
        <v>176.68899999999999</v>
      </c>
      <c r="E26" s="13">
        <f>_xll.BDH("NBIX US Equity","BS_LONG_TERM_INVESTMENTS","FQ2 2019","FQ2 2019","Currency=USD","Period=FQ","BEST_FPERIOD_OVERRIDE=FQ","FILING_STATUS=MR","SCALING_FORMAT=MLN","Sort=A","Dates=H","DateFormat=P","Fill=—","Direction=H","UseDPDF=Y")</f>
        <v>146.50299999999999</v>
      </c>
      <c r="F26" s="13">
        <f>_xll.BDH("NBIX US Equity","BS_LONG_TERM_INVESTMENTS","FQ3 2019","FQ3 2019","Currency=USD","Period=FQ","BEST_FPERIOD_OVERRIDE=FQ","FILING_STATUS=MR","SCALING_FORMAT=MLN","Sort=A","Dates=H","DateFormat=P","Fill=—","Direction=H","UseDPDF=Y")</f>
        <v>204.79300000000001</v>
      </c>
      <c r="G26" s="13">
        <f>_xll.BDH("NBIX US Equity","BS_LONG_TERM_INVESTMENTS","FQ4 2019","FQ4 2019","Currency=USD","Period=FQ","BEST_FPERIOD_OVERRIDE=FQ","FILING_STATUS=MR","SCALING_FORMAT=MLN","Sort=A","Dates=H","DateFormat=P","Fill=—","Direction=H","UseDPDF=Y")</f>
        <v>299.7</v>
      </c>
      <c r="H26" s="13">
        <f>_xll.BDH("NBIX US Equity","BS_LONG_TERM_INVESTMENTS","FQ1 2020","FQ1 2020","Currency=USD","Period=FQ","BEST_FPERIOD_OVERRIDE=FQ","FILING_STATUS=MR","SCALING_FORMAT=MLN","Sort=A","Dates=H","DateFormat=P","Fill=—","Direction=H","UseDPDF=Y")</f>
        <v>235.9</v>
      </c>
      <c r="I26" s="13">
        <f>_xll.BDH("NBIX US Equity","BS_LONG_TERM_INVESTMENTS","FQ2 2020","FQ2 2020","Currency=USD","Period=FQ","BEST_FPERIOD_OVERRIDE=FQ","FILING_STATUS=MR","SCALING_FORMAT=MLN","Sort=A","Dates=H","DateFormat=P","Fill=—","Direction=H","UseDPDF=Y")</f>
        <v>195.2</v>
      </c>
      <c r="J26" s="13">
        <f>_xll.BDH("NBIX US Equity","BS_LONG_TERM_INVESTMENTS","FQ3 2020","FQ3 2020","Currency=USD","Period=FQ","BEST_FPERIOD_OVERRIDE=FQ","FILING_STATUS=MR","SCALING_FORMAT=MLN","Sort=A","Dates=H","DateFormat=P","Fill=—","Direction=H","UseDPDF=Y")</f>
        <v>181.4</v>
      </c>
      <c r="K26" s="13">
        <f>_xll.BDH("NBIX US Equity","BS_LONG_TERM_INVESTMENTS","FQ4 2020","FQ4 2020","Currency=USD","Period=FQ","BEST_FPERIOD_OVERRIDE=FQ","FILING_STATUS=MR","SCALING_FORMAT=MLN","Sort=A","Dates=H","DateFormat=P","Fill=—","Direction=H","UseDPDF=Y")</f>
        <v>227.1</v>
      </c>
      <c r="L26" s="13">
        <f>_xll.BDH("NBIX US Equity","BS_LONG_TERM_INVESTMENTS","FQ1 2021","FQ1 2021","Currency=USD","Period=FQ","BEST_FPERIOD_OVERRIDE=FQ","FILING_STATUS=MR","SCALING_FORMAT=MLN","Sort=A","Dates=H","DateFormat=P","Fill=—","Direction=H","UseDPDF=Y")</f>
        <v>249.6</v>
      </c>
      <c r="M26" s="13">
        <f>_xll.BDH("NBIX US Equity","BS_LONG_TERM_INVESTMENTS","FQ2 2021","FQ2 2021","Currency=USD","Period=FQ","BEST_FPERIOD_OVERRIDE=FQ","FILING_STATUS=MR","SCALING_FORMAT=MLN","Sort=A","Dates=H","DateFormat=P","Fill=—","Direction=H","UseDPDF=Y")</f>
        <v>337.8</v>
      </c>
      <c r="N26" s="13">
        <f>_xll.BDH("NBIX US Equity","BS_LONG_TERM_INVESTMENTS","FQ3 2021","FQ3 2021","Currency=USD","Period=FQ","BEST_FPERIOD_OVERRIDE=FQ","FILING_STATUS=MR","SCALING_FORMAT=MLN","Sort=A","Dates=H","DateFormat=P","Fill=—","Direction=H","UseDPDF=Y")</f>
        <v>513.70000000000005</v>
      </c>
      <c r="O26" s="13">
        <f>_xll.BDH("NBIX US Equity","BS_LONG_TERM_INVESTMENTS","FQ4 2021","FQ4 2021","Currency=USD","Period=FQ","BEST_FPERIOD_OVERRIDE=FQ","FILING_STATUS=MR","SCALING_FORMAT=MLN","Sort=A","Dates=H","DateFormat=P","Fill=—","Direction=H","UseDPDF=Y")</f>
        <v>560.70000000000005</v>
      </c>
      <c r="P26" s="13">
        <f>_xll.BDH("NBIX US Equity","BS_LONG_TERM_INVESTMENTS","FQ1 2022","FQ1 2022","Currency=USD","Period=FQ","BEST_FPERIOD_OVERRIDE=FQ","FILING_STATUS=MR","SCALING_FORMAT=MLN","Sort=A","Dates=H","DateFormat=P","Fill=—","Direction=H","UseDPDF=Y")</f>
        <v>541</v>
      </c>
      <c r="Q26" s="13">
        <f>_xll.BDH("NBIX US Equity","BS_LONG_TERM_INVESTMENTS","FQ2 2022","FQ2 2022","Currency=USD","Period=FQ","BEST_FPERIOD_OVERRIDE=FQ","FILING_STATUS=MR","SCALING_FORMAT=MLN","Sort=A","Dates=H","DateFormat=P","Fill=—","Direction=H","UseDPDF=Y")</f>
        <v>405.2</v>
      </c>
      <c r="R26" s="13">
        <f>_xll.BDH("NBIX US Equity","BS_LONG_TERM_INVESTMENTS","FQ3 2022","FQ3 2022","Currency=USD","Period=FQ","BEST_FPERIOD_OVERRIDE=FQ","FILING_STATUS=MR","SCALING_FORMAT=MLN","Sort=A","Dates=H","DateFormat=P","Fill=—","Direction=H","UseDPDF=Y")</f>
        <v>362.6</v>
      </c>
      <c r="S26" s="13">
        <f>_xll.BDH("NBIX US Equity","BS_LONG_TERM_INVESTMENTS","FQ4 2022","FQ4 2022","Currency=USD","Period=FQ","BEST_FPERIOD_OVERRIDE=FQ","FILING_STATUS=MR","SCALING_FORMAT=MLN","Sort=A","Dates=H","DateFormat=P","Fill=—","Direction=H","UseDPDF=Y")</f>
        <v>299.39999999999998</v>
      </c>
      <c r="T26" s="13">
        <f>_xll.BDH("NBIX US Equity","BS_LONG_TERM_INVESTMENTS","FQ1 2023","FQ1 2023","Currency=USD","Period=FQ","BEST_FPERIOD_OVERRIDE=FQ","FILING_STATUS=MR","SCALING_FORMAT=MLN","Sort=A","Dates=H","DateFormat=P","Fill=—","Direction=H","UseDPDF=Y")</f>
        <v>244.6</v>
      </c>
      <c r="U26" s="13">
        <f>_xll.BDH("NBIX US Equity","BS_LONG_TERM_INVESTMENTS","FQ2 2023","FQ2 2023","Currency=USD","Period=FQ","BEST_FPERIOD_OVERRIDE=FQ","FILING_STATUS=MR","SCALING_FORMAT=MLN","Sort=A","Dates=H","DateFormat=P","Fill=—","Direction=H","UseDPDF=Y")</f>
        <v>342.6</v>
      </c>
      <c r="V26" s="13">
        <f>_xll.BDH("NBIX US Equity","BS_LONG_TERM_INVESTMENTS","FQ3 2023","FQ3 2023","Currency=USD","Period=FQ","BEST_FPERIOD_OVERRIDE=FQ","FILING_STATUS=MR","SCALING_FORMAT=MLN","Sort=A","Dates=H","DateFormat=P","Fill=—","Direction=H","UseDPDF=Y")</f>
        <v>454.7</v>
      </c>
      <c r="W26" s="13">
        <f>_xll.BDH("NBIX US Equity","BS_LONG_TERM_INVESTMENTS","FQ4 2023","FQ4 2023","Currency=USD","Period=FQ","BEST_FPERIOD_OVERRIDE=FQ","FILING_STATUS=MR","SCALING_FORMAT=MLN","Sort=A","Dates=H","DateFormat=P","Fill=—","Direction=H","UseDPDF=Y")</f>
        <v>687.5</v>
      </c>
      <c r="X26" s="13">
        <f>_xll.BDH("NBIX US Equity","BS_LONG_TERM_INVESTMENTS","FQ1 2024","FQ1 2024","Currency=USD","Period=FQ","BEST_FPERIOD_OVERRIDE=FQ","FILING_STATUS=MR","SCALING_FORMAT=MLN","Sort=A","Dates=H","DateFormat=P","Fill=—","Direction=H","UseDPDF=Y")</f>
        <v>700.4</v>
      </c>
      <c r="Y26" s="13">
        <f>_xll.BDH("NBIX US Equity","BS_LONG_TERM_INVESTMENTS","FQ2 2024","FQ2 2024","Currency=USD","Period=FQ","BEST_FPERIOD_OVERRIDE=FQ","FILING_STATUS=MR","SCALING_FORMAT=MLN","Sort=A","Dates=H","DateFormat=P","Fill=—","Direction=H","UseDPDF=Y")</f>
        <v>637.79999999999995</v>
      </c>
      <c r="Z26" s="13">
        <f>_xll.BDH("NBIX US Equity","BS_LONG_TERM_INVESTMENTS","FQ3 2024","FQ3 2024","Currency=USD","Period=FQ","BEST_FPERIOD_OVERRIDE=FQ","FILING_STATUS=MR","SCALING_FORMAT=MLN","Sort=A","Dates=H","DateFormat=P","Fill=—","Direction=H","UseDPDF=Y")</f>
        <v>643.9</v>
      </c>
      <c r="AA26" s="13">
        <f>_xll.BDH("NBIX US Equity","BS_LONG_TERM_INVESTMENTS","FQ4 2024","FQ4 2024","Currency=USD","Period=FQ","BEST_FPERIOD_OVERRIDE=FQ","FILING_STATUS=MR","SCALING_FORMAT=MLN","Sort=A","Dates=H","DateFormat=P","Fill=—","Direction=H","UseDPDF=Y")</f>
        <v>739.5</v>
      </c>
    </row>
    <row r="27" spans="1:27" x14ac:dyDescent="0.25">
      <c r="A27" s="10" t="s">
        <v>704</v>
      </c>
      <c r="B27" s="10" t="s">
        <v>705</v>
      </c>
      <c r="C27" s="13">
        <f>_xll.BDH("NBIX US Equity","BS_OTHER_ASSETS_DEF_CHRG_OTHER","FQ4 2018","FQ4 2018","Currency=USD","Period=FQ","BEST_FPERIOD_OVERRIDE=FQ","FILING_STATUS=MR","SCALING_FORMAT=MLN","Sort=A","Dates=H","DateFormat=P","Fill=—","Direction=H","UseDPDF=Y")</f>
        <v>5.4770000000000003</v>
      </c>
      <c r="D27" s="13">
        <f>_xll.BDH("NBIX US Equity","BS_OTHER_ASSETS_DEF_CHRG_OTHER","FQ1 2019","FQ1 2019","Currency=USD","Period=FQ","BEST_FPERIOD_OVERRIDE=FQ","FILING_STATUS=MR","SCALING_FORMAT=MLN","Sort=A","Dates=H","DateFormat=P","Fill=—","Direction=H","UseDPDF=Y")</f>
        <v>61.877000000000002</v>
      </c>
      <c r="E27" s="13">
        <f>_xll.BDH("NBIX US Equity","BS_OTHER_ASSETS_DEF_CHRG_OTHER","FQ2 2019","FQ2 2019","Currency=USD","Period=FQ","BEST_FPERIOD_OVERRIDE=FQ","FILING_STATUS=MR","SCALING_FORMAT=MLN","Sort=A","Dates=H","DateFormat=P","Fill=—","Direction=H","UseDPDF=Y")</f>
        <v>82.841999999999999</v>
      </c>
      <c r="F27" s="13">
        <f>_xll.BDH("NBIX US Equity","BS_OTHER_ASSETS_DEF_CHRG_OTHER","FQ3 2019","FQ3 2019","Currency=USD","Period=FQ","BEST_FPERIOD_OVERRIDE=FQ","FILING_STATUS=MR","SCALING_FORMAT=MLN","Sort=A","Dates=H","DateFormat=P","Fill=—","Direction=H","UseDPDF=Y")</f>
        <v>53.621000000000002</v>
      </c>
      <c r="G27" s="13">
        <f>_xll.BDH("NBIX US Equity","BS_OTHER_ASSETS_DEF_CHRG_OTHER","FQ4 2019","FQ4 2019","Currency=USD","Period=FQ","BEST_FPERIOD_OVERRIDE=FQ","FILING_STATUS=MR","SCALING_FORMAT=MLN","Sort=A","Dates=H","DateFormat=P","Fill=—","Direction=H","UseDPDF=Y")</f>
        <v>59.1</v>
      </c>
      <c r="H27" s="13">
        <f>_xll.BDH("NBIX US Equity","BS_OTHER_ASSETS_DEF_CHRG_OTHER","FQ1 2020","FQ1 2020","Currency=USD","Period=FQ","BEST_FPERIOD_OVERRIDE=FQ","FILING_STATUS=MR","SCALING_FORMAT=MLN","Sort=A","Dates=H","DateFormat=P","Fill=—","Direction=H","UseDPDF=Y")</f>
        <v>42.6</v>
      </c>
      <c r="I27" s="13">
        <f>_xll.BDH("NBIX US Equity","BS_OTHER_ASSETS_DEF_CHRG_OTHER","FQ2 2020","FQ2 2020","Currency=USD","Period=FQ","BEST_FPERIOD_OVERRIDE=FQ","FILING_STATUS=MR","SCALING_FORMAT=MLN","Sort=A","Dates=H","DateFormat=P","Fill=—","Direction=H","UseDPDF=Y")</f>
        <v>57.5</v>
      </c>
      <c r="J27" s="13">
        <f>_xll.BDH("NBIX US Equity","BS_OTHER_ASSETS_DEF_CHRG_OTHER","FQ3 2020","FQ3 2020","Currency=USD","Period=FQ","BEST_FPERIOD_OVERRIDE=FQ","FILING_STATUS=MR","SCALING_FORMAT=MLN","Sort=A","Dates=H","DateFormat=P","Fill=—","Direction=H","UseDPDF=Y")</f>
        <v>50.3</v>
      </c>
      <c r="K27" s="13">
        <f>_xll.BDH("NBIX US Equity","BS_OTHER_ASSETS_DEF_CHRG_OTHER","FQ4 2020","FQ4 2020","Currency=USD","Period=FQ","BEST_FPERIOD_OVERRIDE=FQ","FILING_STATUS=MR","SCALING_FORMAT=MLN","Sort=A","Dates=H","DateFormat=P","Fill=—","Direction=H","UseDPDF=Y")</f>
        <v>364</v>
      </c>
      <c r="L27" s="13">
        <f>_xll.BDH("NBIX US Equity","BS_OTHER_ASSETS_DEF_CHRG_OTHER","FQ1 2021","FQ1 2021","Currency=USD","Period=FQ","BEST_FPERIOD_OVERRIDE=FQ","FILING_STATUS=MR","SCALING_FORMAT=MLN","Sort=A","Dates=H","DateFormat=P","Fill=—","Direction=H","UseDPDF=Y")</f>
        <v>369.1</v>
      </c>
      <c r="M27" s="13">
        <f>_xll.BDH("NBIX US Equity","BS_OTHER_ASSETS_DEF_CHRG_OTHER","FQ2 2021","FQ2 2021","Currency=USD","Period=FQ","BEST_FPERIOD_OVERRIDE=FQ","FILING_STATUS=MR","SCALING_FORMAT=MLN","Sort=A","Dates=H","DateFormat=P","Fill=—","Direction=H","UseDPDF=Y")</f>
        <v>358.2</v>
      </c>
      <c r="N27" s="13">
        <f>_xll.BDH("NBIX US Equity","BS_OTHER_ASSETS_DEF_CHRG_OTHER","FQ3 2021","FQ3 2021","Currency=USD","Period=FQ","BEST_FPERIOD_OVERRIDE=FQ","FILING_STATUS=MR","SCALING_FORMAT=MLN","Sort=A","Dates=H","DateFormat=P","Fill=—","Direction=H","UseDPDF=Y")</f>
        <v>348.9</v>
      </c>
      <c r="O27" s="13">
        <f>_xll.BDH("NBIX US Equity","BS_OTHER_ASSETS_DEF_CHRG_OTHER","FQ4 2021","FQ4 2021","Currency=USD","Period=FQ","BEST_FPERIOD_OVERRIDE=FQ","FILING_STATUS=MR","SCALING_FORMAT=MLN","Sort=A","Dates=H","DateFormat=P","Fill=—","Direction=H","UseDPDF=Y")</f>
        <v>383.2</v>
      </c>
      <c r="P27" s="13">
        <f>_xll.BDH("NBIX US Equity","BS_OTHER_ASSETS_DEF_CHRG_OTHER","FQ1 2022","FQ1 2022","Currency=USD","Period=FQ","BEST_FPERIOD_OVERRIDE=FQ","FILING_STATUS=MR","SCALING_FORMAT=MLN","Sort=A","Dates=H","DateFormat=P","Fill=—","Direction=H","UseDPDF=Y")</f>
        <v>426.7</v>
      </c>
      <c r="Q27" s="13">
        <f>_xll.BDH("NBIX US Equity","BS_OTHER_ASSETS_DEF_CHRG_OTHER","FQ2 2022","FQ2 2022","Currency=USD","Period=FQ","BEST_FPERIOD_OVERRIDE=FQ","FILING_STATUS=MR","SCALING_FORMAT=MLN","Sort=A","Dates=H","DateFormat=P","Fill=—","Direction=H","UseDPDF=Y")</f>
        <v>422.2</v>
      </c>
      <c r="R27" s="13">
        <f>_xll.BDH("NBIX US Equity","BS_OTHER_ASSETS_DEF_CHRG_OTHER","FQ3 2022","FQ3 2022","Currency=USD","Period=FQ","BEST_FPERIOD_OVERRIDE=FQ","FILING_STATUS=MR","SCALING_FORMAT=MLN","Sort=A","Dates=H","DateFormat=P","Fill=—","Direction=H","UseDPDF=Y")</f>
        <v>424.8</v>
      </c>
      <c r="S27" s="13">
        <f>_xll.BDH("NBIX US Equity","BS_OTHER_ASSETS_DEF_CHRG_OTHER","FQ4 2022","FQ4 2022","Currency=USD","Period=FQ","BEST_FPERIOD_OVERRIDE=FQ","FILING_STATUS=MR","SCALING_FORMAT=MLN","Sort=A","Dates=H","DateFormat=P","Fill=—","Direction=H","UseDPDF=Y")</f>
        <v>470.2</v>
      </c>
      <c r="T27" s="13">
        <f>_xll.BDH("NBIX US Equity","BS_OTHER_ASSETS_DEF_CHRG_OTHER","FQ1 2023","FQ1 2023","Currency=USD","Period=FQ","BEST_FPERIOD_OVERRIDE=FQ","FILING_STATUS=MR","SCALING_FORMAT=MLN","Sort=A","Dates=H","DateFormat=P","Fill=—","Direction=H","UseDPDF=Y")</f>
        <v>535.20000000000005</v>
      </c>
      <c r="U27" s="13">
        <f>_xll.BDH("NBIX US Equity","BS_OTHER_ASSETS_DEF_CHRG_OTHER","FQ2 2023","FQ2 2023","Currency=USD","Period=FQ","BEST_FPERIOD_OVERRIDE=FQ","FILING_STATUS=MR","SCALING_FORMAT=MLN","Sort=A","Dates=H","DateFormat=P","Fill=—","Direction=H","UseDPDF=Y")</f>
        <v>624.79999999999995</v>
      </c>
      <c r="V27" s="13">
        <f>_xll.BDH("NBIX US Equity","BS_OTHER_ASSETS_DEF_CHRG_OTHER","FQ3 2023","FQ3 2023","Currency=USD","Period=FQ","BEST_FPERIOD_OVERRIDE=FQ","FILING_STATUS=MR","SCALING_FORMAT=MLN","Sort=A","Dates=H","DateFormat=P","Fill=—","Direction=H","UseDPDF=Y")</f>
        <v>594</v>
      </c>
      <c r="W27" s="13">
        <f>_xll.BDH("NBIX US Equity","BS_OTHER_ASSETS_DEF_CHRG_OTHER","FQ4 2023","FQ4 2023","Currency=USD","Period=FQ","BEST_FPERIOD_OVERRIDE=FQ","FILING_STATUS=MR","SCALING_FORMAT=MLN","Sort=A","Dates=H","DateFormat=P","Fill=—","Direction=H","UseDPDF=Y")</f>
        <v>609.6</v>
      </c>
      <c r="X27" s="13">
        <f>_xll.BDH("NBIX US Equity","BS_OTHER_ASSETS_DEF_CHRG_OTHER","FQ1 2024","FQ1 2024","Currency=USD","Period=FQ","BEST_FPERIOD_OVERRIDE=FQ","FILING_STATUS=MR","SCALING_FORMAT=MLN","Sort=A","Dates=H","DateFormat=P","Fill=—","Direction=H","UseDPDF=Y")</f>
        <v>626.9</v>
      </c>
      <c r="Y27" s="13">
        <f>_xll.BDH("NBIX US Equity","BS_OTHER_ASSETS_DEF_CHRG_OTHER","FQ2 2024","FQ2 2024","Currency=USD","Period=FQ","BEST_FPERIOD_OVERRIDE=FQ","FILING_STATUS=MR","SCALING_FORMAT=MLN","Sort=A","Dates=H","DateFormat=P","Fill=—","Direction=H","UseDPDF=Y")</f>
        <v>654.4</v>
      </c>
      <c r="Z27" s="13">
        <f>_xll.BDH("NBIX US Equity","BS_OTHER_ASSETS_DEF_CHRG_OTHER","FQ3 2024","FQ3 2024","Currency=USD","Period=FQ","BEST_FPERIOD_OVERRIDE=FQ","FILING_STATUS=MR","SCALING_FORMAT=MLN","Sort=A","Dates=H","DateFormat=P","Fill=—","Direction=H","UseDPDF=Y")</f>
        <v>677.2</v>
      </c>
      <c r="AA27" s="13">
        <f>_xll.BDH("NBIX US Equity","BS_OTHER_ASSETS_DEF_CHRG_OTHER","FQ4 2024","FQ4 2024","Currency=USD","Period=FQ","BEST_FPERIOD_OVERRIDE=FQ","FILING_STATUS=MR","SCALING_FORMAT=MLN","Sort=A","Dates=H","DateFormat=P","Fill=—","Direction=H","UseDPDF=Y")</f>
        <v>662.5</v>
      </c>
    </row>
    <row r="28" spans="1:27" x14ac:dyDescent="0.25">
      <c r="A28" s="10" t="s">
        <v>706</v>
      </c>
      <c r="B28" s="10" t="s">
        <v>707</v>
      </c>
      <c r="C28" s="13">
        <f>_xll.BDH("NBIX US Equity","BS_DISCLOSED_INTANGIBLES","FQ4 2018","FQ4 2018","Currency=USD","Period=FQ","BEST_FPERIOD_OVERRIDE=FQ","FILING_STATUS=MR","SCALING_FORMAT=MLN","Sort=A","Dates=H","DateFormat=P","Fill=—","Direction=H","UseDPDF=Y")</f>
        <v>0</v>
      </c>
      <c r="D28" s="13">
        <f>_xll.BDH("NBIX US Equity","BS_DISCLOSED_INTANGIBLES","FQ1 2019","FQ1 2019","Currency=USD","Period=FQ","BEST_FPERIOD_OVERRIDE=FQ","FILING_STATUS=MR","SCALING_FORMAT=MLN","Sort=A","Dates=H","DateFormat=P","Fill=—","Direction=H","UseDPDF=Y")</f>
        <v>0</v>
      </c>
      <c r="E28" s="13">
        <f>_xll.BDH("NBIX US Equity","BS_DISCLOSED_INTANGIBLES","FQ2 2019","FQ2 2019","Currency=USD","Period=FQ","BEST_FPERIOD_OVERRIDE=FQ","FILING_STATUS=MR","SCALING_FORMAT=MLN","Sort=A","Dates=H","DateFormat=P","Fill=—","Direction=H","UseDPDF=Y")</f>
        <v>0</v>
      </c>
      <c r="F28" s="13">
        <f>_xll.BDH("NBIX US Equity","BS_DISCLOSED_INTANGIBLES","FQ3 2019","FQ3 2019","Currency=USD","Period=FQ","BEST_FPERIOD_OVERRIDE=FQ","FILING_STATUS=MR","SCALING_FORMAT=MLN","Sort=A","Dates=H","DateFormat=P","Fill=—","Direction=H","UseDPDF=Y")</f>
        <v>0</v>
      </c>
      <c r="G28" s="13">
        <f>_xll.BDH("NBIX US Equity","BS_DISCLOSED_INTANGIBLES","FQ4 2019","FQ4 2019","Currency=USD","Period=FQ","BEST_FPERIOD_OVERRIDE=FQ","FILING_STATUS=MR","SCALING_FORMAT=MLN","Sort=A","Dates=H","DateFormat=P","Fill=—","Direction=H","UseDPDF=Y")</f>
        <v>0</v>
      </c>
      <c r="H28" s="13">
        <f>_xll.BDH("NBIX US Equity","BS_DISCLOSED_INTANGIBLES","FQ1 2020","FQ1 2020","Currency=USD","Period=FQ","BEST_FPERIOD_OVERRIDE=FQ","FILING_STATUS=MR","SCALING_FORMAT=MLN","Sort=A","Dates=H","DateFormat=P","Fill=—","Direction=H","UseDPDF=Y")</f>
        <v>0</v>
      </c>
      <c r="I28" s="13" t="str">
        <f>_xll.BDH("NBIX US Equity","BS_DISCLOSED_INTANGIBLES","FQ2 2020","FQ2 2020","Currency=USD","Period=FQ","BEST_FPERIOD_OVERRIDE=FQ","FILING_STATUS=MR","SCALING_FORMAT=MLN","Sort=A","Dates=H","DateFormat=P","Fill=—","Direction=H","UseDPDF=Y")</f>
        <v>—</v>
      </c>
      <c r="J28" s="13" t="str">
        <f>_xll.BDH("NBIX US Equity","BS_DISCLOSED_INTANGIBLES","FQ3 2020","FQ3 2020","Currency=USD","Period=FQ","BEST_FPERIOD_OVERRIDE=FQ","FILING_STATUS=MR","SCALING_FORMAT=MLN","Sort=A","Dates=H","DateFormat=P","Fill=—","Direction=H","UseDPDF=Y")</f>
        <v>—</v>
      </c>
      <c r="K28" s="13">
        <f>_xll.BDH("NBIX US Equity","BS_DISCLOSED_INTANGIBLES","FQ4 2020","FQ4 2020","Currency=USD","Period=FQ","BEST_FPERIOD_OVERRIDE=FQ","FILING_STATUS=MR","SCALING_FORMAT=MLN","Sort=A","Dates=H","DateFormat=P","Fill=—","Direction=H","UseDPDF=Y")</f>
        <v>0</v>
      </c>
      <c r="L28" s="13">
        <f>_xll.BDH("NBIX US Equity","BS_DISCLOSED_INTANGIBLES","FQ1 2021","FQ1 2021","Currency=USD","Period=FQ","BEST_FPERIOD_OVERRIDE=FQ","FILING_STATUS=MR","SCALING_FORMAT=MLN","Sort=A","Dates=H","DateFormat=P","Fill=—","Direction=H","UseDPDF=Y")</f>
        <v>0</v>
      </c>
      <c r="M28" s="13" t="str">
        <f>_xll.BDH("NBIX US Equity","BS_DISCLOSED_INTANGIBLES","FQ2 2021","FQ2 2021","Currency=USD","Period=FQ","BEST_FPERIOD_OVERRIDE=FQ","FILING_STATUS=MR","SCALING_FORMAT=MLN","Sort=A","Dates=H","DateFormat=P","Fill=—","Direction=H","UseDPDF=Y")</f>
        <v>—</v>
      </c>
      <c r="N28" s="13" t="str">
        <f>_xll.BDH("NBIX US Equity","BS_DISCLOSED_INTANGIBLES","FQ3 2021","FQ3 2021","Currency=USD","Period=FQ","BEST_FPERIOD_OVERRIDE=FQ","FILING_STATUS=MR","SCALING_FORMAT=MLN","Sort=A","Dates=H","DateFormat=P","Fill=—","Direction=H","UseDPDF=Y")</f>
        <v>—</v>
      </c>
      <c r="O28" s="13">
        <f>_xll.BDH("NBIX US Equity","BS_DISCLOSED_INTANGIBLES","FQ4 2021","FQ4 2021","Currency=USD","Period=FQ","BEST_FPERIOD_OVERRIDE=FQ","FILING_STATUS=MR","SCALING_FORMAT=MLN","Sort=A","Dates=H","DateFormat=P","Fill=—","Direction=H","UseDPDF=Y")</f>
        <v>0</v>
      </c>
      <c r="P28" s="13" t="str">
        <f>_xll.BDH("NBIX US Equity","BS_DISCLOSED_INTANGIBLES","FQ1 2022","FQ1 2022","Currency=USD","Period=FQ","BEST_FPERIOD_OVERRIDE=FQ","FILING_STATUS=MR","SCALING_FORMAT=MLN","Sort=A","Dates=H","DateFormat=P","Fill=—","Direction=H","UseDPDF=Y")</f>
        <v>—</v>
      </c>
      <c r="Q28" s="13">
        <f>_xll.BDH("NBIX US Equity","BS_DISCLOSED_INTANGIBLES","FQ2 2022","FQ2 2022","Currency=USD","Period=FQ","BEST_FPERIOD_OVERRIDE=FQ","FILING_STATUS=MR","SCALING_FORMAT=MLN","Sort=A","Dates=H","DateFormat=P","Fill=—","Direction=H","UseDPDF=Y")</f>
        <v>0</v>
      </c>
      <c r="R28" s="13" t="str">
        <f>_xll.BDH("NBIX US Equity","BS_DISCLOSED_INTANGIBLES","FQ3 2022","FQ3 2022","Currency=USD","Period=FQ","BEST_FPERIOD_OVERRIDE=FQ","FILING_STATUS=MR","SCALING_FORMAT=MLN","Sort=A","Dates=H","DateFormat=P","Fill=—","Direction=H","UseDPDF=Y")</f>
        <v>—</v>
      </c>
      <c r="S28" s="13">
        <f>_xll.BDH("NBIX US Equity","BS_DISCLOSED_INTANGIBLES","FQ4 2022","FQ4 2022","Currency=USD","Period=FQ","BEST_FPERIOD_OVERRIDE=FQ","FILING_STATUS=MR","SCALING_FORMAT=MLN","Sort=A","Dates=H","DateFormat=P","Fill=—","Direction=H","UseDPDF=Y")</f>
        <v>37.200000000000003</v>
      </c>
      <c r="T28" s="13">
        <f>_xll.BDH("NBIX US Equity","BS_DISCLOSED_INTANGIBLES","FQ1 2023","FQ1 2023","Currency=USD","Period=FQ","BEST_FPERIOD_OVERRIDE=FQ","FILING_STATUS=MR","SCALING_FORMAT=MLN","Sort=A","Dates=H","DateFormat=P","Fill=—","Direction=H","UseDPDF=Y")</f>
        <v>37.200000000000003</v>
      </c>
      <c r="U28" s="13">
        <f>_xll.BDH("NBIX US Equity","BS_DISCLOSED_INTANGIBLES","FQ2 2023","FQ2 2023","Currency=USD","Period=FQ","BEST_FPERIOD_OVERRIDE=FQ","FILING_STATUS=MR","SCALING_FORMAT=MLN","Sort=A","Dates=H","DateFormat=P","Fill=—","Direction=H","UseDPDF=Y")</f>
        <v>36.9</v>
      </c>
      <c r="V28" s="13">
        <f>_xll.BDH("NBIX US Equity","BS_DISCLOSED_INTANGIBLES","FQ3 2023","FQ3 2023","Currency=USD","Period=FQ","BEST_FPERIOD_OVERRIDE=FQ","FILING_STATUS=MR","SCALING_FORMAT=MLN","Sort=A","Dates=H","DateFormat=P","Fill=—","Direction=H","UseDPDF=Y")</f>
        <v>34.9</v>
      </c>
      <c r="W28" s="13">
        <f>_xll.BDH("NBIX US Equity","BS_DISCLOSED_INTANGIBLES","FQ4 2023","FQ4 2023","Currency=USD","Period=FQ","BEST_FPERIOD_OVERRIDE=FQ","FILING_STATUS=MR","SCALING_FORMAT=MLN","Sort=A","Dates=H","DateFormat=P","Fill=—","Direction=H","UseDPDF=Y")</f>
        <v>35.5</v>
      </c>
      <c r="X28" s="13">
        <f>_xll.BDH("NBIX US Equity","BS_DISCLOSED_INTANGIBLES","FQ1 2024","FQ1 2024","Currency=USD","Period=FQ","BEST_FPERIOD_OVERRIDE=FQ","FILING_STATUS=MR","SCALING_FORMAT=MLN","Sort=A","Dates=H","DateFormat=P","Fill=—","Direction=H","UseDPDF=Y")</f>
        <v>34.299999999999997</v>
      </c>
      <c r="Y28" s="13">
        <f>_xll.BDH("NBIX US Equity","BS_DISCLOSED_INTANGIBLES","FQ2 2024","FQ2 2024","Currency=USD","Period=FQ","BEST_FPERIOD_OVERRIDE=FQ","FILING_STATUS=MR","SCALING_FORMAT=MLN","Sort=A","Dates=H","DateFormat=P","Fill=—","Direction=H","UseDPDF=Y")</f>
        <v>33.5</v>
      </c>
      <c r="Z28" s="13">
        <f>_xll.BDH("NBIX US Equity","BS_DISCLOSED_INTANGIBLES","FQ3 2024","FQ3 2024","Currency=USD","Period=FQ","BEST_FPERIOD_OVERRIDE=FQ","FILING_STATUS=MR","SCALING_FORMAT=MLN","Sort=A","Dates=H","DateFormat=P","Fill=—","Direction=H","UseDPDF=Y")</f>
        <v>34.5</v>
      </c>
      <c r="AA28" s="13">
        <f>_xll.BDH("NBIX US Equity","BS_DISCLOSED_INTANGIBLES","FQ4 2024","FQ4 2024","Currency=USD","Period=FQ","BEST_FPERIOD_OVERRIDE=FQ","FILING_STATUS=MR","SCALING_FORMAT=MLN","Sort=A","Dates=H","DateFormat=P","Fill=—","Direction=H","UseDPDF=Y")</f>
        <v>36.5</v>
      </c>
    </row>
    <row r="29" spans="1:27" x14ac:dyDescent="0.25">
      <c r="A29" s="11" t="s">
        <v>708</v>
      </c>
      <c r="B29" s="11" t="s">
        <v>709</v>
      </c>
      <c r="C29" s="25">
        <f>_xll.BDH("NBIX US Equity","BS_GOODWILL","FQ4 2018","FQ4 2018","Currency=USD","Period=FQ","BEST_FPERIOD_OVERRIDE=FQ","FILING_STATUS=MR","SCALING_FORMAT=MLN","Sort=A","Dates=H","DateFormat=P","Fill=—","Direction=H","UseDPDF=Y")</f>
        <v>0</v>
      </c>
      <c r="D29" s="25">
        <f>_xll.BDH("NBIX US Equity","BS_GOODWILL","FQ1 2019","FQ1 2019","Currency=USD","Period=FQ","BEST_FPERIOD_OVERRIDE=FQ","FILING_STATUS=MR","SCALING_FORMAT=MLN","Sort=A","Dates=H","DateFormat=P","Fill=—","Direction=H","UseDPDF=Y")</f>
        <v>0</v>
      </c>
      <c r="E29" s="25">
        <f>_xll.BDH("NBIX US Equity","BS_GOODWILL","FQ2 2019","FQ2 2019","Currency=USD","Period=FQ","BEST_FPERIOD_OVERRIDE=FQ","FILING_STATUS=MR","SCALING_FORMAT=MLN","Sort=A","Dates=H","DateFormat=P","Fill=—","Direction=H","UseDPDF=Y")</f>
        <v>0</v>
      </c>
      <c r="F29" s="25" t="str">
        <f>_xll.BDH("NBIX US Equity","BS_GOODWILL","FQ3 2019","FQ3 2019","Currency=USD","Period=FQ","BEST_FPERIOD_OVERRIDE=FQ","FILING_STATUS=MR","SCALING_FORMAT=MLN","Sort=A","Dates=H","DateFormat=P","Fill=—","Direction=H","UseDPDF=Y")</f>
        <v>—</v>
      </c>
      <c r="G29" s="25">
        <f>_xll.BDH("NBIX US Equity","BS_GOODWILL","FQ4 2019","FQ4 2019","Currency=USD","Period=FQ","BEST_FPERIOD_OVERRIDE=FQ","FILING_STATUS=MR","SCALING_FORMAT=MLN","Sort=A","Dates=H","DateFormat=P","Fill=—","Direction=H","UseDPDF=Y")</f>
        <v>0</v>
      </c>
      <c r="H29" s="25" t="str">
        <f>_xll.BDH("NBIX US Equity","BS_GOODWILL","FQ1 2020","FQ1 2020","Currency=USD","Period=FQ","BEST_FPERIOD_OVERRIDE=FQ","FILING_STATUS=MR","SCALING_FORMAT=MLN","Sort=A","Dates=H","DateFormat=P","Fill=—","Direction=H","UseDPDF=Y")</f>
        <v>—</v>
      </c>
      <c r="I29" s="25" t="str">
        <f>_xll.BDH("NBIX US Equity","BS_GOODWILL","FQ2 2020","FQ2 2020","Currency=USD","Period=FQ","BEST_FPERIOD_OVERRIDE=FQ","FILING_STATUS=MR","SCALING_FORMAT=MLN","Sort=A","Dates=H","DateFormat=P","Fill=—","Direction=H","UseDPDF=Y")</f>
        <v>—</v>
      </c>
      <c r="J29" s="25" t="str">
        <f>_xll.BDH("NBIX US Equity","BS_GOODWILL","FQ3 2020","FQ3 2020","Currency=USD","Period=FQ","BEST_FPERIOD_OVERRIDE=FQ","FILING_STATUS=MR","SCALING_FORMAT=MLN","Sort=A","Dates=H","DateFormat=P","Fill=—","Direction=H","UseDPDF=Y")</f>
        <v>—</v>
      </c>
      <c r="K29" s="25">
        <f>_xll.BDH("NBIX US Equity","BS_GOODWILL","FQ4 2020","FQ4 2020","Currency=USD","Period=FQ","BEST_FPERIOD_OVERRIDE=FQ","FILING_STATUS=MR","SCALING_FORMAT=MLN","Sort=A","Dates=H","DateFormat=P","Fill=—","Direction=H","UseDPDF=Y")</f>
        <v>0</v>
      </c>
      <c r="L29" s="25" t="str">
        <f>_xll.BDH("NBIX US Equity","BS_GOODWILL","FQ1 2021","FQ1 2021","Currency=USD","Period=FQ","BEST_FPERIOD_OVERRIDE=FQ","FILING_STATUS=MR","SCALING_FORMAT=MLN","Sort=A","Dates=H","DateFormat=P","Fill=—","Direction=H","UseDPDF=Y")</f>
        <v>—</v>
      </c>
      <c r="M29" s="25" t="str">
        <f>_xll.BDH("NBIX US Equity","BS_GOODWILL","FQ2 2021","FQ2 2021","Currency=USD","Period=FQ","BEST_FPERIOD_OVERRIDE=FQ","FILING_STATUS=MR","SCALING_FORMAT=MLN","Sort=A","Dates=H","DateFormat=P","Fill=—","Direction=H","UseDPDF=Y")</f>
        <v>—</v>
      </c>
      <c r="N29" s="25" t="str">
        <f>_xll.BDH("NBIX US Equity","BS_GOODWILL","FQ3 2021","FQ3 2021","Currency=USD","Period=FQ","BEST_FPERIOD_OVERRIDE=FQ","FILING_STATUS=MR","SCALING_FORMAT=MLN","Sort=A","Dates=H","DateFormat=P","Fill=—","Direction=H","UseDPDF=Y")</f>
        <v>—</v>
      </c>
      <c r="O29" s="25">
        <f>_xll.BDH("NBIX US Equity","BS_GOODWILL","FQ4 2021","FQ4 2021","Currency=USD","Period=FQ","BEST_FPERIOD_OVERRIDE=FQ","FILING_STATUS=MR","SCALING_FORMAT=MLN","Sort=A","Dates=H","DateFormat=P","Fill=—","Direction=H","UseDPDF=Y")</f>
        <v>0</v>
      </c>
      <c r="P29" s="25" t="str">
        <f>_xll.BDH("NBIX US Equity","BS_GOODWILL","FQ1 2022","FQ1 2022","Currency=USD","Period=FQ","BEST_FPERIOD_OVERRIDE=FQ","FILING_STATUS=MR","SCALING_FORMAT=MLN","Sort=A","Dates=H","DateFormat=P","Fill=—","Direction=H","UseDPDF=Y")</f>
        <v>—</v>
      </c>
      <c r="Q29" s="25" t="str">
        <f>_xll.BDH("NBIX US Equity","BS_GOODWILL","FQ2 2022","FQ2 2022","Currency=USD","Period=FQ","BEST_FPERIOD_OVERRIDE=FQ","FILING_STATUS=MR","SCALING_FORMAT=MLN","Sort=A","Dates=H","DateFormat=P","Fill=—","Direction=H","UseDPDF=Y")</f>
        <v>—</v>
      </c>
      <c r="R29" s="25" t="str">
        <f>_xll.BDH("NBIX US Equity","BS_GOODWILL","FQ3 2022","FQ3 2022","Currency=USD","Period=FQ","BEST_FPERIOD_OVERRIDE=FQ","FILING_STATUS=MR","SCALING_FORMAT=MLN","Sort=A","Dates=H","DateFormat=P","Fill=—","Direction=H","UseDPDF=Y")</f>
        <v>—</v>
      </c>
      <c r="S29" s="25">
        <f>_xll.BDH("NBIX US Equity","BS_GOODWILL","FQ4 2022","FQ4 2022","Currency=USD","Period=FQ","BEST_FPERIOD_OVERRIDE=FQ","FILING_STATUS=MR","SCALING_FORMAT=MLN","Sort=A","Dates=H","DateFormat=P","Fill=—","Direction=H","UseDPDF=Y")</f>
        <v>0</v>
      </c>
      <c r="T29" s="25" t="str">
        <f>_xll.BDH("NBIX US Equity","BS_GOODWILL","FQ1 2023","FQ1 2023","Currency=USD","Period=FQ","BEST_FPERIOD_OVERRIDE=FQ","FILING_STATUS=MR","SCALING_FORMAT=MLN","Sort=A","Dates=H","DateFormat=P","Fill=—","Direction=H","UseDPDF=Y")</f>
        <v>—</v>
      </c>
      <c r="U29" s="25" t="str">
        <f>_xll.BDH("NBIX US Equity","BS_GOODWILL","FQ2 2023","FQ2 2023","Currency=USD","Period=FQ","BEST_FPERIOD_OVERRIDE=FQ","FILING_STATUS=MR","SCALING_FORMAT=MLN","Sort=A","Dates=H","DateFormat=P","Fill=—","Direction=H","UseDPDF=Y")</f>
        <v>—</v>
      </c>
      <c r="V29" s="25" t="str">
        <f>_xll.BDH("NBIX US Equity","BS_GOODWILL","FQ3 2023","FQ3 2023","Currency=USD","Period=FQ","BEST_FPERIOD_OVERRIDE=FQ","FILING_STATUS=MR","SCALING_FORMAT=MLN","Sort=A","Dates=H","DateFormat=P","Fill=—","Direction=H","UseDPDF=Y")</f>
        <v>—</v>
      </c>
      <c r="W29" s="25">
        <f>_xll.BDH("NBIX US Equity","BS_GOODWILL","FQ4 2023","FQ4 2023","Currency=USD","Period=FQ","BEST_FPERIOD_OVERRIDE=FQ","FILING_STATUS=MR","SCALING_FORMAT=MLN","Sort=A","Dates=H","DateFormat=P","Fill=—","Direction=H","UseDPDF=Y")</f>
        <v>0</v>
      </c>
      <c r="X29" s="25" t="str">
        <f>_xll.BDH("NBIX US Equity","BS_GOODWILL","FQ1 2024","FQ1 2024","Currency=USD","Period=FQ","BEST_FPERIOD_OVERRIDE=FQ","FILING_STATUS=MR","SCALING_FORMAT=MLN","Sort=A","Dates=H","DateFormat=P","Fill=—","Direction=H","UseDPDF=Y")</f>
        <v>—</v>
      </c>
      <c r="Y29" s="25" t="str">
        <f>_xll.BDH("NBIX US Equity","BS_GOODWILL","FQ2 2024","FQ2 2024","Currency=USD","Period=FQ","BEST_FPERIOD_OVERRIDE=FQ","FILING_STATUS=MR","SCALING_FORMAT=MLN","Sort=A","Dates=H","DateFormat=P","Fill=—","Direction=H","UseDPDF=Y")</f>
        <v>—</v>
      </c>
      <c r="Z29" s="25" t="str">
        <f>_xll.BDH("NBIX US Equity","BS_GOODWILL","FQ3 2024","FQ3 2024","Currency=USD","Period=FQ","BEST_FPERIOD_OVERRIDE=FQ","FILING_STATUS=MR","SCALING_FORMAT=MLN","Sort=A","Dates=H","DateFormat=P","Fill=—","Direction=H","UseDPDF=Y")</f>
        <v>—</v>
      </c>
      <c r="AA29" s="25">
        <f>_xll.BDH("NBIX US Equity","BS_GOODWILL","FQ4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1" t="s">
        <v>710</v>
      </c>
      <c r="B30" s="11" t="s">
        <v>711</v>
      </c>
      <c r="C30" s="25">
        <f>_xll.BDH("NBIX US Equity","OTHER_INTANGIBLE_ASSETS_DETAILED","FQ4 2018","FQ4 2018","Currency=USD","Period=FQ","BEST_FPERIOD_OVERRIDE=FQ","FILING_STATUS=MR","SCALING_FORMAT=MLN","Sort=A","Dates=H","DateFormat=P","Fill=—","Direction=H","UseDPDF=Y")</f>
        <v>0</v>
      </c>
      <c r="D30" s="25">
        <f>_xll.BDH("NBIX US Equity","OTHER_INTANGIBLE_ASSETS_DETAILED","FQ1 2019","FQ1 2019","Currency=USD","Period=FQ","BEST_FPERIOD_OVERRIDE=FQ","FILING_STATUS=MR","SCALING_FORMAT=MLN","Sort=A","Dates=H","DateFormat=P","Fill=—","Direction=H","UseDPDF=Y")</f>
        <v>0</v>
      </c>
      <c r="E30" s="25">
        <f>_xll.BDH("NBIX US Equity","OTHER_INTANGIBLE_ASSETS_DETAILED","FQ2 2019","FQ2 2019","Currency=USD","Period=FQ","BEST_FPERIOD_OVERRIDE=FQ","FILING_STATUS=MR","SCALING_FORMAT=MLN","Sort=A","Dates=H","DateFormat=P","Fill=—","Direction=H","UseDPDF=Y")</f>
        <v>0</v>
      </c>
      <c r="F30" s="25" t="str">
        <f>_xll.BDH("NBIX US Equity","OTHER_INTANGIBLE_ASSETS_DETAILED","FQ3 2019","FQ3 2019","Currency=USD","Period=FQ","BEST_FPERIOD_OVERRIDE=FQ","FILING_STATUS=MR","SCALING_FORMAT=MLN","Sort=A","Dates=H","DateFormat=P","Fill=—","Direction=H","UseDPDF=Y")</f>
        <v>—</v>
      </c>
      <c r="G30" s="25">
        <f>_xll.BDH("NBIX US Equity","OTHER_INTANGIBLE_ASSETS_DETAILED","FQ4 2019","FQ4 2019","Currency=USD","Period=FQ","BEST_FPERIOD_OVERRIDE=FQ","FILING_STATUS=MR","SCALING_FORMAT=MLN","Sort=A","Dates=H","DateFormat=P","Fill=—","Direction=H","UseDPDF=Y")</f>
        <v>0</v>
      </c>
      <c r="H30" s="25" t="str">
        <f>_xll.BDH("NBIX US Equity","OTHER_INTANGIBLE_ASSETS_DETAILED","FQ1 2020","FQ1 2020","Currency=USD","Period=FQ","BEST_FPERIOD_OVERRIDE=FQ","FILING_STATUS=MR","SCALING_FORMAT=MLN","Sort=A","Dates=H","DateFormat=P","Fill=—","Direction=H","UseDPDF=Y")</f>
        <v>—</v>
      </c>
      <c r="I30" s="25" t="str">
        <f>_xll.BDH("NBIX US Equity","OTHER_INTANGIBLE_ASSETS_DETAILED","FQ2 2020","FQ2 2020","Currency=USD","Period=FQ","BEST_FPERIOD_OVERRIDE=FQ","FILING_STATUS=MR","SCALING_FORMAT=MLN","Sort=A","Dates=H","DateFormat=P","Fill=—","Direction=H","UseDPDF=Y")</f>
        <v>—</v>
      </c>
      <c r="J30" s="25" t="str">
        <f>_xll.BDH("NBIX US Equity","OTHER_INTANGIBLE_ASSETS_DETAILED","FQ3 2020","FQ3 2020","Currency=USD","Period=FQ","BEST_FPERIOD_OVERRIDE=FQ","FILING_STATUS=MR","SCALING_FORMAT=MLN","Sort=A","Dates=H","DateFormat=P","Fill=—","Direction=H","UseDPDF=Y")</f>
        <v>—</v>
      </c>
      <c r="K30" s="25">
        <f>_xll.BDH("NBIX US Equity","OTHER_INTANGIBLE_ASSETS_DETAILED","FQ4 2020","FQ4 2020","Currency=USD","Period=FQ","BEST_FPERIOD_OVERRIDE=FQ","FILING_STATUS=MR","SCALING_FORMAT=MLN","Sort=A","Dates=H","DateFormat=P","Fill=—","Direction=H","UseDPDF=Y")</f>
        <v>0</v>
      </c>
      <c r="L30" s="25" t="str">
        <f>_xll.BDH("NBIX US Equity","OTHER_INTANGIBLE_ASSETS_DETAILED","FQ1 2021","FQ1 2021","Currency=USD","Period=FQ","BEST_FPERIOD_OVERRIDE=FQ","FILING_STATUS=MR","SCALING_FORMAT=MLN","Sort=A","Dates=H","DateFormat=P","Fill=—","Direction=H","UseDPDF=Y")</f>
        <v>—</v>
      </c>
      <c r="M30" s="25" t="str">
        <f>_xll.BDH("NBIX US Equity","OTHER_INTANGIBLE_ASSETS_DETAILED","FQ2 2021","FQ2 2021","Currency=USD","Period=FQ","BEST_FPERIOD_OVERRIDE=FQ","FILING_STATUS=MR","SCALING_FORMAT=MLN","Sort=A","Dates=H","DateFormat=P","Fill=—","Direction=H","UseDPDF=Y")</f>
        <v>—</v>
      </c>
      <c r="N30" s="25" t="str">
        <f>_xll.BDH("NBIX US Equity","OTHER_INTANGIBLE_ASSETS_DETAILED","FQ3 2021","FQ3 2021","Currency=USD","Period=FQ","BEST_FPERIOD_OVERRIDE=FQ","FILING_STATUS=MR","SCALING_FORMAT=MLN","Sort=A","Dates=H","DateFormat=P","Fill=—","Direction=H","UseDPDF=Y")</f>
        <v>—</v>
      </c>
      <c r="O30" s="25">
        <f>_xll.BDH("NBIX US Equity","OTHER_INTANGIBLE_ASSETS_DETAILED","FQ4 2021","FQ4 2021","Currency=USD","Period=FQ","BEST_FPERIOD_OVERRIDE=FQ","FILING_STATUS=MR","SCALING_FORMAT=MLN","Sort=A","Dates=H","DateFormat=P","Fill=—","Direction=H","UseDPDF=Y")</f>
        <v>0</v>
      </c>
      <c r="P30" s="25" t="str">
        <f>_xll.BDH("NBIX US Equity","OTHER_INTANGIBLE_ASSETS_DETAILED","FQ1 2022","FQ1 2022","Currency=USD","Period=FQ","BEST_FPERIOD_OVERRIDE=FQ","FILING_STATUS=MR","SCALING_FORMAT=MLN","Sort=A","Dates=H","DateFormat=P","Fill=—","Direction=H","UseDPDF=Y")</f>
        <v>—</v>
      </c>
      <c r="Q30" s="25" t="str">
        <f>_xll.BDH("NBIX US Equity","OTHER_INTANGIBLE_ASSETS_DETAILED","FQ2 2022","FQ2 2022","Currency=USD","Period=FQ","BEST_FPERIOD_OVERRIDE=FQ","FILING_STATUS=MR","SCALING_FORMAT=MLN","Sort=A","Dates=H","DateFormat=P","Fill=—","Direction=H","UseDPDF=Y")</f>
        <v>—</v>
      </c>
      <c r="R30" s="25" t="str">
        <f>_xll.BDH("NBIX US Equity","OTHER_INTANGIBLE_ASSETS_DETAILED","FQ3 2022","FQ3 2022","Currency=USD","Period=FQ","BEST_FPERIOD_OVERRIDE=FQ","FILING_STATUS=MR","SCALING_FORMAT=MLN","Sort=A","Dates=H","DateFormat=P","Fill=—","Direction=H","UseDPDF=Y")</f>
        <v>—</v>
      </c>
      <c r="S30" s="25">
        <f>_xll.BDH("NBIX US Equity","OTHER_INTANGIBLE_ASSETS_DETAILED","FQ4 2022","FQ4 2022","Currency=USD","Period=FQ","BEST_FPERIOD_OVERRIDE=FQ","FILING_STATUS=MR","SCALING_FORMAT=MLN","Sort=A","Dates=H","DateFormat=P","Fill=—","Direction=H","UseDPDF=Y")</f>
        <v>37.200000000000003</v>
      </c>
      <c r="T30" s="25" t="str">
        <f>_xll.BDH("NBIX US Equity","OTHER_INTANGIBLE_ASSETS_DETAILED","FQ1 2023","FQ1 2023","Currency=USD","Period=FQ","BEST_FPERIOD_OVERRIDE=FQ","FILING_STATUS=MR","SCALING_FORMAT=MLN","Sort=A","Dates=H","DateFormat=P","Fill=—","Direction=H","UseDPDF=Y")</f>
        <v>—</v>
      </c>
      <c r="U30" s="25">
        <f>_xll.BDH("NBIX US Equity","OTHER_INTANGIBLE_ASSETS_DETAILED","FQ2 2023","FQ2 2023","Currency=USD","Period=FQ","BEST_FPERIOD_OVERRIDE=FQ","FILING_STATUS=MR","SCALING_FORMAT=MLN","Sort=A","Dates=H","DateFormat=P","Fill=—","Direction=H","UseDPDF=Y")</f>
        <v>36.9</v>
      </c>
      <c r="V30" s="25">
        <f>_xll.BDH("NBIX US Equity","OTHER_INTANGIBLE_ASSETS_DETAILED","FQ3 2023","FQ3 2023","Currency=USD","Period=FQ","BEST_FPERIOD_OVERRIDE=FQ","FILING_STATUS=MR","SCALING_FORMAT=MLN","Sort=A","Dates=H","DateFormat=P","Fill=—","Direction=H","UseDPDF=Y")</f>
        <v>34.9</v>
      </c>
      <c r="W30" s="25">
        <f>_xll.BDH("NBIX US Equity","OTHER_INTANGIBLE_ASSETS_DETAILED","FQ4 2023","FQ4 2023","Currency=USD","Period=FQ","BEST_FPERIOD_OVERRIDE=FQ","FILING_STATUS=MR","SCALING_FORMAT=MLN","Sort=A","Dates=H","DateFormat=P","Fill=—","Direction=H","UseDPDF=Y")</f>
        <v>35.5</v>
      </c>
      <c r="X30" s="25" t="str">
        <f>_xll.BDH("NBIX US Equity","OTHER_INTANGIBLE_ASSETS_DETAILED","FQ1 2024","FQ1 2024","Currency=USD","Period=FQ","BEST_FPERIOD_OVERRIDE=FQ","FILING_STATUS=MR","SCALING_FORMAT=MLN","Sort=A","Dates=H","DateFormat=P","Fill=—","Direction=H","UseDPDF=Y")</f>
        <v>—</v>
      </c>
      <c r="Y30" s="25">
        <f>_xll.BDH("NBIX US Equity","OTHER_INTANGIBLE_ASSETS_DETAILED","FQ2 2024","FQ2 2024","Currency=USD","Period=FQ","BEST_FPERIOD_OVERRIDE=FQ","FILING_STATUS=MR","SCALING_FORMAT=MLN","Sort=A","Dates=H","DateFormat=P","Fill=—","Direction=H","UseDPDF=Y")</f>
        <v>33.5</v>
      </c>
      <c r="Z30" s="25">
        <f>_xll.BDH("NBIX US Equity","OTHER_INTANGIBLE_ASSETS_DETAILED","FQ3 2024","FQ3 2024","Currency=USD","Period=FQ","BEST_FPERIOD_OVERRIDE=FQ","FILING_STATUS=MR","SCALING_FORMAT=MLN","Sort=A","Dates=H","DateFormat=P","Fill=—","Direction=H","UseDPDF=Y")</f>
        <v>34.5</v>
      </c>
      <c r="AA30" s="25">
        <f>_xll.BDH("NBIX US Equity","OTHER_INTANGIBLE_ASSETS_DETAILED","FQ4 2024","FQ4 2024","Currency=USD","Period=FQ","BEST_FPERIOD_OVERRIDE=FQ","FILING_STATUS=MR","SCALING_FORMAT=MLN","Sort=A","Dates=H","DateFormat=P","Fill=—","Direction=H","UseDPDF=Y")</f>
        <v>36.5</v>
      </c>
    </row>
    <row r="31" spans="1:27" x14ac:dyDescent="0.25">
      <c r="A31" s="10" t="s">
        <v>712</v>
      </c>
      <c r="B31" s="10" t="s">
        <v>713</v>
      </c>
      <c r="C31" s="13" t="str">
        <f>_xll.BDH("NBIX US Equity","BS_DEFERRED_TAX_ASSETS_LT","FQ4 2018","FQ4 2018","Currency=USD","Period=FQ","BEST_FPERIOD_OVERRIDE=FQ","FILING_STATUS=MR","SCALING_FORMAT=MLN","Sort=A","Dates=H","DateFormat=P","Fill=—","Direction=H","UseDPDF=Y")</f>
        <v>—</v>
      </c>
      <c r="D31" s="13" t="str">
        <f>_xll.BDH("NBIX US Equity","BS_DEFERRED_TAX_ASSETS_LT","FQ1 2019","FQ1 2019","Currency=USD","Period=FQ","BEST_FPERIOD_OVERRIDE=FQ","FILING_STATUS=MR","SCALING_FORMAT=MLN","Sort=A","Dates=H","DateFormat=P","Fill=—","Direction=H","UseDPDF=Y")</f>
        <v>—</v>
      </c>
      <c r="E31" s="13" t="str">
        <f>_xll.BDH("NBIX US Equity","BS_DEFERRED_TAX_ASSETS_LT","FQ2 2019","FQ2 2019","Currency=USD","Period=FQ","BEST_FPERIOD_OVERRIDE=FQ","FILING_STATUS=MR","SCALING_FORMAT=MLN","Sort=A","Dates=H","DateFormat=P","Fill=—","Direction=H","UseDPDF=Y")</f>
        <v>—</v>
      </c>
      <c r="F31" s="13" t="str">
        <f>_xll.BDH("NBIX US Equity","BS_DEFERRED_TAX_ASSETS_LT","FQ3 2019","FQ3 2019","Currency=USD","Period=FQ","BEST_FPERIOD_OVERRIDE=FQ","FILING_STATUS=MR","SCALING_FORMAT=MLN","Sort=A","Dates=H","DateFormat=P","Fill=—","Direction=H","UseDPDF=Y")</f>
        <v>—</v>
      </c>
      <c r="G31" s="13">
        <f>_xll.BDH("NBIX US Equity","BS_DEFERRED_TAX_ASSETS_LT","FQ4 2019","FQ4 2019","Currency=USD","Period=FQ","BEST_FPERIOD_OVERRIDE=FQ","FILING_STATUS=MR","SCALING_FORMAT=MLN","Sort=A","Dates=H","DateFormat=P","Fill=—","Direction=H","UseDPDF=Y")</f>
        <v>0</v>
      </c>
      <c r="H31" s="13" t="str">
        <f>_xll.BDH("NBIX US Equity","BS_DEFERRED_TAX_ASSETS_LT","FQ1 2020","FQ1 2020","Currency=USD","Period=FQ","BEST_FPERIOD_OVERRIDE=FQ","FILING_STATUS=MR","SCALING_FORMAT=MLN","Sort=A","Dates=H","DateFormat=P","Fill=—","Direction=H","UseDPDF=Y")</f>
        <v>—</v>
      </c>
      <c r="I31" s="13" t="str">
        <f>_xll.BDH("NBIX US Equity","BS_DEFERRED_TAX_ASSETS_LT","FQ2 2020","FQ2 2020","Currency=USD","Period=FQ","BEST_FPERIOD_OVERRIDE=FQ","FILING_STATUS=MR","SCALING_FORMAT=MLN","Sort=A","Dates=H","DateFormat=P","Fill=—","Direction=H","UseDPDF=Y")</f>
        <v>—</v>
      </c>
      <c r="J31" s="13" t="str">
        <f>_xll.BDH("NBIX US Equity","BS_DEFERRED_TAX_ASSETS_LT","FQ3 2020","FQ3 2020","Currency=USD","Period=FQ","BEST_FPERIOD_OVERRIDE=FQ","FILING_STATUS=MR","SCALING_FORMAT=MLN","Sort=A","Dates=H","DateFormat=P","Fill=—","Direction=H","UseDPDF=Y")</f>
        <v>—</v>
      </c>
      <c r="K31" s="13">
        <f>_xll.BDH("NBIX US Equity","BS_DEFERRED_TAX_ASSETS_LT","FQ4 2020","FQ4 2020","Currency=USD","Period=FQ","BEST_FPERIOD_OVERRIDE=FQ","FILING_STATUS=MR","SCALING_FORMAT=MLN","Sort=A","Dates=H","DateFormat=P","Fill=—","Direction=H","UseDPDF=Y")</f>
        <v>319.39999999999998</v>
      </c>
      <c r="L31" s="13">
        <f>_xll.BDH("NBIX US Equity","BS_DEFERRED_TAX_ASSETS_LT","FQ1 2021","FQ1 2021","Currency=USD","Period=FQ","BEST_FPERIOD_OVERRIDE=FQ","FILING_STATUS=MR","SCALING_FORMAT=MLN","Sort=A","Dates=H","DateFormat=P","Fill=—","Direction=H","UseDPDF=Y")</f>
        <v>325.60000000000002</v>
      </c>
      <c r="M31" s="13">
        <f>_xll.BDH("NBIX US Equity","BS_DEFERRED_TAX_ASSETS_LT","FQ2 2021","FQ2 2021","Currency=USD","Period=FQ","BEST_FPERIOD_OVERRIDE=FQ","FILING_STATUS=MR","SCALING_FORMAT=MLN","Sort=A","Dates=H","DateFormat=P","Fill=—","Direction=H","UseDPDF=Y")</f>
        <v>316.10000000000002</v>
      </c>
      <c r="N31" s="13">
        <f>_xll.BDH("NBIX US Equity","BS_DEFERRED_TAX_ASSETS_LT","FQ3 2021","FQ3 2021","Currency=USD","Period=FQ","BEST_FPERIOD_OVERRIDE=FQ","FILING_STATUS=MR","SCALING_FORMAT=MLN","Sort=A","Dates=H","DateFormat=P","Fill=—","Direction=H","UseDPDF=Y")</f>
        <v>310.39999999999998</v>
      </c>
      <c r="O31" s="13">
        <f>_xll.BDH("NBIX US Equity","BS_DEFERRED_TAX_ASSETS_LT","FQ4 2021","FQ4 2021","Currency=USD","Period=FQ","BEST_FPERIOD_OVERRIDE=FQ","FILING_STATUS=MR","SCALING_FORMAT=MLN","Sort=A","Dates=H","DateFormat=P","Fill=—","Direction=H","UseDPDF=Y")</f>
        <v>315.10000000000002</v>
      </c>
      <c r="P31" s="13">
        <f>_xll.BDH("NBIX US Equity","BS_DEFERRED_TAX_ASSETS_LT","FQ1 2022","FQ1 2022","Currency=USD","Period=FQ","BEST_FPERIOD_OVERRIDE=FQ","FILING_STATUS=MR","SCALING_FORMAT=MLN","Sort=A","Dates=H","DateFormat=P","Fill=—","Direction=H","UseDPDF=Y")</f>
        <v>325.3</v>
      </c>
      <c r="Q31" s="13">
        <f>_xll.BDH("NBIX US Equity","BS_DEFERRED_TAX_ASSETS_LT","FQ2 2022","FQ2 2022","Currency=USD","Period=FQ","BEST_FPERIOD_OVERRIDE=FQ","FILING_STATUS=MR","SCALING_FORMAT=MLN","Sort=A","Dates=H","DateFormat=P","Fill=—","Direction=H","UseDPDF=Y")</f>
        <v>328.4</v>
      </c>
      <c r="R31" s="13">
        <f>_xll.BDH("NBIX US Equity","BS_DEFERRED_TAX_ASSETS_LT","FQ3 2022","FQ3 2022","Currency=USD","Period=FQ","BEST_FPERIOD_OVERRIDE=FQ","FILING_STATUS=MR","SCALING_FORMAT=MLN","Sort=A","Dates=H","DateFormat=P","Fill=—","Direction=H","UseDPDF=Y")</f>
        <v>319.39999999999998</v>
      </c>
      <c r="S31" s="13">
        <f>_xll.BDH("NBIX US Equity","BS_DEFERRED_TAX_ASSETS_LT","FQ4 2022","FQ4 2022","Currency=USD","Period=FQ","BEST_FPERIOD_OVERRIDE=FQ","FILING_STATUS=MR","SCALING_FORMAT=MLN","Sort=A","Dates=H","DateFormat=P","Fill=—","Direction=H","UseDPDF=Y")</f>
        <v>305.89999999999998</v>
      </c>
      <c r="T31" s="13">
        <f>_xll.BDH("NBIX US Equity","BS_DEFERRED_TAX_ASSETS_LT","FQ1 2023","FQ1 2023","Currency=USD","Period=FQ","BEST_FPERIOD_OVERRIDE=FQ","FILING_STATUS=MR","SCALING_FORMAT=MLN","Sort=A","Dates=H","DateFormat=P","Fill=—","Direction=H","UseDPDF=Y")</f>
        <v>337.4</v>
      </c>
      <c r="U31" s="13">
        <f>_xll.BDH("NBIX US Equity","BS_DEFERRED_TAX_ASSETS_LT","FQ2 2023","FQ2 2023","Currency=USD","Period=FQ","BEST_FPERIOD_OVERRIDE=FQ","FILING_STATUS=MR","SCALING_FORMAT=MLN","Sort=A","Dates=H","DateFormat=P","Fill=—","Direction=H","UseDPDF=Y")</f>
        <v>379</v>
      </c>
      <c r="V31" s="13">
        <f>_xll.BDH("NBIX US Equity","BS_DEFERRED_TAX_ASSETS_LT","FQ3 2023","FQ3 2023","Currency=USD","Period=FQ","BEST_FPERIOD_OVERRIDE=FQ","FILING_STATUS=MR","SCALING_FORMAT=MLN","Sort=A","Dates=H","DateFormat=P","Fill=—","Direction=H","UseDPDF=Y")</f>
        <v>383.2</v>
      </c>
      <c r="W31" s="13">
        <f>_xll.BDH("NBIX US Equity","BS_DEFERRED_TAX_ASSETS_LT","FQ4 2023","FQ4 2023","Currency=USD","Period=FQ","BEST_FPERIOD_OVERRIDE=FQ","FILING_STATUS=MR","SCALING_FORMAT=MLN","Sort=A","Dates=H","DateFormat=P","Fill=—","Direction=H","UseDPDF=Y")</f>
        <v>362.6</v>
      </c>
      <c r="X31" s="13">
        <f>_xll.BDH("NBIX US Equity","BS_DEFERRED_TAX_ASSETS_LT","FQ1 2024","FQ1 2024","Currency=USD","Period=FQ","BEST_FPERIOD_OVERRIDE=FQ","FILING_STATUS=MR","SCALING_FORMAT=MLN","Sort=A","Dates=H","DateFormat=P","Fill=—","Direction=H","UseDPDF=Y")</f>
        <v>378.2</v>
      </c>
      <c r="Y31" s="13">
        <f>_xll.BDH("NBIX US Equity","BS_DEFERRED_TAX_ASSETS_LT","FQ2 2024","FQ2 2024","Currency=USD","Period=FQ","BEST_FPERIOD_OVERRIDE=FQ","FILING_STATUS=MR","SCALING_FORMAT=MLN","Sort=A","Dates=H","DateFormat=P","Fill=—","Direction=H","UseDPDF=Y")</f>
        <v>419.5</v>
      </c>
      <c r="Z31" s="13">
        <f>_xll.BDH("NBIX US Equity","BS_DEFERRED_TAX_ASSETS_LT","FQ3 2024","FQ3 2024","Currency=USD","Period=FQ","BEST_FPERIOD_OVERRIDE=FQ","FILING_STATUS=MR","SCALING_FORMAT=MLN","Sort=A","Dates=H","DateFormat=P","Fill=—","Direction=H","UseDPDF=Y")</f>
        <v>454.4</v>
      </c>
      <c r="AA31" s="13">
        <f>_xll.BDH("NBIX US Equity","BS_DEFERRED_TAX_ASSETS_LT","FQ4 2024","FQ4 2024","Currency=USD","Period=FQ","BEST_FPERIOD_OVERRIDE=FQ","FILING_STATUS=MR","SCALING_FORMAT=MLN","Sort=A","Dates=H","DateFormat=P","Fill=—","Direction=H","UseDPDF=Y")</f>
        <v>485.7</v>
      </c>
    </row>
    <row r="32" spans="1:27" x14ac:dyDescent="0.25">
      <c r="A32" s="10" t="s">
        <v>690</v>
      </c>
      <c r="B32" s="10" t="s">
        <v>714</v>
      </c>
      <c r="C32" s="13">
        <f>_xll.BDH("NBIX US Equity","BS_DERIV_HEDGING_ASST_LT","FQ4 2018","FQ4 2018","Currency=USD","Period=FQ","BEST_FPERIOD_OVERRIDE=FQ","FILING_STATUS=MR","SCALING_FORMAT=MLN","Sort=A","Dates=H","DateFormat=P","Fill=—","Direction=H","UseDPDF=Y")</f>
        <v>0</v>
      </c>
      <c r="D32" s="13">
        <f>_xll.BDH("NBIX US Equity","BS_DERIV_HEDGING_ASST_LT","FQ1 2019","FQ1 2019","Currency=USD","Period=FQ","BEST_FPERIOD_OVERRIDE=FQ","FILING_STATUS=MR","SCALING_FORMAT=MLN","Sort=A","Dates=H","DateFormat=P","Fill=—","Direction=H","UseDPDF=Y")</f>
        <v>0</v>
      </c>
      <c r="E32" s="13">
        <f>_xll.BDH("NBIX US Equity","BS_DERIV_HEDGING_ASST_LT","FQ2 2019","FQ2 2019","Currency=USD","Period=FQ","BEST_FPERIOD_OVERRIDE=FQ","FILING_STATUS=MR","SCALING_FORMAT=MLN","Sort=A","Dates=H","DateFormat=P","Fill=—","Direction=H","UseDPDF=Y")</f>
        <v>0</v>
      </c>
      <c r="F32" s="13" t="str">
        <f>_xll.BDH("NBIX US Equity","BS_DERIV_HEDGING_ASST_LT","FQ3 2019","FQ3 2019","Currency=USD","Period=FQ","BEST_FPERIOD_OVERRIDE=FQ","FILING_STATUS=MR","SCALING_FORMAT=MLN","Sort=A","Dates=H","DateFormat=P","Fill=—","Direction=H","UseDPDF=Y")</f>
        <v>—</v>
      </c>
      <c r="G32" s="13">
        <f>_xll.BDH("NBIX US Equity","BS_DERIV_HEDGING_ASST_LT","FQ4 2019","FQ4 2019","Currency=USD","Period=FQ","BEST_FPERIOD_OVERRIDE=FQ","FILING_STATUS=MR","SCALING_FORMAT=MLN","Sort=A","Dates=H","DateFormat=P","Fill=—","Direction=H","UseDPDF=Y")</f>
        <v>0</v>
      </c>
      <c r="H32" s="13" t="str">
        <f>_xll.BDH("NBIX US Equity","BS_DERIV_HEDGING_ASST_LT","FQ1 2020","FQ1 2020","Currency=USD","Period=FQ","BEST_FPERIOD_OVERRIDE=FQ","FILING_STATUS=MR","SCALING_FORMAT=MLN","Sort=A","Dates=H","DateFormat=P","Fill=—","Direction=H","UseDPDF=Y")</f>
        <v>—</v>
      </c>
      <c r="I32" s="13" t="str">
        <f>_xll.BDH("NBIX US Equity","BS_DERIV_HEDGING_ASST_LT","FQ2 2020","FQ2 2020","Currency=USD","Period=FQ","BEST_FPERIOD_OVERRIDE=FQ","FILING_STATUS=MR","SCALING_FORMAT=MLN","Sort=A","Dates=H","DateFormat=P","Fill=—","Direction=H","UseDPDF=Y")</f>
        <v>—</v>
      </c>
      <c r="J32" s="13" t="str">
        <f>_xll.BDH("NBIX US Equity","BS_DERIV_HEDGING_ASST_LT","FQ3 2020","FQ3 2020","Currency=USD","Period=FQ","BEST_FPERIOD_OVERRIDE=FQ","FILING_STATUS=MR","SCALING_FORMAT=MLN","Sort=A","Dates=H","DateFormat=P","Fill=—","Direction=H","UseDPDF=Y")</f>
        <v>—</v>
      </c>
      <c r="K32" s="13">
        <f>_xll.BDH("NBIX US Equity","BS_DERIV_HEDGING_ASST_LT","FQ4 2020","FQ4 2020","Currency=USD","Period=FQ","BEST_FPERIOD_OVERRIDE=FQ","FILING_STATUS=MR","SCALING_FORMAT=MLN","Sort=A","Dates=H","DateFormat=P","Fill=—","Direction=H","UseDPDF=Y")</f>
        <v>0</v>
      </c>
      <c r="L32" s="13" t="str">
        <f>_xll.BDH("NBIX US Equity","BS_DERIV_HEDGING_ASST_LT","FQ1 2021","FQ1 2021","Currency=USD","Period=FQ","BEST_FPERIOD_OVERRIDE=FQ","FILING_STATUS=MR","SCALING_FORMAT=MLN","Sort=A","Dates=H","DateFormat=P","Fill=—","Direction=H","UseDPDF=Y")</f>
        <v>—</v>
      </c>
      <c r="M32" s="13" t="str">
        <f>_xll.BDH("NBIX US Equity","BS_DERIV_HEDGING_ASST_LT","FQ2 2021","FQ2 2021","Currency=USD","Period=FQ","BEST_FPERIOD_OVERRIDE=FQ","FILING_STATUS=MR","SCALING_FORMAT=MLN","Sort=A","Dates=H","DateFormat=P","Fill=—","Direction=H","UseDPDF=Y")</f>
        <v>—</v>
      </c>
      <c r="N32" s="13" t="str">
        <f>_xll.BDH("NBIX US Equity","BS_DERIV_HEDGING_ASST_LT","FQ3 2021","FQ3 2021","Currency=USD","Period=FQ","BEST_FPERIOD_OVERRIDE=FQ","FILING_STATUS=MR","SCALING_FORMAT=MLN","Sort=A","Dates=H","DateFormat=P","Fill=—","Direction=H","UseDPDF=Y")</f>
        <v>—</v>
      </c>
      <c r="O32" s="13">
        <f>_xll.BDH("NBIX US Equity","BS_DERIV_HEDGING_ASST_LT","FQ4 2021","FQ4 2021","Currency=USD","Period=FQ","BEST_FPERIOD_OVERRIDE=FQ","FILING_STATUS=MR","SCALING_FORMAT=MLN","Sort=A","Dates=H","DateFormat=P","Fill=—","Direction=H","UseDPDF=Y")</f>
        <v>0</v>
      </c>
      <c r="P32" s="13" t="str">
        <f>_xll.BDH("NBIX US Equity","BS_DERIV_HEDGING_ASST_LT","FQ1 2022","FQ1 2022","Currency=USD","Period=FQ","BEST_FPERIOD_OVERRIDE=FQ","FILING_STATUS=MR","SCALING_FORMAT=MLN","Sort=A","Dates=H","DateFormat=P","Fill=—","Direction=H","UseDPDF=Y")</f>
        <v>—</v>
      </c>
      <c r="Q32" s="13" t="str">
        <f>_xll.BDH("NBIX US Equity","BS_DERIV_HEDGING_ASST_LT","FQ2 2022","FQ2 2022","Currency=USD","Period=FQ","BEST_FPERIOD_OVERRIDE=FQ","FILING_STATUS=MR","SCALING_FORMAT=MLN","Sort=A","Dates=H","DateFormat=P","Fill=—","Direction=H","UseDPDF=Y")</f>
        <v>—</v>
      </c>
      <c r="R32" s="13" t="str">
        <f>_xll.BDH("NBIX US Equity","BS_DERIV_HEDGING_ASST_LT","FQ3 2022","FQ3 2022","Currency=USD","Period=FQ","BEST_FPERIOD_OVERRIDE=FQ","FILING_STATUS=MR","SCALING_FORMAT=MLN","Sort=A","Dates=H","DateFormat=P","Fill=—","Direction=H","UseDPDF=Y")</f>
        <v>—</v>
      </c>
      <c r="S32" s="13">
        <f>_xll.BDH("NBIX US Equity","BS_DERIV_HEDGING_ASST_LT","FQ4 2022","FQ4 2022","Currency=USD","Period=FQ","BEST_FPERIOD_OVERRIDE=FQ","FILING_STATUS=MR","SCALING_FORMAT=MLN","Sort=A","Dates=H","DateFormat=P","Fill=—","Direction=H","UseDPDF=Y")</f>
        <v>0</v>
      </c>
      <c r="T32" s="13" t="str">
        <f>_xll.BDH("NBIX US Equity","BS_DERIV_HEDGING_ASST_LT","FQ1 2023","FQ1 2023","Currency=USD","Period=FQ","BEST_FPERIOD_OVERRIDE=FQ","FILING_STATUS=MR","SCALING_FORMAT=MLN","Sort=A","Dates=H","DateFormat=P","Fill=—","Direction=H","UseDPDF=Y")</f>
        <v>—</v>
      </c>
      <c r="U32" s="13" t="str">
        <f>_xll.BDH("NBIX US Equity","BS_DERIV_HEDGING_ASST_LT","FQ2 2023","FQ2 2023","Currency=USD","Period=FQ","BEST_FPERIOD_OVERRIDE=FQ","FILING_STATUS=MR","SCALING_FORMAT=MLN","Sort=A","Dates=H","DateFormat=P","Fill=—","Direction=H","UseDPDF=Y")</f>
        <v>—</v>
      </c>
      <c r="V32" s="13" t="str">
        <f>_xll.BDH("NBIX US Equity","BS_DERIV_HEDGING_ASST_LT","FQ3 2023","FQ3 2023","Currency=USD","Period=FQ","BEST_FPERIOD_OVERRIDE=FQ","FILING_STATUS=MR","SCALING_FORMAT=MLN","Sort=A","Dates=H","DateFormat=P","Fill=—","Direction=H","UseDPDF=Y")</f>
        <v>—</v>
      </c>
      <c r="W32" s="13">
        <f>_xll.BDH("NBIX US Equity","BS_DERIV_HEDGING_ASST_LT","FQ4 2023","FQ4 2023","Currency=USD","Period=FQ","BEST_FPERIOD_OVERRIDE=FQ","FILING_STATUS=MR","SCALING_FORMAT=MLN","Sort=A","Dates=H","DateFormat=P","Fill=—","Direction=H","UseDPDF=Y")</f>
        <v>0</v>
      </c>
      <c r="X32" s="13" t="str">
        <f>_xll.BDH("NBIX US Equity","BS_DERIV_HEDGING_ASST_LT","FQ1 2024","FQ1 2024","Currency=USD","Period=FQ","BEST_FPERIOD_OVERRIDE=FQ","FILING_STATUS=MR","SCALING_FORMAT=MLN","Sort=A","Dates=H","DateFormat=P","Fill=—","Direction=H","UseDPDF=Y")</f>
        <v>—</v>
      </c>
      <c r="Y32" s="13" t="str">
        <f>_xll.BDH("NBIX US Equity","BS_DERIV_HEDGING_ASST_LT","FQ2 2024","FQ2 2024","Currency=USD","Period=FQ","BEST_FPERIOD_OVERRIDE=FQ","FILING_STATUS=MR","SCALING_FORMAT=MLN","Sort=A","Dates=H","DateFormat=P","Fill=—","Direction=H","UseDPDF=Y")</f>
        <v>—</v>
      </c>
      <c r="Z32" s="13" t="str">
        <f>_xll.BDH("NBIX US Equity","BS_DERIV_HEDGING_ASST_LT","FQ3 2024","FQ3 2024","Currency=USD","Period=FQ","BEST_FPERIOD_OVERRIDE=FQ","FILING_STATUS=MR","SCALING_FORMAT=MLN","Sort=A","Dates=H","DateFormat=P","Fill=—","Direction=H","UseDPDF=Y")</f>
        <v>—</v>
      </c>
      <c r="AA32" s="13">
        <f>_xll.BDH("NBIX US Equity","BS_DERIV_HEDGING_ASST_LT","FQ4 2024","FQ4 2024","Currency=USD","Period=FQ","BEST_FPERIOD_OVERRIDE=FQ","FILING_STATUS=MR","SCALING_FORMAT=MLN","Sort=A","Dates=H","DateFormat=P","Fill=—","Direction=H","UseDPDF=Y")</f>
        <v>0</v>
      </c>
    </row>
    <row r="33" spans="1:27" x14ac:dyDescent="0.25">
      <c r="A33" s="10" t="s">
        <v>715</v>
      </c>
      <c r="B33" s="10" t="s">
        <v>716</v>
      </c>
      <c r="C33" s="13">
        <f>_xll.BDH("NBIX US Equity","OTHER_NONCURRENT_ASSETS_DETAILED","FQ4 2018","FQ4 2018","Currency=USD","Period=FQ","BEST_FPERIOD_OVERRIDE=FQ","FILING_STATUS=MR","SCALING_FORMAT=MLN","Sort=A","Dates=H","DateFormat=P","Fill=—","Direction=H","UseDPDF=Y")</f>
        <v>5.4770000000000003</v>
      </c>
      <c r="D33" s="13">
        <f>_xll.BDH("NBIX US Equity","OTHER_NONCURRENT_ASSETS_DETAILED","FQ1 2019","FQ1 2019","Currency=USD","Period=FQ","BEST_FPERIOD_OVERRIDE=FQ","FILING_STATUS=MR","SCALING_FORMAT=MLN","Sort=A","Dates=H","DateFormat=P","Fill=—","Direction=H","UseDPDF=Y")</f>
        <v>61.877000000000002</v>
      </c>
      <c r="E33" s="13">
        <f>_xll.BDH("NBIX US Equity","OTHER_NONCURRENT_ASSETS_DETAILED","FQ2 2019","FQ2 2019","Currency=USD","Period=FQ","BEST_FPERIOD_OVERRIDE=FQ","FILING_STATUS=MR","SCALING_FORMAT=MLN","Sort=A","Dates=H","DateFormat=P","Fill=—","Direction=H","UseDPDF=Y")</f>
        <v>82.841999999999999</v>
      </c>
      <c r="F33" s="13">
        <f>_xll.BDH("NBIX US Equity","OTHER_NONCURRENT_ASSETS_DETAILED","FQ3 2019","FQ3 2019","Currency=USD","Period=FQ","BEST_FPERIOD_OVERRIDE=FQ","FILING_STATUS=MR","SCALING_FORMAT=MLN","Sort=A","Dates=H","DateFormat=P","Fill=—","Direction=H","UseDPDF=Y")</f>
        <v>53.621000000000002</v>
      </c>
      <c r="G33" s="13">
        <f>_xll.BDH("NBIX US Equity","OTHER_NONCURRENT_ASSETS_DETAILED","FQ4 2019","FQ4 2019","Currency=USD","Period=FQ","BEST_FPERIOD_OVERRIDE=FQ","FILING_STATUS=MR","SCALING_FORMAT=MLN","Sort=A","Dates=H","DateFormat=P","Fill=—","Direction=H","UseDPDF=Y")</f>
        <v>59.1</v>
      </c>
      <c r="H33" s="13">
        <f>_xll.BDH("NBIX US Equity","OTHER_NONCURRENT_ASSETS_DETAILED","FQ1 2020","FQ1 2020","Currency=USD","Period=FQ","BEST_FPERIOD_OVERRIDE=FQ","FILING_STATUS=MR","SCALING_FORMAT=MLN","Sort=A","Dates=H","DateFormat=P","Fill=—","Direction=H","UseDPDF=Y")</f>
        <v>42.6</v>
      </c>
      <c r="I33" s="13">
        <f>_xll.BDH("NBIX US Equity","OTHER_NONCURRENT_ASSETS_DETAILED","FQ2 2020","FQ2 2020","Currency=USD","Period=FQ","BEST_FPERIOD_OVERRIDE=FQ","FILING_STATUS=MR","SCALING_FORMAT=MLN","Sort=A","Dates=H","DateFormat=P","Fill=—","Direction=H","UseDPDF=Y")</f>
        <v>57.5</v>
      </c>
      <c r="J33" s="13">
        <f>_xll.BDH("NBIX US Equity","OTHER_NONCURRENT_ASSETS_DETAILED","FQ3 2020","FQ3 2020","Currency=USD","Period=FQ","BEST_FPERIOD_OVERRIDE=FQ","FILING_STATUS=MR","SCALING_FORMAT=MLN","Sort=A","Dates=H","DateFormat=P","Fill=—","Direction=H","UseDPDF=Y")</f>
        <v>50.3</v>
      </c>
      <c r="K33" s="13">
        <f>_xll.BDH("NBIX US Equity","OTHER_NONCURRENT_ASSETS_DETAILED","FQ4 2020","FQ4 2020","Currency=USD","Period=FQ","BEST_FPERIOD_OVERRIDE=FQ","FILING_STATUS=MR","SCALING_FORMAT=MLN","Sort=A","Dates=H","DateFormat=P","Fill=—","Direction=H","UseDPDF=Y")</f>
        <v>44.6</v>
      </c>
      <c r="L33" s="13">
        <f>_xll.BDH("NBIX US Equity","OTHER_NONCURRENT_ASSETS_DETAILED","FQ1 2021","FQ1 2021","Currency=USD","Period=FQ","BEST_FPERIOD_OVERRIDE=FQ","FILING_STATUS=MR","SCALING_FORMAT=MLN","Sort=A","Dates=H","DateFormat=P","Fill=—","Direction=H","UseDPDF=Y")</f>
        <v>43.5</v>
      </c>
      <c r="M33" s="13">
        <f>_xll.BDH("NBIX US Equity","OTHER_NONCURRENT_ASSETS_DETAILED","FQ2 2021","FQ2 2021","Currency=USD","Period=FQ","BEST_FPERIOD_OVERRIDE=FQ","FILING_STATUS=MR","SCALING_FORMAT=MLN","Sort=A","Dates=H","DateFormat=P","Fill=—","Direction=H","UseDPDF=Y")</f>
        <v>42.1</v>
      </c>
      <c r="N33" s="13">
        <f>_xll.BDH("NBIX US Equity","OTHER_NONCURRENT_ASSETS_DETAILED","FQ3 2021","FQ3 2021","Currency=USD","Period=FQ","BEST_FPERIOD_OVERRIDE=FQ","FILING_STATUS=MR","SCALING_FORMAT=MLN","Sort=A","Dates=H","DateFormat=P","Fill=—","Direction=H","UseDPDF=Y")</f>
        <v>38.5</v>
      </c>
      <c r="O33" s="13">
        <f>_xll.BDH("NBIX US Equity","OTHER_NONCURRENT_ASSETS_DETAILED","FQ4 2021","FQ4 2021","Currency=USD","Period=FQ","BEST_FPERIOD_OVERRIDE=FQ","FILING_STATUS=MR","SCALING_FORMAT=MLN","Sort=A","Dates=H","DateFormat=P","Fill=—","Direction=H","UseDPDF=Y")</f>
        <v>68.099999999999994</v>
      </c>
      <c r="P33" s="13">
        <f>_xll.BDH("NBIX US Equity","OTHER_NONCURRENT_ASSETS_DETAILED","FQ1 2022","FQ1 2022","Currency=USD","Period=FQ","BEST_FPERIOD_OVERRIDE=FQ","FILING_STATUS=MR","SCALING_FORMAT=MLN","Sort=A","Dates=H","DateFormat=P","Fill=—","Direction=H","UseDPDF=Y")</f>
        <v>101.4</v>
      </c>
      <c r="Q33" s="13">
        <f>_xll.BDH("NBIX US Equity","OTHER_NONCURRENT_ASSETS_DETAILED","FQ2 2022","FQ2 2022","Currency=USD","Period=FQ","BEST_FPERIOD_OVERRIDE=FQ","FILING_STATUS=MR","SCALING_FORMAT=MLN","Sort=A","Dates=H","DateFormat=P","Fill=—","Direction=H","UseDPDF=Y")</f>
        <v>93.8</v>
      </c>
      <c r="R33" s="13">
        <f>_xll.BDH("NBIX US Equity","OTHER_NONCURRENT_ASSETS_DETAILED","FQ3 2022","FQ3 2022","Currency=USD","Period=FQ","BEST_FPERIOD_OVERRIDE=FQ","FILING_STATUS=MR","SCALING_FORMAT=MLN","Sort=A","Dates=H","DateFormat=P","Fill=—","Direction=H","UseDPDF=Y")</f>
        <v>105.4</v>
      </c>
      <c r="S33" s="13">
        <f>_xll.BDH("NBIX US Equity","OTHER_NONCURRENT_ASSETS_DETAILED","FQ4 2022","FQ4 2022","Currency=USD","Period=FQ","BEST_FPERIOD_OVERRIDE=FQ","FILING_STATUS=MR","SCALING_FORMAT=MLN","Sort=A","Dates=H","DateFormat=P","Fill=—","Direction=H","UseDPDF=Y")</f>
        <v>127.1</v>
      </c>
      <c r="T33" s="13">
        <f>_xll.BDH("NBIX US Equity","OTHER_NONCURRENT_ASSETS_DETAILED","FQ1 2023","FQ1 2023","Currency=USD","Period=FQ","BEST_FPERIOD_OVERRIDE=FQ","FILING_STATUS=MR","SCALING_FORMAT=MLN","Sort=A","Dates=H","DateFormat=P","Fill=—","Direction=H","UseDPDF=Y")</f>
        <v>160.6</v>
      </c>
      <c r="U33" s="13">
        <f>_xll.BDH("NBIX US Equity","OTHER_NONCURRENT_ASSETS_DETAILED","FQ2 2023","FQ2 2023","Currency=USD","Period=FQ","BEST_FPERIOD_OVERRIDE=FQ","FILING_STATUS=MR","SCALING_FORMAT=MLN","Sort=A","Dates=H","DateFormat=P","Fill=—","Direction=H","UseDPDF=Y")</f>
        <v>208.9</v>
      </c>
      <c r="V33" s="13">
        <f>_xll.BDH("NBIX US Equity","OTHER_NONCURRENT_ASSETS_DETAILED","FQ3 2023","FQ3 2023","Currency=USD","Period=FQ","BEST_FPERIOD_OVERRIDE=FQ","FILING_STATUS=MR","SCALING_FORMAT=MLN","Sort=A","Dates=H","DateFormat=P","Fill=—","Direction=H","UseDPDF=Y")</f>
        <v>175.9</v>
      </c>
      <c r="W33" s="13">
        <f>_xll.BDH("NBIX US Equity","OTHER_NONCURRENT_ASSETS_DETAILED","FQ4 2023","FQ4 2023","Currency=USD","Period=FQ","BEST_FPERIOD_OVERRIDE=FQ","FILING_STATUS=MR","SCALING_FORMAT=MLN","Sort=A","Dates=H","DateFormat=P","Fill=—","Direction=H","UseDPDF=Y")</f>
        <v>211.5</v>
      </c>
      <c r="X33" s="13">
        <f>_xll.BDH("NBIX US Equity","OTHER_NONCURRENT_ASSETS_DETAILED","FQ1 2024","FQ1 2024","Currency=USD","Period=FQ","BEST_FPERIOD_OVERRIDE=FQ","FILING_STATUS=MR","SCALING_FORMAT=MLN","Sort=A","Dates=H","DateFormat=P","Fill=—","Direction=H","UseDPDF=Y")</f>
        <v>214.4</v>
      </c>
      <c r="Y33" s="13">
        <f>_xll.BDH("NBIX US Equity","OTHER_NONCURRENT_ASSETS_DETAILED","FQ2 2024","FQ2 2024","Currency=USD","Period=FQ","BEST_FPERIOD_OVERRIDE=FQ","FILING_STATUS=MR","SCALING_FORMAT=MLN","Sort=A","Dates=H","DateFormat=P","Fill=—","Direction=H","UseDPDF=Y")</f>
        <v>201.4</v>
      </c>
      <c r="Z33" s="13">
        <f>_xll.BDH("NBIX US Equity","OTHER_NONCURRENT_ASSETS_DETAILED","FQ3 2024","FQ3 2024","Currency=USD","Period=FQ","BEST_FPERIOD_OVERRIDE=FQ","FILING_STATUS=MR","SCALING_FORMAT=MLN","Sort=A","Dates=H","DateFormat=P","Fill=—","Direction=H","UseDPDF=Y")</f>
        <v>188.3</v>
      </c>
      <c r="AA33" s="13">
        <f>_xll.BDH("NBIX US Equity","OTHER_NONCURRENT_ASSETS_DETAILED","FQ4 2024","FQ4 2024","Currency=USD","Period=FQ","BEST_FPERIOD_OVERRIDE=FQ","FILING_STATUS=MR","SCALING_FORMAT=MLN","Sort=A","Dates=H","DateFormat=P","Fill=—","Direction=H","UseDPDF=Y")</f>
        <v>140.30000000000001</v>
      </c>
    </row>
    <row r="34" spans="1:27" x14ac:dyDescent="0.25">
      <c r="A34" s="6" t="s">
        <v>717</v>
      </c>
      <c r="B34" s="6" t="s">
        <v>718</v>
      </c>
      <c r="C34" s="19">
        <f>_xll.BDH("NBIX US Equity","BS_TOT_NON_CUR_ASSET","FQ4 2018","FQ4 2018","Currency=USD","Period=FQ","BEST_FPERIOD_OVERRIDE=FQ","FILING_STATUS=MR","SCALING_FORMAT=MLN","Sort=A","Dates=H","DateFormat=P","Fill=—","Direction=H","UseDPDF=Y")</f>
        <v>255.374</v>
      </c>
      <c r="D34" s="19">
        <f>_xll.BDH("NBIX US Equity","BS_TOT_NON_CUR_ASSET","FQ1 2019","FQ1 2019","Currency=USD","Period=FQ","BEST_FPERIOD_OVERRIDE=FQ","FILING_STATUS=MR","SCALING_FORMAT=MLN","Sort=A","Dates=H","DateFormat=P","Fill=—","Direction=H","UseDPDF=Y")</f>
        <v>324.53100000000001</v>
      </c>
      <c r="E34" s="19">
        <f>_xll.BDH("NBIX US Equity","BS_TOT_NON_CUR_ASSET","FQ2 2019","FQ2 2019","Currency=USD","Period=FQ","BEST_FPERIOD_OVERRIDE=FQ","FILING_STATUS=MR","SCALING_FORMAT=MLN","Sort=A","Dates=H","DateFormat=P","Fill=—","Direction=H","UseDPDF=Y")</f>
        <v>318.053</v>
      </c>
      <c r="F34" s="19">
        <f>_xll.BDH("NBIX US Equity","BS_TOT_NON_CUR_ASSET","FQ3 2019","FQ3 2019","Currency=USD","Period=FQ","BEST_FPERIOD_OVERRIDE=FQ","FILING_STATUS=MR","SCALING_FORMAT=MLN","Sort=A","Dates=H","DateFormat=P","Fill=—","Direction=H","UseDPDF=Y")</f>
        <v>360.70299999999997</v>
      </c>
      <c r="G34" s="19">
        <f>_xll.BDH("NBIX US Equity","BS_TOT_NON_CUR_ASSET","FQ4 2019","FQ4 2019","Currency=USD","Period=FQ","BEST_FPERIOD_OVERRIDE=FQ","FILING_STATUS=MR","SCALING_FORMAT=MLN","Sort=A","Dates=H","DateFormat=P","Fill=—","Direction=H","UseDPDF=Y")</f>
        <v>475</v>
      </c>
      <c r="H34" s="19">
        <f>_xll.BDH("NBIX US Equity","BS_TOT_NON_CUR_ASSET","FQ1 2020","FQ1 2020","Currency=USD","Period=FQ","BEST_FPERIOD_OVERRIDE=FQ","FILING_STATUS=MR","SCALING_FORMAT=MLN","Sort=A","Dates=H","DateFormat=P","Fill=—","Direction=H","UseDPDF=Y")</f>
        <v>393.7</v>
      </c>
      <c r="I34" s="19">
        <f>_xll.BDH("NBIX US Equity","BS_TOT_NON_CUR_ASSET","FQ2 2020","FQ2 2020","Currency=USD","Period=FQ","BEST_FPERIOD_OVERRIDE=FQ","FILING_STATUS=MR","SCALING_FORMAT=MLN","Sort=A","Dates=H","DateFormat=P","Fill=—","Direction=H","UseDPDF=Y")</f>
        <v>369.4</v>
      </c>
      <c r="J34" s="19">
        <f>_xll.BDH("NBIX US Equity","BS_TOT_NON_CUR_ASSET","FQ3 2020","FQ3 2020","Currency=USD","Period=FQ","BEST_FPERIOD_OVERRIDE=FQ","FILING_STATUS=MR","SCALING_FORMAT=MLN","Sort=A","Dates=H","DateFormat=P","Fill=—","Direction=H","UseDPDF=Y")</f>
        <v>345.7</v>
      </c>
      <c r="K34" s="19">
        <f>_xll.BDH("NBIX US Equity","BS_TOT_NON_CUR_ASSET","FQ4 2020","FQ4 2020","Currency=USD","Period=FQ","BEST_FPERIOD_OVERRIDE=FQ","FILING_STATUS=MR","SCALING_FORMAT=MLN","Sort=A","Dates=H","DateFormat=P","Fill=—","Direction=H","UseDPDF=Y")</f>
        <v>718.5</v>
      </c>
      <c r="L34" s="19">
        <f>_xll.BDH("NBIX US Equity","BS_TOT_NON_CUR_ASSET","FQ1 2021","FQ1 2021","Currency=USD","Period=FQ","BEST_FPERIOD_OVERRIDE=FQ","FILING_STATUS=MR","SCALING_FORMAT=MLN","Sort=A","Dates=H","DateFormat=P","Fill=—","Direction=H","UseDPDF=Y")</f>
        <v>761</v>
      </c>
      <c r="M34" s="19">
        <f>_xll.BDH("NBIX US Equity","BS_TOT_NON_CUR_ASSET","FQ2 2021","FQ2 2021","Currency=USD","Period=FQ","BEST_FPERIOD_OVERRIDE=FQ","FILING_STATUS=MR","SCALING_FORMAT=MLN","Sort=A","Dates=H","DateFormat=P","Fill=—","Direction=H","UseDPDF=Y")</f>
        <v>846.3</v>
      </c>
      <c r="N34" s="19">
        <f>_xll.BDH("NBIX US Equity","BS_TOT_NON_CUR_ASSET","FQ3 2021","FQ3 2021","Currency=USD","Period=FQ","BEST_FPERIOD_OVERRIDE=FQ","FILING_STATUS=MR","SCALING_FORMAT=MLN","Sort=A","Dates=H","DateFormat=P","Fill=—","Direction=H","UseDPDF=Y")</f>
        <v>1011.6</v>
      </c>
      <c r="O34" s="19">
        <f>_xll.BDH("NBIX US Equity","BS_TOT_NON_CUR_ASSET","FQ4 2021","FQ4 2021","Currency=USD","Period=FQ","BEST_FPERIOD_OVERRIDE=FQ","FILING_STATUS=MR","SCALING_FORMAT=MLN","Sort=A","Dates=H","DateFormat=P","Fill=—","Direction=H","UseDPDF=Y")</f>
        <v>1099.7</v>
      </c>
      <c r="P34" s="19">
        <f>_xll.BDH("NBIX US Equity","BS_TOT_NON_CUR_ASSET","FQ1 2022","FQ1 2022","Currency=USD","Period=FQ","BEST_FPERIOD_OVERRIDE=FQ","FILING_STATUS=MR","SCALING_FORMAT=MLN","Sort=A","Dates=H","DateFormat=P","Fill=—","Direction=H","UseDPDF=Y")</f>
        <v>1126.3</v>
      </c>
      <c r="Q34" s="19">
        <f>_xll.BDH("NBIX US Equity","BS_TOT_NON_CUR_ASSET","FQ2 2022","FQ2 2022","Currency=USD","Period=FQ","BEST_FPERIOD_OVERRIDE=FQ","FILING_STATUS=MR","SCALING_FORMAT=MLN","Sort=A","Dates=H","DateFormat=P","Fill=—","Direction=H","UseDPDF=Y")</f>
        <v>986.4</v>
      </c>
      <c r="R34" s="19">
        <f>_xll.BDH("NBIX US Equity","BS_TOT_NON_CUR_ASSET","FQ3 2022","FQ3 2022","Currency=USD","Period=FQ","BEST_FPERIOD_OVERRIDE=FQ","FILING_STATUS=MR","SCALING_FORMAT=MLN","Sort=A","Dates=H","DateFormat=P","Fill=—","Direction=H","UseDPDF=Y")</f>
        <v>937.9</v>
      </c>
      <c r="S34" s="19">
        <f>_xll.BDH("NBIX US Equity","BS_TOT_NON_CUR_ASSET","FQ4 2022","FQ4 2022","Currency=USD","Period=FQ","BEST_FPERIOD_OVERRIDE=FQ","FILING_STATUS=MR","SCALING_FORMAT=MLN","Sort=A","Dates=H","DateFormat=P","Fill=—","Direction=H","UseDPDF=Y")</f>
        <v>915.2</v>
      </c>
      <c r="T34" s="19">
        <f>_xll.BDH("NBIX US Equity","BS_TOT_NON_CUR_ASSET","FQ1 2023","FQ1 2023","Currency=USD","Period=FQ","BEST_FPERIOD_OVERRIDE=FQ","FILING_STATUS=MR","SCALING_FORMAT=MLN","Sort=A","Dates=H","DateFormat=P","Fill=—","Direction=H","UseDPDF=Y")</f>
        <v>927</v>
      </c>
      <c r="U34" s="19">
        <f>_xll.BDH("NBIX US Equity","BS_TOT_NON_CUR_ASSET","FQ2 2023","FQ2 2023","Currency=USD","Period=FQ","BEST_FPERIOD_OVERRIDE=FQ","FILING_STATUS=MR","SCALING_FORMAT=MLN","Sort=A","Dates=H","DateFormat=P","Fill=—","Direction=H","UseDPDF=Y")</f>
        <v>1116.5</v>
      </c>
      <c r="V34" s="19">
        <f>_xll.BDH("NBIX US Equity","BS_TOT_NON_CUR_ASSET","FQ3 2023","FQ3 2023","Currency=USD","Period=FQ","BEST_FPERIOD_OVERRIDE=FQ","FILING_STATUS=MR","SCALING_FORMAT=MLN","Sort=A","Dates=H","DateFormat=P","Fill=—","Direction=H","UseDPDF=Y")</f>
        <v>1198.3</v>
      </c>
      <c r="W34" s="19">
        <f>_xll.BDH("NBIX US Equity","BS_TOT_NON_CUR_ASSET","FQ4 2023","FQ4 2023","Currency=USD","Period=FQ","BEST_FPERIOD_OVERRIDE=FQ","FILING_STATUS=MR","SCALING_FORMAT=MLN","Sort=A","Dates=H","DateFormat=P","Fill=—","Direction=H","UseDPDF=Y")</f>
        <v>1644.4</v>
      </c>
      <c r="X34" s="19">
        <f>_xll.BDH("NBIX US Equity","BS_TOT_NON_CUR_ASSET","FQ1 2024","FQ1 2024","Currency=USD","Period=FQ","BEST_FPERIOD_OVERRIDE=FQ","FILING_STATUS=MR","SCALING_FORMAT=MLN","Sort=A","Dates=H","DateFormat=P","Fill=—","Direction=H","UseDPDF=Y")</f>
        <v>1673.4</v>
      </c>
      <c r="Y34" s="19">
        <f>_xll.BDH("NBIX US Equity","BS_TOT_NON_CUR_ASSET","FQ2 2024","FQ2 2024","Currency=USD","Period=FQ","BEST_FPERIOD_OVERRIDE=FQ","FILING_STATUS=MR","SCALING_FORMAT=MLN","Sort=A","Dates=H","DateFormat=P","Fill=—","Direction=H","UseDPDF=Y")</f>
        <v>1635.2</v>
      </c>
      <c r="Z34" s="19">
        <f>_xll.BDH("NBIX US Equity","BS_TOT_NON_CUR_ASSET","FQ3 2024","FQ3 2024","Currency=USD","Period=FQ","BEST_FPERIOD_OVERRIDE=FQ","FILING_STATUS=MR","SCALING_FORMAT=MLN","Sort=A","Dates=H","DateFormat=P","Fill=—","Direction=H","UseDPDF=Y")</f>
        <v>1658.4</v>
      </c>
      <c r="AA34" s="19">
        <f>_xll.BDH("NBIX US Equity","BS_TOT_NON_CUR_ASSET","FQ4 2024","FQ4 2024","Currency=USD","Period=FQ","BEST_FPERIOD_OVERRIDE=FQ","FILING_STATUS=MR","SCALING_FORMAT=MLN","Sort=A","Dates=H","DateFormat=P","Fill=—","Direction=H","UseDPDF=Y")</f>
        <v>1994</v>
      </c>
    </row>
    <row r="35" spans="1:27" x14ac:dyDescent="0.25">
      <c r="A35" s="6" t="s">
        <v>112</v>
      </c>
      <c r="B35" s="6" t="s">
        <v>113</v>
      </c>
      <c r="C35" s="19">
        <f>_xll.BDH("NBIX US Equity","BS_TOT_ASSET","FQ4 2018","FQ4 2018","Currency=USD","Period=FQ","BEST_FPERIOD_OVERRIDE=FQ","FILING_STATUS=MR","SCALING_FORMAT=MLN","Sort=A","Dates=H","DateFormat=P","Fill=—","Direction=H","UseDPDF=Y")</f>
        <v>993.15099999999995</v>
      </c>
      <c r="D35" s="19">
        <f>_xll.BDH("NBIX US Equity","BS_TOT_ASSET","FQ1 2019","FQ1 2019","Currency=USD","Period=FQ","BEST_FPERIOD_OVERRIDE=FQ","FILING_STATUS=MR","SCALING_FORMAT=MLN","Sort=A","Dates=H","DateFormat=P","Fill=—","Direction=H","UseDPDF=Y")</f>
        <v>957.72299999999996</v>
      </c>
      <c r="E35" s="19">
        <f>_xll.BDH("NBIX US Equity","BS_TOT_ASSET","FQ2 2019","FQ2 2019","Currency=USD","Period=FQ","BEST_FPERIOD_OVERRIDE=FQ","FILING_STATUS=MR","SCALING_FORMAT=MLN","Sort=A","Dates=H","DateFormat=P","Fill=—","Direction=H","UseDPDF=Y")</f>
        <v>1066.8610000000001</v>
      </c>
      <c r="F35" s="19">
        <f>_xll.BDH("NBIX US Equity","BS_TOT_ASSET","FQ3 2019","FQ3 2019","Currency=USD","Period=FQ","BEST_FPERIOD_OVERRIDE=FQ","FILING_STATUS=MR","SCALING_FORMAT=MLN","Sort=A","Dates=H","DateFormat=P","Fill=—","Direction=H","UseDPDF=Y")</f>
        <v>1179.9349999999999</v>
      </c>
      <c r="G35" s="19">
        <f>_xll.BDH("NBIX US Equity","BS_TOT_ASSET","FQ4 2019","FQ4 2019","Currency=USD","Period=FQ","BEST_FPERIOD_OVERRIDE=FQ","FILING_STATUS=MR","SCALING_FORMAT=MLN","Sort=A","Dates=H","DateFormat=P","Fill=—","Direction=H","UseDPDF=Y")</f>
        <v>1306</v>
      </c>
      <c r="H35" s="19">
        <f>_xll.BDH("NBIX US Equity","BS_TOT_ASSET","FQ1 2020","FQ1 2020","Currency=USD","Period=FQ","BEST_FPERIOD_OVERRIDE=FQ","FILING_STATUS=MR","SCALING_FORMAT=MLN","Sort=A","Dates=H","DateFormat=P","Fill=—","Direction=H","UseDPDF=Y")</f>
        <v>1361.9</v>
      </c>
      <c r="I35" s="19">
        <f>_xll.BDH("NBIX US Equity","BS_TOT_ASSET","FQ2 2020","FQ2 2020","Currency=USD","Period=FQ","BEST_FPERIOD_OVERRIDE=FQ","FILING_STATUS=MR","SCALING_FORMAT=MLN","Sort=A","Dates=H","DateFormat=P","Fill=—","Direction=H","UseDPDF=Y")</f>
        <v>1515.6</v>
      </c>
      <c r="J35" s="19">
        <f>_xll.BDH("NBIX US Equity","BS_TOT_ASSET","FQ3 2020","FQ3 2020","Currency=USD","Period=FQ","BEST_FPERIOD_OVERRIDE=FQ","FILING_STATUS=MR","SCALING_FORMAT=MLN","Sort=A","Dates=H","DateFormat=P","Fill=—","Direction=H","UseDPDF=Y")</f>
        <v>1502.6</v>
      </c>
      <c r="K35" s="19">
        <f>_xll.BDH("NBIX US Equity","BS_TOT_ASSET","FQ4 2020","FQ4 2020","Currency=USD","Period=FQ","BEST_FPERIOD_OVERRIDE=FQ","FILING_STATUS=MR","SCALING_FORMAT=MLN","Sort=A","Dates=H","DateFormat=P","Fill=—","Direction=H","UseDPDF=Y")</f>
        <v>1734.7</v>
      </c>
      <c r="L35" s="19">
        <f>_xll.BDH("NBIX US Equity","BS_TOT_ASSET","FQ1 2021","FQ1 2021","Currency=USD","Period=FQ","BEST_FPERIOD_OVERRIDE=FQ","FILING_STATUS=MR","SCALING_FORMAT=MLN","Sort=A","Dates=H","DateFormat=P","Fill=—","Direction=H","UseDPDF=Y")</f>
        <v>1846.4</v>
      </c>
      <c r="M35" s="19">
        <f>_xll.BDH("NBIX US Equity","BS_TOT_ASSET","FQ2 2021","FQ2 2021","Currency=USD","Period=FQ","BEST_FPERIOD_OVERRIDE=FQ","FILING_STATUS=MR","SCALING_FORMAT=MLN","Sort=A","Dates=H","DateFormat=P","Fill=—","Direction=H","UseDPDF=Y")</f>
        <v>1956.4</v>
      </c>
      <c r="N35" s="19">
        <f>_xll.BDH("NBIX US Equity","BS_TOT_ASSET","FQ3 2021","FQ3 2021","Currency=USD","Period=FQ","BEST_FPERIOD_OVERRIDE=FQ","FILING_STATUS=MR","SCALING_FORMAT=MLN","Sort=A","Dates=H","DateFormat=P","Fill=—","Direction=H","UseDPDF=Y")</f>
        <v>2017.3</v>
      </c>
      <c r="O35" s="19">
        <f>_xll.BDH("NBIX US Equity","BS_TOT_ASSET","FQ4 2021","FQ4 2021","Currency=USD","Period=FQ","BEST_FPERIOD_OVERRIDE=FQ","FILING_STATUS=MR","SCALING_FORMAT=MLN","Sort=A","Dates=H","DateFormat=P","Fill=—","Direction=H","UseDPDF=Y")</f>
        <v>2072.5</v>
      </c>
      <c r="P35" s="19">
        <f>_xll.BDH("NBIX US Equity","BS_TOT_ASSET","FQ1 2022","FQ1 2022","Currency=USD","Period=FQ","BEST_FPERIOD_OVERRIDE=FQ","FILING_STATUS=MR","SCALING_FORMAT=MLN","Sort=A","Dates=H","DateFormat=P","Fill=—","Direction=H","UseDPDF=Y")</f>
        <v>2144.5</v>
      </c>
      <c r="Q35" s="19">
        <f>_xll.BDH("NBIX US Equity","BS_TOT_ASSET","FQ2 2022","FQ2 2022","Currency=USD","Period=FQ","BEST_FPERIOD_OVERRIDE=FQ","FILING_STATUS=MR","SCALING_FORMAT=MLN","Sort=A","Dates=H","DateFormat=P","Fill=—","Direction=H","UseDPDF=Y")</f>
        <v>2005.7</v>
      </c>
      <c r="R35" s="19">
        <f>_xll.BDH("NBIX US Equity","BS_TOT_ASSET","FQ3 2022","FQ3 2022","Currency=USD","Period=FQ","BEST_FPERIOD_OVERRIDE=FQ","FILING_STATUS=MR","SCALING_FORMAT=MLN","Sort=A","Dates=H","DateFormat=P","Fill=—","Direction=H","UseDPDF=Y")</f>
        <v>2143.4</v>
      </c>
      <c r="S35" s="19">
        <f>_xll.BDH("NBIX US Equity","BS_TOT_ASSET","FQ4 2022","FQ4 2022","Currency=USD","Period=FQ","BEST_FPERIOD_OVERRIDE=FQ","FILING_STATUS=MR","SCALING_FORMAT=MLN","Sort=A","Dates=H","DateFormat=P","Fill=—","Direction=H","UseDPDF=Y")</f>
        <v>2368.6999999999998</v>
      </c>
      <c r="T35" s="19">
        <f>_xll.BDH("NBIX US Equity","BS_TOT_ASSET","FQ1 2023","FQ1 2023","Currency=USD","Period=FQ","BEST_FPERIOD_OVERRIDE=FQ","FILING_STATUS=MR","SCALING_FORMAT=MLN","Sort=A","Dates=H","DateFormat=P","Fill=—","Direction=H","UseDPDF=Y")</f>
        <v>2359.8000000000002</v>
      </c>
      <c r="U35" s="19">
        <f>_xll.BDH("NBIX US Equity","BS_TOT_ASSET","FQ2 2023","FQ2 2023","Currency=USD","Period=FQ","BEST_FPERIOD_OVERRIDE=FQ","FILING_STATUS=MR","SCALING_FORMAT=MLN","Sort=A","Dates=H","DateFormat=P","Fill=—","Direction=H","UseDPDF=Y")</f>
        <v>2613.1</v>
      </c>
      <c r="V35" s="19">
        <f>_xll.BDH("NBIX US Equity","BS_TOT_ASSET","FQ3 2023","FQ3 2023","Currency=USD","Period=FQ","BEST_FPERIOD_OVERRIDE=FQ","FILING_STATUS=MR","SCALING_FORMAT=MLN","Sort=A","Dates=H","DateFormat=P","Fill=—","Direction=H","UseDPDF=Y")</f>
        <v>2848.2</v>
      </c>
      <c r="W35" s="19">
        <f>_xll.BDH("NBIX US Equity","BS_TOT_ASSET","FQ4 2023","FQ4 2023","Currency=USD","Period=FQ","BEST_FPERIOD_OVERRIDE=FQ","FILING_STATUS=MR","SCALING_FORMAT=MLN","Sort=A","Dates=H","DateFormat=P","Fill=—","Direction=H","UseDPDF=Y")</f>
        <v>3251.4</v>
      </c>
      <c r="X35" s="19">
        <f>_xll.BDH("NBIX US Equity","BS_TOT_ASSET","FQ1 2024","FQ1 2024","Currency=USD","Period=FQ","BEST_FPERIOD_OVERRIDE=FQ","FILING_STATUS=MR","SCALING_FORMAT=MLN","Sort=A","Dates=H","DateFormat=P","Fill=—","Direction=H","UseDPDF=Y")</f>
        <v>3472.4</v>
      </c>
      <c r="Y35" s="19">
        <f>_xll.BDH("NBIX US Equity","BS_TOT_ASSET","FQ2 2024","FQ2 2024","Currency=USD","Period=FQ","BEST_FPERIOD_OVERRIDE=FQ","FILING_STATUS=MR","SCALING_FORMAT=MLN","Sort=A","Dates=H","DateFormat=P","Fill=—","Direction=H","UseDPDF=Y")</f>
        <v>3305</v>
      </c>
      <c r="Z35" s="19">
        <f>_xll.BDH("NBIX US Equity","BS_TOT_ASSET","FQ3 2024","FQ3 2024","Currency=USD","Period=FQ","BEST_FPERIOD_OVERRIDE=FQ","FILING_STATUS=MR","SCALING_FORMAT=MLN","Sort=A","Dates=H","DateFormat=P","Fill=—","Direction=H","UseDPDF=Y")</f>
        <v>3535</v>
      </c>
      <c r="AA35" s="19">
        <f>_xll.BDH("NBIX US Equity","BS_TOT_ASSET","FQ4 2024","FQ4 2024","Currency=USD","Period=FQ","BEST_FPERIOD_OVERRIDE=FQ","FILING_STATUS=MR","SCALING_FORMAT=MLN","Sort=A","Dates=H","DateFormat=P","Fill=—","Direction=H","UseDPDF=Y")</f>
        <v>3718.7</v>
      </c>
    </row>
    <row r="36" spans="1:27" x14ac:dyDescent="0.25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6" t="s">
        <v>719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10" t="s">
        <v>720</v>
      </c>
      <c r="B38" s="10" t="s">
        <v>721</v>
      </c>
      <c r="C38" s="13">
        <f>_xll.BDH("NBIX US Equity","ACCT_PAYABLE_ACCRUALS_DETAILED","FQ4 2018","FQ4 2018","Currency=USD","Period=FQ","BEST_FPERIOD_OVERRIDE=FQ","FILING_STATUS=MR","SCALING_FORMAT=MLN","Sort=A","Dates=H","DateFormat=P","Fill=—","Direction=H","UseDPDF=Y")</f>
        <v>48.210999999999999</v>
      </c>
      <c r="D38" s="13">
        <f>_xll.BDH("NBIX US Equity","ACCT_PAYABLE_ACCRUALS_DETAILED","FQ1 2019","FQ1 2019","Currency=USD","Period=FQ","BEST_FPERIOD_OVERRIDE=FQ","FILING_STATUS=MR","SCALING_FORMAT=MLN","Sort=A","Dates=H","DateFormat=P","Fill=—","Direction=H","UseDPDF=Y")</f>
        <v>68.28</v>
      </c>
      <c r="E38" s="13">
        <f>_xll.BDH("NBIX US Equity","ACCT_PAYABLE_ACCRUALS_DETAILED","FQ2 2019","FQ2 2019","Currency=USD","Period=FQ","BEST_FPERIOD_OVERRIDE=FQ","FILING_STATUS=MR","SCALING_FORMAT=MLN","Sort=A","Dates=H","DateFormat=P","Fill=—","Direction=H","UseDPDF=Y")</f>
        <v>95.027000000000001</v>
      </c>
      <c r="F38" s="13">
        <f>_xll.BDH("NBIX US Equity","ACCT_PAYABLE_ACCRUALS_DETAILED","FQ3 2019","FQ3 2019","Currency=USD","Period=FQ","BEST_FPERIOD_OVERRIDE=FQ","FILING_STATUS=MR","SCALING_FORMAT=MLN","Sort=A","Dates=H","DateFormat=P","Fill=—","Direction=H","UseDPDF=Y")</f>
        <v>102.357</v>
      </c>
      <c r="G38" s="13">
        <f>_xll.BDH("NBIX US Equity","ACCT_PAYABLE_ACCRUALS_DETAILED","FQ4 2019","FQ4 2019","Currency=USD","Period=FQ","BEST_FPERIOD_OVERRIDE=FQ","FILING_STATUS=MR","SCALING_FORMAT=MLN","Sort=A","Dates=H","DateFormat=P","Fill=—","Direction=H","UseDPDF=Y")</f>
        <v>99.9</v>
      </c>
      <c r="H38" s="13">
        <f>_xll.BDH("NBIX US Equity","ACCT_PAYABLE_ACCRUALS_DETAILED","FQ1 2020","FQ1 2020","Currency=USD","Period=FQ","BEST_FPERIOD_OVERRIDE=FQ","FILING_STATUS=MR","SCALING_FORMAT=MLN","Sort=A","Dates=H","DateFormat=P","Fill=—","Direction=H","UseDPDF=Y")</f>
        <v>125.9</v>
      </c>
      <c r="I38" s="13">
        <f>_xll.BDH("NBIX US Equity","ACCT_PAYABLE_ACCRUALS_DETAILED","FQ2 2020","FQ2 2020","Currency=USD","Period=FQ","BEST_FPERIOD_OVERRIDE=FQ","FILING_STATUS=MR","SCALING_FORMAT=MLN","Sort=A","Dates=H","DateFormat=P","Fill=—","Direction=H","UseDPDF=Y")</f>
        <v>137.1</v>
      </c>
      <c r="J38" s="13">
        <f>_xll.BDH("NBIX US Equity","ACCT_PAYABLE_ACCRUALS_DETAILED","FQ3 2020","FQ3 2020","Currency=USD","Period=FQ","BEST_FPERIOD_OVERRIDE=FQ","FILING_STATUS=MR","SCALING_FORMAT=MLN","Sort=A","Dates=H","DateFormat=P","Fill=—","Direction=H","UseDPDF=Y")</f>
        <v>170.5</v>
      </c>
      <c r="K38" s="13">
        <f>_xll.BDH("NBIX US Equity","ACCT_PAYABLE_ACCRUALS_DETAILED","FQ4 2020","FQ4 2020","Currency=USD","Period=FQ","BEST_FPERIOD_OVERRIDE=FQ","FILING_STATUS=MR","SCALING_FORMAT=MLN","Sort=A","Dates=H","DateFormat=P","Fill=—","Direction=H","UseDPDF=Y")</f>
        <v>129.30000000000001</v>
      </c>
      <c r="L38" s="13">
        <f>_xll.BDH("NBIX US Equity","ACCT_PAYABLE_ACCRUALS_DETAILED","FQ1 2021","FQ1 2021","Currency=USD","Period=FQ","BEST_FPERIOD_OVERRIDE=FQ","FILING_STATUS=MR","SCALING_FORMAT=MLN","Sort=A","Dates=H","DateFormat=P","Fill=—","Direction=H","UseDPDF=Y")</f>
        <v>171.9</v>
      </c>
      <c r="M38" s="13">
        <f>_xll.BDH("NBIX US Equity","ACCT_PAYABLE_ACCRUALS_DETAILED","FQ2 2021","FQ2 2021","Currency=USD","Period=FQ","BEST_FPERIOD_OVERRIDE=FQ","FILING_STATUS=MR","SCALING_FORMAT=MLN","Sort=A","Dates=H","DateFormat=P","Fill=—","Direction=H","UseDPDF=Y")</f>
        <v>190.9</v>
      </c>
      <c r="N38" s="13">
        <f>_xll.BDH("NBIX US Equity","ACCT_PAYABLE_ACCRUALS_DETAILED","FQ3 2021","FQ3 2021","Currency=USD","Period=FQ","BEST_FPERIOD_OVERRIDE=FQ","FILING_STATUS=MR","SCALING_FORMAT=MLN","Sort=A","Dates=H","DateFormat=P","Fill=—","Direction=H","UseDPDF=Y")</f>
        <v>205.9</v>
      </c>
      <c r="O38" s="13">
        <f>_xll.BDH("NBIX US Equity","ACCT_PAYABLE_ACCRUALS_DETAILED","FQ4 2021","FQ4 2021","Currency=USD","Period=FQ","BEST_FPERIOD_OVERRIDE=FQ","FILING_STATUS=MR","SCALING_FORMAT=MLN","Sort=A","Dates=H","DateFormat=P","Fill=—","Direction=H","UseDPDF=Y")</f>
        <v>174.3</v>
      </c>
      <c r="P38" s="13">
        <f>_xll.BDH("NBIX US Equity","ACCT_PAYABLE_ACCRUALS_DETAILED","FQ1 2022","FQ1 2022","Currency=USD","Period=FQ","BEST_FPERIOD_OVERRIDE=FQ","FILING_STATUS=MR","SCALING_FORMAT=MLN","Sort=A","Dates=H","DateFormat=P","Fill=—","Direction=H","UseDPDF=Y")</f>
        <v>235.9</v>
      </c>
      <c r="Q38" s="13">
        <f>_xll.BDH("NBIX US Equity","ACCT_PAYABLE_ACCRUALS_DETAILED","FQ2 2022","FQ2 2022","Currency=USD","Period=FQ","BEST_FPERIOD_OVERRIDE=FQ","FILING_STATUS=MR","SCALING_FORMAT=MLN","Sort=A","Dates=H","DateFormat=P","Fill=—","Direction=H","UseDPDF=Y")</f>
        <v>265.7</v>
      </c>
      <c r="R38" s="13">
        <f>_xll.BDH("NBIX US Equity","ACCT_PAYABLE_ACCRUALS_DETAILED","FQ3 2022","FQ3 2022","Currency=USD","Period=FQ","BEST_FPERIOD_OVERRIDE=FQ","FILING_STATUS=MR","SCALING_FORMAT=MLN","Sort=A","Dates=H","DateFormat=P","Fill=—","Direction=H","UseDPDF=Y")</f>
        <v>297.8</v>
      </c>
      <c r="S38" s="13">
        <f>_xll.BDH("NBIX US Equity","ACCT_PAYABLE_ACCRUALS_DETAILED","FQ4 2022","FQ4 2022","Currency=USD","Period=FQ","BEST_FPERIOD_OVERRIDE=FQ","FILING_STATUS=MR","SCALING_FORMAT=MLN","Sort=A","Dates=H","DateFormat=P","Fill=—","Direction=H","UseDPDF=Y")</f>
        <v>271.3</v>
      </c>
      <c r="T38" s="13">
        <f>_xll.BDH("NBIX US Equity","ACCT_PAYABLE_ACCRUALS_DETAILED","FQ1 2023","FQ1 2023","Currency=USD","Period=FQ","BEST_FPERIOD_OVERRIDE=FQ","FILING_STATUS=MR","SCALING_FORMAT=MLN","Sort=A","Dates=H","DateFormat=P","Fill=—","Direction=H","UseDPDF=Y")</f>
        <v>355.7</v>
      </c>
      <c r="U38" s="13">
        <f>_xll.BDH("NBIX US Equity","ACCT_PAYABLE_ACCRUALS_DETAILED","FQ2 2023","FQ2 2023","Currency=USD","Period=FQ","BEST_FPERIOD_OVERRIDE=FQ","FILING_STATUS=MR","SCALING_FORMAT=MLN","Sort=A","Dates=H","DateFormat=P","Fill=—","Direction=H","UseDPDF=Y")</f>
        <v>391.6</v>
      </c>
      <c r="V38" s="13">
        <f>_xll.BDH("NBIX US Equity","ACCT_PAYABLE_ACCRUALS_DETAILED","FQ3 2023","FQ3 2023","Currency=USD","Period=FQ","BEST_FPERIOD_OVERRIDE=FQ","FILING_STATUS=MR","SCALING_FORMAT=MLN","Sort=A","Dates=H","DateFormat=P","Fill=—","Direction=H","UseDPDF=Y")</f>
        <v>503</v>
      </c>
      <c r="W38" s="13">
        <f>_xll.BDH("NBIX US Equity","ACCT_PAYABLE_ACCRUALS_DETAILED","FQ4 2023","FQ4 2023","Currency=USD","Period=FQ","BEST_FPERIOD_OVERRIDE=FQ","FILING_STATUS=MR","SCALING_FORMAT=MLN","Sort=A","Dates=H","DateFormat=P","Fill=—","Direction=H","UseDPDF=Y")</f>
        <v>339.9</v>
      </c>
      <c r="X38" s="13">
        <f>_xll.BDH("NBIX US Equity","ACCT_PAYABLE_ACCRUALS_DETAILED","FQ1 2024","FQ1 2024","Currency=USD","Period=FQ","BEST_FPERIOD_OVERRIDE=FQ","FILING_STATUS=MR","SCALING_FORMAT=MLN","Sort=A","Dates=H","DateFormat=P","Fill=—","Direction=H","UseDPDF=Y")</f>
        <v>417.2</v>
      </c>
      <c r="Y38" s="13">
        <f>_xll.BDH("NBIX US Equity","ACCT_PAYABLE_ACCRUALS_DETAILED","FQ2 2024","FQ2 2024","Currency=USD","Period=FQ","BEST_FPERIOD_OVERRIDE=FQ","FILING_STATUS=MR","SCALING_FORMAT=MLN","Sort=A","Dates=H","DateFormat=P","Fill=—","Direction=H","UseDPDF=Y")</f>
        <v>358.5</v>
      </c>
      <c r="Z38" s="13">
        <f>_xll.BDH("NBIX US Equity","ACCT_PAYABLE_ACCRUALS_DETAILED","FQ3 2024","FQ3 2024","Currency=USD","Period=FQ","BEST_FPERIOD_OVERRIDE=FQ","FILING_STATUS=MR","SCALING_FORMAT=MLN","Sort=A","Dates=H","DateFormat=P","Fill=—","Direction=H","UseDPDF=Y")</f>
        <v>392.7</v>
      </c>
      <c r="AA38" s="13">
        <f>_xll.BDH("NBIX US Equity","ACCT_PAYABLE_ACCRUALS_DETAILED","FQ4 2024","FQ4 2024","Currency=USD","Period=FQ","BEST_FPERIOD_OVERRIDE=FQ","FILING_STATUS=MR","SCALING_FORMAT=MLN","Sort=A","Dates=H","DateFormat=P","Fill=—","Direction=H","UseDPDF=Y")</f>
        <v>461.6</v>
      </c>
    </row>
    <row r="39" spans="1:27" x14ac:dyDescent="0.25">
      <c r="A39" s="10" t="s">
        <v>722</v>
      </c>
      <c r="B39" s="10" t="s">
        <v>723</v>
      </c>
      <c r="C39" s="13">
        <f>_xll.BDH("NBIX US Equity","BS_ACCT_PAYABLE","FQ4 2018","FQ4 2018","Currency=USD","Period=FQ","BEST_FPERIOD_OVERRIDE=FQ","FILING_STATUS=MR","SCALING_FORMAT=MLN","Sort=A","Dates=H","DateFormat=P","Fill=—","Direction=H","UseDPDF=Y")</f>
        <v>13.801</v>
      </c>
      <c r="D39" s="13" t="str">
        <f>_xll.BDH("NBIX US Equity","BS_ACCT_PAYABLE","FQ1 2019","FQ1 2019","Currency=USD","Period=FQ","BEST_FPERIOD_OVERRIDE=FQ","FILING_STATUS=MR","SCALING_FORMAT=MLN","Sort=A","Dates=H","DateFormat=P","Fill=—","Direction=H","UseDPDF=Y")</f>
        <v>—</v>
      </c>
      <c r="E39" s="13" t="str">
        <f>_xll.BDH("NBIX US Equity","BS_ACCT_PAYABLE","FQ2 2019","FQ2 2019","Currency=USD","Period=FQ","BEST_FPERIOD_OVERRIDE=FQ","FILING_STATUS=MR","SCALING_FORMAT=MLN","Sort=A","Dates=H","DateFormat=P","Fill=—","Direction=H","UseDPDF=Y")</f>
        <v>—</v>
      </c>
      <c r="F39" s="13" t="str">
        <f>_xll.BDH("NBIX US Equity","BS_ACCT_PAYABLE","FQ3 2019","FQ3 2019","Currency=USD","Period=FQ","BEST_FPERIOD_OVERRIDE=FQ","FILING_STATUS=MR","SCALING_FORMAT=MLN","Sort=A","Dates=H","DateFormat=P","Fill=—","Direction=H","UseDPDF=Y")</f>
        <v>—</v>
      </c>
      <c r="G39" s="13">
        <f>_xll.BDH("NBIX US Equity","BS_ACCT_PAYABLE","FQ4 2019","FQ4 2019","Currency=USD","Period=FQ","BEST_FPERIOD_OVERRIDE=FQ","FILING_STATUS=MR","SCALING_FORMAT=MLN","Sort=A","Dates=H","DateFormat=P","Fill=—","Direction=H","UseDPDF=Y")</f>
        <v>30.6</v>
      </c>
      <c r="H39" s="13" t="str">
        <f>_xll.BDH("NBIX US Equity","BS_ACCT_PAYABLE","FQ1 2020","FQ1 2020","Currency=USD","Period=FQ","BEST_FPERIOD_OVERRIDE=FQ","FILING_STATUS=MR","SCALING_FORMAT=MLN","Sort=A","Dates=H","DateFormat=P","Fill=—","Direction=H","UseDPDF=Y")</f>
        <v>—</v>
      </c>
      <c r="I39" s="13" t="str">
        <f>_xll.BDH("NBIX US Equity","BS_ACCT_PAYABLE","FQ2 2020","FQ2 2020","Currency=USD","Period=FQ","BEST_FPERIOD_OVERRIDE=FQ","FILING_STATUS=MR","SCALING_FORMAT=MLN","Sort=A","Dates=H","DateFormat=P","Fill=—","Direction=H","UseDPDF=Y")</f>
        <v>—</v>
      </c>
      <c r="J39" s="13" t="str">
        <f>_xll.BDH("NBIX US Equity","BS_ACCT_PAYABLE","FQ3 2020","FQ3 2020","Currency=USD","Period=FQ","BEST_FPERIOD_OVERRIDE=FQ","FILING_STATUS=MR","SCALING_FORMAT=MLN","Sort=A","Dates=H","DateFormat=P","Fill=—","Direction=H","UseDPDF=Y")</f>
        <v>—</v>
      </c>
      <c r="K39" s="13">
        <f>_xll.BDH("NBIX US Equity","BS_ACCT_PAYABLE","FQ4 2020","FQ4 2020","Currency=USD","Period=FQ","BEST_FPERIOD_OVERRIDE=FQ","FILING_STATUS=MR","SCALING_FORMAT=MLN","Sort=A","Dates=H","DateFormat=P","Fill=—","Direction=H","UseDPDF=Y")</f>
        <v>34.6</v>
      </c>
      <c r="L39" s="13" t="str">
        <f>_xll.BDH("NBIX US Equity","BS_ACCT_PAYABLE","FQ1 2021","FQ1 2021","Currency=USD","Period=FQ","BEST_FPERIOD_OVERRIDE=FQ","FILING_STATUS=MR","SCALING_FORMAT=MLN","Sort=A","Dates=H","DateFormat=P","Fill=—","Direction=H","UseDPDF=Y")</f>
        <v>—</v>
      </c>
      <c r="M39" s="13" t="str">
        <f>_xll.BDH("NBIX US Equity","BS_ACCT_PAYABLE","FQ2 2021","FQ2 2021","Currency=USD","Period=FQ","BEST_FPERIOD_OVERRIDE=FQ","FILING_STATUS=MR","SCALING_FORMAT=MLN","Sort=A","Dates=H","DateFormat=P","Fill=—","Direction=H","UseDPDF=Y")</f>
        <v>—</v>
      </c>
      <c r="N39" s="13" t="str">
        <f>_xll.BDH("NBIX US Equity","BS_ACCT_PAYABLE","FQ3 2021","FQ3 2021","Currency=USD","Period=FQ","BEST_FPERIOD_OVERRIDE=FQ","FILING_STATUS=MR","SCALING_FORMAT=MLN","Sort=A","Dates=H","DateFormat=P","Fill=—","Direction=H","UseDPDF=Y")</f>
        <v>—</v>
      </c>
      <c r="O39" s="13">
        <f>_xll.BDH("NBIX US Equity","BS_ACCT_PAYABLE","FQ4 2021","FQ4 2021","Currency=USD","Period=FQ","BEST_FPERIOD_OVERRIDE=FQ","FILING_STATUS=MR","SCALING_FORMAT=MLN","Sort=A","Dates=H","DateFormat=P","Fill=—","Direction=H","UseDPDF=Y")</f>
        <v>62.7</v>
      </c>
      <c r="P39" s="13" t="str">
        <f>_xll.BDH("NBIX US Equity","BS_ACCT_PAYABLE","FQ1 2022","FQ1 2022","Currency=USD","Period=FQ","BEST_FPERIOD_OVERRIDE=FQ","FILING_STATUS=MR","SCALING_FORMAT=MLN","Sort=A","Dates=H","DateFormat=P","Fill=—","Direction=H","UseDPDF=Y")</f>
        <v>—</v>
      </c>
      <c r="Q39" s="13" t="str">
        <f>_xll.BDH("NBIX US Equity","BS_ACCT_PAYABLE","FQ2 2022","FQ2 2022","Currency=USD","Period=FQ","BEST_FPERIOD_OVERRIDE=FQ","FILING_STATUS=MR","SCALING_FORMAT=MLN","Sort=A","Dates=H","DateFormat=P","Fill=—","Direction=H","UseDPDF=Y")</f>
        <v>—</v>
      </c>
      <c r="R39" s="13" t="str">
        <f>_xll.BDH("NBIX US Equity","BS_ACCT_PAYABLE","FQ3 2022","FQ3 2022","Currency=USD","Period=FQ","BEST_FPERIOD_OVERRIDE=FQ","FILING_STATUS=MR","SCALING_FORMAT=MLN","Sort=A","Dates=H","DateFormat=P","Fill=—","Direction=H","UseDPDF=Y")</f>
        <v>—</v>
      </c>
      <c r="S39" s="13">
        <f>_xll.BDH("NBIX US Equity","BS_ACCT_PAYABLE","FQ4 2022","FQ4 2022","Currency=USD","Period=FQ","BEST_FPERIOD_OVERRIDE=FQ","FILING_STATUS=MR","SCALING_FORMAT=MLN","Sort=A","Dates=H","DateFormat=P","Fill=—","Direction=H","UseDPDF=Y")</f>
        <v>131.9</v>
      </c>
      <c r="T39" s="13" t="str">
        <f>_xll.BDH("NBIX US Equity","BS_ACCT_PAYABLE","FQ1 2023","FQ1 2023","Currency=USD","Period=FQ","BEST_FPERIOD_OVERRIDE=FQ","FILING_STATUS=MR","SCALING_FORMAT=MLN","Sort=A","Dates=H","DateFormat=P","Fill=—","Direction=H","UseDPDF=Y")</f>
        <v>—</v>
      </c>
      <c r="U39" s="13" t="str">
        <f>_xll.BDH("NBIX US Equity","BS_ACCT_PAYABLE","FQ2 2023","FQ2 2023","Currency=USD","Period=FQ","BEST_FPERIOD_OVERRIDE=FQ","FILING_STATUS=MR","SCALING_FORMAT=MLN","Sort=A","Dates=H","DateFormat=P","Fill=—","Direction=H","UseDPDF=Y")</f>
        <v>—</v>
      </c>
      <c r="V39" s="13" t="str">
        <f>_xll.BDH("NBIX US Equity","BS_ACCT_PAYABLE","FQ3 2023","FQ3 2023","Currency=USD","Period=FQ","BEST_FPERIOD_OVERRIDE=FQ","FILING_STATUS=MR","SCALING_FORMAT=MLN","Sort=A","Dates=H","DateFormat=P","Fill=—","Direction=H","UseDPDF=Y")</f>
        <v>—</v>
      </c>
      <c r="W39" s="13">
        <f>_xll.BDH("NBIX US Equity","BS_ACCT_PAYABLE","FQ4 2023","FQ4 2023","Currency=USD","Period=FQ","BEST_FPERIOD_OVERRIDE=FQ","FILING_STATUS=MR","SCALING_FORMAT=MLN","Sort=A","Dates=H","DateFormat=P","Fill=—","Direction=H","UseDPDF=Y")</f>
        <v>139.30000000000001</v>
      </c>
      <c r="X39" s="13" t="str">
        <f>_xll.BDH("NBIX US Equity","BS_ACCT_PAYABLE","FQ1 2024","FQ1 2024","Currency=USD","Period=FQ","BEST_FPERIOD_OVERRIDE=FQ","FILING_STATUS=MR","SCALING_FORMAT=MLN","Sort=A","Dates=H","DateFormat=P","Fill=—","Direction=H","UseDPDF=Y")</f>
        <v>—</v>
      </c>
      <c r="Y39" s="13" t="str">
        <f>_xll.BDH("NBIX US Equity","BS_ACCT_PAYABLE","FQ2 2024","FQ2 2024","Currency=USD","Period=FQ","BEST_FPERIOD_OVERRIDE=FQ","FILING_STATUS=MR","SCALING_FORMAT=MLN","Sort=A","Dates=H","DateFormat=P","Fill=—","Direction=H","UseDPDF=Y")</f>
        <v>—</v>
      </c>
      <c r="Z39" s="13" t="str">
        <f>_xll.BDH("NBIX US Equity","BS_ACCT_PAYABLE","FQ3 2024","FQ3 2024","Currency=USD","Period=FQ","BEST_FPERIOD_OVERRIDE=FQ","FILING_STATUS=MR","SCALING_FORMAT=MLN","Sort=A","Dates=H","DateFormat=P","Fill=—","Direction=H","UseDPDF=Y")</f>
        <v>—</v>
      </c>
      <c r="AA39" s="13">
        <f>_xll.BDH("NBIX US Equity","BS_ACCT_PAYABLE","FQ4 2024","FQ4 2024","Currency=USD","Period=FQ","BEST_FPERIOD_OVERRIDE=FQ","FILING_STATUS=MR","SCALING_FORMAT=MLN","Sort=A","Dates=H","DateFormat=P","Fill=—","Direction=H","UseDPDF=Y")</f>
        <v>144.19999999999999</v>
      </c>
    </row>
    <row r="40" spans="1:27" x14ac:dyDescent="0.25">
      <c r="A40" s="10" t="s">
        <v>724</v>
      </c>
      <c r="B40" s="10" t="s">
        <v>725</v>
      </c>
      <c r="C40" s="13">
        <f>_xll.BDH("NBIX US Equity","BS_ACCRUAL","FQ4 2018","FQ4 2018","Currency=USD","Period=FQ","BEST_FPERIOD_OVERRIDE=FQ","FILING_STATUS=MR","SCALING_FORMAT=MLN","Sort=A","Dates=H","DateFormat=P","Fill=—","Direction=H","UseDPDF=Y")</f>
        <v>34.409999999999997</v>
      </c>
      <c r="D40" s="13">
        <f>_xll.BDH("NBIX US Equity","BS_ACCRUAL","FQ1 2019","FQ1 2019","Currency=USD","Period=FQ","BEST_FPERIOD_OVERRIDE=FQ","FILING_STATUS=MR","SCALING_FORMAT=MLN","Sort=A","Dates=H","DateFormat=P","Fill=—","Direction=H","UseDPDF=Y")</f>
        <v>68.28</v>
      </c>
      <c r="E40" s="13">
        <f>_xll.BDH("NBIX US Equity","BS_ACCRUAL","FQ2 2019","FQ2 2019","Currency=USD","Period=FQ","BEST_FPERIOD_OVERRIDE=FQ","FILING_STATUS=MR","SCALING_FORMAT=MLN","Sort=A","Dates=H","DateFormat=P","Fill=—","Direction=H","UseDPDF=Y")</f>
        <v>95.027000000000001</v>
      </c>
      <c r="F40" s="13">
        <f>_xll.BDH("NBIX US Equity","BS_ACCRUAL","FQ3 2019","FQ3 2019","Currency=USD","Period=FQ","BEST_FPERIOD_OVERRIDE=FQ","FILING_STATUS=MR","SCALING_FORMAT=MLN","Sort=A","Dates=H","DateFormat=P","Fill=—","Direction=H","UseDPDF=Y")</f>
        <v>102.357</v>
      </c>
      <c r="G40" s="13">
        <f>_xll.BDH("NBIX US Equity","BS_ACCRUAL","FQ4 2019","FQ4 2019","Currency=USD","Period=FQ","BEST_FPERIOD_OVERRIDE=FQ","FILING_STATUS=MR","SCALING_FORMAT=MLN","Sort=A","Dates=H","DateFormat=P","Fill=—","Direction=H","UseDPDF=Y")</f>
        <v>69.3</v>
      </c>
      <c r="H40" s="13">
        <f>_xll.BDH("NBIX US Equity","BS_ACCRUAL","FQ1 2020","FQ1 2020","Currency=USD","Period=FQ","BEST_FPERIOD_OVERRIDE=FQ","FILING_STATUS=MR","SCALING_FORMAT=MLN","Sort=A","Dates=H","DateFormat=P","Fill=—","Direction=H","UseDPDF=Y")</f>
        <v>125.9</v>
      </c>
      <c r="I40" s="13">
        <f>_xll.BDH("NBIX US Equity","BS_ACCRUAL","FQ2 2020","FQ2 2020","Currency=USD","Period=FQ","BEST_FPERIOD_OVERRIDE=FQ","FILING_STATUS=MR","SCALING_FORMAT=MLN","Sort=A","Dates=H","DateFormat=P","Fill=—","Direction=H","UseDPDF=Y")</f>
        <v>137.1</v>
      </c>
      <c r="J40" s="13">
        <f>_xll.BDH("NBIX US Equity","BS_ACCRUAL","FQ3 2020","FQ3 2020","Currency=USD","Period=FQ","BEST_FPERIOD_OVERRIDE=FQ","FILING_STATUS=MR","SCALING_FORMAT=MLN","Sort=A","Dates=H","DateFormat=P","Fill=—","Direction=H","UseDPDF=Y")</f>
        <v>170.5</v>
      </c>
      <c r="K40" s="13">
        <f>_xll.BDH("NBIX US Equity","BS_ACCRUAL","FQ4 2020","FQ4 2020","Currency=USD","Period=FQ","BEST_FPERIOD_OVERRIDE=FQ","FILING_STATUS=MR","SCALING_FORMAT=MLN","Sort=A","Dates=H","DateFormat=P","Fill=—","Direction=H","UseDPDF=Y")</f>
        <v>94.7</v>
      </c>
      <c r="L40" s="13">
        <f>_xll.BDH("NBIX US Equity","BS_ACCRUAL","FQ1 2021","FQ1 2021","Currency=USD","Period=FQ","BEST_FPERIOD_OVERRIDE=FQ","FILING_STATUS=MR","SCALING_FORMAT=MLN","Sort=A","Dates=H","DateFormat=P","Fill=—","Direction=H","UseDPDF=Y")</f>
        <v>171.9</v>
      </c>
      <c r="M40" s="13">
        <f>_xll.BDH("NBIX US Equity","BS_ACCRUAL","FQ2 2021","FQ2 2021","Currency=USD","Period=FQ","BEST_FPERIOD_OVERRIDE=FQ","FILING_STATUS=MR","SCALING_FORMAT=MLN","Sort=A","Dates=H","DateFormat=P","Fill=—","Direction=H","UseDPDF=Y")</f>
        <v>190.9</v>
      </c>
      <c r="N40" s="13">
        <f>_xll.BDH("NBIX US Equity","BS_ACCRUAL","FQ3 2021","FQ3 2021","Currency=USD","Period=FQ","BEST_FPERIOD_OVERRIDE=FQ","FILING_STATUS=MR","SCALING_FORMAT=MLN","Sort=A","Dates=H","DateFormat=P","Fill=—","Direction=H","UseDPDF=Y")</f>
        <v>205.9</v>
      </c>
      <c r="O40" s="13">
        <f>_xll.BDH("NBIX US Equity","BS_ACCRUAL","FQ4 2021","FQ4 2021","Currency=USD","Period=FQ","BEST_FPERIOD_OVERRIDE=FQ","FILING_STATUS=MR","SCALING_FORMAT=MLN","Sort=A","Dates=H","DateFormat=P","Fill=—","Direction=H","UseDPDF=Y")</f>
        <v>111.6</v>
      </c>
      <c r="P40" s="13">
        <f>_xll.BDH("NBIX US Equity","BS_ACCRUAL","FQ1 2022","FQ1 2022","Currency=USD","Period=FQ","BEST_FPERIOD_OVERRIDE=FQ","FILING_STATUS=MR","SCALING_FORMAT=MLN","Sort=A","Dates=H","DateFormat=P","Fill=—","Direction=H","UseDPDF=Y")</f>
        <v>235.9</v>
      </c>
      <c r="Q40" s="13">
        <f>_xll.BDH("NBIX US Equity","BS_ACCRUAL","FQ2 2022","FQ2 2022","Currency=USD","Period=FQ","BEST_FPERIOD_OVERRIDE=FQ","FILING_STATUS=MR","SCALING_FORMAT=MLN","Sort=A","Dates=H","DateFormat=P","Fill=—","Direction=H","UseDPDF=Y")</f>
        <v>265.7</v>
      </c>
      <c r="R40" s="13">
        <f>_xll.BDH("NBIX US Equity","BS_ACCRUAL","FQ3 2022","FQ3 2022","Currency=USD","Period=FQ","BEST_FPERIOD_OVERRIDE=FQ","FILING_STATUS=MR","SCALING_FORMAT=MLN","Sort=A","Dates=H","DateFormat=P","Fill=—","Direction=H","UseDPDF=Y")</f>
        <v>297.8</v>
      </c>
      <c r="S40" s="13">
        <f>_xll.BDH("NBIX US Equity","BS_ACCRUAL","FQ4 2022","FQ4 2022","Currency=USD","Period=FQ","BEST_FPERIOD_OVERRIDE=FQ","FILING_STATUS=MR","SCALING_FORMAT=MLN","Sort=A","Dates=H","DateFormat=P","Fill=—","Direction=H","UseDPDF=Y")</f>
        <v>139.4</v>
      </c>
      <c r="T40" s="13">
        <f>_xll.BDH("NBIX US Equity","BS_ACCRUAL","FQ1 2023","FQ1 2023","Currency=USD","Period=FQ","BEST_FPERIOD_OVERRIDE=FQ","FILING_STATUS=MR","SCALING_FORMAT=MLN","Sort=A","Dates=H","DateFormat=P","Fill=—","Direction=H","UseDPDF=Y")</f>
        <v>355.7</v>
      </c>
      <c r="U40" s="13">
        <f>_xll.BDH("NBIX US Equity","BS_ACCRUAL","FQ2 2023","FQ2 2023","Currency=USD","Period=FQ","BEST_FPERIOD_OVERRIDE=FQ","FILING_STATUS=MR","SCALING_FORMAT=MLN","Sort=A","Dates=H","DateFormat=P","Fill=—","Direction=H","UseDPDF=Y")</f>
        <v>391.6</v>
      </c>
      <c r="V40" s="13">
        <f>_xll.BDH("NBIX US Equity","BS_ACCRUAL","FQ3 2023","FQ3 2023","Currency=USD","Period=FQ","BEST_FPERIOD_OVERRIDE=FQ","FILING_STATUS=MR","SCALING_FORMAT=MLN","Sort=A","Dates=H","DateFormat=P","Fill=—","Direction=H","UseDPDF=Y")</f>
        <v>503</v>
      </c>
      <c r="W40" s="13">
        <f>_xll.BDH("NBIX US Equity","BS_ACCRUAL","FQ4 2023","FQ4 2023","Currency=USD","Period=FQ","BEST_FPERIOD_OVERRIDE=FQ","FILING_STATUS=MR","SCALING_FORMAT=MLN","Sort=A","Dates=H","DateFormat=P","Fill=—","Direction=H","UseDPDF=Y")</f>
        <v>200.6</v>
      </c>
      <c r="X40" s="13">
        <f>_xll.BDH("NBIX US Equity","BS_ACCRUAL","FQ1 2024","FQ1 2024","Currency=USD","Period=FQ","BEST_FPERIOD_OVERRIDE=FQ","FILING_STATUS=MR","SCALING_FORMAT=MLN","Sort=A","Dates=H","DateFormat=P","Fill=—","Direction=H","UseDPDF=Y")</f>
        <v>417.2</v>
      </c>
      <c r="Y40" s="13">
        <f>_xll.BDH("NBIX US Equity","BS_ACCRUAL","FQ2 2024","FQ2 2024","Currency=USD","Period=FQ","BEST_FPERIOD_OVERRIDE=FQ","FILING_STATUS=MR","SCALING_FORMAT=MLN","Sort=A","Dates=H","DateFormat=P","Fill=—","Direction=H","UseDPDF=Y")</f>
        <v>358.5</v>
      </c>
      <c r="Z40" s="13">
        <f>_xll.BDH("NBIX US Equity","BS_ACCRUAL","FQ3 2024","FQ3 2024","Currency=USD","Period=FQ","BEST_FPERIOD_OVERRIDE=FQ","FILING_STATUS=MR","SCALING_FORMAT=MLN","Sort=A","Dates=H","DateFormat=P","Fill=—","Direction=H","UseDPDF=Y")</f>
        <v>392.7</v>
      </c>
      <c r="AA40" s="13">
        <f>_xll.BDH("NBIX US Equity","BS_ACCRUAL","FQ4 2024","FQ4 2024","Currency=USD","Period=FQ","BEST_FPERIOD_OVERRIDE=FQ","FILING_STATUS=MR","SCALING_FORMAT=MLN","Sort=A","Dates=H","DateFormat=P","Fill=—","Direction=H","UseDPDF=Y")</f>
        <v>317.39999999999998</v>
      </c>
    </row>
    <row r="41" spans="1:27" x14ac:dyDescent="0.25">
      <c r="A41" s="10" t="s">
        <v>726</v>
      </c>
      <c r="B41" s="10" t="s">
        <v>727</v>
      </c>
      <c r="C41" s="13">
        <f>_xll.BDH("NBIX US Equity","BS_ST_BORROW","FQ4 2018","FQ4 2018","Currency=USD","Period=FQ","BEST_FPERIOD_OVERRIDE=FQ","FILING_STATUS=MR","SCALING_FORMAT=MLN","Sort=A","Dates=H","DateFormat=P","Fill=—","Direction=H","UseDPDF=Y")</f>
        <v>0</v>
      </c>
      <c r="D41" s="13">
        <f>_xll.BDH("NBIX US Equity","BS_ST_BORROW","FQ1 2019","FQ1 2019","Currency=USD","Period=FQ","BEST_FPERIOD_OVERRIDE=FQ","FILING_STATUS=MR","SCALING_FORMAT=MLN","Sort=A","Dates=H","DateFormat=P","Fill=—","Direction=H","UseDPDF=Y")</f>
        <v>3.2669999999999999</v>
      </c>
      <c r="E41" s="13">
        <f>_xll.BDH("NBIX US Equity","BS_ST_BORROW","FQ2 2019","FQ2 2019","Currency=USD","Period=FQ","BEST_FPERIOD_OVERRIDE=FQ","FILING_STATUS=MR","SCALING_FORMAT=MLN","Sort=A","Dates=H","DateFormat=P","Fill=—","Direction=H","UseDPDF=Y")</f>
        <v>3.7490000000000001</v>
      </c>
      <c r="F41" s="13">
        <f>_xll.BDH("NBIX US Equity","BS_ST_BORROW","FQ3 2019","FQ3 2019","Currency=USD","Period=FQ","BEST_FPERIOD_OVERRIDE=FQ","FILING_STATUS=MR","SCALING_FORMAT=MLN","Sort=A","Dates=H","DateFormat=P","Fill=—","Direction=H","UseDPDF=Y")</f>
        <v>8.1590000000000007</v>
      </c>
      <c r="G41" s="13">
        <f>_xll.BDH("NBIX US Equity","BS_ST_BORROW","FQ4 2019","FQ4 2019","Currency=USD","Period=FQ","BEST_FPERIOD_OVERRIDE=FQ","FILING_STATUS=MR","SCALING_FORMAT=MLN","Sort=A","Dates=H","DateFormat=P","Fill=—","Direction=H","UseDPDF=Y")</f>
        <v>417.08199999999999</v>
      </c>
      <c r="H41" s="13">
        <f>_xll.BDH("NBIX US Equity","BS_ST_BORROW","FQ1 2020","FQ1 2020","Currency=USD","Period=FQ","BEST_FPERIOD_OVERRIDE=FQ","FILING_STATUS=MR","SCALING_FORMAT=MLN","Sort=A","Dates=H","DateFormat=P","Fill=—","Direction=H","UseDPDF=Y")</f>
        <v>8.8000000000000007</v>
      </c>
      <c r="I41" s="13">
        <f>_xll.BDH("NBIX US Equity","BS_ST_BORROW","FQ2 2020","FQ2 2020","Currency=USD","Period=FQ","BEST_FPERIOD_OVERRIDE=FQ","FILING_STATUS=MR","SCALING_FORMAT=MLN","Sort=A","Dates=H","DateFormat=P","Fill=—","Direction=H","UseDPDF=Y")</f>
        <v>428.7</v>
      </c>
      <c r="J41" s="13">
        <f>_xll.BDH("NBIX US Equity","BS_ST_BORROW","FQ3 2020","FQ3 2020","Currency=USD","Period=FQ","BEST_FPERIOD_OVERRIDE=FQ","FILING_STATUS=MR","SCALING_FORMAT=MLN","Sort=A","Dates=H","DateFormat=P","Fill=—","Direction=H","UseDPDF=Y")</f>
        <v>434.7</v>
      </c>
      <c r="K41" s="13">
        <f>_xll.BDH("NBIX US Equity","BS_ST_BORROW","FQ4 2020","FQ4 2020","Currency=USD","Period=FQ","BEST_FPERIOD_OVERRIDE=FQ","FILING_STATUS=MR","SCALING_FORMAT=MLN","Sort=A","Dates=H","DateFormat=P","Fill=—","Direction=H","UseDPDF=Y")</f>
        <v>10.3</v>
      </c>
      <c r="L41" s="13">
        <f>_xll.BDH("NBIX US Equity","BS_ST_BORROW","FQ1 2021","FQ1 2021","Currency=USD","Period=FQ","BEST_FPERIOD_OVERRIDE=FQ","FILING_STATUS=MR","SCALING_FORMAT=MLN","Sort=A","Dates=H","DateFormat=P","Fill=—","Direction=H","UseDPDF=Y")</f>
        <v>12.2</v>
      </c>
      <c r="M41" s="13">
        <f>_xll.BDH("NBIX US Equity","BS_ST_BORROW","FQ2 2021","FQ2 2021","Currency=USD","Period=FQ","BEST_FPERIOD_OVERRIDE=FQ","FILING_STATUS=MR","SCALING_FORMAT=MLN","Sort=A","Dates=H","DateFormat=P","Fill=—","Direction=H","UseDPDF=Y")</f>
        <v>15</v>
      </c>
      <c r="N41" s="13">
        <f>_xll.BDH("NBIX US Equity","BS_ST_BORROW","FQ3 2021","FQ3 2021","Currency=USD","Period=FQ","BEST_FPERIOD_OVERRIDE=FQ","FILING_STATUS=MR","SCALING_FORMAT=MLN","Sort=A","Dates=H","DateFormat=P","Fill=—","Direction=H","UseDPDF=Y")</f>
        <v>15.5</v>
      </c>
      <c r="O41" s="13">
        <f>_xll.BDH("NBIX US Equity","BS_ST_BORROW","FQ4 2021","FQ4 2021","Currency=USD","Period=FQ","BEST_FPERIOD_OVERRIDE=FQ","FILING_STATUS=MR","SCALING_FORMAT=MLN","Sort=A","Dates=H","DateFormat=P","Fill=—","Direction=H","UseDPDF=Y")</f>
        <v>16.5</v>
      </c>
      <c r="P41" s="13">
        <f>_xll.BDH("NBIX US Equity","BS_ST_BORROW","FQ1 2022","FQ1 2022","Currency=USD","Period=FQ","BEST_FPERIOD_OVERRIDE=FQ","FILING_STATUS=MR","SCALING_FORMAT=MLN","Sort=A","Dates=H","DateFormat=P","Fill=—","Direction=H","UseDPDF=Y")</f>
        <v>16.899999999999999</v>
      </c>
      <c r="Q41" s="13">
        <f>_xll.BDH("NBIX US Equity","BS_ST_BORROW","FQ2 2022","FQ2 2022","Currency=USD","Period=FQ","BEST_FPERIOD_OVERRIDE=FQ","FILING_STATUS=MR","SCALING_FORMAT=MLN","Sort=A","Dates=H","DateFormat=P","Fill=—","Direction=H","UseDPDF=Y")</f>
        <v>17.100000000000001</v>
      </c>
      <c r="R41" s="13">
        <f>_xll.BDH("NBIX US Equity","BS_ST_BORROW","FQ3 2022","FQ3 2022","Currency=USD","Period=FQ","BEST_FPERIOD_OVERRIDE=FQ","FILING_STATUS=MR","SCALING_FORMAT=MLN","Sort=A","Dates=H","DateFormat=P","Fill=—","Direction=H","UseDPDF=Y")</f>
        <v>186.5</v>
      </c>
      <c r="S41" s="13">
        <f>_xll.BDH("NBIX US Equity","BS_ST_BORROW","FQ4 2022","FQ4 2022","Currency=USD","Period=FQ","BEST_FPERIOD_OVERRIDE=FQ","FILING_STATUS=MR","SCALING_FORMAT=MLN","Sort=A","Dates=H","DateFormat=P","Fill=—","Direction=H","UseDPDF=Y")</f>
        <v>169.4</v>
      </c>
      <c r="T41" s="13">
        <f>_xll.BDH("NBIX US Equity","BS_ST_BORROW","FQ1 2023","FQ1 2023","Currency=USD","Period=FQ","BEST_FPERIOD_OVERRIDE=FQ","FILING_STATUS=MR","SCALING_FORMAT=MLN","Sort=A","Dates=H","DateFormat=P","Fill=—","Direction=H","UseDPDF=Y")</f>
        <v>0</v>
      </c>
      <c r="U41" s="13">
        <f>_xll.BDH("NBIX US Equity","BS_ST_BORROW","FQ2 2023","FQ2 2023","Currency=USD","Period=FQ","BEST_FPERIOD_OVERRIDE=FQ","FILING_STATUS=MR","SCALING_FORMAT=MLN","Sort=A","Dates=H","DateFormat=P","Fill=—","Direction=H","UseDPDF=Y")</f>
        <v>187.4</v>
      </c>
      <c r="V41" s="13">
        <f>_xll.BDH("NBIX US Equity","BS_ST_BORROW","FQ3 2023","FQ3 2023","Currency=USD","Period=FQ","BEST_FPERIOD_OVERRIDE=FQ","FILING_STATUS=MR","SCALING_FORMAT=MLN","Sort=A","Dates=H","DateFormat=P","Fill=—","Direction=H","UseDPDF=Y")</f>
        <v>187.7</v>
      </c>
      <c r="W41" s="13">
        <f>_xll.BDH("NBIX US Equity","BS_ST_BORROW","FQ4 2023","FQ4 2023","Currency=USD","Period=FQ","BEST_FPERIOD_OVERRIDE=FQ","FILING_STATUS=MR","SCALING_FORMAT=MLN","Sort=A","Dates=H","DateFormat=P","Fill=—","Direction=H","UseDPDF=Y")</f>
        <v>202.1</v>
      </c>
      <c r="X41" s="13">
        <f>_xll.BDH("NBIX US Equity","BS_ST_BORROW","FQ1 2024","FQ1 2024","Currency=USD","Period=FQ","BEST_FPERIOD_OVERRIDE=FQ","FILING_STATUS=MR","SCALING_FORMAT=MLN","Sort=A","Dates=H","DateFormat=P","Fill=—","Direction=H","UseDPDF=Y")</f>
        <v>157.80000000000001</v>
      </c>
      <c r="Y41" s="13">
        <f>_xll.BDH("NBIX US Equity","BS_ST_BORROW","FQ2 2024","FQ2 2024","Currency=USD","Period=FQ","BEST_FPERIOD_OVERRIDE=FQ","FILING_STATUS=MR","SCALING_FORMAT=MLN","Sort=A","Dates=H","DateFormat=P","Fill=—","Direction=H","UseDPDF=Y")</f>
        <v>35.4</v>
      </c>
      <c r="Z41" s="13">
        <f>_xll.BDH("NBIX US Equity","BS_ST_BORROW","FQ3 2024","FQ3 2024","Currency=USD","Period=FQ","BEST_FPERIOD_OVERRIDE=FQ","FILING_STATUS=MR","SCALING_FORMAT=MLN","Sort=A","Dates=H","DateFormat=P","Fill=—","Direction=H","UseDPDF=Y")</f>
        <v>34.799999999999997</v>
      </c>
      <c r="AA41" s="13">
        <f>_xll.BDH("NBIX US Equity","BS_ST_BORROW","FQ4 2024","FQ4 2024","Currency=USD","Period=FQ","BEST_FPERIOD_OVERRIDE=FQ","FILING_STATUS=MR","SCALING_FORMAT=MLN","Sort=A","Dates=H","DateFormat=P","Fill=—","Direction=H","UseDPDF=Y")</f>
        <v>40.6</v>
      </c>
    </row>
    <row r="42" spans="1:27" x14ac:dyDescent="0.25">
      <c r="A42" s="10" t="s">
        <v>728</v>
      </c>
      <c r="B42" s="10" t="s">
        <v>729</v>
      </c>
      <c r="C42" s="13">
        <f>_xll.BDH("NBIX US Equity","SHORT_TERM_DEBT_DETAILED","FQ4 2018","FQ4 2018","Currency=USD","Period=FQ","BEST_FPERIOD_OVERRIDE=FQ","FILING_STATUS=MR","SCALING_FORMAT=MLN","Sort=A","Dates=H","DateFormat=P","Fill=—","Direction=H","UseDPDF=Y")</f>
        <v>0</v>
      </c>
      <c r="D42" s="13">
        <f>_xll.BDH("NBIX US Equity","SHORT_TERM_DEBT_DETAILED","FQ1 2019","FQ1 2019","Currency=USD","Period=FQ","BEST_FPERIOD_OVERRIDE=FQ","FILING_STATUS=MR","SCALING_FORMAT=MLN","Sort=A","Dates=H","DateFormat=P","Fill=—","Direction=H","UseDPDF=Y")</f>
        <v>0</v>
      </c>
      <c r="E42" s="13">
        <f>_xll.BDH("NBIX US Equity","SHORT_TERM_DEBT_DETAILED","FQ2 2019","FQ2 2019","Currency=USD","Period=FQ","BEST_FPERIOD_OVERRIDE=FQ","FILING_STATUS=MR","SCALING_FORMAT=MLN","Sort=A","Dates=H","DateFormat=P","Fill=—","Direction=H","UseDPDF=Y")</f>
        <v>0</v>
      </c>
      <c r="F42" s="13">
        <f>_xll.BDH("NBIX US Equity","SHORT_TERM_DEBT_DETAILED","FQ3 2019","FQ3 2019","Currency=USD","Period=FQ","BEST_FPERIOD_OVERRIDE=FQ","FILING_STATUS=MR","SCALING_FORMAT=MLN","Sort=A","Dates=H","DateFormat=P","Fill=—","Direction=H","UseDPDF=Y")</f>
        <v>0</v>
      </c>
      <c r="G42" s="13">
        <f>_xll.BDH("NBIX US Equity","SHORT_TERM_DEBT_DETAILED","FQ4 2019","FQ4 2019","Currency=USD","Period=FQ","BEST_FPERIOD_OVERRIDE=FQ","FILING_STATUS=MR","SCALING_FORMAT=MLN","Sort=A","Dates=H","DateFormat=P","Fill=—","Direction=H","UseDPDF=Y")</f>
        <v>408.8</v>
      </c>
      <c r="H42" s="13">
        <f>_xll.BDH("NBIX US Equity","SHORT_TERM_DEBT_DETAILED","FQ1 2020","FQ1 2020","Currency=USD","Period=FQ","BEST_FPERIOD_OVERRIDE=FQ","FILING_STATUS=MR","SCALING_FORMAT=MLN","Sort=A","Dates=H","DateFormat=P","Fill=—","Direction=H","UseDPDF=Y")</f>
        <v>0</v>
      </c>
      <c r="I42" s="13">
        <f>_xll.BDH("NBIX US Equity","SHORT_TERM_DEBT_DETAILED","FQ2 2020","FQ2 2020","Currency=USD","Period=FQ","BEST_FPERIOD_OVERRIDE=FQ","FILING_STATUS=MR","SCALING_FORMAT=MLN","Sort=A","Dates=H","DateFormat=P","Fill=—","Direction=H","UseDPDF=Y")</f>
        <v>419.5</v>
      </c>
      <c r="J42" s="13">
        <f>_xll.BDH("NBIX US Equity","SHORT_TERM_DEBT_DETAILED","FQ3 2020","FQ3 2020","Currency=USD","Period=FQ","BEST_FPERIOD_OVERRIDE=FQ","FILING_STATUS=MR","SCALING_FORMAT=MLN","Sort=A","Dates=H","DateFormat=P","Fill=—","Direction=H","UseDPDF=Y")</f>
        <v>425</v>
      </c>
      <c r="K42" s="13">
        <f>_xll.BDH("NBIX US Equity","SHORT_TERM_DEBT_DETAILED","FQ4 2020","FQ4 2020","Currency=USD","Period=FQ","BEST_FPERIOD_OVERRIDE=FQ","FILING_STATUS=MR","SCALING_FORMAT=MLN","Sort=A","Dates=H","DateFormat=P","Fill=—","Direction=H","UseDPDF=Y")</f>
        <v>0</v>
      </c>
      <c r="L42" s="13">
        <f>_xll.BDH("NBIX US Equity","SHORT_TERM_DEBT_DETAILED","FQ1 2021","FQ1 2021","Currency=USD","Period=FQ","BEST_FPERIOD_OVERRIDE=FQ","FILING_STATUS=MR","SCALING_FORMAT=MLN","Sort=A","Dates=H","DateFormat=P","Fill=—","Direction=H","UseDPDF=Y")</f>
        <v>0</v>
      </c>
      <c r="M42" s="13">
        <f>_xll.BDH("NBIX US Equity","SHORT_TERM_DEBT_DETAILED","FQ2 2021","FQ2 2021","Currency=USD","Period=FQ","BEST_FPERIOD_OVERRIDE=FQ","FILING_STATUS=MR","SCALING_FORMAT=MLN","Sort=A","Dates=H","DateFormat=P","Fill=—","Direction=H","UseDPDF=Y")</f>
        <v>0</v>
      </c>
      <c r="N42" s="13">
        <f>_xll.BDH("NBIX US Equity","SHORT_TERM_DEBT_DETAILED","FQ3 2021","FQ3 2021","Currency=USD","Period=FQ","BEST_FPERIOD_OVERRIDE=FQ","FILING_STATUS=MR","SCALING_FORMAT=MLN","Sort=A","Dates=H","DateFormat=P","Fill=—","Direction=H","UseDPDF=Y")</f>
        <v>0</v>
      </c>
      <c r="O42" s="13">
        <f>_xll.BDH("NBIX US Equity","SHORT_TERM_DEBT_DETAILED","FQ4 2021","FQ4 2021","Currency=USD","Period=FQ","BEST_FPERIOD_OVERRIDE=FQ","FILING_STATUS=MR","SCALING_FORMAT=MLN","Sort=A","Dates=H","DateFormat=P","Fill=—","Direction=H","UseDPDF=Y")</f>
        <v>0</v>
      </c>
      <c r="P42" s="13">
        <f>_xll.BDH("NBIX US Equity","SHORT_TERM_DEBT_DETAILED","FQ1 2022","FQ1 2022","Currency=USD","Period=FQ","BEST_FPERIOD_OVERRIDE=FQ","FILING_STATUS=MR","SCALING_FORMAT=MLN","Sort=A","Dates=H","DateFormat=P","Fill=—","Direction=H","UseDPDF=Y")</f>
        <v>0</v>
      </c>
      <c r="Q42" s="13">
        <f>_xll.BDH("NBIX US Equity","SHORT_TERM_DEBT_DETAILED","FQ2 2022","FQ2 2022","Currency=USD","Period=FQ","BEST_FPERIOD_OVERRIDE=FQ","FILING_STATUS=MR","SCALING_FORMAT=MLN","Sort=A","Dates=H","DateFormat=P","Fill=—","Direction=H","UseDPDF=Y")</f>
        <v>0</v>
      </c>
      <c r="R42" s="13">
        <f>_xll.BDH("NBIX US Equity","SHORT_TERM_DEBT_DETAILED","FQ3 2022","FQ3 2022","Currency=USD","Period=FQ","BEST_FPERIOD_OVERRIDE=FQ","FILING_STATUS=MR","SCALING_FORMAT=MLN","Sort=A","Dates=H","DateFormat=P","Fill=—","Direction=H","UseDPDF=Y")</f>
        <v>169.2</v>
      </c>
      <c r="S42" s="13">
        <f>_xll.BDH("NBIX US Equity","SHORT_TERM_DEBT_DETAILED","FQ4 2022","FQ4 2022","Currency=USD","Period=FQ","BEST_FPERIOD_OVERRIDE=FQ","FILING_STATUS=MR","SCALING_FORMAT=MLN","Sort=A","Dates=H","DateFormat=P","Fill=—","Direction=H","UseDPDF=Y")</f>
        <v>169.4</v>
      </c>
      <c r="T42" s="13">
        <f>_xll.BDH("NBIX US Equity","SHORT_TERM_DEBT_DETAILED","FQ1 2023","FQ1 2023","Currency=USD","Period=FQ","BEST_FPERIOD_OVERRIDE=FQ","FILING_STATUS=MR","SCALING_FORMAT=MLN","Sort=A","Dates=H","DateFormat=P","Fill=—","Direction=H","UseDPDF=Y")</f>
        <v>0</v>
      </c>
      <c r="U42" s="13">
        <f>_xll.BDH("NBIX US Equity","SHORT_TERM_DEBT_DETAILED","FQ2 2023","FQ2 2023","Currency=USD","Period=FQ","BEST_FPERIOD_OVERRIDE=FQ","FILING_STATUS=MR","SCALING_FORMAT=MLN","Sort=A","Dates=H","DateFormat=P","Fill=—","Direction=H","UseDPDF=Y")</f>
        <v>169.7</v>
      </c>
      <c r="V42" s="13">
        <f>_xll.BDH("NBIX US Equity","SHORT_TERM_DEBT_DETAILED","FQ3 2023","FQ3 2023","Currency=USD","Period=FQ","BEST_FPERIOD_OVERRIDE=FQ","FILING_STATUS=MR","SCALING_FORMAT=MLN","Sort=A","Dates=H","DateFormat=P","Fill=—","Direction=H","UseDPDF=Y")</f>
        <v>169.9</v>
      </c>
      <c r="W42" s="13">
        <f>_xll.BDH("NBIX US Equity","SHORT_TERM_DEBT_DETAILED","FQ4 2023","FQ4 2023","Currency=USD","Period=FQ","BEST_FPERIOD_OVERRIDE=FQ","FILING_STATUS=MR","SCALING_FORMAT=MLN","Sort=A","Dates=H","DateFormat=P","Fill=—","Direction=H","UseDPDF=Y")</f>
        <v>170.1</v>
      </c>
      <c r="X42" s="13">
        <f>_xll.BDH("NBIX US Equity","SHORT_TERM_DEBT_DETAILED","FQ1 2024","FQ1 2024","Currency=USD","Period=FQ","BEST_FPERIOD_OVERRIDE=FQ","FILING_STATUS=MR","SCALING_FORMAT=MLN","Sort=A","Dates=H","DateFormat=P","Fill=—","Direction=H","UseDPDF=Y")</f>
        <v>122.8</v>
      </c>
      <c r="Y42" s="13">
        <f>_xll.BDH("NBIX US Equity","SHORT_TERM_DEBT_DETAILED","FQ2 2024","FQ2 2024","Currency=USD","Period=FQ","BEST_FPERIOD_OVERRIDE=FQ","FILING_STATUS=MR","SCALING_FORMAT=MLN","Sort=A","Dates=H","DateFormat=P","Fill=—","Direction=H","UseDPDF=Y")</f>
        <v>0</v>
      </c>
      <c r="Z42" s="13">
        <f>_xll.BDH("NBIX US Equity","SHORT_TERM_DEBT_DETAILED","FQ3 2024","FQ3 2024","Currency=USD","Period=FQ","BEST_FPERIOD_OVERRIDE=FQ","FILING_STATUS=MR","SCALING_FORMAT=MLN","Sort=A","Dates=H","DateFormat=P","Fill=—","Direction=H","UseDPDF=Y")</f>
        <v>0</v>
      </c>
      <c r="AA42" s="13">
        <f>_xll.BDH("NBIX US Equity","SHORT_TERM_DEBT_DETAILED","FQ4 2024","FQ4 2024","Currency=USD","Period=FQ","BEST_FPERIOD_OVERRIDE=FQ","FILING_STATUS=MR","SCALING_FORMAT=MLN","Sort=A","Dates=H","DateFormat=P","Fill=—","Direction=H","UseDPDF=Y")</f>
        <v>0</v>
      </c>
    </row>
    <row r="43" spans="1:27" x14ac:dyDescent="0.25">
      <c r="A43" s="10" t="s">
        <v>730</v>
      </c>
      <c r="B43" s="10" t="s">
        <v>731</v>
      </c>
      <c r="C43" s="13">
        <f>_xll.BDH("NBIX US Equity","ST_CAPITALIZED_LEASE_LIABILITIES","FQ4 2018","FQ4 2018","Currency=USD","Period=FQ","BEST_FPERIOD_OVERRIDE=FQ","FILING_STATUS=MR","SCALING_FORMAT=MLN","Sort=A","Dates=H","DateFormat=P","Fill=—","Direction=H","UseDPDF=Y")</f>
        <v>0</v>
      </c>
      <c r="D43" s="13">
        <f>_xll.BDH("NBIX US Equity","ST_CAPITALIZED_LEASE_LIABILITIES","FQ1 2019","FQ1 2019","Currency=USD","Period=FQ","BEST_FPERIOD_OVERRIDE=FQ","FILING_STATUS=MR","SCALING_FORMAT=MLN","Sort=A","Dates=H","DateFormat=P","Fill=—","Direction=H","UseDPDF=Y")</f>
        <v>3.2669999999999999</v>
      </c>
      <c r="E43" s="13">
        <f>_xll.BDH("NBIX US Equity","ST_CAPITALIZED_LEASE_LIABILITIES","FQ2 2019","FQ2 2019","Currency=USD","Period=FQ","BEST_FPERIOD_OVERRIDE=FQ","FILING_STATUS=MR","SCALING_FORMAT=MLN","Sort=A","Dates=H","DateFormat=P","Fill=—","Direction=H","UseDPDF=Y")</f>
        <v>3.7490000000000001</v>
      </c>
      <c r="F43" s="13">
        <f>_xll.BDH("NBIX US Equity","ST_CAPITALIZED_LEASE_LIABILITIES","FQ3 2019","FQ3 2019","Currency=USD","Period=FQ","BEST_FPERIOD_OVERRIDE=FQ","FILING_STATUS=MR","SCALING_FORMAT=MLN","Sort=A","Dates=H","DateFormat=P","Fill=—","Direction=H","UseDPDF=Y")</f>
        <v>8.1590000000000007</v>
      </c>
      <c r="G43" s="13">
        <f>_xll.BDH("NBIX US Equity","ST_CAPITALIZED_LEASE_LIABILITIES","FQ4 2019","FQ4 2019","Currency=USD","Period=FQ","BEST_FPERIOD_OVERRIDE=FQ","FILING_STATUS=MR","SCALING_FORMAT=MLN","Sort=A","Dates=H","DateFormat=P","Fill=—","Direction=H","UseDPDF=Y")</f>
        <v>8.282</v>
      </c>
      <c r="H43" s="13">
        <f>_xll.BDH("NBIX US Equity","ST_CAPITALIZED_LEASE_LIABILITIES","FQ1 2020","FQ1 2020","Currency=USD","Period=FQ","BEST_FPERIOD_OVERRIDE=FQ","FILING_STATUS=MR","SCALING_FORMAT=MLN","Sort=A","Dates=H","DateFormat=P","Fill=—","Direction=H","UseDPDF=Y")</f>
        <v>8.8000000000000007</v>
      </c>
      <c r="I43" s="13">
        <f>_xll.BDH("NBIX US Equity","ST_CAPITALIZED_LEASE_LIABILITIES","FQ2 2020","FQ2 2020","Currency=USD","Period=FQ","BEST_FPERIOD_OVERRIDE=FQ","FILING_STATUS=MR","SCALING_FORMAT=MLN","Sort=A","Dates=H","DateFormat=P","Fill=—","Direction=H","UseDPDF=Y")</f>
        <v>9.1999999999999993</v>
      </c>
      <c r="J43" s="13">
        <f>_xll.BDH("NBIX US Equity","ST_CAPITALIZED_LEASE_LIABILITIES","FQ3 2020","FQ3 2020","Currency=USD","Period=FQ","BEST_FPERIOD_OVERRIDE=FQ","FILING_STATUS=MR","SCALING_FORMAT=MLN","Sort=A","Dates=H","DateFormat=P","Fill=—","Direction=H","UseDPDF=Y")</f>
        <v>9.6999999999999993</v>
      </c>
      <c r="K43" s="13">
        <f>_xll.BDH("NBIX US Equity","ST_CAPITALIZED_LEASE_LIABILITIES","FQ4 2020","FQ4 2020","Currency=USD","Period=FQ","BEST_FPERIOD_OVERRIDE=FQ","FILING_STATUS=MR","SCALING_FORMAT=MLN","Sort=A","Dates=H","DateFormat=P","Fill=—","Direction=H","UseDPDF=Y")</f>
        <v>10.3</v>
      </c>
      <c r="L43" s="13">
        <f>_xll.BDH("NBIX US Equity","ST_CAPITALIZED_LEASE_LIABILITIES","FQ1 2021","FQ1 2021","Currency=USD","Period=FQ","BEST_FPERIOD_OVERRIDE=FQ","FILING_STATUS=MR","SCALING_FORMAT=MLN","Sort=A","Dates=H","DateFormat=P","Fill=—","Direction=H","UseDPDF=Y")</f>
        <v>12.2</v>
      </c>
      <c r="M43" s="13">
        <f>_xll.BDH("NBIX US Equity","ST_CAPITALIZED_LEASE_LIABILITIES","FQ2 2021","FQ2 2021","Currency=USD","Period=FQ","BEST_FPERIOD_OVERRIDE=FQ","FILING_STATUS=MR","SCALING_FORMAT=MLN","Sort=A","Dates=H","DateFormat=P","Fill=—","Direction=H","UseDPDF=Y")</f>
        <v>15</v>
      </c>
      <c r="N43" s="13">
        <f>_xll.BDH("NBIX US Equity","ST_CAPITALIZED_LEASE_LIABILITIES","FQ3 2021","FQ3 2021","Currency=USD","Period=FQ","BEST_FPERIOD_OVERRIDE=FQ","FILING_STATUS=MR","SCALING_FORMAT=MLN","Sort=A","Dates=H","DateFormat=P","Fill=—","Direction=H","UseDPDF=Y")</f>
        <v>15.5</v>
      </c>
      <c r="O43" s="13">
        <f>_xll.BDH("NBIX US Equity","ST_CAPITALIZED_LEASE_LIABILITIES","FQ4 2021","FQ4 2021","Currency=USD","Period=FQ","BEST_FPERIOD_OVERRIDE=FQ","FILING_STATUS=MR","SCALING_FORMAT=MLN","Sort=A","Dates=H","DateFormat=P","Fill=—","Direction=H","UseDPDF=Y")</f>
        <v>16.5</v>
      </c>
      <c r="P43" s="13">
        <f>_xll.BDH("NBIX US Equity","ST_CAPITALIZED_LEASE_LIABILITIES","FQ1 2022","FQ1 2022","Currency=USD","Period=FQ","BEST_FPERIOD_OVERRIDE=FQ","FILING_STATUS=MR","SCALING_FORMAT=MLN","Sort=A","Dates=H","DateFormat=P","Fill=—","Direction=H","UseDPDF=Y")</f>
        <v>16.899999999999999</v>
      </c>
      <c r="Q43" s="13">
        <f>_xll.BDH("NBIX US Equity","ST_CAPITALIZED_LEASE_LIABILITIES","FQ2 2022","FQ2 2022","Currency=USD","Period=FQ","BEST_FPERIOD_OVERRIDE=FQ","FILING_STATUS=MR","SCALING_FORMAT=MLN","Sort=A","Dates=H","DateFormat=P","Fill=—","Direction=H","UseDPDF=Y")</f>
        <v>17.100000000000001</v>
      </c>
      <c r="R43" s="13">
        <f>_xll.BDH("NBIX US Equity","ST_CAPITALIZED_LEASE_LIABILITIES","FQ3 2022","FQ3 2022","Currency=USD","Period=FQ","BEST_FPERIOD_OVERRIDE=FQ","FILING_STATUS=MR","SCALING_FORMAT=MLN","Sort=A","Dates=H","DateFormat=P","Fill=—","Direction=H","UseDPDF=Y")</f>
        <v>17.3</v>
      </c>
      <c r="S43" s="13" t="str">
        <f>_xll.BDH("NBIX US Equity","ST_CAPITALIZED_LEASE_LIABILITIES","FQ4 2022","FQ4 2022","Currency=USD","Period=FQ","BEST_FPERIOD_OVERRIDE=FQ","FILING_STATUS=MR","SCALING_FORMAT=MLN","Sort=A","Dates=H","DateFormat=P","Fill=—","Direction=H","UseDPDF=Y")</f>
        <v>—</v>
      </c>
      <c r="T43" s="13" t="str">
        <f>_xll.BDH("NBIX US Equity","ST_CAPITALIZED_LEASE_LIABILITIES","FQ1 2023","FQ1 2023","Currency=USD","Period=FQ","BEST_FPERIOD_OVERRIDE=FQ","FILING_STATUS=MR","SCALING_FORMAT=MLN","Sort=A","Dates=H","DateFormat=P","Fill=—","Direction=H","UseDPDF=Y")</f>
        <v>—</v>
      </c>
      <c r="U43" s="13">
        <f>_xll.BDH("NBIX US Equity","ST_CAPITALIZED_LEASE_LIABILITIES","FQ2 2023","FQ2 2023","Currency=USD","Period=FQ","BEST_FPERIOD_OVERRIDE=FQ","FILING_STATUS=MR","SCALING_FORMAT=MLN","Sort=A","Dates=H","DateFormat=P","Fill=—","Direction=H","UseDPDF=Y")</f>
        <v>17.7</v>
      </c>
      <c r="V43" s="13">
        <f>_xll.BDH("NBIX US Equity","ST_CAPITALIZED_LEASE_LIABILITIES","FQ3 2023","FQ3 2023","Currency=USD","Period=FQ","BEST_FPERIOD_OVERRIDE=FQ","FILING_STATUS=MR","SCALING_FORMAT=MLN","Sort=A","Dates=H","DateFormat=P","Fill=—","Direction=H","UseDPDF=Y")</f>
        <v>17.8</v>
      </c>
      <c r="W43" s="13">
        <f>_xll.BDH("NBIX US Equity","ST_CAPITALIZED_LEASE_LIABILITIES","FQ4 2023","FQ4 2023","Currency=USD","Period=FQ","BEST_FPERIOD_OVERRIDE=FQ","FILING_STATUS=MR","SCALING_FORMAT=MLN","Sort=A","Dates=H","DateFormat=P","Fill=—","Direction=H","UseDPDF=Y")</f>
        <v>32</v>
      </c>
      <c r="X43" s="13">
        <f>_xll.BDH("NBIX US Equity","ST_CAPITALIZED_LEASE_LIABILITIES","FQ1 2024","FQ1 2024","Currency=USD","Period=FQ","BEST_FPERIOD_OVERRIDE=FQ","FILING_STATUS=MR","SCALING_FORMAT=MLN","Sort=A","Dates=H","DateFormat=P","Fill=—","Direction=H","UseDPDF=Y")</f>
        <v>35</v>
      </c>
      <c r="Y43" s="13">
        <f>_xll.BDH("NBIX US Equity","ST_CAPITALIZED_LEASE_LIABILITIES","FQ2 2024","FQ2 2024","Currency=USD","Period=FQ","BEST_FPERIOD_OVERRIDE=FQ","FILING_STATUS=MR","SCALING_FORMAT=MLN","Sort=A","Dates=H","DateFormat=P","Fill=—","Direction=H","UseDPDF=Y")</f>
        <v>35.4</v>
      </c>
      <c r="Z43" s="13">
        <f>_xll.BDH("NBIX US Equity","ST_CAPITALIZED_LEASE_LIABILITIES","FQ3 2024","FQ3 2024","Currency=USD","Period=FQ","BEST_FPERIOD_OVERRIDE=FQ","FILING_STATUS=MR","SCALING_FORMAT=MLN","Sort=A","Dates=H","DateFormat=P","Fill=—","Direction=H","UseDPDF=Y")</f>
        <v>34.799999999999997</v>
      </c>
      <c r="AA43" s="13">
        <f>_xll.BDH("NBIX US Equity","ST_CAPITALIZED_LEASE_LIABILITIES","FQ4 2024","FQ4 2024","Currency=USD","Period=FQ","BEST_FPERIOD_OVERRIDE=FQ","FILING_STATUS=MR","SCALING_FORMAT=MLN","Sort=A","Dates=H","DateFormat=P","Fill=—","Direction=H","UseDPDF=Y")</f>
        <v>40.6</v>
      </c>
    </row>
    <row r="44" spans="1:27" x14ac:dyDescent="0.25">
      <c r="A44" s="11" t="s">
        <v>732</v>
      </c>
      <c r="B44" s="11" t="s">
        <v>733</v>
      </c>
      <c r="C44" s="25">
        <f>_xll.BDH("NBIX US Equity","ST_CAPITAL_LEASE_OBLIGATIONS","FQ4 2018","FQ4 2018","Currency=USD","Period=FQ","BEST_FPERIOD_OVERRIDE=FQ","FILING_STATUS=MR","SCALING_FORMAT=MLN","Sort=A","Dates=H","DateFormat=P","Fill=—","Direction=H","UseDPDF=Y")</f>
        <v>0</v>
      </c>
      <c r="D44" s="25" t="str">
        <f>_xll.BDH("NBIX US Equity","ST_CAPITAL_LEASE_OBLIGATIONS","FQ1 2019","FQ1 2019","Currency=USD","Period=FQ","BEST_FPERIOD_OVERRIDE=FQ","FILING_STATUS=MR","SCALING_FORMAT=MLN","Sort=A","Dates=H","DateFormat=P","Fill=—","Direction=H","UseDPDF=Y")</f>
        <v>—</v>
      </c>
      <c r="E44" s="25" t="str">
        <f>_xll.BDH("NBIX US Equity","ST_CAPITAL_LEASE_OBLIGATIONS","FQ2 2019","FQ2 2019","Currency=USD","Period=FQ","BEST_FPERIOD_OVERRIDE=FQ","FILING_STATUS=MR","SCALING_FORMAT=MLN","Sort=A","Dates=H","DateFormat=P","Fill=—","Direction=H","UseDPDF=Y")</f>
        <v>—</v>
      </c>
      <c r="F44" s="25" t="str">
        <f>_xll.BDH("NBIX US Equity","ST_CAPITAL_LEASE_OBLIGATIONS","FQ3 2019","FQ3 2019","Currency=USD","Period=FQ","BEST_FPERIOD_OVERRIDE=FQ","FILING_STATUS=MR","SCALING_FORMAT=MLN","Sort=A","Dates=H","DateFormat=P","Fill=—","Direction=H","UseDPDF=Y")</f>
        <v>—</v>
      </c>
      <c r="G44" s="25">
        <f>_xll.BDH("NBIX US Equity","ST_CAPITAL_LEASE_OBLIGATIONS","FQ4 2019","FQ4 2019","Currency=USD","Period=FQ","BEST_FPERIOD_OVERRIDE=FQ","FILING_STATUS=MR","SCALING_FORMAT=MLN","Sort=A","Dates=H","DateFormat=P","Fill=—","Direction=H","UseDPDF=Y")</f>
        <v>0</v>
      </c>
      <c r="H44" s="25" t="str">
        <f>_xll.BDH("NBIX US Equity","ST_CAPITAL_LEASE_OBLIGATIONS","FQ1 2020","FQ1 2020","Currency=USD","Period=FQ","BEST_FPERIOD_OVERRIDE=FQ","FILING_STATUS=MR","SCALING_FORMAT=MLN","Sort=A","Dates=H","DateFormat=P","Fill=—","Direction=H","UseDPDF=Y")</f>
        <v>—</v>
      </c>
      <c r="I44" s="25" t="str">
        <f>_xll.BDH("NBIX US Equity","ST_CAPITAL_LEASE_OBLIGATIONS","FQ2 2020","FQ2 2020","Currency=USD","Period=FQ","BEST_FPERIOD_OVERRIDE=FQ","FILING_STATUS=MR","SCALING_FORMAT=MLN","Sort=A","Dates=H","DateFormat=P","Fill=—","Direction=H","UseDPDF=Y")</f>
        <v>—</v>
      </c>
      <c r="J44" s="25" t="str">
        <f>_xll.BDH("NBIX US Equity","ST_CAPITAL_LEASE_OBLIGATIONS","FQ3 2020","FQ3 2020","Currency=USD","Period=FQ","BEST_FPERIOD_OVERRIDE=FQ","FILING_STATUS=MR","SCALING_FORMAT=MLN","Sort=A","Dates=H","DateFormat=P","Fill=—","Direction=H","UseDPDF=Y")</f>
        <v>—</v>
      </c>
      <c r="K44" s="25">
        <f>_xll.BDH("NBIX US Equity","ST_CAPITAL_LEASE_OBLIGATIONS","FQ4 2020","FQ4 2020","Currency=USD","Period=FQ","BEST_FPERIOD_OVERRIDE=FQ","FILING_STATUS=MR","SCALING_FORMAT=MLN","Sort=A","Dates=H","DateFormat=P","Fill=—","Direction=H","UseDPDF=Y")</f>
        <v>0</v>
      </c>
      <c r="L44" s="25" t="str">
        <f>_xll.BDH("NBIX US Equity","ST_CAPITAL_LEASE_OBLIGATIONS","FQ1 2021","FQ1 2021","Currency=USD","Period=FQ","BEST_FPERIOD_OVERRIDE=FQ","FILING_STATUS=MR","SCALING_FORMAT=MLN","Sort=A","Dates=H","DateFormat=P","Fill=—","Direction=H","UseDPDF=Y")</f>
        <v>—</v>
      </c>
      <c r="M44" s="25" t="str">
        <f>_xll.BDH("NBIX US Equity","ST_CAPITAL_LEASE_OBLIGATIONS","FQ2 2021","FQ2 2021","Currency=USD","Period=FQ","BEST_FPERIOD_OVERRIDE=FQ","FILING_STATUS=MR","SCALING_FORMAT=MLN","Sort=A","Dates=H","DateFormat=P","Fill=—","Direction=H","UseDPDF=Y")</f>
        <v>—</v>
      </c>
      <c r="N44" s="25" t="str">
        <f>_xll.BDH("NBIX US Equity","ST_CAPITAL_LEASE_OBLIGATIONS","FQ3 2021","FQ3 2021","Currency=USD","Period=FQ","BEST_FPERIOD_OVERRIDE=FQ","FILING_STATUS=MR","SCALING_FORMAT=MLN","Sort=A","Dates=H","DateFormat=P","Fill=—","Direction=H","UseDPDF=Y")</f>
        <v>—</v>
      </c>
      <c r="O44" s="25">
        <f>_xll.BDH("NBIX US Equity","ST_CAPITAL_LEASE_OBLIGATIONS","FQ4 2021","FQ4 2021","Currency=USD","Period=FQ","BEST_FPERIOD_OVERRIDE=FQ","FILING_STATUS=MR","SCALING_FORMAT=MLN","Sort=A","Dates=H","DateFormat=P","Fill=—","Direction=H","UseDPDF=Y")</f>
        <v>0</v>
      </c>
      <c r="P44" s="25" t="str">
        <f>_xll.BDH("NBIX US Equity","ST_CAPITAL_LEASE_OBLIGATIONS","FQ1 2022","FQ1 2022","Currency=USD","Period=FQ","BEST_FPERIOD_OVERRIDE=FQ","FILING_STATUS=MR","SCALING_FORMAT=MLN","Sort=A","Dates=H","DateFormat=P","Fill=—","Direction=H","UseDPDF=Y")</f>
        <v>—</v>
      </c>
      <c r="Q44" s="25" t="str">
        <f>_xll.BDH("NBIX US Equity","ST_CAPITAL_LEASE_OBLIGATIONS","FQ2 2022","FQ2 2022","Currency=USD","Period=FQ","BEST_FPERIOD_OVERRIDE=FQ","FILING_STATUS=MR","SCALING_FORMAT=MLN","Sort=A","Dates=H","DateFormat=P","Fill=—","Direction=H","UseDPDF=Y")</f>
        <v>—</v>
      </c>
      <c r="R44" s="25" t="str">
        <f>_xll.BDH("NBIX US Equity","ST_CAPITAL_LEASE_OBLIGATIONS","FQ3 2022","FQ3 2022","Currency=USD","Period=FQ","BEST_FPERIOD_OVERRIDE=FQ","FILING_STATUS=MR","SCALING_FORMAT=MLN","Sort=A","Dates=H","DateFormat=P","Fill=—","Direction=H","UseDPDF=Y")</f>
        <v>—</v>
      </c>
      <c r="S44" s="25" t="str">
        <f>_xll.BDH("NBIX US Equity","ST_CAPITAL_LEASE_OBLIGATIONS","FQ4 2022","FQ4 2022","Currency=USD","Period=FQ","BEST_FPERIOD_OVERRIDE=FQ","FILING_STATUS=MR","SCALING_FORMAT=MLN","Sort=A","Dates=H","DateFormat=P","Fill=—","Direction=H","UseDPDF=Y")</f>
        <v>—</v>
      </c>
      <c r="T44" s="25" t="str">
        <f>_xll.BDH("NBIX US Equity","ST_CAPITAL_LEASE_OBLIGATIONS","FQ1 2023","FQ1 2023","Currency=USD","Period=FQ","BEST_FPERIOD_OVERRIDE=FQ","FILING_STATUS=MR","SCALING_FORMAT=MLN","Sort=A","Dates=H","DateFormat=P","Fill=—","Direction=H","UseDPDF=Y")</f>
        <v>—</v>
      </c>
      <c r="U44" s="25" t="str">
        <f>_xll.BDH("NBIX US Equity","ST_CAPITAL_LEASE_OBLIGATIONS","FQ2 2023","FQ2 2023","Currency=USD","Period=FQ","BEST_FPERIOD_OVERRIDE=FQ","FILING_STATUS=MR","SCALING_FORMAT=MLN","Sort=A","Dates=H","DateFormat=P","Fill=—","Direction=H","UseDPDF=Y")</f>
        <v>—</v>
      </c>
      <c r="V44" s="25" t="str">
        <f>_xll.BDH("NBIX US Equity","ST_CAPITAL_LEASE_OBLIGATIONS","FQ3 2023","FQ3 2023","Currency=USD","Period=FQ","BEST_FPERIOD_OVERRIDE=FQ","FILING_STATUS=MR","SCALING_FORMAT=MLN","Sort=A","Dates=H","DateFormat=P","Fill=—","Direction=H","UseDPDF=Y")</f>
        <v>—</v>
      </c>
      <c r="W44" s="25" t="str">
        <f>_xll.BDH("NBIX US Equity","ST_CAPITAL_LEASE_OBLIGATIONS","FQ4 2023","FQ4 2023","Currency=USD","Period=FQ","BEST_FPERIOD_OVERRIDE=FQ","FILING_STATUS=MR","SCALING_FORMAT=MLN","Sort=A","Dates=H","DateFormat=P","Fill=—","Direction=H","UseDPDF=Y")</f>
        <v>—</v>
      </c>
      <c r="X44" s="25" t="str">
        <f>_xll.BDH("NBIX US Equity","ST_CAPITAL_LEASE_OBLIGATIONS","FQ1 2024","FQ1 2024","Currency=USD","Period=FQ","BEST_FPERIOD_OVERRIDE=FQ","FILING_STATUS=MR","SCALING_FORMAT=MLN","Sort=A","Dates=H","DateFormat=P","Fill=—","Direction=H","UseDPDF=Y")</f>
        <v>—</v>
      </c>
      <c r="Y44" s="25" t="str">
        <f>_xll.BDH("NBIX US Equity","ST_CAPITAL_LEASE_OBLIGATIONS","FQ2 2024","FQ2 2024","Currency=USD","Period=FQ","BEST_FPERIOD_OVERRIDE=FQ","FILING_STATUS=MR","SCALING_FORMAT=MLN","Sort=A","Dates=H","DateFormat=P","Fill=—","Direction=H","UseDPDF=Y")</f>
        <v>—</v>
      </c>
      <c r="Z44" s="25" t="str">
        <f>_xll.BDH("NBIX US Equity","ST_CAPITAL_LEASE_OBLIGATIONS","FQ3 2024","FQ3 2024","Currency=USD","Period=FQ","BEST_FPERIOD_OVERRIDE=FQ","FILING_STATUS=MR","SCALING_FORMAT=MLN","Sort=A","Dates=H","DateFormat=P","Fill=—","Direction=H","UseDPDF=Y")</f>
        <v>—</v>
      </c>
      <c r="AA44" s="25" t="str">
        <f>_xll.BDH("NBIX US Equity","ST_CAPITAL_LEASE_OBLIGATIONS","FQ4 2024","FQ4 2024","Currency=USD","Period=FQ","BEST_FPERIOD_OVERRIDE=FQ","FILING_STATUS=MR","SCALING_FORMAT=MLN","Sort=A","Dates=H","DateFormat=P","Fill=—","Direction=H","UseDPDF=Y")</f>
        <v>—</v>
      </c>
    </row>
    <row r="45" spans="1:27" x14ac:dyDescent="0.25">
      <c r="A45" s="11" t="s">
        <v>734</v>
      </c>
      <c r="B45" s="11" t="s">
        <v>735</v>
      </c>
      <c r="C45" s="25" t="str">
        <f>_xll.BDH("NBIX US Equity","BS_ST_OPERATING_LEASE_LIABS","FQ4 2018","FQ4 2018","Currency=USD","Period=FQ","BEST_FPERIOD_OVERRIDE=FQ","FILING_STATUS=MR","SCALING_FORMAT=MLN","Sort=A","Dates=H","DateFormat=P","Fill=—","Direction=H","UseDPDF=Y")</f>
        <v>—</v>
      </c>
      <c r="D45" s="25">
        <f>_xll.BDH("NBIX US Equity","BS_ST_OPERATING_LEASE_LIABS","FQ1 2019","FQ1 2019","Currency=USD","Period=FQ","BEST_FPERIOD_OVERRIDE=FQ","FILING_STATUS=MR","SCALING_FORMAT=MLN","Sort=A","Dates=H","DateFormat=P","Fill=—","Direction=H","UseDPDF=Y")</f>
        <v>3.2669999999999999</v>
      </c>
      <c r="E45" s="25">
        <f>_xll.BDH("NBIX US Equity","BS_ST_OPERATING_LEASE_LIABS","FQ2 2019","FQ2 2019","Currency=USD","Period=FQ","BEST_FPERIOD_OVERRIDE=FQ","FILING_STATUS=MR","SCALING_FORMAT=MLN","Sort=A","Dates=H","DateFormat=P","Fill=—","Direction=H","UseDPDF=Y")</f>
        <v>3.7490000000000001</v>
      </c>
      <c r="F45" s="25">
        <f>_xll.BDH("NBIX US Equity","BS_ST_OPERATING_LEASE_LIABS","FQ3 2019","FQ3 2019","Currency=USD","Period=FQ","BEST_FPERIOD_OVERRIDE=FQ","FILING_STATUS=MR","SCALING_FORMAT=MLN","Sort=A","Dates=H","DateFormat=P","Fill=—","Direction=H","UseDPDF=Y")</f>
        <v>8.1590000000000007</v>
      </c>
      <c r="G45" s="25">
        <f>_xll.BDH("NBIX US Equity","BS_ST_OPERATING_LEASE_LIABS","FQ4 2019","FQ4 2019","Currency=USD","Period=FQ","BEST_FPERIOD_OVERRIDE=FQ","FILING_STATUS=MR","SCALING_FORMAT=MLN","Sort=A","Dates=H","DateFormat=P","Fill=—","Direction=H","UseDPDF=Y")</f>
        <v>8.282</v>
      </c>
      <c r="H45" s="25">
        <f>_xll.BDH("NBIX US Equity","BS_ST_OPERATING_LEASE_LIABS","FQ1 2020","FQ1 2020","Currency=USD","Period=FQ","BEST_FPERIOD_OVERRIDE=FQ","FILING_STATUS=MR","SCALING_FORMAT=MLN","Sort=A","Dates=H","DateFormat=P","Fill=—","Direction=H","UseDPDF=Y")</f>
        <v>8.8000000000000007</v>
      </c>
      <c r="I45" s="25">
        <f>_xll.BDH("NBIX US Equity","BS_ST_OPERATING_LEASE_LIABS","FQ2 2020","FQ2 2020","Currency=USD","Period=FQ","BEST_FPERIOD_OVERRIDE=FQ","FILING_STATUS=MR","SCALING_FORMAT=MLN","Sort=A","Dates=H","DateFormat=P","Fill=—","Direction=H","UseDPDF=Y")</f>
        <v>9.1999999999999993</v>
      </c>
      <c r="J45" s="25">
        <f>_xll.BDH("NBIX US Equity","BS_ST_OPERATING_LEASE_LIABS","FQ3 2020","FQ3 2020","Currency=USD","Period=FQ","BEST_FPERIOD_OVERRIDE=FQ","FILING_STATUS=MR","SCALING_FORMAT=MLN","Sort=A","Dates=H","DateFormat=P","Fill=—","Direction=H","UseDPDF=Y")</f>
        <v>9.6999999999999993</v>
      </c>
      <c r="K45" s="25">
        <f>_xll.BDH("NBIX US Equity","BS_ST_OPERATING_LEASE_LIABS","FQ4 2020","FQ4 2020","Currency=USD","Period=FQ","BEST_FPERIOD_OVERRIDE=FQ","FILING_STATUS=MR","SCALING_FORMAT=MLN","Sort=A","Dates=H","DateFormat=P","Fill=—","Direction=H","UseDPDF=Y")</f>
        <v>10.3</v>
      </c>
      <c r="L45" s="25">
        <f>_xll.BDH("NBIX US Equity","BS_ST_OPERATING_LEASE_LIABS","FQ1 2021","FQ1 2021","Currency=USD","Period=FQ","BEST_FPERIOD_OVERRIDE=FQ","FILING_STATUS=MR","SCALING_FORMAT=MLN","Sort=A","Dates=H","DateFormat=P","Fill=—","Direction=H","UseDPDF=Y")</f>
        <v>12.2</v>
      </c>
      <c r="M45" s="25">
        <f>_xll.BDH("NBIX US Equity","BS_ST_OPERATING_LEASE_LIABS","FQ2 2021","FQ2 2021","Currency=USD","Period=FQ","BEST_FPERIOD_OVERRIDE=FQ","FILING_STATUS=MR","SCALING_FORMAT=MLN","Sort=A","Dates=H","DateFormat=P","Fill=—","Direction=H","UseDPDF=Y")</f>
        <v>15</v>
      </c>
      <c r="N45" s="25">
        <f>_xll.BDH("NBIX US Equity","BS_ST_OPERATING_LEASE_LIABS","FQ3 2021","FQ3 2021","Currency=USD","Period=FQ","BEST_FPERIOD_OVERRIDE=FQ","FILING_STATUS=MR","SCALING_FORMAT=MLN","Sort=A","Dates=H","DateFormat=P","Fill=—","Direction=H","UseDPDF=Y")</f>
        <v>15.5</v>
      </c>
      <c r="O45" s="25">
        <f>_xll.BDH("NBIX US Equity","BS_ST_OPERATING_LEASE_LIABS","FQ4 2021","FQ4 2021","Currency=USD","Period=FQ","BEST_FPERIOD_OVERRIDE=FQ","FILING_STATUS=MR","SCALING_FORMAT=MLN","Sort=A","Dates=H","DateFormat=P","Fill=—","Direction=H","UseDPDF=Y")</f>
        <v>16.5</v>
      </c>
      <c r="P45" s="25">
        <f>_xll.BDH("NBIX US Equity","BS_ST_OPERATING_LEASE_LIABS","FQ1 2022","FQ1 2022","Currency=USD","Period=FQ","BEST_FPERIOD_OVERRIDE=FQ","FILING_STATUS=MR","SCALING_FORMAT=MLN","Sort=A","Dates=H","DateFormat=P","Fill=—","Direction=H","UseDPDF=Y")</f>
        <v>16.899999999999999</v>
      </c>
      <c r="Q45" s="25">
        <f>_xll.BDH("NBIX US Equity","BS_ST_OPERATING_LEASE_LIABS","FQ2 2022","FQ2 2022","Currency=USD","Period=FQ","BEST_FPERIOD_OVERRIDE=FQ","FILING_STATUS=MR","SCALING_FORMAT=MLN","Sort=A","Dates=H","DateFormat=P","Fill=—","Direction=H","UseDPDF=Y")</f>
        <v>17.100000000000001</v>
      </c>
      <c r="R45" s="25">
        <f>_xll.BDH("NBIX US Equity","BS_ST_OPERATING_LEASE_LIABS","FQ3 2022","FQ3 2022","Currency=USD","Period=FQ","BEST_FPERIOD_OVERRIDE=FQ","FILING_STATUS=MR","SCALING_FORMAT=MLN","Sort=A","Dates=H","DateFormat=P","Fill=—","Direction=H","UseDPDF=Y")</f>
        <v>17.3</v>
      </c>
      <c r="S45" s="25" t="str">
        <f>_xll.BDH("NBIX US Equity","BS_ST_OPERATING_LEASE_LIABS","FQ4 2022","FQ4 2022","Currency=USD","Period=FQ","BEST_FPERIOD_OVERRIDE=FQ","FILING_STATUS=MR","SCALING_FORMAT=MLN","Sort=A","Dates=H","DateFormat=P","Fill=—","Direction=H","UseDPDF=Y")</f>
        <v>—</v>
      </c>
      <c r="T45" s="25" t="str">
        <f>_xll.BDH("NBIX US Equity","BS_ST_OPERATING_LEASE_LIABS","FQ1 2023","FQ1 2023","Currency=USD","Period=FQ","BEST_FPERIOD_OVERRIDE=FQ","FILING_STATUS=MR","SCALING_FORMAT=MLN","Sort=A","Dates=H","DateFormat=P","Fill=—","Direction=H","UseDPDF=Y")</f>
        <v>—</v>
      </c>
      <c r="U45" s="25">
        <f>_xll.BDH("NBIX US Equity","BS_ST_OPERATING_LEASE_LIABS","FQ2 2023","FQ2 2023","Currency=USD","Period=FQ","BEST_FPERIOD_OVERRIDE=FQ","FILING_STATUS=MR","SCALING_FORMAT=MLN","Sort=A","Dates=H","DateFormat=P","Fill=—","Direction=H","UseDPDF=Y")</f>
        <v>17.7</v>
      </c>
      <c r="V45" s="25">
        <f>_xll.BDH("NBIX US Equity","BS_ST_OPERATING_LEASE_LIABS","FQ3 2023","FQ3 2023","Currency=USD","Period=FQ","BEST_FPERIOD_OVERRIDE=FQ","FILING_STATUS=MR","SCALING_FORMAT=MLN","Sort=A","Dates=H","DateFormat=P","Fill=—","Direction=H","UseDPDF=Y")</f>
        <v>17.8</v>
      </c>
      <c r="W45" s="25">
        <f>_xll.BDH("NBIX US Equity","BS_ST_OPERATING_LEASE_LIABS","FQ4 2023","FQ4 2023","Currency=USD","Period=FQ","BEST_FPERIOD_OVERRIDE=FQ","FILING_STATUS=MR","SCALING_FORMAT=MLN","Sort=A","Dates=H","DateFormat=P","Fill=—","Direction=H","UseDPDF=Y")</f>
        <v>32</v>
      </c>
      <c r="X45" s="25">
        <f>_xll.BDH("NBIX US Equity","BS_ST_OPERATING_LEASE_LIABS","FQ1 2024","FQ1 2024","Currency=USD","Period=FQ","BEST_FPERIOD_OVERRIDE=FQ","FILING_STATUS=MR","SCALING_FORMAT=MLN","Sort=A","Dates=H","DateFormat=P","Fill=—","Direction=H","UseDPDF=Y")</f>
        <v>35</v>
      </c>
      <c r="Y45" s="25">
        <f>_xll.BDH("NBIX US Equity","BS_ST_OPERATING_LEASE_LIABS","FQ2 2024","FQ2 2024","Currency=USD","Period=FQ","BEST_FPERIOD_OVERRIDE=FQ","FILING_STATUS=MR","SCALING_FORMAT=MLN","Sort=A","Dates=H","DateFormat=P","Fill=—","Direction=H","UseDPDF=Y")</f>
        <v>35.4</v>
      </c>
      <c r="Z45" s="25">
        <f>_xll.BDH("NBIX US Equity","BS_ST_OPERATING_LEASE_LIABS","FQ3 2024","FQ3 2024","Currency=USD","Period=FQ","BEST_FPERIOD_OVERRIDE=FQ","FILING_STATUS=MR","SCALING_FORMAT=MLN","Sort=A","Dates=H","DateFormat=P","Fill=—","Direction=H","UseDPDF=Y")</f>
        <v>34.799999999999997</v>
      </c>
      <c r="AA45" s="25">
        <f>_xll.BDH("NBIX US Equity","BS_ST_OPERATING_LEASE_LIABS","FQ4 2024","FQ4 2024","Currency=USD","Period=FQ","BEST_FPERIOD_OVERRIDE=FQ","FILING_STATUS=MR","SCALING_FORMAT=MLN","Sort=A","Dates=H","DateFormat=P","Fill=—","Direction=H","UseDPDF=Y")</f>
        <v>40.6</v>
      </c>
    </row>
    <row r="46" spans="1:27" x14ac:dyDescent="0.25">
      <c r="A46" s="10" t="s">
        <v>736</v>
      </c>
      <c r="B46" s="10" t="s">
        <v>737</v>
      </c>
      <c r="C46" s="13" t="str">
        <f>_xll.BDH("NBIX US Equity","BS_CURR_PORTION_LT_DEBT","FQ4 2018","FQ4 2018","Currency=USD","Period=FQ","BEST_FPERIOD_OVERRIDE=FQ","FILING_STATUS=MR","SCALING_FORMAT=MLN","Sort=A","Dates=H","DateFormat=P","Fill=—","Direction=H","UseDPDF=Y")</f>
        <v>—</v>
      </c>
      <c r="D46" s="13" t="str">
        <f>_xll.BDH("NBIX US Equity","BS_CURR_PORTION_LT_DEBT","FQ1 2019","FQ1 2019","Currency=USD","Period=FQ","BEST_FPERIOD_OVERRIDE=FQ","FILING_STATUS=MR","SCALING_FORMAT=MLN","Sort=A","Dates=H","DateFormat=P","Fill=—","Direction=H","UseDPDF=Y")</f>
        <v>—</v>
      </c>
      <c r="E46" s="13" t="str">
        <f>_xll.BDH("NBIX US Equity","BS_CURR_PORTION_LT_DEBT","FQ2 2019","FQ2 2019","Currency=USD","Period=FQ","BEST_FPERIOD_OVERRIDE=FQ","FILING_STATUS=MR","SCALING_FORMAT=MLN","Sort=A","Dates=H","DateFormat=P","Fill=—","Direction=H","UseDPDF=Y")</f>
        <v>—</v>
      </c>
      <c r="F46" s="13" t="str">
        <f>_xll.BDH("NBIX US Equity","BS_CURR_PORTION_LT_DEBT","FQ3 2019","FQ3 2019","Currency=USD","Period=FQ","BEST_FPERIOD_OVERRIDE=FQ","FILING_STATUS=MR","SCALING_FORMAT=MLN","Sort=A","Dates=H","DateFormat=P","Fill=—","Direction=H","UseDPDF=Y")</f>
        <v>—</v>
      </c>
      <c r="G46" s="13" t="str">
        <f>_xll.BDH("NBIX US Equity","BS_CURR_PORTION_LT_DEBT","FQ4 2019","FQ4 2019","Currency=USD","Period=FQ","BEST_FPERIOD_OVERRIDE=FQ","FILING_STATUS=MR","SCALING_FORMAT=MLN","Sort=A","Dates=H","DateFormat=P","Fill=—","Direction=H","UseDPDF=Y")</f>
        <v>—</v>
      </c>
      <c r="H46" s="13" t="str">
        <f>_xll.BDH("NBIX US Equity","BS_CURR_PORTION_LT_DEBT","FQ1 2020","FQ1 2020","Currency=USD","Period=FQ","BEST_FPERIOD_OVERRIDE=FQ","FILING_STATUS=MR","SCALING_FORMAT=MLN","Sort=A","Dates=H","DateFormat=P","Fill=—","Direction=H","UseDPDF=Y")</f>
        <v>—</v>
      </c>
      <c r="I46" s="13" t="str">
        <f>_xll.BDH("NBIX US Equity","BS_CURR_PORTION_LT_DEBT","FQ2 2020","FQ2 2020","Currency=USD","Period=FQ","BEST_FPERIOD_OVERRIDE=FQ","FILING_STATUS=MR","SCALING_FORMAT=MLN","Sort=A","Dates=H","DateFormat=P","Fill=—","Direction=H","UseDPDF=Y")</f>
        <v>—</v>
      </c>
      <c r="J46" s="13" t="str">
        <f>_xll.BDH("NBIX US Equity","BS_CURR_PORTION_LT_DEBT","FQ3 2020","FQ3 2020","Currency=USD","Period=FQ","BEST_FPERIOD_OVERRIDE=FQ","FILING_STATUS=MR","SCALING_FORMAT=MLN","Sort=A","Dates=H","DateFormat=P","Fill=—","Direction=H","UseDPDF=Y")</f>
        <v>—</v>
      </c>
      <c r="K46" s="13" t="str">
        <f>_xll.BDH("NBIX US Equity","BS_CURR_PORTION_LT_DEBT","FQ4 2020","FQ4 2020","Currency=USD","Period=FQ","BEST_FPERIOD_OVERRIDE=FQ","FILING_STATUS=MR","SCALING_FORMAT=MLN","Sort=A","Dates=H","DateFormat=P","Fill=—","Direction=H","UseDPDF=Y")</f>
        <v>—</v>
      </c>
      <c r="L46" s="13" t="str">
        <f>_xll.BDH("NBIX US Equity","BS_CURR_PORTION_LT_DEBT","FQ1 2021","FQ1 2021","Currency=USD","Period=FQ","BEST_FPERIOD_OVERRIDE=FQ","FILING_STATUS=MR","SCALING_FORMAT=MLN","Sort=A","Dates=H","DateFormat=P","Fill=—","Direction=H","UseDPDF=Y")</f>
        <v>—</v>
      </c>
      <c r="M46" s="13" t="str">
        <f>_xll.BDH("NBIX US Equity","BS_CURR_PORTION_LT_DEBT","FQ2 2021","FQ2 2021","Currency=USD","Period=FQ","BEST_FPERIOD_OVERRIDE=FQ","FILING_STATUS=MR","SCALING_FORMAT=MLN","Sort=A","Dates=H","DateFormat=P","Fill=—","Direction=H","UseDPDF=Y")</f>
        <v>—</v>
      </c>
      <c r="N46" s="13" t="str">
        <f>_xll.BDH("NBIX US Equity","BS_CURR_PORTION_LT_DEBT","FQ3 2021","FQ3 2021","Currency=USD","Period=FQ","BEST_FPERIOD_OVERRIDE=FQ","FILING_STATUS=MR","SCALING_FORMAT=MLN","Sort=A","Dates=H","DateFormat=P","Fill=—","Direction=H","UseDPDF=Y")</f>
        <v>—</v>
      </c>
      <c r="O46" s="13" t="str">
        <f>_xll.BDH("NBIX US Equity","BS_CURR_PORTION_LT_DEBT","FQ4 2021","FQ4 2021","Currency=USD","Period=FQ","BEST_FPERIOD_OVERRIDE=FQ","FILING_STATUS=MR","SCALING_FORMAT=MLN","Sort=A","Dates=H","DateFormat=P","Fill=—","Direction=H","UseDPDF=Y")</f>
        <v>—</v>
      </c>
      <c r="P46" s="13" t="str">
        <f>_xll.BDH("NBIX US Equity","BS_CURR_PORTION_LT_DEBT","FQ1 2022","FQ1 2022","Currency=USD","Period=FQ","BEST_FPERIOD_OVERRIDE=FQ","FILING_STATUS=MR","SCALING_FORMAT=MLN","Sort=A","Dates=H","DateFormat=P","Fill=—","Direction=H","UseDPDF=Y")</f>
        <v>—</v>
      </c>
      <c r="Q46" s="13" t="str">
        <f>_xll.BDH("NBIX US Equity","BS_CURR_PORTION_LT_DEBT","FQ2 2022","FQ2 2022","Currency=USD","Period=FQ","BEST_FPERIOD_OVERRIDE=FQ","FILING_STATUS=MR","SCALING_FORMAT=MLN","Sort=A","Dates=H","DateFormat=P","Fill=—","Direction=H","UseDPDF=Y")</f>
        <v>—</v>
      </c>
      <c r="R46" s="13" t="str">
        <f>_xll.BDH("NBIX US Equity","BS_CURR_PORTION_LT_DEBT","FQ3 2022","FQ3 2022","Currency=USD","Period=FQ","BEST_FPERIOD_OVERRIDE=FQ","FILING_STATUS=MR","SCALING_FORMAT=MLN","Sort=A","Dates=H","DateFormat=P","Fill=—","Direction=H","UseDPDF=Y")</f>
        <v>—</v>
      </c>
      <c r="S46" s="13" t="str">
        <f>_xll.BDH("NBIX US Equity","BS_CURR_PORTION_LT_DEBT","FQ4 2022","FQ4 2022","Currency=USD","Period=FQ","BEST_FPERIOD_OVERRIDE=FQ","FILING_STATUS=MR","SCALING_FORMAT=MLN","Sort=A","Dates=H","DateFormat=P","Fill=—","Direction=H","UseDPDF=Y")</f>
        <v>—</v>
      </c>
      <c r="T46" s="13" t="str">
        <f>_xll.BDH("NBIX US Equity","BS_CURR_PORTION_LT_DEBT","FQ1 2023","FQ1 2023","Currency=USD","Period=FQ","BEST_FPERIOD_OVERRIDE=FQ","FILING_STATUS=MR","SCALING_FORMAT=MLN","Sort=A","Dates=H","DateFormat=P","Fill=—","Direction=H","UseDPDF=Y")</f>
        <v>—</v>
      </c>
      <c r="U46" s="13" t="str">
        <f>_xll.BDH("NBIX US Equity","BS_CURR_PORTION_LT_DEBT","FQ2 2023","FQ2 2023","Currency=USD","Period=FQ","BEST_FPERIOD_OVERRIDE=FQ","FILING_STATUS=MR","SCALING_FORMAT=MLN","Sort=A","Dates=H","DateFormat=P","Fill=—","Direction=H","UseDPDF=Y")</f>
        <v>—</v>
      </c>
      <c r="V46" s="13" t="str">
        <f>_xll.BDH("NBIX US Equity","BS_CURR_PORTION_LT_DEBT","FQ3 2023","FQ3 2023","Currency=USD","Period=FQ","BEST_FPERIOD_OVERRIDE=FQ","FILING_STATUS=MR","SCALING_FORMAT=MLN","Sort=A","Dates=H","DateFormat=P","Fill=—","Direction=H","UseDPDF=Y")</f>
        <v>—</v>
      </c>
      <c r="W46" s="13" t="str">
        <f>_xll.BDH("NBIX US Equity","BS_CURR_PORTION_LT_DEBT","FQ4 2023","FQ4 2023","Currency=USD","Period=FQ","BEST_FPERIOD_OVERRIDE=FQ","FILING_STATUS=MR","SCALING_FORMAT=MLN","Sort=A","Dates=H","DateFormat=P","Fill=—","Direction=H","UseDPDF=Y")</f>
        <v>—</v>
      </c>
      <c r="X46" s="13" t="str">
        <f>_xll.BDH("NBIX US Equity","BS_CURR_PORTION_LT_DEBT","FQ1 2024","FQ1 2024","Currency=USD","Period=FQ","BEST_FPERIOD_OVERRIDE=FQ","FILING_STATUS=MR","SCALING_FORMAT=MLN","Sort=A","Dates=H","DateFormat=P","Fill=—","Direction=H","UseDPDF=Y")</f>
        <v>—</v>
      </c>
      <c r="Y46" s="13" t="str">
        <f>_xll.BDH("NBIX US Equity","BS_CURR_PORTION_LT_DEBT","FQ2 2024","FQ2 2024","Currency=USD","Period=FQ","BEST_FPERIOD_OVERRIDE=FQ","FILING_STATUS=MR","SCALING_FORMAT=MLN","Sort=A","Dates=H","DateFormat=P","Fill=—","Direction=H","UseDPDF=Y")</f>
        <v>—</v>
      </c>
      <c r="Z46" s="13" t="str">
        <f>_xll.BDH("NBIX US Equity","BS_CURR_PORTION_LT_DEBT","FQ3 2024","FQ3 2024","Currency=USD","Period=FQ","BEST_FPERIOD_OVERRIDE=FQ","FILING_STATUS=MR","SCALING_FORMAT=MLN","Sort=A","Dates=H","DateFormat=P","Fill=—","Direction=H","UseDPDF=Y")</f>
        <v>—</v>
      </c>
      <c r="AA46" s="13" t="str">
        <f>_xll.BDH("NBIX US Equity","BS_CURR_PORTION_LT_DEBT","FQ4 2024","FQ4 2024","Currency=USD","Period=FQ","BEST_FPERIOD_OVERRIDE=FQ","FILING_STATUS=MR","SCALING_FORMAT=MLN","Sort=A","Dates=H","DateFormat=P","Fill=—","Direction=H","UseDPDF=Y")</f>
        <v>—</v>
      </c>
    </row>
    <row r="47" spans="1:27" x14ac:dyDescent="0.25">
      <c r="A47" s="10" t="s">
        <v>738</v>
      </c>
      <c r="B47" s="10" t="s">
        <v>739</v>
      </c>
      <c r="C47" s="13">
        <f>_xll.BDH("NBIX US Equity","OTHER_CURRENT_LIABS_SUB_DETAILED","FQ4 2018","FQ4 2018","Currency=USD","Period=FQ","BEST_FPERIOD_OVERRIDE=FQ","FILING_STATUS=MR","SCALING_FORMAT=MLN","Sort=A","Dates=H","DateFormat=P","Fill=—","Direction=H","UseDPDF=Y")</f>
        <v>40.021999999999998</v>
      </c>
      <c r="D47" s="13">
        <f>_xll.BDH("NBIX US Equity","OTHER_CURRENT_LIABS_SUB_DETAILED","FQ1 2019","FQ1 2019","Currency=USD","Period=FQ","BEST_FPERIOD_OVERRIDE=FQ","FILING_STATUS=MR","SCALING_FORMAT=MLN","Sort=A","Dates=H","DateFormat=P","Fill=—","Direction=H","UseDPDF=Y")</f>
        <v>0.45600000000000002</v>
      </c>
      <c r="E47" s="13">
        <f>_xll.BDH("NBIX US Equity","OTHER_CURRENT_LIABS_SUB_DETAILED","FQ2 2019","FQ2 2019","Currency=USD","Period=FQ","BEST_FPERIOD_OVERRIDE=FQ","FILING_STATUS=MR","SCALING_FORMAT=MLN","Sort=A","Dates=H","DateFormat=P","Fill=—","Direction=H","UseDPDF=Y")</f>
        <v>1.8129999999999999</v>
      </c>
      <c r="F47" s="13">
        <f>_xll.BDH("NBIX US Equity","OTHER_CURRENT_LIABS_SUB_DETAILED","FQ3 2019","FQ3 2019","Currency=USD","Period=FQ","BEST_FPERIOD_OVERRIDE=FQ","FILING_STATUS=MR","SCALING_FORMAT=MLN","Sort=A","Dates=H","DateFormat=P","Fill=—","Direction=H","UseDPDF=Y")</f>
        <v>5.1360000000000001</v>
      </c>
      <c r="G47" s="13">
        <f>_xll.BDH("NBIX US Equity","OTHER_CURRENT_LIABS_SUB_DETAILED","FQ4 2019","FQ4 2019","Currency=USD","Period=FQ","BEST_FPERIOD_OVERRIDE=FQ","FILING_STATUS=MR","SCALING_FORMAT=MLN","Sort=A","Dates=H","DateFormat=P","Fill=—","Direction=H","UseDPDF=Y")</f>
        <v>48.317999999999998</v>
      </c>
      <c r="H47" s="13">
        <f>_xll.BDH("NBIX US Equity","OTHER_CURRENT_LIABS_SUB_DETAILED","FQ1 2020","FQ1 2020","Currency=USD","Period=FQ","BEST_FPERIOD_OVERRIDE=FQ","FILING_STATUS=MR","SCALING_FORMAT=MLN","Sort=A","Dates=H","DateFormat=P","Fill=—","Direction=H","UseDPDF=Y")</f>
        <v>5.6</v>
      </c>
      <c r="I47" s="13">
        <f>_xll.BDH("NBIX US Equity","OTHER_CURRENT_LIABS_SUB_DETAILED","FQ2 2020","FQ2 2020","Currency=USD","Period=FQ","BEST_FPERIOD_OVERRIDE=FQ","FILING_STATUS=MR","SCALING_FORMAT=MLN","Sort=A","Dates=H","DateFormat=P","Fill=—","Direction=H","UseDPDF=Y")</f>
        <v>7.2</v>
      </c>
      <c r="J47" s="13">
        <f>_xll.BDH("NBIX US Equity","OTHER_CURRENT_LIABS_SUB_DETAILED","FQ3 2020","FQ3 2020","Currency=USD","Period=FQ","BEST_FPERIOD_OVERRIDE=FQ","FILING_STATUS=MR","SCALING_FORMAT=MLN","Sort=A","Dates=H","DateFormat=P","Fill=—","Direction=H","UseDPDF=Y")</f>
        <v>5.8</v>
      </c>
      <c r="K47" s="13">
        <f>_xll.BDH("NBIX US Equity","OTHER_CURRENT_LIABS_SUB_DETAILED","FQ4 2020","FQ4 2020","Currency=USD","Period=FQ","BEST_FPERIOD_OVERRIDE=FQ","FILING_STATUS=MR","SCALING_FORMAT=MLN","Sort=A","Dates=H","DateFormat=P","Fill=—","Direction=H","UseDPDF=Y")</f>
        <v>46.9</v>
      </c>
      <c r="L47" s="13">
        <f>_xll.BDH("NBIX US Equity","OTHER_CURRENT_LIABS_SUB_DETAILED","FQ1 2021","FQ1 2021","Currency=USD","Period=FQ","BEST_FPERIOD_OVERRIDE=FQ","FILING_STATUS=MR","SCALING_FORMAT=MLN","Sort=A","Dates=H","DateFormat=P","Fill=—","Direction=H","UseDPDF=Y")</f>
        <v>5.9</v>
      </c>
      <c r="M47" s="13">
        <f>_xll.BDH("NBIX US Equity","OTHER_CURRENT_LIABS_SUB_DETAILED","FQ2 2021","FQ2 2021","Currency=USD","Period=FQ","BEST_FPERIOD_OVERRIDE=FQ","FILING_STATUS=MR","SCALING_FORMAT=MLN","Sort=A","Dates=H","DateFormat=P","Fill=—","Direction=H","UseDPDF=Y")</f>
        <v>7</v>
      </c>
      <c r="N47" s="13">
        <f>_xll.BDH("NBIX US Equity","OTHER_CURRENT_LIABS_SUB_DETAILED","FQ3 2021","FQ3 2021","Currency=USD","Period=FQ","BEST_FPERIOD_OVERRIDE=FQ","FILING_STATUS=MR","SCALING_FORMAT=MLN","Sort=A","Dates=H","DateFormat=P","Fill=—","Direction=H","UseDPDF=Y")</f>
        <v>4.5</v>
      </c>
      <c r="O47" s="13">
        <f>_xll.BDH("NBIX US Equity","OTHER_CURRENT_LIABS_SUB_DETAILED","FQ4 2021","FQ4 2021","Currency=USD","Period=FQ","BEST_FPERIOD_OVERRIDE=FQ","FILING_STATUS=MR","SCALING_FORMAT=MLN","Sort=A","Dates=H","DateFormat=P","Fill=—","Direction=H","UseDPDF=Y")</f>
        <v>55</v>
      </c>
      <c r="P47" s="13">
        <f>_xll.BDH("NBIX US Equity","OTHER_CURRENT_LIABS_SUB_DETAILED","FQ1 2022","FQ1 2022","Currency=USD","Period=FQ","BEST_FPERIOD_OVERRIDE=FQ","FILING_STATUS=MR","SCALING_FORMAT=MLN","Sort=A","Dates=H","DateFormat=P","Fill=—","Direction=H","UseDPDF=Y")</f>
        <v>0.7</v>
      </c>
      <c r="Q47" s="13">
        <f>_xll.BDH("NBIX US Equity","OTHER_CURRENT_LIABS_SUB_DETAILED","FQ2 2022","FQ2 2022","Currency=USD","Period=FQ","BEST_FPERIOD_OVERRIDE=FQ","FILING_STATUS=MR","SCALING_FORMAT=MLN","Sort=A","Dates=H","DateFormat=P","Fill=—","Direction=H","UseDPDF=Y")</f>
        <v>2.9</v>
      </c>
      <c r="R47" s="13">
        <f>_xll.BDH("NBIX US Equity","OTHER_CURRENT_LIABS_SUB_DETAILED","FQ3 2022","FQ3 2022","Currency=USD","Period=FQ","BEST_FPERIOD_OVERRIDE=FQ","FILING_STATUS=MR","SCALING_FORMAT=MLN","Sort=A","Dates=H","DateFormat=P","Fill=—","Direction=H","UseDPDF=Y")</f>
        <v>0.8</v>
      </c>
      <c r="S47" s="13">
        <f>_xll.BDH("NBIX US Equity","OTHER_CURRENT_LIABS_SUB_DETAILED","FQ4 2022","FQ4 2022","Currency=USD","Period=FQ","BEST_FPERIOD_OVERRIDE=FQ","FILING_STATUS=MR","SCALING_FORMAT=MLN","Sort=A","Dates=H","DateFormat=P","Fill=—","Direction=H","UseDPDF=Y")</f>
        <v>97</v>
      </c>
      <c r="T47" s="13">
        <f>_xll.BDH("NBIX US Equity","OTHER_CURRENT_LIABS_SUB_DETAILED","FQ1 2023","FQ1 2023","Currency=USD","Period=FQ","BEST_FPERIOD_OVERRIDE=FQ","FILING_STATUS=MR","SCALING_FORMAT=MLN","Sort=A","Dates=H","DateFormat=P","Fill=—","Direction=H","UseDPDF=Y")</f>
        <v>18.399999999999999</v>
      </c>
      <c r="U47" s="13">
        <f>_xll.BDH("NBIX US Equity","OTHER_CURRENT_LIABS_SUB_DETAILED","FQ2 2023","FQ2 2023","Currency=USD","Period=FQ","BEST_FPERIOD_OVERRIDE=FQ","FILING_STATUS=MR","SCALING_FORMAT=MLN","Sort=A","Dates=H","DateFormat=P","Fill=—","Direction=H","UseDPDF=Y")</f>
        <v>3.5</v>
      </c>
      <c r="V47" s="13">
        <f>_xll.BDH("NBIX US Equity","OTHER_CURRENT_LIABS_SUB_DETAILED","FQ3 2023","FQ3 2023","Currency=USD","Period=FQ","BEST_FPERIOD_OVERRIDE=FQ","FILING_STATUS=MR","SCALING_FORMAT=MLN","Sort=A","Dates=H","DateFormat=P","Fill=—","Direction=H","UseDPDF=Y")</f>
        <v>0.9</v>
      </c>
      <c r="W47" s="13">
        <f>_xll.BDH("NBIX US Equity","OTHER_CURRENT_LIABS_SUB_DETAILED","FQ4 2023","FQ4 2023","Currency=USD","Period=FQ","BEST_FPERIOD_OVERRIDE=FQ","FILING_STATUS=MR","SCALING_FORMAT=MLN","Sort=A","Dates=H","DateFormat=P","Fill=—","Direction=H","UseDPDF=Y")</f>
        <v>112.8</v>
      </c>
      <c r="X47" s="13">
        <f>_xll.BDH("NBIX US Equity","OTHER_CURRENT_LIABS_SUB_DETAILED","FQ1 2024","FQ1 2024","Currency=USD","Period=FQ","BEST_FPERIOD_OVERRIDE=FQ","FILING_STATUS=MR","SCALING_FORMAT=MLN","Sort=A","Dates=H","DateFormat=P","Fill=—","Direction=H","UseDPDF=Y")</f>
        <v>137.9</v>
      </c>
      <c r="Y47" s="13">
        <f>_xll.BDH("NBIX US Equity","OTHER_CURRENT_LIABS_SUB_DETAILED","FQ2 2024","FQ2 2024","Currency=USD","Period=FQ","BEST_FPERIOD_OVERRIDE=FQ","FILING_STATUS=MR","SCALING_FORMAT=MLN","Sort=A","Dates=H","DateFormat=P","Fill=—","Direction=H","UseDPDF=Y")</f>
        <v>4.5999999999999996</v>
      </c>
      <c r="Z47" s="13">
        <f>_xll.BDH("NBIX US Equity","OTHER_CURRENT_LIABS_SUB_DETAILED","FQ3 2024","FQ3 2024","Currency=USD","Period=FQ","BEST_FPERIOD_OVERRIDE=FQ","FILING_STATUS=MR","SCALING_FORMAT=MLN","Sort=A","Dates=H","DateFormat=P","Fill=—","Direction=H","UseDPDF=Y")</f>
        <v>2.2000000000000002</v>
      </c>
      <c r="AA47" s="13">
        <f>_xll.BDH("NBIX US Equity","OTHER_CURRENT_LIABS_SUB_DETAILED","FQ4 2024","FQ4 2024","Currency=USD","Period=FQ","BEST_FPERIOD_OVERRIDE=FQ","FILING_STATUS=MR","SCALING_FORMAT=MLN","Sort=A","Dates=H","DateFormat=P","Fill=—","Direction=H","UseDPDF=Y")</f>
        <v>5.5</v>
      </c>
    </row>
    <row r="48" spans="1:27" x14ac:dyDescent="0.25">
      <c r="A48" s="10" t="s">
        <v>740</v>
      </c>
      <c r="B48" s="10" t="s">
        <v>741</v>
      </c>
      <c r="C48" s="13">
        <f>_xll.BDH("NBIX US Equity","ST_DEFERRED_REVENUE","FQ4 2018","FQ4 2018","Currency=USD","Period=FQ","BEST_FPERIOD_OVERRIDE=FQ","FILING_STATUS=MR","SCALING_FORMAT=MLN","Sort=A","Dates=H","DateFormat=P","Fill=—","Direction=H","UseDPDF=Y")</f>
        <v>0</v>
      </c>
      <c r="D48" s="13">
        <f>_xll.BDH("NBIX US Equity","ST_DEFERRED_REVENUE","FQ1 2019","FQ1 2019","Currency=USD","Period=FQ","BEST_FPERIOD_OVERRIDE=FQ","FILING_STATUS=MR","SCALING_FORMAT=MLN","Sort=A","Dates=H","DateFormat=P","Fill=—","Direction=H","UseDPDF=Y")</f>
        <v>0</v>
      </c>
      <c r="E48" s="13">
        <f>_xll.BDH("NBIX US Equity","ST_DEFERRED_REVENUE","FQ2 2019","FQ2 2019","Currency=USD","Period=FQ","BEST_FPERIOD_OVERRIDE=FQ","FILING_STATUS=MR","SCALING_FORMAT=MLN","Sort=A","Dates=H","DateFormat=P","Fill=—","Direction=H","UseDPDF=Y")</f>
        <v>0</v>
      </c>
      <c r="F48" s="13" t="str">
        <f>_xll.BDH("NBIX US Equity","ST_DEFERRED_REVENUE","FQ3 2019","FQ3 2019","Currency=USD","Period=FQ","BEST_FPERIOD_OVERRIDE=FQ","FILING_STATUS=MR","SCALING_FORMAT=MLN","Sort=A","Dates=H","DateFormat=P","Fill=—","Direction=H","UseDPDF=Y")</f>
        <v>—</v>
      </c>
      <c r="G48" s="13">
        <f>_xll.BDH("NBIX US Equity","ST_DEFERRED_REVENUE","FQ4 2019","FQ4 2019","Currency=USD","Period=FQ","BEST_FPERIOD_OVERRIDE=FQ","FILING_STATUS=MR","SCALING_FORMAT=MLN","Sort=A","Dates=H","DateFormat=P","Fill=—","Direction=H","UseDPDF=Y")</f>
        <v>0</v>
      </c>
      <c r="H48" s="13" t="str">
        <f>_xll.BDH("NBIX US Equity","ST_DEFERRED_REVENUE","FQ1 2020","FQ1 2020","Currency=USD","Period=FQ","BEST_FPERIOD_OVERRIDE=FQ","FILING_STATUS=MR","SCALING_FORMAT=MLN","Sort=A","Dates=H","DateFormat=P","Fill=—","Direction=H","UseDPDF=Y")</f>
        <v>—</v>
      </c>
      <c r="I48" s="13">
        <f>_xll.BDH("NBIX US Equity","ST_DEFERRED_REVENUE","FQ2 2020","FQ2 2020","Currency=USD","Period=FQ","BEST_FPERIOD_OVERRIDE=FQ","FILING_STATUS=MR","SCALING_FORMAT=MLN","Sort=A","Dates=H","DateFormat=P","Fill=—","Direction=H","UseDPDF=Y")</f>
        <v>0</v>
      </c>
      <c r="J48" s="13" t="str">
        <f>_xll.BDH("NBIX US Equity","ST_DEFERRED_REVENUE","FQ3 2020","FQ3 2020","Currency=USD","Period=FQ","BEST_FPERIOD_OVERRIDE=FQ","FILING_STATUS=MR","SCALING_FORMAT=MLN","Sort=A","Dates=H","DateFormat=P","Fill=—","Direction=H","UseDPDF=Y")</f>
        <v>—</v>
      </c>
      <c r="K48" s="13">
        <f>_xll.BDH("NBIX US Equity","ST_DEFERRED_REVENUE","FQ4 2020","FQ4 2020","Currency=USD","Period=FQ","BEST_FPERIOD_OVERRIDE=FQ","FILING_STATUS=MR","SCALING_FORMAT=MLN","Sort=A","Dates=H","DateFormat=P","Fill=—","Direction=H","UseDPDF=Y")</f>
        <v>0</v>
      </c>
      <c r="L48" s="13" t="str">
        <f>_xll.BDH("NBIX US Equity","ST_DEFERRED_REVENUE","FQ1 2021","FQ1 2021","Currency=USD","Period=FQ","BEST_FPERIOD_OVERRIDE=FQ","FILING_STATUS=MR","SCALING_FORMAT=MLN","Sort=A","Dates=H","DateFormat=P","Fill=—","Direction=H","UseDPDF=Y")</f>
        <v>—</v>
      </c>
      <c r="M48" s="13">
        <f>_xll.BDH("NBIX US Equity","ST_DEFERRED_REVENUE","FQ2 2021","FQ2 2021","Currency=USD","Period=FQ","BEST_FPERIOD_OVERRIDE=FQ","FILING_STATUS=MR","SCALING_FORMAT=MLN","Sort=A","Dates=H","DateFormat=P","Fill=—","Direction=H","UseDPDF=Y")</f>
        <v>0</v>
      </c>
      <c r="N48" s="13" t="str">
        <f>_xll.BDH("NBIX US Equity","ST_DEFERRED_REVENUE","FQ3 2021","FQ3 2021","Currency=USD","Period=FQ","BEST_FPERIOD_OVERRIDE=FQ","FILING_STATUS=MR","SCALING_FORMAT=MLN","Sort=A","Dates=H","DateFormat=P","Fill=—","Direction=H","UseDPDF=Y")</f>
        <v>—</v>
      </c>
      <c r="O48" s="13">
        <f>_xll.BDH("NBIX US Equity","ST_DEFERRED_REVENUE","FQ4 2021","FQ4 2021","Currency=USD","Period=FQ","BEST_FPERIOD_OVERRIDE=FQ","FILING_STATUS=MR","SCALING_FORMAT=MLN","Sort=A","Dates=H","DateFormat=P","Fill=—","Direction=H","UseDPDF=Y")</f>
        <v>0</v>
      </c>
      <c r="P48" s="13" t="str">
        <f>_xll.BDH("NBIX US Equity","ST_DEFERRED_REVENUE","FQ1 2022","FQ1 2022","Currency=USD","Period=FQ","BEST_FPERIOD_OVERRIDE=FQ","FILING_STATUS=MR","SCALING_FORMAT=MLN","Sort=A","Dates=H","DateFormat=P","Fill=—","Direction=H","UseDPDF=Y")</f>
        <v>—</v>
      </c>
      <c r="Q48" s="13">
        <f>_xll.BDH("NBIX US Equity","ST_DEFERRED_REVENUE","FQ2 2022","FQ2 2022","Currency=USD","Period=FQ","BEST_FPERIOD_OVERRIDE=FQ","FILING_STATUS=MR","SCALING_FORMAT=MLN","Sort=A","Dates=H","DateFormat=P","Fill=—","Direction=H","UseDPDF=Y")</f>
        <v>0</v>
      </c>
      <c r="R48" s="13" t="str">
        <f>_xll.BDH("NBIX US Equity","ST_DEFERRED_REVENUE","FQ3 2022","FQ3 2022","Currency=USD","Period=FQ","BEST_FPERIOD_OVERRIDE=FQ","FILING_STATUS=MR","SCALING_FORMAT=MLN","Sort=A","Dates=H","DateFormat=P","Fill=—","Direction=H","UseDPDF=Y")</f>
        <v>—</v>
      </c>
      <c r="S48" s="13">
        <f>_xll.BDH("NBIX US Equity","ST_DEFERRED_REVENUE","FQ4 2022","FQ4 2022","Currency=USD","Period=FQ","BEST_FPERIOD_OVERRIDE=FQ","FILING_STATUS=MR","SCALING_FORMAT=MLN","Sort=A","Dates=H","DateFormat=P","Fill=—","Direction=H","UseDPDF=Y")</f>
        <v>0</v>
      </c>
      <c r="T48" s="13" t="str">
        <f>_xll.BDH("NBIX US Equity","ST_DEFERRED_REVENUE","FQ1 2023","FQ1 2023","Currency=USD","Period=FQ","BEST_FPERIOD_OVERRIDE=FQ","FILING_STATUS=MR","SCALING_FORMAT=MLN","Sort=A","Dates=H","DateFormat=P","Fill=—","Direction=H","UseDPDF=Y")</f>
        <v>—</v>
      </c>
      <c r="U48" s="13" t="str">
        <f>_xll.BDH("NBIX US Equity","ST_DEFERRED_REVENUE","FQ2 2023","FQ2 2023","Currency=USD","Period=FQ","BEST_FPERIOD_OVERRIDE=FQ","FILING_STATUS=MR","SCALING_FORMAT=MLN","Sort=A","Dates=H","DateFormat=P","Fill=—","Direction=H","UseDPDF=Y")</f>
        <v>—</v>
      </c>
      <c r="V48" s="13" t="str">
        <f>_xll.BDH("NBIX US Equity","ST_DEFERRED_REVENUE","FQ3 2023","FQ3 2023","Currency=USD","Period=FQ","BEST_FPERIOD_OVERRIDE=FQ","FILING_STATUS=MR","SCALING_FORMAT=MLN","Sort=A","Dates=H","DateFormat=P","Fill=—","Direction=H","UseDPDF=Y")</f>
        <v>—</v>
      </c>
      <c r="W48" s="13">
        <f>_xll.BDH("NBIX US Equity","ST_DEFERRED_REVENUE","FQ4 2023","FQ4 2023","Currency=USD","Period=FQ","BEST_FPERIOD_OVERRIDE=FQ","FILING_STATUS=MR","SCALING_FORMAT=MLN","Sort=A","Dates=H","DateFormat=P","Fill=—","Direction=H","UseDPDF=Y")</f>
        <v>0</v>
      </c>
      <c r="X48" s="13" t="str">
        <f>_xll.BDH("NBIX US Equity","ST_DEFERRED_REVENUE","FQ1 2024","FQ1 2024","Currency=USD","Period=FQ","BEST_FPERIOD_OVERRIDE=FQ","FILING_STATUS=MR","SCALING_FORMAT=MLN","Sort=A","Dates=H","DateFormat=P","Fill=—","Direction=H","UseDPDF=Y")</f>
        <v>—</v>
      </c>
      <c r="Y48" s="13" t="str">
        <f>_xll.BDH("NBIX US Equity","ST_DEFERRED_REVENUE","FQ2 2024","FQ2 2024","Currency=USD","Period=FQ","BEST_FPERIOD_OVERRIDE=FQ","FILING_STATUS=MR","SCALING_FORMAT=MLN","Sort=A","Dates=H","DateFormat=P","Fill=—","Direction=H","UseDPDF=Y")</f>
        <v>—</v>
      </c>
      <c r="Z48" s="13" t="str">
        <f>_xll.BDH("NBIX US Equity","ST_DEFERRED_REVENUE","FQ3 2024","FQ3 2024","Currency=USD","Period=FQ","BEST_FPERIOD_OVERRIDE=FQ","FILING_STATUS=MR","SCALING_FORMAT=MLN","Sort=A","Dates=H","DateFormat=P","Fill=—","Direction=H","UseDPDF=Y")</f>
        <v>—</v>
      </c>
      <c r="AA48" s="13">
        <f>_xll.BDH("NBIX US Equity","ST_DEFERRED_REVENUE","FQ4 2024","FQ4 2024","Currency=USD","Period=FQ","BEST_FPERIOD_OVERRIDE=FQ","FILING_STATUS=MR","SCALING_FORMAT=MLN","Sort=A","Dates=H","DateFormat=P","Fill=—","Direction=H","UseDPDF=Y")</f>
        <v>0</v>
      </c>
    </row>
    <row r="49" spans="1:27" x14ac:dyDescent="0.25">
      <c r="A49" s="10" t="s">
        <v>742</v>
      </c>
      <c r="B49" s="10" t="s">
        <v>743</v>
      </c>
      <c r="C49" s="13">
        <f>_xll.BDH("NBIX US Equity","BS_DERIV_HEDGING_LIAB_ST","FQ4 2018","FQ4 2018","Currency=USD","Period=FQ","BEST_FPERIOD_OVERRIDE=FQ","FILING_STATUS=MR","SCALING_FORMAT=MLN","Sort=A","Dates=H","DateFormat=P","Fill=—","Direction=H","UseDPDF=Y")</f>
        <v>0</v>
      </c>
      <c r="D49" s="13" t="str">
        <f>_xll.BDH("NBIX US Equity","BS_DERIV_HEDGING_LIAB_ST","FQ1 2019","FQ1 2019","Currency=USD","Period=FQ","BEST_FPERIOD_OVERRIDE=FQ","FILING_STATUS=MR","SCALING_FORMAT=MLN","Sort=A","Dates=H","DateFormat=P","Fill=—","Direction=H","UseDPDF=Y")</f>
        <v>—</v>
      </c>
      <c r="E49" s="13" t="str">
        <f>_xll.BDH("NBIX US Equity","BS_DERIV_HEDGING_LIAB_ST","FQ2 2019","FQ2 2019","Currency=USD","Period=FQ","BEST_FPERIOD_OVERRIDE=FQ","FILING_STATUS=MR","SCALING_FORMAT=MLN","Sort=A","Dates=H","DateFormat=P","Fill=—","Direction=H","UseDPDF=Y")</f>
        <v>—</v>
      </c>
      <c r="F49" s="13" t="str">
        <f>_xll.BDH("NBIX US Equity","BS_DERIV_HEDGING_LIAB_ST","FQ3 2019","FQ3 2019","Currency=USD","Period=FQ","BEST_FPERIOD_OVERRIDE=FQ","FILING_STATUS=MR","SCALING_FORMAT=MLN","Sort=A","Dates=H","DateFormat=P","Fill=—","Direction=H","UseDPDF=Y")</f>
        <v>—</v>
      </c>
      <c r="G49" s="13">
        <f>_xll.BDH("NBIX US Equity","BS_DERIV_HEDGING_LIAB_ST","FQ4 2019","FQ4 2019","Currency=USD","Period=FQ","BEST_FPERIOD_OVERRIDE=FQ","FILING_STATUS=MR","SCALING_FORMAT=MLN","Sort=A","Dates=H","DateFormat=P","Fill=—","Direction=H","UseDPDF=Y")</f>
        <v>0</v>
      </c>
      <c r="H49" s="13" t="str">
        <f>_xll.BDH("NBIX US Equity","BS_DERIV_HEDGING_LIAB_ST","FQ1 2020","FQ1 2020","Currency=USD","Period=FQ","BEST_FPERIOD_OVERRIDE=FQ","FILING_STATUS=MR","SCALING_FORMAT=MLN","Sort=A","Dates=H","DateFormat=P","Fill=—","Direction=H","UseDPDF=Y")</f>
        <v>—</v>
      </c>
      <c r="I49" s="13" t="str">
        <f>_xll.BDH("NBIX US Equity","BS_DERIV_HEDGING_LIAB_ST","FQ2 2020","FQ2 2020","Currency=USD","Period=FQ","BEST_FPERIOD_OVERRIDE=FQ","FILING_STATUS=MR","SCALING_FORMAT=MLN","Sort=A","Dates=H","DateFormat=P","Fill=—","Direction=H","UseDPDF=Y")</f>
        <v>—</v>
      </c>
      <c r="J49" s="13" t="str">
        <f>_xll.BDH("NBIX US Equity","BS_DERIV_HEDGING_LIAB_ST","FQ3 2020","FQ3 2020","Currency=USD","Period=FQ","BEST_FPERIOD_OVERRIDE=FQ","FILING_STATUS=MR","SCALING_FORMAT=MLN","Sort=A","Dates=H","DateFormat=P","Fill=—","Direction=H","UseDPDF=Y")</f>
        <v>—</v>
      </c>
      <c r="K49" s="13">
        <f>_xll.BDH("NBIX US Equity","BS_DERIV_HEDGING_LIAB_ST","FQ4 2020","FQ4 2020","Currency=USD","Period=FQ","BEST_FPERIOD_OVERRIDE=FQ","FILING_STATUS=MR","SCALING_FORMAT=MLN","Sort=A","Dates=H","DateFormat=P","Fill=—","Direction=H","UseDPDF=Y")</f>
        <v>0</v>
      </c>
      <c r="L49" s="13" t="str">
        <f>_xll.BDH("NBIX US Equity","BS_DERIV_HEDGING_LIAB_ST","FQ1 2021","FQ1 2021","Currency=USD","Period=FQ","BEST_FPERIOD_OVERRIDE=FQ","FILING_STATUS=MR","SCALING_FORMAT=MLN","Sort=A","Dates=H","DateFormat=P","Fill=—","Direction=H","UseDPDF=Y")</f>
        <v>—</v>
      </c>
      <c r="M49" s="13" t="str">
        <f>_xll.BDH("NBIX US Equity","BS_DERIV_HEDGING_LIAB_ST","FQ2 2021","FQ2 2021","Currency=USD","Period=FQ","BEST_FPERIOD_OVERRIDE=FQ","FILING_STATUS=MR","SCALING_FORMAT=MLN","Sort=A","Dates=H","DateFormat=P","Fill=—","Direction=H","UseDPDF=Y")</f>
        <v>—</v>
      </c>
      <c r="N49" s="13" t="str">
        <f>_xll.BDH("NBIX US Equity","BS_DERIV_HEDGING_LIAB_ST","FQ3 2021","FQ3 2021","Currency=USD","Period=FQ","BEST_FPERIOD_OVERRIDE=FQ","FILING_STATUS=MR","SCALING_FORMAT=MLN","Sort=A","Dates=H","DateFormat=P","Fill=—","Direction=H","UseDPDF=Y")</f>
        <v>—</v>
      </c>
      <c r="O49" s="13">
        <f>_xll.BDH("NBIX US Equity","BS_DERIV_HEDGING_LIAB_ST","FQ4 2021","FQ4 2021","Currency=USD","Period=FQ","BEST_FPERIOD_OVERRIDE=FQ","FILING_STATUS=MR","SCALING_FORMAT=MLN","Sort=A","Dates=H","DateFormat=P","Fill=—","Direction=H","UseDPDF=Y")</f>
        <v>0</v>
      </c>
      <c r="P49" s="13" t="str">
        <f>_xll.BDH("NBIX US Equity","BS_DERIV_HEDGING_LIAB_ST","FQ1 2022","FQ1 2022","Currency=USD","Period=FQ","BEST_FPERIOD_OVERRIDE=FQ","FILING_STATUS=MR","SCALING_FORMAT=MLN","Sort=A","Dates=H","DateFormat=P","Fill=—","Direction=H","UseDPDF=Y")</f>
        <v>—</v>
      </c>
      <c r="Q49" s="13" t="str">
        <f>_xll.BDH("NBIX US Equity","BS_DERIV_HEDGING_LIAB_ST","FQ2 2022","FQ2 2022","Currency=USD","Period=FQ","BEST_FPERIOD_OVERRIDE=FQ","FILING_STATUS=MR","SCALING_FORMAT=MLN","Sort=A","Dates=H","DateFormat=P","Fill=—","Direction=H","UseDPDF=Y")</f>
        <v>—</v>
      </c>
      <c r="R49" s="13" t="str">
        <f>_xll.BDH("NBIX US Equity","BS_DERIV_HEDGING_LIAB_ST","FQ3 2022","FQ3 2022","Currency=USD","Period=FQ","BEST_FPERIOD_OVERRIDE=FQ","FILING_STATUS=MR","SCALING_FORMAT=MLN","Sort=A","Dates=H","DateFormat=P","Fill=—","Direction=H","UseDPDF=Y")</f>
        <v>—</v>
      </c>
      <c r="S49" s="13">
        <f>_xll.BDH("NBIX US Equity","BS_DERIV_HEDGING_LIAB_ST","FQ4 2022","FQ4 2022","Currency=USD","Period=FQ","BEST_FPERIOD_OVERRIDE=FQ","FILING_STATUS=MR","SCALING_FORMAT=MLN","Sort=A","Dates=H","DateFormat=P","Fill=—","Direction=H","UseDPDF=Y")</f>
        <v>0</v>
      </c>
      <c r="T49" s="13" t="str">
        <f>_xll.BDH("NBIX US Equity","BS_DERIV_HEDGING_LIAB_ST","FQ1 2023","FQ1 2023","Currency=USD","Period=FQ","BEST_FPERIOD_OVERRIDE=FQ","FILING_STATUS=MR","SCALING_FORMAT=MLN","Sort=A","Dates=H","DateFormat=P","Fill=—","Direction=H","UseDPDF=Y")</f>
        <v>—</v>
      </c>
      <c r="U49" s="13" t="str">
        <f>_xll.BDH("NBIX US Equity","BS_DERIV_HEDGING_LIAB_ST","FQ2 2023","FQ2 2023","Currency=USD","Period=FQ","BEST_FPERIOD_OVERRIDE=FQ","FILING_STATUS=MR","SCALING_FORMAT=MLN","Sort=A","Dates=H","DateFormat=P","Fill=—","Direction=H","UseDPDF=Y")</f>
        <v>—</v>
      </c>
      <c r="V49" s="13" t="str">
        <f>_xll.BDH("NBIX US Equity","BS_DERIV_HEDGING_LIAB_ST","FQ3 2023","FQ3 2023","Currency=USD","Period=FQ","BEST_FPERIOD_OVERRIDE=FQ","FILING_STATUS=MR","SCALING_FORMAT=MLN","Sort=A","Dates=H","DateFormat=P","Fill=—","Direction=H","UseDPDF=Y")</f>
        <v>—</v>
      </c>
      <c r="W49" s="13">
        <f>_xll.BDH("NBIX US Equity","BS_DERIV_HEDGING_LIAB_ST","FQ4 2023","FQ4 2023","Currency=USD","Period=FQ","BEST_FPERIOD_OVERRIDE=FQ","FILING_STATUS=MR","SCALING_FORMAT=MLN","Sort=A","Dates=H","DateFormat=P","Fill=—","Direction=H","UseDPDF=Y")</f>
        <v>0</v>
      </c>
      <c r="X49" s="13">
        <f>_xll.BDH("NBIX US Equity","BS_DERIV_HEDGING_LIAB_ST","FQ1 2024","FQ1 2024","Currency=USD","Period=FQ","BEST_FPERIOD_OVERRIDE=FQ","FILING_STATUS=MR","SCALING_FORMAT=MLN","Sort=A","Dates=H","DateFormat=P","Fill=—","Direction=H","UseDPDF=Y")</f>
        <v>136.19999999999999</v>
      </c>
      <c r="Y49" s="13" t="str">
        <f>_xll.BDH("NBIX US Equity","BS_DERIV_HEDGING_LIAB_ST","FQ2 2024","FQ2 2024","Currency=USD","Period=FQ","BEST_FPERIOD_OVERRIDE=FQ","FILING_STATUS=MR","SCALING_FORMAT=MLN","Sort=A","Dates=H","DateFormat=P","Fill=—","Direction=H","UseDPDF=Y")</f>
        <v>—</v>
      </c>
      <c r="Z49" s="13" t="str">
        <f>_xll.BDH("NBIX US Equity","BS_DERIV_HEDGING_LIAB_ST","FQ3 2024","FQ3 2024","Currency=USD","Period=FQ","BEST_FPERIOD_OVERRIDE=FQ","FILING_STATUS=MR","SCALING_FORMAT=MLN","Sort=A","Dates=H","DateFormat=P","Fill=—","Direction=H","UseDPDF=Y")</f>
        <v>—</v>
      </c>
      <c r="AA49" s="13">
        <f>_xll.BDH("NBIX US Equity","BS_DERIV_HEDGING_LIAB_ST","FQ4 2024","FQ4 2024","Currency=USD","Period=FQ","BEST_FPERIOD_OVERRIDE=FQ","FILING_STATUS=MR","SCALING_FORMAT=MLN","Sort=A","Dates=H","DateFormat=P","Fill=—","Direction=H","UseDPDF=Y")</f>
        <v>0</v>
      </c>
    </row>
    <row r="50" spans="1:27" x14ac:dyDescent="0.25">
      <c r="A50" s="10" t="s">
        <v>744</v>
      </c>
      <c r="B50" s="10" t="s">
        <v>745</v>
      </c>
      <c r="C50" s="13">
        <f>_xll.BDH("NBIX US Equity","OTHER_CURRENT_LIABS_DETAILED","FQ4 2018","FQ4 2018","Currency=USD","Period=FQ","BEST_FPERIOD_OVERRIDE=FQ","FILING_STATUS=MR","SCALING_FORMAT=MLN","Sort=A","Dates=H","DateFormat=P","Fill=—","Direction=H","UseDPDF=Y")</f>
        <v>40.021999999999998</v>
      </c>
      <c r="D50" s="13">
        <f>_xll.BDH("NBIX US Equity","OTHER_CURRENT_LIABS_DETAILED","FQ1 2019","FQ1 2019","Currency=USD","Period=FQ","BEST_FPERIOD_OVERRIDE=FQ","FILING_STATUS=MR","SCALING_FORMAT=MLN","Sort=A","Dates=H","DateFormat=P","Fill=—","Direction=H","UseDPDF=Y")</f>
        <v>0.45600000000000002</v>
      </c>
      <c r="E50" s="13">
        <f>_xll.BDH("NBIX US Equity","OTHER_CURRENT_LIABS_DETAILED","FQ2 2019","FQ2 2019","Currency=USD","Period=FQ","BEST_FPERIOD_OVERRIDE=FQ","FILING_STATUS=MR","SCALING_FORMAT=MLN","Sort=A","Dates=H","DateFormat=P","Fill=—","Direction=H","UseDPDF=Y")</f>
        <v>1.8129999999999999</v>
      </c>
      <c r="F50" s="13">
        <f>_xll.BDH("NBIX US Equity","OTHER_CURRENT_LIABS_DETAILED","FQ3 2019","FQ3 2019","Currency=USD","Period=FQ","BEST_FPERIOD_OVERRIDE=FQ","FILING_STATUS=MR","SCALING_FORMAT=MLN","Sort=A","Dates=H","DateFormat=P","Fill=—","Direction=H","UseDPDF=Y")</f>
        <v>5.1360000000000001</v>
      </c>
      <c r="G50" s="13">
        <f>_xll.BDH("NBIX US Equity","OTHER_CURRENT_LIABS_DETAILED","FQ4 2019","FQ4 2019","Currency=USD","Period=FQ","BEST_FPERIOD_OVERRIDE=FQ","FILING_STATUS=MR","SCALING_FORMAT=MLN","Sort=A","Dates=H","DateFormat=P","Fill=—","Direction=H","UseDPDF=Y")</f>
        <v>48.317999999999998</v>
      </c>
      <c r="H50" s="13">
        <f>_xll.BDH("NBIX US Equity","OTHER_CURRENT_LIABS_DETAILED","FQ1 2020","FQ1 2020","Currency=USD","Period=FQ","BEST_FPERIOD_OVERRIDE=FQ","FILING_STATUS=MR","SCALING_FORMAT=MLN","Sort=A","Dates=H","DateFormat=P","Fill=—","Direction=H","UseDPDF=Y")</f>
        <v>5.6</v>
      </c>
      <c r="I50" s="13">
        <f>_xll.BDH("NBIX US Equity","OTHER_CURRENT_LIABS_DETAILED","FQ2 2020","FQ2 2020","Currency=USD","Period=FQ","BEST_FPERIOD_OVERRIDE=FQ","FILING_STATUS=MR","SCALING_FORMAT=MLN","Sort=A","Dates=H","DateFormat=P","Fill=—","Direction=H","UseDPDF=Y")</f>
        <v>7.2</v>
      </c>
      <c r="J50" s="13">
        <f>_xll.BDH("NBIX US Equity","OTHER_CURRENT_LIABS_DETAILED","FQ3 2020","FQ3 2020","Currency=USD","Period=FQ","BEST_FPERIOD_OVERRIDE=FQ","FILING_STATUS=MR","SCALING_FORMAT=MLN","Sort=A","Dates=H","DateFormat=P","Fill=—","Direction=H","UseDPDF=Y")</f>
        <v>5.8</v>
      </c>
      <c r="K50" s="13">
        <f>_xll.BDH("NBIX US Equity","OTHER_CURRENT_LIABS_DETAILED","FQ4 2020","FQ4 2020","Currency=USD","Period=FQ","BEST_FPERIOD_OVERRIDE=FQ","FILING_STATUS=MR","SCALING_FORMAT=MLN","Sort=A","Dates=H","DateFormat=P","Fill=—","Direction=H","UseDPDF=Y")</f>
        <v>46.9</v>
      </c>
      <c r="L50" s="13">
        <f>_xll.BDH("NBIX US Equity","OTHER_CURRENT_LIABS_DETAILED","FQ1 2021","FQ1 2021","Currency=USD","Period=FQ","BEST_FPERIOD_OVERRIDE=FQ","FILING_STATUS=MR","SCALING_FORMAT=MLN","Sort=A","Dates=H","DateFormat=P","Fill=—","Direction=H","UseDPDF=Y")</f>
        <v>5.9</v>
      </c>
      <c r="M50" s="13">
        <f>_xll.BDH("NBIX US Equity","OTHER_CURRENT_LIABS_DETAILED","FQ2 2021","FQ2 2021","Currency=USD","Period=FQ","BEST_FPERIOD_OVERRIDE=FQ","FILING_STATUS=MR","SCALING_FORMAT=MLN","Sort=A","Dates=H","DateFormat=P","Fill=—","Direction=H","UseDPDF=Y")</f>
        <v>7</v>
      </c>
      <c r="N50" s="13">
        <f>_xll.BDH("NBIX US Equity","OTHER_CURRENT_LIABS_DETAILED","FQ3 2021","FQ3 2021","Currency=USD","Period=FQ","BEST_FPERIOD_OVERRIDE=FQ","FILING_STATUS=MR","SCALING_FORMAT=MLN","Sort=A","Dates=H","DateFormat=P","Fill=—","Direction=H","UseDPDF=Y")</f>
        <v>4.5</v>
      </c>
      <c r="O50" s="13">
        <f>_xll.BDH("NBIX US Equity","OTHER_CURRENT_LIABS_DETAILED","FQ4 2021","FQ4 2021","Currency=USD","Period=FQ","BEST_FPERIOD_OVERRIDE=FQ","FILING_STATUS=MR","SCALING_FORMAT=MLN","Sort=A","Dates=H","DateFormat=P","Fill=—","Direction=H","UseDPDF=Y")</f>
        <v>55</v>
      </c>
      <c r="P50" s="13">
        <f>_xll.BDH("NBIX US Equity","OTHER_CURRENT_LIABS_DETAILED","FQ1 2022","FQ1 2022","Currency=USD","Period=FQ","BEST_FPERIOD_OVERRIDE=FQ","FILING_STATUS=MR","SCALING_FORMAT=MLN","Sort=A","Dates=H","DateFormat=P","Fill=—","Direction=H","UseDPDF=Y")</f>
        <v>0.7</v>
      </c>
      <c r="Q50" s="13">
        <f>_xll.BDH("NBIX US Equity","OTHER_CURRENT_LIABS_DETAILED","FQ2 2022","FQ2 2022","Currency=USD","Period=FQ","BEST_FPERIOD_OVERRIDE=FQ","FILING_STATUS=MR","SCALING_FORMAT=MLN","Sort=A","Dates=H","DateFormat=P","Fill=—","Direction=H","UseDPDF=Y")</f>
        <v>2.9</v>
      </c>
      <c r="R50" s="13">
        <f>_xll.BDH("NBIX US Equity","OTHER_CURRENT_LIABS_DETAILED","FQ3 2022","FQ3 2022","Currency=USD","Period=FQ","BEST_FPERIOD_OVERRIDE=FQ","FILING_STATUS=MR","SCALING_FORMAT=MLN","Sort=A","Dates=H","DateFormat=P","Fill=—","Direction=H","UseDPDF=Y")</f>
        <v>0.8</v>
      </c>
      <c r="S50" s="13">
        <f>_xll.BDH("NBIX US Equity","OTHER_CURRENT_LIABS_DETAILED","FQ4 2022","FQ4 2022","Currency=USD","Period=FQ","BEST_FPERIOD_OVERRIDE=FQ","FILING_STATUS=MR","SCALING_FORMAT=MLN","Sort=A","Dates=H","DateFormat=P","Fill=—","Direction=H","UseDPDF=Y")</f>
        <v>97</v>
      </c>
      <c r="T50" s="13">
        <f>_xll.BDH("NBIX US Equity","OTHER_CURRENT_LIABS_DETAILED","FQ1 2023","FQ1 2023","Currency=USD","Period=FQ","BEST_FPERIOD_OVERRIDE=FQ","FILING_STATUS=MR","SCALING_FORMAT=MLN","Sort=A","Dates=H","DateFormat=P","Fill=—","Direction=H","UseDPDF=Y")</f>
        <v>18.399999999999999</v>
      </c>
      <c r="U50" s="13">
        <f>_xll.BDH("NBIX US Equity","OTHER_CURRENT_LIABS_DETAILED","FQ2 2023","FQ2 2023","Currency=USD","Period=FQ","BEST_FPERIOD_OVERRIDE=FQ","FILING_STATUS=MR","SCALING_FORMAT=MLN","Sort=A","Dates=H","DateFormat=P","Fill=—","Direction=H","UseDPDF=Y")</f>
        <v>3.5</v>
      </c>
      <c r="V50" s="13">
        <f>_xll.BDH("NBIX US Equity","OTHER_CURRENT_LIABS_DETAILED","FQ3 2023","FQ3 2023","Currency=USD","Period=FQ","BEST_FPERIOD_OVERRIDE=FQ","FILING_STATUS=MR","SCALING_FORMAT=MLN","Sort=A","Dates=H","DateFormat=P","Fill=—","Direction=H","UseDPDF=Y")</f>
        <v>0.9</v>
      </c>
      <c r="W50" s="13">
        <f>_xll.BDH("NBIX US Equity","OTHER_CURRENT_LIABS_DETAILED","FQ4 2023","FQ4 2023","Currency=USD","Period=FQ","BEST_FPERIOD_OVERRIDE=FQ","FILING_STATUS=MR","SCALING_FORMAT=MLN","Sort=A","Dates=H","DateFormat=P","Fill=—","Direction=H","UseDPDF=Y")</f>
        <v>112.8</v>
      </c>
      <c r="X50" s="13">
        <f>_xll.BDH("NBIX US Equity","OTHER_CURRENT_LIABS_DETAILED","FQ1 2024","FQ1 2024","Currency=USD","Period=FQ","BEST_FPERIOD_OVERRIDE=FQ","FILING_STATUS=MR","SCALING_FORMAT=MLN","Sort=A","Dates=H","DateFormat=P","Fill=—","Direction=H","UseDPDF=Y")</f>
        <v>1.7</v>
      </c>
      <c r="Y50" s="13">
        <f>_xll.BDH("NBIX US Equity","OTHER_CURRENT_LIABS_DETAILED","FQ2 2024","FQ2 2024","Currency=USD","Period=FQ","BEST_FPERIOD_OVERRIDE=FQ","FILING_STATUS=MR","SCALING_FORMAT=MLN","Sort=A","Dates=H","DateFormat=P","Fill=—","Direction=H","UseDPDF=Y")</f>
        <v>4.5999999999999996</v>
      </c>
      <c r="Z50" s="13">
        <f>_xll.BDH("NBIX US Equity","OTHER_CURRENT_LIABS_DETAILED","FQ3 2024","FQ3 2024","Currency=USD","Period=FQ","BEST_FPERIOD_OVERRIDE=FQ","FILING_STATUS=MR","SCALING_FORMAT=MLN","Sort=A","Dates=H","DateFormat=P","Fill=—","Direction=H","UseDPDF=Y")</f>
        <v>2.2000000000000002</v>
      </c>
      <c r="AA50" s="13">
        <f>_xll.BDH("NBIX US Equity","OTHER_CURRENT_LIABS_DETAILED","FQ4 2024","FQ4 2024","Currency=USD","Period=FQ","BEST_FPERIOD_OVERRIDE=FQ","FILING_STATUS=MR","SCALING_FORMAT=MLN","Sort=A","Dates=H","DateFormat=P","Fill=—","Direction=H","UseDPDF=Y")</f>
        <v>5.5</v>
      </c>
    </row>
    <row r="51" spans="1:27" x14ac:dyDescent="0.25">
      <c r="A51" s="6" t="s">
        <v>114</v>
      </c>
      <c r="B51" s="6" t="s">
        <v>115</v>
      </c>
      <c r="C51" s="19">
        <f>_xll.BDH("NBIX US Equity","BS_CUR_LIAB","FQ4 2018","FQ4 2018","Currency=USD","Period=FQ","BEST_FPERIOD_OVERRIDE=FQ","FILING_STATUS=MR","SCALING_FORMAT=MLN","Sort=A","Dates=H","DateFormat=P","Fill=—","Direction=H","UseDPDF=Y")</f>
        <v>88.233000000000004</v>
      </c>
      <c r="D51" s="19">
        <f>_xll.BDH("NBIX US Equity","BS_CUR_LIAB","FQ1 2019","FQ1 2019","Currency=USD","Period=FQ","BEST_FPERIOD_OVERRIDE=FQ","FILING_STATUS=MR","SCALING_FORMAT=MLN","Sort=A","Dates=H","DateFormat=P","Fill=—","Direction=H","UseDPDF=Y")</f>
        <v>72.003</v>
      </c>
      <c r="E51" s="19">
        <f>_xll.BDH("NBIX US Equity","BS_CUR_LIAB","FQ2 2019","FQ2 2019","Currency=USD","Period=FQ","BEST_FPERIOD_OVERRIDE=FQ","FILING_STATUS=MR","SCALING_FORMAT=MLN","Sort=A","Dates=H","DateFormat=P","Fill=—","Direction=H","UseDPDF=Y")</f>
        <v>100.589</v>
      </c>
      <c r="F51" s="19">
        <f>_xll.BDH("NBIX US Equity","BS_CUR_LIAB","FQ3 2019","FQ3 2019","Currency=USD","Period=FQ","BEST_FPERIOD_OVERRIDE=FQ","FILING_STATUS=MR","SCALING_FORMAT=MLN","Sort=A","Dates=H","DateFormat=P","Fill=—","Direction=H","UseDPDF=Y")</f>
        <v>115.652</v>
      </c>
      <c r="G51" s="19">
        <f>_xll.BDH("NBIX US Equity","BS_CUR_LIAB","FQ4 2019","FQ4 2019","Currency=USD","Period=FQ","BEST_FPERIOD_OVERRIDE=FQ","FILING_STATUS=MR","SCALING_FORMAT=MLN","Sort=A","Dates=H","DateFormat=P","Fill=—","Direction=H","UseDPDF=Y")</f>
        <v>565.29999999999995</v>
      </c>
      <c r="H51" s="19">
        <f>_xll.BDH("NBIX US Equity","BS_CUR_LIAB","FQ1 2020","FQ1 2020","Currency=USD","Period=FQ","BEST_FPERIOD_OVERRIDE=FQ","FILING_STATUS=MR","SCALING_FORMAT=MLN","Sort=A","Dates=H","DateFormat=P","Fill=—","Direction=H","UseDPDF=Y")</f>
        <v>140.30000000000001</v>
      </c>
      <c r="I51" s="19">
        <f>_xll.BDH("NBIX US Equity","BS_CUR_LIAB","FQ2 2020","FQ2 2020","Currency=USD","Period=FQ","BEST_FPERIOD_OVERRIDE=FQ","FILING_STATUS=MR","SCALING_FORMAT=MLN","Sort=A","Dates=H","DateFormat=P","Fill=—","Direction=H","UseDPDF=Y")</f>
        <v>573</v>
      </c>
      <c r="J51" s="19">
        <f>_xll.BDH("NBIX US Equity","BS_CUR_LIAB","FQ3 2020","FQ3 2020","Currency=USD","Period=FQ","BEST_FPERIOD_OVERRIDE=FQ","FILING_STATUS=MR","SCALING_FORMAT=MLN","Sort=A","Dates=H","DateFormat=P","Fill=—","Direction=H","UseDPDF=Y")</f>
        <v>611</v>
      </c>
      <c r="K51" s="19">
        <f>_xll.BDH("NBIX US Equity","BS_CUR_LIAB","FQ4 2020","FQ4 2020","Currency=USD","Period=FQ","BEST_FPERIOD_OVERRIDE=FQ","FILING_STATUS=MR","SCALING_FORMAT=MLN","Sort=A","Dates=H","DateFormat=P","Fill=—","Direction=H","UseDPDF=Y")</f>
        <v>186.5</v>
      </c>
      <c r="L51" s="19">
        <f>_xll.BDH("NBIX US Equity","BS_CUR_LIAB","FQ1 2021","FQ1 2021","Currency=USD","Period=FQ","BEST_FPERIOD_OVERRIDE=FQ","FILING_STATUS=MR","SCALING_FORMAT=MLN","Sort=A","Dates=H","DateFormat=P","Fill=—","Direction=H","UseDPDF=Y")</f>
        <v>190</v>
      </c>
      <c r="M51" s="19">
        <f>_xll.BDH("NBIX US Equity","BS_CUR_LIAB","FQ2 2021","FQ2 2021","Currency=USD","Period=FQ","BEST_FPERIOD_OVERRIDE=FQ","FILING_STATUS=MR","SCALING_FORMAT=MLN","Sort=A","Dates=H","DateFormat=P","Fill=—","Direction=H","UseDPDF=Y")</f>
        <v>212.9</v>
      </c>
      <c r="N51" s="19">
        <f>_xll.BDH("NBIX US Equity","BS_CUR_LIAB","FQ3 2021","FQ3 2021","Currency=USD","Period=FQ","BEST_FPERIOD_OVERRIDE=FQ","FILING_STATUS=MR","SCALING_FORMAT=MLN","Sort=A","Dates=H","DateFormat=P","Fill=—","Direction=H","UseDPDF=Y")</f>
        <v>225.9</v>
      </c>
      <c r="O51" s="19">
        <f>_xll.BDH("NBIX US Equity","BS_CUR_LIAB","FQ4 2021","FQ4 2021","Currency=USD","Period=FQ","BEST_FPERIOD_OVERRIDE=FQ","FILING_STATUS=MR","SCALING_FORMAT=MLN","Sort=A","Dates=H","DateFormat=P","Fill=—","Direction=H","UseDPDF=Y")</f>
        <v>245.8</v>
      </c>
      <c r="P51" s="19">
        <f>_xll.BDH("NBIX US Equity","BS_CUR_LIAB","FQ1 2022","FQ1 2022","Currency=USD","Period=FQ","BEST_FPERIOD_OVERRIDE=FQ","FILING_STATUS=MR","SCALING_FORMAT=MLN","Sort=A","Dates=H","DateFormat=P","Fill=—","Direction=H","UseDPDF=Y")</f>
        <v>253.5</v>
      </c>
      <c r="Q51" s="19">
        <f>_xll.BDH("NBIX US Equity","BS_CUR_LIAB","FQ2 2022","FQ2 2022","Currency=USD","Period=FQ","BEST_FPERIOD_OVERRIDE=FQ","FILING_STATUS=MR","SCALING_FORMAT=MLN","Sort=A","Dates=H","DateFormat=P","Fill=—","Direction=H","UseDPDF=Y")</f>
        <v>285.7</v>
      </c>
      <c r="R51" s="19">
        <f>_xll.BDH("NBIX US Equity","BS_CUR_LIAB","FQ3 2022","FQ3 2022","Currency=USD","Period=FQ","BEST_FPERIOD_OVERRIDE=FQ","FILING_STATUS=MR","SCALING_FORMAT=MLN","Sort=A","Dates=H","DateFormat=P","Fill=—","Direction=H","UseDPDF=Y")</f>
        <v>485.1</v>
      </c>
      <c r="S51" s="19">
        <f>_xll.BDH("NBIX US Equity","BS_CUR_LIAB","FQ4 2022","FQ4 2022","Currency=USD","Period=FQ","BEST_FPERIOD_OVERRIDE=FQ","FILING_STATUS=MR","SCALING_FORMAT=MLN","Sort=A","Dates=H","DateFormat=P","Fill=—","Direction=H","UseDPDF=Y")</f>
        <v>537.70000000000005</v>
      </c>
      <c r="T51" s="19">
        <f>_xll.BDH("NBIX US Equity","BS_CUR_LIAB","FQ1 2023","FQ1 2023","Currency=USD","Period=FQ","BEST_FPERIOD_OVERRIDE=FQ","FILING_STATUS=MR","SCALING_FORMAT=MLN","Sort=A","Dates=H","DateFormat=P","Fill=—","Direction=H","UseDPDF=Y")</f>
        <v>374.1</v>
      </c>
      <c r="U51" s="19">
        <f>_xll.BDH("NBIX US Equity","BS_CUR_LIAB","FQ2 2023","FQ2 2023","Currency=USD","Period=FQ","BEST_FPERIOD_OVERRIDE=FQ","FILING_STATUS=MR","SCALING_FORMAT=MLN","Sort=A","Dates=H","DateFormat=P","Fill=—","Direction=H","UseDPDF=Y")</f>
        <v>582.5</v>
      </c>
      <c r="V51" s="19">
        <f>_xll.BDH("NBIX US Equity","BS_CUR_LIAB","FQ3 2023","FQ3 2023","Currency=USD","Period=FQ","BEST_FPERIOD_OVERRIDE=FQ","FILING_STATUS=MR","SCALING_FORMAT=MLN","Sort=A","Dates=H","DateFormat=P","Fill=—","Direction=H","UseDPDF=Y")</f>
        <v>691.6</v>
      </c>
      <c r="W51" s="19">
        <f>_xll.BDH("NBIX US Equity","BS_CUR_LIAB","FQ4 2023","FQ4 2023","Currency=USD","Period=FQ","BEST_FPERIOD_OVERRIDE=FQ","FILING_STATUS=MR","SCALING_FORMAT=MLN","Sort=A","Dates=H","DateFormat=P","Fill=—","Direction=H","UseDPDF=Y")</f>
        <v>654.79999999999995</v>
      </c>
      <c r="X51" s="19">
        <f>_xll.BDH("NBIX US Equity","BS_CUR_LIAB","FQ1 2024","FQ1 2024","Currency=USD","Period=FQ","BEST_FPERIOD_OVERRIDE=FQ","FILING_STATUS=MR","SCALING_FORMAT=MLN","Sort=A","Dates=H","DateFormat=P","Fill=—","Direction=H","UseDPDF=Y")</f>
        <v>712.9</v>
      </c>
      <c r="Y51" s="19">
        <f>_xll.BDH("NBIX US Equity","BS_CUR_LIAB","FQ2 2024","FQ2 2024","Currency=USD","Period=FQ","BEST_FPERIOD_OVERRIDE=FQ","FILING_STATUS=MR","SCALING_FORMAT=MLN","Sort=A","Dates=H","DateFormat=P","Fill=—","Direction=H","UseDPDF=Y")</f>
        <v>398.5</v>
      </c>
      <c r="Z51" s="19">
        <f>_xll.BDH("NBIX US Equity","BS_CUR_LIAB","FQ3 2024","FQ3 2024","Currency=USD","Period=FQ","BEST_FPERIOD_OVERRIDE=FQ","FILING_STATUS=MR","SCALING_FORMAT=MLN","Sort=A","Dates=H","DateFormat=P","Fill=—","Direction=H","UseDPDF=Y")</f>
        <v>429.7</v>
      </c>
      <c r="AA51" s="19">
        <f>_xll.BDH("NBIX US Equity","BS_CUR_LIAB","FQ4 2024","FQ4 2024","Currency=USD","Period=FQ","BEST_FPERIOD_OVERRIDE=FQ","FILING_STATUS=MR","SCALING_FORMAT=MLN","Sort=A","Dates=H","DateFormat=P","Fill=—","Direction=H","UseDPDF=Y")</f>
        <v>507.7</v>
      </c>
    </row>
    <row r="52" spans="1:27" x14ac:dyDescent="0.25">
      <c r="A52" s="10" t="s">
        <v>746</v>
      </c>
      <c r="B52" s="10" t="s">
        <v>747</v>
      </c>
      <c r="C52" s="13">
        <f>_xll.BDH("NBIX US Equity","BS_LT_BORROW","FQ4 2018","FQ4 2018","Currency=USD","Period=FQ","BEST_FPERIOD_OVERRIDE=FQ","FILING_STATUS=MR","SCALING_FORMAT=MLN","Sort=A","Dates=H","DateFormat=P","Fill=—","Direction=H","UseDPDF=Y")</f>
        <v>388.49599999999998</v>
      </c>
      <c r="D52" s="13">
        <f>_xll.BDH("NBIX US Equity","BS_LT_BORROW","FQ1 2019","FQ1 2019","Currency=USD","Period=FQ","BEST_FPERIOD_OVERRIDE=FQ","FILING_STATUS=MR","SCALING_FORMAT=MLN","Sort=A","Dates=H","DateFormat=P","Fill=—","Direction=H","UseDPDF=Y")</f>
        <v>460.58199999999999</v>
      </c>
      <c r="E52" s="13">
        <f>_xll.BDH("NBIX US Equity","BS_LT_BORROW","FQ2 2019","FQ2 2019","Currency=USD","Period=FQ","BEST_FPERIOD_OVERRIDE=FQ","FILING_STATUS=MR","SCALING_FORMAT=MLN","Sort=A","Dates=H","DateFormat=P","Fill=—","Direction=H","UseDPDF=Y")</f>
        <v>464.65100000000001</v>
      </c>
      <c r="F52" s="13">
        <f>_xll.BDH("NBIX US Equity","BS_LT_BORROW","FQ3 2019","FQ3 2019","Currency=USD","Period=FQ","BEST_FPERIOD_OVERRIDE=FQ","FILING_STATUS=MR","SCALING_FORMAT=MLN","Sort=A","Dates=H","DateFormat=P","Fill=—","Direction=H","UseDPDF=Y")</f>
        <v>478.07100000000003</v>
      </c>
      <c r="G52" s="13">
        <f>_xll.BDH("NBIX US Equity","BS_LT_BORROW","FQ4 2019","FQ4 2019","Currency=USD","Period=FQ","BEST_FPERIOD_OVERRIDE=FQ","FILING_STATUS=MR","SCALING_FORMAT=MLN","Sort=A","Dates=H","DateFormat=P","Fill=—","Direction=H","UseDPDF=Y")</f>
        <v>86.7</v>
      </c>
      <c r="H52" s="13">
        <f>_xll.BDH("NBIX US Equity","BS_LT_BORROW","FQ1 2020","FQ1 2020","Currency=USD","Period=FQ","BEST_FPERIOD_OVERRIDE=FQ","FILING_STATUS=MR","SCALING_FORMAT=MLN","Sort=A","Dates=H","DateFormat=P","Fill=—","Direction=H","UseDPDF=Y")</f>
        <v>499.7</v>
      </c>
      <c r="I52" s="13">
        <f>_xll.BDH("NBIX US Equity","BS_LT_BORROW","FQ2 2020","FQ2 2020","Currency=USD","Period=FQ","BEST_FPERIOD_OVERRIDE=FQ","FILING_STATUS=MR","SCALING_FORMAT=MLN","Sort=A","Dates=H","DateFormat=P","Fill=—","Direction=H","UseDPDF=Y")</f>
        <v>84.3</v>
      </c>
      <c r="J52" s="13">
        <f>_xll.BDH("NBIX US Equity","BS_LT_BORROW","FQ3 2020","FQ3 2020","Currency=USD","Period=FQ","BEST_FPERIOD_OVERRIDE=FQ","FILING_STATUS=MR","SCALING_FORMAT=MLN","Sort=A","Dates=H","DateFormat=P","Fill=—","Direction=H","UseDPDF=Y")</f>
        <v>83</v>
      </c>
      <c r="K52" s="13">
        <f>_xll.BDH("NBIX US Equity","BS_LT_BORROW","FQ4 2020","FQ4 2020","Currency=USD","Period=FQ","BEST_FPERIOD_OVERRIDE=FQ","FILING_STATUS=MR","SCALING_FORMAT=MLN","Sort=A","Dates=H","DateFormat=P","Fill=—","Direction=H","UseDPDF=Y")</f>
        <v>412.3</v>
      </c>
      <c r="L52" s="13">
        <f>_xll.BDH("NBIX US Equity","BS_LT_BORROW","FQ1 2021","FQ1 2021","Currency=USD","Period=FQ","BEST_FPERIOD_OVERRIDE=FQ","FILING_STATUS=MR","SCALING_FORMAT=MLN","Sort=A","Dates=H","DateFormat=P","Fill=—","Direction=H","UseDPDF=Y")</f>
        <v>429.5</v>
      </c>
      <c r="M52" s="13">
        <f>_xll.BDH("NBIX US Equity","BS_LT_BORROW","FQ2 2021","FQ2 2021","Currency=USD","Period=FQ","BEST_FPERIOD_OVERRIDE=FQ","FILING_STATUS=MR","SCALING_FORMAT=MLN","Sort=A","Dates=H","DateFormat=P","Fill=—","Direction=H","UseDPDF=Y")</f>
        <v>435.3</v>
      </c>
      <c r="N52" s="13">
        <f>_xll.BDH("NBIX US Equity","BS_LT_BORROW","FQ3 2021","FQ3 2021","Currency=USD","Period=FQ","BEST_FPERIOD_OVERRIDE=FQ","FILING_STATUS=MR","SCALING_FORMAT=MLN","Sort=A","Dates=H","DateFormat=P","Fill=—","Direction=H","UseDPDF=Y")</f>
        <v>437.1</v>
      </c>
      <c r="O52" s="13">
        <f>_xll.BDH("NBIX US Equity","BS_LT_BORROW","FQ4 2021","FQ4 2021","Currency=USD","Period=FQ","BEST_FPERIOD_OVERRIDE=FQ","FILING_STATUS=MR","SCALING_FORMAT=MLN","Sort=A","Dates=H","DateFormat=P","Fill=—","Direction=H","UseDPDF=Y")</f>
        <v>440.4</v>
      </c>
      <c r="P52" s="13">
        <f>_xll.BDH("NBIX US Equity","BS_LT_BORROW","FQ1 2022","FQ1 2022","Currency=USD","Period=FQ","BEST_FPERIOD_OVERRIDE=FQ","FILING_STATUS=MR","SCALING_FORMAT=MLN","Sort=A","Dates=H","DateFormat=P","Fill=—","Direction=H","UseDPDF=Y")</f>
        <v>480.2</v>
      </c>
      <c r="Q52" s="13">
        <f>_xll.BDH("NBIX US Equity","BS_LT_BORROW","FQ2 2022","FQ2 2022","Currency=USD","Period=FQ","BEST_FPERIOD_OVERRIDE=FQ","FILING_STATUS=MR","SCALING_FORMAT=MLN","Sort=A","Dates=H","DateFormat=P","Fill=—","Direction=H","UseDPDF=Y")</f>
        <v>268.60000000000002</v>
      </c>
      <c r="R52" s="13">
        <f>_xll.BDH("NBIX US Equity","BS_LT_BORROW","FQ3 2022","FQ3 2022","Currency=USD","Period=FQ","BEST_FPERIOD_OVERRIDE=FQ","FILING_STATUS=MR","SCALING_FORMAT=MLN","Sort=A","Dates=H","DateFormat=P","Fill=—","Direction=H","UseDPDF=Y")</f>
        <v>96.6</v>
      </c>
      <c r="S52" s="13">
        <f>_xll.BDH("NBIX US Equity","BS_LT_BORROW","FQ4 2022","FQ4 2022","Currency=USD","Period=FQ","BEST_FPERIOD_OVERRIDE=FQ","FILING_STATUS=MR","SCALING_FORMAT=MLN","Sort=A","Dates=H","DateFormat=P","Fill=—","Direction=H","UseDPDF=Y")</f>
        <v>93.5</v>
      </c>
      <c r="T52" s="13">
        <f>_xll.BDH("NBIX US Equity","BS_LT_BORROW","FQ1 2023","FQ1 2023","Currency=USD","Period=FQ","BEST_FPERIOD_OVERRIDE=FQ","FILING_STATUS=MR","SCALING_FORMAT=MLN","Sort=A","Dates=H","DateFormat=P","Fill=—","Direction=H","UseDPDF=Y")</f>
        <v>259.89999999999998</v>
      </c>
      <c r="U52" s="13">
        <f>_xll.BDH("NBIX US Equity","BS_LT_BORROW","FQ2 2023","FQ2 2023","Currency=USD","Period=FQ","BEST_FPERIOD_OVERRIDE=FQ","FILING_STATUS=MR","SCALING_FORMAT=MLN","Sort=A","Dates=H","DateFormat=P","Fill=—","Direction=H","UseDPDF=Y")</f>
        <v>89.1</v>
      </c>
      <c r="V52" s="13">
        <f>_xll.BDH("NBIX US Equity","BS_LT_BORROW","FQ3 2023","FQ3 2023","Currency=USD","Period=FQ","BEST_FPERIOD_OVERRIDE=FQ","FILING_STATUS=MR","SCALING_FORMAT=MLN","Sort=A","Dates=H","DateFormat=P","Fill=—","Direction=H","UseDPDF=Y")</f>
        <v>85.9</v>
      </c>
      <c r="W52" s="13">
        <f>_xll.BDH("NBIX US Equity","BS_LT_BORROW","FQ4 2023","FQ4 2023","Currency=USD","Period=FQ","BEST_FPERIOD_OVERRIDE=FQ","FILING_STATUS=MR","SCALING_FORMAT=MLN","Sort=A","Dates=H","DateFormat=P","Fill=—","Direction=H","UseDPDF=Y")</f>
        <v>258.3</v>
      </c>
      <c r="X52" s="13">
        <f>_xll.BDH("NBIX US Equity","BS_LT_BORROW","FQ1 2024","FQ1 2024","Currency=USD","Period=FQ","BEST_FPERIOD_OVERRIDE=FQ","FILING_STATUS=MR","SCALING_FORMAT=MLN","Sort=A","Dates=H","DateFormat=P","Fill=—","Direction=H","UseDPDF=Y")</f>
        <v>252.9</v>
      </c>
      <c r="Y52" s="13">
        <f>_xll.BDH("NBIX US Equity","BS_LT_BORROW","FQ2 2024","FQ2 2024","Currency=USD","Period=FQ","BEST_FPERIOD_OVERRIDE=FQ","FILING_STATUS=MR","SCALING_FORMAT=MLN","Sort=A","Dates=H","DateFormat=P","Fill=—","Direction=H","UseDPDF=Y")</f>
        <v>256.2</v>
      </c>
      <c r="Z52" s="13">
        <f>_xll.BDH("NBIX US Equity","BS_LT_BORROW","FQ3 2024","FQ3 2024","Currency=USD","Period=FQ","BEST_FPERIOD_OVERRIDE=FQ","FILING_STATUS=MR","SCALING_FORMAT=MLN","Sort=A","Dates=H","DateFormat=P","Fill=—","Direction=H","UseDPDF=Y")</f>
        <v>251.4</v>
      </c>
      <c r="AA52" s="13">
        <f>_xll.BDH("NBIX US Equity","BS_LT_BORROW","FQ4 2024","FQ4 2024","Currency=USD","Period=FQ","BEST_FPERIOD_OVERRIDE=FQ","FILING_STATUS=MR","SCALING_FORMAT=MLN","Sort=A","Dates=H","DateFormat=P","Fill=—","Direction=H","UseDPDF=Y")</f>
        <v>455.1</v>
      </c>
    </row>
    <row r="53" spans="1:27" x14ac:dyDescent="0.25">
      <c r="A53" s="10" t="s">
        <v>748</v>
      </c>
      <c r="B53" s="10" t="s">
        <v>749</v>
      </c>
      <c r="C53" s="13">
        <f>_xll.BDH("NBIX US Equity","LONG_TERM_BORROWINGS_DETAILED","FQ4 2018","FQ4 2018","Currency=USD","Period=FQ","BEST_FPERIOD_OVERRIDE=FQ","FILING_STATUS=MR","SCALING_FORMAT=MLN","Sort=A","Dates=H","DateFormat=P","Fill=—","Direction=H","UseDPDF=Y")</f>
        <v>388.49599999999998</v>
      </c>
      <c r="D53" s="13">
        <f>_xll.BDH("NBIX US Equity","LONG_TERM_BORROWINGS_DETAILED","FQ1 2019","FQ1 2019","Currency=USD","Period=FQ","BEST_FPERIOD_OVERRIDE=FQ","FILING_STATUS=MR","SCALING_FORMAT=MLN","Sort=A","Dates=H","DateFormat=P","Fill=—","Direction=H","UseDPDF=Y")</f>
        <v>393.435</v>
      </c>
      <c r="E53" s="13">
        <f>_xll.BDH("NBIX US Equity","LONG_TERM_BORROWINGS_DETAILED","FQ2 2019","FQ2 2019","Currency=USD","Period=FQ","BEST_FPERIOD_OVERRIDE=FQ","FILING_STATUS=MR","SCALING_FORMAT=MLN","Sort=A","Dates=H","DateFormat=P","Fill=—","Direction=H","UseDPDF=Y")</f>
        <v>398.46600000000001</v>
      </c>
      <c r="F53" s="13">
        <f>_xll.BDH("NBIX US Equity","LONG_TERM_BORROWINGS_DETAILED","FQ3 2019","FQ3 2019","Currency=USD","Period=FQ","BEST_FPERIOD_OVERRIDE=FQ","FILING_STATUS=MR","SCALING_FORMAT=MLN","Sort=A","Dates=H","DateFormat=P","Fill=—","Direction=H","UseDPDF=Y")</f>
        <v>403.589</v>
      </c>
      <c r="G53" s="13">
        <f>_xll.BDH("NBIX US Equity","LONG_TERM_BORROWINGS_DETAILED","FQ4 2019","FQ4 2019","Currency=USD","Period=FQ","BEST_FPERIOD_OVERRIDE=FQ","FILING_STATUS=MR","SCALING_FORMAT=MLN","Sort=A","Dates=H","DateFormat=P","Fill=—","Direction=H","UseDPDF=Y")</f>
        <v>0</v>
      </c>
      <c r="H53" s="13">
        <f>_xll.BDH("NBIX US Equity","LONG_TERM_BORROWINGS_DETAILED","FQ1 2020","FQ1 2020","Currency=USD","Period=FQ","BEST_FPERIOD_OVERRIDE=FQ","FILING_STATUS=MR","SCALING_FORMAT=MLN","Sort=A","Dates=H","DateFormat=P","Fill=—","Direction=H","UseDPDF=Y")</f>
        <v>414.1</v>
      </c>
      <c r="I53" s="13">
        <f>_xll.BDH("NBIX US Equity","LONG_TERM_BORROWINGS_DETAILED","FQ2 2020","FQ2 2020","Currency=USD","Period=FQ","BEST_FPERIOD_OVERRIDE=FQ","FILING_STATUS=MR","SCALING_FORMAT=MLN","Sort=A","Dates=H","DateFormat=P","Fill=—","Direction=H","UseDPDF=Y")</f>
        <v>0</v>
      </c>
      <c r="J53" s="13">
        <f>_xll.BDH("NBIX US Equity","LONG_TERM_BORROWINGS_DETAILED","FQ3 2020","FQ3 2020","Currency=USD","Period=FQ","BEST_FPERIOD_OVERRIDE=FQ","FILING_STATUS=MR","SCALING_FORMAT=MLN","Sort=A","Dates=H","DateFormat=P","Fill=—","Direction=H","UseDPDF=Y")</f>
        <v>0</v>
      </c>
      <c r="K53" s="13">
        <f>_xll.BDH("NBIX US Equity","LONG_TERM_BORROWINGS_DETAILED","FQ4 2020","FQ4 2020","Currency=USD","Period=FQ","BEST_FPERIOD_OVERRIDE=FQ","FILING_STATUS=MR","SCALING_FORMAT=MLN","Sort=A","Dates=H","DateFormat=P","Fill=—","Direction=H","UseDPDF=Y")</f>
        <v>317.89999999999998</v>
      </c>
      <c r="L53" s="13">
        <f>_xll.BDH("NBIX US Equity","LONG_TERM_BORROWINGS_DETAILED","FQ1 2021","FQ1 2021","Currency=USD","Period=FQ","BEST_FPERIOD_OVERRIDE=FQ","FILING_STATUS=MR","SCALING_FORMAT=MLN","Sort=A","Dates=H","DateFormat=P","Fill=—","Direction=H","UseDPDF=Y")</f>
        <v>322</v>
      </c>
      <c r="M53" s="13">
        <f>_xll.BDH("NBIX US Equity","LONG_TERM_BORROWINGS_DETAILED","FQ2 2021","FQ2 2021","Currency=USD","Period=FQ","BEST_FPERIOD_OVERRIDE=FQ","FILING_STATUS=MR","SCALING_FORMAT=MLN","Sort=A","Dates=H","DateFormat=P","Fill=—","Direction=H","UseDPDF=Y")</f>
        <v>326.3</v>
      </c>
      <c r="N53" s="13">
        <f>_xll.BDH("NBIX US Equity","LONG_TERM_BORROWINGS_DETAILED","FQ3 2021","FQ3 2021","Currency=USD","Period=FQ","BEST_FPERIOD_OVERRIDE=FQ","FILING_STATUS=MR","SCALING_FORMAT=MLN","Sort=A","Dates=H","DateFormat=P","Fill=—","Direction=H","UseDPDF=Y")</f>
        <v>330.7</v>
      </c>
      <c r="O53" s="13">
        <f>_xll.BDH("NBIX US Equity","LONG_TERM_BORROWINGS_DETAILED","FQ4 2021","FQ4 2021","Currency=USD","Period=FQ","BEST_FPERIOD_OVERRIDE=FQ","FILING_STATUS=MR","SCALING_FORMAT=MLN","Sort=A","Dates=H","DateFormat=P","Fill=—","Direction=H","UseDPDF=Y")</f>
        <v>335.1</v>
      </c>
      <c r="P53" s="13">
        <f>_xll.BDH("NBIX US Equity","LONG_TERM_BORROWINGS_DETAILED","FQ1 2022","FQ1 2022","Currency=USD","Period=FQ","BEST_FPERIOD_OVERRIDE=FQ","FILING_STATUS=MR","SCALING_FORMAT=MLN","Sort=A","Dates=H","DateFormat=P","Fill=—","Direction=H","UseDPDF=Y")</f>
        <v>377.7</v>
      </c>
      <c r="Q53" s="13">
        <f>_xll.BDH("NBIX US Equity","LONG_TERM_BORROWINGS_DETAILED","FQ2 2022","FQ2 2022","Currency=USD","Period=FQ","BEST_FPERIOD_OVERRIDE=FQ","FILING_STATUS=MR","SCALING_FORMAT=MLN","Sort=A","Dates=H","DateFormat=P","Fill=—","Direction=H","UseDPDF=Y")</f>
        <v>169</v>
      </c>
      <c r="R53" s="13">
        <f>_xll.BDH("NBIX US Equity","LONG_TERM_BORROWINGS_DETAILED","FQ3 2022","FQ3 2022","Currency=USD","Period=FQ","BEST_FPERIOD_OVERRIDE=FQ","FILING_STATUS=MR","SCALING_FORMAT=MLN","Sort=A","Dates=H","DateFormat=P","Fill=—","Direction=H","UseDPDF=Y")</f>
        <v>0</v>
      </c>
      <c r="S53" s="13">
        <f>_xll.BDH("NBIX US Equity","LONG_TERM_BORROWINGS_DETAILED","FQ4 2022","FQ4 2022","Currency=USD","Period=FQ","BEST_FPERIOD_OVERRIDE=FQ","FILING_STATUS=MR","SCALING_FORMAT=MLN","Sort=A","Dates=H","DateFormat=P","Fill=—","Direction=H","UseDPDF=Y")</f>
        <v>0</v>
      </c>
      <c r="T53" s="13">
        <f>_xll.BDH("NBIX US Equity","LONG_TERM_BORROWINGS_DETAILED","FQ1 2023","FQ1 2023","Currency=USD","Period=FQ","BEST_FPERIOD_OVERRIDE=FQ","FILING_STATUS=MR","SCALING_FORMAT=MLN","Sort=A","Dates=H","DateFormat=P","Fill=—","Direction=H","UseDPDF=Y")</f>
        <v>169.5</v>
      </c>
      <c r="U53" s="13">
        <f>_xll.BDH("NBIX US Equity","LONG_TERM_BORROWINGS_DETAILED","FQ2 2023","FQ2 2023","Currency=USD","Period=FQ","BEST_FPERIOD_OVERRIDE=FQ","FILING_STATUS=MR","SCALING_FORMAT=MLN","Sort=A","Dates=H","DateFormat=P","Fill=—","Direction=H","UseDPDF=Y")</f>
        <v>0</v>
      </c>
      <c r="V53" s="13">
        <f>_xll.BDH("NBIX US Equity","LONG_TERM_BORROWINGS_DETAILED","FQ3 2023","FQ3 2023","Currency=USD","Period=FQ","BEST_FPERIOD_OVERRIDE=FQ","FILING_STATUS=MR","SCALING_FORMAT=MLN","Sort=A","Dates=H","DateFormat=P","Fill=—","Direction=H","UseDPDF=Y")</f>
        <v>0</v>
      </c>
      <c r="W53" s="13">
        <f>_xll.BDH("NBIX US Equity","LONG_TERM_BORROWINGS_DETAILED","FQ4 2023","FQ4 2023","Currency=USD","Period=FQ","BEST_FPERIOD_OVERRIDE=FQ","FILING_STATUS=MR","SCALING_FORMAT=MLN","Sort=A","Dates=H","DateFormat=P","Fill=—","Direction=H","UseDPDF=Y")</f>
        <v>0</v>
      </c>
      <c r="X53" s="13">
        <f>_xll.BDH("NBIX US Equity","LONG_TERM_BORROWINGS_DETAILED","FQ1 2024","FQ1 2024","Currency=USD","Period=FQ","BEST_FPERIOD_OVERRIDE=FQ","FILING_STATUS=MR","SCALING_FORMAT=MLN","Sort=A","Dates=H","DateFormat=P","Fill=—","Direction=H","UseDPDF=Y")</f>
        <v>0</v>
      </c>
      <c r="Y53" s="13">
        <f>_xll.BDH("NBIX US Equity","LONG_TERM_BORROWINGS_DETAILED","FQ2 2024","FQ2 2024","Currency=USD","Period=FQ","BEST_FPERIOD_OVERRIDE=FQ","FILING_STATUS=MR","SCALING_FORMAT=MLN","Sort=A","Dates=H","DateFormat=P","Fill=—","Direction=H","UseDPDF=Y")</f>
        <v>0</v>
      </c>
      <c r="Z53" s="13">
        <f>_xll.BDH("NBIX US Equity","LONG_TERM_BORROWINGS_DETAILED","FQ3 2024","FQ3 2024","Currency=USD","Period=FQ","BEST_FPERIOD_OVERRIDE=FQ","FILING_STATUS=MR","SCALING_FORMAT=MLN","Sort=A","Dates=H","DateFormat=P","Fill=—","Direction=H","UseDPDF=Y")</f>
        <v>0</v>
      </c>
      <c r="AA53" s="13">
        <f>_xll.BDH("NBIX US Equity","LONG_TERM_BORROWINGS_DETAILED","FQ4 2024","FQ4 2024","Currency=USD","Period=FQ","BEST_FPERIOD_OVERRIDE=FQ","FILING_STATUS=MR","SCALING_FORMAT=MLN","Sort=A","Dates=H","DateFormat=P","Fill=—","Direction=H","UseDPDF=Y")</f>
        <v>0</v>
      </c>
    </row>
    <row r="54" spans="1:27" x14ac:dyDescent="0.25">
      <c r="A54" s="10" t="s">
        <v>750</v>
      </c>
      <c r="B54" s="10" t="s">
        <v>751</v>
      </c>
      <c r="C54" s="13">
        <f>_xll.BDH("NBIX US Equity","LT_CAPITALIZED_LEASE_LIABILITIES","FQ4 2018","FQ4 2018","Currency=USD","Period=FQ","BEST_FPERIOD_OVERRIDE=FQ","FILING_STATUS=MR","SCALING_FORMAT=MLN","Sort=A","Dates=H","DateFormat=P","Fill=—","Direction=H","UseDPDF=Y")</f>
        <v>0</v>
      </c>
      <c r="D54" s="13">
        <f>_xll.BDH("NBIX US Equity","LT_CAPITALIZED_LEASE_LIABILITIES","FQ1 2019","FQ1 2019","Currency=USD","Period=FQ","BEST_FPERIOD_OVERRIDE=FQ","FILING_STATUS=MR","SCALING_FORMAT=MLN","Sort=A","Dates=H","DateFormat=P","Fill=—","Direction=H","UseDPDF=Y")</f>
        <v>67.147000000000006</v>
      </c>
      <c r="E54" s="13">
        <f>_xll.BDH("NBIX US Equity","LT_CAPITALIZED_LEASE_LIABILITIES","FQ2 2019","FQ2 2019","Currency=USD","Period=FQ","BEST_FPERIOD_OVERRIDE=FQ","FILING_STATUS=MR","SCALING_FORMAT=MLN","Sort=A","Dates=H","DateFormat=P","Fill=—","Direction=H","UseDPDF=Y")</f>
        <v>66.185000000000002</v>
      </c>
      <c r="F54" s="13">
        <f>_xll.BDH("NBIX US Equity","LT_CAPITALIZED_LEASE_LIABILITIES","FQ3 2019","FQ3 2019","Currency=USD","Period=FQ","BEST_FPERIOD_OVERRIDE=FQ","FILING_STATUS=MR","SCALING_FORMAT=MLN","Sort=A","Dates=H","DateFormat=P","Fill=—","Direction=H","UseDPDF=Y")</f>
        <v>74.481999999999999</v>
      </c>
      <c r="G54" s="13">
        <f>_xll.BDH("NBIX US Equity","LT_CAPITALIZED_LEASE_LIABILITIES","FQ4 2019","FQ4 2019","Currency=USD","Period=FQ","BEST_FPERIOD_OVERRIDE=FQ","FILING_STATUS=MR","SCALING_FORMAT=MLN","Sort=A","Dates=H","DateFormat=P","Fill=—","Direction=H","UseDPDF=Y")</f>
        <v>86.7</v>
      </c>
      <c r="H54" s="13">
        <f>_xll.BDH("NBIX US Equity","LT_CAPITALIZED_LEASE_LIABILITIES","FQ1 2020","FQ1 2020","Currency=USD","Period=FQ","BEST_FPERIOD_OVERRIDE=FQ","FILING_STATUS=MR","SCALING_FORMAT=MLN","Sort=A","Dates=H","DateFormat=P","Fill=—","Direction=H","UseDPDF=Y")</f>
        <v>85.6</v>
      </c>
      <c r="I54" s="13">
        <f>_xll.BDH("NBIX US Equity","LT_CAPITALIZED_LEASE_LIABILITIES","FQ2 2020","FQ2 2020","Currency=USD","Period=FQ","BEST_FPERIOD_OVERRIDE=FQ","FILING_STATUS=MR","SCALING_FORMAT=MLN","Sort=A","Dates=H","DateFormat=P","Fill=—","Direction=H","UseDPDF=Y")</f>
        <v>84.3</v>
      </c>
      <c r="J54" s="13">
        <f>_xll.BDH("NBIX US Equity","LT_CAPITALIZED_LEASE_LIABILITIES","FQ3 2020","FQ3 2020","Currency=USD","Period=FQ","BEST_FPERIOD_OVERRIDE=FQ","FILING_STATUS=MR","SCALING_FORMAT=MLN","Sort=A","Dates=H","DateFormat=P","Fill=—","Direction=H","UseDPDF=Y")</f>
        <v>83</v>
      </c>
      <c r="K54" s="13">
        <f>_xll.BDH("NBIX US Equity","LT_CAPITALIZED_LEASE_LIABILITIES","FQ4 2020","FQ4 2020","Currency=USD","Period=FQ","BEST_FPERIOD_OVERRIDE=FQ","FILING_STATUS=MR","SCALING_FORMAT=MLN","Sort=A","Dates=H","DateFormat=P","Fill=—","Direction=H","UseDPDF=Y")</f>
        <v>94.4</v>
      </c>
      <c r="L54" s="13">
        <f>_xll.BDH("NBIX US Equity","LT_CAPITALIZED_LEASE_LIABILITIES","FQ1 2021","FQ1 2021","Currency=USD","Period=FQ","BEST_FPERIOD_OVERRIDE=FQ","FILING_STATUS=MR","SCALING_FORMAT=MLN","Sort=A","Dates=H","DateFormat=P","Fill=—","Direction=H","UseDPDF=Y")</f>
        <v>107.5</v>
      </c>
      <c r="M54" s="13">
        <f>_xll.BDH("NBIX US Equity","LT_CAPITALIZED_LEASE_LIABILITIES","FQ2 2021","FQ2 2021","Currency=USD","Period=FQ","BEST_FPERIOD_OVERRIDE=FQ","FILING_STATUS=MR","SCALING_FORMAT=MLN","Sort=A","Dates=H","DateFormat=P","Fill=—","Direction=H","UseDPDF=Y")</f>
        <v>109</v>
      </c>
      <c r="N54" s="13">
        <f>_xll.BDH("NBIX US Equity","LT_CAPITALIZED_LEASE_LIABILITIES","FQ3 2021","FQ3 2021","Currency=USD","Period=FQ","BEST_FPERIOD_OVERRIDE=FQ","FILING_STATUS=MR","SCALING_FORMAT=MLN","Sort=A","Dates=H","DateFormat=P","Fill=—","Direction=H","UseDPDF=Y")</f>
        <v>106.4</v>
      </c>
      <c r="O54" s="13">
        <f>_xll.BDH("NBIX US Equity","LT_CAPITALIZED_LEASE_LIABILITIES","FQ4 2021","FQ4 2021","Currency=USD","Period=FQ","BEST_FPERIOD_OVERRIDE=FQ","FILING_STATUS=MR","SCALING_FORMAT=MLN","Sort=A","Dates=H","DateFormat=P","Fill=—","Direction=H","UseDPDF=Y")</f>
        <v>105.3</v>
      </c>
      <c r="P54" s="13">
        <f>_xll.BDH("NBIX US Equity","LT_CAPITALIZED_LEASE_LIABILITIES","FQ1 2022","FQ1 2022","Currency=USD","Period=FQ","BEST_FPERIOD_OVERRIDE=FQ","FILING_STATUS=MR","SCALING_FORMAT=MLN","Sort=A","Dates=H","DateFormat=P","Fill=—","Direction=H","UseDPDF=Y")</f>
        <v>102.5</v>
      </c>
      <c r="Q54" s="13">
        <f>_xll.BDH("NBIX US Equity","LT_CAPITALIZED_LEASE_LIABILITIES","FQ2 2022","FQ2 2022","Currency=USD","Period=FQ","BEST_FPERIOD_OVERRIDE=FQ","FILING_STATUS=MR","SCALING_FORMAT=MLN","Sort=A","Dates=H","DateFormat=P","Fill=—","Direction=H","UseDPDF=Y")</f>
        <v>99.6</v>
      </c>
      <c r="R54" s="13">
        <f>_xll.BDH("NBIX US Equity","LT_CAPITALIZED_LEASE_LIABILITIES","FQ3 2022","FQ3 2022","Currency=USD","Period=FQ","BEST_FPERIOD_OVERRIDE=FQ","FILING_STATUS=MR","SCALING_FORMAT=MLN","Sort=A","Dates=H","DateFormat=P","Fill=—","Direction=H","UseDPDF=Y")</f>
        <v>96.6</v>
      </c>
      <c r="S54" s="13">
        <f>_xll.BDH("NBIX US Equity","LT_CAPITALIZED_LEASE_LIABILITIES","FQ4 2022","FQ4 2022","Currency=USD","Period=FQ","BEST_FPERIOD_OVERRIDE=FQ","FILING_STATUS=MR","SCALING_FORMAT=MLN","Sort=A","Dates=H","DateFormat=P","Fill=—","Direction=H","UseDPDF=Y")</f>
        <v>93.5</v>
      </c>
      <c r="T54" s="13">
        <f>_xll.BDH("NBIX US Equity","LT_CAPITALIZED_LEASE_LIABILITIES","FQ1 2023","FQ1 2023","Currency=USD","Period=FQ","BEST_FPERIOD_OVERRIDE=FQ","FILING_STATUS=MR","SCALING_FORMAT=MLN","Sort=A","Dates=H","DateFormat=P","Fill=—","Direction=H","UseDPDF=Y")</f>
        <v>90.4</v>
      </c>
      <c r="U54" s="13">
        <f>_xll.BDH("NBIX US Equity","LT_CAPITALIZED_LEASE_LIABILITIES","FQ2 2023","FQ2 2023","Currency=USD","Period=FQ","BEST_FPERIOD_OVERRIDE=FQ","FILING_STATUS=MR","SCALING_FORMAT=MLN","Sort=A","Dates=H","DateFormat=P","Fill=—","Direction=H","UseDPDF=Y")</f>
        <v>89.1</v>
      </c>
      <c r="V54" s="13">
        <f>_xll.BDH("NBIX US Equity","LT_CAPITALIZED_LEASE_LIABILITIES","FQ3 2023","FQ3 2023","Currency=USD","Period=FQ","BEST_FPERIOD_OVERRIDE=FQ","FILING_STATUS=MR","SCALING_FORMAT=MLN","Sort=A","Dates=H","DateFormat=P","Fill=—","Direction=H","UseDPDF=Y")</f>
        <v>85.9</v>
      </c>
      <c r="W54" s="13">
        <f>_xll.BDH("NBIX US Equity","LT_CAPITALIZED_LEASE_LIABILITIES","FQ4 2023","FQ4 2023","Currency=USD","Period=FQ","BEST_FPERIOD_OVERRIDE=FQ","FILING_STATUS=MR","SCALING_FORMAT=MLN","Sort=A","Dates=H","DateFormat=P","Fill=—","Direction=H","UseDPDF=Y")</f>
        <v>258.3</v>
      </c>
      <c r="X54" s="13">
        <f>_xll.BDH("NBIX US Equity","LT_CAPITALIZED_LEASE_LIABILITIES","FQ1 2024","FQ1 2024","Currency=USD","Period=FQ","BEST_FPERIOD_OVERRIDE=FQ","FILING_STATUS=MR","SCALING_FORMAT=MLN","Sort=A","Dates=H","DateFormat=P","Fill=—","Direction=H","UseDPDF=Y")</f>
        <v>252.9</v>
      </c>
      <c r="Y54" s="13">
        <f>_xll.BDH("NBIX US Equity","LT_CAPITALIZED_LEASE_LIABILITIES","FQ2 2024","FQ2 2024","Currency=USD","Period=FQ","BEST_FPERIOD_OVERRIDE=FQ","FILING_STATUS=MR","SCALING_FORMAT=MLN","Sort=A","Dates=H","DateFormat=P","Fill=—","Direction=H","UseDPDF=Y")</f>
        <v>256.2</v>
      </c>
      <c r="Z54" s="13">
        <f>_xll.BDH("NBIX US Equity","LT_CAPITALIZED_LEASE_LIABILITIES","FQ3 2024","FQ3 2024","Currency=USD","Period=FQ","BEST_FPERIOD_OVERRIDE=FQ","FILING_STATUS=MR","SCALING_FORMAT=MLN","Sort=A","Dates=H","DateFormat=P","Fill=—","Direction=H","UseDPDF=Y")</f>
        <v>251.4</v>
      </c>
      <c r="AA54" s="13">
        <f>_xll.BDH("NBIX US Equity","LT_CAPITALIZED_LEASE_LIABILITIES","FQ4 2024","FQ4 2024","Currency=USD","Period=FQ","BEST_FPERIOD_OVERRIDE=FQ","FILING_STATUS=MR","SCALING_FORMAT=MLN","Sort=A","Dates=H","DateFormat=P","Fill=—","Direction=H","UseDPDF=Y")</f>
        <v>455.1</v>
      </c>
    </row>
    <row r="55" spans="1:27" x14ac:dyDescent="0.25">
      <c r="A55" s="11" t="s">
        <v>752</v>
      </c>
      <c r="B55" s="11" t="s">
        <v>753</v>
      </c>
      <c r="C55" s="25">
        <f>_xll.BDH("NBIX US Equity","LT_CAPITAL_LEASE_OBLIGATIONS","FQ4 2018","FQ4 2018","Currency=USD","Period=FQ","BEST_FPERIOD_OVERRIDE=FQ","FILING_STATUS=MR","SCALING_FORMAT=MLN","Sort=A","Dates=H","DateFormat=P","Fill=—","Direction=H","UseDPDF=Y")</f>
        <v>0</v>
      </c>
      <c r="D55" s="25" t="str">
        <f>_xll.BDH("NBIX US Equity","LT_CAPITAL_LEASE_OBLIGATIONS","FQ1 2019","FQ1 2019","Currency=USD","Period=FQ","BEST_FPERIOD_OVERRIDE=FQ","FILING_STATUS=MR","SCALING_FORMAT=MLN","Sort=A","Dates=H","DateFormat=P","Fill=—","Direction=H","UseDPDF=Y")</f>
        <v>—</v>
      </c>
      <c r="E55" s="25" t="str">
        <f>_xll.BDH("NBIX US Equity","LT_CAPITAL_LEASE_OBLIGATIONS","FQ2 2019","FQ2 2019","Currency=USD","Period=FQ","BEST_FPERIOD_OVERRIDE=FQ","FILING_STATUS=MR","SCALING_FORMAT=MLN","Sort=A","Dates=H","DateFormat=P","Fill=—","Direction=H","UseDPDF=Y")</f>
        <v>—</v>
      </c>
      <c r="F55" s="25" t="str">
        <f>_xll.BDH("NBIX US Equity","LT_CAPITAL_LEASE_OBLIGATIONS","FQ3 2019","FQ3 2019","Currency=USD","Period=FQ","BEST_FPERIOD_OVERRIDE=FQ","FILING_STATUS=MR","SCALING_FORMAT=MLN","Sort=A","Dates=H","DateFormat=P","Fill=—","Direction=H","UseDPDF=Y")</f>
        <v>—</v>
      </c>
      <c r="G55" s="25">
        <f>_xll.BDH("NBIX US Equity","LT_CAPITAL_LEASE_OBLIGATIONS","FQ4 2019","FQ4 2019","Currency=USD","Period=FQ","BEST_FPERIOD_OVERRIDE=FQ","FILING_STATUS=MR","SCALING_FORMAT=MLN","Sort=A","Dates=H","DateFormat=P","Fill=—","Direction=H","UseDPDF=Y")</f>
        <v>0</v>
      </c>
      <c r="H55" s="25" t="str">
        <f>_xll.BDH("NBIX US Equity","LT_CAPITAL_LEASE_OBLIGATIONS","FQ1 2020","FQ1 2020","Currency=USD","Period=FQ","BEST_FPERIOD_OVERRIDE=FQ","FILING_STATUS=MR","SCALING_FORMAT=MLN","Sort=A","Dates=H","DateFormat=P","Fill=—","Direction=H","UseDPDF=Y")</f>
        <v>—</v>
      </c>
      <c r="I55" s="25" t="str">
        <f>_xll.BDH("NBIX US Equity","LT_CAPITAL_LEASE_OBLIGATIONS","FQ2 2020","FQ2 2020","Currency=USD","Period=FQ","BEST_FPERIOD_OVERRIDE=FQ","FILING_STATUS=MR","SCALING_FORMAT=MLN","Sort=A","Dates=H","DateFormat=P","Fill=—","Direction=H","UseDPDF=Y")</f>
        <v>—</v>
      </c>
      <c r="J55" s="25" t="str">
        <f>_xll.BDH("NBIX US Equity","LT_CAPITAL_LEASE_OBLIGATIONS","FQ3 2020","FQ3 2020","Currency=USD","Period=FQ","BEST_FPERIOD_OVERRIDE=FQ","FILING_STATUS=MR","SCALING_FORMAT=MLN","Sort=A","Dates=H","DateFormat=P","Fill=—","Direction=H","UseDPDF=Y")</f>
        <v>—</v>
      </c>
      <c r="K55" s="25">
        <f>_xll.BDH("NBIX US Equity","LT_CAPITAL_LEASE_OBLIGATIONS","FQ4 2020","FQ4 2020","Currency=USD","Period=FQ","BEST_FPERIOD_OVERRIDE=FQ","FILING_STATUS=MR","SCALING_FORMAT=MLN","Sort=A","Dates=H","DateFormat=P","Fill=—","Direction=H","UseDPDF=Y")</f>
        <v>0</v>
      </c>
      <c r="L55" s="25" t="str">
        <f>_xll.BDH("NBIX US Equity","LT_CAPITAL_LEASE_OBLIGATIONS","FQ1 2021","FQ1 2021","Currency=USD","Period=FQ","BEST_FPERIOD_OVERRIDE=FQ","FILING_STATUS=MR","SCALING_FORMAT=MLN","Sort=A","Dates=H","DateFormat=P","Fill=—","Direction=H","UseDPDF=Y")</f>
        <v>—</v>
      </c>
      <c r="M55" s="25" t="str">
        <f>_xll.BDH("NBIX US Equity","LT_CAPITAL_LEASE_OBLIGATIONS","FQ2 2021","FQ2 2021","Currency=USD","Period=FQ","BEST_FPERIOD_OVERRIDE=FQ","FILING_STATUS=MR","SCALING_FORMAT=MLN","Sort=A","Dates=H","DateFormat=P","Fill=—","Direction=H","UseDPDF=Y")</f>
        <v>—</v>
      </c>
      <c r="N55" s="25" t="str">
        <f>_xll.BDH("NBIX US Equity","LT_CAPITAL_LEASE_OBLIGATIONS","FQ3 2021","FQ3 2021","Currency=USD","Period=FQ","BEST_FPERIOD_OVERRIDE=FQ","FILING_STATUS=MR","SCALING_FORMAT=MLN","Sort=A","Dates=H","DateFormat=P","Fill=—","Direction=H","UseDPDF=Y")</f>
        <v>—</v>
      </c>
      <c r="O55" s="25">
        <f>_xll.BDH("NBIX US Equity","LT_CAPITAL_LEASE_OBLIGATIONS","FQ4 2021","FQ4 2021","Currency=USD","Period=FQ","BEST_FPERIOD_OVERRIDE=FQ","FILING_STATUS=MR","SCALING_FORMAT=MLN","Sort=A","Dates=H","DateFormat=P","Fill=—","Direction=H","UseDPDF=Y")</f>
        <v>0</v>
      </c>
      <c r="P55" s="25" t="str">
        <f>_xll.BDH("NBIX US Equity","LT_CAPITAL_LEASE_OBLIGATIONS","FQ1 2022","FQ1 2022","Currency=USD","Period=FQ","BEST_FPERIOD_OVERRIDE=FQ","FILING_STATUS=MR","SCALING_FORMAT=MLN","Sort=A","Dates=H","DateFormat=P","Fill=—","Direction=H","UseDPDF=Y")</f>
        <v>—</v>
      </c>
      <c r="Q55" s="25" t="str">
        <f>_xll.BDH("NBIX US Equity","LT_CAPITAL_LEASE_OBLIGATIONS","FQ2 2022","FQ2 2022","Currency=USD","Period=FQ","BEST_FPERIOD_OVERRIDE=FQ","FILING_STATUS=MR","SCALING_FORMAT=MLN","Sort=A","Dates=H","DateFormat=P","Fill=—","Direction=H","UseDPDF=Y")</f>
        <v>—</v>
      </c>
      <c r="R55" s="25" t="str">
        <f>_xll.BDH("NBIX US Equity","LT_CAPITAL_LEASE_OBLIGATIONS","FQ3 2022","FQ3 2022","Currency=USD","Period=FQ","BEST_FPERIOD_OVERRIDE=FQ","FILING_STATUS=MR","SCALING_FORMAT=MLN","Sort=A","Dates=H","DateFormat=P","Fill=—","Direction=H","UseDPDF=Y")</f>
        <v>—</v>
      </c>
      <c r="S55" s="25">
        <f>_xll.BDH("NBIX US Equity","LT_CAPITAL_LEASE_OBLIGATIONS","FQ4 2022","FQ4 2022","Currency=USD","Period=FQ","BEST_FPERIOD_OVERRIDE=FQ","FILING_STATUS=MR","SCALING_FORMAT=MLN","Sort=A","Dates=H","DateFormat=P","Fill=—","Direction=H","UseDPDF=Y")</f>
        <v>0</v>
      </c>
      <c r="T55" s="25" t="str">
        <f>_xll.BDH("NBIX US Equity","LT_CAPITAL_LEASE_OBLIGATIONS","FQ1 2023","FQ1 2023","Currency=USD","Period=FQ","BEST_FPERIOD_OVERRIDE=FQ","FILING_STATUS=MR","SCALING_FORMAT=MLN","Sort=A","Dates=H","DateFormat=P","Fill=—","Direction=H","UseDPDF=Y")</f>
        <v>—</v>
      </c>
      <c r="U55" s="25" t="str">
        <f>_xll.BDH("NBIX US Equity","LT_CAPITAL_LEASE_OBLIGATIONS","FQ2 2023","FQ2 2023","Currency=USD","Period=FQ","BEST_FPERIOD_OVERRIDE=FQ","FILING_STATUS=MR","SCALING_FORMAT=MLN","Sort=A","Dates=H","DateFormat=P","Fill=—","Direction=H","UseDPDF=Y")</f>
        <v>—</v>
      </c>
      <c r="V55" s="25" t="str">
        <f>_xll.BDH("NBIX US Equity","LT_CAPITAL_LEASE_OBLIGATIONS","FQ3 2023","FQ3 2023","Currency=USD","Period=FQ","BEST_FPERIOD_OVERRIDE=FQ","FILING_STATUS=MR","SCALING_FORMAT=MLN","Sort=A","Dates=H","DateFormat=P","Fill=—","Direction=H","UseDPDF=Y")</f>
        <v>—</v>
      </c>
      <c r="W55" s="25">
        <f>_xll.BDH("NBIX US Equity","LT_CAPITAL_LEASE_OBLIGATIONS","FQ4 2023","FQ4 2023","Currency=USD","Period=FQ","BEST_FPERIOD_OVERRIDE=FQ","FILING_STATUS=MR","SCALING_FORMAT=MLN","Sort=A","Dates=H","DateFormat=P","Fill=—","Direction=H","UseDPDF=Y")</f>
        <v>0</v>
      </c>
      <c r="X55" s="25" t="str">
        <f>_xll.BDH("NBIX US Equity","LT_CAPITAL_LEASE_OBLIGATIONS","FQ1 2024","FQ1 2024","Currency=USD","Period=FQ","BEST_FPERIOD_OVERRIDE=FQ","FILING_STATUS=MR","SCALING_FORMAT=MLN","Sort=A","Dates=H","DateFormat=P","Fill=—","Direction=H","UseDPDF=Y")</f>
        <v>—</v>
      </c>
      <c r="Y55" s="25" t="str">
        <f>_xll.BDH("NBIX US Equity","LT_CAPITAL_LEASE_OBLIGATIONS","FQ2 2024","FQ2 2024","Currency=USD","Period=FQ","BEST_FPERIOD_OVERRIDE=FQ","FILING_STATUS=MR","SCALING_FORMAT=MLN","Sort=A","Dates=H","DateFormat=P","Fill=—","Direction=H","UseDPDF=Y")</f>
        <v>—</v>
      </c>
      <c r="Z55" s="25" t="str">
        <f>_xll.BDH("NBIX US Equity","LT_CAPITAL_LEASE_OBLIGATIONS","FQ3 2024","FQ3 2024","Currency=USD","Period=FQ","BEST_FPERIOD_OVERRIDE=FQ","FILING_STATUS=MR","SCALING_FORMAT=MLN","Sort=A","Dates=H","DateFormat=P","Fill=—","Direction=H","UseDPDF=Y")</f>
        <v>—</v>
      </c>
      <c r="AA55" s="25">
        <f>_xll.BDH("NBIX US Equity","LT_CAPITAL_LEASE_OBLIGATIONS","FQ4 2024","FQ4 2024","Currency=USD","Period=FQ","BEST_FPERIOD_OVERRIDE=FQ","FILING_STATUS=MR","SCALING_FORMAT=MLN","Sort=A","Dates=H","DateFormat=P","Fill=—","Direction=H","UseDPDF=Y")</f>
        <v>0</v>
      </c>
    </row>
    <row r="56" spans="1:27" x14ac:dyDescent="0.25">
      <c r="A56" s="11" t="s">
        <v>754</v>
      </c>
      <c r="B56" s="11" t="s">
        <v>755</v>
      </c>
      <c r="C56" s="25" t="str">
        <f>_xll.BDH("NBIX US Equity","BS_LT_OPERATING_LEASE_LIABS","FQ4 2018","FQ4 2018","Currency=USD","Period=FQ","BEST_FPERIOD_OVERRIDE=FQ","FILING_STATUS=MR","SCALING_FORMAT=MLN","Sort=A","Dates=H","DateFormat=P","Fill=—","Direction=H","UseDPDF=Y")</f>
        <v>—</v>
      </c>
      <c r="D56" s="25">
        <f>_xll.BDH("NBIX US Equity","BS_LT_OPERATING_LEASE_LIABS","FQ1 2019","FQ1 2019","Currency=USD","Period=FQ","BEST_FPERIOD_OVERRIDE=FQ","FILING_STATUS=MR","SCALING_FORMAT=MLN","Sort=A","Dates=H","DateFormat=P","Fill=—","Direction=H","UseDPDF=Y")</f>
        <v>67.147000000000006</v>
      </c>
      <c r="E56" s="25">
        <f>_xll.BDH("NBIX US Equity","BS_LT_OPERATING_LEASE_LIABS","FQ2 2019","FQ2 2019","Currency=USD","Period=FQ","BEST_FPERIOD_OVERRIDE=FQ","FILING_STATUS=MR","SCALING_FORMAT=MLN","Sort=A","Dates=H","DateFormat=P","Fill=—","Direction=H","UseDPDF=Y")</f>
        <v>66.185000000000002</v>
      </c>
      <c r="F56" s="25">
        <f>_xll.BDH("NBIX US Equity","BS_LT_OPERATING_LEASE_LIABS","FQ3 2019","FQ3 2019","Currency=USD","Period=FQ","BEST_FPERIOD_OVERRIDE=FQ","FILING_STATUS=MR","SCALING_FORMAT=MLN","Sort=A","Dates=H","DateFormat=P","Fill=—","Direction=H","UseDPDF=Y")</f>
        <v>74.481999999999999</v>
      </c>
      <c r="G56" s="25">
        <f>_xll.BDH("NBIX US Equity","BS_LT_OPERATING_LEASE_LIABS","FQ4 2019","FQ4 2019","Currency=USD","Period=FQ","BEST_FPERIOD_OVERRIDE=FQ","FILING_STATUS=MR","SCALING_FORMAT=MLN","Sort=A","Dates=H","DateFormat=P","Fill=—","Direction=H","UseDPDF=Y")</f>
        <v>86.7</v>
      </c>
      <c r="H56" s="25">
        <f>_xll.BDH("NBIX US Equity","BS_LT_OPERATING_LEASE_LIABS","FQ1 2020","FQ1 2020","Currency=USD","Period=FQ","BEST_FPERIOD_OVERRIDE=FQ","FILING_STATUS=MR","SCALING_FORMAT=MLN","Sort=A","Dates=H","DateFormat=P","Fill=—","Direction=H","UseDPDF=Y")</f>
        <v>85.6</v>
      </c>
      <c r="I56" s="25">
        <f>_xll.BDH("NBIX US Equity","BS_LT_OPERATING_LEASE_LIABS","FQ2 2020","FQ2 2020","Currency=USD","Period=FQ","BEST_FPERIOD_OVERRIDE=FQ","FILING_STATUS=MR","SCALING_FORMAT=MLN","Sort=A","Dates=H","DateFormat=P","Fill=—","Direction=H","UseDPDF=Y")</f>
        <v>84.3</v>
      </c>
      <c r="J56" s="25">
        <f>_xll.BDH("NBIX US Equity","BS_LT_OPERATING_LEASE_LIABS","FQ3 2020","FQ3 2020","Currency=USD","Period=FQ","BEST_FPERIOD_OVERRIDE=FQ","FILING_STATUS=MR","SCALING_FORMAT=MLN","Sort=A","Dates=H","DateFormat=P","Fill=—","Direction=H","UseDPDF=Y")</f>
        <v>83</v>
      </c>
      <c r="K56" s="25">
        <f>_xll.BDH("NBIX US Equity","BS_LT_OPERATING_LEASE_LIABS","FQ4 2020","FQ4 2020","Currency=USD","Period=FQ","BEST_FPERIOD_OVERRIDE=FQ","FILING_STATUS=MR","SCALING_FORMAT=MLN","Sort=A","Dates=H","DateFormat=P","Fill=—","Direction=H","UseDPDF=Y")</f>
        <v>94.4</v>
      </c>
      <c r="L56" s="25">
        <f>_xll.BDH("NBIX US Equity","BS_LT_OPERATING_LEASE_LIABS","FQ1 2021","FQ1 2021","Currency=USD","Period=FQ","BEST_FPERIOD_OVERRIDE=FQ","FILING_STATUS=MR","SCALING_FORMAT=MLN","Sort=A","Dates=H","DateFormat=P","Fill=—","Direction=H","UseDPDF=Y")</f>
        <v>107.5</v>
      </c>
      <c r="M56" s="25">
        <f>_xll.BDH("NBIX US Equity","BS_LT_OPERATING_LEASE_LIABS","FQ2 2021","FQ2 2021","Currency=USD","Period=FQ","BEST_FPERIOD_OVERRIDE=FQ","FILING_STATUS=MR","SCALING_FORMAT=MLN","Sort=A","Dates=H","DateFormat=P","Fill=—","Direction=H","UseDPDF=Y")</f>
        <v>109</v>
      </c>
      <c r="N56" s="25">
        <f>_xll.BDH("NBIX US Equity","BS_LT_OPERATING_LEASE_LIABS","FQ3 2021","FQ3 2021","Currency=USD","Period=FQ","BEST_FPERIOD_OVERRIDE=FQ","FILING_STATUS=MR","SCALING_FORMAT=MLN","Sort=A","Dates=H","DateFormat=P","Fill=—","Direction=H","UseDPDF=Y")</f>
        <v>106.4</v>
      </c>
      <c r="O56" s="25">
        <f>_xll.BDH("NBIX US Equity","BS_LT_OPERATING_LEASE_LIABS","FQ4 2021","FQ4 2021","Currency=USD","Period=FQ","BEST_FPERIOD_OVERRIDE=FQ","FILING_STATUS=MR","SCALING_FORMAT=MLN","Sort=A","Dates=H","DateFormat=P","Fill=—","Direction=H","UseDPDF=Y")</f>
        <v>105.3</v>
      </c>
      <c r="P56" s="25">
        <f>_xll.BDH("NBIX US Equity","BS_LT_OPERATING_LEASE_LIABS","FQ1 2022","FQ1 2022","Currency=USD","Period=FQ","BEST_FPERIOD_OVERRIDE=FQ","FILING_STATUS=MR","SCALING_FORMAT=MLN","Sort=A","Dates=H","DateFormat=P","Fill=—","Direction=H","UseDPDF=Y")</f>
        <v>102.5</v>
      </c>
      <c r="Q56" s="25">
        <f>_xll.BDH("NBIX US Equity","BS_LT_OPERATING_LEASE_LIABS","FQ2 2022","FQ2 2022","Currency=USD","Period=FQ","BEST_FPERIOD_OVERRIDE=FQ","FILING_STATUS=MR","SCALING_FORMAT=MLN","Sort=A","Dates=H","DateFormat=P","Fill=—","Direction=H","UseDPDF=Y")</f>
        <v>99.6</v>
      </c>
      <c r="R56" s="25">
        <f>_xll.BDH("NBIX US Equity","BS_LT_OPERATING_LEASE_LIABS","FQ3 2022","FQ3 2022","Currency=USD","Period=FQ","BEST_FPERIOD_OVERRIDE=FQ","FILING_STATUS=MR","SCALING_FORMAT=MLN","Sort=A","Dates=H","DateFormat=P","Fill=—","Direction=H","UseDPDF=Y")</f>
        <v>96.6</v>
      </c>
      <c r="S56" s="25">
        <f>_xll.BDH("NBIX US Equity","BS_LT_OPERATING_LEASE_LIABS","FQ4 2022","FQ4 2022","Currency=USD","Period=FQ","BEST_FPERIOD_OVERRIDE=FQ","FILING_STATUS=MR","SCALING_FORMAT=MLN","Sort=A","Dates=H","DateFormat=P","Fill=—","Direction=H","UseDPDF=Y")</f>
        <v>93.5</v>
      </c>
      <c r="T56" s="25">
        <f>_xll.BDH("NBIX US Equity","BS_LT_OPERATING_LEASE_LIABS","FQ1 2023","FQ1 2023","Currency=USD","Period=FQ","BEST_FPERIOD_OVERRIDE=FQ","FILING_STATUS=MR","SCALING_FORMAT=MLN","Sort=A","Dates=H","DateFormat=P","Fill=—","Direction=H","UseDPDF=Y")</f>
        <v>90.4</v>
      </c>
      <c r="U56" s="25">
        <f>_xll.BDH("NBIX US Equity","BS_LT_OPERATING_LEASE_LIABS","FQ2 2023","FQ2 2023","Currency=USD","Period=FQ","BEST_FPERIOD_OVERRIDE=FQ","FILING_STATUS=MR","SCALING_FORMAT=MLN","Sort=A","Dates=H","DateFormat=P","Fill=—","Direction=H","UseDPDF=Y")</f>
        <v>89.1</v>
      </c>
      <c r="V56" s="25">
        <f>_xll.BDH("NBIX US Equity","BS_LT_OPERATING_LEASE_LIABS","FQ3 2023","FQ3 2023","Currency=USD","Period=FQ","BEST_FPERIOD_OVERRIDE=FQ","FILING_STATUS=MR","SCALING_FORMAT=MLN","Sort=A","Dates=H","DateFormat=P","Fill=—","Direction=H","UseDPDF=Y")</f>
        <v>85.9</v>
      </c>
      <c r="W56" s="25">
        <f>_xll.BDH("NBIX US Equity","BS_LT_OPERATING_LEASE_LIABS","FQ4 2023","FQ4 2023","Currency=USD","Period=FQ","BEST_FPERIOD_OVERRIDE=FQ","FILING_STATUS=MR","SCALING_FORMAT=MLN","Sort=A","Dates=H","DateFormat=P","Fill=—","Direction=H","UseDPDF=Y")</f>
        <v>258.3</v>
      </c>
      <c r="X56" s="25">
        <f>_xll.BDH("NBIX US Equity","BS_LT_OPERATING_LEASE_LIABS","FQ1 2024","FQ1 2024","Currency=USD","Period=FQ","BEST_FPERIOD_OVERRIDE=FQ","FILING_STATUS=MR","SCALING_FORMAT=MLN","Sort=A","Dates=H","DateFormat=P","Fill=—","Direction=H","UseDPDF=Y")</f>
        <v>252.9</v>
      </c>
      <c r="Y56" s="25">
        <f>_xll.BDH("NBIX US Equity","BS_LT_OPERATING_LEASE_LIABS","FQ2 2024","FQ2 2024","Currency=USD","Period=FQ","BEST_FPERIOD_OVERRIDE=FQ","FILING_STATUS=MR","SCALING_FORMAT=MLN","Sort=A","Dates=H","DateFormat=P","Fill=—","Direction=H","UseDPDF=Y")</f>
        <v>256.2</v>
      </c>
      <c r="Z56" s="25">
        <f>_xll.BDH("NBIX US Equity","BS_LT_OPERATING_LEASE_LIABS","FQ3 2024","FQ3 2024","Currency=USD","Period=FQ","BEST_FPERIOD_OVERRIDE=FQ","FILING_STATUS=MR","SCALING_FORMAT=MLN","Sort=A","Dates=H","DateFormat=P","Fill=—","Direction=H","UseDPDF=Y")</f>
        <v>251.4</v>
      </c>
      <c r="AA56" s="25">
        <f>_xll.BDH("NBIX US Equity","BS_LT_OPERATING_LEASE_LIABS","FQ4 2024","FQ4 2024","Currency=USD","Period=FQ","BEST_FPERIOD_OVERRIDE=FQ","FILING_STATUS=MR","SCALING_FORMAT=MLN","Sort=A","Dates=H","DateFormat=P","Fill=—","Direction=H","UseDPDF=Y")</f>
        <v>455.1</v>
      </c>
    </row>
    <row r="57" spans="1:27" x14ac:dyDescent="0.25">
      <c r="A57" s="10" t="s">
        <v>756</v>
      </c>
      <c r="B57" s="10" t="s">
        <v>757</v>
      </c>
      <c r="C57" s="13">
        <f>_xll.BDH("NBIX US Equity","OTHER_NONCUR_LIABS_SUB_DETAILED","FQ4 2018","FQ4 2018","Currency=USD","Period=FQ","BEST_FPERIOD_OVERRIDE=FQ","FILING_STATUS=MR","SCALING_FORMAT=MLN","Sort=A","Dates=H","DateFormat=P","Fill=—","Direction=H","UseDPDF=Y")</f>
        <v>35.656999999999996</v>
      </c>
      <c r="D57" s="13">
        <f>_xll.BDH("NBIX US Equity","OTHER_NONCUR_LIABS_SUB_DETAILED","FQ1 2019","FQ1 2019","Currency=USD","Period=FQ","BEST_FPERIOD_OVERRIDE=FQ","FILING_STATUS=MR","SCALING_FORMAT=MLN","Sort=A","Dates=H","DateFormat=P","Fill=—","Direction=H","UseDPDF=Y")</f>
        <v>15.863</v>
      </c>
      <c r="E57" s="13">
        <f>_xll.BDH("NBIX US Equity","OTHER_NONCUR_LIABS_SUB_DETAILED","FQ2 2019","FQ2 2019","Currency=USD","Period=FQ","BEST_FPERIOD_OVERRIDE=FQ","FILING_STATUS=MR","SCALING_FORMAT=MLN","Sort=A","Dates=H","DateFormat=P","Fill=—","Direction=H","UseDPDF=Y")</f>
        <v>17.914999999999999</v>
      </c>
      <c r="F57" s="13">
        <f>_xll.BDH("NBIX US Equity","OTHER_NONCUR_LIABS_SUB_DETAILED","FQ3 2019","FQ3 2019","Currency=USD","Period=FQ","BEST_FPERIOD_OVERRIDE=FQ","FILING_STATUS=MR","SCALING_FORMAT=MLN","Sort=A","Dates=H","DateFormat=P","Fill=—","Direction=H","UseDPDF=Y")</f>
        <v>11.696999999999999</v>
      </c>
      <c r="G57" s="13">
        <f>_xll.BDH("NBIX US Equity","OTHER_NONCUR_LIABS_SUB_DETAILED","FQ4 2019","FQ4 2019","Currency=USD","Period=FQ","BEST_FPERIOD_OVERRIDE=FQ","FILING_STATUS=MR","SCALING_FORMAT=MLN","Sort=A","Dates=H","DateFormat=P","Fill=—","Direction=H","UseDPDF=Y")</f>
        <v>17.100000000000001</v>
      </c>
      <c r="H57" s="13">
        <f>_xll.BDH("NBIX US Equity","OTHER_NONCUR_LIABS_SUB_DETAILED","FQ1 2020","FQ1 2020","Currency=USD","Period=FQ","BEST_FPERIOD_OVERRIDE=FQ","FILING_STATUS=MR","SCALING_FORMAT=MLN","Sort=A","Dates=H","DateFormat=P","Fill=—","Direction=H","UseDPDF=Y")</f>
        <v>21.6</v>
      </c>
      <c r="I57" s="13">
        <f>_xll.BDH("NBIX US Equity","OTHER_NONCUR_LIABS_SUB_DETAILED","FQ2 2020","FQ2 2020","Currency=USD","Period=FQ","BEST_FPERIOD_OVERRIDE=FQ","FILING_STATUS=MR","SCALING_FORMAT=MLN","Sort=A","Dates=H","DateFormat=P","Fill=—","Direction=H","UseDPDF=Y")</f>
        <v>27.1</v>
      </c>
      <c r="J57" s="13">
        <f>_xll.BDH("NBIX US Equity","OTHER_NONCUR_LIABS_SUB_DETAILED","FQ3 2020","FQ3 2020","Currency=USD","Period=FQ","BEST_FPERIOD_OVERRIDE=FQ","FILING_STATUS=MR","SCALING_FORMAT=MLN","Sort=A","Dates=H","DateFormat=P","Fill=—","Direction=H","UseDPDF=Y")</f>
        <v>4.3</v>
      </c>
      <c r="K57" s="13">
        <f>_xll.BDH("NBIX US Equity","OTHER_NONCUR_LIABS_SUB_DETAILED","FQ4 2020","FQ4 2020","Currency=USD","Period=FQ","BEST_FPERIOD_OVERRIDE=FQ","FILING_STATUS=MR","SCALING_FORMAT=MLN","Sort=A","Dates=H","DateFormat=P","Fill=—","Direction=H","UseDPDF=Y")</f>
        <v>9.6999999999999993</v>
      </c>
      <c r="L57" s="13">
        <f>_xll.BDH("NBIX US Equity","OTHER_NONCUR_LIABS_SUB_DETAILED","FQ1 2021","FQ1 2021","Currency=USD","Period=FQ","BEST_FPERIOD_OVERRIDE=FQ","FILING_STATUS=MR","SCALING_FORMAT=MLN","Sort=A","Dates=H","DateFormat=P","Fill=—","Direction=H","UseDPDF=Y")</f>
        <v>21.3</v>
      </c>
      <c r="M57" s="13">
        <f>_xll.BDH("NBIX US Equity","OTHER_NONCUR_LIABS_SUB_DETAILED","FQ2 2021","FQ2 2021","Currency=USD","Period=FQ","BEST_FPERIOD_OVERRIDE=FQ","FILING_STATUS=MR","SCALING_FORMAT=MLN","Sort=A","Dates=H","DateFormat=P","Fill=—","Direction=H","UseDPDF=Y")</f>
        <v>29</v>
      </c>
      <c r="N57" s="13">
        <f>_xll.BDH("NBIX US Equity","OTHER_NONCUR_LIABS_SUB_DETAILED","FQ3 2021","FQ3 2021","Currency=USD","Period=FQ","BEST_FPERIOD_OVERRIDE=FQ","FILING_STATUS=MR","SCALING_FORMAT=MLN","Sort=A","Dates=H","DateFormat=P","Fill=—","Direction=H","UseDPDF=Y")</f>
        <v>8.3000000000000007</v>
      </c>
      <c r="O57" s="13">
        <f>_xll.BDH("NBIX US Equity","OTHER_NONCUR_LIABS_SUB_DETAILED","FQ4 2021","FQ4 2021","Currency=USD","Period=FQ","BEST_FPERIOD_OVERRIDE=FQ","FILING_STATUS=MR","SCALING_FORMAT=MLN","Sort=A","Dates=H","DateFormat=P","Fill=—","Direction=H","UseDPDF=Y")</f>
        <v>12.3</v>
      </c>
      <c r="P57" s="13">
        <f>_xll.BDH("NBIX US Equity","OTHER_NONCUR_LIABS_SUB_DETAILED","FQ1 2022","FQ1 2022","Currency=USD","Period=FQ","BEST_FPERIOD_OVERRIDE=FQ","FILING_STATUS=MR","SCALING_FORMAT=MLN","Sort=A","Dates=H","DateFormat=P","Fill=—","Direction=H","UseDPDF=Y")</f>
        <v>19.7</v>
      </c>
      <c r="Q57" s="13">
        <f>_xll.BDH("NBIX US Equity","OTHER_NONCUR_LIABS_SUB_DETAILED","FQ2 2022","FQ2 2022","Currency=USD","Period=FQ","BEST_FPERIOD_OVERRIDE=FQ","FILING_STATUS=MR","SCALING_FORMAT=MLN","Sort=A","Dates=H","DateFormat=P","Fill=—","Direction=H","UseDPDF=Y")</f>
        <v>28</v>
      </c>
      <c r="R57" s="13">
        <f>_xll.BDH("NBIX US Equity","OTHER_NONCUR_LIABS_SUB_DETAILED","FQ3 2022","FQ3 2022","Currency=USD","Period=FQ","BEST_FPERIOD_OVERRIDE=FQ","FILING_STATUS=MR","SCALING_FORMAT=MLN","Sort=A","Dates=H","DateFormat=P","Fill=—","Direction=H","UseDPDF=Y")</f>
        <v>17.100000000000001</v>
      </c>
      <c r="S57" s="13">
        <f>_xll.BDH("NBIX US Equity","OTHER_NONCUR_LIABS_SUB_DETAILED","FQ4 2022","FQ4 2022","Currency=USD","Period=FQ","BEST_FPERIOD_OVERRIDE=FQ","FILING_STATUS=MR","SCALING_FORMAT=MLN","Sort=A","Dates=H","DateFormat=P","Fill=—","Direction=H","UseDPDF=Y")</f>
        <v>29.7</v>
      </c>
      <c r="T57" s="13">
        <f>_xll.BDH("NBIX US Equity","OTHER_NONCUR_LIABS_SUB_DETAILED","FQ1 2023","FQ1 2023","Currency=USD","Period=FQ","BEST_FPERIOD_OVERRIDE=FQ","FILING_STATUS=MR","SCALING_FORMAT=MLN","Sort=A","Dates=H","DateFormat=P","Fill=—","Direction=H","UseDPDF=Y")</f>
        <v>41.3</v>
      </c>
      <c r="U57" s="13">
        <f>_xll.BDH("NBIX US Equity","OTHER_NONCUR_LIABS_SUB_DETAILED","FQ2 2023","FQ2 2023","Currency=USD","Period=FQ","BEST_FPERIOD_OVERRIDE=FQ","FILING_STATUS=MR","SCALING_FORMAT=MLN","Sort=A","Dates=H","DateFormat=P","Fill=—","Direction=H","UseDPDF=Y")</f>
        <v>88.5</v>
      </c>
      <c r="V57" s="13">
        <f>_xll.BDH("NBIX US Equity","OTHER_NONCUR_LIABS_SUB_DETAILED","FQ3 2023","FQ3 2023","Currency=USD","Period=FQ","BEST_FPERIOD_OVERRIDE=FQ","FILING_STATUS=MR","SCALING_FORMAT=MLN","Sort=A","Dates=H","DateFormat=P","Fill=—","Direction=H","UseDPDF=Y")</f>
        <v>68.599999999999994</v>
      </c>
      <c r="W57" s="13">
        <f>_xll.BDH("NBIX US Equity","OTHER_NONCUR_LIABS_SUB_DETAILED","FQ4 2023","FQ4 2023","Currency=USD","Period=FQ","BEST_FPERIOD_OVERRIDE=FQ","FILING_STATUS=MR","SCALING_FORMAT=MLN","Sort=A","Dates=H","DateFormat=P","Fill=—","Direction=H","UseDPDF=Y")</f>
        <v>106.3</v>
      </c>
      <c r="X57" s="13">
        <f>_xll.BDH("NBIX US Equity","OTHER_NONCUR_LIABS_SUB_DETAILED","FQ1 2024","FQ1 2024","Currency=USD","Period=FQ","BEST_FPERIOD_OVERRIDE=FQ","FILING_STATUS=MR","SCALING_FORMAT=MLN","Sort=A","Dates=H","DateFormat=P","Fill=—","Direction=H","UseDPDF=Y")</f>
        <v>120.5</v>
      </c>
      <c r="Y57" s="13">
        <f>_xll.BDH("NBIX US Equity","OTHER_NONCUR_LIABS_SUB_DETAILED","FQ2 2024","FQ2 2024","Currency=USD","Period=FQ","BEST_FPERIOD_OVERRIDE=FQ","FILING_STATUS=MR","SCALING_FORMAT=MLN","Sort=A","Dates=H","DateFormat=P","Fill=—","Direction=H","UseDPDF=Y")</f>
        <v>141.1</v>
      </c>
      <c r="Z57" s="13">
        <f>_xll.BDH("NBIX US Equity","OTHER_NONCUR_LIABS_SUB_DETAILED","FQ3 2024","FQ3 2024","Currency=USD","Period=FQ","BEST_FPERIOD_OVERRIDE=FQ","FILING_STATUS=MR","SCALING_FORMAT=MLN","Sort=A","Dates=H","DateFormat=P","Fill=—","Direction=H","UseDPDF=Y")</f>
        <v>135</v>
      </c>
      <c r="AA57" s="13">
        <f>_xll.BDH("NBIX US Equity","OTHER_NONCUR_LIABS_SUB_DETAILED","FQ4 2024","FQ4 2024","Currency=USD","Period=FQ","BEST_FPERIOD_OVERRIDE=FQ","FILING_STATUS=MR","SCALING_FORMAT=MLN","Sort=A","Dates=H","DateFormat=P","Fill=—","Direction=H","UseDPDF=Y")</f>
        <v>166.2</v>
      </c>
    </row>
    <row r="58" spans="1:27" x14ac:dyDescent="0.25">
      <c r="A58" s="10" t="s">
        <v>758</v>
      </c>
      <c r="B58" s="10" t="s">
        <v>759</v>
      </c>
      <c r="C58" s="13">
        <f>_xll.BDH("NBIX US Equity","BS_ACCRUED_LIABILITIES","FQ4 2018","FQ4 2018","Currency=USD","Period=FQ","BEST_FPERIOD_OVERRIDE=FQ","FILING_STATUS=MR","SCALING_FORMAT=MLN","Sort=A","Dates=H","DateFormat=P","Fill=—","Direction=H","UseDPDF=Y")</f>
        <v>0</v>
      </c>
      <c r="D58" s="13" t="str">
        <f>_xll.BDH("NBIX US Equity","BS_ACCRUED_LIABILITIES","FQ1 2019","FQ1 2019","Currency=USD","Period=FQ","BEST_FPERIOD_OVERRIDE=FQ","FILING_STATUS=MR","SCALING_FORMAT=MLN","Sort=A","Dates=H","DateFormat=P","Fill=—","Direction=H","UseDPDF=Y")</f>
        <v>—</v>
      </c>
      <c r="E58" s="13" t="str">
        <f>_xll.BDH("NBIX US Equity","BS_ACCRUED_LIABILITIES","FQ2 2019","FQ2 2019","Currency=USD","Period=FQ","BEST_FPERIOD_OVERRIDE=FQ","FILING_STATUS=MR","SCALING_FORMAT=MLN","Sort=A","Dates=H","DateFormat=P","Fill=—","Direction=H","UseDPDF=Y")</f>
        <v>—</v>
      </c>
      <c r="F58" s="13" t="str">
        <f>_xll.BDH("NBIX US Equity","BS_ACCRUED_LIABILITIES","FQ3 2019","FQ3 2019","Currency=USD","Period=FQ","BEST_FPERIOD_OVERRIDE=FQ","FILING_STATUS=MR","SCALING_FORMAT=MLN","Sort=A","Dates=H","DateFormat=P","Fill=—","Direction=H","UseDPDF=Y")</f>
        <v>—</v>
      </c>
      <c r="G58" s="13">
        <f>_xll.BDH("NBIX US Equity","BS_ACCRUED_LIABILITIES","FQ4 2019","FQ4 2019","Currency=USD","Period=FQ","BEST_FPERIOD_OVERRIDE=FQ","FILING_STATUS=MR","SCALING_FORMAT=MLN","Sort=A","Dates=H","DateFormat=P","Fill=—","Direction=H","UseDPDF=Y")</f>
        <v>0</v>
      </c>
      <c r="H58" s="13" t="str">
        <f>_xll.BDH("NBIX US Equity","BS_ACCRUED_LIABILITIES","FQ1 2020","FQ1 2020","Currency=USD","Period=FQ","BEST_FPERIOD_OVERRIDE=FQ","FILING_STATUS=MR","SCALING_FORMAT=MLN","Sort=A","Dates=H","DateFormat=P","Fill=—","Direction=H","UseDPDF=Y")</f>
        <v>—</v>
      </c>
      <c r="I58" s="13" t="str">
        <f>_xll.BDH("NBIX US Equity","BS_ACCRUED_LIABILITIES","FQ2 2020","FQ2 2020","Currency=USD","Period=FQ","BEST_FPERIOD_OVERRIDE=FQ","FILING_STATUS=MR","SCALING_FORMAT=MLN","Sort=A","Dates=H","DateFormat=P","Fill=—","Direction=H","UseDPDF=Y")</f>
        <v>—</v>
      </c>
      <c r="J58" s="13" t="str">
        <f>_xll.BDH("NBIX US Equity","BS_ACCRUED_LIABILITIES","FQ3 2020","FQ3 2020","Currency=USD","Period=FQ","BEST_FPERIOD_OVERRIDE=FQ","FILING_STATUS=MR","SCALING_FORMAT=MLN","Sort=A","Dates=H","DateFormat=P","Fill=—","Direction=H","UseDPDF=Y")</f>
        <v>—</v>
      </c>
      <c r="K58" s="13">
        <f>_xll.BDH("NBIX US Equity","BS_ACCRUED_LIABILITIES","FQ4 2020","FQ4 2020","Currency=USD","Period=FQ","BEST_FPERIOD_OVERRIDE=FQ","FILING_STATUS=MR","SCALING_FORMAT=MLN","Sort=A","Dates=H","DateFormat=P","Fill=—","Direction=H","UseDPDF=Y")</f>
        <v>0</v>
      </c>
      <c r="L58" s="13" t="str">
        <f>_xll.BDH("NBIX US Equity","BS_ACCRUED_LIABILITIES","FQ1 2021","FQ1 2021","Currency=USD","Period=FQ","BEST_FPERIOD_OVERRIDE=FQ","FILING_STATUS=MR","SCALING_FORMAT=MLN","Sort=A","Dates=H","DateFormat=P","Fill=—","Direction=H","UseDPDF=Y")</f>
        <v>—</v>
      </c>
      <c r="M58" s="13" t="str">
        <f>_xll.BDH("NBIX US Equity","BS_ACCRUED_LIABILITIES","FQ2 2021","FQ2 2021","Currency=USD","Period=FQ","BEST_FPERIOD_OVERRIDE=FQ","FILING_STATUS=MR","SCALING_FORMAT=MLN","Sort=A","Dates=H","DateFormat=P","Fill=—","Direction=H","UseDPDF=Y")</f>
        <v>—</v>
      </c>
      <c r="N58" s="13" t="str">
        <f>_xll.BDH("NBIX US Equity","BS_ACCRUED_LIABILITIES","FQ3 2021","FQ3 2021","Currency=USD","Period=FQ","BEST_FPERIOD_OVERRIDE=FQ","FILING_STATUS=MR","SCALING_FORMAT=MLN","Sort=A","Dates=H","DateFormat=P","Fill=—","Direction=H","UseDPDF=Y")</f>
        <v>—</v>
      </c>
      <c r="O58" s="13">
        <f>_xll.BDH("NBIX US Equity","BS_ACCRUED_LIABILITIES","FQ4 2021","FQ4 2021","Currency=USD","Period=FQ","BEST_FPERIOD_OVERRIDE=FQ","FILING_STATUS=MR","SCALING_FORMAT=MLN","Sort=A","Dates=H","DateFormat=P","Fill=—","Direction=H","UseDPDF=Y")</f>
        <v>0</v>
      </c>
      <c r="P58" s="13" t="str">
        <f>_xll.BDH("NBIX US Equity","BS_ACCRUED_LIABILITIES","FQ1 2022","FQ1 2022","Currency=USD","Period=FQ","BEST_FPERIOD_OVERRIDE=FQ","FILING_STATUS=MR","SCALING_FORMAT=MLN","Sort=A","Dates=H","DateFormat=P","Fill=—","Direction=H","UseDPDF=Y")</f>
        <v>—</v>
      </c>
      <c r="Q58" s="13" t="str">
        <f>_xll.BDH("NBIX US Equity","BS_ACCRUED_LIABILITIES","FQ2 2022","FQ2 2022","Currency=USD","Period=FQ","BEST_FPERIOD_OVERRIDE=FQ","FILING_STATUS=MR","SCALING_FORMAT=MLN","Sort=A","Dates=H","DateFormat=P","Fill=—","Direction=H","UseDPDF=Y")</f>
        <v>—</v>
      </c>
      <c r="R58" s="13" t="str">
        <f>_xll.BDH("NBIX US Equity","BS_ACCRUED_LIABILITIES","FQ3 2022","FQ3 2022","Currency=USD","Period=FQ","BEST_FPERIOD_OVERRIDE=FQ","FILING_STATUS=MR","SCALING_FORMAT=MLN","Sort=A","Dates=H","DateFormat=P","Fill=—","Direction=H","UseDPDF=Y")</f>
        <v>—</v>
      </c>
      <c r="S58" s="13">
        <f>_xll.BDH("NBIX US Equity","BS_ACCRUED_LIABILITIES","FQ4 2022","FQ4 2022","Currency=USD","Period=FQ","BEST_FPERIOD_OVERRIDE=FQ","FILING_STATUS=MR","SCALING_FORMAT=MLN","Sort=A","Dates=H","DateFormat=P","Fill=—","Direction=H","UseDPDF=Y")</f>
        <v>0</v>
      </c>
      <c r="T58" s="13" t="str">
        <f>_xll.BDH("NBIX US Equity","BS_ACCRUED_LIABILITIES","FQ1 2023","FQ1 2023","Currency=USD","Period=FQ","BEST_FPERIOD_OVERRIDE=FQ","FILING_STATUS=MR","SCALING_FORMAT=MLN","Sort=A","Dates=H","DateFormat=P","Fill=—","Direction=H","UseDPDF=Y")</f>
        <v>—</v>
      </c>
      <c r="U58" s="13" t="str">
        <f>_xll.BDH("NBIX US Equity","BS_ACCRUED_LIABILITIES","FQ2 2023","FQ2 2023","Currency=USD","Period=FQ","BEST_FPERIOD_OVERRIDE=FQ","FILING_STATUS=MR","SCALING_FORMAT=MLN","Sort=A","Dates=H","DateFormat=P","Fill=—","Direction=H","UseDPDF=Y")</f>
        <v>—</v>
      </c>
      <c r="V58" s="13" t="str">
        <f>_xll.BDH("NBIX US Equity","BS_ACCRUED_LIABILITIES","FQ3 2023","FQ3 2023","Currency=USD","Period=FQ","BEST_FPERIOD_OVERRIDE=FQ","FILING_STATUS=MR","SCALING_FORMAT=MLN","Sort=A","Dates=H","DateFormat=P","Fill=—","Direction=H","UseDPDF=Y")</f>
        <v>—</v>
      </c>
      <c r="W58" s="13">
        <f>_xll.BDH("NBIX US Equity","BS_ACCRUED_LIABILITIES","FQ4 2023","FQ4 2023","Currency=USD","Period=FQ","BEST_FPERIOD_OVERRIDE=FQ","FILING_STATUS=MR","SCALING_FORMAT=MLN","Sort=A","Dates=H","DateFormat=P","Fill=—","Direction=H","UseDPDF=Y")</f>
        <v>0</v>
      </c>
      <c r="X58" s="13" t="str">
        <f>_xll.BDH("NBIX US Equity","BS_ACCRUED_LIABILITIES","FQ1 2024","FQ1 2024","Currency=USD","Period=FQ","BEST_FPERIOD_OVERRIDE=FQ","FILING_STATUS=MR","SCALING_FORMAT=MLN","Sort=A","Dates=H","DateFormat=P","Fill=—","Direction=H","UseDPDF=Y")</f>
        <v>—</v>
      </c>
      <c r="Y58" s="13" t="str">
        <f>_xll.BDH("NBIX US Equity","BS_ACCRUED_LIABILITIES","FQ2 2024","FQ2 2024","Currency=USD","Period=FQ","BEST_FPERIOD_OVERRIDE=FQ","FILING_STATUS=MR","SCALING_FORMAT=MLN","Sort=A","Dates=H","DateFormat=P","Fill=—","Direction=H","UseDPDF=Y")</f>
        <v>—</v>
      </c>
      <c r="Z58" s="13" t="str">
        <f>_xll.BDH("NBIX US Equity","BS_ACCRUED_LIABILITIES","FQ3 2024","FQ3 2024","Currency=USD","Period=FQ","BEST_FPERIOD_OVERRIDE=FQ","FILING_STATUS=MR","SCALING_FORMAT=MLN","Sort=A","Dates=H","DateFormat=P","Fill=—","Direction=H","UseDPDF=Y")</f>
        <v>—</v>
      </c>
      <c r="AA58" s="13">
        <f>_xll.BDH("NBIX US Equity","BS_ACCRUED_LIABILITIES","FQ4 2024","FQ4 2024","Currency=USD","Period=FQ","BEST_FPERIOD_OVERRIDE=FQ","FILING_STATUS=MR","SCALING_FORMAT=MLN","Sort=A","Dates=H","DateFormat=P","Fill=—","Direction=H","UseDPDF=Y")</f>
        <v>0</v>
      </c>
    </row>
    <row r="59" spans="1:27" x14ac:dyDescent="0.25">
      <c r="A59" s="10" t="s">
        <v>760</v>
      </c>
      <c r="B59" s="10" t="s">
        <v>761</v>
      </c>
      <c r="C59" s="13">
        <f>_xll.BDH("NBIX US Equity","PENSION_LIABILITIES","FQ4 2018","FQ4 2018","Currency=USD","Period=FQ","BEST_FPERIOD_OVERRIDE=FQ","FILING_STATUS=MR","SCALING_FORMAT=MLN","Sort=A","Dates=H","DateFormat=P","Fill=—","Direction=H","UseDPDF=Y")</f>
        <v>0</v>
      </c>
      <c r="D59" s="13" t="str">
        <f>_xll.BDH("NBIX US Equity","PENSION_LIABILITIES","FQ1 2019","FQ1 2019","Currency=USD","Period=FQ","BEST_FPERIOD_OVERRIDE=FQ","FILING_STATUS=MR","SCALING_FORMAT=MLN","Sort=A","Dates=H","DateFormat=P","Fill=—","Direction=H","UseDPDF=Y")</f>
        <v>—</v>
      </c>
      <c r="E59" s="13" t="str">
        <f>_xll.BDH("NBIX US Equity","PENSION_LIABILITIES","FQ2 2019","FQ2 2019","Currency=USD","Period=FQ","BEST_FPERIOD_OVERRIDE=FQ","FILING_STATUS=MR","SCALING_FORMAT=MLN","Sort=A","Dates=H","DateFormat=P","Fill=—","Direction=H","UseDPDF=Y")</f>
        <v>—</v>
      </c>
      <c r="F59" s="13" t="str">
        <f>_xll.BDH("NBIX US Equity","PENSION_LIABILITIES","FQ3 2019","FQ3 2019","Currency=USD","Period=FQ","BEST_FPERIOD_OVERRIDE=FQ","FILING_STATUS=MR","SCALING_FORMAT=MLN","Sort=A","Dates=H","DateFormat=P","Fill=—","Direction=H","UseDPDF=Y")</f>
        <v>—</v>
      </c>
      <c r="G59" s="13">
        <f>_xll.BDH("NBIX US Equity","PENSION_LIABILITIES","FQ4 2019","FQ4 2019","Currency=USD","Period=FQ","BEST_FPERIOD_OVERRIDE=FQ","FILING_STATUS=MR","SCALING_FORMAT=MLN","Sort=A","Dates=H","DateFormat=P","Fill=—","Direction=H","UseDPDF=Y")</f>
        <v>0</v>
      </c>
      <c r="H59" s="13" t="str">
        <f>_xll.BDH("NBIX US Equity","PENSION_LIABILITIES","FQ1 2020","FQ1 2020","Currency=USD","Period=FQ","BEST_FPERIOD_OVERRIDE=FQ","FILING_STATUS=MR","SCALING_FORMAT=MLN","Sort=A","Dates=H","DateFormat=P","Fill=—","Direction=H","UseDPDF=Y")</f>
        <v>—</v>
      </c>
      <c r="I59" s="13" t="str">
        <f>_xll.BDH("NBIX US Equity","PENSION_LIABILITIES","FQ2 2020","FQ2 2020","Currency=USD","Period=FQ","BEST_FPERIOD_OVERRIDE=FQ","FILING_STATUS=MR","SCALING_FORMAT=MLN","Sort=A","Dates=H","DateFormat=P","Fill=—","Direction=H","UseDPDF=Y")</f>
        <v>—</v>
      </c>
      <c r="J59" s="13" t="str">
        <f>_xll.BDH("NBIX US Equity","PENSION_LIABILITIES","FQ3 2020","FQ3 2020","Currency=USD","Period=FQ","BEST_FPERIOD_OVERRIDE=FQ","FILING_STATUS=MR","SCALING_FORMAT=MLN","Sort=A","Dates=H","DateFormat=P","Fill=—","Direction=H","UseDPDF=Y")</f>
        <v>—</v>
      </c>
      <c r="K59" s="13">
        <f>_xll.BDH("NBIX US Equity","PENSION_LIABILITIES","FQ4 2020","FQ4 2020","Currency=USD","Period=FQ","BEST_FPERIOD_OVERRIDE=FQ","FILING_STATUS=MR","SCALING_FORMAT=MLN","Sort=A","Dates=H","DateFormat=P","Fill=—","Direction=H","UseDPDF=Y")</f>
        <v>0</v>
      </c>
      <c r="L59" s="13" t="str">
        <f>_xll.BDH("NBIX US Equity","PENSION_LIABILITIES","FQ1 2021","FQ1 2021","Currency=USD","Period=FQ","BEST_FPERIOD_OVERRIDE=FQ","FILING_STATUS=MR","SCALING_FORMAT=MLN","Sort=A","Dates=H","DateFormat=P","Fill=—","Direction=H","UseDPDF=Y")</f>
        <v>—</v>
      </c>
      <c r="M59" s="13" t="str">
        <f>_xll.BDH("NBIX US Equity","PENSION_LIABILITIES","FQ2 2021","FQ2 2021","Currency=USD","Period=FQ","BEST_FPERIOD_OVERRIDE=FQ","FILING_STATUS=MR","SCALING_FORMAT=MLN","Sort=A","Dates=H","DateFormat=P","Fill=—","Direction=H","UseDPDF=Y")</f>
        <v>—</v>
      </c>
      <c r="N59" s="13" t="str">
        <f>_xll.BDH("NBIX US Equity","PENSION_LIABILITIES","FQ3 2021","FQ3 2021","Currency=USD","Period=FQ","BEST_FPERIOD_OVERRIDE=FQ","FILING_STATUS=MR","SCALING_FORMAT=MLN","Sort=A","Dates=H","DateFormat=P","Fill=—","Direction=H","UseDPDF=Y")</f>
        <v>—</v>
      </c>
      <c r="O59" s="13">
        <f>_xll.BDH("NBIX US Equity","PENSION_LIABILITIES","FQ4 2021","FQ4 2021","Currency=USD","Period=FQ","BEST_FPERIOD_OVERRIDE=FQ","FILING_STATUS=MR","SCALING_FORMAT=MLN","Sort=A","Dates=H","DateFormat=P","Fill=—","Direction=H","UseDPDF=Y")</f>
        <v>0</v>
      </c>
      <c r="P59" s="13" t="str">
        <f>_xll.BDH("NBIX US Equity","PENSION_LIABILITIES","FQ1 2022","FQ1 2022","Currency=USD","Period=FQ","BEST_FPERIOD_OVERRIDE=FQ","FILING_STATUS=MR","SCALING_FORMAT=MLN","Sort=A","Dates=H","DateFormat=P","Fill=—","Direction=H","UseDPDF=Y")</f>
        <v>—</v>
      </c>
      <c r="Q59" s="13" t="str">
        <f>_xll.BDH("NBIX US Equity","PENSION_LIABILITIES","FQ2 2022","FQ2 2022","Currency=USD","Period=FQ","BEST_FPERIOD_OVERRIDE=FQ","FILING_STATUS=MR","SCALING_FORMAT=MLN","Sort=A","Dates=H","DateFormat=P","Fill=—","Direction=H","UseDPDF=Y")</f>
        <v>—</v>
      </c>
      <c r="R59" s="13" t="str">
        <f>_xll.BDH("NBIX US Equity","PENSION_LIABILITIES","FQ3 2022","FQ3 2022","Currency=USD","Period=FQ","BEST_FPERIOD_OVERRIDE=FQ","FILING_STATUS=MR","SCALING_FORMAT=MLN","Sort=A","Dates=H","DateFormat=P","Fill=—","Direction=H","UseDPDF=Y")</f>
        <v>—</v>
      </c>
      <c r="S59" s="13">
        <f>_xll.BDH("NBIX US Equity","PENSION_LIABILITIES","FQ4 2022","FQ4 2022","Currency=USD","Period=FQ","BEST_FPERIOD_OVERRIDE=FQ","FILING_STATUS=MR","SCALING_FORMAT=MLN","Sort=A","Dates=H","DateFormat=P","Fill=—","Direction=H","UseDPDF=Y")</f>
        <v>0</v>
      </c>
      <c r="T59" s="13" t="str">
        <f>_xll.BDH("NBIX US Equity","PENSION_LIABILITIES","FQ1 2023","FQ1 2023","Currency=USD","Period=FQ","BEST_FPERIOD_OVERRIDE=FQ","FILING_STATUS=MR","SCALING_FORMAT=MLN","Sort=A","Dates=H","DateFormat=P","Fill=—","Direction=H","UseDPDF=Y")</f>
        <v>—</v>
      </c>
      <c r="U59" s="13" t="str">
        <f>_xll.BDH("NBIX US Equity","PENSION_LIABILITIES","FQ2 2023","FQ2 2023","Currency=USD","Period=FQ","BEST_FPERIOD_OVERRIDE=FQ","FILING_STATUS=MR","SCALING_FORMAT=MLN","Sort=A","Dates=H","DateFormat=P","Fill=—","Direction=H","UseDPDF=Y")</f>
        <v>—</v>
      </c>
      <c r="V59" s="13" t="str">
        <f>_xll.BDH("NBIX US Equity","PENSION_LIABILITIES","FQ3 2023","FQ3 2023","Currency=USD","Period=FQ","BEST_FPERIOD_OVERRIDE=FQ","FILING_STATUS=MR","SCALING_FORMAT=MLN","Sort=A","Dates=H","DateFormat=P","Fill=—","Direction=H","UseDPDF=Y")</f>
        <v>—</v>
      </c>
      <c r="W59" s="13">
        <f>_xll.BDH("NBIX US Equity","PENSION_LIABILITIES","FQ4 2023","FQ4 2023","Currency=USD","Period=FQ","BEST_FPERIOD_OVERRIDE=FQ","FILING_STATUS=MR","SCALING_FORMAT=MLN","Sort=A","Dates=H","DateFormat=P","Fill=—","Direction=H","UseDPDF=Y")</f>
        <v>0</v>
      </c>
      <c r="X59" s="13" t="str">
        <f>_xll.BDH("NBIX US Equity","PENSION_LIABILITIES","FQ1 2024","FQ1 2024","Currency=USD","Period=FQ","BEST_FPERIOD_OVERRIDE=FQ","FILING_STATUS=MR","SCALING_FORMAT=MLN","Sort=A","Dates=H","DateFormat=P","Fill=—","Direction=H","UseDPDF=Y")</f>
        <v>—</v>
      </c>
      <c r="Y59" s="13" t="str">
        <f>_xll.BDH("NBIX US Equity","PENSION_LIABILITIES","FQ2 2024","FQ2 2024","Currency=USD","Period=FQ","BEST_FPERIOD_OVERRIDE=FQ","FILING_STATUS=MR","SCALING_FORMAT=MLN","Sort=A","Dates=H","DateFormat=P","Fill=—","Direction=H","UseDPDF=Y")</f>
        <v>—</v>
      </c>
      <c r="Z59" s="13" t="str">
        <f>_xll.BDH("NBIX US Equity","PENSION_LIABILITIES","FQ3 2024","FQ3 2024","Currency=USD","Period=FQ","BEST_FPERIOD_OVERRIDE=FQ","FILING_STATUS=MR","SCALING_FORMAT=MLN","Sort=A","Dates=H","DateFormat=P","Fill=—","Direction=H","UseDPDF=Y")</f>
        <v>—</v>
      </c>
      <c r="AA59" s="13">
        <f>_xll.BDH("NBIX US Equity","PENSION_LIABILITIES","FQ4 2024","FQ4 2024","Currency=USD","Period=FQ","BEST_FPERIOD_OVERRIDE=FQ","FILING_STATUS=MR","SCALING_FORMAT=MLN","Sort=A","Dates=H","DateFormat=P","Fill=—","Direction=H","UseDPDF=Y")</f>
        <v>0</v>
      </c>
    </row>
    <row r="60" spans="1:27" x14ac:dyDescent="0.25">
      <c r="A60" s="11" t="s">
        <v>762</v>
      </c>
      <c r="B60" s="11" t="s">
        <v>763</v>
      </c>
      <c r="C60" s="25">
        <f>_xll.BDH("NBIX US Equity","BS_PENSIONS_LT_LIABS","FQ4 2018","FQ4 2018","Currency=USD","Period=FQ","BEST_FPERIOD_OVERRIDE=FQ","FILING_STATUS=MR","SCALING_FORMAT=MLN","Sort=A","Dates=H","DateFormat=P","Fill=—","Direction=H","UseDPDF=Y")</f>
        <v>0</v>
      </c>
      <c r="D60" s="25" t="str">
        <f>_xll.BDH("NBIX US Equity","BS_PENSIONS_LT_LIABS","FQ1 2019","FQ1 2019","Currency=USD","Period=FQ","BEST_FPERIOD_OVERRIDE=FQ","FILING_STATUS=MR","SCALING_FORMAT=MLN","Sort=A","Dates=H","DateFormat=P","Fill=—","Direction=H","UseDPDF=Y")</f>
        <v>—</v>
      </c>
      <c r="E60" s="25" t="str">
        <f>_xll.BDH("NBIX US Equity","BS_PENSIONS_LT_LIABS","FQ2 2019","FQ2 2019","Currency=USD","Period=FQ","BEST_FPERIOD_OVERRIDE=FQ","FILING_STATUS=MR","SCALING_FORMAT=MLN","Sort=A","Dates=H","DateFormat=P","Fill=—","Direction=H","UseDPDF=Y")</f>
        <v>—</v>
      </c>
      <c r="F60" s="25" t="str">
        <f>_xll.BDH("NBIX US Equity","BS_PENSIONS_LT_LIABS","FQ3 2019","FQ3 2019","Currency=USD","Period=FQ","BEST_FPERIOD_OVERRIDE=FQ","FILING_STATUS=MR","SCALING_FORMAT=MLN","Sort=A","Dates=H","DateFormat=P","Fill=—","Direction=H","UseDPDF=Y")</f>
        <v>—</v>
      </c>
      <c r="G60" s="25">
        <f>_xll.BDH("NBIX US Equity","BS_PENSIONS_LT_LIABS","FQ4 2019","FQ4 2019","Currency=USD","Period=FQ","BEST_FPERIOD_OVERRIDE=FQ","FILING_STATUS=MR","SCALING_FORMAT=MLN","Sort=A","Dates=H","DateFormat=P","Fill=—","Direction=H","UseDPDF=Y")</f>
        <v>0</v>
      </c>
      <c r="H60" s="25" t="str">
        <f>_xll.BDH("NBIX US Equity","BS_PENSIONS_LT_LIABS","FQ1 2020","FQ1 2020","Currency=USD","Period=FQ","BEST_FPERIOD_OVERRIDE=FQ","FILING_STATUS=MR","SCALING_FORMAT=MLN","Sort=A","Dates=H","DateFormat=P","Fill=—","Direction=H","UseDPDF=Y")</f>
        <v>—</v>
      </c>
      <c r="I60" s="25" t="str">
        <f>_xll.BDH("NBIX US Equity","BS_PENSIONS_LT_LIABS","FQ2 2020","FQ2 2020","Currency=USD","Period=FQ","BEST_FPERIOD_OVERRIDE=FQ","FILING_STATUS=MR","SCALING_FORMAT=MLN","Sort=A","Dates=H","DateFormat=P","Fill=—","Direction=H","UseDPDF=Y")</f>
        <v>—</v>
      </c>
      <c r="J60" s="25" t="str">
        <f>_xll.BDH("NBIX US Equity","BS_PENSIONS_LT_LIABS","FQ3 2020","FQ3 2020","Currency=USD","Period=FQ","BEST_FPERIOD_OVERRIDE=FQ","FILING_STATUS=MR","SCALING_FORMAT=MLN","Sort=A","Dates=H","DateFormat=P","Fill=—","Direction=H","UseDPDF=Y")</f>
        <v>—</v>
      </c>
      <c r="K60" s="25">
        <f>_xll.BDH("NBIX US Equity","BS_PENSIONS_LT_LIABS","FQ4 2020","FQ4 2020","Currency=USD","Period=FQ","BEST_FPERIOD_OVERRIDE=FQ","FILING_STATUS=MR","SCALING_FORMAT=MLN","Sort=A","Dates=H","DateFormat=P","Fill=—","Direction=H","UseDPDF=Y")</f>
        <v>0</v>
      </c>
      <c r="L60" s="25" t="str">
        <f>_xll.BDH("NBIX US Equity","BS_PENSIONS_LT_LIABS","FQ1 2021","FQ1 2021","Currency=USD","Period=FQ","BEST_FPERIOD_OVERRIDE=FQ","FILING_STATUS=MR","SCALING_FORMAT=MLN","Sort=A","Dates=H","DateFormat=P","Fill=—","Direction=H","UseDPDF=Y")</f>
        <v>—</v>
      </c>
      <c r="M60" s="25" t="str">
        <f>_xll.BDH("NBIX US Equity","BS_PENSIONS_LT_LIABS","FQ2 2021","FQ2 2021","Currency=USD","Period=FQ","BEST_FPERIOD_OVERRIDE=FQ","FILING_STATUS=MR","SCALING_FORMAT=MLN","Sort=A","Dates=H","DateFormat=P","Fill=—","Direction=H","UseDPDF=Y")</f>
        <v>—</v>
      </c>
      <c r="N60" s="25" t="str">
        <f>_xll.BDH("NBIX US Equity","BS_PENSIONS_LT_LIABS","FQ3 2021","FQ3 2021","Currency=USD","Period=FQ","BEST_FPERIOD_OVERRIDE=FQ","FILING_STATUS=MR","SCALING_FORMAT=MLN","Sort=A","Dates=H","DateFormat=P","Fill=—","Direction=H","UseDPDF=Y")</f>
        <v>—</v>
      </c>
      <c r="O60" s="25">
        <f>_xll.BDH("NBIX US Equity","BS_PENSIONS_LT_LIABS","FQ4 2021","FQ4 2021","Currency=USD","Period=FQ","BEST_FPERIOD_OVERRIDE=FQ","FILING_STATUS=MR","SCALING_FORMAT=MLN","Sort=A","Dates=H","DateFormat=P","Fill=—","Direction=H","UseDPDF=Y")</f>
        <v>0</v>
      </c>
      <c r="P60" s="25" t="str">
        <f>_xll.BDH("NBIX US Equity","BS_PENSIONS_LT_LIABS","FQ1 2022","FQ1 2022","Currency=USD","Period=FQ","BEST_FPERIOD_OVERRIDE=FQ","FILING_STATUS=MR","SCALING_FORMAT=MLN","Sort=A","Dates=H","DateFormat=P","Fill=—","Direction=H","UseDPDF=Y")</f>
        <v>—</v>
      </c>
      <c r="Q60" s="25" t="str">
        <f>_xll.BDH("NBIX US Equity","BS_PENSIONS_LT_LIABS","FQ2 2022","FQ2 2022","Currency=USD","Period=FQ","BEST_FPERIOD_OVERRIDE=FQ","FILING_STATUS=MR","SCALING_FORMAT=MLN","Sort=A","Dates=H","DateFormat=P","Fill=—","Direction=H","UseDPDF=Y")</f>
        <v>—</v>
      </c>
      <c r="R60" s="25" t="str">
        <f>_xll.BDH("NBIX US Equity","BS_PENSIONS_LT_LIABS","FQ3 2022","FQ3 2022","Currency=USD","Period=FQ","BEST_FPERIOD_OVERRIDE=FQ","FILING_STATUS=MR","SCALING_FORMAT=MLN","Sort=A","Dates=H","DateFormat=P","Fill=—","Direction=H","UseDPDF=Y")</f>
        <v>—</v>
      </c>
      <c r="S60" s="25">
        <f>_xll.BDH("NBIX US Equity","BS_PENSIONS_LT_LIABS","FQ4 2022","FQ4 2022","Currency=USD","Period=FQ","BEST_FPERIOD_OVERRIDE=FQ","FILING_STATUS=MR","SCALING_FORMAT=MLN","Sort=A","Dates=H","DateFormat=P","Fill=—","Direction=H","UseDPDF=Y")</f>
        <v>0</v>
      </c>
      <c r="T60" s="25" t="str">
        <f>_xll.BDH("NBIX US Equity","BS_PENSIONS_LT_LIABS","FQ1 2023","FQ1 2023","Currency=USD","Period=FQ","BEST_FPERIOD_OVERRIDE=FQ","FILING_STATUS=MR","SCALING_FORMAT=MLN","Sort=A","Dates=H","DateFormat=P","Fill=—","Direction=H","UseDPDF=Y")</f>
        <v>—</v>
      </c>
      <c r="U60" s="25" t="str">
        <f>_xll.BDH("NBIX US Equity","BS_PENSIONS_LT_LIABS","FQ2 2023","FQ2 2023","Currency=USD","Period=FQ","BEST_FPERIOD_OVERRIDE=FQ","FILING_STATUS=MR","SCALING_FORMAT=MLN","Sort=A","Dates=H","DateFormat=P","Fill=—","Direction=H","UseDPDF=Y")</f>
        <v>—</v>
      </c>
      <c r="V60" s="25" t="str">
        <f>_xll.BDH("NBIX US Equity","BS_PENSIONS_LT_LIABS","FQ3 2023","FQ3 2023","Currency=USD","Period=FQ","BEST_FPERIOD_OVERRIDE=FQ","FILING_STATUS=MR","SCALING_FORMAT=MLN","Sort=A","Dates=H","DateFormat=P","Fill=—","Direction=H","UseDPDF=Y")</f>
        <v>—</v>
      </c>
      <c r="W60" s="25">
        <f>_xll.BDH("NBIX US Equity","BS_PENSIONS_LT_LIABS","FQ4 2023","FQ4 2023","Currency=USD","Period=FQ","BEST_FPERIOD_OVERRIDE=FQ","FILING_STATUS=MR","SCALING_FORMAT=MLN","Sort=A","Dates=H","DateFormat=P","Fill=—","Direction=H","UseDPDF=Y")</f>
        <v>0</v>
      </c>
      <c r="X60" s="25" t="str">
        <f>_xll.BDH("NBIX US Equity","BS_PENSIONS_LT_LIABS","FQ1 2024","FQ1 2024","Currency=USD","Period=FQ","BEST_FPERIOD_OVERRIDE=FQ","FILING_STATUS=MR","SCALING_FORMAT=MLN","Sort=A","Dates=H","DateFormat=P","Fill=—","Direction=H","UseDPDF=Y")</f>
        <v>—</v>
      </c>
      <c r="Y60" s="25" t="str">
        <f>_xll.BDH("NBIX US Equity","BS_PENSIONS_LT_LIABS","FQ2 2024","FQ2 2024","Currency=USD","Period=FQ","BEST_FPERIOD_OVERRIDE=FQ","FILING_STATUS=MR","SCALING_FORMAT=MLN","Sort=A","Dates=H","DateFormat=P","Fill=—","Direction=H","UseDPDF=Y")</f>
        <v>—</v>
      </c>
      <c r="Z60" s="25" t="str">
        <f>_xll.BDH("NBIX US Equity","BS_PENSIONS_LT_LIABS","FQ3 2024","FQ3 2024","Currency=USD","Period=FQ","BEST_FPERIOD_OVERRIDE=FQ","FILING_STATUS=MR","SCALING_FORMAT=MLN","Sort=A","Dates=H","DateFormat=P","Fill=—","Direction=H","UseDPDF=Y")</f>
        <v>—</v>
      </c>
      <c r="AA60" s="25">
        <f>_xll.BDH("NBIX US Equity","BS_PENSIONS_LT_LIABS","FQ4 2024","FQ4 2024","Currency=USD","Period=FQ","BEST_FPERIOD_OVERRIDE=FQ","FILING_STATUS=MR","SCALING_FORMAT=MLN","Sort=A","Dates=H","DateFormat=P","Fill=—","Direction=H","UseDPDF=Y")</f>
        <v>0</v>
      </c>
    </row>
    <row r="61" spans="1:27" x14ac:dyDescent="0.25">
      <c r="A61" s="11" t="s">
        <v>764</v>
      </c>
      <c r="B61" s="11" t="s">
        <v>765</v>
      </c>
      <c r="C61" s="25">
        <f>_xll.BDH("NBIX US Equity","BS_OPRB_LT_LIABS","FQ4 2018","FQ4 2018","Currency=USD","Period=FQ","BEST_FPERIOD_OVERRIDE=FQ","FILING_STATUS=MR","SCALING_FORMAT=MLN","Sort=A","Dates=H","DateFormat=P","Fill=—","Direction=H","UseDPDF=Y")</f>
        <v>0</v>
      </c>
      <c r="D61" s="25" t="str">
        <f>_xll.BDH("NBIX US Equity","BS_OPRB_LT_LIABS","FQ1 2019","FQ1 2019","Currency=USD","Period=FQ","BEST_FPERIOD_OVERRIDE=FQ","FILING_STATUS=MR","SCALING_FORMAT=MLN","Sort=A","Dates=H","DateFormat=P","Fill=—","Direction=H","UseDPDF=Y")</f>
        <v>—</v>
      </c>
      <c r="E61" s="25" t="str">
        <f>_xll.BDH("NBIX US Equity","BS_OPRB_LT_LIABS","FQ2 2019","FQ2 2019","Currency=USD","Period=FQ","BEST_FPERIOD_OVERRIDE=FQ","FILING_STATUS=MR","SCALING_FORMAT=MLN","Sort=A","Dates=H","DateFormat=P","Fill=—","Direction=H","UseDPDF=Y")</f>
        <v>—</v>
      </c>
      <c r="F61" s="25" t="str">
        <f>_xll.BDH("NBIX US Equity","BS_OPRB_LT_LIABS","FQ3 2019","FQ3 2019","Currency=USD","Period=FQ","BEST_FPERIOD_OVERRIDE=FQ","FILING_STATUS=MR","SCALING_FORMAT=MLN","Sort=A","Dates=H","DateFormat=P","Fill=—","Direction=H","UseDPDF=Y")</f>
        <v>—</v>
      </c>
      <c r="G61" s="25">
        <f>_xll.BDH("NBIX US Equity","BS_OPRB_LT_LIABS","FQ4 2019","FQ4 2019","Currency=USD","Period=FQ","BEST_FPERIOD_OVERRIDE=FQ","FILING_STATUS=MR","SCALING_FORMAT=MLN","Sort=A","Dates=H","DateFormat=P","Fill=—","Direction=H","UseDPDF=Y")</f>
        <v>0</v>
      </c>
      <c r="H61" s="25" t="str">
        <f>_xll.BDH("NBIX US Equity","BS_OPRB_LT_LIABS","FQ1 2020","FQ1 2020","Currency=USD","Period=FQ","BEST_FPERIOD_OVERRIDE=FQ","FILING_STATUS=MR","SCALING_FORMAT=MLN","Sort=A","Dates=H","DateFormat=P","Fill=—","Direction=H","UseDPDF=Y")</f>
        <v>—</v>
      </c>
      <c r="I61" s="25" t="str">
        <f>_xll.BDH("NBIX US Equity","BS_OPRB_LT_LIABS","FQ2 2020","FQ2 2020","Currency=USD","Period=FQ","BEST_FPERIOD_OVERRIDE=FQ","FILING_STATUS=MR","SCALING_FORMAT=MLN","Sort=A","Dates=H","DateFormat=P","Fill=—","Direction=H","UseDPDF=Y")</f>
        <v>—</v>
      </c>
      <c r="J61" s="25" t="str">
        <f>_xll.BDH("NBIX US Equity","BS_OPRB_LT_LIABS","FQ3 2020","FQ3 2020","Currency=USD","Period=FQ","BEST_FPERIOD_OVERRIDE=FQ","FILING_STATUS=MR","SCALING_FORMAT=MLN","Sort=A","Dates=H","DateFormat=P","Fill=—","Direction=H","UseDPDF=Y")</f>
        <v>—</v>
      </c>
      <c r="K61" s="25">
        <f>_xll.BDH("NBIX US Equity","BS_OPRB_LT_LIABS","FQ4 2020","FQ4 2020","Currency=USD","Period=FQ","BEST_FPERIOD_OVERRIDE=FQ","FILING_STATUS=MR","SCALING_FORMAT=MLN","Sort=A","Dates=H","DateFormat=P","Fill=—","Direction=H","UseDPDF=Y")</f>
        <v>0</v>
      </c>
      <c r="L61" s="25" t="str">
        <f>_xll.BDH("NBIX US Equity","BS_OPRB_LT_LIABS","FQ1 2021","FQ1 2021","Currency=USD","Period=FQ","BEST_FPERIOD_OVERRIDE=FQ","FILING_STATUS=MR","SCALING_FORMAT=MLN","Sort=A","Dates=H","DateFormat=P","Fill=—","Direction=H","UseDPDF=Y")</f>
        <v>—</v>
      </c>
      <c r="M61" s="25" t="str">
        <f>_xll.BDH("NBIX US Equity","BS_OPRB_LT_LIABS","FQ2 2021","FQ2 2021","Currency=USD","Period=FQ","BEST_FPERIOD_OVERRIDE=FQ","FILING_STATUS=MR","SCALING_FORMAT=MLN","Sort=A","Dates=H","DateFormat=P","Fill=—","Direction=H","UseDPDF=Y")</f>
        <v>—</v>
      </c>
      <c r="N61" s="25" t="str">
        <f>_xll.BDH("NBIX US Equity","BS_OPRB_LT_LIABS","FQ3 2021","FQ3 2021","Currency=USD","Period=FQ","BEST_FPERIOD_OVERRIDE=FQ","FILING_STATUS=MR","SCALING_FORMAT=MLN","Sort=A","Dates=H","DateFormat=P","Fill=—","Direction=H","UseDPDF=Y")</f>
        <v>—</v>
      </c>
      <c r="O61" s="25">
        <f>_xll.BDH("NBIX US Equity","BS_OPRB_LT_LIABS","FQ4 2021","FQ4 2021","Currency=USD","Period=FQ","BEST_FPERIOD_OVERRIDE=FQ","FILING_STATUS=MR","SCALING_FORMAT=MLN","Sort=A","Dates=H","DateFormat=P","Fill=—","Direction=H","UseDPDF=Y")</f>
        <v>0</v>
      </c>
      <c r="P61" s="25" t="str">
        <f>_xll.BDH("NBIX US Equity","BS_OPRB_LT_LIABS","FQ1 2022","FQ1 2022","Currency=USD","Period=FQ","BEST_FPERIOD_OVERRIDE=FQ","FILING_STATUS=MR","SCALING_FORMAT=MLN","Sort=A","Dates=H","DateFormat=P","Fill=—","Direction=H","UseDPDF=Y")</f>
        <v>—</v>
      </c>
      <c r="Q61" s="25" t="str">
        <f>_xll.BDH("NBIX US Equity","BS_OPRB_LT_LIABS","FQ2 2022","FQ2 2022","Currency=USD","Period=FQ","BEST_FPERIOD_OVERRIDE=FQ","FILING_STATUS=MR","SCALING_FORMAT=MLN","Sort=A","Dates=H","DateFormat=P","Fill=—","Direction=H","UseDPDF=Y")</f>
        <v>—</v>
      </c>
      <c r="R61" s="25" t="str">
        <f>_xll.BDH("NBIX US Equity","BS_OPRB_LT_LIABS","FQ3 2022","FQ3 2022","Currency=USD","Period=FQ","BEST_FPERIOD_OVERRIDE=FQ","FILING_STATUS=MR","SCALING_FORMAT=MLN","Sort=A","Dates=H","DateFormat=P","Fill=—","Direction=H","UseDPDF=Y")</f>
        <v>—</v>
      </c>
      <c r="S61" s="25">
        <f>_xll.BDH("NBIX US Equity","BS_OPRB_LT_LIABS","FQ4 2022","FQ4 2022","Currency=USD","Period=FQ","BEST_FPERIOD_OVERRIDE=FQ","FILING_STATUS=MR","SCALING_FORMAT=MLN","Sort=A","Dates=H","DateFormat=P","Fill=—","Direction=H","UseDPDF=Y")</f>
        <v>0</v>
      </c>
      <c r="T61" s="25" t="str">
        <f>_xll.BDH("NBIX US Equity","BS_OPRB_LT_LIABS","FQ1 2023","FQ1 2023","Currency=USD","Period=FQ","BEST_FPERIOD_OVERRIDE=FQ","FILING_STATUS=MR","SCALING_FORMAT=MLN","Sort=A","Dates=H","DateFormat=P","Fill=—","Direction=H","UseDPDF=Y")</f>
        <v>—</v>
      </c>
      <c r="U61" s="25" t="str">
        <f>_xll.BDH("NBIX US Equity","BS_OPRB_LT_LIABS","FQ2 2023","FQ2 2023","Currency=USD","Period=FQ","BEST_FPERIOD_OVERRIDE=FQ","FILING_STATUS=MR","SCALING_FORMAT=MLN","Sort=A","Dates=H","DateFormat=P","Fill=—","Direction=H","UseDPDF=Y")</f>
        <v>—</v>
      </c>
      <c r="V61" s="25" t="str">
        <f>_xll.BDH("NBIX US Equity","BS_OPRB_LT_LIABS","FQ3 2023","FQ3 2023","Currency=USD","Period=FQ","BEST_FPERIOD_OVERRIDE=FQ","FILING_STATUS=MR","SCALING_FORMAT=MLN","Sort=A","Dates=H","DateFormat=P","Fill=—","Direction=H","UseDPDF=Y")</f>
        <v>—</v>
      </c>
      <c r="W61" s="25">
        <f>_xll.BDH("NBIX US Equity","BS_OPRB_LT_LIABS","FQ4 2023","FQ4 2023","Currency=USD","Period=FQ","BEST_FPERIOD_OVERRIDE=FQ","FILING_STATUS=MR","SCALING_FORMAT=MLN","Sort=A","Dates=H","DateFormat=P","Fill=—","Direction=H","UseDPDF=Y")</f>
        <v>0</v>
      </c>
      <c r="X61" s="25" t="str">
        <f>_xll.BDH("NBIX US Equity","BS_OPRB_LT_LIABS","FQ1 2024","FQ1 2024","Currency=USD","Period=FQ","BEST_FPERIOD_OVERRIDE=FQ","FILING_STATUS=MR","SCALING_FORMAT=MLN","Sort=A","Dates=H","DateFormat=P","Fill=—","Direction=H","UseDPDF=Y")</f>
        <v>—</v>
      </c>
      <c r="Y61" s="25" t="str">
        <f>_xll.BDH("NBIX US Equity","BS_OPRB_LT_LIABS","FQ2 2024","FQ2 2024","Currency=USD","Period=FQ","BEST_FPERIOD_OVERRIDE=FQ","FILING_STATUS=MR","SCALING_FORMAT=MLN","Sort=A","Dates=H","DateFormat=P","Fill=—","Direction=H","UseDPDF=Y")</f>
        <v>—</v>
      </c>
      <c r="Z61" s="25" t="str">
        <f>_xll.BDH("NBIX US Equity","BS_OPRB_LT_LIABS","FQ3 2024","FQ3 2024","Currency=USD","Period=FQ","BEST_FPERIOD_OVERRIDE=FQ","FILING_STATUS=MR","SCALING_FORMAT=MLN","Sort=A","Dates=H","DateFormat=P","Fill=—","Direction=H","UseDPDF=Y")</f>
        <v>—</v>
      </c>
      <c r="AA61" s="25">
        <f>_xll.BDH("NBIX US Equity","BS_OPRB_LT_LIABS","FQ4 2024","FQ4 2024","Currency=USD","Period=FQ","BEST_FPERIOD_OVERRIDE=FQ","FILING_STATUS=MR","SCALING_FORMAT=MLN","Sort=A","Dates=H","DateFormat=P","Fill=—","Direction=H","UseDPDF=Y")</f>
        <v>0</v>
      </c>
    </row>
    <row r="62" spans="1:27" x14ac:dyDescent="0.25">
      <c r="A62" s="10" t="s">
        <v>740</v>
      </c>
      <c r="B62" s="10" t="s">
        <v>766</v>
      </c>
      <c r="C62" s="13">
        <f>_xll.BDH("NBIX US Equity","LT_DEFERRED_REVENUE","FQ4 2018","FQ4 2018","Currency=USD","Period=FQ","BEST_FPERIOD_OVERRIDE=FQ","FILING_STATUS=MR","SCALING_FORMAT=MLN","Sort=A","Dates=H","DateFormat=P","Fill=—","Direction=H","UseDPDF=Y")</f>
        <v>17.542999999999999</v>
      </c>
      <c r="D62" s="13">
        <f>_xll.BDH("NBIX US Equity","LT_DEFERRED_REVENUE","FQ1 2019","FQ1 2019","Currency=USD","Period=FQ","BEST_FPERIOD_OVERRIDE=FQ","FILING_STATUS=MR","SCALING_FORMAT=MLN","Sort=A","Dates=H","DateFormat=P","Fill=—","Direction=H","UseDPDF=Y")</f>
        <v>15.863</v>
      </c>
      <c r="E62" s="13">
        <f>_xll.BDH("NBIX US Equity","LT_DEFERRED_REVENUE","FQ2 2019","FQ2 2019","Currency=USD","Period=FQ","BEST_FPERIOD_OVERRIDE=FQ","FILING_STATUS=MR","SCALING_FORMAT=MLN","Sort=A","Dates=H","DateFormat=P","Fill=—","Direction=H","UseDPDF=Y")</f>
        <v>0</v>
      </c>
      <c r="F62" s="13">
        <f>_xll.BDH("NBIX US Equity","LT_DEFERRED_REVENUE","FQ3 2019","FQ3 2019","Currency=USD","Period=FQ","BEST_FPERIOD_OVERRIDE=FQ","FILING_STATUS=MR","SCALING_FORMAT=MLN","Sort=A","Dates=H","DateFormat=P","Fill=—","Direction=H","UseDPDF=Y")</f>
        <v>0</v>
      </c>
      <c r="G62" s="13">
        <f>_xll.BDH("NBIX US Equity","LT_DEFERRED_REVENUE","FQ4 2019","FQ4 2019","Currency=USD","Period=FQ","BEST_FPERIOD_OVERRIDE=FQ","FILING_STATUS=MR","SCALING_FORMAT=MLN","Sort=A","Dates=H","DateFormat=P","Fill=—","Direction=H","UseDPDF=Y")</f>
        <v>0</v>
      </c>
      <c r="H62" s="13" t="str">
        <f>_xll.BDH("NBIX US Equity","LT_DEFERRED_REVENUE","FQ1 2020","FQ1 2020","Currency=USD","Period=FQ","BEST_FPERIOD_OVERRIDE=FQ","FILING_STATUS=MR","SCALING_FORMAT=MLN","Sort=A","Dates=H","DateFormat=P","Fill=—","Direction=H","UseDPDF=Y")</f>
        <v>—</v>
      </c>
      <c r="I62" s="13" t="str">
        <f>_xll.BDH("NBIX US Equity","LT_DEFERRED_REVENUE","FQ2 2020","FQ2 2020","Currency=USD","Period=FQ","BEST_FPERIOD_OVERRIDE=FQ","FILING_STATUS=MR","SCALING_FORMAT=MLN","Sort=A","Dates=H","DateFormat=P","Fill=—","Direction=H","UseDPDF=Y")</f>
        <v>—</v>
      </c>
      <c r="J62" s="13" t="str">
        <f>_xll.BDH("NBIX US Equity","LT_DEFERRED_REVENUE","FQ3 2020","FQ3 2020","Currency=USD","Period=FQ","BEST_FPERIOD_OVERRIDE=FQ","FILING_STATUS=MR","SCALING_FORMAT=MLN","Sort=A","Dates=H","DateFormat=P","Fill=—","Direction=H","UseDPDF=Y")</f>
        <v>—</v>
      </c>
      <c r="K62" s="13">
        <f>_xll.BDH("NBIX US Equity","LT_DEFERRED_REVENUE","FQ4 2020","FQ4 2020","Currency=USD","Period=FQ","BEST_FPERIOD_OVERRIDE=FQ","FILING_STATUS=MR","SCALING_FORMAT=MLN","Sort=A","Dates=H","DateFormat=P","Fill=—","Direction=H","UseDPDF=Y")</f>
        <v>0</v>
      </c>
      <c r="L62" s="13" t="str">
        <f>_xll.BDH("NBIX US Equity","LT_DEFERRED_REVENUE","FQ1 2021","FQ1 2021","Currency=USD","Period=FQ","BEST_FPERIOD_OVERRIDE=FQ","FILING_STATUS=MR","SCALING_FORMAT=MLN","Sort=A","Dates=H","DateFormat=P","Fill=—","Direction=H","UseDPDF=Y")</f>
        <v>—</v>
      </c>
      <c r="M62" s="13" t="str">
        <f>_xll.BDH("NBIX US Equity","LT_DEFERRED_REVENUE","FQ2 2021","FQ2 2021","Currency=USD","Period=FQ","BEST_FPERIOD_OVERRIDE=FQ","FILING_STATUS=MR","SCALING_FORMAT=MLN","Sort=A","Dates=H","DateFormat=P","Fill=—","Direction=H","UseDPDF=Y")</f>
        <v>—</v>
      </c>
      <c r="N62" s="13" t="str">
        <f>_xll.BDH("NBIX US Equity","LT_DEFERRED_REVENUE","FQ3 2021","FQ3 2021","Currency=USD","Period=FQ","BEST_FPERIOD_OVERRIDE=FQ","FILING_STATUS=MR","SCALING_FORMAT=MLN","Sort=A","Dates=H","DateFormat=P","Fill=—","Direction=H","UseDPDF=Y")</f>
        <v>—</v>
      </c>
      <c r="O62" s="13">
        <f>_xll.BDH("NBIX US Equity","LT_DEFERRED_REVENUE","FQ4 2021","FQ4 2021","Currency=USD","Period=FQ","BEST_FPERIOD_OVERRIDE=FQ","FILING_STATUS=MR","SCALING_FORMAT=MLN","Sort=A","Dates=H","DateFormat=P","Fill=—","Direction=H","UseDPDF=Y")</f>
        <v>0</v>
      </c>
      <c r="P62" s="13" t="str">
        <f>_xll.BDH("NBIX US Equity","LT_DEFERRED_REVENUE","FQ1 2022","FQ1 2022","Currency=USD","Period=FQ","BEST_FPERIOD_OVERRIDE=FQ","FILING_STATUS=MR","SCALING_FORMAT=MLN","Sort=A","Dates=H","DateFormat=P","Fill=—","Direction=H","UseDPDF=Y")</f>
        <v>—</v>
      </c>
      <c r="Q62" s="13" t="str">
        <f>_xll.BDH("NBIX US Equity","LT_DEFERRED_REVENUE","FQ2 2022","FQ2 2022","Currency=USD","Period=FQ","BEST_FPERIOD_OVERRIDE=FQ","FILING_STATUS=MR","SCALING_FORMAT=MLN","Sort=A","Dates=H","DateFormat=P","Fill=—","Direction=H","UseDPDF=Y")</f>
        <v>—</v>
      </c>
      <c r="R62" s="13" t="str">
        <f>_xll.BDH("NBIX US Equity","LT_DEFERRED_REVENUE","FQ3 2022","FQ3 2022","Currency=USD","Period=FQ","BEST_FPERIOD_OVERRIDE=FQ","FILING_STATUS=MR","SCALING_FORMAT=MLN","Sort=A","Dates=H","DateFormat=P","Fill=—","Direction=H","UseDPDF=Y")</f>
        <v>—</v>
      </c>
      <c r="S62" s="13">
        <f>_xll.BDH("NBIX US Equity","LT_DEFERRED_REVENUE","FQ4 2022","FQ4 2022","Currency=USD","Period=FQ","BEST_FPERIOD_OVERRIDE=FQ","FILING_STATUS=MR","SCALING_FORMAT=MLN","Sort=A","Dates=H","DateFormat=P","Fill=—","Direction=H","UseDPDF=Y")</f>
        <v>0</v>
      </c>
      <c r="T62" s="13" t="str">
        <f>_xll.BDH("NBIX US Equity","LT_DEFERRED_REVENUE","FQ1 2023","FQ1 2023","Currency=USD","Period=FQ","BEST_FPERIOD_OVERRIDE=FQ","FILING_STATUS=MR","SCALING_FORMAT=MLN","Sort=A","Dates=H","DateFormat=P","Fill=—","Direction=H","UseDPDF=Y")</f>
        <v>—</v>
      </c>
      <c r="U62" s="13" t="str">
        <f>_xll.BDH("NBIX US Equity","LT_DEFERRED_REVENUE","FQ2 2023","FQ2 2023","Currency=USD","Period=FQ","BEST_FPERIOD_OVERRIDE=FQ","FILING_STATUS=MR","SCALING_FORMAT=MLN","Sort=A","Dates=H","DateFormat=P","Fill=—","Direction=H","UseDPDF=Y")</f>
        <v>—</v>
      </c>
      <c r="V62" s="13" t="str">
        <f>_xll.BDH("NBIX US Equity","LT_DEFERRED_REVENUE","FQ3 2023","FQ3 2023","Currency=USD","Period=FQ","BEST_FPERIOD_OVERRIDE=FQ","FILING_STATUS=MR","SCALING_FORMAT=MLN","Sort=A","Dates=H","DateFormat=P","Fill=—","Direction=H","UseDPDF=Y")</f>
        <v>—</v>
      </c>
      <c r="W62" s="13">
        <f>_xll.BDH("NBIX US Equity","LT_DEFERRED_REVENUE","FQ4 2023","FQ4 2023","Currency=USD","Period=FQ","BEST_FPERIOD_OVERRIDE=FQ","FILING_STATUS=MR","SCALING_FORMAT=MLN","Sort=A","Dates=H","DateFormat=P","Fill=—","Direction=H","UseDPDF=Y")</f>
        <v>0</v>
      </c>
      <c r="X62" s="13" t="str">
        <f>_xll.BDH("NBIX US Equity","LT_DEFERRED_REVENUE","FQ1 2024","FQ1 2024","Currency=USD","Period=FQ","BEST_FPERIOD_OVERRIDE=FQ","FILING_STATUS=MR","SCALING_FORMAT=MLN","Sort=A","Dates=H","DateFormat=P","Fill=—","Direction=H","UseDPDF=Y")</f>
        <v>—</v>
      </c>
      <c r="Y62" s="13" t="str">
        <f>_xll.BDH("NBIX US Equity","LT_DEFERRED_REVENUE","FQ2 2024","FQ2 2024","Currency=USD","Period=FQ","BEST_FPERIOD_OVERRIDE=FQ","FILING_STATUS=MR","SCALING_FORMAT=MLN","Sort=A","Dates=H","DateFormat=P","Fill=—","Direction=H","UseDPDF=Y")</f>
        <v>—</v>
      </c>
      <c r="Z62" s="13" t="str">
        <f>_xll.BDH("NBIX US Equity","LT_DEFERRED_REVENUE","FQ3 2024","FQ3 2024","Currency=USD","Period=FQ","BEST_FPERIOD_OVERRIDE=FQ","FILING_STATUS=MR","SCALING_FORMAT=MLN","Sort=A","Dates=H","DateFormat=P","Fill=—","Direction=H","UseDPDF=Y")</f>
        <v>—</v>
      </c>
      <c r="AA62" s="13">
        <f>_xll.BDH("NBIX US Equity","LT_DEFERRED_REVENUE","FQ4 2024","FQ4 2024","Currency=USD","Period=FQ","BEST_FPERIOD_OVERRIDE=FQ","FILING_STATUS=MR","SCALING_FORMAT=MLN","Sort=A","Dates=H","DateFormat=P","Fill=—","Direction=H","UseDPDF=Y")</f>
        <v>0</v>
      </c>
    </row>
    <row r="63" spans="1:27" x14ac:dyDescent="0.25">
      <c r="A63" s="10" t="s">
        <v>742</v>
      </c>
      <c r="B63" s="10" t="s">
        <v>767</v>
      </c>
      <c r="C63" s="13">
        <f>_xll.BDH("NBIX US Equity","BS_DERIV_HEDGING_LIAB_LT","FQ4 2018","FQ4 2018","Currency=USD","Period=FQ","BEST_FPERIOD_OVERRIDE=FQ","FILING_STATUS=MR","SCALING_FORMAT=MLN","Sort=A","Dates=H","DateFormat=P","Fill=—","Direction=H","UseDPDF=Y")</f>
        <v>0</v>
      </c>
      <c r="D63" s="13" t="str">
        <f>_xll.BDH("NBIX US Equity","BS_DERIV_HEDGING_LIAB_LT","FQ1 2019","FQ1 2019","Currency=USD","Period=FQ","BEST_FPERIOD_OVERRIDE=FQ","FILING_STATUS=MR","SCALING_FORMAT=MLN","Sort=A","Dates=H","DateFormat=P","Fill=—","Direction=H","UseDPDF=Y")</f>
        <v>—</v>
      </c>
      <c r="E63" s="13" t="str">
        <f>_xll.BDH("NBIX US Equity","BS_DERIV_HEDGING_LIAB_LT","FQ2 2019","FQ2 2019","Currency=USD","Period=FQ","BEST_FPERIOD_OVERRIDE=FQ","FILING_STATUS=MR","SCALING_FORMAT=MLN","Sort=A","Dates=H","DateFormat=P","Fill=—","Direction=H","UseDPDF=Y")</f>
        <v>—</v>
      </c>
      <c r="F63" s="13" t="str">
        <f>_xll.BDH("NBIX US Equity","BS_DERIV_HEDGING_LIAB_LT","FQ3 2019","FQ3 2019","Currency=USD","Period=FQ","BEST_FPERIOD_OVERRIDE=FQ","FILING_STATUS=MR","SCALING_FORMAT=MLN","Sort=A","Dates=H","DateFormat=P","Fill=—","Direction=H","UseDPDF=Y")</f>
        <v>—</v>
      </c>
      <c r="G63" s="13">
        <f>_xll.BDH("NBIX US Equity","BS_DERIV_HEDGING_LIAB_LT","FQ4 2019","FQ4 2019","Currency=USD","Period=FQ","BEST_FPERIOD_OVERRIDE=FQ","FILING_STATUS=MR","SCALING_FORMAT=MLN","Sort=A","Dates=H","DateFormat=P","Fill=—","Direction=H","UseDPDF=Y")</f>
        <v>0</v>
      </c>
      <c r="H63" s="13" t="str">
        <f>_xll.BDH("NBIX US Equity","BS_DERIV_HEDGING_LIAB_LT","FQ1 2020","FQ1 2020","Currency=USD","Period=FQ","BEST_FPERIOD_OVERRIDE=FQ","FILING_STATUS=MR","SCALING_FORMAT=MLN","Sort=A","Dates=H","DateFormat=P","Fill=—","Direction=H","UseDPDF=Y")</f>
        <v>—</v>
      </c>
      <c r="I63" s="13" t="str">
        <f>_xll.BDH("NBIX US Equity","BS_DERIV_HEDGING_LIAB_LT","FQ2 2020","FQ2 2020","Currency=USD","Period=FQ","BEST_FPERIOD_OVERRIDE=FQ","FILING_STATUS=MR","SCALING_FORMAT=MLN","Sort=A","Dates=H","DateFormat=P","Fill=—","Direction=H","UseDPDF=Y")</f>
        <v>—</v>
      </c>
      <c r="J63" s="13" t="str">
        <f>_xll.BDH("NBIX US Equity","BS_DERIV_HEDGING_LIAB_LT","FQ3 2020","FQ3 2020","Currency=USD","Period=FQ","BEST_FPERIOD_OVERRIDE=FQ","FILING_STATUS=MR","SCALING_FORMAT=MLN","Sort=A","Dates=H","DateFormat=P","Fill=—","Direction=H","UseDPDF=Y")</f>
        <v>—</v>
      </c>
      <c r="K63" s="13">
        <f>_xll.BDH("NBIX US Equity","BS_DERIV_HEDGING_LIAB_LT","FQ4 2020","FQ4 2020","Currency=USD","Period=FQ","BEST_FPERIOD_OVERRIDE=FQ","FILING_STATUS=MR","SCALING_FORMAT=MLN","Sort=A","Dates=H","DateFormat=P","Fill=—","Direction=H","UseDPDF=Y")</f>
        <v>0</v>
      </c>
      <c r="L63" s="13" t="str">
        <f>_xll.BDH("NBIX US Equity","BS_DERIV_HEDGING_LIAB_LT","FQ1 2021","FQ1 2021","Currency=USD","Period=FQ","BEST_FPERIOD_OVERRIDE=FQ","FILING_STATUS=MR","SCALING_FORMAT=MLN","Sort=A","Dates=H","DateFormat=P","Fill=—","Direction=H","UseDPDF=Y")</f>
        <v>—</v>
      </c>
      <c r="M63" s="13" t="str">
        <f>_xll.BDH("NBIX US Equity","BS_DERIV_HEDGING_LIAB_LT","FQ2 2021","FQ2 2021","Currency=USD","Period=FQ","BEST_FPERIOD_OVERRIDE=FQ","FILING_STATUS=MR","SCALING_FORMAT=MLN","Sort=A","Dates=H","DateFormat=P","Fill=—","Direction=H","UseDPDF=Y")</f>
        <v>—</v>
      </c>
      <c r="N63" s="13" t="str">
        <f>_xll.BDH("NBIX US Equity","BS_DERIV_HEDGING_LIAB_LT","FQ3 2021","FQ3 2021","Currency=USD","Period=FQ","BEST_FPERIOD_OVERRIDE=FQ","FILING_STATUS=MR","SCALING_FORMAT=MLN","Sort=A","Dates=H","DateFormat=P","Fill=—","Direction=H","UseDPDF=Y")</f>
        <v>—</v>
      </c>
      <c r="O63" s="13">
        <f>_xll.BDH("NBIX US Equity","BS_DERIV_HEDGING_LIAB_LT","FQ4 2021","FQ4 2021","Currency=USD","Period=FQ","BEST_FPERIOD_OVERRIDE=FQ","FILING_STATUS=MR","SCALING_FORMAT=MLN","Sort=A","Dates=H","DateFormat=P","Fill=—","Direction=H","UseDPDF=Y")</f>
        <v>0</v>
      </c>
      <c r="P63" s="13" t="str">
        <f>_xll.BDH("NBIX US Equity","BS_DERIV_HEDGING_LIAB_LT","FQ1 2022","FQ1 2022","Currency=USD","Period=FQ","BEST_FPERIOD_OVERRIDE=FQ","FILING_STATUS=MR","SCALING_FORMAT=MLN","Sort=A","Dates=H","DateFormat=P","Fill=—","Direction=H","UseDPDF=Y")</f>
        <v>—</v>
      </c>
      <c r="Q63" s="13" t="str">
        <f>_xll.BDH("NBIX US Equity","BS_DERIV_HEDGING_LIAB_LT","FQ2 2022","FQ2 2022","Currency=USD","Period=FQ","BEST_FPERIOD_OVERRIDE=FQ","FILING_STATUS=MR","SCALING_FORMAT=MLN","Sort=A","Dates=H","DateFormat=P","Fill=—","Direction=H","UseDPDF=Y")</f>
        <v>—</v>
      </c>
      <c r="R63" s="13" t="str">
        <f>_xll.BDH("NBIX US Equity","BS_DERIV_HEDGING_LIAB_LT","FQ3 2022","FQ3 2022","Currency=USD","Period=FQ","BEST_FPERIOD_OVERRIDE=FQ","FILING_STATUS=MR","SCALING_FORMAT=MLN","Sort=A","Dates=H","DateFormat=P","Fill=—","Direction=H","UseDPDF=Y")</f>
        <v>—</v>
      </c>
      <c r="S63" s="13">
        <f>_xll.BDH("NBIX US Equity","BS_DERIV_HEDGING_LIAB_LT","FQ4 2022","FQ4 2022","Currency=USD","Period=FQ","BEST_FPERIOD_OVERRIDE=FQ","FILING_STATUS=MR","SCALING_FORMAT=MLN","Sort=A","Dates=H","DateFormat=P","Fill=—","Direction=H","UseDPDF=Y")</f>
        <v>0</v>
      </c>
      <c r="T63" s="13" t="str">
        <f>_xll.BDH("NBIX US Equity","BS_DERIV_HEDGING_LIAB_LT","FQ1 2023","FQ1 2023","Currency=USD","Period=FQ","BEST_FPERIOD_OVERRIDE=FQ","FILING_STATUS=MR","SCALING_FORMAT=MLN","Sort=A","Dates=H","DateFormat=P","Fill=—","Direction=H","UseDPDF=Y")</f>
        <v>—</v>
      </c>
      <c r="U63" s="13" t="str">
        <f>_xll.BDH("NBIX US Equity","BS_DERIV_HEDGING_LIAB_LT","FQ2 2023","FQ2 2023","Currency=USD","Period=FQ","BEST_FPERIOD_OVERRIDE=FQ","FILING_STATUS=MR","SCALING_FORMAT=MLN","Sort=A","Dates=H","DateFormat=P","Fill=—","Direction=H","UseDPDF=Y")</f>
        <v>—</v>
      </c>
      <c r="V63" s="13" t="str">
        <f>_xll.BDH("NBIX US Equity","BS_DERIV_HEDGING_LIAB_LT","FQ3 2023","FQ3 2023","Currency=USD","Period=FQ","BEST_FPERIOD_OVERRIDE=FQ","FILING_STATUS=MR","SCALING_FORMAT=MLN","Sort=A","Dates=H","DateFormat=P","Fill=—","Direction=H","UseDPDF=Y")</f>
        <v>—</v>
      </c>
      <c r="W63" s="13">
        <f>_xll.BDH("NBIX US Equity","BS_DERIV_HEDGING_LIAB_LT","FQ4 2023","FQ4 2023","Currency=USD","Period=FQ","BEST_FPERIOD_OVERRIDE=FQ","FILING_STATUS=MR","SCALING_FORMAT=MLN","Sort=A","Dates=H","DateFormat=P","Fill=—","Direction=H","UseDPDF=Y")</f>
        <v>0</v>
      </c>
      <c r="X63" s="13" t="str">
        <f>_xll.BDH("NBIX US Equity","BS_DERIV_HEDGING_LIAB_LT","FQ1 2024","FQ1 2024","Currency=USD","Period=FQ","BEST_FPERIOD_OVERRIDE=FQ","FILING_STATUS=MR","SCALING_FORMAT=MLN","Sort=A","Dates=H","DateFormat=P","Fill=—","Direction=H","UseDPDF=Y")</f>
        <v>—</v>
      </c>
      <c r="Y63" s="13" t="str">
        <f>_xll.BDH("NBIX US Equity","BS_DERIV_HEDGING_LIAB_LT","FQ2 2024","FQ2 2024","Currency=USD","Period=FQ","BEST_FPERIOD_OVERRIDE=FQ","FILING_STATUS=MR","SCALING_FORMAT=MLN","Sort=A","Dates=H","DateFormat=P","Fill=—","Direction=H","UseDPDF=Y")</f>
        <v>—</v>
      </c>
      <c r="Z63" s="13" t="str">
        <f>_xll.BDH("NBIX US Equity","BS_DERIV_HEDGING_LIAB_LT","FQ3 2024","FQ3 2024","Currency=USD","Period=FQ","BEST_FPERIOD_OVERRIDE=FQ","FILING_STATUS=MR","SCALING_FORMAT=MLN","Sort=A","Dates=H","DateFormat=P","Fill=—","Direction=H","UseDPDF=Y")</f>
        <v>—</v>
      </c>
      <c r="AA63" s="13">
        <f>_xll.BDH("NBIX US Equity","BS_DERIV_HEDGING_LIAB_LT","FQ4 2024","FQ4 2024","Currency=USD","Period=FQ","BEST_FPERIOD_OVERRIDE=FQ","FILING_STATUS=MR","SCALING_FORMAT=MLN","Sort=A","Dates=H","DateFormat=P","Fill=—","Direction=H","UseDPDF=Y")</f>
        <v>0</v>
      </c>
    </row>
    <row r="64" spans="1:27" x14ac:dyDescent="0.25">
      <c r="A64" s="10" t="s">
        <v>768</v>
      </c>
      <c r="B64" s="10" t="s">
        <v>769</v>
      </c>
      <c r="C64" s="13">
        <f>_xll.BDH("NBIX US Equity","OTHER_NONCURRENT_LIABS_DETAILED","FQ4 2018","FQ4 2018","Currency=USD","Period=FQ","BEST_FPERIOD_OVERRIDE=FQ","FILING_STATUS=MR","SCALING_FORMAT=MLN","Sort=A","Dates=H","DateFormat=P","Fill=—","Direction=H","UseDPDF=Y")</f>
        <v>18.114000000000001</v>
      </c>
      <c r="D64" s="13">
        <f>_xll.BDH("NBIX US Equity","OTHER_NONCURRENT_LIABS_DETAILED","FQ1 2019","FQ1 2019","Currency=USD","Period=FQ","BEST_FPERIOD_OVERRIDE=FQ","FILING_STATUS=MR","SCALING_FORMAT=MLN","Sort=A","Dates=H","DateFormat=P","Fill=—","Direction=H","UseDPDF=Y")</f>
        <v>0</v>
      </c>
      <c r="E64" s="13">
        <f>_xll.BDH("NBIX US Equity","OTHER_NONCURRENT_LIABS_DETAILED","FQ2 2019","FQ2 2019","Currency=USD","Period=FQ","BEST_FPERIOD_OVERRIDE=FQ","FILING_STATUS=MR","SCALING_FORMAT=MLN","Sort=A","Dates=H","DateFormat=P","Fill=—","Direction=H","UseDPDF=Y")</f>
        <v>17.914999999999999</v>
      </c>
      <c r="F64" s="13">
        <f>_xll.BDH("NBIX US Equity","OTHER_NONCURRENT_LIABS_DETAILED","FQ3 2019","FQ3 2019","Currency=USD","Period=FQ","BEST_FPERIOD_OVERRIDE=FQ","FILING_STATUS=MR","SCALING_FORMAT=MLN","Sort=A","Dates=H","DateFormat=P","Fill=—","Direction=H","UseDPDF=Y")</f>
        <v>11.696999999999999</v>
      </c>
      <c r="G64" s="13">
        <f>_xll.BDH("NBIX US Equity","OTHER_NONCURRENT_LIABS_DETAILED","FQ4 2019","FQ4 2019","Currency=USD","Period=FQ","BEST_FPERIOD_OVERRIDE=FQ","FILING_STATUS=MR","SCALING_FORMAT=MLN","Sort=A","Dates=H","DateFormat=P","Fill=—","Direction=H","UseDPDF=Y")</f>
        <v>17.100000000000001</v>
      </c>
      <c r="H64" s="13">
        <f>_xll.BDH("NBIX US Equity","OTHER_NONCURRENT_LIABS_DETAILED","FQ1 2020","FQ1 2020","Currency=USD","Period=FQ","BEST_FPERIOD_OVERRIDE=FQ","FILING_STATUS=MR","SCALING_FORMAT=MLN","Sort=A","Dates=H","DateFormat=P","Fill=—","Direction=H","UseDPDF=Y")</f>
        <v>21.6</v>
      </c>
      <c r="I64" s="13">
        <f>_xll.BDH("NBIX US Equity","OTHER_NONCURRENT_LIABS_DETAILED","FQ2 2020","FQ2 2020","Currency=USD","Period=FQ","BEST_FPERIOD_OVERRIDE=FQ","FILING_STATUS=MR","SCALING_FORMAT=MLN","Sort=A","Dates=H","DateFormat=P","Fill=—","Direction=H","UseDPDF=Y")</f>
        <v>27.1</v>
      </c>
      <c r="J64" s="13">
        <f>_xll.BDH("NBIX US Equity","OTHER_NONCURRENT_LIABS_DETAILED","FQ3 2020","FQ3 2020","Currency=USD","Period=FQ","BEST_FPERIOD_OVERRIDE=FQ","FILING_STATUS=MR","SCALING_FORMAT=MLN","Sort=A","Dates=H","DateFormat=P","Fill=—","Direction=H","UseDPDF=Y")</f>
        <v>4.3</v>
      </c>
      <c r="K64" s="13">
        <f>_xll.BDH("NBIX US Equity","OTHER_NONCURRENT_LIABS_DETAILED","FQ4 2020","FQ4 2020","Currency=USD","Period=FQ","BEST_FPERIOD_OVERRIDE=FQ","FILING_STATUS=MR","SCALING_FORMAT=MLN","Sort=A","Dates=H","DateFormat=P","Fill=—","Direction=H","UseDPDF=Y")</f>
        <v>9.6999999999999993</v>
      </c>
      <c r="L64" s="13">
        <f>_xll.BDH("NBIX US Equity","OTHER_NONCURRENT_LIABS_DETAILED","FQ1 2021","FQ1 2021","Currency=USD","Period=FQ","BEST_FPERIOD_OVERRIDE=FQ","FILING_STATUS=MR","SCALING_FORMAT=MLN","Sort=A","Dates=H","DateFormat=P","Fill=—","Direction=H","UseDPDF=Y")</f>
        <v>21.3</v>
      </c>
      <c r="M64" s="13">
        <f>_xll.BDH("NBIX US Equity","OTHER_NONCURRENT_LIABS_DETAILED","FQ2 2021","FQ2 2021","Currency=USD","Period=FQ","BEST_FPERIOD_OVERRIDE=FQ","FILING_STATUS=MR","SCALING_FORMAT=MLN","Sort=A","Dates=H","DateFormat=P","Fill=—","Direction=H","UseDPDF=Y")</f>
        <v>29</v>
      </c>
      <c r="N64" s="13">
        <f>_xll.BDH("NBIX US Equity","OTHER_NONCURRENT_LIABS_DETAILED","FQ3 2021","FQ3 2021","Currency=USD","Period=FQ","BEST_FPERIOD_OVERRIDE=FQ","FILING_STATUS=MR","SCALING_FORMAT=MLN","Sort=A","Dates=H","DateFormat=P","Fill=—","Direction=H","UseDPDF=Y")</f>
        <v>8.3000000000000007</v>
      </c>
      <c r="O64" s="13">
        <f>_xll.BDH("NBIX US Equity","OTHER_NONCURRENT_LIABS_DETAILED","FQ4 2021","FQ4 2021","Currency=USD","Period=FQ","BEST_FPERIOD_OVERRIDE=FQ","FILING_STATUS=MR","SCALING_FORMAT=MLN","Sort=A","Dates=H","DateFormat=P","Fill=—","Direction=H","UseDPDF=Y")</f>
        <v>12.3</v>
      </c>
      <c r="P64" s="13">
        <f>_xll.BDH("NBIX US Equity","OTHER_NONCURRENT_LIABS_DETAILED","FQ1 2022","FQ1 2022","Currency=USD","Period=FQ","BEST_FPERIOD_OVERRIDE=FQ","FILING_STATUS=MR","SCALING_FORMAT=MLN","Sort=A","Dates=H","DateFormat=P","Fill=—","Direction=H","UseDPDF=Y")</f>
        <v>19.7</v>
      </c>
      <c r="Q64" s="13">
        <f>_xll.BDH("NBIX US Equity","OTHER_NONCURRENT_LIABS_DETAILED","FQ2 2022","FQ2 2022","Currency=USD","Period=FQ","BEST_FPERIOD_OVERRIDE=FQ","FILING_STATUS=MR","SCALING_FORMAT=MLN","Sort=A","Dates=H","DateFormat=P","Fill=—","Direction=H","UseDPDF=Y")</f>
        <v>28</v>
      </c>
      <c r="R64" s="13">
        <f>_xll.BDH("NBIX US Equity","OTHER_NONCURRENT_LIABS_DETAILED","FQ3 2022","FQ3 2022","Currency=USD","Period=FQ","BEST_FPERIOD_OVERRIDE=FQ","FILING_STATUS=MR","SCALING_FORMAT=MLN","Sort=A","Dates=H","DateFormat=P","Fill=—","Direction=H","UseDPDF=Y")</f>
        <v>17.100000000000001</v>
      </c>
      <c r="S64" s="13">
        <f>_xll.BDH("NBIX US Equity","OTHER_NONCURRENT_LIABS_DETAILED","FQ4 2022","FQ4 2022","Currency=USD","Period=FQ","BEST_FPERIOD_OVERRIDE=FQ","FILING_STATUS=MR","SCALING_FORMAT=MLN","Sort=A","Dates=H","DateFormat=P","Fill=—","Direction=H","UseDPDF=Y")</f>
        <v>29.7</v>
      </c>
      <c r="T64" s="13">
        <f>_xll.BDH("NBIX US Equity","OTHER_NONCURRENT_LIABS_DETAILED","FQ1 2023","FQ1 2023","Currency=USD","Period=FQ","BEST_FPERIOD_OVERRIDE=FQ","FILING_STATUS=MR","SCALING_FORMAT=MLN","Sort=A","Dates=H","DateFormat=P","Fill=—","Direction=H","UseDPDF=Y")</f>
        <v>41.3</v>
      </c>
      <c r="U64" s="13">
        <f>_xll.BDH("NBIX US Equity","OTHER_NONCURRENT_LIABS_DETAILED","FQ2 2023","FQ2 2023","Currency=USD","Period=FQ","BEST_FPERIOD_OVERRIDE=FQ","FILING_STATUS=MR","SCALING_FORMAT=MLN","Sort=A","Dates=H","DateFormat=P","Fill=—","Direction=H","UseDPDF=Y")</f>
        <v>88.5</v>
      </c>
      <c r="V64" s="13">
        <f>_xll.BDH("NBIX US Equity","OTHER_NONCURRENT_LIABS_DETAILED","FQ3 2023","FQ3 2023","Currency=USD","Period=FQ","BEST_FPERIOD_OVERRIDE=FQ","FILING_STATUS=MR","SCALING_FORMAT=MLN","Sort=A","Dates=H","DateFormat=P","Fill=—","Direction=H","UseDPDF=Y")</f>
        <v>68.599999999999994</v>
      </c>
      <c r="W64" s="13">
        <f>_xll.BDH("NBIX US Equity","OTHER_NONCURRENT_LIABS_DETAILED","FQ4 2023","FQ4 2023","Currency=USD","Period=FQ","BEST_FPERIOD_OVERRIDE=FQ","FILING_STATUS=MR","SCALING_FORMAT=MLN","Sort=A","Dates=H","DateFormat=P","Fill=—","Direction=H","UseDPDF=Y")</f>
        <v>106.3</v>
      </c>
      <c r="X64" s="13">
        <f>_xll.BDH("NBIX US Equity","OTHER_NONCURRENT_LIABS_DETAILED","FQ1 2024","FQ1 2024","Currency=USD","Period=FQ","BEST_FPERIOD_OVERRIDE=FQ","FILING_STATUS=MR","SCALING_FORMAT=MLN","Sort=A","Dates=H","DateFormat=P","Fill=—","Direction=H","UseDPDF=Y")</f>
        <v>120.5</v>
      </c>
      <c r="Y64" s="13">
        <f>_xll.BDH("NBIX US Equity","OTHER_NONCURRENT_LIABS_DETAILED","FQ2 2024","FQ2 2024","Currency=USD","Period=FQ","BEST_FPERIOD_OVERRIDE=FQ","FILING_STATUS=MR","SCALING_FORMAT=MLN","Sort=A","Dates=H","DateFormat=P","Fill=—","Direction=H","UseDPDF=Y")</f>
        <v>141.1</v>
      </c>
      <c r="Z64" s="13">
        <f>_xll.BDH("NBIX US Equity","OTHER_NONCURRENT_LIABS_DETAILED","FQ3 2024","FQ3 2024","Currency=USD","Period=FQ","BEST_FPERIOD_OVERRIDE=FQ","FILING_STATUS=MR","SCALING_FORMAT=MLN","Sort=A","Dates=H","DateFormat=P","Fill=—","Direction=H","UseDPDF=Y")</f>
        <v>135</v>
      </c>
      <c r="AA64" s="13">
        <f>_xll.BDH("NBIX US Equity","OTHER_NONCURRENT_LIABS_DETAILED","FQ4 2024","FQ4 2024","Currency=USD","Period=FQ","BEST_FPERIOD_OVERRIDE=FQ","FILING_STATUS=MR","SCALING_FORMAT=MLN","Sort=A","Dates=H","DateFormat=P","Fill=—","Direction=H","UseDPDF=Y")</f>
        <v>166.2</v>
      </c>
    </row>
    <row r="65" spans="1:27" x14ac:dyDescent="0.25">
      <c r="A65" s="6" t="s">
        <v>770</v>
      </c>
      <c r="B65" s="6" t="s">
        <v>771</v>
      </c>
      <c r="C65" s="19">
        <f>_xll.BDH("NBIX US Equity","NON_CUR_LIAB","FQ4 2018","FQ4 2018","Currency=USD","Period=FQ","BEST_FPERIOD_OVERRIDE=FQ","FILING_STATUS=MR","SCALING_FORMAT=MLN","Sort=A","Dates=H","DateFormat=P","Fill=—","Direction=H","UseDPDF=Y")</f>
        <v>424.15300000000002</v>
      </c>
      <c r="D65" s="19">
        <f>_xll.BDH("NBIX US Equity","NON_CUR_LIAB","FQ1 2019","FQ1 2019","Currency=USD","Period=FQ","BEST_FPERIOD_OVERRIDE=FQ","FILING_STATUS=MR","SCALING_FORMAT=MLN","Sort=A","Dates=H","DateFormat=P","Fill=—","Direction=H","UseDPDF=Y")</f>
        <v>476.44499999999999</v>
      </c>
      <c r="E65" s="19">
        <f>_xll.BDH("NBIX US Equity","NON_CUR_LIAB","FQ2 2019","FQ2 2019","Currency=USD","Period=FQ","BEST_FPERIOD_OVERRIDE=FQ","FILING_STATUS=MR","SCALING_FORMAT=MLN","Sort=A","Dates=H","DateFormat=P","Fill=—","Direction=H","UseDPDF=Y")</f>
        <v>482.56599999999997</v>
      </c>
      <c r="F65" s="19">
        <f>_xll.BDH("NBIX US Equity","NON_CUR_LIAB","FQ3 2019","FQ3 2019","Currency=USD","Period=FQ","BEST_FPERIOD_OVERRIDE=FQ","FILING_STATUS=MR","SCALING_FORMAT=MLN","Sort=A","Dates=H","DateFormat=P","Fill=—","Direction=H","UseDPDF=Y")</f>
        <v>489.76799999999997</v>
      </c>
      <c r="G65" s="19">
        <f>_xll.BDH("NBIX US Equity","NON_CUR_LIAB","FQ4 2019","FQ4 2019","Currency=USD","Period=FQ","BEST_FPERIOD_OVERRIDE=FQ","FILING_STATUS=MR","SCALING_FORMAT=MLN","Sort=A","Dates=H","DateFormat=P","Fill=—","Direction=H","UseDPDF=Y")</f>
        <v>103.8</v>
      </c>
      <c r="H65" s="19">
        <f>_xll.BDH("NBIX US Equity","NON_CUR_LIAB","FQ1 2020","FQ1 2020","Currency=USD","Period=FQ","BEST_FPERIOD_OVERRIDE=FQ","FILING_STATUS=MR","SCALING_FORMAT=MLN","Sort=A","Dates=H","DateFormat=P","Fill=—","Direction=H","UseDPDF=Y")</f>
        <v>521.29999999999995</v>
      </c>
      <c r="I65" s="19">
        <f>_xll.BDH("NBIX US Equity","NON_CUR_LIAB","FQ2 2020","FQ2 2020","Currency=USD","Period=FQ","BEST_FPERIOD_OVERRIDE=FQ","FILING_STATUS=MR","SCALING_FORMAT=MLN","Sort=A","Dates=H","DateFormat=P","Fill=—","Direction=H","UseDPDF=Y")</f>
        <v>111.4</v>
      </c>
      <c r="J65" s="19">
        <f>_xll.BDH("NBIX US Equity","NON_CUR_LIAB","FQ3 2020","FQ3 2020","Currency=USD","Period=FQ","BEST_FPERIOD_OVERRIDE=FQ","FILING_STATUS=MR","SCALING_FORMAT=MLN","Sort=A","Dates=H","DateFormat=P","Fill=—","Direction=H","UseDPDF=Y")</f>
        <v>87.3</v>
      </c>
      <c r="K65" s="19">
        <f>_xll.BDH("NBIX US Equity","NON_CUR_LIAB","FQ4 2020","FQ4 2020","Currency=USD","Period=FQ","BEST_FPERIOD_OVERRIDE=FQ","FILING_STATUS=MR","SCALING_FORMAT=MLN","Sort=A","Dates=H","DateFormat=P","Fill=—","Direction=H","UseDPDF=Y")</f>
        <v>422</v>
      </c>
      <c r="L65" s="19">
        <f>_xll.BDH("NBIX US Equity","NON_CUR_LIAB","FQ1 2021","FQ1 2021","Currency=USD","Period=FQ","BEST_FPERIOD_OVERRIDE=FQ","FILING_STATUS=MR","SCALING_FORMAT=MLN","Sort=A","Dates=H","DateFormat=P","Fill=—","Direction=H","UseDPDF=Y")</f>
        <v>450.8</v>
      </c>
      <c r="M65" s="19">
        <f>_xll.BDH("NBIX US Equity","NON_CUR_LIAB","FQ2 2021","FQ2 2021","Currency=USD","Period=FQ","BEST_FPERIOD_OVERRIDE=FQ","FILING_STATUS=MR","SCALING_FORMAT=MLN","Sort=A","Dates=H","DateFormat=P","Fill=—","Direction=H","UseDPDF=Y")</f>
        <v>464.3</v>
      </c>
      <c r="N65" s="19">
        <f>_xll.BDH("NBIX US Equity","NON_CUR_LIAB","FQ3 2021","FQ3 2021","Currency=USD","Period=FQ","BEST_FPERIOD_OVERRIDE=FQ","FILING_STATUS=MR","SCALING_FORMAT=MLN","Sort=A","Dates=H","DateFormat=P","Fill=—","Direction=H","UseDPDF=Y")</f>
        <v>445.4</v>
      </c>
      <c r="O65" s="19">
        <f>_xll.BDH("NBIX US Equity","NON_CUR_LIAB","FQ4 2021","FQ4 2021","Currency=USD","Period=FQ","BEST_FPERIOD_OVERRIDE=FQ","FILING_STATUS=MR","SCALING_FORMAT=MLN","Sort=A","Dates=H","DateFormat=P","Fill=—","Direction=H","UseDPDF=Y")</f>
        <v>452.7</v>
      </c>
      <c r="P65" s="19">
        <f>_xll.BDH("NBIX US Equity","NON_CUR_LIAB","FQ1 2022","FQ1 2022","Currency=USD","Period=FQ","BEST_FPERIOD_OVERRIDE=FQ","FILING_STATUS=MR","SCALING_FORMAT=MLN","Sort=A","Dates=H","DateFormat=P","Fill=—","Direction=H","UseDPDF=Y")</f>
        <v>499.9</v>
      </c>
      <c r="Q65" s="19">
        <f>_xll.BDH("NBIX US Equity","NON_CUR_LIAB","FQ2 2022","FQ2 2022","Currency=USD","Period=FQ","BEST_FPERIOD_OVERRIDE=FQ","FILING_STATUS=MR","SCALING_FORMAT=MLN","Sort=A","Dates=H","DateFormat=P","Fill=—","Direction=H","UseDPDF=Y")</f>
        <v>296.60000000000002</v>
      </c>
      <c r="R65" s="19">
        <f>_xll.BDH("NBIX US Equity","NON_CUR_LIAB","FQ3 2022","FQ3 2022","Currency=USD","Period=FQ","BEST_FPERIOD_OVERRIDE=FQ","FILING_STATUS=MR","SCALING_FORMAT=MLN","Sort=A","Dates=H","DateFormat=P","Fill=—","Direction=H","UseDPDF=Y")</f>
        <v>113.7</v>
      </c>
      <c r="S65" s="19">
        <f>_xll.BDH("NBIX US Equity","NON_CUR_LIAB","FQ4 2022","FQ4 2022","Currency=USD","Period=FQ","BEST_FPERIOD_OVERRIDE=FQ","FILING_STATUS=MR","SCALING_FORMAT=MLN","Sort=A","Dates=H","DateFormat=P","Fill=—","Direction=H","UseDPDF=Y")</f>
        <v>123.2</v>
      </c>
      <c r="T65" s="19">
        <f>_xll.BDH("NBIX US Equity","NON_CUR_LIAB","FQ1 2023","FQ1 2023","Currency=USD","Period=FQ","BEST_FPERIOD_OVERRIDE=FQ","FILING_STATUS=MR","SCALING_FORMAT=MLN","Sort=A","Dates=H","DateFormat=P","Fill=—","Direction=H","UseDPDF=Y")</f>
        <v>301.2</v>
      </c>
      <c r="U65" s="19">
        <f>_xll.BDH("NBIX US Equity","NON_CUR_LIAB","FQ2 2023","FQ2 2023","Currency=USD","Period=FQ","BEST_FPERIOD_OVERRIDE=FQ","FILING_STATUS=MR","SCALING_FORMAT=MLN","Sort=A","Dates=H","DateFormat=P","Fill=—","Direction=H","UseDPDF=Y")</f>
        <v>177.6</v>
      </c>
      <c r="V65" s="19">
        <f>_xll.BDH("NBIX US Equity","NON_CUR_LIAB","FQ3 2023","FQ3 2023","Currency=USD","Period=FQ","BEST_FPERIOD_OVERRIDE=FQ","FILING_STATUS=MR","SCALING_FORMAT=MLN","Sort=A","Dates=H","DateFormat=P","Fill=—","Direction=H","UseDPDF=Y")</f>
        <v>154.5</v>
      </c>
      <c r="W65" s="19">
        <f>_xll.BDH("NBIX US Equity","NON_CUR_LIAB","FQ4 2023","FQ4 2023","Currency=USD","Period=FQ","BEST_FPERIOD_OVERRIDE=FQ","FILING_STATUS=MR","SCALING_FORMAT=MLN","Sort=A","Dates=H","DateFormat=P","Fill=—","Direction=H","UseDPDF=Y")</f>
        <v>364.6</v>
      </c>
      <c r="X65" s="19">
        <f>_xll.BDH("NBIX US Equity","NON_CUR_LIAB","FQ1 2024","FQ1 2024","Currency=USD","Period=FQ","BEST_FPERIOD_OVERRIDE=FQ","FILING_STATUS=MR","SCALING_FORMAT=MLN","Sort=A","Dates=H","DateFormat=P","Fill=—","Direction=H","UseDPDF=Y")</f>
        <v>373.4</v>
      </c>
      <c r="Y65" s="19">
        <f>_xll.BDH("NBIX US Equity","NON_CUR_LIAB","FQ2 2024","FQ2 2024","Currency=USD","Period=FQ","BEST_FPERIOD_OVERRIDE=FQ","FILING_STATUS=MR","SCALING_FORMAT=MLN","Sort=A","Dates=H","DateFormat=P","Fill=—","Direction=H","UseDPDF=Y")</f>
        <v>397.3</v>
      </c>
      <c r="Z65" s="19">
        <f>_xll.BDH("NBIX US Equity","NON_CUR_LIAB","FQ3 2024","FQ3 2024","Currency=USD","Period=FQ","BEST_FPERIOD_OVERRIDE=FQ","FILING_STATUS=MR","SCALING_FORMAT=MLN","Sort=A","Dates=H","DateFormat=P","Fill=—","Direction=H","UseDPDF=Y")</f>
        <v>386.4</v>
      </c>
      <c r="AA65" s="19">
        <f>_xll.BDH("NBIX US Equity","NON_CUR_LIAB","FQ4 2024","FQ4 2024","Currency=USD","Period=FQ","BEST_FPERIOD_OVERRIDE=FQ","FILING_STATUS=MR","SCALING_FORMAT=MLN","Sort=A","Dates=H","DateFormat=P","Fill=—","Direction=H","UseDPDF=Y")</f>
        <v>621.29999999999995</v>
      </c>
    </row>
    <row r="66" spans="1:27" x14ac:dyDescent="0.25">
      <c r="A66" s="6" t="s">
        <v>116</v>
      </c>
      <c r="B66" s="6" t="s">
        <v>117</v>
      </c>
      <c r="C66" s="19">
        <f>_xll.BDH("NBIX US Equity","BS_TOT_LIAB2","FQ4 2018","FQ4 2018","Currency=USD","Period=FQ","BEST_FPERIOD_OVERRIDE=FQ","FILING_STATUS=MR","SCALING_FORMAT=MLN","Sort=A","Dates=H","DateFormat=P","Fill=—","Direction=H","UseDPDF=Y")</f>
        <v>512.38599999999997</v>
      </c>
      <c r="D66" s="19">
        <f>_xll.BDH("NBIX US Equity","BS_TOT_LIAB2","FQ1 2019","FQ1 2019","Currency=USD","Period=FQ","BEST_FPERIOD_OVERRIDE=FQ","FILING_STATUS=MR","SCALING_FORMAT=MLN","Sort=A","Dates=H","DateFormat=P","Fill=—","Direction=H","UseDPDF=Y")</f>
        <v>548.44799999999998</v>
      </c>
      <c r="E66" s="19">
        <f>_xll.BDH("NBIX US Equity","BS_TOT_LIAB2","FQ2 2019","FQ2 2019","Currency=USD","Period=FQ","BEST_FPERIOD_OVERRIDE=FQ","FILING_STATUS=MR","SCALING_FORMAT=MLN","Sort=A","Dates=H","DateFormat=P","Fill=—","Direction=H","UseDPDF=Y")</f>
        <v>583.15499999999997</v>
      </c>
      <c r="F66" s="19">
        <f>_xll.BDH("NBIX US Equity","BS_TOT_LIAB2","FQ3 2019","FQ3 2019","Currency=USD","Period=FQ","BEST_FPERIOD_OVERRIDE=FQ","FILING_STATUS=MR","SCALING_FORMAT=MLN","Sort=A","Dates=H","DateFormat=P","Fill=—","Direction=H","UseDPDF=Y")</f>
        <v>605.41999999999996</v>
      </c>
      <c r="G66" s="19">
        <f>_xll.BDH("NBIX US Equity","BS_TOT_LIAB2","FQ4 2019","FQ4 2019","Currency=USD","Period=FQ","BEST_FPERIOD_OVERRIDE=FQ","FILING_STATUS=MR","SCALING_FORMAT=MLN","Sort=A","Dates=H","DateFormat=P","Fill=—","Direction=H","UseDPDF=Y")</f>
        <v>669.1</v>
      </c>
      <c r="H66" s="19">
        <f>_xll.BDH("NBIX US Equity","BS_TOT_LIAB2","FQ1 2020","FQ1 2020","Currency=USD","Period=FQ","BEST_FPERIOD_OVERRIDE=FQ","FILING_STATUS=MR","SCALING_FORMAT=MLN","Sort=A","Dates=H","DateFormat=P","Fill=—","Direction=H","UseDPDF=Y")</f>
        <v>661.6</v>
      </c>
      <c r="I66" s="19">
        <f>_xll.BDH("NBIX US Equity","BS_TOT_LIAB2","FQ2 2020","FQ2 2020","Currency=USD","Period=FQ","BEST_FPERIOD_OVERRIDE=FQ","FILING_STATUS=MR","SCALING_FORMAT=MLN","Sort=A","Dates=H","DateFormat=P","Fill=—","Direction=H","UseDPDF=Y")</f>
        <v>684.4</v>
      </c>
      <c r="J66" s="19">
        <f>_xll.BDH("NBIX US Equity","BS_TOT_LIAB2","FQ3 2020","FQ3 2020","Currency=USD","Period=FQ","BEST_FPERIOD_OVERRIDE=FQ","FILING_STATUS=MR","SCALING_FORMAT=MLN","Sort=A","Dates=H","DateFormat=P","Fill=—","Direction=H","UseDPDF=Y")</f>
        <v>698.3</v>
      </c>
      <c r="K66" s="19">
        <f>_xll.BDH("NBIX US Equity","BS_TOT_LIAB2","FQ4 2020","FQ4 2020","Currency=USD","Period=FQ","BEST_FPERIOD_OVERRIDE=FQ","FILING_STATUS=MR","SCALING_FORMAT=MLN","Sort=A","Dates=H","DateFormat=P","Fill=—","Direction=H","UseDPDF=Y")</f>
        <v>608.5</v>
      </c>
      <c r="L66" s="19">
        <f>_xll.BDH("NBIX US Equity","BS_TOT_LIAB2","FQ1 2021","FQ1 2021","Currency=USD","Period=FQ","BEST_FPERIOD_OVERRIDE=FQ","FILING_STATUS=MR","SCALING_FORMAT=MLN","Sort=A","Dates=H","DateFormat=P","Fill=—","Direction=H","UseDPDF=Y")</f>
        <v>640.79999999999995</v>
      </c>
      <c r="M66" s="19">
        <f>_xll.BDH("NBIX US Equity","BS_TOT_LIAB2","FQ2 2021","FQ2 2021","Currency=USD","Period=FQ","BEST_FPERIOD_OVERRIDE=FQ","FILING_STATUS=MR","SCALING_FORMAT=MLN","Sort=A","Dates=H","DateFormat=P","Fill=—","Direction=H","UseDPDF=Y")</f>
        <v>677.2</v>
      </c>
      <c r="N66" s="19">
        <f>_xll.BDH("NBIX US Equity","BS_TOT_LIAB2","FQ3 2021","FQ3 2021","Currency=USD","Period=FQ","BEST_FPERIOD_OVERRIDE=FQ","FILING_STATUS=MR","SCALING_FORMAT=MLN","Sort=A","Dates=H","DateFormat=P","Fill=—","Direction=H","UseDPDF=Y")</f>
        <v>671.3</v>
      </c>
      <c r="O66" s="19">
        <f>_xll.BDH("NBIX US Equity","BS_TOT_LIAB2","FQ4 2021","FQ4 2021","Currency=USD","Period=FQ","BEST_FPERIOD_OVERRIDE=FQ","FILING_STATUS=MR","SCALING_FORMAT=MLN","Sort=A","Dates=H","DateFormat=P","Fill=—","Direction=H","UseDPDF=Y")</f>
        <v>698.5</v>
      </c>
      <c r="P66" s="19">
        <f>_xll.BDH("NBIX US Equity","BS_TOT_LIAB2","FQ1 2022","FQ1 2022","Currency=USD","Period=FQ","BEST_FPERIOD_OVERRIDE=FQ","FILING_STATUS=MR","SCALING_FORMAT=MLN","Sort=A","Dates=H","DateFormat=P","Fill=—","Direction=H","UseDPDF=Y")</f>
        <v>753.4</v>
      </c>
      <c r="Q66" s="19">
        <f>_xll.BDH("NBIX US Equity","BS_TOT_LIAB2","FQ2 2022","FQ2 2022","Currency=USD","Period=FQ","BEST_FPERIOD_OVERRIDE=FQ","FILING_STATUS=MR","SCALING_FORMAT=MLN","Sort=A","Dates=H","DateFormat=P","Fill=—","Direction=H","UseDPDF=Y")</f>
        <v>582.29999999999995</v>
      </c>
      <c r="R66" s="19">
        <f>_xll.BDH("NBIX US Equity","BS_TOT_LIAB2","FQ3 2022","FQ3 2022","Currency=USD","Period=FQ","BEST_FPERIOD_OVERRIDE=FQ","FILING_STATUS=MR","SCALING_FORMAT=MLN","Sort=A","Dates=H","DateFormat=P","Fill=—","Direction=H","UseDPDF=Y")</f>
        <v>598.79999999999995</v>
      </c>
      <c r="S66" s="19">
        <f>_xll.BDH("NBIX US Equity","BS_TOT_LIAB2","FQ4 2022","FQ4 2022","Currency=USD","Period=FQ","BEST_FPERIOD_OVERRIDE=FQ","FILING_STATUS=MR","SCALING_FORMAT=MLN","Sort=A","Dates=H","DateFormat=P","Fill=—","Direction=H","UseDPDF=Y")</f>
        <v>660.9</v>
      </c>
      <c r="T66" s="19">
        <f>_xll.BDH("NBIX US Equity","BS_TOT_LIAB2","FQ1 2023","FQ1 2023","Currency=USD","Period=FQ","BEST_FPERIOD_OVERRIDE=FQ","FILING_STATUS=MR","SCALING_FORMAT=MLN","Sort=A","Dates=H","DateFormat=P","Fill=—","Direction=H","UseDPDF=Y")</f>
        <v>675.3</v>
      </c>
      <c r="U66" s="19">
        <f>_xll.BDH("NBIX US Equity","BS_TOT_LIAB2","FQ2 2023","FQ2 2023","Currency=USD","Period=FQ","BEST_FPERIOD_OVERRIDE=FQ","FILING_STATUS=MR","SCALING_FORMAT=MLN","Sort=A","Dates=H","DateFormat=P","Fill=—","Direction=H","UseDPDF=Y")</f>
        <v>760.1</v>
      </c>
      <c r="V66" s="19">
        <f>_xll.BDH("NBIX US Equity","BS_TOT_LIAB2","FQ3 2023","FQ3 2023","Currency=USD","Period=FQ","BEST_FPERIOD_OVERRIDE=FQ","FILING_STATUS=MR","SCALING_FORMAT=MLN","Sort=A","Dates=H","DateFormat=P","Fill=—","Direction=H","UseDPDF=Y")</f>
        <v>846.1</v>
      </c>
      <c r="W66" s="19">
        <f>_xll.BDH("NBIX US Equity","BS_TOT_LIAB2","FQ4 2023","FQ4 2023","Currency=USD","Period=FQ","BEST_FPERIOD_OVERRIDE=FQ","FILING_STATUS=MR","SCALING_FORMAT=MLN","Sort=A","Dates=H","DateFormat=P","Fill=—","Direction=H","UseDPDF=Y")</f>
        <v>1019.4</v>
      </c>
      <c r="X66" s="19">
        <f>_xll.BDH("NBIX US Equity","BS_TOT_LIAB2","FQ1 2024","FQ1 2024","Currency=USD","Period=FQ","BEST_FPERIOD_OVERRIDE=FQ","FILING_STATUS=MR","SCALING_FORMAT=MLN","Sort=A","Dates=H","DateFormat=P","Fill=—","Direction=H","UseDPDF=Y")</f>
        <v>1086.3</v>
      </c>
      <c r="Y66" s="19">
        <f>_xll.BDH("NBIX US Equity","BS_TOT_LIAB2","FQ2 2024","FQ2 2024","Currency=USD","Period=FQ","BEST_FPERIOD_OVERRIDE=FQ","FILING_STATUS=MR","SCALING_FORMAT=MLN","Sort=A","Dates=H","DateFormat=P","Fill=—","Direction=H","UseDPDF=Y")</f>
        <v>795.8</v>
      </c>
      <c r="Z66" s="19">
        <f>_xll.BDH("NBIX US Equity","BS_TOT_LIAB2","FQ3 2024","FQ3 2024","Currency=USD","Period=FQ","BEST_FPERIOD_OVERRIDE=FQ","FILING_STATUS=MR","SCALING_FORMAT=MLN","Sort=A","Dates=H","DateFormat=P","Fill=—","Direction=H","UseDPDF=Y")</f>
        <v>816.1</v>
      </c>
      <c r="AA66" s="19">
        <f>_xll.BDH("NBIX US Equity","BS_TOT_LIAB2","FQ4 2024","FQ4 2024","Currency=USD","Period=FQ","BEST_FPERIOD_OVERRIDE=FQ","FILING_STATUS=MR","SCALING_FORMAT=MLN","Sort=A","Dates=H","DateFormat=P","Fill=—","Direction=H","UseDPDF=Y")</f>
        <v>1129</v>
      </c>
    </row>
    <row r="67" spans="1:27" x14ac:dyDescent="0.25">
      <c r="A67" s="10" t="s">
        <v>772</v>
      </c>
      <c r="B67" s="10" t="s">
        <v>168</v>
      </c>
      <c r="C67" s="13">
        <f>_xll.BDH("NBIX US Equity","PFD_EQTY_HYBRID_CAPITAL","FQ4 2018","FQ4 2018","Currency=USD","Period=FQ","BEST_FPERIOD_OVERRIDE=FQ","FILING_STATUS=MR","SCALING_FORMAT=MLN","Sort=A","Dates=H","DateFormat=P","Fill=—","Direction=H","UseDPDF=Y")</f>
        <v>0</v>
      </c>
      <c r="D67" s="13">
        <f>_xll.BDH("NBIX US Equity","PFD_EQTY_HYBRID_CAPITAL","FQ1 2019","FQ1 2019","Currency=USD","Period=FQ","BEST_FPERIOD_OVERRIDE=FQ","FILING_STATUS=MR","SCALING_FORMAT=MLN","Sort=A","Dates=H","DateFormat=P","Fill=—","Direction=H","UseDPDF=Y")</f>
        <v>0</v>
      </c>
      <c r="E67" s="13">
        <f>_xll.BDH("NBIX US Equity","PFD_EQTY_HYBRID_CAPITAL","FQ2 2019","FQ2 2019","Currency=USD","Period=FQ","BEST_FPERIOD_OVERRIDE=FQ","FILING_STATUS=MR","SCALING_FORMAT=MLN","Sort=A","Dates=H","DateFormat=P","Fill=—","Direction=H","UseDPDF=Y")</f>
        <v>0</v>
      </c>
      <c r="F67" s="13">
        <f>_xll.BDH("NBIX US Equity","PFD_EQTY_HYBRID_CAPITAL","FQ3 2019","FQ3 2019","Currency=USD","Period=FQ","BEST_FPERIOD_OVERRIDE=FQ","FILING_STATUS=MR","SCALING_FORMAT=MLN","Sort=A","Dates=H","DateFormat=P","Fill=—","Direction=H","UseDPDF=Y")</f>
        <v>0</v>
      </c>
      <c r="G67" s="13">
        <f>_xll.BDH("NBIX US Equity","PFD_EQTY_HYBRID_CAPITAL","FQ4 2019","FQ4 2019","Currency=USD","Period=FQ","BEST_FPERIOD_OVERRIDE=FQ","FILING_STATUS=MR","SCALING_FORMAT=MLN","Sort=A","Dates=H","DateFormat=P","Fill=—","Direction=H","UseDPDF=Y")</f>
        <v>0</v>
      </c>
      <c r="H67" s="13">
        <f>_xll.BDH("NBIX US Equity","PFD_EQTY_HYBRID_CAPITAL","FQ1 2020","FQ1 2020","Currency=USD","Period=FQ","BEST_FPERIOD_OVERRIDE=FQ","FILING_STATUS=MR","SCALING_FORMAT=MLN","Sort=A","Dates=H","DateFormat=P","Fill=—","Direction=H","UseDPDF=Y")</f>
        <v>0</v>
      </c>
      <c r="I67" s="13">
        <f>_xll.BDH("NBIX US Equity","PFD_EQTY_HYBRID_CAPITAL","FQ2 2020","FQ2 2020","Currency=USD","Period=FQ","BEST_FPERIOD_OVERRIDE=FQ","FILING_STATUS=MR","SCALING_FORMAT=MLN","Sort=A","Dates=H","DateFormat=P","Fill=—","Direction=H","UseDPDF=Y")</f>
        <v>0</v>
      </c>
      <c r="J67" s="13">
        <f>_xll.BDH("NBIX US Equity","PFD_EQTY_HYBRID_CAPITAL","FQ3 2020","FQ3 2020","Currency=USD","Period=FQ","BEST_FPERIOD_OVERRIDE=FQ","FILING_STATUS=MR","SCALING_FORMAT=MLN","Sort=A","Dates=H","DateFormat=P","Fill=—","Direction=H","UseDPDF=Y")</f>
        <v>0</v>
      </c>
      <c r="K67" s="13">
        <f>_xll.BDH("NBIX US Equity","PFD_EQTY_HYBRID_CAPITAL","FQ4 2020","FQ4 2020","Currency=USD","Period=FQ","BEST_FPERIOD_OVERRIDE=FQ","FILING_STATUS=MR","SCALING_FORMAT=MLN","Sort=A","Dates=H","DateFormat=P","Fill=—","Direction=H","UseDPDF=Y")</f>
        <v>0</v>
      </c>
      <c r="L67" s="13">
        <f>_xll.BDH("NBIX US Equity","PFD_EQTY_HYBRID_CAPITAL","FQ1 2021","FQ1 2021","Currency=USD","Period=FQ","BEST_FPERIOD_OVERRIDE=FQ","FILING_STATUS=MR","SCALING_FORMAT=MLN","Sort=A","Dates=H","DateFormat=P","Fill=—","Direction=H","UseDPDF=Y")</f>
        <v>0</v>
      </c>
      <c r="M67" s="13">
        <f>_xll.BDH("NBIX US Equity","PFD_EQTY_HYBRID_CAPITAL","FQ2 2021","FQ2 2021","Currency=USD","Period=FQ","BEST_FPERIOD_OVERRIDE=FQ","FILING_STATUS=MR","SCALING_FORMAT=MLN","Sort=A","Dates=H","DateFormat=P","Fill=—","Direction=H","UseDPDF=Y")</f>
        <v>0</v>
      </c>
      <c r="N67" s="13">
        <f>_xll.BDH("NBIX US Equity","PFD_EQTY_HYBRID_CAPITAL","FQ3 2021","FQ3 2021","Currency=USD","Period=FQ","BEST_FPERIOD_OVERRIDE=FQ","FILING_STATUS=MR","SCALING_FORMAT=MLN","Sort=A","Dates=H","DateFormat=P","Fill=—","Direction=H","UseDPDF=Y")</f>
        <v>0</v>
      </c>
      <c r="O67" s="13">
        <f>_xll.BDH("NBIX US Equity","PFD_EQTY_HYBRID_CAPITAL","FQ4 2021","FQ4 2021","Currency=USD","Period=FQ","BEST_FPERIOD_OVERRIDE=FQ","FILING_STATUS=MR","SCALING_FORMAT=MLN","Sort=A","Dates=H","DateFormat=P","Fill=—","Direction=H","UseDPDF=Y")</f>
        <v>0</v>
      </c>
      <c r="P67" s="13">
        <f>_xll.BDH("NBIX US Equity","PFD_EQTY_HYBRID_CAPITAL","FQ1 2022","FQ1 2022","Currency=USD","Period=FQ","BEST_FPERIOD_OVERRIDE=FQ","FILING_STATUS=MR","SCALING_FORMAT=MLN","Sort=A","Dates=H","DateFormat=P","Fill=—","Direction=H","UseDPDF=Y")</f>
        <v>0</v>
      </c>
      <c r="Q67" s="13">
        <f>_xll.BDH("NBIX US Equity","PFD_EQTY_HYBRID_CAPITAL","FQ2 2022","FQ2 2022","Currency=USD","Period=FQ","BEST_FPERIOD_OVERRIDE=FQ","FILING_STATUS=MR","SCALING_FORMAT=MLN","Sort=A","Dates=H","DateFormat=P","Fill=—","Direction=H","UseDPDF=Y")</f>
        <v>0</v>
      </c>
      <c r="R67" s="13">
        <f>_xll.BDH("NBIX US Equity","PFD_EQTY_HYBRID_CAPITAL","FQ3 2022","FQ3 2022","Currency=USD","Period=FQ","BEST_FPERIOD_OVERRIDE=FQ","FILING_STATUS=MR","SCALING_FORMAT=MLN","Sort=A","Dates=H","DateFormat=P","Fill=—","Direction=H","UseDPDF=Y")</f>
        <v>0</v>
      </c>
      <c r="S67" s="13">
        <f>_xll.BDH("NBIX US Equity","PFD_EQTY_HYBRID_CAPITAL","FQ4 2022","FQ4 2022","Currency=USD","Period=FQ","BEST_FPERIOD_OVERRIDE=FQ","FILING_STATUS=MR","SCALING_FORMAT=MLN","Sort=A","Dates=H","DateFormat=P","Fill=—","Direction=H","UseDPDF=Y")</f>
        <v>0</v>
      </c>
      <c r="T67" s="13">
        <f>_xll.BDH("NBIX US Equity","PFD_EQTY_HYBRID_CAPITAL","FQ1 2023","FQ1 2023","Currency=USD","Period=FQ","BEST_FPERIOD_OVERRIDE=FQ","FILING_STATUS=MR","SCALING_FORMAT=MLN","Sort=A","Dates=H","DateFormat=P","Fill=—","Direction=H","UseDPDF=Y")</f>
        <v>0</v>
      </c>
      <c r="U67" s="13">
        <f>_xll.BDH("NBIX US Equity","PFD_EQTY_HYBRID_CAPITAL","FQ2 2023","FQ2 2023","Currency=USD","Period=FQ","BEST_FPERIOD_OVERRIDE=FQ","FILING_STATUS=MR","SCALING_FORMAT=MLN","Sort=A","Dates=H","DateFormat=P","Fill=—","Direction=H","UseDPDF=Y")</f>
        <v>0</v>
      </c>
      <c r="V67" s="13">
        <f>_xll.BDH("NBIX US Equity","PFD_EQTY_HYBRID_CAPITAL","FQ3 2023","FQ3 2023","Currency=USD","Period=FQ","BEST_FPERIOD_OVERRIDE=FQ","FILING_STATUS=MR","SCALING_FORMAT=MLN","Sort=A","Dates=H","DateFormat=P","Fill=—","Direction=H","UseDPDF=Y")</f>
        <v>0</v>
      </c>
      <c r="W67" s="13">
        <f>_xll.BDH("NBIX US Equity","PFD_EQTY_HYBRID_CAPITAL","FQ4 2023","FQ4 2023","Currency=USD","Period=FQ","BEST_FPERIOD_OVERRIDE=FQ","FILING_STATUS=MR","SCALING_FORMAT=MLN","Sort=A","Dates=H","DateFormat=P","Fill=—","Direction=H","UseDPDF=Y")</f>
        <v>0</v>
      </c>
      <c r="X67" s="13">
        <f>_xll.BDH("NBIX US Equity","PFD_EQTY_HYBRID_CAPITAL","FQ1 2024","FQ1 2024","Currency=USD","Period=FQ","BEST_FPERIOD_OVERRIDE=FQ","FILING_STATUS=MR","SCALING_FORMAT=MLN","Sort=A","Dates=H","DateFormat=P","Fill=—","Direction=H","UseDPDF=Y")</f>
        <v>0</v>
      </c>
      <c r="Y67" s="13">
        <f>_xll.BDH("NBIX US Equity","PFD_EQTY_HYBRID_CAPITAL","FQ2 2024","FQ2 2024","Currency=USD","Period=FQ","BEST_FPERIOD_OVERRIDE=FQ","FILING_STATUS=MR","SCALING_FORMAT=MLN","Sort=A","Dates=H","DateFormat=P","Fill=—","Direction=H","UseDPDF=Y")</f>
        <v>0</v>
      </c>
      <c r="Z67" s="13">
        <f>_xll.BDH("NBIX US Equity","PFD_EQTY_HYBRID_CAPITAL","FQ3 2024","FQ3 2024","Currency=USD","Period=FQ","BEST_FPERIOD_OVERRIDE=FQ","FILING_STATUS=MR","SCALING_FORMAT=MLN","Sort=A","Dates=H","DateFormat=P","Fill=—","Direction=H","UseDPDF=Y")</f>
        <v>0</v>
      </c>
      <c r="AA67" s="13">
        <f>_xll.BDH("NBIX US Equity","PFD_EQTY_HYBRID_CAPITAL","FQ4 2024","FQ4 2024","Currency=USD","Period=FQ","BEST_FPERIOD_OVERRIDE=FQ","FILING_STATUS=MR","SCALING_FORMAT=MLN","Sort=A","Dates=H","DateFormat=P","Fill=—","Direction=H","UseDPDF=Y")</f>
        <v>0</v>
      </c>
    </row>
    <row r="68" spans="1:27" x14ac:dyDescent="0.25">
      <c r="A68" s="10" t="s">
        <v>773</v>
      </c>
      <c r="B68" s="10" t="s">
        <v>774</v>
      </c>
      <c r="C68" s="13">
        <f>_xll.BDH("NBIX US Equity","BS_SH_CAP_AND_APIC","FQ4 2018","FQ4 2018","Currency=USD","Period=FQ","BEST_FPERIOD_OVERRIDE=FQ","FILING_STATUS=MR","SCALING_FORMAT=MLN","Sort=A","Dates=H","DateFormat=P","Fill=—","Direction=H","UseDPDF=Y")</f>
        <v>1660.452</v>
      </c>
      <c r="D68" s="13">
        <f>_xll.BDH("NBIX US Equity","BS_SH_CAP_AND_APIC","FQ1 2019","FQ1 2019","Currency=USD","Period=FQ","BEST_FPERIOD_OVERRIDE=FQ","FILING_STATUS=MR","SCALING_FORMAT=MLN","Sort=A","Dates=H","DateFormat=P","Fill=—","Direction=H","UseDPDF=Y")</f>
        <v>1681.335</v>
      </c>
      <c r="E68" s="13">
        <f>_xll.BDH("NBIX US Equity","BS_SH_CAP_AND_APIC","FQ2 2019","FQ2 2019","Currency=USD","Period=FQ","BEST_FPERIOD_OVERRIDE=FQ","FILING_STATUS=MR","SCALING_FORMAT=MLN","Sort=A","Dates=H","DateFormat=P","Fill=—","Direction=H","UseDPDF=Y")</f>
        <v>1703.55</v>
      </c>
      <c r="F68" s="13">
        <f>_xll.BDH("NBIX US Equity","BS_SH_CAP_AND_APIC","FQ3 2019","FQ3 2019","Currency=USD","Period=FQ","BEST_FPERIOD_OVERRIDE=FQ","FILING_STATUS=MR","SCALING_FORMAT=MLN","Sort=A","Dates=H","DateFormat=P","Fill=—","Direction=H","UseDPDF=Y")</f>
        <v>1739.6089999999999</v>
      </c>
      <c r="G68" s="13">
        <f>_xll.BDH("NBIX US Equity","BS_SH_CAP_AND_APIC","FQ4 2019","FQ4 2019","Currency=USD","Period=FQ","BEST_FPERIOD_OVERRIDE=FQ","FILING_STATUS=MR","SCALING_FORMAT=MLN","Sort=A","Dates=H","DateFormat=P","Fill=—","Direction=H","UseDPDF=Y")</f>
        <v>1768.2</v>
      </c>
      <c r="H68" s="13">
        <f>_xll.BDH("NBIX US Equity","BS_SH_CAP_AND_APIC","FQ1 2020","FQ1 2020","Currency=USD","Period=FQ","BEST_FPERIOD_OVERRIDE=FQ","FILING_STATUS=MR","SCALING_FORMAT=MLN","Sort=A","Dates=H","DateFormat=P","Fill=—","Direction=H","UseDPDF=Y")</f>
        <v>1797</v>
      </c>
      <c r="I68" s="13">
        <f>_xll.BDH("NBIX US Equity","BS_SH_CAP_AND_APIC","FQ2 2020","FQ2 2020","Currency=USD","Period=FQ","BEST_FPERIOD_OVERRIDE=FQ","FILING_STATUS=MR","SCALING_FORMAT=MLN","Sort=A","Dates=H","DateFormat=P","Fill=—","Direction=H","UseDPDF=Y")</f>
        <v>1842.3</v>
      </c>
      <c r="J68" s="13">
        <f>_xll.BDH("NBIX US Equity","BS_SH_CAP_AND_APIC","FQ3 2020","FQ3 2020","Currency=USD","Period=FQ","BEST_FPERIOD_OVERRIDE=FQ","FILING_STATUS=MR","SCALING_FORMAT=MLN","Sort=A","Dates=H","DateFormat=P","Fill=—","Direction=H","UseDPDF=Y")</f>
        <v>1874.4</v>
      </c>
      <c r="K68" s="13">
        <f>_xll.BDH("NBIX US Equity","BS_SH_CAP_AND_APIC","FQ4 2020","FQ4 2020","Currency=USD","Period=FQ","BEST_FPERIOD_OVERRIDE=FQ","FILING_STATUS=MR","SCALING_FORMAT=MLN","Sort=A","Dates=H","DateFormat=P","Fill=—","Direction=H","UseDPDF=Y")</f>
        <v>1849.8</v>
      </c>
      <c r="L68" s="13">
        <f>_xll.BDH("NBIX US Equity","BS_SH_CAP_AND_APIC","FQ1 2021","FQ1 2021","Currency=USD","Period=FQ","BEST_FPERIOD_OVERRIDE=FQ","FILING_STATUS=MR","SCALING_FORMAT=MLN","Sort=A","Dates=H","DateFormat=P","Fill=—","Direction=H","UseDPDF=Y")</f>
        <v>1897.9</v>
      </c>
      <c r="M68" s="13">
        <f>_xll.BDH("NBIX US Equity","BS_SH_CAP_AND_APIC","FQ2 2021","FQ2 2021","Currency=USD","Period=FQ","BEST_FPERIOD_OVERRIDE=FQ","FILING_STATUS=MR","SCALING_FORMAT=MLN","Sort=A","Dates=H","DateFormat=P","Fill=—","Direction=H","UseDPDF=Y")</f>
        <v>1929.5</v>
      </c>
      <c r="N68" s="13">
        <f>_xll.BDH("NBIX US Equity","BS_SH_CAP_AND_APIC","FQ3 2021","FQ3 2021","Currency=USD","Period=FQ","BEST_FPERIOD_OVERRIDE=FQ","FILING_STATUS=MR","SCALING_FORMAT=MLN","Sort=A","Dates=H","DateFormat=P","Fill=—","Direction=H","UseDPDF=Y")</f>
        <v>1974.1</v>
      </c>
      <c r="O68" s="13">
        <f>_xll.BDH("NBIX US Equity","BS_SH_CAP_AND_APIC","FQ4 2021","FQ4 2021","Currency=USD","Period=FQ","BEST_FPERIOD_OVERRIDE=FQ","FILING_STATUS=MR","SCALING_FORMAT=MLN","Sort=A","Dates=H","DateFormat=P","Fill=—","Direction=H","UseDPDF=Y")</f>
        <v>2011.5</v>
      </c>
      <c r="P68" s="13">
        <f>_xll.BDH("NBIX US Equity","BS_SH_CAP_AND_APIC","FQ1 2022","FQ1 2022","Currency=USD","Period=FQ","BEST_FPERIOD_OVERRIDE=FQ","FILING_STATUS=MR","SCALING_FORMAT=MLN","Sort=A","Dates=H","DateFormat=P","Fill=—","Direction=H","UseDPDF=Y")</f>
        <v>1947.8</v>
      </c>
      <c r="Q68" s="13">
        <f>_xll.BDH("NBIX US Equity","BS_SH_CAP_AND_APIC","FQ2 2022","FQ2 2022","Currency=USD","Period=FQ","BEST_FPERIOD_OVERRIDE=FQ","FILING_STATUS=MR","SCALING_FORMAT=MLN","Sort=A","Dates=H","DateFormat=P","Fill=—","Direction=H","UseDPDF=Y")</f>
        <v>1999.9</v>
      </c>
      <c r="R68" s="13">
        <f>_xll.BDH("NBIX US Equity","BS_SH_CAP_AND_APIC","FQ3 2022","FQ3 2022","Currency=USD","Period=FQ","BEST_FPERIOD_OVERRIDE=FQ","FILING_STATUS=MR","SCALING_FORMAT=MLN","Sort=A","Dates=H","DateFormat=P","Fill=—","Direction=H","UseDPDF=Y")</f>
        <v>2054.4</v>
      </c>
      <c r="S68" s="13">
        <f>_xll.BDH("NBIX US Equity","BS_SH_CAP_AND_APIC","FQ4 2022","FQ4 2022","Currency=USD","Period=FQ","BEST_FPERIOD_OVERRIDE=FQ","FILING_STATUS=MR","SCALING_FORMAT=MLN","Sort=A","Dates=H","DateFormat=P","Fill=—","Direction=H","UseDPDF=Y")</f>
        <v>2122.5</v>
      </c>
      <c r="T68" s="13">
        <f>_xll.BDH("NBIX US Equity","BS_SH_CAP_AND_APIC","FQ1 2023","FQ1 2023","Currency=USD","Period=FQ","BEST_FPERIOD_OVERRIDE=FQ","FILING_STATUS=MR","SCALING_FORMAT=MLN","Sort=A","Dates=H","DateFormat=P","Fill=—","Direction=H","UseDPDF=Y")</f>
        <v>2170.6</v>
      </c>
      <c r="U68" s="13">
        <f>_xll.BDH("NBIX US Equity","BS_SH_CAP_AND_APIC","FQ2 2023","FQ2 2023","Currency=USD","Period=FQ","BEST_FPERIOD_OVERRIDE=FQ","FILING_STATUS=MR","SCALING_FORMAT=MLN","Sort=A","Dates=H","DateFormat=P","Fill=—","Direction=H","UseDPDF=Y")</f>
        <v>2242</v>
      </c>
      <c r="V68" s="13">
        <f>_xll.BDH("NBIX US Equity","BS_SH_CAP_AND_APIC","FQ3 2023","FQ3 2023","Currency=USD","Period=FQ","BEST_FPERIOD_OVERRIDE=FQ","FILING_STATUS=MR","SCALING_FORMAT=MLN","Sort=A","Dates=H","DateFormat=P","Fill=—","Direction=H","UseDPDF=Y")</f>
        <v>2308.6</v>
      </c>
      <c r="W68" s="13">
        <f>_xll.BDH("NBIX US Equity","BS_SH_CAP_AND_APIC","FQ4 2023","FQ4 2023","Currency=USD","Period=FQ","BEST_FPERIOD_OVERRIDE=FQ","FILING_STATUS=MR","SCALING_FORMAT=MLN","Sort=A","Dates=H","DateFormat=P","Fill=—","Direction=H","UseDPDF=Y")</f>
        <v>2382.1</v>
      </c>
      <c r="X68" s="13">
        <f>_xll.BDH("NBIX US Equity","BS_SH_CAP_AND_APIC","FQ1 2024","FQ1 2024","Currency=USD","Period=FQ","BEST_FPERIOD_OVERRIDE=FQ","FILING_STATUS=MR","SCALING_FORMAT=MLN","Sort=A","Dates=H","DateFormat=P","Fill=—","Direction=H","UseDPDF=Y")</f>
        <v>2496.5</v>
      </c>
      <c r="Y68" s="13">
        <f>_xll.BDH("NBIX US Equity","BS_SH_CAP_AND_APIC","FQ2 2024","FQ2 2024","Currency=USD","Period=FQ","BEST_FPERIOD_OVERRIDE=FQ","FILING_STATUS=MR","SCALING_FORMAT=MLN","Sort=A","Dates=H","DateFormat=P","Fill=—","Direction=H","UseDPDF=Y")</f>
        <v>2555.4</v>
      </c>
      <c r="Z68" s="13">
        <f>_xll.BDH("NBIX US Equity","BS_SH_CAP_AND_APIC","FQ3 2024","FQ3 2024","Currency=USD","Period=FQ","BEST_FPERIOD_OVERRIDE=FQ","FILING_STATUS=MR","SCALING_FORMAT=MLN","Sort=A","Dates=H","DateFormat=P","Fill=—","Direction=H","UseDPDF=Y")</f>
        <v>2623.3</v>
      </c>
      <c r="AA68" s="13">
        <f>_xll.BDH("NBIX US Equity","BS_SH_CAP_AND_APIC","FQ4 2024","FQ4 2024","Currency=USD","Period=FQ","BEST_FPERIOD_OVERRIDE=FQ","FILING_STATUS=MR","SCALING_FORMAT=MLN","Sort=A","Dates=H","DateFormat=P","Fill=—","Direction=H","UseDPDF=Y")</f>
        <v>2554.6999999999998</v>
      </c>
    </row>
    <row r="69" spans="1:27" x14ac:dyDescent="0.25">
      <c r="A69" s="10" t="s">
        <v>775</v>
      </c>
      <c r="B69" s="10" t="s">
        <v>776</v>
      </c>
      <c r="C69" s="13">
        <f>_xll.BDH("NBIX US Equity","BS_COMMON_STOCK","FQ4 2018","FQ4 2018","Currency=USD","Period=FQ","BEST_FPERIOD_OVERRIDE=FQ","FILING_STATUS=MR","SCALING_FORMAT=MLN","Sort=A","Dates=H","DateFormat=P","Fill=—","Direction=H","UseDPDF=Y")</f>
        <v>9.0999999999999998E-2</v>
      </c>
      <c r="D69" s="13">
        <f>_xll.BDH("NBIX US Equity","BS_COMMON_STOCK","FQ1 2019","FQ1 2019","Currency=USD","Period=FQ","BEST_FPERIOD_OVERRIDE=FQ","FILING_STATUS=MR","SCALING_FORMAT=MLN","Sort=A","Dates=H","DateFormat=P","Fill=—","Direction=H","UseDPDF=Y")</f>
        <v>9.0999999999999998E-2</v>
      </c>
      <c r="E69" s="13">
        <f>_xll.BDH("NBIX US Equity","BS_COMMON_STOCK","FQ2 2019","FQ2 2019","Currency=USD","Period=FQ","BEST_FPERIOD_OVERRIDE=FQ","FILING_STATUS=MR","SCALING_FORMAT=MLN","Sort=A","Dates=H","DateFormat=P","Fill=—","Direction=H","UseDPDF=Y")</f>
        <v>9.1999999999999998E-2</v>
      </c>
      <c r="F69" s="13">
        <f>_xll.BDH("NBIX US Equity","BS_COMMON_STOCK","FQ3 2019","FQ3 2019","Currency=USD","Period=FQ","BEST_FPERIOD_OVERRIDE=FQ","FILING_STATUS=MR","SCALING_FORMAT=MLN","Sort=A","Dates=H","DateFormat=P","Fill=—","Direction=H","UseDPDF=Y")</f>
        <v>9.1999999999999998E-2</v>
      </c>
      <c r="G69" s="13">
        <f>_xll.BDH("NBIX US Equity","BS_COMMON_STOCK","FQ4 2019","FQ4 2019","Currency=USD","Period=FQ","BEST_FPERIOD_OVERRIDE=FQ","FILING_STATUS=MR","SCALING_FORMAT=MLN","Sort=A","Dates=H","DateFormat=P","Fill=—","Direction=H","UseDPDF=Y")</f>
        <v>0.1</v>
      </c>
      <c r="H69" s="13">
        <f>_xll.BDH("NBIX US Equity","BS_COMMON_STOCK","FQ1 2020","FQ1 2020","Currency=USD","Period=FQ","BEST_FPERIOD_OVERRIDE=FQ","FILING_STATUS=MR","SCALING_FORMAT=MLN","Sort=A","Dates=H","DateFormat=P","Fill=—","Direction=H","UseDPDF=Y")</f>
        <v>0.1</v>
      </c>
      <c r="I69" s="13">
        <f>_xll.BDH("NBIX US Equity","BS_COMMON_STOCK","FQ2 2020","FQ2 2020","Currency=USD","Period=FQ","BEST_FPERIOD_OVERRIDE=FQ","FILING_STATUS=MR","SCALING_FORMAT=MLN","Sort=A","Dates=H","DateFormat=P","Fill=—","Direction=H","UseDPDF=Y")</f>
        <v>0.1</v>
      </c>
      <c r="J69" s="13">
        <f>_xll.BDH("NBIX US Equity","BS_COMMON_STOCK","FQ3 2020","FQ3 2020","Currency=USD","Period=FQ","BEST_FPERIOD_OVERRIDE=FQ","FILING_STATUS=MR","SCALING_FORMAT=MLN","Sort=A","Dates=H","DateFormat=P","Fill=—","Direction=H","UseDPDF=Y")</f>
        <v>0.1</v>
      </c>
      <c r="K69" s="13">
        <f>_xll.BDH("NBIX US Equity","BS_COMMON_STOCK","FQ4 2020","FQ4 2020","Currency=USD","Period=FQ","BEST_FPERIOD_OVERRIDE=FQ","FILING_STATUS=MR","SCALING_FORMAT=MLN","Sort=A","Dates=H","DateFormat=P","Fill=—","Direction=H","UseDPDF=Y")</f>
        <v>0.1</v>
      </c>
      <c r="L69" s="13">
        <f>_xll.BDH("NBIX US Equity","BS_COMMON_STOCK","FQ1 2021","FQ1 2021","Currency=USD","Period=FQ","BEST_FPERIOD_OVERRIDE=FQ","FILING_STATUS=MR","SCALING_FORMAT=MLN","Sort=A","Dates=H","DateFormat=P","Fill=—","Direction=H","UseDPDF=Y")</f>
        <v>0.1</v>
      </c>
      <c r="M69" s="13">
        <f>_xll.BDH("NBIX US Equity","BS_COMMON_STOCK","FQ2 2021","FQ2 2021","Currency=USD","Period=FQ","BEST_FPERIOD_OVERRIDE=FQ","FILING_STATUS=MR","SCALING_FORMAT=MLN","Sort=A","Dates=H","DateFormat=P","Fill=—","Direction=H","UseDPDF=Y")</f>
        <v>0.1</v>
      </c>
      <c r="N69" s="13">
        <f>_xll.BDH("NBIX US Equity","BS_COMMON_STOCK","FQ3 2021","FQ3 2021","Currency=USD","Period=FQ","BEST_FPERIOD_OVERRIDE=FQ","FILING_STATUS=MR","SCALING_FORMAT=MLN","Sort=A","Dates=H","DateFormat=P","Fill=—","Direction=H","UseDPDF=Y")</f>
        <v>0.1</v>
      </c>
      <c r="O69" s="13">
        <f>_xll.BDH("NBIX US Equity","BS_COMMON_STOCK","FQ4 2021","FQ4 2021","Currency=USD","Period=FQ","BEST_FPERIOD_OVERRIDE=FQ","FILING_STATUS=MR","SCALING_FORMAT=MLN","Sort=A","Dates=H","DateFormat=P","Fill=—","Direction=H","UseDPDF=Y")</f>
        <v>0.1</v>
      </c>
      <c r="P69" s="13">
        <f>_xll.BDH("NBIX US Equity","BS_COMMON_STOCK","FQ1 2022","FQ1 2022","Currency=USD","Period=FQ","BEST_FPERIOD_OVERRIDE=FQ","FILING_STATUS=MR","SCALING_FORMAT=MLN","Sort=A","Dates=H","DateFormat=P","Fill=—","Direction=H","UseDPDF=Y")</f>
        <v>0.1</v>
      </c>
      <c r="Q69" s="13">
        <f>_xll.BDH("NBIX US Equity","BS_COMMON_STOCK","FQ2 2022","FQ2 2022","Currency=USD","Period=FQ","BEST_FPERIOD_OVERRIDE=FQ","FILING_STATUS=MR","SCALING_FORMAT=MLN","Sort=A","Dates=H","DateFormat=P","Fill=—","Direction=H","UseDPDF=Y")</f>
        <v>0.1</v>
      </c>
      <c r="R69" s="13">
        <f>_xll.BDH("NBIX US Equity","BS_COMMON_STOCK","FQ3 2022","FQ3 2022","Currency=USD","Period=FQ","BEST_FPERIOD_OVERRIDE=FQ","FILING_STATUS=MR","SCALING_FORMAT=MLN","Sort=A","Dates=H","DateFormat=P","Fill=—","Direction=H","UseDPDF=Y")</f>
        <v>0.1</v>
      </c>
      <c r="S69" s="13">
        <f>_xll.BDH("NBIX US Equity","BS_COMMON_STOCK","FQ4 2022","FQ4 2022","Currency=USD","Period=FQ","BEST_FPERIOD_OVERRIDE=FQ","FILING_STATUS=MR","SCALING_FORMAT=MLN","Sort=A","Dates=H","DateFormat=P","Fill=—","Direction=H","UseDPDF=Y")</f>
        <v>0.1</v>
      </c>
      <c r="T69" s="13">
        <f>_xll.BDH("NBIX US Equity","BS_COMMON_STOCK","FQ1 2023","FQ1 2023","Currency=USD","Period=FQ","BEST_FPERIOD_OVERRIDE=FQ","FILING_STATUS=MR","SCALING_FORMAT=MLN","Sort=A","Dates=H","DateFormat=P","Fill=—","Direction=H","UseDPDF=Y")</f>
        <v>0.1</v>
      </c>
      <c r="U69" s="13">
        <f>_xll.BDH("NBIX US Equity","BS_COMMON_STOCK","FQ2 2023","FQ2 2023","Currency=USD","Period=FQ","BEST_FPERIOD_OVERRIDE=FQ","FILING_STATUS=MR","SCALING_FORMAT=MLN","Sort=A","Dates=H","DateFormat=P","Fill=—","Direction=H","UseDPDF=Y")</f>
        <v>0.1</v>
      </c>
      <c r="V69" s="13">
        <f>_xll.BDH("NBIX US Equity","BS_COMMON_STOCK","FQ3 2023","FQ3 2023","Currency=USD","Period=FQ","BEST_FPERIOD_OVERRIDE=FQ","FILING_STATUS=MR","SCALING_FORMAT=MLN","Sort=A","Dates=H","DateFormat=P","Fill=—","Direction=H","UseDPDF=Y")</f>
        <v>0.1</v>
      </c>
      <c r="W69" s="13">
        <f>_xll.BDH("NBIX US Equity","BS_COMMON_STOCK","FQ4 2023","FQ4 2023","Currency=USD","Period=FQ","BEST_FPERIOD_OVERRIDE=FQ","FILING_STATUS=MR","SCALING_FORMAT=MLN","Sort=A","Dates=H","DateFormat=P","Fill=—","Direction=H","UseDPDF=Y")</f>
        <v>0.1</v>
      </c>
      <c r="X69" s="13">
        <f>_xll.BDH("NBIX US Equity","BS_COMMON_STOCK","FQ1 2024","FQ1 2024","Currency=USD","Period=FQ","BEST_FPERIOD_OVERRIDE=FQ","FILING_STATUS=MR","SCALING_FORMAT=MLN","Sort=A","Dates=H","DateFormat=P","Fill=—","Direction=H","UseDPDF=Y")</f>
        <v>0.1</v>
      </c>
      <c r="Y69" s="13">
        <f>_xll.BDH("NBIX US Equity","BS_COMMON_STOCK","FQ2 2024","FQ2 2024","Currency=USD","Period=FQ","BEST_FPERIOD_OVERRIDE=FQ","FILING_STATUS=MR","SCALING_FORMAT=MLN","Sort=A","Dates=H","DateFormat=P","Fill=—","Direction=H","UseDPDF=Y")</f>
        <v>0.1</v>
      </c>
      <c r="Z69" s="13">
        <f>_xll.BDH("NBIX US Equity","BS_COMMON_STOCK","FQ3 2024","FQ3 2024","Currency=USD","Period=FQ","BEST_FPERIOD_OVERRIDE=FQ","FILING_STATUS=MR","SCALING_FORMAT=MLN","Sort=A","Dates=H","DateFormat=P","Fill=—","Direction=H","UseDPDF=Y")</f>
        <v>0.1</v>
      </c>
      <c r="AA69" s="13">
        <f>_xll.BDH("NBIX US Equity","BS_COMMON_STOCK","FQ4 2024","FQ4 2024","Currency=USD","Period=FQ","BEST_FPERIOD_OVERRIDE=FQ","FILING_STATUS=MR","SCALING_FORMAT=MLN","Sort=A","Dates=H","DateFormat=P","Fill=—","Direction=H","UseDPDF=Y")</f>
        <v>0.1</v>
      </c>
    </row>
    <row r="70" spans="1:27" x14ac:dyDescent="0.25">
      <c r="A70" s="10" t="s">
        <v>777</v>
      </c>
      <c r="B70" s="10" t="s">
        <v>778</v>
      </c>
      <c r="C70" s="13">
        <f>_xll.BDH("NBIX US Equity","BS_ADD_PAID_IN_CAP","FQ4 2018","FQ4 2018","Currency=USD","Period=FQ","BEST_FPERIOD_OVERRIDE=FQ","FILING_STATUS=MR","SCALING_FORMAT=MLN","Sort=A","Dates=H","DateFormat=P","Fill=—","Direction=H","UseDPDF=Y")</f>
        <v>1660.3610000000001</v>
      </c>
      <c r="D70" s="13">
        <f>_xll.BDH("NBIX US Equity","BS_ADD_PAID_IN_CAP","FQ1 2019","FQ1 2019","Currency=USD","Period=FQ","BEST_FPERIOD_OVERRIDE=FQ","FILING_STATUS=MR","SCALING_FORMAT=MLN","Sort=A","Dates=H","DateFormat=P","Fill=—","Direction=H","UseDPDF=Y")</f>
        <v>1681.2439999999999</v>
      </c>
      <c r="E70" s="13">
        <f>_xll.BDH("NBIX US Equity","BS_ADD_PAID_IN_CAP","FQ2 2019","FQ2 2019","Currency=USD","Period=FQ","BEST_FPERIOD_OVERRIDE=FQ","FILING_STATUS=MR","SCALING_FORMAT=MLN","Sort=A","Dates=H","DateFormat=P","Fill=—","Direction=H","UseDPDF=Y")</f>
        <v>1703.4580000000001</v>
      </c>
      <c r="F70" s="13">
        <f>_xll.BDH("NBIX US Equity","BS_ADD_PAID_IN_CAP","FQ3 2019","FQ3 2019","Currency=USD","Period=FQ","BEST_FPERIOD_OVERRIDE=FQ","FILING_STATUS=MR","SCALING_FORMAT=MLN","Sort=A","Dates=H","DateFormat=P","Fill=—","Direction=H","UseDPDF=Y")</f>
        <v>1739.5170000000001</v>
      </c>
      <c r="G70" s="13">
        <f>_xll.BDH("NBIX US Equity","BS_ADD_PAID_IN_CAP","FQ4 2019","FQ4 2019","Currency=USD","Period=FQ","BEST_FPERIOD_OVERRIDE=FQ","FILING_STATUS=MR","SCALING_FORMAT=MLN","Sort=A","Dates=H","DateFormat=P","Fill=—","Direction=H","UseDPDF=Y")</f>
        <v>1768.1</v>
      </c>
      <c r="H70" s="13">
        <f>_xll.BDH("NBIX US Equity","BS_ADD_PAID_IN_CAP","FQ1 2020","FQ1 2020","Currency=USD","Period=FQ","BEST_FPERIOD_OVERRIDE=FQ","FILING_STATUS=MR","SCALING_FORMAT=MLN","Sort=A","Dates=H","DateFormat=P","Fill=—","Direction=H","UseDPDF=Y")</f>
        <v>1796.9</v>
      </c>
      <c r="I70" s="13">
        <f>_xll.BDH("NBIX US Equity","BS_ADD_PAID_IN_CAP","FQ2 2020","FQ2 2020","Currency=USD","Period=FQ","BEST_FPERIOD_OVERRIDE=FQ","FILING_STATUS=MR","SCALING_FORMAT=MLN","Sort=A","Dates=H","DateFormat=P","Fill=—","Direction=H","UseDPDF=Y")</f>
        <v>1842.2</v>
      </c>
      <c r="J70" s="13">
        <f>_xll.BDH("NBIX US Equity","BS_ADD_PAID_IN_CAP","FQ3 2020","FQ3 2020","Currency=USD","Period=FQ","BEST_FPERIOD_OVERRIDE=FQ","FILING_STATUS=MR","SCALING_FORMAT=MLN","Sort=A","Dates=H","DateFormat=P","Fill=—","Direction=H","UseDPDF=Y")</f>
        <v>1874.3</v>
      </c>
      <c r="K70" s="13">
        <f>_xll.BDH("NBIX US Equity","BS_ADD_PAID_IN_CAP","FQ4 2020","FQ4 2020","Currency=USD","Period=FQ","BEST_FPERIOD_OVERRIDE=FQ","FILING_STATUS=MR","SCALING_FORMAT=MLN","Sort=A","Dates=H","DateFormat=P","Fill=—","Direction=H","UseDPDF=Y")</f>
        <v>1849.7</v>
      </c>
      <c r="L70" s="13">
        <f>_xll.BDH("NBIX US Equity","BS_ADD_PAID_IN_CAP","FQ1 2021","FQ1 2021","Currency=USD","Period=FQ","BEST_FPERIOD_OVERRIDE=FQ","FILING_STATUS=MR","SCALING_FORMAT=MLN","Sort=A","Dates=H","DateFormat=P","Fill=—","Direction=H","UseDPDF=Y")</f>
        <v>1897.8</v>
      </c>
      <c r="M70" s="13">
        <f>_xll.BDH("NBIX US Equity","BS_ADD_PAID_IN_CAP","FQ2 2021","FQ2 2021","Currency=USD","Period=FQ","BEST_FPERIOD_OVERRIDE=FQ","FILING_STATUS=MR","SCALING_FORMAT=MLN","Sort=A","Dates=H","DateFormat=P","Fill=—","Direction=H","UseDPDF=Y")</f>
        <v>1929.4</v>
      </c>
      <c r="N70" s="13">
        <f>_xll.BDH("NBIX US Equity","BS_ADD_PAID_IN_CAP","FQ3 2021","FQ3 2021","Currency=USD","Period=FQ","BEST_FPERIOD_OVERRIDE=FQ","FILING_STATUS=MR","SCALING_FORMAT=MLN","Sort=A","Dates=H","DateFormat=P","Fill=—","Direction=H","UseDPDF=Y")</f>
        <v>1974</v>
      </c>
      <c r="O70" s="13">
        <f>_xll.BDH("NBIX US Equity","BS_ADD_PAID_IN_CAP","FQ4 2021","FQ4 2021","Currency=USD","Period=FQ","BEST_FPERIOD_OVERRIDE=FQ","FILING_STATUS=MR","SCALING_FORMAT=MLN","Sort=A","Dates=H","DateFormat=P","Fill=—","Direction=H","UseDPDF=Y")</f>
        <v>2011.4</v>
      </c>
      <c r="P70" s="13">
        <f>_xll.BDH("NBIX US Equity","BS_ADD_PAID_IN_CAP","FQ1 2022","FQ1 2022","Currency=USD","Period=FQ","BEST_FPERIOD_OVERRIDE=FQ","FILING_STATUS=MR","SCALING_FORMAT=MLN","Sort=A","Dates=H","DateFormat=P","Fill=—","Direction=H","UseDPDF=Y")</f>
        <v>1947.7</v>
      </c>
      <c r="Q70" s="13">
        <f>_xll.BDH("NBIX US Equity","BS_ADD_PAID_IN_CAP","FQ2 2022","FQ2 2022","Currency=USD","Period=FQ","BEST_FPERIOD_OVERRIDE=FQ","FILING_STATUS=MR","SCALING_FORMAT=MLN","Sort=A","Dates=H","DateFormat=P","Fill=—","Direction=H","UseDPDF=Y")</f>
        <v>1999.8</v>
      </c>
      <c r="R70" s="13">
        <f>_xll.BDH("NBIX US Equity","BS_ADD_PAID_IN_CAP","FQ3 2022","FQ3 2022","Currency=USD","Period=FQ","BEST_FPERIOD_OVERRIDE=FQ","FILING_STATUS=MR","SCALING_FORMAT=MLN","Sort=A","Dates=H","DateFormat=P","Fill=—","Direction=H","UseDPDF=Y")</f>
        <v>2054.3000000000002</v>
      </c>
      <c r="S70" s="13">
        <f>_xll.BDH("NBIX US Equity","BS_ADD_PAID_IN_CAP","FQ4 2022","FQ4 2022","Currency=USD","Period=FQ","BEST_FPERIOD_OVERRIDE=FQ","FILING_STATUS=MR","SCALING_FORMAT=MLN","Sort=A","Dates=H","DateFormat=P","Fill=—","Direction=H","UseDPDF=Y")</f>
        <v>2122.4</v>
      </c>
      <c r="T70" s="13">
        <f>_xll.BDH("NBIX US Equity","BS_ADD_PAID_IN_CAP","FQ1 2023","FQ1 2023","Currency=USD","Period=FQ","BEST_FPERIOD_OVERRIDE=FQ","FILING_STATUS=MR","SCALING_FORMAT=MLN","Sort=A","Dates=H","DateFormat=P","Fill=—","Direction=H","UseDPDF=Y")</f>
        <v>2170.5</v>
      </c>
      <c r="U70" s="13">
        <f>_xll.BDH("NBIX US Equity","BS_ADD_PAID_IN_CAP","FQ2 2023","FQ2 2023","Currency=USD","Period=FQ","BEST_FPERIOD_OVERRIDE=FQ","FILING_STATUS=MR","SCALING_FORMAT=MLN","Sort=A","Dates=H","DateFormat=P","Fill=—","Direction=H","UseDPDF=Y")</f>
        <v>2241.9</v>
      </c>
      <c r="V70" s="13">
        <f>_xll.BDH("NBIX US Equity","BS_ADD_PAID_IN_CAP","FQ3 2023","FQ3 2023","Currency=USD","Period=FQ","BEST_FPERIOD_OVERRIDE=FQ","FILING_STATUS=MR","SCALING_FORMAT=MLN","Sort=A","Dates=H","DateFormat=P","Fill=—","Direction=H","UseDPDF=Y")</f>
        <v>2308.5</v>
      </c>
      <c r="W70" s="13">
        <f>_xll.BDH("NBIX US Equity","BS_ADD_PAID_IN_CAP","FQ4 2023","FQ4 2023","Currency=USD","Period=FQ","BEST_FPERIOD_OVERRIDE=FQ","FILING_STATUS=MR","SCALING_FORMAT=MLN","Sort=A","Dates=H","DateFormat=P","Fill=—","Direction=H","UseDPDF=Y")</f>
        <v>2382</v>
      </c>
      <c r="X70" s="13">
        <f>_xll.BDH("NBIX US Equity","BS_ADD_PAID_IN_CAP","FQ1 2024","FQ1 2024","Currency=USD","Period=FQ","BEST_FPERIOD_OVERRIDE=FQ","FILING_STATUS=MR","SCALING_FORMAT=MLN","Sort=A","Dates=H","DateFormat=P","Fill=—","Direction=H","UseDPDF=Y")</f>
        <v>2496.4</v>
      </c>
      <c r="Y70" s="13">
        <f>_xll.BDH("NBIX US Equity","BS_ADD_PAID_IN_CAP","FQ2 2024","FQ2 2024","Currency=USD","Period=FQ","BEST_FPERIOD_OVERRIDE=FQ","FILING_STATUS=MR","SCALING_FORMAT=MLN","Sort=A","Dates=H","DateFormat=P","Fill=—","Direction=H","UseDPDF=Y")</f>
        <v>2555.3000000000002</v>
      </c>
      <c r="Z70" s="13">
        <f>_xll.BDH("NBIX US Equity","BS_ADD_PAID_IN_CAP","FQ3 2024","FQ3 2024","Currency=USD","Period=FQ","BEST_FPERIOD_OVERRIDE=FQ","FILING_STATUS=MR","SCALING_FORMAT=MLN","Sort=A","Dates=H","DateFormat=P","Fill=—","Direction=H","UseDPDF=Y")</f>
        <v>2623.2</v>
      </c>
      <c r="AA70" s="13">
        <f>_xll.BDH("NBIX US Equity","BS_ADD_PAID_IN_CAP","FQ4 2024","FQ4 2024","Currency=USD","Period=FQ","BEST_FPERIOD_OVERRIDE=FQ","FILING_STATUS=MR","SCALING_FORMAT=MLN","Sort=A","Dates=H","DateFormat=P","Fill=—","Direction=H","UseDPDF=Y")</f>
        <v>2554.6</v>
      </c>
    </row>
    <row r="71" spans="1:27" x14ac:dyDescent="0.25">
      <c r="A71" s="10" t="s">
        <v>779</v>
      </c>
      <c r="B71" s="10" t="s">
        <v>780</v>
      </c>
      <c r="C71" s="13">
        <f>_xll.BDH("NBIX US Equity","BS_AMT_OF_TSY_STOCK","FQ4 2018","FQ4 2018","Currency=USD","Period=FQ","BEST_FPERIOD_OVERRIDE=FQ","FILING_STATUS=MR","SCALING_FORMAT=MLN","Sort=A","Dates=H","DateFormat=P","Fill=—","Direction=H","UseDPDF=Y")</f>
        <v>0</v>
      </c>
      <c r="D71" s="13">
        <f>_xll.BDH("NBIX US Equity","BS_AMT_OF_TSY_STOCK","FQ1 2019","FQ1 2019","Currency=USD","Period=FQ","BEST_FPERIOD_OVERRIDE=FQ","FILING_STATUS=MR","SCALING_FORMAT=MLN","Sort=A","Dates=H","DateFormat=P","Fill=—","Direction=H","UseDPDF=Y")</f>
        <v>0</v>
      </c>
      <c r="E71" s="13">
        <f>_xll.BDH("NBIX US Equity","BS_AMT_OF_TSY_STOCK","FQ2 2019","FQ2 2019","Currency=USD","Period=FQ","BEST_FPERIOD_OVERRIDE=FQ","FILING_STATUS=MR","SCALING_FORMAT=MLN","Sort=A","Dates=H","DateFormat=P","Fill=—","Direction=H","UseDPDF=Y")</f>
        <v>0</v>
      </c>
      <c r="F71" s="13">
        <f>_xll.BDH("NBIX US Equity","BS_AMT_OF_TSY_STOCK","FQ3 2019","FQ3 2019","Currency=USD","Period=FQ","BEST_FPERIOD_OVERRIDE=FQ","FILING_STATUS=MR","SCALING_FORMAT=MLN","Sort=A","Dates=H","DateFormat=P","Fill=—","Direction=H","UseDPDF=Y")</f>
        <v>0</v>
      </c>
      <c r="G71" s="13">
        <f>_xll.BDH("NBIX US Equity","BS_AMT_OF_TSY_STOCK","FQ4 2019","FQ4 2019","Currency=USD","Period=FQ","BEST_FPERIOD_OVERRIDE=FQ","FILING_STATUS=MR","SCALING_FORMAT=MLN","Sort=A","Dates=H","DateFormat=P","Fill=—","Direction=H","UseDPDF=Y")</f>
        <v>0</v>
      </c>
      <c r="H71" s="13">
        <f>_xll.BDH("NBIX US Equity","BS_AMT_OF_TSY_STOCK","FQ1 2020","FQ1 2020","Currency=USD","Period=FQ","BEST_FPERIOD_OVERRIDE=FQ","FILING_STATUS=MR","SCALING_FORMAT=MLN","Sort=A","Dates=H","DateFormat=P","Fill=—","Direction=H","UseDPDF=Y")</f>
        <v>0</v>
      </c>
      <c r="I71" s="13">
        <f>_xll.BDH("NBIX US Equity","BS_AMT_OF_TSY_STOCK","FQ2 2020","FQ2 2020","Currency=USD","Period=FQ","BEST_FPERIOD_OVERRIDE=FQ","FILING_STATUS=MR","SCALING_FORMAT=MLN","Sort=A","Dates=H","DateFormat=P","Fill=—","Direction=H","UseDPDF=Y")</f>
        <v>0</v>
      </c>
      <c r="J71" s="13">
        <f>_xll.BDH("NBIX US Equity","BS_AMT_OF_TSY_STOCK","FQ3 2020","FQ3 2020","Currency=USD","Period=FQ","BEST_FPERIOD_OVERRIDE=FQ","FILING_STATUS=MR","SCALING_FORMAT=MLN","Sort=A","Dates=H","DateFormat=P","Fill=—","Direction=H","UseDPDF=Y")</f>
        <v>0</v>
      </c>
      <c r="K71" s="13">
        <f>_xll.BDH("NBIX US Equity","BS_AMT_OF_TSY_STOCK","FQ4 2020","FQ4 2020","Currency=USD","Period=FQ","BEST_FPERIOD_OVERRIDE=FQ","FILING_STATUS=MR","SCALING_FORMAT=MLN","Sort=A","Dates=H","DateFormat=P","Fill=—","Direction=H","UseDPDF=Y")</f>
        <v>0</v>
      </c>
      <c r="L71" s="13">
        <f>_xll.BDH("NBIX US Equity","BS_AMT_OF_TSY_STOCK","FQ1 2021","FQ1 2021","Currency=USD","Period=FQ","BEST_FPERIOD_OVERRIDE=FQ","FILING_STATUS=MR","SCALING_FORMAT=MLN","Sort=A","Dates=H","DateFormat=P","Fill=—","Direction=H","UseDPDF=Y")</f>
        <v>0</v>
      </c>
      <c r="M71" s="13">
        <f>_xll.BDH("NBIX US Equity","BS_AMT_OF_TSY_STOCK","FQ2 2021","FQ2 2021","Currency=USD","Period=FQ","BEST_FPERIOD_OVERRIDE=FQ","FILING_STATUS=MR","SCALING_FORMAT=MLN","Sort=A","Dates=H","DateFormat=P","Fill=—","Direction=H","UseDPDF=Y")</f>
        <v>0</v>
      </c>
      <c r="N71" s="13">
        <f>_xll.BDH("NBIX US Equity","BS_AMT_OF_TSY_STOCK","FQ3 2021","FQ3 2021","Currency=USD","Period=FQ","BEST_FPERIOD_OVERRIDE=FQ","FILING_STATUS=MR","SCALING_FORMAT=MLN","Sort=A","Dates=H","DateFormat=P","Fill=—","Direction=H","UseDPDF=Y")</f>
        <v>0</v>
      </c>
      <c r="O71" s="13">
        <f>_xll.BDH("NBIX US Equity","BS_AMT_OF_TSY_STOCK","FQ4 2021","FQ4 2021","Currency=USD","Period=FQ","BEST_FPERIOD_OVERRIDE=FQ","FILING_STATUS=MR","SCALING_FORMAT=MLN","Sort=A","Dates=H","DateFormat=P","Fill=—","Direction=H","UseDPDF=Y")</f>
        <v>0</v>
      </c>
      <c r="P71" s="13">
        <f>_xll.BDH("NBIX US Equity","BS_AMT_OF_TSY_STOCK","FQ1 2022","FQ1 2022","Currency=USD","Period=FQ","BEST_FPERIOD_OVERRIDE=FQ","FILING_STATUS=MR","SCALING_FORMAT=MLN","Sort=A","Dates=H","DateFormat=P","Fill=—","Direction=H","UseDPDF=Y")</f>
        <v>0</v>
      </c>
      <c r="Q71" s="13">
        <f>_xll.BDH("NBIX US Equity","BS_AMT_OF_TSY_STOCK","FQ2 2022","FQ2 2022","Currency=USD","Period=FQ","BEST_FPERIOD_OVERRIDE=FQ","FILING_STATUS=MR","SCALING_FORMAT=MLN","Sort=A","Dates=H","DateFormat=P","Fill=—","Direction=H","UseDPDF=Y")</f>
        <v>0</v>
      </c>
      <c r="R71" s="13">
        <f>_xll.BDH("NBIX US Equity","BS_AMT_OF_TSY_STOCK","FQ3 2022","FQ3 2022","Currency=USD","Period=FQ","BEST_FPERIOD_OVERRIDE=FQ","FILING_STATUS=MR","SCALING_FORMAT=MLN","Sort=A","Dates=H","DateFormat=P","Fill=—","Direction=H","UseDPDF=Y")</f>
        <v>0</v>
      </c>
      <c r="S71" s="13">
        <f>_xll.BDH("NBIX US Equity","BS_AMT_OF_TSY_STOCK","FQ4 2022","FQ4 2022","Currency=USD","Period=FQ","BEST_FPERIOD_OVERRIDE=FQ","FILING_STATUS=MR","SCALING_FORMAT=MLN","Sort=A","Dates=H","DateFormat=P","Fill=—","Direction=H","UseDPDF=Y")</f>
        <v>0</v>
      </c>
      <c r="T71" s="13">
        <f>_xll.BDH("NBIX US Equity","BS_AMT_OF_TSY_STOCK","FQ1 2023","FQ1 2023","Currency=USD","Period=FQ","BEST_FPERIOD_OVERRIDE=FQ","FILING_STATUS=MR","SCALING_FORMAT=MLN","Sort=A","Dates=H","DateFormat=P","Fill=—","Direction=H","UseDPDF=Y")</f>
        <v>0</v>
      </c>
      <c r="U71" s="13">
        <f>_xll.BDH("NBIX US Equity","BS_AMT_OF_TSY_STOCK","FQ2 2023","FQ2 2023","Currency=USD","Period=FQ","BEST_FPERIOD_OVERRIDE=FQ","FILING_STATUS=MR","SCALING_FORMAT=MLN","Sort=A","Dates=H","DateFormat=P","Fill=—","Direction=H","UseDPDF=Y")</f>
        <v>0</v>
      </c>
      <c r="V71" s="13">
        <f>_xll.BDH("NBIX US Equity","BS_AMT_OF_TSY_STOCK","FQ3 2023","FQ3 2023","Currency=USD","Period=FQ","BEST_FPERIOD_OVERRIDE=FQ","FILING_STATUS=MR","SCALING_FORMAT=MLN","Sort=A","Dates=H","DateFormat=P","Fill=—","Direction=H","UseDPDF=Y")</f>
        <v>0</v>
      </c>
      <c r="W71" s="13">
        <f>_xll.BDH("NBIX US Equity","BS_AMT_OF_TSY_STOCK","FQ4 2023","FQ4 2023","Currency=USD","Period=FQ","BEST_FPERIOD_OVERRIDE=FQ","FILING_STATUS=MR","SCALING_FORMAT=MLN","Sort=A","Dates=H","DateFormat=P","Fill=—","Direction=H","UseDPDF=Y")</f>
        <v>0</v>
      </c>
      <c r="X71" s="13">
        <f>_xll.BDH("NBIX US Equity","BS_AMT_OF_TSY_STOCK","FQ1 2024","FQ1 2024","Currency=USD","Period=FQ","BEST_FPERIOD_OVERRIDE=FQ","FILING_STATUS=MR","SCALING_FORMAT=MLN","Sort=A","Dates=H","DateFormat=P","Fill=—","Direction=H","UseDPDF=Y")</f>
        <v>0</v>
      </c>
      <c r="Y71" s="13">
        <f>_xll.BDH("NBIX US Equity","BS_AMT_OF_TSY_STOCK","FQ2 2024","FQ2 2024","Currency=USD","Period=FQ","BEST_FPERIOD_OVERRIDE=FQ","FILING_STATUS=MR","SCALING_FORMAT=MLN","Sort=A","Dates=H","DateFormat=P","Fill=—","Direction=H","UseDPDF=Y")</f>
        <v>0</v>
      </c>
      <c r="Z71" s="13">
        <f>_xll.BDH("NBIX US Equity","BS_AMT_OF_TSY_STOCK","FQ3 2024","FQ3 2024","Currency=USD","Period=FQ","BEST_FPERIOD_OVERRIDE=FQ","FILING_STATUS=MR","SCALING_FORMAT=MLN","Sort=A","Dates=H","DateFormat=P","Fill=—","Direction=H","UseDPDF=Y")</f>
        <v>0</v>
      </c>
      <c r="AA71" s="13">
        <f>_xll.BDH("NBIX US Equity","BS_AMT_OF_TSY_STOCK","FQ4 2024","FQ4 2024","Currency=USD","Period=FQ","BEST_FPERIOD_OVERRIDE=FQ","FILING_STATUS=MR","SCALING_FORMAT=MLN","Sort=A","Dates=H","DateFormat=P","Fill=—","Direction=H","UseDPDF=Y")</f>
        <v>0</v>
      </c>
    </row>
    <row r="72" spans="1:27" x14ac:dyDescent="0.25">
      <c r="A72" s="10" t="s">
        <v>781</v>
      </c>
      <c r="B72" s="10" t="s">
        <v>782</v>
      </c>
      <c r="C72" s="13">
        <f>_xll.BDH("NBIX US Equity","BS_PURE_RETAINED_EARNINGS","FQ4 2018","FQ4 2018","Currency=USD","Period=FQ","BEST_FPERIOD_OVERRIDE=FQ","FILING_STATUS=MR","SCALING_FORMAT=MLN","Sort=A","Dates=H","DateFormat=P","Fill=—","Direction=H","UseDPDF=Y")</f>
        <v>-1177.7550000000001</v>
      </c>
      <c r="D72" s="13">
        <f>_xll.BDH("NBIX US Equity","BS_PURE_RETAINED_EARNINGS","FQ1 2019","FQ1 2019","Currency=USD","Period=FQ","BEST_FPERIOD_OVERRIDE=FQ","FILING_STATUS=MR","SCALING_FORMAT=MLN","Sort=A","Dates=H","DateFormat=P","Fill=—","Direction=H","UseDPDF=Y")</f>
        <v>-1271.827</v>
      </c>
      <c r="E72" s="13">
        <f>_xll.BDH("NBIX US Equity","BS_PURE_RETAINED_EARNINGS","FQ2 2019","FQ2 2019","Currency=USD","Period=FQ","BEST_FPERIOD_OVERRIDE=FQ","FILING_STATUS=MR","SCALING_FORMAT=MLN","Sort=A","Dates=H","DateFormat=P","Fill=—","Direction=H","UseDPDF=Y")</f>
        <v>-1220.489</v>
      </c>
      <c r="F72" s="13">
        <f>_xll.BDH("NBIX US Equity","BS_PURE_RETAINED_EARNINGS","FQ3 2019","FQ3 2019","Currency=USD","Period=FQ","BEST_FPERIOD_OVERRIDE=FQ","FILING_STATUS=MR","SCALING_FORMAT=MLN","Sort=A","Dates=H","DateFormat=P","Fill=—","Direction=H","UseDPDF=Y")</f>
        <v>-1166.7</v>
      </c>
      <c r="G72" s="13">
        <f>_xll.BDH("NBIX US Equity","BS_PURE_RETAINED_EARNINGS","FQ4 2019","FQ4 2019","Currency=USD","Period=FQ","BEST_FPERIOD_OVERRIDE=FQ","FILING_STATUS=MR","SCALING_FORMAT=MLN","Sort=A","Dates=H","DateFormat=P","Fill=—","Direction=H","UseDPDF=Y")</f>
        <v>-1132.7</v>
      </c>
      <c r="H72" s="13">
        <f>_xll.BDH("NBIX US Equity","BS_PURE_RETAINED_EARNINGS","FQ1 2020","FQ1 2020","Currency=USD","Period=FQ","BEST_FPERIOD_OVERRIDE=FQ","FILING_STATUS=MR","SCALING_FORMAT=MLN","Sort=A","Dates=H","DateFormat=P","Fill=—","Direction=H","UseDPDF=Y")</f>
        <v>-1095.3</v>
      </c>
      <c r="I72" s="13">
        <f>_xll.BDH("NBIX US Equity","BS_PURE_RETAINED_EARNINGS","FQ2 2020","FQ2 2020","Currency=USD","Period=FQ","BEST_FPERIOD_OVERRIDE=FQ","FILING_STATUS=MR","SCALING_FORMAT=MLN","Sort=A","Dates=H","DateFormat=P","Fill=—","Direction=H","UseDPDF=Y")</f>
        <v>-1015.7</v>
      </c>
      <c r="J72" s="13">
        <f>_xll.BDH("NBIX US Equity","BS_PURE_RETAINED_EARNINGS","FQ3 2020","FQ3 2020","Currency=USD","Period=FQ","BEST_FPERIOD_OVERRIDE=FQ","FILING_STATUS=MR","SCALING_FORMAT=MLN","Sort=A","Dates=H","DateFormat=P","Fill=—","Direction=H","UseDPDF=Y")</f>
        <v>-1073.3</v>
      </c>
      <c r="K72" s="13">
        <f>_xll.BDH("NBIX US Equity","BS_PURE_RETAINED_EARNINGS","FQ4 2020","FQ4 2020","Currency=USD","Period=FQ","BEST_FPERIOD_OVERRIDE=FQ","FILING_STATUS=MR","SCALING_FORMAT=MLN","Sort=A","Dates=H","DateFormat=P","Fill=—","Direction=H","UseDPDF=Y")</f>
        <v>-725.4</v>
      </c>
      <c r="L72" s="13">
        <f>_xll.BDH("NBIX US Equity","BS_PURE_RETAINED_EARNINGS","FQ1 2021","FQ1 2021","Currency=USD","Period=FQ","BEST_FPERIOD_OVERRIDE=FQ","FILING_STATUS=MR","SCALING_FORMAT=MLN","Sort=A","Dates=H","DateFormat=P","Fill=—","Direction=H","UseDPDF=Y")</f>
        <v>-693.3</v>
      </c>
      <c r="M72" s="13">
        <f>_xll.BDH("NBIX US Equity","BS_PURE_RETAINED_EARNINGS","FQ2 2021","FQ2 2021","Currency=USD","Period=FQ","BEST_FPERIOD_OVERRIDE=FQ","FILING_STATUS=MR","SCALING_FORMAT=MLN","Sort=A","Dates=H","DateFormat=P","Fill=—","Direction=H","UseDPDF=Y")</f>
        <v>-651</v>
      </c>
      <c r="N72" s="13">
        <f>_xll.BDH("NBIX US Equity","BS_PURE_RETAINED_EARNINGS","FQ3 2021","FQ3 2021","Currency=USD","Period=FQ","BEST_FPERIOD_OVERRIDE=FQ","FILING_STATUS=MR","SCALING_FORMAT=MLN","Sort=A","Dates=H","DateFormat=P","Fill=—","Direction=H","UseDPDF=Y")</f>
        <v>-628.5</v>
      </c>
      <c r="O72" s="13">
        <f>_xll.BDH("NBIX US Equity","BS_PURE_RETAINED_EARNINGS","FQ4 2021","FQ4 2021","Currency=USD","Period=FQ","BEST_FPERIOD_OVERRIDE=FQ","FILING_STATUS=MR","SCALING_FORMAT=MLN","Sort=A","Dates=H","DateFormat=P","Fill=—","Direction=H","UseDPDF=Y")</f>
        <v>-635.79999999999995</v>
      </c>
      <c r="P72" s="13">
        <f>_xll.BDH("NBIX US Equity","BS_PURE_RETAINED_EARNINGS","FQ1 2022","FQ1 2022","Currency=USD","Period=FQ","BEST_FPERIOD_OVERRIDE=FQ","FILING_STATUS=MR","SCALING_FORMAT=MLN","Sort=A","Dates=H","DateFormat=P","Fill=—","Direction=H","UseDPDF=Y")</f>
        <v>-547.4</v>
      </c>
      <c r="Q72" s="13">
        <f>_xll.BDH("NBIX US Equity","BS_PURE_RETAINED_EARNINGS","FQ2 2022","FQ2 2022","Currency=USD","Period=FQ","BEST_FPERIOD_OVERRIDE=FQ","FILING_STATUS=MR","SCALING_FORMAT=MLN","Sort=A","Dates=H","DateFormat=P","Fill=—","Direction=H","UseDPDF=Y")</f>
        <v>-564.29999999999995</v>
      </c>
      <c r="R72" s="13">
        <f>_xll.BDH("NBIX US Equity","BS_PURE_RETAINED_EARNINGS","FQ3 2022","FQ3 2022","Currency=USD","Period=FQ","BEST_FPERIOD_OVERRIDE=FQ","FILING_STATUS=MR","SCALING_FORMAT=MLN","Sort=A","Dates=H","DateFormat=P","Fill=—","Direction=H","UseDPDF=Y")</f>
        <v>-495.8</v>
      </c>
      <c r="S72" s="13">
        <f>_xll.BDH("NBIX US Equity","BS_PURE_RETAINED_EARNINGS","FQ4 2022","FQ4 2022","Currency=USD","Period=FQ","BEST_FPERIOD_OVERRIDE=FQ","FILING_STATUS=MR","SCALING_FORMAT=MLN","Sort=A","Dates=H","DateFormat=P","Fill=—","Direction=H","UseDPDF=Y")</f>
        <v>-406.8</v>
      </c>
      <c r="T72" s="13">
        <f>_xll.BDH("NBIX US Equity","BS_PURE_RETAINED_EARNINGS","FQ1 2023","FQ1 2023","Currency=USD","Period=FQ","BEST_FPERIOD_OVERRIDE=FQ","FILING_STATUS=MR","SCALING_FORMAT=MLN","Sort=A","Dates=H","DateFormat=P","Fill=—","Direction=H","UseDPDF=Y")</f>
        <v>-483.4</v>
      </c>
      <c r="U72" s="13">
        <f>_xll.BDH("NBIX US Equity","BS_PURE_RETAINED_EARNINGS","FQ2 2023","FQ2 2023","Currency=USD","Period=FQ","BEST_FPERIOD_OVERRIDE=FQ","FILING_STATUS=MR","SCALING_FORMAT=MLN","Sort=A","Dates=H","DateFormat=P","Fill=—","Direction=H","UseDPDF=Y")</f>
        <v>-387.9</v>
      </c>
      <c r="V72" s="13">
        <f>_xll.BDH("NBIX US Equity","BS_PURE_RETAINED_EARNINGS","FQ3 2023","FQ3 2023","Currency=USD","Period=FQ","BEST_FPERIOD_OVERRIDE=FQ","FILING_STATUS=MR","SCALING_FORMAT=MLN","Sort=A","Dates=H","DateFormat=P","Fill=—","Direction=H","UseDPDF=Y")</f>
        <v>-304.8</v>
      </c>
      <c r="W72" s="13">
        <f>_xll.BDH("NBIX US Equity","BS_PURE_RETAINED_EARNINGS","FQ4 2023","FQ4 2023","Currency=USD","Period=FQ","BEST_FPERIOD_OVERRIDE=FQ","FILING_STATUS=MR","SCALING_FORMAT=MLN","Sort=A","Dates=H","DateFormat=P","Fill=—","Direction=H","UseDPDF=Y")</f>
        <v>-157.1</v>
      </c>
      <c r="X72" s="13">
        <f>_xll.BDH("NBIX US Equity","BS_PURE_RETAINED_EARNINGS","FQ1 2024","FQ1 2024","Currency=USD","Period=FQ","BEST_FPERIOD_OVERRIDE=FQ","FILING_STATUS=MR","SCALING_FORMAT=MLN","Sort=A","Dates=H","DateFormat=P","Fill=—","Direction=H","UseDPDF=Y")</f>
        <v>-113.7</v>
      </c>
      <c r="Y72" s="13">
        <f>_xll.BDH("NBIX US Equity","BS_PURE_RETAINED_EARNINGS","FQ2 2024","FQ2 2024","Currency=USD","Period=FQ","BEST_FPERIOD_OVERRIDE=FQ","FILING_STATUS=MR","SCALING_FORMAT=MLN","Sort=A","Dates=H","DateFormat=P","Fill=—","Direction=H","UseDPDF=Y")</f>
        <v>-48.7</v>
      </c>
      <c r="Z72" s="13">
        <f>_xll.BDH("NBIX US Equity","BS_PURE_RETAINED_EARNINGS","FQ3 2024","FQ3 2024","Currency=USD","Period=FQ","BEST_FPERIOD_OVERRIDE=FQ","FILING_STATUS=MR","SCALING_FORMAT=MLN","Sort=A","Dates=H","DateFormat=P","Fill=—","Direction=H","UseDPDF=Y")</f>
        <v>81.099999999999994</v>
      </c>
      <c r="AA72" s="13">
        <f>_xll.BDH("NBIX US Equity","BS_PURE_RETAINED_EARNINGS","FQ4 2024","FQ4 2024","Currency=USD","Period=FQ","BEST_FPERIOD_OVERRIDE=FQ","FILING_STATUS=MR","SCALING_FORMAT=MLN","Sort=A","Dates=H","DateFormat=P","Fill=—","Direction=H","UseDPDF=Y")</f>
        <v>29.2</v>
      </c>
    </row>
    <row r="73" spans="1:27" x14ac:dyDescent="0.25">
      <c r="A73" s="10" t="s">
        <v>783</v>
      </c>
      <c r="B73" s="10" t="s">
        <v>784</v>
      </c>
      <c r="C73" s="13">
        <f>_xll.BDH("NBIX US Equity","OTHER_EQUITY_RATIO","FQ4 2018","FQ4 2018","Currency=USD","Period=FQ","BEST_FPERIOD_OVERRIDE=FQ","FILING_STATUS=MR","SCALING_FORMAT=MLN","Sort=A","Dates=H","DateFormat=P","Fill=—","Direction=H","UseDPDF=Y")</f>
        <v>-1.9319999999999999</v>
      </c>
      <c r="D73" s="13">
        <f>_xll.BDH("NBIX US Equity","OTHER_EQUITY_RATIO","FQ1 2019","FQ1 2019","Currency=USD","Period=FQ","BEST_FPERIOD_OVERRIDE=FQ","FILING_STATUS=MR","SCALING_FORMAT=MLN","Sort=A","Dates=H","DateFormat=P","Fill=—","Direction=H","UseDPDF=Y")</f>
        <v>-0.23300000000000001</v>
      </c>
      <c r="E73" s="13">
        <f>_xll.BDH("NBIX US Equity","OTHER_EQUITY_RATIO","FQ2 2019","FQ2 2019","Currency=USD","Period=FQ","BEST_FPERIOD_OVERRIDE=FQ","FILING_STATUS=MR","SCALING_FORMAT=MLN","Sort=A","Dates=H","DateFormat=P","Fill=—","Direction=H","UseDPDF=Y")</f>
        <v>0.64500000000000002</v>
      </c>
      <c r="F73" s="13">
        <f>_xll.BDH("NBIX US Equity","OTHER_EQUITY_RATIO","FQ3 2019","FQ3 2019","Currency=USD","Period=FQ","BEST_FPERIOD_OVERRIDE=FQ","FILING_STATUS=MR","SCALING_FORMAT=MLN","Sort=A","Dates=H","DateFormat=P","Fill=—","Direction=H","UseDPDF=Y")</f>
        <v>1.6060000000000001</v>
      </c>
      <c r="G73" s="13">
        <f>_xll.BDH("NBIX US Equity","OTHER_EQUITY_RATIO","FQ4 2019","FQ4 2019","Currency=USD","Period=FQ","BEST_FPERIOD_OVERRIDE=FQ","FILING_STATUS=MR","SCALING_FORMAT=MLN","Sort=A","Dates=H","DateFormat=P","Fill=—","Direction=H","UseDPDF=Y")</f>
        <v>1.4</v>
      </c>
      <c r="H73" s="13">
        <f>_xll.BDH("NBIX US Equity","OTHER_EQUITY_RATIO","FQ1 2020","FQ1 2020","Currency=USD","Period=FQ","BEST_FPERIOD_OVERRIDE=FQ","FILING_STATUS=MR","SCALING_FORMAT=MLN","Sort=A","Dates=H","DateFormat=P","Fill=—","Direction=H","UseDPDF=Y")</f>
        <v>-1.4</v>
      </c>
      <c r="I73" s="13">
        <f>_xll.BDH("NBIX US Equity","OTHER_EQUITY_RATIO","FQ2 2020","FQ2 2020","Currency=USD","Period=FQ","BEST_FPERIOD_OVERRIDE=FQ","FILING_STATUS=MR","SCALING_FORMAT=MLN","Sort=A","Dates=H","DateFormat=P","Fill=—","Direction=H","UseDPDF=Y")</f>
        <v>4.5999999999999996</v>
      </c>
      <c r="J73" s="13">
        <f>_xll.BDH("NBIX US Equity","OTHER_EQUITY_RATIO","FQ3 2020","FQ3 2020","Currency=USD","Period=FQ","BEST_FPERIOD_OVERRIDE=FQ","FILING_STATUS=MR","SCALING_FORMAT=MLN","Sort=A","Dates=H","DateFormat=P","Fill=—","Direction=H","UseDPDF=Y")</f>
        <v>3.2</v>
      </c>
      <c r="K73" s="13">
        <f>_xll.BDH("NBIX US Equity","OTHER_EQUITY_RATIO","FQ4 2020","FQ4 2020","Currency=USD","Period=FQ","BEST_FPERIOD_OVERRIDE=FQ","FILING_STATUS=MR","SCALING_FORMAT=MLN","Sort=A","Dates=H","DateFormat=P","Fill=—","Direction=H","UseDPDF=Y")</f>
        <v>1.8</v>
      </c>
      <c r="L73" s="13">
        <f>_xll.BDH("NBIX US Equity","OTHER_EQUITY_RATIO","FQ1 2021","FQ1 2021","Currency=USD","Period=FQ","BEST_FPERIOD_OVERRIDE=FQ","FILING_STATUS=MR","SCALING_FORMAT=MLN","Sort=A","Dates=H","DateFormat=P","Fill=—","Direction=H","UseDPDF=Y")</f>
        <v>1</v>
      </c>
      <c r="M73" s="13">
        <f>_xll.BDH("NBIX US Equity","OTHER_EQUITY_RATIO","FQ2 2021","FQ2 2021","Currency=USD","Period=FQ","BEST_FPERIOD_OVERRIDE=FQ","FILING_STATUS=MR","SCALING_FORMAT=MLN","Sort=A","Dates=H","DateFormat=P","Fill=—","Direction=H","UseDPDF=Y")</f>
        <v>0.7</v>
      </c>
      <c r="N73" s="13">
        <f>_xll.BDH("NBIX US Equity","OTHER_EQUITY_RATIO","FQ3 2021","FQ3 2021","Currency=USD","Period=FQ","BEST_FPERIOD_OVERRIDE=FQ","FILING_STATUS=MR","SCALING_FORMAT=MLN","Sort=A","Dates=H","DateFormat=P","Fill=—","Direction=H","UseDPDF=Y")</f>
        <v>0.4</v>
      </c>
      <c r="O73" s="13">
        <f>_xll.BDH("NBIX US Equity","OTHER_EQUITY_RATIO","FQ4 2021","FQ4 2021","Currency=USD","Period=FQ","BEST_FPERIOD_OVERRIDE=FQ","FILING_STATUS=MR","SCALING_FORMAT=MLN","Sort=A","Dates=H","DateFormat=P","Fill=—","Direction=H","UseDPDF=Y")</f>
        <v>-1.7</v>
      </c>
      <c r="P73" s="13">
        <f>_xll.BDH("NBIX US Equity","OTHER_EQUITY_RATIO","FQ1 2022","FQ1 2022","Currency=USD","Period=FQ","BEST_FPERIOD_OVERRIDE=FQ","FILING_STATUS=MR","SCALING_FORMAT=MLN","Sort=A","Dates=H","DateFormat=P","Fill=—","Direction=H","UseDPDF=Y")</f>
        <v>-9.3000000000000007</v>
      </c>
      <c r="Q73" s="13">
        <f>_xll.BDH("NBIX US Equity","OTHER_EQUITY_RATIO","FQ2 2022","FQ2 2022","Currency=USD","Period=FQ","BEST_FPERIOD_OVERRIDE=FQ","FILING_STATUS=MR","SCALING_FORMAT=MLN","Sort=A","Dates=H","DateFormat=P","Fill=—","Direction=H","UseDPDF=Y")</f>
        <v>-12.2</v>
      </c>
      <c r="R73" s="13">
        <f>_xll.BDH("NBIX US Equity","OTHER_EQUITY_RATIO","FQ3 2022","FQ3 2022","Currency=USD","Period=FQ","BEST_FPERIOD_OVERRIDE=FQ","FILING_STATUS=MR","SCALING_FORMAT=MLN","Sort=A","Dates=H","DateFormat=P","Fill=—","Direction=H","UseDPDF=Y")</f>
        <v>-14</v>
      </c>
      <c r="S73" s="13">
        <f>_xll.BDH("NBIX US Equity","OTHER_EQUITY_RATIO","FQ4 2022","FQ4 2022","Currency=USD","Period=FQ","BEST_FPERIOD_OVERRIDE=FQ","FILING_STATUS=MR","SCALING_FORMAT=MLN","Sort=A","Dates=H","DateFormat=P","Fill=—","Direction=H","UseDPDF=Y")</f>
        <v>-7.9</v>
      </c>
      <c r="T73" s="13">
        <f>_xll.BDH("NBIX US Equity","OTHER_EQUITY_RATIO","FQ1 2023","FQ1 2023","Currency=USD","Period=FQ","BEST_FPERIOD_OVERRIDE=FQ","FILING_STATUS=MR","SCALING_FORMAT=MLN","Sort=A","Dates=H","DateFormat=P","Fill=—","Direction=H","UseDPDF=Y")</f>
        <v>-2.7</v>
      </c>
      <c r="U73" s="13">
        <f>_xll.BDH("NBIX US Equity","OTHER_EQUITY_RATIO","FQ2 2023","FQ2 2023","Currency=USD","Period=FQ","BEST_FPERIOD_OVERRIDE=FQ","FILING_STATUS=MR","SCALING_FORMAT=MLN","Sort=A","Dates=H","DateFormat=P","Fill=—","Direction=H","UseDPDF=Y")</f>
        <v>-1.1000000000000001</v>
      </c>
      <c r="V73" s="13">
        <f>_xll.BDH("NBIX US Equity","OTHER_EQUITY_RATIO","FQ3 2023","FQ3 2023","Currency=USD","Period=FQ","BEST_FPERIOD_OVERRIDE=FQ","FILING_STATUS=MR","SCALING_FORMAT=MLN","Sort=A","Dates=H","DateFormat=P","Fill=—","Direction=H","UseDPDF=Y")</f>
        <v>-1.7</v>
      </c>
      <c r="W73" s="13">
        <f>_xll.BDH("NBIX US Equity","OTHER_EQUITY_RATIO","FQ4 2023","FQ4 2023","Currency=USD","Period=FQ","BEST_FPERIOD_OVERRIDE=FQ","FILING_STATUS=MR","SCALING_FORMAT=MLN","Sort=A","Dates=H","DateFormat=P","Fill=—","Direction=H","UseDPDF=Y")</f>
        <v>7</v>
      </c>
      <c r="X73" s="13">
        <f>_xll.BDH("NBIX US Equity","OTHER_EQUITY_RATIO","FQ1 2024","FQ1 2024","Currency=USD","Period=FQ","BEST_FPERIOD_OVERRIDE=FQ","FILING_STATUS=MR","SCALING_FORMAT=MLN","Sort=A","Dates=H","DateFormat=P","Fill=—","Direction=H","UseDPDF=Y")</f>
        <v>3.3</v>
      </c>
      <c r="Y73" s="13">
        <f>_xll.BDH("NBIX US Equity","OTHER_EQUITY_RATIO","FQ2 2024","FQ2 2024","Currency=USD","Period=FQ","BEST_FPERIOD_OVERRIDE=FQ","FILING_STATUS=MR","SCALING_FORMAT=MLN","Sort=A","Dates=H","DateFormat=P","Fill=—","Direction=H","UseDPDF=Y")</f>
        <v>2.5</v>
      </c>
      <c r="Z73" s="13">
        <f>_xll.BDH("NBIX US Equity","OTHER_EQUITY_RATIO","FQ3 2024","FQ3 2024","Currency=USD","Period=FQ","BEST_FPERIOD_OVERRIDE=FQ","FILING_STATUS=MR","SCALING_FORMAT=MLN","Sort=A","Dates=H","DateFormat=P","Fill=—","Direction=H","UseDPDF=Y")</f>
        <v>14.5</v>
      </c>
      <c r="AA73" s="13">
        <f>_xll.BDH("NBIX US Equity","OTHER_EQUITY_RATIO","FQ4 2024","FQ4 2024","Currency=USD","Period=FQ","BEST_FPERIOD_OVERRIDE=FQ","FILING_STATUS=MR","SCALING_FORMAT=MLN","Sort=A","Dates=H","DateFormat=P","Fill=—","Direction=H","UseDPDF=Y")</f>
        <v>5.8</v>
      </c>
    </row>
    <row r="74" spans="1:27" x14ac:dyDescent="0.25">
      <c r="A74" s="6" t="s">
        <v>785</v>
      </c>
      <c r="B74" s="6" t="s">
        <v>786</v>
      </c>
      <c r="C74" s="19">
        <f>_xll.BDH("NBIX US Equity","EQTY_BEF_MINORITY_INT_DETAILED","FQ4 2018","FQ4 2018","Currency=USD","Period=FQ","BEST_FPERIOD_OVERRIDE=FQ","FILING_STATUS=MR","SCALING_FORMAT=MLN","Sort=A","Dates=H","DateFormat=P","Fill=—","Direction=H","UseDPDF=Y")</f>
        <v>480.76499999999999</v>
      </c>
      <c r="D74" s="19">
        <f>_xll.BDH("NBIX US Equity","EQTY_BEF_MINORITY_INT_DETAILED","FQ1 2019","FQ1 2019","Currency=USD","Period=FQ","BEST_FPERIOD_OVERRIDE=FQ","FILING_STATUS=MR","SCALING_FORMAT=MLN","Sort=A","Dates=H","DateFormat=P","Fill=—","Direction=H","UseDPDF=Y")</f>
        <v>409.27499999999998</v>
      </c>
      <c r="E74" s="19">
        <f>_xll.BDH("NBIX US Equity","EQTY_BEF_MINORITY_INT_DETAILED","FQ2 2019","FQ2 2019","Currency=USD","Period=FQ","BEST_FPERIOD_OVERRIDE=FQ","FILING_STATUS=MR","SCALING_FORMAT=MLN","Sort=A","Dates=H","DateFormat=P","Fill=—","Direction=H","UseDPDF=Y")</f>
        <v>483.70600000000002</v>
      </c>
      <c r="F74" s="19">
        <f>_xll.BDH("NBIX US Equity","EQTY_BEF_MINORITY_INT_DETAILED","FQ3 2019","FQ3 2019","Currency=USD","Period=FQ","BEST_FPERIOD_OVERRIDE=FQ","FILING_STATUS=MR","SCALING_FORMAT=MLN","Sort=A","Dates=H","DateFormat=P","Fill=—","Direction=H","UseDPDF=Y")</f>
        <v>574.51499999999999</v>
      </c>
      <c r="G74" s="19">
        <f>_xll.BDH("NBIX US Equity","EQTY_BEF_MINORITY_INT_DETAILED","FQ4 2019","FQ4 2019","Currency=USD","Period=FQ","BEST_FPERIOD_OVERRIDE=FQ","FILING_STATUS=MR","SCALING_FORMAT=MLN","Sort=A","Dates=H","DateFormat=P","Fill=—","Direction=H","UseDPDF=Y")</f>
        <v>636.9</v>
      </c>
      <c r="H74" s="19">
        <f>_xll.BDH("NBIX US Equity","EQTY_BEF_MINORITY_INT_DETAILED","FQ1 2020","FQ1 2020","Currency=USD","Period=FQ","BEST_FPERIOD_OVERRIDE=FQ","FILING_STATUS=MR","SCALING_FORMAT=MLN","Sort=A","Dates=H","DateFormat=P","Fill=—","Direction=H","UseDPDF=Y")</f>
        <v>700.3</v>
      </c>
      <c r="I74" s="19">
        <f>_xll.BDH("NBIX US Equity","EQTY_BEF_MINORITY_INT_DETAILED","FQ2 2020","FQ2 2020","Currency=USD","Period=FQ","BEST_FPERIOD_OVERRIDE=FQ","FILING_STATUS=MR","SCALING_FORMAT=MLN","Sort=A","Dates=H","DateFormat=P","Fill=—","Direction=H","UseDPDF=Y")</f>
        <v>831.2</v>
      </c>
      <c r="J74" s="19">
        <f>_xll.BDH("NBIX US Equity","EQTY_BEF_MINORITY_INT_DETAILED","FQ3 2020","FQ3 2020","Currency=USD","Period=FQ","BEST_FPERIOD_OVERRIDE=FQ","FILING_STATUS=MR","SCALING_FORMAT=MLN","Sort=A","Dates=H","DateFormat=P","Fill=—","Direction=H","UseDPDF=Y")</f>
        <v>804.3</v>
      </c>
      <c r="K74" s="19">
        <f>_xll.BDH("NBIX US Equity","EQTY_BEF_MINORITY_INT_DETAILED","FQ4 2020","FQ4 2020","Currency=USD","Period=FQ","BEST_FPERIOD_OVERRIDE=FQ","FILING_STATUS=MR","SCALING_FORMAT=MLN","Sort=A","Dates=H","DateFormat=P","Fill=—","Direction=H","UseDPDF=Y")</f>
        <v>1126.2</v>
      </c>
      <c r="L74" s="19">
        <f>_xll.BDH("NBIX US Equity","EQTY_BEF_MINORITY_INT_DETAILED","FQ1 2021","FQ1 2021","Currency=USD","Period=FQ","BEST_FPERIOD_OVERRIDE=FQ","FILING_STATUS=MR","SCALING_FORMAT=MLN","Sort=A","Dates=H","DateFormat=P","Fill=—","Direction=H","UseDPDF=Y")</f>
        <v>1205.5999999999999</v>
      </c>
      <c r="M74" s="19">
        <f>_xll.BDH("NBIX US Equity","EQTY_BEF_MINORITY_INT_DETAILED","FQ2 2021","FQ2 2021","Currency=USD","Period=FQ","BEST_FPERIOD_OVERRIDE=FQ","FILING_STATUS=MR","SCALING_FORMAT=MLN","Sort=A","Dates=H","DateFormat=P","Fill=—","Direction=H","UseDPDF=Y")</f>
        <v>1279.2</v>
      </c>
      <c r="N74" s="19">
        <f>_xll.BDH("NBIX US Equity","EQTY_BEF_MINORITY_INT_DETAILED","FQ3 2021","FQ3 2021","Currency=USD","Period=FQ","BEST_FPERIOD_OVERRIDE=FQ","FILING_STATUS=MR","SCALING_FORMAT=MLN","Sort=A","Dates=H","DateFormat=P","Fill=—","Direction=H","UseDPDF=Y")</f>
        <v>1346</v>
      </c>
      <c r="O74" s="19">
        <f>_xll.BDH("NBIX US Equity","EQTY_BEF_MINORITY_INT_DETAILED","FQ4 2021","FQ4 2021","Currency=USD","Period=FQ","BEST_FPERIOD_OVERRIDE=FQ","FILING_STATUS=MR","SCALING_FORMAT=MLN","Sort=A","Dates=H","DateFormat=P","Fill=—","Direction=H","UseDPDF=Y")</f>
        <v>1374</v>
      </c>
      <c r="P74" s="19">
        <f>_xll.BDH("NBIX US Equity","EQTY_BEF_MINORITY_INT_DETAILED","FQ1 2022","FQ1 2022","Currency=USD","Period=FQ","BEST_FPERIOD_OVERRIDE=FQ","FILING_STATUS=MR","SCALING_FORMAT=MLN","Sort=A","Dates=H","DateFormat=P","Fill=—","Direction=H","UseDPDF=Y")</f>
        <v>1391.1</v>
      </c>
      <c r="Q74" s="19">
        <f>_xll.BDH("NBIX US Equity","EQTY_BEF_MINORITY_INT_DETAILED","FQ2 2022","FQ2 2022","Currency=USD","Period=FQ","BEST_FPERIOD_OVERRIDE=FQ","FILING_STATUS=MR","SCALING_FORMAT=MLN","Sort=A","Dates=H","DateFormat=P","Fill=—","Direction=H","UseDPDF=Y")</f>
        <v>1423.4</v>
      </c>
      <c r="R74" s="19">
        <f>_xll.BDH("NBIX US Equity","EQTY_BEF_MINORITY_INT_DETAILED","FQ3 2022","FQ3 2022","Currency=USD","Period=FQ","BEST_FPERIOD_OVERRIDE=FQ","FILING_STATUS=MR","SCALING_FORMAT=MLN","Sort=A","Dates=H","DateFormat=P","Fill=—","Direction=H","UseDPDF=Y")</f>
        <v>1544.6</v>
      </c>
      <c r="S74" s="19">
        <f>_xll.BDH("NBIX US Equity","EQTY_BEF_MINORITY_INT_DETAILED","FQ4 2022","FQ4 2022","Currency=USD","Period=FQ","BEST_FPERIOD_OVERRIDE=FQ","FILING_STATUS=MR","SCALING_FORMAT=MLN","Sort=A","Dates=H","DateFormat=P","Fill=—","Direction=H","UseDPDF=Y")</f>
        <v>1707.8</v>
      </c>
      <c r="T74" s="19">
        <f>_xll.BDH("NBIX US Equity","EQTY_BEF_MINORITY_INT_DETAILED","FQ1 2023","FQ1 2023","Currency=USD","Period=FQ","BEST_FPERIOD_OVERRIDE=FQ","FILING_STATUS=MR","SCALING_FORMAT=MLN","Sort=A","Dates=H","DateFormat=P","Fill=—","Direction=H","UseDPDF=Y")</f>
        <v>1684.5</v>
      </c>
      <c r="U74" s="19">
        <f>_xll.BDH("NBIX US Equity","EQTY_BEF_MINORITY_INT_DETAILED","FQ2 2023","FQ2 2023","Currency=USD","Period=FQ","BEST_FPERIOD_OVERRIDE=FQ","FILING_STATUS=MR","SCALING_FORMAT=MLN","Sort=A","Dates=H","DateFormat=P","Fill=—","Direction=H","UseDPDF=Y")</f>
        <v>1853</v>
      </c>
      <c r="V74" s="19">
        <f>_xll.BDH("NBIX US Equity","EQTY_BEF_MINORITY_INT_DETAILED","FQ3 2023","FQ3 2023","Currency=USD","Period=FQ","BEST_FPERIOD_OVERRIDE=FQ","FILING_STATUS=MR","SCALING_FORMAT=MLN","Sort=A","Dates=H","DateFormat=P","Fill=—","Direction=H","UseDPDF=Y")</f>
        <v>2002.1</v>
      </c>
      <c r="W74" s="19">
        <f>_xll.BDH("NBIX US Equity","EQTY_BEF_MINORITY_INT_DETAILED","FQ4 2023","FQ4 2023","Currency=USD","Period=FQ","BEST_FPERIOD_OVERRIDE=FQ","FILING_STATUS=MR","SCALING_FORMAT=MLN","Sort=A","Dates=H","DateFormat=P","Fill=—","Direction=H","UseDPDF=Y")</f>
        <v>2232</v>
      </c>
      <c r="X74" s="19">
        <f>_xll.BDH("NBIX US Equity","EQTY_BEF_MINORITY_INT_DETAILED","FQ1 2024","FQ1 2024","Currency=USD","Period=FQ","BEST_FPERIOD_OVERRIDE=FQ","FILING_STATUS=MR","SCALING_FORMAT=MLN","Sort=A","Dates=H","DateFormat=P","Fill=—","Direction=H","UseDPDF=Y")</f>
        <v>2386.1</v>
      </c>
      <c r="Y74" s="19">
        <f>_xll.BDH("NBIX US Equity","EQTY_BEF_MINORITY_INT_DETAILED","FQ2 2024","FQ2 2024","Currency=USD","Period=FQ","BEST_FPERIOD_OVERRIDE=FQ","FILING_STATUS=MR","SCALING_FORMAT=MLN","Sort=A","Dates=H","DateFormat=P","Fill=—","Direction=H","UseDPDF=Y")</f>
        <v>2509.1999999999998</v>
      </c>
      <c r="Z74" s="19">
        <f>_xll.BDH("NBIX US Equity","EQTY_BEF_MINORITY_INT_DETAILED","FQ3 2024","FQ3 2024","Currency=USD","Period=FQ","BEST_FPERIOD_OVERRIDE=FQ","FILING_STATUS=MR","SCALING_FORMAT=MLN","Sort=A","Dates=H","DateFormat=P","Fill=—","Direction=H","UseDPDF=Y")</f>
        <v>2718.9</v>
      </c>
      <c r="AA74" s="19">
        <f>_xll.BDH("NBIX US Equity","EQTY_BEF_MINORITY_INT_DETAILED","FQ4 2024","FQ4 2024","Currency=USD","Period=FQ","BEST_FPERIOD_OVERRIDE=FQ","FILING_STATUS=MR","SCALING_FORMAT=MLN","Sort=A","Dates=H","DateFormat=P","Fill=—","Direction=H","UseDPDF=Y")</f>
        <v>2589.6999999999998</v>
      </c>
    </row>
    <row r="75" spans="1:27" x14ac:dyDescent="0.25">
      <c r="A75" s="10" t="s">
        <v>787</v>
      </c>
      <c r="B75" s="10" t="s">
        <v>170</v>
      </c>
      <c r="C75" s="13">
        <f>_xll.BDH("NBIX US Equity","MINORITY_NONCONTROLLING_INTEREST","FQ4 2018","FQ4 2018","Currency=USD","Period=FQ","BEST_FPERIOD_OVERRIDE=FQ","FILING_STATUS=MR","SCALING_FORMAT=MLN","Sort=A","Dates=H","DateFormat=P","Fill=—","Direction=H","UseDPDF=Y")</f>
        <v>0</v>
      </c>
      <c r="D75" s="13">
        <f>_xll.BDH("NBIX US Equity","MINORITY_NONCONTROLLING_INTEREST","FQ1 2019","FQ1 2019","Currency=USD","Period=FQ","BEST_FPERIOD_OVERRIDE=FQ","FILING_STATUS=MR","SCALING_FORMAT=MLN","Sort=A","Dates=H","DateFormat=P","Fill=—","Direction=H","UseDPDF=Y")</f>
        <v>0</v>
      </c>
      <c r="E75" s="13">
        <f>_xll.BDH("NBIX US Equity","MINORITY_NONCONTROLLING_INTEREST","FQ2 2019","FQ2 2019","Currency=USD","Period=FQ","BEST_FPERIOD_OVERRIDE=FQ","FILING_STATUS=MR","SCALING_FORMAT=MLN","Sort=A","Dates=H","DateFormat=P","Fill=—","Direction=H","UseDPDF=Y")</f>
        <v>0</v>
      </c>
      <c r="F75" s="13">
        <f>_xll.BDH("NBIX US Equity","MINORITY_NONCONTROLLING_INTEREST","FQ3 2019","FQ3 2019","Currency=USD","Period=FQ","BEST_FPERIOD_OVERRIDE=FQ","FILING_STATUS=MR","SCALING_FORMAT=MLN","Sort=A","Dates=H","DateFormat=P","Fill=—","Direction=H","UseDPDF=Y")</f>
        <v>0</v>
      </c>
      <c r="G75" s="13">
        <f>_xll.BDH("NBIX US Equity","MINORITY_NONCONTROLLING_INTEREST","FQ4 2019","FQ4 2019","Currency=USD","Period=FQ","BEST_FPERIOD_OVERRIDE=FQ","FILING_STATUS=MR","SCALING_FORMAT=MLN","Sort=A","Dates=H","DateFormat=P","Fill=—","Direction=H","UseDPDF=Y")</f>
        <v>0</v>
      </c>
      <c r="H75" s="13">
        <f>_xll.BDH("NBIX US Equity","MINORITY_NONCONTROLLING_INTEREST","FQ1 2020","FQ1 2020","Currency=USD","Period=FQ","BEST_FPERIOD_OVERRIDE=FQ","FILING_STATUS=MR","SCALING_FORMAT=MLN","Sort=A","Dates=H","DateFormat=P","Fill=—","Direction=H","UseDPDF=Y")</f>
        <v>0</v>
      </c>
      <c r="I75" s="13">
        <f>_xll.BDH("NBIX US Equity","MINORITY_NONCONTROLLING_INTEREST","FQ2 2020","FQ2 2020","Currency=USD","Period=FQ","BEST_FPERIOD_OVERRIDE=FQ","FILING_STATUS=MR","SCALING_FORMAT=MLN","Sort=A","Dates=H","DateFormat=P","Fill=—","Direction=H","UseDPDF=Y")</f>
        <v>0</v>
      </c>
      <c r="J75" s="13">
        <f>_xll.BDH("NBIX US Equity","MINORITY_NONCONTROLLING_INTEREST","FQ3 2020","FQ3 2020","Currency=USD","Period=FQ","BEST_FPERIOD_OVERRIDE=FQ","FILING_STATUS=MR","SCALING_FORMAT=MLN","Sort=A","Dates=H","DateFormat=P","Fill=—","Direction=H","UseDPDF=Y")</f>
        <v>0</v>
      </c>
      <c r="K75" s="13">
        <f>_xll.BDH("NBIX US Equity","MINORITY_NONCONTROLLING_INTEREST","FQ4 2020","FQ4 2020","Currency=USD","Period=FQ","BEST_FPERIOD_OVERRIDE=FQ","FILING_STATUS=MR","SCALING_FORMAT=MLN","Sort=A","Dates=H","DateFormat=P","Fill=—","Direction=H","UseDPDF=Y")</f>
        <v>0</v>
      </c>
      <c r="L75" s="13">
        <f>_xll.BDH("NBIX US Equity","MINORITY_NONCONTROLLING_INTEREST","FQ1 2021","FQ1 2021","Currency=USD","Period=FQ","BEST_FPERIOD_OVERRIDE=FQ","FILING_STATUS=MR","SCALING_FORMAT=MLN","Sort=A","Dates=H","DateFormat=P","Fill=—","Direction=H","UseDPDF=Y")</f>
        <v>0</v>
      </c>
      <c r="M75" s="13">
        <f>_xll.BDH("NBIX US Equity","MINORITY_NONCONTROLLING_INTEREST","FQ2 2021","FQ2 2021","Currency=USD","Period=FQ","BEST_FPERIOD_OVERRIDE=FQ","FILING_STATUS=MR","SCALING_FORMAT=MLN","Sort=A","Dates=H","DateFormat=P","Fill=—","Direction=H","UseDPDF=Y")</f>
        <v>0</v>
      </c>
      <c r="N75" s="13">
        <f>_xll.BDH("NBIX US Equity","MINORITY_NONCONTROLLING_INTEREST","FQ3 2021","FQ3 2021","Currency=USD","Period=FQ","BEST_FPERIOD_OVERRIDE=FQ","FILING_STATUS=MR","SCALING_FORMAT=MLN","Sort=A","Dates=H","DateFormat=P","Fill=—","Direction=H","UseDPDF=Y")</f>
        <v>0</v>
      </c>
      <c r="O75" s="13">
        <f>_xll.BDH("NBIX US Equity","MINORITY_NONCONTROLLING_INTEREST","FQ4 2021","FQ4 2021","Currency=USD","Period=FQ","BEST_FPERIOD_OVERRIDE=FQ","FILING_STATUS=MR","SCALING_FORMAT=MLN","Sort=A","Dates=H","DateFormat=P","Fill=—","Direction=H","UseDPDF=Y")</f>
        <v>0</v>
      </c>
      <c r="P75" s="13">
        <f>_xll.BDH("NBIX US Equity","MINORITY_NONCONTROLLING_INTEREST","FQ1 2022","FQ1 2022","Currency=USD","Period=FQ","BEST_FPERIOD_OVERRIDE=FQ","FILING_STATUS=MR","SCALING_FORMAT=MLN","Sort=A","Dates=H","DateFormat=P","Fill=—","Direction=H","UseDPDF=Y")</f>
        <v>0</v>
      </c>
      <c r="Q75" s="13">
        <f>_xll.BDH("NBIX US Equity","MINORITY_NONCONTROLLING_INTEREST","FQ2 2022","FQ2 2022","Currency=USD","Period=FQ","BEST_FPERIOD_OVERRIDE=FQ","FILING_STATUS=MR","SCALING_FORMAT=MLN","Sort=A","Dates=H","DateFormat=P","Fill=—","Direction=H","UseDPDF=Y")</f>
        <v>0</v>
      </c>
      <c r="R75" s="13">
        <f>_xll.BDH("NBIX US Equity","MINORITY_NONCONTROLLING_INTEREST","FQ3 2022","FQ3 2022","Currency=USD","Period=FQ","BEST_FPERIOD_OVERRIDE=FQ","FILING_STATUS=MR","SCALING_FORMAT=MLN","Sort=A","Dates=H","DateFormat=P","Fill=—","Direction=H","UseDPDF=Y")</f>
        <v>0</v>
      </c>
      <c r="S75" s="13">
        <f>_xll.BDH("NBIX US Equity","MINORITY_NONCONTROLLING_INTEREST","FQ4 2022","FQ4 2022","Currency=USD","Period=FQ","BEST_FPERIOD_OVERRIDE=FQ","FILING_STATUS=MR","SCALING_FORMAT=MLN","Sort=A","Dates=H","DateFormat=P","Fill=—","Direction=H","UseDPDF=Y")</f>
        <v>0</v>
      </c>
      <c r="T75" s="13">
        <f>_xll.BDH("NBIX US Equity","MINORITY_NONCONTROLLING_INTEREST","FQ1 2023","FQ1 2023","Currency=USD","Period=FQ","BEST_FPERIOD_OVERRIDE=FQ","FILING_STATUS=MR","SCALING_FORMAT=MLN","Sort=A","Dates=H","DateFormat=P","Fill=—","Direction=H","UseDPDF=Y")</f>
        <v>0</v>
      </c>
      <c r="U75" s="13">
        <f>_xll.BDH("NBIX US Equity","MINORITY_NONCONTROLLING_INTEREST","FQ2 2023","FQ2 2023","Currency=USD","Period=FQ","BEST_FPERIOD_OVERRIDE=FQ","FILING_STATUS=MR","SCALING_FORMAT=MLN","Sort=A","Dates=H","DateFormat=P","Fill=—","Direction=H","UseDPDF=Y")</f>
        <v>0</v>
      </c>
      <c r="V75" s="13">
        <f>_xll.BDH("NBIX US Equity","MINORITY_NONCONTROLLING_INTEREST","FQ3 2023","FQ3 2023","Currency=USD","Period=FQ","BEST_FPERIOD_OVERRIDE=FQ","FILING_STATUS=MR","SCALING_FORMAT=MLN","Sort=A","Dates=H","DateFormat=P","Fill=—","Direction=H","UseDPDF=Y")</f>
        <v>0</v>
      </c>
      <c r="W75" s="13">
        <f>_xll.BDH("NBIX US Equity","MINORITY_NONCONTROLLING_INTEREST","FQ4 2023","FQ4 2023","Currency=USD","Period=FQ","BEST_FPERIOD_OVERRIDE=FQ","FILING_STATUS=MR","SCALING_FORMAT=MLN","Sort=A","Dates=H","DateFormat=P","Fill=—","Direction=H","UseDPDF=Y")</f>
        <v>0</v>
      </c>
      <c r="X75" s="13">
        <f>_xll.BDH("NBIX US Equity","MINORITY_NONCONTROLLING_INTEREST","FQ1 2024","FQ1 2024","Currency=USD","Period=FQ","BEST_FPERIOD_OVERRIDE=FQ","FILING_STATUS=MR","SCALING_FORMAT=MLN","Sort=A","Dates=H","DateFormat=P","Fill=—","Direction=H","UseDPDF=Y")</f>
        <v>0</v>
      </c>
      <c r="Y75" s="13">
        <f>_xll.BDH("NBIX US Equity","MINORITY_NONCONTROLLING_INTEREST","FQ2 2024","FQ2 2024","Currency=USD","Period=FQ","BEST_FPERIOD_OVERRIDE=FQ","FILING_STATUS=MR","SCALING_FORMAT=MLN","Sort=A","Dates=H","DateFormat=P","Fill=—","Direction=H","UseDPDF=Y")</f>
        <v>0</v>
      </c>
      <c r="Z75" s="13">
        <f>_xll.BDH("NBIX US Equity","MINORITY_NONCONTROLLING_INTEREST","FQ3 2024","FQ3 2024","Currency=USD","Period=FQ","BEST_FPERIOD_OVERRIDE=FQ","FILING_STATUS=MR","SCALING_FORMAT=MLN","Sort=A","Dates=H","DateFormat=P","Fill=—","Direction=H","UseDPDF=Y")</f>
        <v>0</v>
      </c>
      <c r="AA75" s="13">
        <f>_xll.BDH("NBIX US Equity","MINORITY_NONCONTROLLING_INTEREST","FQ4 2024","FQ4 2024","Currency=USD","Period=FQ","BEST_FPERIOD_OVERRIDE=FQ","FILING_STATUS=MR","SCALING_FORMAT=MLN","Sort=A","Dates=H","DateFormat=P","Fill=—","Direction=H","UseDPDF=Y")</f>
        <v>0</v>
      </c>
    </row>
    <row r="76" spans="1:27" x14ac:dyDescent="0.25">
      <c r="A76" s="6" t="s">
        <v>118</v>
      </c>
      <c r="B76" s="6" t="s">
        <v>119</v>
      </c>
      <c r="C76" s="19">
        <f>_xll.BDH("NBIX US Equity","TOTAL_EQUITY","FQ4 2018","FQ4 2018","Currency=USD","Period=FQ","BEST_FPERIOD_OVERRIDE=FQ","FILING_STATUS=MR","SCALING_FORMAT=MLN","Sort=A","Dates=H","DateFormat=P","Fill=—","Direction=H","UseDPDF=Y")</f>
        <v>480.76499999999999</v>
      </c>
      <c r="D76" s="19">
        <f>_xll.BDH("NBIX US Equity","TOTAL_EQUITY","FQ1 2019","FQ1 2019","Currency=USD","Period=FQ","BEST_FPERIOD_OVERRIDE=FQ","FILING_STATUS=MR","SCALING_FORMAT=MLN","Sort=A","Dates=H","DateFormat=P","Fill=—","Direction=H","UseDPDF=Y")</f>
        <v>409.27499999999998</v>
      </c>
      <c r="E76" s="19">
        <f>_xll.BDH("NBIX US Equity","TOTAL_EQUITY","FQ2 2019","FQ2 2019","Currency=USD","Period=FQ","BEST_FPERIOD_OVERRIDE=FQ","FILING_STATUS=MR","SCALING_FORMAT=MLN","Sort=A","Dates=H","DateFormat=P","Fill=—","Direction=H","UseDPDF=Y")</f>
        <v>483.70600000000002</v>
      </c>
      <c r="F76" s="19">
        <f>_xll.BDH("NBIX US Equity","TOTAL_EQUITY","FQ3 2019","FQ3 2019","Currency=USD","Period=FQ","BEST_FPERIOD_OVERRIDE=FQ","FILING_STATUS=MR","SCALING_FORMAT=MLN","Sort=A","Dates=H","DateFormat=P","Fill=—","Direction=H","UseDPDF=Y")</f>
        <v>574.51499999999999</v>
      </c>
      <c r="G76" s="19">
        <f>_xll.BDH("NBIX US Equity","TOTAL_EQUITY","FQ4 2019","FQ4 2019","Currency=USD","Period=FQ","BEST_FPERIOD_OVERRIDE=FQ","FILING_STATUS=MR","SCALING_FORMAT=MLN","Sort=A","Dates=H","DateFormat=P","Fill=—","Direction=H","UseDPDF=Y")</f>
        <v>636.9</v>
      </c>
      <c r="H76" s="19">
        <f>_xll.BDH("NBIX US Equity","TOTAL_EQUITY","FQ1 2020","FQ1 2020","Currency=USD","Period=FQ","BEST_FPERIOD_OVERRIDE=FQ","FILING_STATUS=MR","SCALING_FORMAT=MLN","Sort=A","Dates=H","DateFormat=P","Fill=—","Direction=H","UseDPDF=Y")</f>
        <v>700.3</v>
      </c>
      <c r="I76" s="19">
        <f>_xll.BDH("NBIX US Equity","TOTAL_EQUITY","FQ2 2020","FQ2 2020","Currency=USD","Period=FQ","BEST_FPERIOD_OVERRIDE=FQ","FILING_STATUS=MR","SCALING_FORMAT=MLN","Sort=A","Dates=H","DateFormat=P","Fill=—","Direction=H","UseDPDF=Y")</f>
        <v>831.2</v>
      </c>
      <c r="J76" s="19">
        <f>_xll.BDH("NBIX US Equity","TOTAL_EQUITY","FQ3 2020","FQ3 2020","Currency=USD","Period=FQ","BEST_FPERIOD_OVERRIDE=FQ","FILING_STATUS=MR","SCALING_FORMAT=MLN","Sort=A","Dates=H","DateFormat=P","Fill=—","Direction=H","UseDPDF=Y")</f>
        <v>804.3</v>
      </c>
      <c r="K76" s="19">
        <f>_xll.BDH("NBIX US Equity","TOTAL_EQUITY","FQ4 2020","FQ4 2020","Currency=USD","Period=FQ","BEST_FPERIOD_OVERRIDE=FQ","FILING_STATUS=MR","SCALING_FORMAT=MLN","Sort=A","Dates=H","DateFormat=P","Fill=—","Direction=H","UseDPDF=Y")</f>
        <v>1126.2</v>
      </c>
      <c r="L76" s="19">
        <f>_xll.BDH("NBIX US Equity","TOTAL_EQUITY","FQ1 2021","FQ1 2021","Currency=USD","Period=FQ","BEST_FPERIOD_OVERRIDE=FQ","FILING_STATUS=MR","SCALING_FORMAT=MLN","Sort=A","Dates=H","DateFormat=P","Fill=—","Direction=H","UseDPDF=Y")</f>
        <v>1205.5999999999999</v>
      </c>
      <c r="M76" s="19">
        <f>_xll.BDH("NBIX US Equity","TOTAL_EQUITY","FQ2 2021","FQ2 2021","Currency=USD","Period=FQ","BEST_FPERIOD_OVERRIDE=FQ","FILING_STATUS=MR","SCALING_FORMAT=MLN","Sort=A","Dates=H","DateFormat=P","Fill=—","Direction=H","UseDPDF=Y")</f>
        <v>1279.2</v>
      </c>
      <c r="N76" s="19">
        <f>_xll.BDH("NBIX US Equity","TOTAL_EQUITY","FQ3 2021","FQ3 2021","Currency=USD","Period=FQ","BEST_FPERIOD_OVERRIDE=FQ","FILING_STATUS=MR","SCALING_FORMAT=MLN","Sort=A","Dates=H","DateFormat=P","Fill=—","Direction=H","UseDPDF=Y")</f>
        <v>1346</v>
      </c>
      <c r="O76" s="19">
        <f>_xll.BDH("NBIX US Equity","TOTAL_EQUITY","FQ4 2021","FQ4 2021","Currency=USD","Period=FQ","BEST_FPERIOD_OVERRIDE=FQ","FILING_STATUS=MR","SCALING_FORMAT=MLN","Sort=A","Dates=H","DateFormat=P","Fill=—","Direction=H","UseDPDF=Y")</f>
        <v>1374</v>
      </c>
      <c r="P76" s="19">
        <f>_xll.BDH("NBIX US Equity","TOTAL_EQUITY","FQ1 2022","FQ1 2022","Currency=USD","Period=FQ","BEST_FPERIOD_OVERRIDE=FQ","FILING_STATUS=MR","SCALING_FORMAT=MLN","Sort=A","Dates=H","DateFormat=P","Fill=—","Direction=H","UseDPDF=Y")</f>
        <v>1391.1</v>
      </c>
      <c r="Q76" s="19">
        <f>_xll.BDH("NBIX US Equity","TOTAL_EQUITY","FQ2 2022","FQ2 2022","Currency=USD","Period=FQ","BEST_FPERIOD_OVERRIDE=FQ","FILING_STATUS=MR","SCALING_FORMAT=MLN","Sort=A","Dates=H","DateFormat=P","Fill=—","Direction=H","UseDPDF=Y")</f>
        <v>1423.4</v>
      </c>
      <c r="R76" s="19">
        <f>_xll.BDH("NBIX US Equity","TOTAL_EQUITY","FQ3 2022","FQ3 2022","Currency=USD","Period=FQ","BEST_FPERIOD_OVERRIDE=FQ","FILING_STATUS=MR","SCALING_FORMAT=MLN","Sort=A","Dates=H","DateFormat=P","Fill=—","Direction=H","UseDPDF=Y")</f>
        <v>1544.6</v>
      </c>
      <c r="S76" s="19">
        <f>_xll.BDH("NBIX US Equity","TOTAL_EQUITY","FQ4 2022","FQ4 2022","Currency=USD","Period=FQ","BEST_FPERIOD_OVERRIDE=FQ","FILING_STATUS=MR","SCALING_FORMAT=MLN","Sort=A","Dates=H","DateFormat=P","Fill=—","Direction=H","UseDPDF=Y")</f>
        <v>1707.8</v>
      </c>
      <c r="T76" s="19">
        <f>_xll.BDH("NBIX US Equity","TOTAL_EQUITY","FQ1 2023","FQ1 2023","Currency=USD","Period=FQ","BEST_FPERIOD_OVERRIDE=FQ","FILING_STATUS=MR","SCALING_FORMAT=MLN","Sort=A","Dates=H","DateFormat=P","Fill=—","Direction=H","UseDPDF=Y")</f>
        <v>1684.5</v>
      </c>
      <c r="U76" s="19">
        <f>_xll.BDH("NBIX US Equity","TOTAL_EQUITY","FQ2 2023","FQ2 2023","Currency=USD","Period=FQ","BEST_FPERIOD_OVERRIDE=FQ","FILING_STATUS=MR","SCALING_FORMAT=MLN","Sort=A","Dates=H","DateFormat=P","Fill=—","Direction=H","UseDPDF=Y")</f>
        <v>1853</v>
      </c>
      <c r="V76" s="19">
        <f>_xll.BDH("NBIX US Equity","TOTAL_EQUITY","FQ3 2023","FQ3 2023","Currency=USD","Period=FQ","BEST_FPERIOD_OVERRIDE=FQ","FILING_STATUS=MR","SCALING_FORMAT=MLN","Sort=A","Dates=H","DateFormat=P","Fill=—","Direction=H","UseDPDF=Y")</f>
        <v>2002.1</v>
      </c>
      <c r="W76" s="19">
        <f>_xll.BDH("NBIX US Equity","TOTAL_EQUITY","FQ4 2023","FQ4 2023","Currency=USD","Period=FQ","BEST_FPERIOD_OVERRIDE=FQ","FILING_STATUS=MR","SCALING_FORMAT=MLN","Sort=A","Dates=H","DateFormat=P","Fill=—","Direction=H","UseDPDF=Y")</f>
        <v>2232</v>
      </c>
      <c r="X76" s="19">
        <f>_xll.BDH("NBIX US Equity","TOTAL_EQUITY","FQ1 2024","FQ1 2024","Currency=USD","Period=FQ","BEST_FPERIOD_OVERRIDE=FQ","FILING_STATUS=MR","SCALING_FORMAT=MLN","Sort=A","Dates=H","DateFormat=P","Fill=—","Direction=H","UseDPDF=Y")</f>
        <v>2386.1</v>
      </c>
      <c r="Y76" s="19">
        <f>_xll.BDH("NBIX US Equity","TOTAL_EQUITY","FQ2 2024","FQ2 2024","Currency=USD","Period=FQ","BEST_FPERIOD_OVERRIDE=FQ","FILING_STATUS=MR","SCALING_FORMAT=MLN","Sort=A","Dates=H","DateFormat=P","Fill=—","Direction=H","UseDPDF=Y")</f>
        <v>2509.1999999999998</v>
      </c>
      <c r="Z76" s="19">
        <f>_xll.BDH("NBIX US Equity","TOTAL_EQUITY","FQ3 2024","FQ3 2024","Currency=USD","Period=FQ","BEST_FPERIOD_OVERRIDE=FQ","FILING_STATUS=MR","SCALING_FORMAT=MLN","Sort=A","Dates=H","DateFormat=P","Fill=—","Direction=H","UseDPDF=Y")</f>
        <v>2718.9</v>
      </c>
      <c r="AA76" s="19">
        <f>_xll.BDH("NBIX US Equity","TOTAL_EQUITY","FQ4 2024","FQ4 2024","Currency=USD","Period=FQ","BEST_FPERIOD_OVERRIDE=FQ","FILING_STATUS=MR","SCALING_FORMAT=MLN","Sort=A","Dates=H","DateFormat=P","Fill=—","Direction=H","UseDPDF=Y")</f>
        <v>2589.6999999999998</v>
      </c>
    </row>
    <row r="77" spans="1:27" x14ac:dyDescent="0.25">
      <c r="A77" s="6" t="s">
        <v>788</v>
      </c>
      <c r="B77" s="6" t="s">
        <v>789</v>
      </c>
      <c r="C77" s="19">
        <f>_xll.BDH("NBIX US Equity","TOT_LIAB_AND_EQY","FQ4 2018","FQ4 2018","Currency=USD","Period=FQ","BEST_FPERIOD_OVERRIDE=FQ","FILING_STATUS=MR","SCALING_FORMAT=MLN","Sort=A","Dates=H","DateFormat=P","Fill=—","Direction=H","UseDPDF=Y")</f>
        <v>993.15099999999995</v>
      </c>
      <c r="D77" s="19">
        <f>_xll.BDH("NBIX US Equity","TOT_LIAB_AND_EQY","FQ1 2019","FQ1 2019","Currency=USD","Period=FQ","BEST_FPERIOD_OVERRIDE=FQ","FILING_STATUS=MR","SCALING_FORMAT=MLN","Sort=A","Dates=H","DateFormat=P","Fill=—","Direction=H","UseDPDF=Y")</f>
        <v>957.72299999999996</v>
      </c>
      <c r="E77" s="19">
        <f>_xll.BDH("NBIX US Equity","TOT_LIAB_AND_EQY","FQ2 2019","FQ2 2019","Currency=USD","Period=FQ","BEST_FPERIOD_OVERRIDE=FQ","FILING_STATUS=MR","SCALING_FORMAT=MLN","Sort=A","Dates=H","DateFormat=P","Fill=—","Direction=H","UseDPDF=Y")</f>
        <v>1066.8610000000001</v>
      </c>
      <c r="F77" s="19">
        <f>_xll.BDH("NBIX US Equity","TOT_LIAB_AND_EQY","FQ3 2019","FQ3 2019","Currency=USD","Period=FQ","BEST_FPERIOD_OVERRIDE=FQ","FILING_STATUS=MR","SCALING_FORMAT=MLN","Sort=A","Dates=H","DateFormat=P","Fill=—","Direction=H","UseDPDF=Y")</f>
        <v>1179.9349999999999</v>
      </c>
      <c r="G77" s="19">
        <f>_xll.BDH("NBIX US Equity","TOT_LIAB_AND_EQY","FQ4 2019","FQ4 2019","Currency=USD","Period=FQ","BEST_FPERIOD_OVERRIDE=FQ","FILING_STATUS=MR","SCALING_FORMAT=MLN","Sort=A","Dates=H","DateFormat=P","Fill=—","Direction=H","UseDPDF=Y")</f>
        <v>1306</v>
      </c>
      <c r="H77" s="19">
        <f>_xll.BDH("NBIX US Equity","TOT_LIAB_AND_EQY","FQ1 2020","FQ1 2020","Currency=USD","Period=FQ","BEST_FPERIOD_OVERRIDE=FQ","FILING_STATUS=MR","SCALING_FORMAT=MLN","Sort=A","Dates=H","DateFormat=P","Fill=—","Direction=H","UseDPDF=Y")</f>
        <v>1361.9</v>
      </c>
      <c r="I77" s="19">
        <f>_xll.BDH("NBIX US Equity","TOT_LIAB_AND_EQY","FQ2 2020","FQ2 2020","Currency=USD","Period=FQ","BEST_FPERIOD_OVERRIDE=FQ","FILING_STATUS=MR","SCALING_FORMAT=MLN","Sort=A","Dates=H","DateFormat=P","Fill=—","Direction=H","UseDPDF=Y")</f>
        <v>1515.6</v>
      </c>
      <c r="J77" s="19">
        <f>_xll.BDH("NBIX US Equity","TOT_LIAB_AND_EQY","FQ3 2020","FQ3 2020","Currency=USD","Period=FQ","BEST_FPERIOD_OVERRIDE=FQ","FILING_STATUS=MR","SCALING_FORMAT=MLN","Sort=A","Dates=H","DateFormat=P","Fill=—","Direction=H","UseDPDF=Y")</f>
        <v>1502.6</v>
      </c>
      <c r="K77" s="19">
        <f>_xll.BDH("NBIX US Equity","TOT_LIAB_AND_EQY","FQ4 2020","FQ4 2020","Currency=USD","Period=FQ","BEST_FPERIOD_OVERRIDE=FQ","FILING_STATUS=MR","SCALING_FORMAT=MLN","Sort=A","Dates=H","DateFormat=P","Fill=—","Direction=H","UseDPDF=Y")</f>
        <v>1734.7</v>
      </c>
      <c r="L77" s="19">
        <f>_xll.BDH("NBIX US Equity","TOT_LIAB_AND_EQY","FQ1 2021","FQ1 2021","Currency=USD","Period=FQ","BEST_FPERIOD_OVERRIDE=FQ","FILING_STATUS=MR","SCALING_FORMAT=MLN","Sort=A","Dates=H","DateFormat=P","Fill=—","Direction=H","UseDPDF=Y")</f>
        <v>1846.4</v>
      </c>
      <c r="M77" s="19">
        <f>_xll.BDH("NBIX US Equity","TOT_LIAB_AND_EQY","FQ2 2021","FQ2 2021","Currency=USD","Period=FQ","BEST_FPERIOD_OVERRIDE=FQ","FILING_STATUS=MR","SCALING_FORMAT=MLN","Sort=A","Dates=H","DateFormat=P","Fill=—","Direction=H","UseDPDF=Y")</f>
        <v>1956.4</v>
      </c>
      <c r="N77" s="19">
        <f>_xll.BDH("NBIX US Equity","TOT_LIAB_AND_EQY","FQ3 2021","FQ3 2021","Currency=USD","Period=FQ","BEST_FPERIOD_OVERRIDE=FQ","FILING_STATUS=MR","SCALING_FORMAT=MLN","Sort=A","Dates=H","DateFormat=P","Fill=—","Direction=H","UseDPDF=Y")</f>
        <v>2017.3</v>
      </c>
      <c r="O77" s="19">
        <f>_xll.BDH("NBIX US Equity","TOT_LIAB_AND_EQY","FQ4 2021","FQ4 2021","Currency=USD","Period=FQ","BEST_FPERIOD_OVERRIDE=FQ","FILING_STATUS=MR","SCALING_FORMAT=MLN","Sort=A","Dates=H","DateFormat=P","Fill=—","Direction=H","UseDPDF=Y")</f>
        <v>2072.5</v>
      </c>
      <c r="P77" s="19">
        <f>_xll.BDH("NBIX US Equity","TOT_LIAB_AND_EQY","FQ1 2022","FQ1 2022","Currency=USD","Period=FQ","BEST_FPERIOD_OVERRIDE=FQ","FILING_STATUS=MR","SCALING_FORMAT=MLN","Sort=A","Dates=H","DateFormat=P","Fill=—","Direction=H","UseDPDF=Y")</f>
        <v>2144.5</v>
      </c>
      <c r="Q77" s="19">
        <f>_xll.BDH("NBIX US Equity","TOT_LIAB_AND_EQY","FQ2 2022","FQ2 2022","Currency=USD","Period=FQ","BEST_FPERIOD_OVERRIDE=FQ","FILING_STATUS=MR","SCALING_FORMAT=MLN","Sort=A","Dates=H","DateFormat=P","Fill=—","Direction=H","UseDPDF=Y")</f>
        <v>2005.7</v>
      </c>
      <c r="R77" s="19">
        <f>_xll.BDH("NBIX US Equity","TOT_LIAB_AND_EQY","FQ3 2022","FQ3 2022","Currency=USD","Period=FQ","BEST_FPERIOD_OVERRIDE=FQ","FILING_STATUS=MR","SCALING_FORMAT=MLN","Sort=A","Dates=H","DateFormat=P","Fill=—","Direction=H","UseDPDF=Y")</f>
        <v>2143.4</v>
      </c>
      <c r="S77" s="19">
        <f>_xll.BDH("NBIX US Equity","TOT_LIAB_AND_EQY","FQ4 2022","FQ4 2022","Currency=USD","Period=FQ","BEST_FPERIOD_OVERRIDE=FQ","FILING_STATUS=MR","SCALING_FORMAT=MLN","Sort=A","Dates=H","DateFormat=P","Fill=—","Direction=H","UseDPDF=Y")</f>
        <v>2368.6999999999998</v>
      </c>
      <c r="T77" s="19">
        <f>_xll.BDH("NBIX US Equity","TOT_LIAB_AND_EQY","FQ1 2023","FQ1 2023","Currency=USD","Period=FQ","BEST_FPERIOD_OVERRIDE=FQ","FILING_STATUS=MR","SCALING_FORMAT=MLN","Sort=A","Dates=H","DateFormat=P","Fill=—","Direction=H","UseDPDF=Y")</f>
        <v>2359.8000000000002</v>
      </c>
      <c r="U77" s="19">
        <f>_xll.BDH("NBIX US Equity","TOT_LIAB_AND_EQY","FQ2 2023","FQ2 2023","Currency=USD","Period=FQ","BEST_FPERIOD_OVERRIDE=FQ","FILING_STATUS=MR","SCALING_FORMAT=MLN","Sort=A","Dates=H","DateFormat=P","Fill=—","Direction=H","UseDPDF=Y")</f>
        <v>2613.1</v>
      </c>
      <c r="V77" s="19">
        <f>_xll.BDH("NBIX US Equity","TOT_LIAB_AND_EQY","FQ3 2023","FQ3 2023","Currency=USD","Period=FQ","BEST_FPERIOD_OVERRIDE=FQ","FILING_STATUS=MR","SCALING_FORMAT=MLN","Sort=A","Dates=H","DateFormat=P","Fill=—","Direction=H","UseDPDF=Y")</f>
        <v>2848.2</v>
      </c>
      <c r="W77" s="19">
        <f>_xll.BDH("NBIX US Equity","TOT_LIAB_AND_EQY","FQ4 2023","FQ4 2023","Currency=USD","Period=FQ","BEST_FPERIOD_OVERRIDE=FQ","FILING_STATUS=MR","SCALING_FORMAT=MLN","Sort=A","Dates=H","DateFormat=P","Fill=—","Direction=H","UseDPDF=Y")</f>
        <v>3251.4</v>
      </c>
      <c r="X77" s="19">
        <f>_xll.BDH("NBIX US Equity","TOT_LIAB_AND_EQY","FQ1 2024","FQ1 2024","Currency=USD","Period=FQ","BEST_FPERIOD_OVERRIDE=FQ","FILING_STATUS=MR","SCALING_FORMAT=MLN","Sort=A","Dates=H","DateFormat=P","Fill=—","Direction=H","UseDPDF=Y")</f>
        <v>3472.4</v>
      </c>
      <c r="Y77" s="19">
        <f>_xll.BDH("NBIX US Equity","TOT_LIAB_AND_EQY","FQ2 2024","FQ2 2024","Currency=USD","Period=FQ","BEST_FPERIOD_OVERRIDE=FQ","FILING_STATUS=MR","SCALING_FORMAT=MLN","Sort=A","Dates=H","DateFormat=P","Fill=—","Direction=H","UseDPDF=Y")</f>
        <v>3305</v>
      </c>
      <c r="Z77" s="19">
        <f>_xll.BDH("NBIX US Equity","TOT_LIAB_AND_EQY","FQ3 2024","FQ3 2024","Currency=USD","Period=FQ","BEST_FPERIOD_OVERRIDE=FQ","FILING_STATUS=MR","SCALING_FORMAT=MLN","Sort=A","Dates=H","DateFormat=P","Fill=—","Direction=H","UseDPDF=Y")</f>
        <v>3535</v>
      </c>
      <c r="AA77" s="19">
        <f>_xll.BDH("NBIX US Equity","TOT_LIAB_AND_EQY","FQ4 2024","FQ4 2024","Currency=USD","Period=FQ","BEST_FPERIOD_OVERRIDE=FQ","FILING_STATUS=MR","SCALING_FORMAT=MLN","Sort=A","Dates=H","DateFormat=P","Fill=—","Direction=H","UseDPDF=Y")</f>
        <v>3718.7</v>
      </c>
    </row>
    <row r="78" spans="1:27" x14ac:dyDescent="0.25">
      <c r="A78" s="6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x14ac:dyDescent="0.25">
      <c r="A79" s="6" t="s">
        <v>4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25">
      <c r="A80" s="10" t="s">
        <v>391</v>
      </c>
      <c r="B80" s="10" t="s">
        <v>392</v>
      </c>
      <c r="C80" s="12" t="s">
        <v>393</v>
      </c>
      <c r="D80" s="12" t="s">
        <v>393</v>
      </c>
      <c r="E80" s="12" t="s">
        <v>393</v>
      </c>
      <c r="F80" s="12" t="s">
        <v>393</v>
      </c>
      <c r="G80" s="12" t="s">
        <v>393</v>
      </c>
      <c r="H80" s="12" t="s">
        <v>393</v>
      </c>
      <c r="I80" s="12" t="s">
        <v>393</v>
      </c>
      <c r="J80" s="12" t="s">
        <v>393</v>
      </c>
      <c r="K80" s="12" t="s">
        <v>393</v>
      </c>
      <c r="L80" s="12" t="s">
        <v>393</v>
      </c>
      <c r="M80" s="12" t="s">
        <v>393</v>
      </c>
      <c r="N80" s="12" t="s">
        <v>393</v>
      </c>
      <c r="O80" s="12" t="s">
        <v>393</v>
      </c>
      <c r="P80" s="12" t="s">
        <v>393</v>
      </c>
      <c r="Q80" s="12" t="s">
        <v>393</v>
      </c>
      <c r="R80" s="12" t="s">
        <v>393</v>
      </c>
      <c r="S80" s="12" t="s">
        <v>393</v>
      </c>
      <c r="T80" s="12" t="s">
        <v>393</v>
      </c>
      <c r="U80" s="12" t="s">
        <v>393</v>
      </c>
      <c r="V80" s="12" t="s">
        <v>393</v>
      </c>
      <c r="W80" s="12" t="s">
        <v>393</v>
      </c>
      <c r="X80" s="12" t="s">
        <v>393</v>
      </c>
      <c r="Y80" s="12" t="s">
        <v>393</v>
      </c>
      <c r="Z80" s="12" t="s">
        <v>393</v>
      </c>
      <c r="AA80" s="12" t="s">
        <v>393</v>
      </c>
    </row>
    <row r="81" spans="1:27" x14ac:dyDescent="0.25">
      <c r="A81" s="10" t="s">
        <v>790</v>
      </c>
      <c r="B81" s="10" t="s">
        <v>121</v>
      </c>
      <c r="C81" s="13">
        <f>_xll.BDH("NBIX US Equity","BS_SH_OUT","FQ4 2018","FQ4 2018","Currency=USD","Period=FQ","BEST_FPERIOD_OVERRIDE=FQ","FILING_STATUS=MR","Sort=A","Dates=H","DateFormat=P","Fill=—","Direction=H","UseDPDF=Y")</f>
        <v>90.7971</v>
      </c>
      <c r="D81" s="13">
        <f>_xll.BDH("NBIX US Equity","BS_SH_OUT","FQ1 2019","FQ1 2019","Currency=USD","Period=FQ","BEST_FPERIOD_OVERRIDE=FQ","FILING_STATUS=MR","Sort=A","Dates=H","DateFormat=P","Fill=—","Direction=H","UseDPDF=Y")</f>
        <v>91.284000000000006</v>
      </c>
      <c r="E81" s="13">
        <f>_xll.BDH("NBIX US Equity","BS_SH_OUT","FQ2 2019","FQ2 2019","Currency=USD","Period=FQ","BEST_FPERIOD_OVERRIDE=FQ","FILING_STATUS=MR","Sort=A","Dates=H","DateFormat=P","Fill=—","Direction=H","UseDPDF=Y")</f>
        <v>91.536000000000001</v>
      </c>
      <c r="F81" s="13">
        <f>_xll.BDH("NBIX US Equity","BS_SH_OUT","FQ3 2019","FQ3 2019","Currency=USD","Period=FQ","BEST_FPERIOD_OVERRIDE=FQ","FILING_STATUS=MR","Sort=A","Dates=H","DateFormat=P","Fill=—","Direction=H","UseDPDF=Y")</f>
        <v>92.08</v>
      </c>
      <c r="G81" s="13">
        <f>_xll.BDH("NBIX US Equity","BS_SH_OUT","FQ4 2019","FQ4 2019","Currency=USD","Period=FQ","BEST_FPERIOD_OVERRIDE=FQ","FILING_STATUS=MR","Sort=A","Dates=H","DateFormat=P","Fill=—","Direction=H","UseDPDF=Y")</f>
        <v>92.3</v>
      </c>
      <c r="H81" s="13">
        <f>_xll.BDH("NBIX US Equity","BS_SH_OUT","FQ1 2020","FQ1 2020","Currency=USD","Period=FQ","BEST_FPERIOD_OVERRIDE=FQ","FILING_STATUS=MR","Sort=A","Dates=H","DateFormat=P","Fill=—","Direction=H","UseDPDF=Y")</f>
        <v>92.8</v>
      </c>
      <c r="I81" s="13">
        <f>_xll.BDH("NBIX US Equity","BS_SH_OUT","FQ2 2020","FQ2 2020","Currency=USD","Period=FQ","BEST_FPERIOD_OVERRIDE=FQ","FILING_STATUS=MR","Sort=A","Dates=H","DateFormat=P","Fill=—","Direction=H","UseDPDF=Y")</f>
        <v>93.2</v>
      </c>
      <c r="J81" s="13">
        <f>_xll.BDH("NBIX US Equity","BS_SH_OUT","FQ3 2020","FQ3 2020","Currency=USD","Period=FQ","BEST_FPERIOD_OVERRIDE=FQ","FILING_STATUS=MR","Sort=A","Dates=H","DateFormat=P","Fill=—","Direction=H","UseDPDF=Y")</f>
        <v>93.4</v>
      </c>
      <c r="K81" s="13">
        <f>_xll.BDH("NBIX US Equity","BS_SH_OUT","FQ4 2020","FQ4 2020","Currency=USD","Period=FQ","BEST_FPERIOD_OVERRIDE=FQ","FILING_STATUS=MR","Sort=A","Dates=H","DateFormat=P","Fill=—","Direction=H","UseDPDF=Y")</f>
        <v>93.5</v>
      </c>
      <c r="L81" s="13">
        <f>_xll.BDH("NBIX US Equity","BS_SH_OUT","FQ1 2021","FQ1 2021","Currency=USD","Period=FQ","BEST_FPERIOD_OVERRIDE=FQ","FILING_STATUS=MR","Sort=A","Dates=H","DateFormat=P","Fill=—","Direction=H","UseDPDF=Y")</f>
        <v>94.5</v>
      </c>
      <c r="M81" s="13">
        <f>_xll.BDH("NBIX US Equity","BS_SH_OUT","FQ2 2021","FQ2 2021","Currency=USD","Period=FQ","BEST_FPERIOD_OVERRIDE=FQ","FILING_STATUS=MR","Sort=A","Dates=H","DateFormat=P","Fill=—","Direction=H","UseDPDF=Y")</f>
        <v>94.6</v>
      </c>
      <c r="N81" s="13">
        <f>_xll.BDH("NBIX US Equity","BS_SH_OUT","FQ3 2021","FQ3 2021","Currency=USD","Period=FQ","BEST_FPERIOD_OVERRIDE=FQ","FILING_STATUS=MR","Sort=A","Dates=H","DateFormat=P","Fill=—","Direction=H","UseDPDF=Y")</f>
        <v>94.8</v>
      </c>
      <c r="O81" s="13">
        <f>_xll.BDH("NBIX US Equity","BS_SH_OUT","FQ4 2021","FQ4 2021","Currency=USD","Period=FQ","BEST_FPERIOD_OVERRIDE=FQ","FILING_STATUS=MR","Sort=A","Dates=H","DateFormat=P","Fill=—","Direction=H","UseDPDF=Y")</f>
        <v>94.9</v>
      </c>
      <c r="P81" s="13">
        <f>_xll.BDH("NBIX US Equity","BS_SH_OUT","FQ1 2022","FQ1 2022","Currency=USD","Period=FQ","BEST_FPERIOD_OVERRIDE=FQ","FILING_STATUS=MR","Sort=A","Dates=H","DateFormat=P","Fill=—","Direction=H","UseDPDF=Y")</f>
        <v>95.5</v>
      </c>
      <c r="Q81" s="13">
        <f>_xll.BDH("NBIX US Equity","BS_SH_OUT","FQ2 2022","FQ2 2022","Currency=USD","Period=FQ","BEST_FPERIOD_OVERRIDE=FQ","FILING_STATUS=MR","Sort=A","Dates=H","DateFormat=P","Fill=—","Direction=H","UseDPDF=Y")</f>
        <v>95.6</v>
      </c>
      <c r="R81" s="13">
        <f>_xll.BDH("NBIX US Equity","BS_SH_OUT","FQ3 2022","FQ3 2022","Currency=USD","Period=FQ","BEST_FPERIOD_OVERRIDE=FQ","FILING_STATUS=MR","Sort=A","Dates=H","DateFormat=P","Fill=—","Direction=H","UseDPDF=Y")</f>
        <v>96.1</v>
      </c>
      <c r="S81" s="13">
        <f>_xll.BDH("NBIX US Equity","BS_SH_OUT","FQ4 2022","FQ4 2022","Currency=USD","Period=FQ","BEST_FPERIOD_OVERRIDE=FQ","FILING_STATUS=MR","Sort=A","Dates=H","DateFormat=P","Fill=—","Direction=H","UseDPDF=Y")</f>
        <v>96.5</v>
      </c>
      <c r="T81" s="13">
        <f>_xll.BDH("NBIX US Equity","BS_SH_OUT","FQ1 2023","FQ1 2023","Currency=USD","Period=FQ","BEST_FPERIOD_OVERRIDE=FQ","FILING_STATUS=MR","Sort=A","Dates=H","DateFormat=P","Fill=—","Direction=H","UseDPDF=Y")</f>
        <v>97.5</v>
      </c>
      <c r="U81" s="13">
        <f>_xll.BDH("NBIX US Equity","BS_SH_OUT","FQ2 2023","FQ2 2023","Currency=USD","Period=FQ","BEST_FPERIOD_OVERRIDE=FQ","FILING_STATUS=MR","Sort=A","Dates=H","DateFormat=P","Fill=—","Direction=H","UseDPDF=Y")</f>
        <v>97.6</v>
      </c>
      <c r="V81" s="13">
        <f>_xll.BDH("NBIX US Equity","BS_SH_OUT","FQ3 2023","FQ3 2023","Currency=USD","Period=FQ","BEST_FPERIOD_OVERRIDE=FQ","FILING_STATUS=MR","Sort=A","Dates=H","DateFormat=P","Fill=—","Direction=H","UseDPDF=Y")</f>
        <v>98.2</v>
      </c>
      <c r="W81" s="13">
        <f>_xll.BDH("NBIX US Equity","BS_SH_OUT","FQ4 2023","FQ4 2023","Currency=USD","Period=FQ","BEST_FPERIOD_OVERRIDE=FQ","FILING_STATUS=MR","Sort=A","Dates=H","DateFormat=P","Fill=—","Direction=H","UseDPDF=Y")</f>
        <v>98.7</v>
      </c>
      <c r="X81" s="13">
        <f>_xll.BDH("NBIX US Equity","BS_SH_OUT","FQ1 2024","FQ1 2024","Currency=USD","Period=FQ","BEST_FPERIOD_OVERRIDE=FQ","FILING_STATUS=MR","Sort=A","Dates=H","DateFormat=P","Fill=—","Direction=H","UseDPDF=Y")</f>
        <v>100.6</v>
      </c>
      <c r="Y81" s="13">
        <f>_xll.BDH("NBIX US Equity","BS_SH_OUT","FQ2 2024","FQ2 2024","Currency=USD","Period=FQ","BEST_FPERIOD_OVERRIDE=FQ","FILING_STATUS=MR","Sort=A","Dates=H","DateFormat=P","Fill=—","Direction=H","UseDPDF=Y")</f>
        <v>100.9</v>
      </c>
      <c r="Z81" s="13">
        <f>_xll.BDH("NBIX US Equity","BS_SH_OUT","FQ3 2024","FQ3 2024","Currency=USD","Period=FQ","BEST_FPERIOD_OVERRIDE=FQ","FILING_STATUS=MR","Sort=A","Dates=H","DateFormat=P","Fill=—","Direction=H","UseDPDF=Y")</f>
        <v>101.2</v>
      </c>
      <c r="AA81" s="13">
        <f>_xll.BDH("NBIX US Equity","BS_SH_OUT","FQ4 2024","FQ4 2024","Currency=USD","Period=FQ","BEST_FPERIOD_OVERRIDE=FQ","FILING_STATUS=MR","Sort=A","Dates=H","DateFormat=P","Fill=—","Direction=H","UseDPDF=Y")</f>
        <v>99.4</v>
      </c>
    </row>
    <row r="82" spans="1:27" x14ac:dyDescent="0.25">
      <c r="A82" s="10" t="s">
        <v>791</v>
      </c>
      <c r="B82" s="10" t="s">
        <v>792</v>
      </c>
      <c r="C82" s="13">
        <f>_xll.BDH("NBIX US Equity","BS_NUM_OF_TSY_SH","FQ4 2018","FQ4 2018","Currency=USD","Period=FQ","BEST_FPERIOD_OVERRIDE=FQ","FILING_STATUS=MR","Sort=A","Dates=H","DateFormat=P","Fill=—","Direction=H","UseDPDF=Y")</f>
        <v>0</v>
      </c>
      <c r="D82" s="13">
        <f>_xll.BDH("NBIX US Equity","BS_NUM_OF_TSY_SH","FQ1 2019","FQ1 2019","Currency=USD","Period=FQ","BEST_FPERIOD_OVERRIDE=FQ","FILING_STATUS=MR","Sort=A","Dates=H","DateFormat=P","Fill=—","Direction=H","UseDPDF=Y")</f>
        <v>0</v>
      </c>
      <c r="E82" s="13">
        <f>_xll.BDH("NBIX US Equity","BS_NUM_OF_TSY_SH","FQ2 2019","FQ2 2019","Currency=USD","Period=FQ","BEST_FPERIOD_OVERRIDE=FQ","FILING_STATUS=MR","Sort=A","Dates=H","DateFormat=P","Fill=—","Direction=H","UseDPDF=Y")</f>
        <v>0</v>
      </c>
      <c r="F82" s="13">
        <f>_xll.BDH("NBIX US Equity","BS_NUM_OF_TSY_SH","FQ3 2019","FQ3 2019","Currency=USD","Period=FQ","BEST_FPERIOD_OVERRIDE=FQ","FILING_STATUS=MR","Sort=A","Dates=H","DateFormat=P","Fill=—","Direction=H","UseDPDF=Y")</f>
        <v>0</v>
      </c>
      <c r="G82" s="13">
        <f>_xll.BDH("NBIX US Equity","BS_NUM_OF_TSY_SH","FQ4 2019","FQ4 2019","Currency=USD","Period=FQ","BEST_FPERIOD_OVERRIDE=FQ","FILING_STATUS=MR","Sort=A","Dates=H","DateFormat=P","Fill=—","Direction=H","UseDPDF=Y")</f>
        <v>0</v>
      </c>
      <c r="H82" s="13">
        <f>_xll.BDH("NBIX US Equity","BS_NUM_OF_TSY_SH","FQ1 2020","FQ1 2020","Currency=USD","Period=FQ","BEST_FPERIOD_OVERRIDE=FQ","FILING_STATUS=MR","Sort=A","Dates=H","DateFormat=P","Fill=—","Direction=H","UseDPDF=Y")</f>
        <v>0</v>
      </c>
      <c r="I82" s="13">
        <f>_xll.BDH("NBIX US Equity","BS_NUM_OF_TSY_SH","FQ2 2020","FQ2 2020","Currency=USD","Period=FQ","BEST_FPERIOD_OVERRIDE=FQ","FILING_STATUS=MR","Sort=A","Dates=H","DateFormat=P","Fill=—","Direction=H","UseDPDF=Y")</f>
        <v>0</v>
      </c>
      <c r="J82" s="13">
        <f>_xll.BDH("NBIX US Equity","BS_NUM_OF_TSY_SH","FQ3 2020","FQ3 2020","Currency=USD","Period=FQ","BEST_FPERIOD_OVERRIDE=FQ","FILING_STATUS=MR","Sort=A","Dates=H","DateFormat=P","Fill=—","Direction=H","UseDPDF=Y")</f>
        <v>0</v>
      </c>
      <c r="K82" s="13">
        <f>_xll.BDH("NBIX US Equity","BS_NUM_OF_TSY_SH","FQ4 2020","FQ4 2020","Currency=USD","Period=FQ","BEST_FPERIOD_OVERRIDE=FQ","FILING_STATUS=MR","Sort=A","Dates=H","DateFormat=P","Fill=—","Direction=H","UseDPDF=Y")</f>
        <v>0</v>
      </c>
      <c r="L82" s="13">
        <f>_xll.BDH("NBIX US Equity","BS_NUM_OF_TSY_SH","FQ1 2021","FQ1 2021","Currency=USD","Period=FQ","BEST_FPERIOD_OVERRIDE=FQ","FILING_STATUS=MR","Sort=A","Dates=H","DateFormat=P","Fill=—","Direction=H","UseDPDF=Y")</f>
        <v>0</v>
      </c>
      <c r="M82" s="13">
        <f>_xll.BDH("NBIX US Equity","BS_NUM_OF_TSY_SH","FQ2 2021","FQ2 2021","Currency=USD","Period=FQ","BEST_FPERIOD_OVERRIDE=FQ","FILING_STATUS=MR","Sort=A","Dates=H","DateFormat=P","Fill=—","Direction=H","UseDPDF=Y")</f>
        <v>0</v>
      </c>
      <c r="N82" s="13">
        <f>_xll.BDH("NBIX US Equity","BS_NUM_OF_TSY_SH","FQ3 2021","FQ3 2021","Currency=USD","Period=FQ","BEST_FPERIOD_OVERRIDE=FQ","FILING_STATUS=MR","Sort=A","Dates=H","DateFormat=P","Fill=—","Direction=H","UseDPDF=Y")</f>
        <v>0</v>
      </c>
      <c r="O82" s="13">
        <f>_xll.BDH("NBIX US Equity","BS_NUM_OF_TSY_SH","FQ4 2021","FQ4 2021","Currency=USD","Period=FQ","BEST_FPERIOD_OVERRIDE=FQ","FILING_STATUS=MR","Sort=A","Dates=H","DateFormat=P","Fill=—","Direction=H","UseDPDF=Y")</f>
        <v>0</v>
      </c>
      <c r="P82" s="13">
        <f>_xll.BDH("NBIX US Equity","BS_NUM_OF_TSY_SH","FQ1 2022","FQ1 2022","Currency=USD","Period=FQ","BEST_FPERIOD_OVERRIDE=FQ","FILING_STATUS=MR","Sort=A","Dates=H","DateFormat=P","Fill=—","Direction=H","UseDPDF=Y")</f>
        <v>0</v>
      </c>
      <c r="Q82" s="13">
        <f>_xll.BDH("NBIX US Equity","BS_NUM_OF_TSY_SH","FQ2 2022","FQ2 2022","Currency=USD","Period=FQ","BEST_FPERIOD_OVERRIDE=FQ","FILING_STATUS=MR","Sort=A","Dates=H","DateFormat=P","Fill=—","Direction=H","UseDPDF=Y")</f>
        <v>0</v>
      </c>
      <c r="R82" s="13">
        <f>_xll.BDH("NBIX US Equity","BS_NUM_OF_TSY_SH","FQ3 2022","FQ3 2022","Currency=USD","Period=FQ","BEST_FPERIOD_OVERRIDE=FQ","FILING_STATUS=MR","Sort=A","Dates=H","DateFormat=P","Fill=—","Direction=H","UseDPDF=Y")</f>
        <v>0</v>
      </c>
      <c r="S82" s="13">
        <f>_xll.BDH("NBIX US Equity","BS_NUM_OF_TSY_SH","FQ4 2022","FQ4 2022","Currency=USD","Period=FQ","BEST_FPERIOD_OVERRIDE=FQ","FILING_STATUS=MR","Sort=A","Dates=H","DateFormat=P","Fill=—","Direction=H","UseDPDF=Y")</f>
        <v>0</v>
      </c>
      <c r="T82" s="13">
        <f>_xll.BDH("NBIX US Equity","BS_NUM_OF_TSY_SH","FQ1 2023","FQ1 2023","Currency=USD","Period=FQ","BEST_FPERIOD_OVERRIDE=FQ","FILING_STATUS=MR","Sort=A","Dates=H","DateFormat=P","Fill=—","Direction=H","UseDPDF=Y")</f>
        <v>0</v>
      </c>
      <c r="U82" s="13">
        <f>_xll.BDH("NBIX US Equity","BS_NUM_OF_TSY_SH","FQ2 2023","FQ2 2023","Currency=USD","Period=FQ","BEST_FPERIOD_OVERRIDE=FQ","FILING_STATUS=MR","Sort=A","Dates=H","DateFormat=P","Fill=—","Direction=H","UseDPDF=Y")</f>
        <v>0</v>
      </c>
      <c r="V82" s="13">
        <f>_xll.BDH("NBIX US Equity","BS_NUM_OF_TSY_SH","FQ3 2023","FQ3 2023","Currency=USD","Period=FQ","BEST_FPERIOD_OVERRIDE=FQ","FILING_STATUS=MR","Sort=A","Dates=H","DateFormat=P","Fill=—","Direction=H","UseDPDF=Y")</f>
        <v>0</v>
      </c>
      <c r="W82" s="13">
        <f>_xll.BDH("NBIX US Equity","BS_NUM_OF_TSY_SH","FQ4 2023","FQ4 2023","Currency=USD","Period=FQ","BEST_FPERIOD_OVERRIDE=FQ","FILING_STATUS=MR","Sort=A","Dates=H","DateFormat=P","Fill=—","Direction=H","UseDPDF=Y")</f>
        <v>0</v>
      </c>
      <c r="X82" s="13">
        <f>_xll.BDH("NBIX US Equity","BS_NUM_OF_TSY_SH","FQ1 2024","FQ1 2024","Currency=USD","Period=FQ","BEST_FPERIOD_OVERRIDE=FQ","FILING_STATUS=MR","Sort=A","Dates=H","DateFormat=P","Fill=—","Direction=H","UseDPDF=Y")</f>
        <v>0</v>
      </c>
      <c r="Y82" s="13">
        <f>_xll.BDH("NBIX US Equity","BS_NUM_OF_TSY_SH","FQ2 2024","FQ2 2024","Currency=USD","Period=FQ","BEST_FPERIOD_OVERRIDE=FQ","FILING_STATUS=MR","Sort=A","Dates=H","DateFormat=P","Fill=—","Direction=H","UseDPDF=Y")</f>
        <v>0</v>
      </c>
      <c r="Z82" s="13">
        <f>_xll.BDH("NBIX US Equity","BS_NUM_OF_TSY_SH","FQ3 2024","FQ3 2024","Currency=USD","Period=FQ","BEST_FPERIOD_OVERRIDE=FQ","FILING_STATUS=MR","Sort=A","Dates=H","DateFormat=P","Fill=—","Direction=H","UseDPDF=Y")</f>
        <v>0</v>
      </c>
      <c r="AA82" s="13">
        <f>_xll.BDH("NBIX US Equity","BS_NUM_OF_TSY_SH","FQ4 2024","FQ4 2024","Currency=USD","Period=FQ","BEST_FPERIOD_OVERRIDE=FQ","FILING_STATUS=MR","Sort=A","Dates=H","DateFormat=P","Fill=—","Direction=H","UseDPDF=Y")</f>
        <v>0</v>
      </c>
    </row>
    <row r="83" spans="1:27" x14ac:dyDescent="0.25">
      <c r="A83" s="10" t="s">
        <v>793</v>
      </c>
      <c r="B83" s="10" t="s">
        <v>794</v>
      </c>
      <c r="C83" s="13">
        <f>_xll.BDH("NBIX US Equity","BS_PENSION_RSRV","FQ4 2018","FQ4 2018","Currency=USD","Period=FQ","BEST_FPERIOD_OVERRIDE=FQ","FILING_STATUS=MR","SCALING_FORMAT=MLN","Sort=A","Dates=H","DateFormat=P","Fill=—","Direction=H","UseDPDF=Y")</f>
        <v>0</v>
      </c>
      <c r="D83" s="13">
        <f>_xll.BDH("NBIX US Equity","BS_PENSION_RSRV","FQ1 2019","FQ1 2019","Currency=USD","Period=FQ","BEST_FPERIOD_OVERRIDE=FQ","FILING_STATUS=MR","SCALING_FORMAT=MLN","Sort=A","Dates=H","DateFormat=P","Fill=—","Direction=H","UseDPDF=Y")</f>
        <v>0</v>
      </c>
      <c r="E83" s="13">
        <f>_xll.BDH("NBIX US Equity","BS_PENSION_RSRV","FQ2 2019","FQ2 2019","Currency=USD","Period=FQ","BEST_FPERIOD_OVERRIDE=FQ","FILING_STATUS=MR","SCALING_FORMAT=MLN","Sort=A","Dates=H","DateFormat=P","Fill=—","Direction=H","UseDPDF=Y")</f>
        <v>0</v>
      </c>
      <c r="F83" s="13">
        <f>_xll.BDH("NBIX US Equity","BS_PENSION_RSRV","FQ3 2019","FQ3 2019","Currency=USD","Period=FQ","BEST_FPERIOD_OVERRIDE=FQ","FILING_STATUS=MR","SCALING_FORMAT=MLN","Sort=A","Dates=H","DateFormat=P","Fill=—","Direction=H","UseDPDF=Y")</f>
        <v>0</v>
      </c>
      <c r="G83" s="13">
        <f>_xll.BDH("NBIX US Equity","BS_PENSION_RSRV","FQ4 2019","FQ4 2019","Currency=USD","Period=FQ","BEST_FPERIOD_OVERRIDE=FQ","FILING_STATUS=MR","SCALING_FORMAT=MLN","Sort=A","Dates=H","DateFormat=P","Fill=—","Direction=H","UseDPDF=Y")</f>
        <v>0</v>
      </c>
      <c r="H83" s="13">
        <f>_xll.BDH("NBIX US Equity","BS_PENSION_RSRV","FQ1 2020","FQ1 2020","Currency=USD","Period=FQ","BEST_FPERIOD_OVERRIDE=FQ","FILING_STATUS=MR","SCALING_FORMAT=MLN","Sort=A","Dates=H","DateFormat=P","Fill=—","Direction=H","UseDPDF=Y")</f>
        <v>0</v>
      </c>
      <c r="I83" s="13">
        <f>_xll.BDH("NBIX US Equity","BS_PENSION_RSRV","FQ2 2020","FQ2 2020","Currency=USD","Period=FQ","BEST_FPERIOD_OVERRIDE=FQ","FILING_STATUS=MR","SCALING_FORMAT=MLN","Sort=A","Dates=H","DateFormat=P","Fill=—","Direction=H","UseDPDF=Y")</f>
        <v>0</v>
      </c>
      <c r="J83" s="13">
        <f>_xll.BDH("NBIX US Equity","BS_PENSION_RSRV","FQ3 2020","FQ3 2020","Currency=USD","Period=FQ","BEST_FPERIOD_OVERRIDE=FQ","FILING_STATUS=MR","SCALING_FORMAT=MLN","Sort=A","Dates=H","DateFormat=P","Fill=—","Direction=H","UseDPDF=Y")</f>
        <v>0</v>
      </c>
      <c r="K83" s="13">
        <f>_xll.BDH("NBIX US Equity","BS_PENSION_RSRV","FQ4 2020","FQ4 2020","Currency=USD","Period=FQ","BEST_FPERIOD_OVERRIDE=FQ","FILING_STATUS=MR","SCALING_FORMAT=MLN","Sort=A","Dates=H","DateFormat=P","Fill=—","Direction=H","UseDPDF=Y")</f>
        <v>0</v>
      </c>
      <c r="L83" s="13">
        <f>_xll.BDH("NBIX US Equity","BS_PENSION_RSRV","FQ1 2021","FQ1 2021","Currency=USD","Period=FQ","BEST_FPERIOD_OVERRIDE=FQ","FILING_STATUS=MR","SCALING_FORMAT=MLN","Sort=A","Dates=H","DateFormat=P","Fill=—","Direction=H","UseDPDF=Y")</f>
        <v>0</v>
      </c>
      <c r="M83" s="13">
        <f>_xll.BDH("NBIX US Equity","BS_PENSION_RSRV","FQ2 2021","FQ2 2021","Currency=USD","Period=FQ","BEST_FPERIOD_OVERRIDE=FQ","FILING_STATUS=MR","SCALING_FORMAT=MLN","Sort=A","Dates=H","DateFormat=P","Fill=—","Direction=H","UseDPDF=Y")</f>
        <v>0</v>
      </c>
      <c r="N83" s="13">
        <f>_xll.BDH("NBIX US Equity","BS_PENSION_RSRV","FQ3 2021","FQ3 2021","Currency=USD","Period=FQ","BEST_FPERIOD_OVERRIDE=FQ","FILING_STATUS=MR","SCALING_FORMAT=MLN","Sort=A","Dates=H","DateFormat=P","Fill=—","Direction=H","UseDPDF=Y")</f>
        <v>0</v>
      </c>
      <c r="O83" s="13">
        <f>_xll.BDH("NBIX US Equity","BS_PENSION_RSRV","FQ4 2021","FQ4 2021","Currency=USD","Period=FQ","BEST_FPERIOD_OVERRIDE=FQ","FILING_STATUS=MR","SCALING_FORMAT=MLN","Sort=A","Dates=H","DateFormat=P","Fill=—","Direction=H","UseDPDF=Y")</f>
        <v>0</v>
      </c>
      <c r="P83" s="13">
        <f>_xll.BDH("NBIX US Equity","BS_PENSION_RSRV","FQ1 2022","FQ1 2022","Currency=USD","Period=FQ","BEST_FPERIOD_OVERRIDE=FQ","FILING_STATUS=MR","SCALING_FORMAT=MLN","Sort=A","Dates=H","DateFormat=P","Fill=—","Direction=H","UseDPDF=Y")</f>
        <v>0</v>
      </c>
      <c r="Q83" s="13">
        <f>_xll.BDH("NBIX US Equity","BS_PENSION_RSRV","FQ2 2022","FQ2 2022","Currency=USD","Period=FQ","BEST_FPERIOD_OVERRIDE=FQ","FILING_STATUS=MR","SCALING_FORMAT=MLN","Sort=A","Dates=H","DateFormat=P","Fill=—","Direction=H","UseDPDF=Y")</f>
        <v>0</v>
      </c>
      <c r="R83" s="13">
        <f>_xll.BDH("NBIX US Equity","BS_PENSION_RSRV","FQ3 2022","FQ3 2022","Currency=USD","Period=FQ","BEST_FPERIOD_OVERRIDE=FQ","FILING_STATUS=MR","SCALING_FORMAT=MLN","Sort=A","Dates=H","DateFormat=P","Fill=—","Direction=H","UseDPDF=Y")</f>
        <v>0</v>
      </c>
      <c r="S83" s="13">
        <f>_xll.BDH("NBIX US Equity","BS_PENSION_RSRV","FQ4 2022","FQ4 2022","Currency=USD","Period=FQ","BEST_FPERIOD_OVERRIDE=FQ","FILING_STATUS=MR","SCALING_FORMAT=MLN","Sort=A","Dates=H","DateFormat=P","Fill=—","Direction=H","UseDPDF=Y")</f>
        <v>0</v>
      </c>
      <c r="T83" s="13">
        <f>_xll.BDH("NBIX US Equity","BS_PENSION_RSRV","FQ1 2023","FQ1 2023","Currency=USD","Period=FQ","BEST_FPERIOD_OVERRIDE=FQ","FILING_STATUS=MR","SCALING_FORMAT=MLN","Sort=A","Dates=H","DateFormat=P","Fill=—","Direction=H","UseDPDF=Y")</f>
        <v>0</v>
      </c>
      <c r="U83" s="13">
        <f>_xll.BDH("NBIX US Equity","BS_PENSION_RSRV","FQ2 2023","FQ2 2023","Currency=USD","Period=FQ","BEST_FPERIOD_OVERRIDE=FQ","FILING_STATUS=MR","SCALING_FORMAT=MLN","Sort=A","Dates=H","DateFormat=P","Fill=—","Direction=H","UseDPDF=Y")</f>
        <v>0</v>
      </c>
      <c r="V83" s="13">
        <f>_xll.BDH("NBIX US Equity","BS_PENSION_RSRV","FQ3 2023","FQ3 2023","Currency=USD","Period=FQ","BEST_FPERIOD_OVERRIDE=FQ","FILING_STATUS=MR","SCALING_FORMAT=MLN","Sort=A","Dates=H","DateFormat=P","Fill=—","Direction=H","UseDPDF=Y")</f>
        <v>0</v>
      </c>
      <c r="W83" s="13">
        <f>_xll.BDH("NBIX US Equity","BS_PENSION_RSRV","FQ4 2023","FQ4 2023","Currency=USD","Period=FQ","BEST_FPERIOD_OVERRIDE=FQ","FILING_STATUS=MR","SCALING_FORMAT=MLN","Sort=A","Dates=H","DateFormat=P","Fill=—","Direction=H","UseDPDF=Y")</f>
        <v>0</v>
      </c>
      <c r="X83" s="13">
        <f>_xll.BDH("NBIX US Equity","BS_PENSION_RSRV","FQ1 2024","FQ1 2024","Currency=USD","Period=FQ","BEST_FPERIOD_OVERRIDE=FQ","FILING_STATUS=MR","SCALING_FORMAT=MLN","Sort=A","Dates=H","DateFormat=P","Fill=—","Direction=H","UseDPDF=Y")</f>
        <v>0</v>
      </c>
      <c r="Y83" s="13">
        <f>_xll.BDH("NBIX US Equity","BS_PENSION_RSRV","FQ2 2024","FQ2 2024","Currency=USD","Period=FQ","BEST_FPERIOD_OVERRIDE=FQ","FILING_STATUS=MR","SCALING_FORMAT=MLN","Sort=A","Dates=H","DateFormat=P","Fill=—","Direction=H","UseDPDF=Y")</f>
        <v>0</v>
      </c>
      <c r="Z83" s="13">
        <f>_xll.BDH("NBIX US Equity","BS_PENSION_RSRV","FQ3 2024","FQ3 2024","Currency=USD","Period=FQ","BEST_FPERIOD_OVERRIDE=FQ","FILING_STATUS=MR","SCALING_FORMAT=MLN","Sort=A","Dates=H","DateFormat=P","Fill=—","Direction=H","UseDPDF=Y")</f>
        <v>0</v>
      </c>
      <c r="AA83" s="13">
        <f>_xll.BDH("NBIX US Equity","BS_PENSION_RSRV","FQ4 2024","FQ4 2024","Currency=USD","Period=FQ","BEST_FPERIOD_OVERRIDE=FQ","FILING_STATUS=MR","SCALING_FORMAT=MLN","Sort=A","Dates=H","DateFormat=P","Fill=—","Direction=H","UseDPDF=Y")</f>
        <v>0</v>
      </c>
    </row>
    <row r="84" spans="1:27" x14ac:dyDescent="0.25">
      <c r="A84" s="10" t="s">
        <v>795</v>
      </c>
      <c r="B84" s="10" t="s">
        <v>796</v>
      </c>
      <c r="C84" s="13">
        <f>_xll.BDH("NBIX US Equity","BS_FUTURE_MIN_OPER_LEASE_OBLIG","FQ4 2018","FQ4 2018","Currency=USD","Period=FQ","BEST_FPERIOD_OVERRIDE=FQ","FILING_STATUS=MR","SCALING_FORMAT=MLN","Sort=A","Dates=H","DateFormat=P","Fill=—","Direction=H","UseDPDF=Y")</f>
        <v>101.9</v>
      </c>
      <c r="D84" s="13">
        <f>_xll.BDH("NBIX US Equity","BS_FUTURE_MIN_OPER_LEASE_OBLIG","FQ1 2019","FQ1 2019","Currency=USD","Period=FQ","BEST_FPERIOD_OVERRIDE=FQ","FILING_STATUS=MR","SCALING_FORMAT=MLN","Sort=A","Dates=H","DateFormat=P","Fill=—","Direction=H","UseDPDF=Y")</f>
        <v>100.31</v>
      </c>
      <c r="E84" s="13">
        <f>_xll.BDH("NBIX US Equity","BS_FUTURE_MIN_OPER_LEASE_OBLIG","FQ2 2019","FQ2 2019","Currency=USD","Period=FQ","BEST_FPERIOD_OVERRIDE=FQ","FILING_STATUS=MR","SCALING_FORMAT=MLN","Sort=A","Dates=H","DateFormat=P","Fill=—","Direction=H","UseDPDF=Y")</f>
        <v>98.662000000000006</v>
      </c>
      <c r="F84" s="13">
        <f>_xll.BDH("NBIX US Equity","BS_FUTURE_MIN_OPER_LEASE_OBLIG","FQ3 2019","FQ3 2019","Currency=USD","Period=FQ","BEST_FPERIOD_OVERRIDE=FQ","FILING_STATUS=MR","SCALING_FORMAT=MLN","Sort=A","Dates=H","DateFormat=P","Fill=—","Direction=H","UseDPDF=Y")</f>
        <v>115.55500000000001</v>
      </c>
      <c r="G84" s="13">
        <f>_xll.BDH("NBIX US Equity","BS_FUTURE_MIN_OPER_LEASE_OBLIG","FQ4 2019","FQ4 2019","Currency=USD","Period=FQ","BEST_FPERIOD_OVERRIDE=FQ","FILING_STATUS=MR","SCALING_FORMAT=MLN","Sort=A","Dates=H","DateFormat=P","Fill=—","Direction=H","UseDPDF=Y")</f>
        <v>134.68100000000001</v>
      </c>
      <c r="H84" s="13">
        <f>_xll.BDH("NBIX US Equity","BS_FUTURE_MIN_OPER_LEASE_OBLIG","FQ1 2020","FQ1 2020","Currency=USD","Period=FQ","BEST_FPERIOD_OVERRIDE=FQ","FILING_STATUS=MR","SCALING_FORMAT=MLN","Sort=A","Dates=H","DateFormat=P","Fill=—","Direction=H","UseDPDF=Y")</f>
        <v>130.5</v>
      </c>
      <c r="I84" s="13">
        <f>_xll.BDH("NBIX US Equity","BS_FUTURE_MIN_OPER_LEASE_OBLIG","FQ2 2020","FQ2 2020","Currency=USD","Period=FQ","BEST_FPERIOD_OVERRIDE=FQ","FILING_STATUS=MR","SCALING_FORMAT=MLN","Sort=A","Dates=H","DateFormat=P","Fill=—","Direction=H","UseDPDF=Y")</f>
        <v>128.30000000000001</v>
      </c>
      <c r="J84" s="13">
        <f>_xll.BDH("NBIX US Equity","BS_FUTURE_MIN_OPER_LEASE_OBLIG","FQ3 2020","FQ3 2020","Currency=USD","Period=FQ","BEST_FPERIOD_OVERRIDE=FQ","FILING_STATUS=MR","SCALING_FORMAT=MLN","Sort=A","Dates=H","DateFormat=P","Fill=—","Direction=H","UseDPDF=Y")</f>
        <v>126.1</v>
      </c>
      <c r="K84" s="13">
        <f>_xll.BDH("NBIX US Equity","BS_FUTURE_MIN_OPER_LEASE_OBLIG","FQ4 2020","FQ4 2020","Currency=USD","Period=FQ","BEST_FPERIOD_OVERRIDE=FQ","FILING_STATUS=MR","SCALING_FORMAT=MLN","Sort=A","Dates=H","DateFormat=P","Fill=—","Direction=H","UseDPDF=Y")</f>
        <v>139.9</v>
      </c>
      <c r="L84" s="13">
        <f>_xll.BDH("NBIX US Equity","BS_FUTURE_MIN_OPER_LEASE_OBLIG","FQ1 2021","FQ1 2021","Currency=USD","Period=FQ","BEST_FPERIOD_OVERRIDE=FQ","FILING_STATUS=MR","SCALING_FORMAT=MLN","Sort=A","Dates=H","DateFormat=P","Fill=—","Direction=H","UseDPDF=Y")</f>
        <v>156.4</v>
      </c>
      <c r="M84" s="13">
        <f>_xll.BDH("NBIX US Equity","BS_FUTURE_MIN_OPER_LEASE_OBLIG","FQ2 2021","FQ2 2021","Currency=USD","Period=FQ","BEST_FPERIOD_OVERRIDE=FQ","FILING_STATUS=MR","SCALING_FORMAT=MLN","Sort=A","Dates=H","DateFormat=P","Fill=—","Direction=H","UseDPDF=Y")</f>
        <v>159.30000000000001</v>
      </c>
      <c r="N84" s="13">
        <f>_xll.BDH("NBIX US Equity","BS_FUTURE_MIN_OPER_LEASE_OBLIG","FQ3 2021","FQ3 2021","Currency=USD","Period=FQ","BEST_FPERIOD_OVERRIDE=FQ","FILING_STATUS=MR","SCALING_FORMAT=MLN","Sort=A","Dates=H","DateFormat=P","Fill=—","Direction=H","UseDPDF=Y")</f>
        <v>155.69999999999999</v>
      </c>
      <c r="O84" s="13">
        <f>_xll.BDH("NBIX US Equity","BS_FUTURE_MIN_OPER_LEASE_OBLIG","FQ4 2021","FQ4 2021","Currency=USD","Period=FQ","BEST_FPERIOD_OVERRIDE=FQ","FILING_STATUS=MR","SCALING_FORMAT=MLN","Sort=A","Dates=H","DateFormat=P","Fill=—","Direction=H","UseDPDF=Y")</f>
        <v>154.30000000000001</v>
      </c>
      <c r="P84" s="13">
        <f>_xll.BDH("NBIX US Equity","BS_FUTURE_MIN_OPER_LEASE_OBLIG","FQ1 2022","FQ1 2022","Currency=USD","Period=FQ","BEST_FPERIOD_OVERRIDE=FQ","FILING_STATUS=MR","SCALING_FORMAT=MLN","Sort=A","Dates=H","DateFormat=P","Fill=—","Direction=H","UseDPDF=Y")</f>
        <v>150.30000000000001</v>
      </c>
      <c r="Q84" s="13">
        <f>_xll.BDH("NBIX US Equity","BS_FUTURE_MIN_OPER_LEASE_OBLIG","FQ2 2022","FQ2 2022","Currency=USD","Period=FQ","BEST_FPERIOD_OVERRIDE=FQ","FILING_STATUS=MR","SCALING_FORMAT=MLN","Sort=A","Dates=H","DateFormat=P","Fill=—","Direction=H","UseDPDF=Y")</f>
        <v>146</v>
      </c>
      <c r="R84" s="13">
        <f>_xll.BDH("NBIX US Equity","BS_FUTURE_MIN_OPER_LEASE_OBLIG","FQ3 2022","FQ3 2022","Currency=USD","Period=FQ","BEST_FPERIOD_OVERRIDE=FQ","FILING_STATUS=MR","SCALING_FORMAT=MLN","Sort=A","Dates=H","DateFormat=P","Fill=—","Direction=H","UseDPDF=Y")</f>
        <v>141.69999999999999</v>
      </c>
      <c r="S84" s="13">
        <f>_xll.BDH("NBIX US Equity","BS_FUTURE_MIN_OPER_LEASE_OBLIG","FQ4 2022","FQ4 2022","Currency=USD","Period=FQ","BEST_FPERIOD_OVERRIDE=FQ","FILING_STATUS=MR","SCALING_FORMAT=MLN","Sort=A","Dates=H","DateFormat=P","Fill=—","Direction=H","UseDPDF=Y")</f>
        <v>137.30000000000001</v>
      </c>
      <c r="T84" s="13">
        <f>_xll.BDH("NBIX US Equity","BS_FUTURE_MIN_OPER_LEASE_OBLIG","FQ1 2023","FQ1 2023","Currency=USD","Period=FQ","BEST_FPERIOD_OVERRIDE=FQ","FILING_STATUS=MR","SCALING_FORMAT=MLN","Sort=A","Dates=H","DateFormat=P","Fill=—","Direction=H","UseDPDF=Y")</f>
        <v>132.9</v>
      </c>
      <c r="U84" s="13">
        <f>_xll.BDH("NBIX US Equity","BS_FUTURE_MIN_OPER_LEASE_OBLIG","FQ2 2023","FQ2 2023","Currency=USD","Period=FQ","BEST_FPERIOD_OVERRIDE=FQ","FILING_STATUS=MR","SCALING_FORMAT=MLN","Sort=A","Dates=H","DateFormat=P","Fill=—","Direction=H","UseDPDF=Y")</f>
        <v>130.69999999999999</v>
      </c>
      <c r="V84" s="13">
        <f>_xll.BDH("NBIX US Equity","BS_FUTURE_MIN_OPER_LEASE_OBLIG","FQ3 2023","FQ3 2023","Currency=USD","Period=FQ","BEST_FPERIOD_OVERRIDE=FQ","FILING_STATUS=MR","SCALING_FORMAT=MLN","Sort=A","Dates=H","DateFormat=P","Fill=—","Direction=H","UseDPDF=Y")</f>
        <v>126.1</v>
      </c>
      <c r="W84" s="13">
        <f>_xll.BDH("NBIX US Equity","BS_FUTURE_MIN_OPER_LEASE_OBLIG","FQ4 2023","FQ4 2023","Currency=USD","Period=FQ","BEST_FPERIOD_OVERRIDE=FQ","FILING_STATUS=MR","SCALING_FORMAT=MLN","Sort=A","Dates=H","DateFormat=P","Fill=—","Direction=H","UseDPDF=Y")</f>
        <v>383.5</v>
      </c>
      <c r="X84" s="13">
        <f>_xll.BDH("NBIX US Equity","BS_FUTURE_MIN_OPER_LEASE_OBLIG","FQ1 2024","FQ1 2024","Currency=USD","Period=FQ","BEST_FPERIOD_OVERRIDE=FQ","FILING_STATUS=MR","SCALING_FORMAT=MLN","Sort=A","Dates=H","DateFormat=P","Fill=—","Direction=H","UseDPDF=Y")</f>
        <v>377.4</v>
      </c>
      <c r="Y84" s="13">
        <f>_xll.BDH("NBIX US Equity","BS_FUTURE_MIN_OPER_LEASE_OBLIG","FQ2 2024","FQ2 2024","Currency=USD","Period=FQ","BEST_FPERIOD_OVERRIDE=FQ","FILING_STATUS=MR","SCALING_FORMAT=MLN","Sort=A","Dates=H","DateFormat=P","Fill=—","Direction=H","UseDPDF=Y")</f>
        <v>381</v>
      </c>
      <c r="Z84" s="13">
        <f>_xll.BDH("NBIX US Equity","BS_FUTURE_MIN_OPER_LEASE_OBLIG","FQ3 2024","FQ3 2024","Currency=USD","Period=FQ","BEST_FPERIOD_OVERRIDE=FQ","FILING_STATUS=MR","SCALING_FORMAT=MLN","Sort=A","Dates=H","DateFormat=P","Fill=—","Direction=H","UseDPDF=Y")</f>
        <v>372.1</v>
      </c>
      <c r="AA84" s="13">
        <f>_xll.BDH("NBIX US Equity","BS_FUTURE_MIN_OPER_LEASE_OBLIG","FQ4 2024","FQ4 2024","Currency=USD","Period=FQ","BEST_FPERIOD_OVERRIDE=FQ","FILING_STATUS=MR","SCALING_FORMAT=MLN","Sort=A","Dates=H","DateFormat=P","Fill=—","Direction=H","UseDPDF=Y")</f>
        <v>654.29999999999995</v>
      </c>
    </row>
    <row r="85" spans="1:27" x14ac:dyDescent="0.25">
      <c r="A85" s="10" t="s">
        <v>797</v>
      </c>
      <c r="B85" s="10" t="s">
        <v>798</v>
      </c>
      <c r="C85" s="13">
        <f>_xll.BDH("NBIX US Equity","BS_TOTAL_CAPITAL_LEASES","FQ4 2018","FQ4 2018","Currency=USD","Period=FQ","BEST_FPERIOD_OVERRIDE=FQ","FILING_STATUS=MR","SCALING_FORMAT=MLN","Sort=A","Dates=H","DateFormat=P","Fill=—","Direction=H","UseDPDF=Y")</f>
        <v>0</v>
      </c>
      <c r="D85" s="13" t="str">
        <f>_xll.BDH("NBIX US Equity","BS_TOTAL_CAPITAL_LEASES","FQ1 2019","FQ1 2019","Currency=USD","Period=FQ","BEST_FPERIOD_OVERRIDE=FQ","FILING_STATUS=MR","SCALING_FORMAT=MLN","Sort=A","Dates=H","DateFormat=P","Fill=—","Direction=H","UseDPDF=Y")</f>
        <v>—</v>
      </c>
      <c r="E85" s="13" t="str">
        <f>_xll.BDH("NBIX US Equity","BS_TOTAL_CAPITAL_LEASES","FQ2 2019","FQ2 2019","Currency=USD","Period=FQ","BEST_FPERIOD_OVERRIDE=FQ","FILING_STATUS=MR","SCALING_FORMAT=MLN","Sort=A","Dates=H","DateFormat=P","Fill=—","Direction=H","UseDPDF=Y")</f>
        <v>—</v>
      </c>
      <c r="F85" s="13" t="str">
        <f>_xll.BDH("NBIX US Equity","BS_TOTAL_CAPITAL_LEASES","FQ3 2019","FQ3 2019","Currency=USD","Period=FQ","BEST_FPERIOD_OVERRIDE=FQ","FILING_STATUS=MR","SCALING_FORMAT=MLN","Sort=A","Dates=H","DateFormat=P","Fill=—","Direction=H","UseDPDF=Y")</f>
        <v>—</v>
      </c>
      <c r="G85" s="13">
        <f>_xll.BDH("NBIX US Equity","BS_TOTAL_CAPITAL_LEASES","FQ4 2019","FQ4 2019","Currency=USD","Period=FQ","BEST_FPERIOD_OVERRIDE=FQ","FILING_STATUS=MR","SCALING_FORMAT=MLN","Sort=A","Dates=H","DateFormat=P","Fill=—","Direction=H","UseDPDF=Y")</f>
        <v>0</v>
      </c>
      <c r="H85" s="13" t="str">
        <f>_xll.BDH("NBIX US Equity","BS_TOTAL_CAPITAL_LEASES","FQ1 2020","FQ1 2020","Currency=USD","Period=FQ","BEST_FPERIOD_OVERRIDE=FQ","FILING_STATUS=MR","SCALING_FORMAT=MLN","Sort=A","Dates=H","DateFormat=P","Fill=—","Direction=H","UseDPDF=Y")</f>
        <v>—</v>
      </c>
      <c r="I85" s="13" t="str">
        <f>_xll.BDH("NBIX US Equity","BS_TOTAL_CAPITAL_LEASES","FQ2 2020","FQ2 2020","Currency=USD","Period=FQ","BEST_FPERIOD_OVERRIDE=FQ","FILING_STATUS=MR","SCALING_FORMAT=MLN","Sort=A","Dates=H","DateFormat=P","Fill=—","Direction=H","UseDPDF=Y")</f>
        <v>—</v>
      </c>
      <c r="J85" s="13" t="str">
        <f>_xll.BDH("NBIX US Equity","BS_TOTAL_CAPITAL_LEASES","FQ3 2020","FQ3 2020","Currency=USD","Period=FQ","BEST_FPERIOD_OVERRIDE=FQ","FILING_STATUS=MR","SCALING_FORMAT=MLN","Sort=A","Dates=H","DateFormat=P","Fill=—","Direction=H","UseDPDF=Y")</f>
        <v>—</v>
      </c>
      <c r="K85" s="13">
        <f>_xll.BDH("NBIX US Equity","BS_TOTAL_CAPITAL_LEASES","FQ4 2020","FQ4 2020","Currency=USD","Period=FQ","BEST_FPERIOD_OVERRIDE=FQ","FILING_STATUS=MR","SCALING_FORMAT=MLN","Sort=A","Dates=H","DateFormat=P","Fill=—","Direction=H","UseDPDF=Y")</f>
        <v>0</v>
      </c>
      <c r="L85" s="13" t="str">
        <f>_xll.BDH("NBIX US Equity","BS_TOTAL_CAPITAL_LEASES","FQ1 2021","FQ1 2021","Currency=USD","Period=FQ","BEST_FPERIOD_OVERRIDE=FQ","FILING_STATUS=MR","SCALING_FORMAT=MLN","Sort=A","Dates=H","DateFormat=P","Fill=—","Direction=H","UseDPDF=Y")</f>
        <v>—</v>
      </c>
      <c r="M85" s="13" t="str">
        <f>_xll.BDH("NBIX US Equity","BS_TOTAL_CAPITAL_LEASES","FQ2 2021","FQ2 2021","Currency=USD","Period=FQ","BEST_FPERIOD_OVERRIDE=FQ","FILING_STATUS=MR","SCALING_FORMAT=MLN","Sort=A","Dates=H","DateFormat=P","Fill=—","Direction=H","UseDPDF=Y")</f>
        <v>—</v>
      </c>
      <c r="N85" s="13" t="str">
        <f>_xll.BDH("NBIX US Equity","BS_TOTAL_CAPITAL_LEASES","FQ3 2021","FQ3 2021","Currency=USD","Period=FQ","BEST_FPERIOD_OVERRIDE=FQ","FILING_STATUS=MR","SCALING_FORMAT=MLN","Sort=A","Dates=H","DateFormat=P","Fill=—","Direction=H","UseDPDF=Y")</f>
        <v>—</v>
      </c>
      <c r="O85" s="13">
        <f>_xll.BDH("NBIX US Equity","BS_TOTAL_CAPITAL_LEASES","FQ4 2021","FQ4 2021","Currency=USD","Period=FQ","BEST_FPERIOD_OVERRIDE=FQ","FILING_STATUS=MR","SCALING_FORMAT=MLN","Sort=A","Dates=H","DateFormat=P","Fill=—","Direction=H","UseDPDF=Y")</f>
        <v>0</v>
      </c>
      <c r="P85" s="13" t="str">
        <f>_xll.BDH("NBIX US Equity","BS_TOTAL_CAPITAL_LEASES","FQ1 2022","FQ1 2022","Currency=USD","Period=FQ","BEST_FPERIOD_OVERRIDE=FQ","FILING_STATUS=MR","SCALING_FORMAT=MLN","Sort=A","Dates=H","DateFormat=P","Fill=—","Direction=H","UseDPDF=Y")</f>
        <v>—</v>
      </c>
      <c r="Q85" s="13" t="str">
        <f>_xll.BDH("NBIX US Equity","BS_TOTAL_CAPITAL_LEASES","FQ2 2022","FQ2 2022","Currency=USD","Period=FQ","BEST_FPERIOD_OVERRIDE=FQ","FILING_STATUS=MR","SCALING_FORMAT=MLN","Sort=A","Dates=H","DateFormat=P","Fill=—","Direction=H","UseDPDF=Y")</f>
        <v>—</v>
      </c>
      <c r="R85" s="13" t="str">
        <f>_xll.BDH("NBIX US Equity","BS_TOTAL_CAPITAL_LEASES","FQ3 2022","FQ3 2022","Currency=USD","Period=FQ","BEST_FPERIOD_OVERRIDE=FQ","FILING_STATUS=MR","SCALING_FORMAT=MLN","Sort=A","Dates=H","DateFormat=P","Fill=—","Direction=H","UseDPDF=Y")</f>
        <v>—</v>
      </c>
      <c r="S85" s="13" t="str">
        <f>_xll.BDH("NBIX US Equity","BS_TOTAL_CAPITAL_LEASES","FQ4 2022","FQ4 2022","Currency=USD","Period=FQ","BEST_FPERIOD_OVERRIDE=FQ","FILING_STATUS=MR","SCALING_FORMAT=MLN","Sort=A","Dates=H","DateFormat=P","Fill=—","Direction=H","UseDPDF=Y")</f>
        <v>—</v>
      </c>
      <c r="T85" s="13" t="str">
        <f>_xll.BDH("NBIX US Equity","BS_TOTAL_CAPITAL_LEASES","FQ1 2023","FQ1 2023","Currency=USD","Period=FQ","BEST_FPERIOD_OVERRIDE=FQ","FILING_STATUS=MR","SCALING_FORMAT=MLN","Sort=A","Dates=H","DateFormat=P","Fill=—","Direction=H","UseDPDF=Y")</f>
        <v>—</v>
      </c>
      <c r="U85" s="13" t="str">
        <f>_xll.BDH("NBIX US Equity","BS_TOTAL_CAPITAL_LEASES","FQ2 2023","FQ2 2023","Currency=USD","Period=FQ","BEST_FPERIOD_OVERRIDE=FQ","FILING_STATUS=MR","SCALING_FORMAT=MLN","Sort=A","Dates=H","DateFormat=P","Fill=—","Direction=H","UseDPDF=Y")</f>
        <v>—</v>
      </c>
      <c r="V85" s="13" t="str">
        <f>_xll.BDH("NBIX US Equity","BS_TOTAL_CAPITAL_LEASES","FQ3 2023","FQ3 2023","Currency=USD","Period=FQ","BEST_FPERIOD_OVERRIDE=FQ","FILING_STATUS=MR","SCALING_FORMAT=MLN","Sort=A","Dates=H","DateFormat=P","Fill=—","Direction=H","UseDPDF=Y")</f>
        <v>—</v>
      </c>
      <c r="W85" s="13" t="str">
        <f>_xll.BDH("NBIX US Equity","BS_TOTAL_CAPITAL_LEASES","FQ4 2023","FQ4 2023","Currency=USD","Period=FQ","BEST_FPERIOD_OVERRIDE=FQ","FILING_STATUS=MR","SCALING_FORMAT=MLN","Sort=A","Dates=H","DateFormat=P","Fill=—","Direction=H","UseDPDF=Y")</f>
        <v>—</v>
      </c>
      <c r="X85" s="13" t="str">
        <f>_xll.BDH("NBIX US Equity","BS_TOTAL_CAPITAL_LEASES","FQ1 2024","FQ1 2024","Currency=USD","Period=FQ","BEST_FPERIOD_OVERRIDE=FQ","FILING_STATUS=MR","SCALING_FORMAT=MLN","Sort=A","Dates=H","DateFormat=P","Fill=—","Direction=H","UseDPDF=Y")</f>
        <v>—</v>
      </c>
      <c r="Y85" s="13" t="str">
        <f>_xll.BDH("NBIX US Equity","BS_TOTAL_CAPITAL_LEASES","FQ2 2024","FQ2 2024","Currency=USD","Period=FQ","BEST_FPERIOD_OVERRIDE=FQ","FILING_STATUS=MR","SCALING_FORMAT=MLN","Sort=A","Dates=H","DateFormat=P","Fill=—","Direction=H","UseDPDF=Y")</f>
        <v>—</v>
      </c>
      <c r="Z85" s="13" t="str">
        <f>_xll.BDH("NBIX US Equity","BS_TOTAL_CAPITAL_LEASES","FQ3 2024","FQ3 2024","Currency=USD","Period=FQ","BEST_FPERIOD_OVERRIDE=FQ","FILING_STATUS=MR","SCALING_FORMAT=MLN","Sort=A","Dates=H","DateFormat=P","Fill=—","Direction=H","UseDPDF=Y")</f>
        <v>—</v>
      </c>
      <c r="AA85" s="13" t="str">
        <f>_xll.BDH("NBIX US Equity","BS_TOTAL_CAPITAL_LEASES","FQ4 2024","FQ4 2024","Currency=USD","Period=FQ","BEST_FPERIOD_OVERRIDE=FQ","FILING_STATUS=MR","SCALING_FORMAT=MLN","Sort=A","Dates=H","DateFormat=P","Fill=—","Direction=H","UseDPDF=Y")</f>
        <v>—</v>
      </c>
    </row>
    <row r="86" spans="1:27" x14ac:dyDescent="0.25">
      <c r="A86" s="10" t="s">
        <v>799</v>
      </c>
      <c r="B86" s="10" t="s">
        <v>800</v>
      </c>
      <c r="C86" s="13" t="str">
        <f>_xll.BDH("NBIX US Equity","BS_OPTIONS_GRANTED","FQ4 2018","FQ4 2018","Currency=USD","Period=FQ","BEST_FPERIOD_OVERRIDE=FQ","FILING_STATUS=MR","Sort=A","Dates=H","DateFormat=P","Fill=—","Direction=H","UseDPDF=Y")</f>
        <v>—</v>
      </c>
      <c r="D86" s="13">
        <f>_xll.BDH("NBIX US Equity","BS_OPTIONS_GRANTED","FQ1 2019","FQ1 2019","Currency=USD","Period=FQ","BEST_FPERIOD_OVERRIDE=FQ","FILING_STATUS=MR","Sort=A","Dates=H","DateFormat=P","Fill=—","Direction=H","UseDPDF=Y")</f>
        <v>0</v>
      </c>
      <c r="E86" s="13">
        <f>_xll.BDH("NBIX US Equity","BS_OPTIONS_GRANTED","FQ2 2019","FQ2 2019","Currency=USD","Period=FQ","BEST_FPERIOD_OVERRIDE=FQ","FILING_STATUS=MR","Sort=A","Dates=H","DateFormat=P","Fill=—","Direction=H","UseDPDF=Y")</f>
        <v>0</v>
      </c>
      <c r="F86" s="13">
        <f>_xll.BDH("NBIX US Equity","BS_OPTIONS_GRANTED","FQ3 2019","FQ3 2019","Currency=USD","Period=FQ","BEST_FPERIOD_OVERRIDE=FQ","FILING_STATUS=MR","Sort=A","Dates=H","DateFormat=P","Fill=—","Direction=H","UseDPDF=Y")</f>
        <v>0</v>
      </c>
      <c r="G86" s="13" t="str">
        <f>_xll.BDH("NBIX US Equity","BS_OPTIONS_GRANTED","FQ4 2019","FQ4 2019","Currency=USD","Period=FQ","BEST_FPERIOD_OVERRIDE=FQ","FILING_STATUS=MR","Sort=A","Dates=H","DateFormat=P","Fill=—","Direction=H","UseDPDF=Y")</f>
        <v>—</v>
      </c>
      <c r="H86" s="13">
        <f>_xll.BDH("NBIX US Equity","BS_OPTIONS_GRANTED","FQ1 2020","FQ1 2020","Currency=USD","Period=FQ","BEST_FPERIOD_OVERRIDE=FQ","FILING_STATUS=MR","Sort=A","Dates=H","DateFormat=P","Fill=—","Direction=H","UseDPDF=Y")</f>
        <v>0</v>
      </c>
      <c r="I86" s="13" t="str">
        <f>_xll.BDH("NBIX US Equity","BS_OPTIONS_GRANTED","FQ2 2020","FQ2 2020","Currency=USD","Period=FQ","BEST_FPERIOD_OVERRIDE=FQ","FILING_STATUS=MR","Sort=A","Dates=H","DateFormat=P","Fill=—","Direction=H","UseDPDF=Y")</f>
        <v>—</v>
      </c>
      <c r="J86" s="13" t="str">
        <f>_xll.BDH("NBIX US Equity","BS_OPTIONS_GRANTED","FQ3 2020","FQ3 2020","Currency=USD","Period=FQ","BEST_FPERIOD_OVERRIDE=FQ","FILING_STATUS=MR","Sort=A","Dates=H","DateFormat=P","Fill=—","Direction=H","UseDPDF=Y")</f>
        <v>—</v>
      </c>
      <c r="K86" s="13" t="str">
        <f>_xll.BDH("NBIX US Equity","BS_OPTIONS_GRANTED","FQ4 2020","FQ4 2020","Currency=USD","Period=FQ","BEST_FPERIOD_OVERRIDE=FQ","FILING_STATUS=MR","Sort=A","Dates=H","DateFormat=P","Fill=—","Direction=H","UseDPDF=Y")</f>
        <v>—</v>
      </c>
      <c r="L86" s="13">
        <f>_xll.BDH("NBIX US Equity","BS_OPTIONS_GRANTED","FQ1 2021","FQ1 2021","Currency=USD","Period=FQ","BEST_FPERIOD_OVERRIDE=FQ","FILING_STATUS=MR","Sort=A","Dates=H","DateFormat=P","Fill=—","Direction=H","UseDPDF=Y")</f>
        <v>0</v>
      </c>
      <c r="M86" s="13" t="str">
        <f>_xll.BDH("NBIX US Equity","BS_OPTIONS_GRANTED","FQ2 2021","FQ2 2021","Currency=USD","Period=FQ","BEST_FPERIOD_OVERRIDE=FQ","FILING_STATUS=MR","Sort=A","Dates=H","DateFormat=P","Fill=—","Direction=H","UseDPDF=Y")</f>
        <v>—</v>
      </c>
      <c r="N86" s="13" t="str">
        <f>_xll.BDH("NBIX US Equity","BS_OPTIONS_GRANTED","FQ3 2021","FQ3 2021","Currency=USD","Period=FQ","BEST_FPERIOD_OVERRIDE=FQ","FILING_STATUS=MR","Sort=A","Dates=H","DateFormat=P","Fill=—","Direction=H","UseDPDF=Y")</f>
        <v>—</v>
      </c>
      <c r="O86" s="13">
        <f>_xll.BDH("NBIX US Equity","BS_OPTIONS_GRANTED","FQ4 2021","FQ4 2021","Currency=USD","Period=FQ","BEST_FPERIOD_OVERRIDE=FQ","FILING_STATUS=MR","Sort=A","Dates=H","DateFormat=P","Fill=—","Direction=H","UseDPDF=Y")</f>
        <v>1.8</v>
      </c>
      <c r="P86" s="13" t="str">
        <f>_xll.BDH("NBIX US Equity","BS_OPTIONS_GRANTED","FQ1 2022","FQ1 2022","Currency=USD","Period=FQ","BEST_FPERIOD_OVERRIDE=FQ","FILING_STATUS=MR","Sort=A","Dates=H","DateFormat=P","Fill=—","Direction=H","UseDPDF=Y")</f>
        <v>—</v>
      </c>
      <c r="Q86" s="13" t="str">
        <f>_xll.BDH("NBIX US Equity","BS_OPTIONS_GRANTED","FQ2 2022","FQ2 2022","Currency=USD","Period=FQ","BEST_FPERIOD_OVERRIDE=FQ","FILING_STATUS=MR","Sort=A","Dates=H","DateFormat=P","Fill=—","Direction=H","UseDPDF=Y")</f>
        <v>—</v>
      </c>
      <c r="R86" s="13" t="str">
        <f>_xll.BDH("NBIX US Equity","BS_OPTIONS_GRANTED","FQ3 2022","FQ3 2022","Currency=USD","Period=FQ","BEST_FPERIOD_OVERRIDE=FQ","FILING_STATUS=MR","Sort=A","Dates=H","DateFormat=P","Fill=—","Direction=H","UseDPDF=Y")</f>
        <v>—</v>
      </c>
      <c r="S86" s="13">
        <f>_xll.BDH("NBIX US Equity","BS_OPTIONS_GRANTED","FQ4 2022","FQ4 2022","Currency=USD","Period=FQ","BEST_FPERIOD_OVERRIDE=FQ","FILING_STATUS=MR","Sort=A","Dates=H","DateFormat=P","Fill=—","Direction=H","UseDPDF=Y")</f>
        <v>2.2000000000000002</v>
      </c>
      <c r="T86" s="13" t="str">
        <f>_xll.BDH("NBIX US Equity","BS_OPTIONS_GRANTED","FQ1 2023","FQ1 2023","Currency=USD","Period=FQ","BEST_FPERIOD_OVERRIDE=FQ","FILING_STATUS=MR","Sort=A","Dates=H","DateFormat=P","Fill=—","Direction=H","UseDPDF=Y")</f>
        <v>—</v>
      </c>
      <c r="U86" s="13" t="str">
        <f>_xll.BDH("NBIX US Equity","BS_OPTIONS_GRANTED","FQ2 2023","FQ2 2023","Currency=USD","Period=FQ","BEST_FPERIOD_OVERRIDE=FQ","FILING_STATUS=MR","Sort=A","Dates=H","DateFormat=P","Fill=—","Direction=H","UseDPDF=Y")</f>
        <v>—</v>
      </c>
      <c r="V86" s="13" t="str">
        <f>_xll.BDH("NBIX US Equity","BS_OPTIONS_GRANTED","FQ3 2023","FQ3 2023","Currency=USD","Period=FQ","BEST_FPERIOD_OVERRIDE=FQ","FILING_STATUS=MR","Sort=A","Dates=H","DateFormat=P","Fill=—","Direction=H","UseDPDF=Y")</f>
        <v>—</v>
      </c>
      <c r="W86" s="13" t="str">
        <f>_xll.BDH("NBIX US Equity","BS_OPTIONS_GRANTED","FQ4 2023","FQ4 2023","Currency=USD","Period=FQ","BEST_FPERIOD_OVERRIDE=FQ","FILING_STATUS=MR","Sort=A","Dates=H","DateFormat=P","Fill=—","Direction=H","UseDPDF=Y")</f>
        <v>—</v>
      </c>
      <c r="X86" s="13" t="str">
        <f>_xll.BDH("NBIX US Equity","BS_OPTIONS_GRANTED","FQ1 2024","FQ1 2024","Currency=USD","Period=FQ","BEST_FPERIOD_OVERRIDE=FQ","FILING_STATUS=MR","Sort=A","Dates=H","DateFormat=P","Fill=—","Direction=H","UseDPDF=Y")</f>
        <v>—</v>
      </c>
      <c r="Y86" s="13" t="str">
        <f>_xll.BDH("NBIX US Equity","BS_OPTIONS_GRANTED","FQ2 2024","FQ2 2024","Currency=USD","Period=FQ","BEST_FPERIOD_OVERRIDE=FQ","FILING_STATUS=MR","Sort=A","Dates=H","DateFormat=P","Fill=—","Direction=H","UseDPDF=Y")</f>
        <v>—</v>
      </c>
      <c r="Z86" s="13" t="str">
        <f>_xll.BDH("NBIX US Equity","BS_OPTIONS_GRANTED","FQ3 2024","FQ3 2024","Currency=USD","Period=FQ","BEST_FPERIOD_OVERRIDE=FQ","FILING_STATUS=MR","Sort=A","Dates=H","DateFormat=P","Fill=—","Direction=H","UseDPDF=Y")</f>
        <v>—</v>
      </c>
      <c r="AA86" s="13" t="str">
        <f>_xll.BDH("NBIX US Equity","BS_OPTIONS_GRANTED","FQ4 2024","FQ4 2024","Currency=USD","Period=FQ","BEST_FPERIOD_OVERRIDE=FQ","FILING_STATUS=MR","Sort=A","Dates=H","DateFormat=P","Fill=—","Direction=H","UseDPDF=Y")</f>
        <v>—</v>
      </c>
    </row>
    <row r="87" spans="1:27" x14ac:dyDescent="0.25">
      <c r="A87" s="10" t="s">
        <v>801</v>
      </c>
      <c r="B87" s="10" t="s">
        <v>802</v>
      </c>
      <c r="C87" s="13">
        <f>_xll.BDH("NBIX US Equity","BS_OPTIONS_OUTSTANDING","FQ4 2018","FQ4 2018","Currency=USD","Period=FQ","BEST_FPERIOD_OVERRIDE=FQ","FILING_STATUS=MR","Sort=A","Dates=H","DateFormat=P","Fill=—","Direction=H","UseDPDF=Y")</f>
        <v>5.7460000000000004</v>
      </c>
      <c r="D87" s="13" t="str">
        <f>_xll.BDH("NBIX US Equity","BS_OPTIONS_OUTSTANDING","FQ1 2019","FQ1 2019","Currency=USD","Period=FQ","BEST_FPERIOD_OVERRIDE=FQ","FILING_STATUS=MR","Sort=A","Dates=H","DateFormat=P","Fill=—","Direction=H","UseDPDF=Y")</f>
        <v>—</v>
      </c>
      <c r="E87" s="13" t="str">
        <f>_xll.BDH("NBIX US Equity","BS_OPTIONS_OUTSTANDING","FQ2 2019","FQ2 2019","Currency=USD","Period=FQ","BEST_FPERIOD_OVERRIDE=FQ","FILING_STATUS=MR","Sort=A","Dates=H","DateFormat=P","Fill=—","Direction=H","UseDPDF=Y")</f>
        <v>—</v>
      </c>
      <c r="F87" s="13" t="str">
        <f>_xll.BDH("NBIX US Equity","BS_OPTIONS_OUTSTANDING","FQ3 2019","FQ3 2019","Currency=USD","Period=FQ","BEST_FPERIOD_OVERRIDE=FQ","FILING_STATUS=MR","Sort=A","Dates=H","DateFormat=P","Fill=—","Direction=H","UseDPDF=Y")</f>
        <v>—</v>
      </c>
      <c r="G87" s="13">
        <f>_xll.BDH("NBIX US Equity","BS_OPTIONS_OUTSTANDING","FQ4 2019","FQ4 2019","Currency=USD","Period=FQ","BEST_FPERIOD_OVERRIDE=FQ","FILING_STATUS=MR","Sort=A","Dates=H","DateFormat=P","Fill=—","Direction=H","UseDPDF=Y")</f>
        <v>6.1070000000000002</v>
      </c>
      <c r="H87" s="13" t="str">
        <f>_xll.BDH("NBIX US Equity","BS_OPTIONS_OUTSTANDING","FQ1 2020","FQ1 2020","Currency=USD","Period=FQ","BEST_FPERIOD_OVERRIDE=FQ","FILING_STATUS=MR","Sort=A","Dates=H","DateFormat=P","Fill=—","Direction=H","UseDPDF=Y")</f>
        <v>—</v>
      </c>
      <c r="I87" s="13" t="str">
        <f>_xll.BDH("NBIX US Equity","BS_OPTIONS_OUTSTANDING","FQ2 2020","FQ2 2020","Currency=USD","Period=FQ","BEST_FPERIOD_OVERRIDE=FQ","FILING_STATUS=MR","Sort=A","Dates=H","DateFormat=P","Fill=—","Direction=H","UseDPDF=Y")</f>
        <v>—</v>
      </c>
      <c r="J87" s="13" t="str">
        <f>_xll.BDH("NBIX US Equity","BS_OPTIONS_OUTSTANDING","FQ3 2020","FQ3 2020","Currency=USD","Period=FQ","BEST_FPERIOD_OVERRIDE=FQ","FILING_STATUS=MR","Sort=A","Dates=H","DateFormat=P","Fill=—","Direction=H","UseDPDF=Y")</f>
        <v>—</v>
      </c>
      <c r="K87" s="13">
        <f>_xll.BDH("NBIX US Equity","BS_OPTIONS_OUTSTANDING","FQ4 2020","FQ4 2020","Currency=USD","Period=FQ","BEST_FPERIOD_OVERRIDE=FQ","FILING_STATUS=MR","Sort=A","Dates=H","DateFormat=P","Fill=—","Direction=H","UseDPDF=Y")</f>
        <v>6.8</v>
      </c>
      <c r="L87" s="13" t="str">
        <f>_xll.BDH("NBIX US Equity","BS_OPTIONS_OUTSTANDING","FQ1 2021","FQ1 2021","Currency=USD","Period=FQ","BEST_FPERIOD_OVERRIDE=FQ","FILING_STATUS=MR","Sort=A","Dates=H","DateFormat=P","Fill=—","Direction=H","UseDPDF=Y")</f>
        <v>—</v>
      </c>
      <c r="M87" s="13" t="str">
        <f>_xll.BDH("NBIX US Equity","BS_OPTIONS_OUTSTANDING","FQ2 2021","FQ2 2021","Currency=USD","Period=FQ","BEST_FPERIOD_OVERRIDE=FQ","FILING_STATUS=MR","Sort=A","Dates=H","DateFormat=P","Fill=—","Direction=H","UseDPDF=Y")</f>
        <v>—</v>
      </c>
      <c r="N87" s="13" t="str">
        <f>_xll.BDH("NBIX US Equity","BS_OPTIONS_OUTSTANDING","FQ3 2021","FQ3 2021","Currency=USD","Period=FQ","BEST_FPERIOD_OVERRIDE=FQ","FILING_STATUS=MR","Sort=A","Dates=H","DateFormat=P","Fill=—","Direction=H","UseDPDF=Y")</f>
        <v>—</v>
      </c>
      <c r="O87" s="13">
        <f>_xll.BDH("NBIX US Equity","BS_OPTIONS_OUTSTANDING","FQ4 2021","FQ4 2021","Currency=USD","Period=FQ","BEST_FPERIOD_OVERRIDE=FQ","FILING_STATUS=MR","Sort=A","Dates=H","DateFormat=P","Fill=—","Direction=H","UseDPDF=Y")</f>
        <v>7.7</v>
      </c>
      <c r="P87" s="13" t="str">
        <f>_xll.BDH("NBIX US Equity","BS_OPTIONS_OUTSTANDING","FQ1 2022","FQ1 2022","Currency=USD","Period=FQ","BEST_FPERIOD_OVERRIDE=FQ","FILING_STATUS=MR","Sort=A","Dates=H","DateFormat=P","Fill=—","Direction=H","UseDPDF=Y")</f>
        <v>—</v>
      </c>
      <c r="Q87" s="13" t="str">
        <f>_xll.BDH("NBIX US Equity","BS_OPTIONS_OUTSTANDING","FQ2 2022","FQ2 2022","Currency=USD","Period=FQ","BEST_FPERIOD_OVERRIDE=FQ","FILING_STATUS=MR","Sort=A","Dates=H","DateFormat=P","Fill=—","Direction=H","UseDPDF=Y")</f>
        <v>—</v>
      </c>
      <c r="R87" s="13" t="str">
        <f>_xll.BDH("NBIX US Equity","BS_OPTIONS_OUTSTANDING","FQ3 2022","FQ3 2022","Currency=USD","Period=FQ","BEST_FPERIOD_OVERRIDE=FQ","FILING_STATUS=MR","Sort=A","Dates=H","DateFormat=P","Fill=—","Direction=H","UseDPDF=Y")</f>
        <v>—</v>
      </c>
      <c r="S87" s="13">
        <f>_xll.BDH("NBIX US Equity","BS_OPTIONS_OUTSTANDING","FQ4 2022","FQ4 2022","Currency=USD","Period=FQ","BEST_FPERIOD_OVERRIDE=FQ","FILING_STATUS=MR","Sort=A","Dates=H","DateFormat=P","Fill=—","Direction=H","UseDPDF=Y")</f>
        <v>9</v>
      </c>
      <c r="T87" s="13" t="str">
        <f>_xll.BDH("NBIX US Equity","BS_OPTIONS_OUTSTANDING","FQ1 2023","FQ1 2023","Currency=USD","Period=FQ","BEST_FPERIOD_OVERRIDE=FQ","FILING_STATUS=MR","Sort=A","Dates=H","DateFormat=P","Fill=—","Direction=H","UseDPDF=Y")</f>
        <v>—</v>
      </c>
      <c r="U87" s="13" t="str">
        <f>_xll.BDH("NBIX US Equity","BS_OPTIONS_OUTSTANDING","FQ2 2023","FQ2 2023","Currency=USD","Period=FQ","BEST_FPERIOD_OVERRIDE=FQ","FILING_STATUS=MR","Sort=A","Dates=H","DateFormat=P","Fill=—","Direction=H","UseDPDF=Y")</f>
        <v>—</v>
      </c>
      <c r="V87" s="13" t="str">
        <f>_xll.BDH("NBIX US Equity","BS_OPTIONS_OUTSTANDING","FQ3 2023","FQ3 2023","Currency=USD","Period=FQ","BEST_FPERIOD_OVERRIDE=FQ","FILING_STATUS=MR","Sort=A","Dates=H","DateFormat=P","Fill=—","Direction=H","UseDPDF=Y")</f>
        <v>—</v>
      </c>
      <c r="W87" s="13">
        <f>_xll.BDH("NBIX US Equity","BS_OPTIONS_OUTSTANDING","FQ4 2023","FQ4 2023","Currency=USD","Period=FQ","BEST_FPERIOD_OVERRIDE=FQ","FILING_STATUS=MR","Sort=A","Dates=H","DateFormat=P","Fill=—","Direction=H","UseDPDF=Y")</f>
        <v>10</v>
      </c>
      <c r="X87" s="13" t="str">
        <f>_xll.BDH("NBIX US Equity","BS_OPTIONS_OUTSTANDING","FQ1 2024","FQ1 2024","Currency=USD","Period=FQ","BEST_FPERIOD_OVERRIDE=FQ","FILING_STATUS=MR","Sort=A","Dates=H","DateFormat=P","Fill=—","Direction=H","UseDPDF=Y")</f>
        <v>—</v>
      </c>
      <c r="Y87" s="13" t="str">
        <f>_xll.BDH("NBIX US Equity","BS_OPTIONS_OUTSTANDING","FQ2 2024","FQ2 2024","Currency=USD","Period=FQ","BEST_FPERIOD_OVERRIDE=FQ","FILING_STATUS=MR","Sort=A","Dates=H","DateFormat=P","Fill=—","Direction=H","UseDPDF=Y")</f>
        <v>—</v>
      </c>
      <c r="Z87" s="13" t="str">
        <f>_xll.BDH("NBIX US Equity","BS_OPTIONS_OUTSTANDING","FQ3 2024","FQ3 2024","Currency=USD","Period=FQ","BEST_FPERIOD_OVERRIDE=FQ","FILING_STATUS=MR","Sort=A","Dates=H","DateFormat=P","Fill=—","Direction=H","UseDPDF=Y")</f>
        <v>—</v>
      </c>
      <c r="AA87" s="13">
        <f>_xll.BDH("NBIX US Equity","BS_OPTIONS_OUTSTANDING","FQ4 2024","FQ4 2024","Currency=USD","Period=FQ","BEST_FPERIOD_OVERRIDE=FQ","FILING_STATUS=MR","Sort=A","Dates=H","DateFormat=P","Fill=—","Direction=H","UseDPDF=Y")</f>
        <v>9.6</v>
      </c>
    </row>
    <row r="88" spans="1:27" x14ac:dyDescent="0.25">
      <c r="A88" s="10" t="s">
        <v>803</v>
      </c>
      <c r="B88" s="10" t="s">
        <v>804</v>
      </c>
      <c r="C88" s="13">
        <f>_xll.BDH("NBIX US Equity","NET_DEBT","FQ4 2018","FQ4 2018","Currency=USD","Period=FQ","BEST_FPERIOD_OVERRIDE=FQ","FILING_STATUS=MR","SCALING_FORMAT=MLN","Sort=A","Dates=H","DateFormat=P","Fill=—","Direction=H","UseDPDF=Y")</f>
        <v>-262.41699999999997</v>
      </c>
      <c r="D88" s="13">
        <f>_xll.BDH("NBIX US Equity","NET_DEBT","FQ1 2019","FQ1 2019","Currency=USD","Period=FQ","BEST_FPERIOD_OVERRIDE=FQ","FILING_STATUS=MR","SCALING_FORMAT=MLN","Sort=A","Dates=H","DateFormat=P","Fill=—","Direction=H","UseDPDF=Y")</f>
        <v>-60.219000000000001</v>
      </c>
      <c r="E88" s="13">
        <f>_xll.BDH("NBIX US Equity","NET_DEBT","FQ2 2019","FQ2 2019","Currency=USD","Period=FQ","BEST_FPERIOD_OVERRIDE=FQ","FILING_STATUS=MR","SCALING_FORMAT=MLN","Sort=A","Dates=H","DateFormat=P","Fill=—","Direction=H","UseDPDF=Y")</f>
        <v>-151.578</v>
      </c>
      <c r="F88" s="13">
        <f>_xll.BDH("NBIX US Equity","NET_DEBT","FQ3 2019","FQ3 2019","Currency=USD","Period=FQ","BEST_FPERIOD_OVERRIDE=FQ","FILING_STATUS=MR","SCALING_FORMAT=MLN","Sort=A","Dates=H","DateFormat=P","Fill=—","Direction=H","UseDPDF=Y")</f>
        <v>-183.93199999999999</v>
      </c>
      <c r="G88" s="13">
        <f>_xll.BDH("NBIX US Equity","NET_DEBT","FQ4 2019","FQ4 2019","Currency=USD","Period=FQ","BEST_FPERIOD_OVERRIDE=FQ","FILING_STATUS=MR","SCALING_FORMAT=MLN","Sort=A","Dates=H","DateFormat=P","Fill=—","Direction=H","UseDPDF=Y")</f>
        <v>-166.71799999999999</v>
      </c>
      <c r="H88" s="13">
        <f>_xll.BDH("NBIX US Equity","NET_DEBT","FQ1 2020","FQ1 2020","Currency=USD","Period=FQ","BEST_FPERIOD_OVERRIDE=FQ","FILING_STATUS=MR","SCALING_FORMAT=MLN","Sort=A","Dates=H","DateFormat=P","Fill=—","Direction=H","UseDPDF=Y")</f>
        <v>-263.2</v>
      </c>
      <c r="I88" s="13">
        <f>_xll.BDH("NBIX US Equity","NET_DEBT","FQ2 2020","FQ2 2020","Currency=USD","Period=FQ","BEST_FPERIOD_OVERRIDE=FQ","FILING_STATUS=MR","SCALING_FORMAT=MLN","Sort=A","Dates=H","DateFormat=P","Fill=—","Direction=H","UseDPDF=Y")</f>
        <v>-435.3</v>
      </c>
      <c r="J88" s="13">
        <f>_xll.BDH("NBIX US Equity","NET_DEBT","FQ3 2020","FQ3 2020","Currency=USD","Period=FQ","BEST_FPERIOD_OVERRIDE=FQ","FILING_STATUS=MR","SCALING_FORMAT=MLN","Sort=A","Dates=H","DateFormat=P","Fill=—","Direction=H","UseDPDF=Y")</f>
        <v>-427</v>
      </c>
      <c r="K88" s="13">
        <f>_xll.BDH("NBIX US Equity","NET_DEBT","FQ4 2020","FQ4 2020","Currency=USD","Period=FQ","BEST_FPERIOD_OVERRIDE=FQ","FILING_STATUS=MR","SCALING_FORMAT=MLN","Sort=A","Dates=H","DateFormat=P","Fill=—","Direction=H","UseDPDF=Y")</f>
        <v>-378.4</v>
      </c>
      <c r="L88" s="13">
        <f>_xll.BDH("NBIX US Equity","NET_DEBT","FQ1 2021","FQ1 2021","Currency=USD","Period=FQ","BEST_FPERIOD_OVERRIDE=FQ","FILING_STATUS=MR","SCALING_FORMAT=MLN","Sort=A","Dates=H","DateFormat=P","Fill=—","Direction=H","UseDPDF=Y")</f>
        <v>-432</v>
      </c>
      <c r="M88" s="13">
        <f>_xll.BDH("NBIX US Equity","NET_DEBT","FQ2 2021","FQ2 2021","Currency=USD","Period=FQ","BEST_FPERIOD_OVERRIDE=FQ","FILING_STATUS=MR","SCALING_FORMAT=MLN","Sort=A","Dates=H","DateFormat=P","Fill=—","Direction=H","UseDPDF=Y")</f>
        <v>-434.6</v>
      </c>
      <c r="N88" s="13">
        <f>_xll.BDH("NBIX US Equity","NET_DEBT","FQ3 2021","FQ3 2021","Currency=USD","Period=FQ","BEST_FPERIOD_OVERRIDE=FQ","FILING_STATUS=MR","SCALING_FORMAT=MLN","Sort=A","Dates=H","DateFormat=P","Fill=—","Direction=H","UseDPDF=Y")</f>
        <v>-313.3</v>
      </c>
      <c r="O88" s="13">
        <f>_xll.BDH("NBIX US Equity","NET_DEBT","FQ4 2021","FQ4 2021","Currency=USD","Period=FQ","BEST_FPERIOD_OVERRIDE=FQ","FILING_STATUS=MR","SCALING_FORMAT=MLN","Sort=A","Dates=H","DateFormat=P","Fill=—","Direction=H","UseDPDF=Y")</f>
        <v>-254.4</v>
      </c>
      <c r="P88" s="13">
        <f>_xll.BDH("NBIX US Equity","NET_DEBT","FQ1 2022","FQ1 2022","Currency=USD","Period=FQ","BEST_FPERIOD_OVERRIDE=FQ","FILING_STATUS=MR","SCALING_FORMAT=MLN","Sort=A","Dates=H","DateFormat=P","Fill=—","Direction=H","UseDPDF=Y")</f>
        <v>-167.8</v>
      </c>
      <c r="Q88" s="13">
        <f>_xll.BDH("NBIX US Equity","NET_DEBT","FQ2 2022","FQ2 2022","Currency=USD","Period=FQ","BEST_FPERIOD_OVERRIDE=FQ","FILING_STATUS=MR","SCALING_FORMAT=MLN","Sort=A","Dates=H","DateFormat=P","Fill=—","Direction=H","UseDPDF=Y")</f>
        <v>-362.6</v>
      </c>
      <c r="R88" s="13">
        <f>_xll.BDH("NBIX US Equity","NET_DEBT","FQ3 2022","FQ3 2022","Currency=USD","Period=FQ","BEST_FPERIOD_OVERRIDE=FQ","FILING_STATUS=MR","SCALING_FORMAT=MLN","Sort=A","Dates=H","DateFormat=P","Fill=—","Direction=H","UseDPDF=Y")</f>
        <v>-516.29999999999995</v>
      </c>
      <c r="S88" s="13">
        <f>_xll.BDH("NBIX US Equity","NET_DEBT","FQ4 2022","FQ4 2022","Currency=USD","Period=FQ","BEST_FPERIOD_OVERRIDE=FQ","FILING_STATUS=MR","SCALING_FORMAT=MLN","Sort=A","Dates=H","DateFormat=P","Fill=—","Direction=H","UseDPDF=Y")</f>
        <v>-726.4</v>
      </c>
      <c r="T88" s="13">
        <f>_xll.BDH("NBIX US Equity","NET_DEBT","FQ1 2023","FQ1 2023","Currency=USD","Period=FQ","BEST_FPERIOD_OVERRIDE=FQ","FILING_STATUS=MR","SCALING_FORMAT=MLN","Sort=A","Dates=H","DateFormat=P","Fill=—","Direction=H","UseDPDF=Y")</f>
        <v>-634.70000000000005</v>
      </c>
      <c r="U88" s="13">
        <f>_xll.BDH("NBIX US Equity","NET_DEBT","FQ2 2023","FQ2 2023","Currency=USD","Period=FQ","BEST_FPERIOD_OVERRIDE=FQ","FILING_STATUS=MR","SCALING_FORMAT=MLN","Sort=A","Dates=H","DateFormat=P","Fill=—","Direction=H","UseDPDF=Y")</f>
        <v>-700.2</v>
      </c>
      <c r="V88" s="13">
        <f>_xll.BDH("NBIX US Equity","NET_DEBT","FQ3 2023","FQ3 2023","Currency=USD","Period=FQ","BEST_FPERIOD_OVERRIDE=FQ","FILING_STATUS=MR","SCALING_FORMAT=MLN","Sort=A","Dates=H","DateFormat=P","Fill=—","Direction=H","UseDPDF=Y")</f>
        <v>-821.5</v>
      </c>
      <c r="W88" s="13">
        <f>_xll.BDH("NBIX US Equity","NET_DEBT","FQ4 2023","FQ4 2023","Currency=USD","Period=FQ","BEST_FPERIOD_OVERRIDE=FQ","FILING_STATUS=MR","SCALING_FORMAT=MLN","Sort=A","Dates=H","DateFormat=P","Fill=—","Direction=H","UseDPDF=Y")</f>
        <v>-571.20000000000005</v>
      </c>
      <c r="X88" s="13">
        <f>_xll.BDH("NBIX US Equity","NET_DEBT","FQ1 2024","FQ1 2024","Currency=USD","Period=FQ","BEST_FPERIOD_OVERRIDE=FQ","FILING_STATUS=MR","SCALING_FORMAT=MLN","Sort=A","Dates=H","DateFormat=P","Fill=—","Direction=H","UseDPDF=Y")</f>
        <v>-799.9</v>
      </c>
      <c r="Y88" s="13">
        <f>_xll.BDH("NBIX US Equity","NET_DEBT","FQ2 2024","FQ2 2024","Currency=USD","Period=FQ","BEST_FPERIOD_OVERRIDE=FQ","FILING_STATUS=MR","SCALING_FORMAT=MLN","Sort=A","Dates=H","DateFormat=P","Fill=—","Direction=H","UseDPDF=Y")</f>
        <v>-747.3</v>
      </c>
      <c r="Z88" s="13">
        <f>_xll.BDH("NBIX US Equity","NET_DEBT","FQ3 2024","FQ3 2024","Currency=USD","Period=FQ","BEST_FPERIOD_OVERRIDE=FQ","FILING_STATUS=MR","SCALING_FORMAT=MLN","Sort=A","Dates=H","DateFormat=P","Fill=—","Direction=H","UseDPDF=Y")</f>
        <v>-941.8</v>
      </c>
      <c r="AA88" s="13">
        <f>_xll.BDH("NBIX US Equity","NET_DEBT","FQ4 2024","FQ4 2024","Currency=USD","Period=FQ","BEST_FPERIOD_OVERRIDE=FQ","FILING_STATUS=MR","SCALING_FORMAT=MLN","Sort=A","Dates=H","DateFormat=P","Fill=—","Direction=H","UseDPDF=Y")</f>
        <v>-580.4</v>
      </c>
    </row>
    <row r="89" spans="1:27" x14ac:dyDescent="0.25">
      <c r="A89" s="10" t="s">
        <v>805</v>
      </c>
      <c r="B89" s="10" t="s">
        <v>806</v>
      </c>
      <c r="C89" s="14">
        <f>_xll.BDH("NBIX US Equity","NET_DEBT_TO_SHRHLDR_EQTY","FQ4 2018","FQ4 2018","Currency=USD","Period=FQ","BEST_FPERIOD_OVERRIDE=FQ","FILING_STATUS=MR","Sort=A","Dates=H","DateFormat=P","Fill=—","Direction=H","UseDPDF=Y")</f>
        <v>-54.583199999999998</v>
      </c>
      <c r="D89" s="14">
        <f>_xll.BDH("NBIX US Equity","NET_DEBT_TO_SHRHLDR_EQTY","FQ1 2019","FQ1 2019","Currency=USD","Period=FQ","BEST_FPERIOD_OVERRIDE=FQ","FILING_STATUS=MR","Sort=A","Dates=H","DateFormat=P","Fill=—","Direction=H","UseDPDF=Y")</f>
        <v>-14.7136</v>
      </c>
      <c r="E89" s="14">
        <f>_xll.BDH("NBIX US Equity","NET_DEBT_TO_SHRHLDR_EQTY","FQ2 2019","FQ2 2019","Currency=USD","Period=FQ","BEST_FPERIOD_OVERRIDE=FQ","FILING_STATUS=MR","Sort=A","Dates=H","DateFormat=P","Fill=—","Direction=H","UseDPDF=Y")</f>
        <v>-31.3368</v>
      </c>
      <c r="F89" s="14">
        <f>_xll.BDH("NBIX US Equity","NET_DEBT_TO_SHRHLDR_EQTY","FQ3 2019","FQ3 2019","Currency=USD","Period=FQ","BEST_FPERIOD_OVERRIDE=FQ","FILING_STATUS=MR","Sort=A","Dates=H","DateFormat=P","Fill=—","Direction=H","UseDPDF=Y")</f>
        <v>-32.0152</v>
      </c>
      <c r="G89" s="14">
        <f>_xll.BDH("NBIX US Equity","NET_DEBT_TO_SHRHLDR_EQTY","FQ4 2019","FQ4 2019","Currency=USD","Period=FQ","BEST_FPERIOD_OVERRIDE=FQ","FILING_STATUS=MR","Sort=A","Dates=H","DateFormat=P","Fill=—","Direction=H","UseDPDF=Y")</f>
        <v>-26.176500000000001</v>
      </c>
      <c r="H89" s="14">
        <f>_xll.BDH("NBIX US Equity","NET_DEBT_TO_SHRHLDR_EQTY","FQ1 2020","FQ1 2020","Currency=USD","Period=FQ","BEST_FPERIOD_OVERRIDE=FQ","FILING_STATUS=MR","Sort=A","Dates=H","DateFormat=P","Fill=—","Direction=H","UseDPDF=Y")</f>
        <v>-37.5839</v>
      </c>
      <c r="I89" s="14">
        <f>_xll.BDH("NBIX US Equity","NET_DEBT_TO_SHRHLDR_EQTY","FQ2 2020","FQ2 2020","Currency=USD","Period=FQ","BEST_FPERIOD_OVERRIDE=FQ","FILING_STATUS=MR","Sort=A","Dates=H","DateFormat=P","Fill=—","Direction=H","UseDPDF=Y")</f>
        <v>-52.370100000000001</v>
      </c>
      <c r="J89" s="14">
        <f>_xll.BDH("NBIX US Equity","NET_DEBT_TO_SHRHLDR_EQTY","FQ3 2020","FQ3 2020","Currency=USD","Period=FQ","BEST_FPERIOD_OVERRIDE=FQ","FILING_STATUS=MR","Sort=A","Dates=H","DateFormat=P","Fill=—","Direction=H","UseDPDF=Y")</f>
        <v>-53.089599999999997</v>
      </c>
      <c r="K89" s="14">
        <f>_xll.BDH("NBIX US Equity","NET_DEBT_TO_SHRHLDR_EQTY","FQ4 2020","FQ4 2020","Currency=USD","Period=FQ","BEST_FPERIOD_OVERRIDE=FQ","FILING_STATUS=MR","Sort=A","Dates=H","DateFormat=P","Fill=—","Direction=H","UseDPDF=Y")</f>
        <v>-33.599699999999999</v>
      </c>
      <c r="L89" s="14">
        <f>_xll.BDH("NBIX US Equity","NET_DEBT_TO_SHRHLDR_EQTY","FQ1 2021","FQ1 2021","Currency=USD","Period=FQ","BEST_FPERIOD_OVERRIDE=FQ","FILING_STATUS=MR","Sort=A","Dates=H","DateFormat=P","Fill=—","Direction=H","UseDPDF=Y")</f>
        <v>-35.832799999999999</v>
      </c>
      <c r="M89" s="14">
        <f>_xll.BDH("NBIX US Equity","NET_DEBT_TO_SHRHLDR_EQTY","FQ2 2021","FQ2 2021","Currency=USD","Period=FQ","BEST_FPERIOD_OVERRIDE=FQ","FILING_STATUS=MR","Sort=A","Dates=H","DateFormat=P","Fill=—","Direction=H","UseDPDF=Y")</f>
        <v>-33.974400000000003</v>
      </c>
      <c r="N89" s="14">
        <f>_xll.BDH("NBIX US Equity","NET_DEBT_TO_SHRHLDR_EQTY","FQ3 2021","FQ3 2021","Currency=USD","Period=FQ","BEST_FPERIOD_OVERRIDE=FQ","FILING_STATUS=MR","Sort=A","Dates=H","DateFormat=P","Fill=—","Direction=H","UseDPDF=Y")</f>
        <v>-23.276399999999999</v>
      </c>
      <c r="O89" s="14">
        <f>_xll.BDH("NBIX US Equity","NET_DEBT_TO_SHRHLDR_EQTY","FQ4 2021","FQ4 2021","Currency=USD","Period=FQ","BEST_FPERIOD_OVERRIDE=FQ","FILING_STATUS=MR","Sort=A","Dates=H","DateFormat=P","Fill=—","Direction=H","UseDPDF=Y")</f>
        <v>-18.5153</v>
      </c>
      <c r="P89" s="14">
        <f>_xll.BDH("NBIX US Equity","NET_DEBT_TO_SHRHLDR_EQTY","FQ1 2022","FQ1 2022","Currency=USD","Period=FQ","BEST_FPERIOD_OVERRIDE=FQ","FILING_STATUS=MR","Sort=A","Dates=H","DateFormat=P","Fill=—","Direction=H","UseDPDF=Y")</f>
        <v>-12.0624</v>
      </c>
      <c r="Q89" s="14">
        <f>_xll.BDH("NBIX US Equity","NET_DEBT_TO_SHRHLDR_EQTY","FQ2 2022","FQ2 2022","Currency=USD","Period=FQ","BEST_FPERIOD_OVERRIDE=FQ","FILING_STATUS=MR","Sort=A","Dates=H","DateFormat=P","Fill=—","Direction=H","UseDPDF=Y")</f>
        <v>-25.4742</v>
      </c>
      <c r="R89" s="14">
        <f>_xll.BDH("NBIX US Equity","NET_DEBT_TO_SHRHLDR_EQTY","FQ3 2022","FQ3 2022","Currency=USD","Period=FQ","BEST_FPERIOD_OVERRIDE=FQ","FILING_STATUS=MR","Sort=A","Dates=H","DateFormat=P","Fill=—","Direction=H","UseDPDF=Y")</f>
        <v>-33.426099999999998</v>
      </c>
      <c r="S89" s="14">
        <f>_xll.BDH("NBIX US Equity","NET_DEBT_TO_SHRHLDR_EQTY","FQ4 2022","FQ4 2022","Currency=USD","Period=FQ","BEST_FPERIOD_OVERRIDE=FQ","FILING_STATUS=MR","Sort=A","Dates=H","DateFormat=P","Fill=—","Direction=H","UseDPDF=Y")</f>
        <v>-42.534300000000002</v>
      </c>
      <c r="T89" s="14">
        <f>_xll.BDH("NBIX US Equity","NET_DEBT_TO_SHRHLDR_EQTY","FQ1 2023","FQ1 2023","Currency=USD","Period=FQ","BEST_FPERIOD_OVERRIDE=FQ","FILING_STATUS=MR","Sort=A","Dates=H","DateFormat=P","Fill=—","Direction=H","UseDPDF=Y")</f>
        <v>-37.678800000000003</v>
      </c>
      <c r="U89" s="14">
        <f>_xll.BDH("NBIX US Equity","NET_DEBT_TO_SHRHLDR_EQTY","FQ2 2023","FQ2 2023","Currency=USD","Period=FQ","BEST_FPERIOD_OVERRIDE=FQ","FILING_STATUS=MR","Sort=A","Dates=H","DateFormat=P","Fill=—","Direction=H","UseDPDF=Y")</f>
        <v>-37.787399999999998</v>
      </c>
      <c r="V89" s="14">
        <f>_xll.BDH("NBIX US Equity","NET_DEBT_TO_SHRHLDR_EQTY","FQ3 2023","FQ3 2023","Currency=USD","Period=FQ","BEST_FPERIOD_OVERRIDE=FQ","FILING_STATUS=MR","Sort=A","Dates=H","DateFormat=P","Fill=—","Direction=H","UseDPDF=Y")</f>
        <v>-41.0319</v>
      </c>
      <c r="W89" s="14">
        <f>_xll.BDH("NBIX US Equity","NET_DEBT_TO_SHRHLDR_EQTY","FQ4 2023","FQ4 2023","Currency=USD","Period=FQ","BEST_FPERIOD_OVERRIDE=FQ","FILING_STATUS=MR","Sort=A","Dates=H","DateFormat=P","Fill=—","Direction=H","UseDPDF=Y")</f>
        <v>-25.5914</v>
      </c>
      <c r="X89" s="14">
        <f>_xll.BDH("NBIX US Equity","NET_DEBT_TO_SHRHLDR_EQTY","FQ1 2024","FQ1 2024","Currency=USD","Period=FQ","BEST_FPERIOD_OVERRIDE=FQ","FILING_STATUS=MR","Sort=A","Dates=H","DateFormat=P","Fill=—","Direction=H","UseDPDF=Y")</f>
        <v>-33.523299999999999</v>
      </c>
      <c r="Y89" s="14">
        <f>_xll.BDH("NBIX US Equity","NET_DEBT_TO_SHRHLDR_EQTY","FQ2 2024","FQ2 2024","Currency=USD","Period=FQ","BEST_FPERIOD_OVERRIDE=FQ","FILING_STATUS=MR","Sort=A","Dates=H","DateFormat=P","Fill=—","Direction=H","UseDPDF=Y")</f>
        <v>-29.782399999999999</v>
      </c>
      <c r="Z89" s="14">
        <f>_xll.BDH("NBIX US Equity","NET_DEBT_TO_SHRHLDR_EQTY","FQ3 2024","FQ3 2024","Currency=USD","Period=FQ","BEST_FPERIOD_OVERRIDE=FQ","FILING_STATUS=MR","Sort=A","Dates=H","DateFormat=P","Fill=—","Direction=H","UseDPDF=Y")</f>
        <v>-34.639000000000003</v>
      </c>
      <c r="AA89" s="14">
        <f>_xll.BDH("NBIX US Equity","NET_DEBT_TO_SHRHLDR_EQTY","FQ4 2024","FQ4 2024","Currency=USD","Period=FQ","BEST_FPERIOD_OVERRIDE=FQ","FILING_STATUS=MR","Sort=A","Dates=H","DateFormat=P","Fill=—","Direction=H","UseDPDF=Y")</f>
        <v>-22.411899999999999</v>
      </c>
    </row>
    <row r="90" spans="1:27" x14ac:dyDescent="0.25">
      <c r="A90" s="10" t="s">
        <v>807</v>
      </c>
      <c r="B90" s="10" t="s">
        <v>808</v>
      </c>
      <c r="C90" s="14">
        <f>_xll.BDH("NBIX US Equity","TCE_RATIO","FQ4 2018","FQ4 2018","Currency=USD","Period=FQ","BEST_FPERIOD_OVERRIDE=FQ","FILING_STATUS=MR","Sort=A","Dates=H","DateFormat=P","Fill=—","Direction=H","UseDPDF=Y")</f>
        <v>48.408000000000001</v>
      </c>
      <c r="D90" s="14">
        <f>_xll.BDH("NBIX US Equity","TCE_RATIO","FQ1 2019","FQ1 2019","Currency=USD","Period=FQ","BEST_FPERIOD_OVERRIDE=FQ","FILING_STATUS=MR","Sort=A","Dates=H","DateFormat=P","Fill=—","Direction=H","UseDPDF=Y")</f>
        <v>42.734200000000001</v>
      </c>
      <c r="E90" s="14">
        <f>_xll.BDH("NBIX US Equity","TCE_RATIO","FQ2 2019","FQ2 2019","Currency=USD","Period=FQ","BEST_FPERIOD_OVERRIDE=FQ","FILING_STATUS=MR","Sort=A","Dates=H","DateFormat=P","Fill=—","Direction=H","UseDPDF=Y")</f>
        <v>45.339199999999998</v>
      </c>
      <c r="F90" s="14">
        <f>_xll.BDH("NBIX US Equity","TCE_RATIO","FQ3 2019","FQ3 2019","Currency=USD","Period=FQ","BEST_FPERIOD_OVERRIDE=FQ","FILING_STATUS=MR","Sort=A","Dates=H","DateFormat=P","Fill=—","Direction=H","UseDPDF=Y")</f>
        <v>48.690399999999997</v>
      </c>
      <c r="G90" s="14">
        <f>_xll.BDH("NBIX US Equity","TCE_RATIO","FQ4 2019","FQ4 2019","Currency=USD","Period=FQ","BEST_FPERIOD_OVERRIDE=FQ","FILING_STATUS=MR","Sort=A","Dates=H","DateFormat=P","Fill=—","Direction=H","UseDPDF=Y")</f>
        <v>48.767200000000003</v>
      </c>
      <c r="H90" s="14">
        <f>_xll.BDH("NBIX US Equity","TCE_RATIO","FQ1 2020","FQ1 2020","Currency=USD","Period=FQ","BEST_FPERIOD_OVERRIDE=FQ","FILING_STATUS=MR","Sort=A","Dates=H","DateFormat=P","Fill=—","Direction=H","UseDPDF=Y")</f>
        <v>51.4208</v>
      </c>
      <c r="I90" s="14" t="str">
        <f>_xll.BDH("NBIX US Equity","TCE_RATIO","FQ2 2020","FQ2 2020","Currency=USD","Period=FQ","BEST_FPERIOD_OVERRIDE=FQ","FILING_STATUS=MR","Sort=A","Dates=H","DateFormat=P","Fill=—","Direction=H","UseDPDF=Y")</f>
        <v>—</v>
      </c>
      <c r="J90" s="14" t="str">
        <f>_xll.BDH("NBIX US Equity","TCE_RATIO","FQ3 2020","FQ3 2020","Currency=USD","Period=FQ","BEST_FPERIOD_OVERRIDE=FQ","FILING_STATUS=MR","Sort=A","Dates=H","DateFormat=P","Fill=—","Direction=H","UseDPDF=Y")</f>
        <v>—</v>
      </c>
      <c r="K90" s="14">
        <f>_xll.BDH("NBIX US Equity","TCE_RATIO","FQ4 2020","FQ4 2020","Currency=USD","Period=FQ","BEST_FPERIOD_OVERRIDE=FQ","FILING_STATUS=MR","Sort=A","Dates=H","DateFormat=P","Fill=—","Direction=H","UseDPDF=Y")</f>
        <v>64.921899999999994</v>
      </c>
      <c r="L90" s="14">
        <f>_xll.BDH("NBIX US Equity","TCE_RATIO","FQ1 2021","FQ1 2021","Currency=USD","Period=FQ","BEST_FPERIOD_OVERRIDE=FQ","FILING_STATUS=MR","Sort=A","Dates=H","DateFormat=P","Fill=—","Direction=H","UseDPDF=Y")</f>
        <v>65.294600000000003</v>
      </c>
      <c r="M90" s="14" t="str">
        <f>_xll.BDH("NBIX US Equity","TCE_RATIO","FQ2 2021","FQ2 2021","Currency=USD","Period=FQ","BEST_FPERIOD_OVERRIDE=FQ","FILING_STATUS=MR","Sort=A","Dates=H","DateFormat=P","Fill=—","Direction=H","UseDPDF=Y")</f>
        <v>—</v>
      </c>
      <c r="N90" s="14" t="str">
        <f>_xll.BDH("NBIX US Equity","TCE_RATIO","FQ3 2021","FQ3 2021","Currency=USD","Period=FQ","BEST_FPERIOD_OVERRIDE=FQ","FILING_STATUS=MR","Sort=A","Dates=H","DateFormat=P","Fill=—","Direction=H","UseDPDF=Y")</f>
        <v>—</v>
      </c>
      <c r="O90" s="14">
        <f>_xll.BDH("NBIX US Equity","TCE_RATIO","FQ4 2021","FQ4 2021","Currency=USD","Period=FQ","BEST_FPERIOD_OVERRIDE=FQ","FILING_STATUS=MR","Sort=A","Dates=H","DateFormat=P","Fill=—","Direction=H","UseDPDF=Y")</f>
        <v>66.296700000000001</v>
      </c>
      <c r="P90" s="14" t="str">
        <f>_xll.BDH("NBIX US Equity","TCE_RATIO","FQ1 2022","FQ1 2022","Currency=USD","Period=FQ","BEST_FPERIOD_OVERRIDE=FQ","FILING_STATUS=MR","Sort=A","Dates=H","DateFormat=P","Fill=—","Direction=H","UseDPDF=Y")</f>
        <v>—</v>
      </c>
      <c r="Q90" s="14">
        <f>_xll.BDH("NBIX US Equity","TCE_RATIO","FQ2 2022","FQ2 2022","Currency=USD","Period=FQ","BEST_FPERIOD_OVERRIDE=FQ","FILING_STATUS=MR","Sort=A","Dates=H","DateFormat=P","Fill=—","Direction=H","UseDPDF=Y")</f>
        <v>70.967699999999994</v>
      </c>
      <c r="R90" s="14" t="str">
        <f>_xll.BDH("NBIX US Equity","TCE_RATIO","FQ3 2022","FQ3 2022","Currency=USD","Period=FQ","BEST_FPERIOD_OVERRIDE=FQ","FILING_STATUS=MR","Sort=A","Dates=H","DateFormat=P","Fill=—","Direction=H","UseDPDF=Y")</f>
        <v>—</v>
      </c>
      <c r="S90" s="14">
        <f>_xll.BDH("NBIX US Equity","TCE_RATIO","FQ4 2022","FQ4 2022","Currency=USD","Period=FQ","BEST_FPERIOD_OVERRIDE=FQ","FILING_STATUS=MR","Sort=A","Dates=H","DateFormat=P","Fill=—","Direction=H","UseDPDF=Y")</f>
        <v>71.653400000000005</v>
      </c>
      <c r="T90" s="14">
        <f>_xll.BDH("NBIX US Equity","TCE_RATIO","FQ1 2023","FQ1 2023","Currency=USD","Period=FQ","BEST_FPERIOD_OVERRIDE=FQ","FILING_STATUS=MR","Sort=A","Dates=H","DateFormat=P","Fill=—","Direction=H","UseDPDF=Y")</f>
        <v>70.924800000000005</v>
      </c>
      <c r="U90" s="14">
        <f>_xll.BDH("NBIX US Equity","TCE_RATIO","FQ2 2023","FQ2 2023","Currency=USD","Period=FQ","BEST_FPERIOD_OVERRIDE=FQ","FILING_STATUS=MR","Sort=A","Dates=H","DateFormat=P","Fill=—","Direction=H","UseDPDF=Y")</f>
        <v>70.4953</v>
      </c>
      <c r="V90" s="14">
        <f>_xll.BDH("NBIX US Equity","TCE_RATIO","FQ3 2023","FQ3 2023","Currency=USD","Period=FQ","BEST_FPERIOD_OVERRIDE=FQ","FILING_STATUS=MR","Sort=A","Dates=H","DateFormat=P","Fill=—","Direction=H","UseDPDF=Y")</f>
        <v>69.924999999999997</v>
      </c>
      <c r="W90" s="14">
        <f>_xll.BDH("NBIX US Equity","TCE_RATIO","FQ4 2023","FQ4 2023","Currency=USD","Period=FQ","BEST_FPERIOD_OVERRIDE=FQ","FILING_STATUS=MR","Sort=A","Dates=H","DateFormat=P","Fill=—","Direction=H","UseDPDF=Y")</f>
        <v>68.301299999999998</v>
      </c>
      <c r="X90" s="14">
        <f>_xll.BDH("NBIX US Equity","TCE_RATIO","FQ1 2024","FQ1 2024","Currency=USD","Period=FQ","BEST_FPERIOD_OVERRIDE=FQ","FILING_STATUS=MR","Sort=A","Dates=H","DateFormat=P","Fill=—","Direction=H","UseDPDF=Y")</f>
        <v>68.4041</v>
      </c>
      <c r="Y90" s="14">
        <f>_xll.BDH("NBIX US Equity","TCE_RATIO","FQ2 2024","FQ2 2024","Currency=USD","Period=FQ","BEST_FPERIOD_OVERRIDE=FQ","FILING_STATUS=MR","Sort=A","Dates=H","DateFormat=P","Fill=—","Direction=H","UseDPDF=Y")</f>
        <v>75.674800000000005</v>
      </c>
      <c r="Z90" s="14">
        <f>_xll.BDH("NBIX US Equity","TCE_RATIO","FQ3 2024","FQ3 2024","Currency=USD","Period=FQ","BEST_FPERIOD_OVERRIDE=FQ","FILING_STATUS=MR","Sort=A","Dates=H","DateFormat=P","Fill=—","Direction=H","UseDPDF=Y")</f>
        <v>76.686199999999999</v>
      </c>
      <c r="AA90" s="14">
        <f>_xll.BDH("NBIX US Equity","TCE_RATIO","FQ4 2024","FQ4 2024","Currency=USD","Period=FQ","BEST_FPERIOD_OVERRIDE=FQ","FILING_STATUS=MR","Sort=A","Dates=H","DateFormat=P","Fill=—","Direction=H","UseDPDF=Y")</f>
        <v>69.338999999999999</v>
      </c>
    </row>
    <row r="91" spans="1:27" x14ac:dyDescent="0.25">
      <c r="A91" s="10" t="s">
        <v>809</v>
      </c>
      <c r="B91" s="10" t="s">
        <v>810</v>
      </c>
      <c r="C91" s="14">
        <f>_xll.BDH("NBIX US Equity","CUR_RATIO","FQ4 2018","FQ4 2018","Currency=USD","Period=FQ","BEST_FPERIOD_OVERRIDE=FQ","FILING_STATUS=MR","Sort=A","Dates=H","DateFormat=P","Fill=—","Direction=H","UseDPDF=Y")</f>
        <v>8.3617000000000008</v>
      </c>
      <c r="D91" s="14">
        <f>_xll.BDH("NBIX US Equity","CUR_RATIO","FQ1 2019","FQ1 2019","Currency=USD","Period=FQ","BEST_FPERIOD_OVERRIDE=FQ","FILING_STATUS=MR","Sort=A","Dates=H","DateFormat=P","Fill=—","Direction=H","UseDPDF=Y")</f>
        <v>8.7940000000000005</v>
      </c>
      <c r="E91" s="14">
        <f>_xll.BDH("NBIX US Equity","CUR_RATIO","FQ2 2019","FQ2 2019","Currency=USD","Period=FQ","BEST_FPERIOD_OVERRIDE=FQ","FILING_STATUS=MR","Sort=A","Dates=H","DateFormat=P","Fill=—","Direction=H","UseDPDF=Y")</f>
        <v>7.4442000000000004</v>
      </c>
      <c r="F91" s="14">
        <f>_xll.BDH("NBIX US Equity","CUR_RATIO","FQ3 2019","FQ3 2019","Currency=USD","Period=FQ","BEST_FPERIOD_OVERRIDE=FQ","FILING_STATUS=MR","Sort=A","Dates=H","DateFormat=P","Fill=—","Direction=H","UseDPDF=Y")</f>
        <v>7.0835999999999997</v>
      </c>
      <c r="G91" s="14">
        <f>_xll.BDH("NBIX US Equity","CUR_RATIO","FQ4 2019","FQ4 2019","Currency=USD","Period=FQ","BEST_FPERIOD_OVERRIDE=FQ","FILING_STATUS=MR","Sort=A","Dates=H","DateFormat=P","Fill=—","Direction=H","UseDPDF=Y")</f>
        <v>1.47</v>
      </c>
      <c r="H91" s="14">
        <f>_xll.BDH("NBIX US Equity","CUR_RATIO","FQ1 2020","FQ1 2020","Currency=USD","Period=FQ","BEST_FPERIOD_OVERRIDE=FQ","FILING_STATUS=MR","Sort=A","Dates=H","DateFormat=P","Fill=—","Direction=H","UseDPDF=Y")</f>
        <v>6.9009</v>
      </c>
      <c r="I91" s="14">
        <f>_xll.BDH("NBIX US Equity","CUR_RATIO","FQ2 2020","FQ2 2020","Currency=USD","Period=FQ","BEST_FPERIOD_OVERRIDE=FQ","FILING_STATUS=MR","Sort=A","Dates=H","DateFormat=P","Fill=—","Direction=H","UseDPDF=Y")</f>
        <v>2.0003000000000002</v>
      </c>
      <c r="J91" s="14">
        <f>_xll.BDH("NBIX US Equity","CUR_RATIO","FQ3 2020","FQ3 2020","Currency=USD","Period=FQ","BEST_FPERIOD_OVERRIDE=FQ","FILING_STATUS=MR","Sort=A","Dates=H","DateFormat=P","Fill=—","Direction=H","UseDPDF=Y")</f>
        <v>1.8935</v>
      </c>
      <c r="K91" s="14">
        <f>_xll.BDH("NBIX US Equity","CUR_RATIO","FQ4 2020","FQ4 2020","Currency=USD","Period=FQ","BEST_FPERIOD_OVERRIDE=FQ","FILING_STATUS=MR","Sort=A","Dates=H","DateFormat=P","Fill=—","Direction=H","UseDPDF=Y")</f>
        <v>5.4488000000000003</v>
      </c>
      <c r="L91" s="14">
        <f>_xll.BDH("NBIX US Equity","CUR_RATIO","FQ1 2021","FQ1 2021","Currency=USD","Period=FQ","BEST_FPERIOD_OVERRIDE=FQ","FILING_STATUS=MR","Sort=A","Dates=H","DateFormat=P","Fill=—","Direction=H","UseDPDF=Y")</f>
        <v>5.7126000000000001</v>
      </c>
      <c r="M91" s="14">
        <f>_xll.BDH("NBIX US Equity","CUR_RATIO","FQ2 2021","FQ2 2021","Currency=USD","Period=FQ","BEST_FPERIOD_OVERRIDE=FQ","FILING_STATUS=MR","Sort=A","Dates=H","DateFormat=P","Fill=—","Direction=H","UseDPDF=Y")</f>
        <v>5.2141999999999999</v>
      </c>
      <c r="N91" s="14">
        <f>_xll.BDH("NBIX US Equity","CUR_RATIO","FQ3 2021","FQ3 2021","Currency=USD","Period=FQ","BEST_FPERIOD_OVERRIDE=FQ","FILING_STATUS=MR","Sort=A","Dates=H","DateFormat=P","Fill=—","Direction=H","UseDPDF=Y")</f>
        <v>4.452</v>
      </c>
      <c r="O91" s="14">
        <f>_xll.BDH("NBIX US Equity","CUR_RATIO","FQ4 2021","FQ4 2021","Currency=USD","Period=FQ","BEST_FPERIOD_OVERRIDE=FQ","FILING_STATUS=MR","Sort=A","Dates=H","DateFormat=P","Fill=—","Direction=H","UseDPDF=Y")</f>
        <v>3.9577</v>
      </c>
      <c r="P91" s="14">
        <f>_xll.BDH("NBIX US Equity","CUR_RATIO","FQ1 2022","FQ1 2022","Currency=USD","Period=FQ","BEST_FPERIOD_OVERRIDE=FQ","FILING_STATUS=MR","Sort=A","Dates=H","DateFormat=P","Fill=—","Direction=H","UseDPDF=Y")</f>
        <v>4.0166000000000004</v>
      </c>
      <c r="Q91" s="14">
        <f>_xll.BDH("NBIX US Equity","CUR_RATIO","FQ2 2022","FQ2 2022","Currency=USD","Period=FQ","BEST_FPERIOD_OVERRIDE=FQ","FILING_STATUS=MR","Sort=A","Dates=H","DateFormat=P","Fill=—","Direction=H","UseDPDF=Y")</f>
        <v>3.5676999999999999</v>
      </c>
      <c r="R91" s="14">
        <f>_xll.BDH("NBIX US Equity","CUR_RATIO","FQ3 2022","FQ3 2022","Currency=USD","Period=FQ","BEST_FPERIOD_OVERRIDE=FQ","FILING_STATUS=MR","Sort=A","Dates=H","DateFormat=P","Fill=—","Direction=H","UseDPDF=Y")</f>
        <v>2.4851000000000001</v>
      </c>
      <c r="S91" s="14">
        <f>_xll.BDH("NBIX US Equity","CUR_RATIO","FQ4 2022","FQ4 2022","Currency=USD","Period=FQ","BEST_FPERIOD_OVERRIDE=FQ","FILING_STATUS=MR","Sort=A","Dates=H","DateFormat=P","Fill=—","Direction=H","UseDPDF=Y")</f>
        <v>2.7031999999999998</v>
      </c>
      <c r="T91" s="14">
        <f>_xll.BDH("NBIX US Equity","CUR_RATIO","FQ1 2023","FQ1 2023","Currency=USD","Period=FQ","BEST_FPERIOD_OVERRIDE=FQ","FILING_STATUS=MR","Sort=A","Dates=H","DateFormat=P","Fill=—","Direction=H","UseDPDF=Y")</f>
        <v>3.83</v>
      </c>
      <c r="U91" s="14">
        <f>_xll.BDH("NBIX US Equity","CUR_RATIO","FQ2 2023","FQ2 2023","Currency=USD","Period=FQ","BEST_FPERIOD_OVERRIDE=FQ","FILING_STATUS=MR","Sort=A","Dates=H","DateFormat=P","Fill=—","Direction=H","UseDPDF=Y")</f>
        <v>2.5693000000000001</v>
      </c>
      <c r="V91" s="14">
        <f>_xll.BDH("NBIX US Equity","CUR_RATIO","FQ3 2023","FQ3 2023","Currency=USD","Period=FQ","BEST_FPERIOD_OVERRIDE=FQ","FILING_STATUS=MR","Sort=A","Dates=H","DateFormat=P","Fill=—","Direction=H","UseDPDF=Y")</f>
        <v>2.3856000000000002</v>
      </c>
      <c r="W91" s="14">
        <f>_xll.BDH("NBIX US Equity","CUR_RATIO","FQ4 2023","FQ4 2023","Currency=USD","Period=FQ","BEST_FPERIOD_OVERRIDE=FQ","FILING_STATUS=MR","Sort=A","Dates=H","DateFormat=P","Fill=—","Direction=H","UseDPDF=Y")</f>
        <v>2.4542000000000002</v>
      </c>
      <c r="X91" s="14">
        <f>_xll.BDH("NBIX US Equity","CUR_RATIO","FQ1 2024","FQ1 2024","Currency=USD","Period=FQ","BEST_FPERIOD_OVERRIDE=FQ","FILING_STATUS=MR","Sort=A","Dates=H","DateFormat=P","Fill=—","Direction=H","UseDPDF=Y")</f>
        <v>2.5234999999999999</v>
      </c>
      <c r="Y91" s="14">
        <f>_xll.BDH("NBIX US Equity","CUR_RATIO","FQ2 2024","FQ2 2024","Currency=USD","Period=FQ","BEST_FPERIOD_OVERRIDE=FQ","FILING_STATUS=MR","Sort=A","Dates=H","DateFormat=P","Fill=—","Direction=H","UseDPDF=Y")</f>
        <v>4.1901999999999999</v>
      </c>
      <c r="Z91" s="14">
        <f>_xll.BDH("NBIX US Equity","CUR_RATIO","FQ3 2024","FQ3 2024","Currency=USD","Period=FQ","BEST_FPERIOD_OVERRIDE=FQ","FILING_STATUS=MR","Sort=A","Dates=H","DateFormat=P","Fill=—","Direction=H","UseDPDF=Y")</f>
        <v>4.3672000000000004</v>
      </c>
      <c r="AA91" s="14">
        <f>_xll.BDH("NBIX US Equity","CUR_RATIO","FQ4 2024","FQ4 2024","Currency=USD","Period=FQ","BEST_FPERIOD_OVERRIDE=FQ","FILING_STATUS=MR","Sort=A","Dates=H","DateFormat=P","Fill=—","Direction=H","UseDPDF=Y")</f>
        <v>3.3971</v>
      </c>
    </row>
    <row r="92" spans="1:27" x14ac:dyDescent="0.25">
      <c r="A92" s="10" t="s">
        <v>811</v>
      </c>
      <c r="B92" s="10" t="s">
        <v>812</v>
      </c>
      <c r="C92" s="14">
        <f>_xll.BDH("NBIX US Equity","CASH_CONVERSION_CYCLE","FQ4 2018","FQ4 2018","Currency=USD","Period=FQ","BEST_FPERIOD_OVERRIDE=FQ","FILING_STATUS=MR","FA_ADJUSTED=GAAP","Sort=A","Dates=H","DateFormat=P","Fill=—","Direction=H","UseDPDF=Y")</f>
        <v>238.11510000000001</v>
      </c>
      <c r="D92" s="14" t="str">
        <f>_xll.BDH("NBIX US Equity","CASH_CONVERSION_CYCLE","FQ1 2019","FQ1 2019","Currency=USD","Period=FQ","BEST_FPERIOD_OVERRIDE=FQ","FILING_STATUS=MR","FA_ADJUSTED=GAAP","Sort=A","Dates=H","DateFormat=P","Fill=—","Direction=H","UseDPDF=Y")</f>
        <v>—</v>
      </c>
      <c r="E92" s="14" t="str">
        <f>_xll.BDH("NBIX US Equity","CASH_CONVERSION_CYCLE","FQ2 2019","FQ2 2019","Currency=USD","Period=FQ","BEST_FPERIOD_OVERRIDE=FQ","FILING_STATUS=MR","FA_ADJUSTED=GAAP","Sort=A","Dates=H","DateFormat=P","Fill=—","Direction=H","UseDPDF=Y")</f>
        <v>—</v>
      </c>
      <c r="F92" s="14" t="str">
        <f>_xll.BDH("NBIX US Equity","CASH_CONVERSION_CYCLE","FQ3 2019","FQ3 2019","Currency=USD","Period=FQ","BEST_FPERIOD_OVERRIDE=FQ","FILING_STATUS=MR","FA_ADJUSTED=GAAP","Sort=A","Dates=H","DateFormat=P","Fill=—","Direction=H","UseDPDF=Y")</f>
        <v>—</v>
      </c>
      <c r="G92" s="14">
        <f>_xll.BDH("NBIX US Equity","CASH_CONVERSION_CYCLE","FQ4 2019","FQ4 2019","Currency=USD","Period=FQ","BEST_FPERIOD_OVERRIDE=FQ","FILING_STATUS=MR","FA_ADJUSTED=GAAP","Sort=A","Dates=H","DateFormat=P","Fill=—","Direction=H","UseDPDF=Y")</f>
        <v>147.90209999999999</v>
      </c>
      <c r="H92" s="14" t="str">
        <f>_xll.BDH("NBIX US Equity","CASH_CONVERSION_CYCLE","FQ1 2020","FQ1 2020","Currency=USD","Period=FQ","BEST_FPERIOD_OVERRIDE=FQ","FILING_STATUS=MR","FA_ADJUSTED=GAAP","Sort=A","Dates=H","DateFormat=P","Fill=—","Direction=H","UseDPDF=Y")</f>
        <v>—</v>
      </c>
      <c r="I92" s="14" t="str">
        <f>_xll.BDH("NBIX US Equity","CASH_CONVERSION_CYCLE","FQ2 2020","FQ2 2020","Currency=USD","Period=FQ","BEST_FPERIOD_OVERRIDE=FQ","FILING_STATUS=MR","FA_ADJUSTED=GAAP","Sort=A","Dates=H","DateFormat=P","Fill=—","Direction=H","UseDPDF=Y")</f>
        <v>—</v>
      </c>
      <c r="J92" s="14" t="str">
        <f>_xll.BDH("NBIX US Equity","CASH_CONVERSION_CYCLE","FQ3 2020","FQ3 2020","Currency=USD","Period=FQ","BEST_FPERIOD_OVERRIDE=FQ","FILING_STATUS=MR","FA_ADJUSTED=GAAP","Sort=A","Dates=H","DateFormat=P","Fill=—","Direction=H","UseDPDF=Y")</f>
        <v>—</v>
      </c>
      <c r="K92" s="14">
        <f>_xll.BDH("NBIX US Equity","CASH_CONVERSION_CYCLE","FQ4 2020","FQ4 2020","Currency=USD","Period=FQ","BEST_FPERIOD_OVERRIDE=FQ","FILING_STATUS=MR","FA_ADJUSTED=GAAP","Sort=A","Dates=H","DateFormat=P","Fill=—","Direction=H","UseDPDF=Y")</f>
        <v>296.78620000000001</v>
      </c>
      <c r="L92" s="14" t="str">
        <f>_xll.BDH("NBIX US Equity","CASH_CONVERSION_CYCLE","FQ1 2021","FQ1 2021","Currency=USD","Period=FQ","BEST_FPERIOD_OVERRIDE=FQ","FILING_STATUS=MR","FA_ADJUSTED=GAAP","Sort=A","Dates=H","DateFormat=P","Fill=—","Direction=H","UseDPDF=Y")</f>
        <v>—</v>
      </c>
      <c r="M92" s="14" t="str">
        <f>_xll.BDH("NBIX US Equity","CASH_CONVERSION_CYCLE","FQ2 2021","FQ2 2021","Currency=USD","Period=FQ","BEST_FPERIOD_OVERRIDE=FQ","FILING_STATUS=MR","FA_ADJUSTED=GAAP","Sort=A","Dates=H","DateFormat=P","Fill=—","Direction=H","UseDPDF=Y")</f>
        <v>—</v>
      </c>
      <c r="N92" s="14" t="str">
        <f>_xll.BDH("NBIX US Equity","CASH_CONVERSION_CYCLE","FQ3 2021","FQ3 2021","Currency=USD","Period=FQ","BEST_FPERIOD_OVERRIDE=FQ","FILING_STATUS=MR","FA_ADJUSTED=GAAP","Sort=A","Dates=H","DateFormat=P","Fill=—","Direction=H","UseDPDF=Y")</f>
        <v>—</v>
      </c>
      <c r="O92" s="14">
        <f>_xll.BDH("NBIX US Equity","CASH_CONVERSION_CYCLE","FQ4 2021","FQ4 2021","Currency=USD","Period=FQ","BEST_FPERIOD_OVERRIDE=FQ","FILING_STATUS=MR","FA_ADJUSTED=GAAP","Sort=A","Dates=H","DateFormat=P","Fill=—","Direction=H","UseDPDF=Y")</f>
        <v>-255.2277</v>
      </c>
      <c r="P92" s="14" t="str">
        <f>_xll.BDH("NBIX US Equity","CASH_CONVERSION_CYCLE","FQ1 2022","FQ1 2022","Currency=USD","Period=FQ","BEST_FPERIOD_OVERRIDE=FQ","FILING_STATUS=MR","FA_ADJUSTED=GAAP","Sort=A","Dates=H","DateFormat=P","Fill=—","Direction=H","UseDPDF=Y")</f>
        <v>—</v>
      </c>
      <c r="Q92" s="14" t="str">
        <f>_xll.BDH("NBIX US Equity","CASH_CONVERSION_CYCLE","FQ2 2022","FQ2 2022","Currency=USD","Period=FQ","BEST_FPERIOD_OVERRIDE=FQ","FILING_STATUS=MR","FA_ADJUSTED=GAAP","Sort=A","Dates=H","DateFormat=P","Fill=—","Direction=H","UseDPDF=Y")</f>
        <v>—</v>
      </c>
      <c r="R92" s="14" t="str">
        <f>_xll.BDH("NBIX US Equity","CASH_CONVERSION_CYCLE","FQ3 2022","FQ3 2022","Currency=USD","Period=FQ","BEST_FPERIOD_OVERRIDE=FQ","FILING_STATUS=MR","FA_ADJUSTED=GAAP","Sort=A","Dates=H","DateFormat=P","Fill=—","Direction=H","UseDPDF=Y")</f>
        <v>—</v>
      </c>
      <c r="S92" s="14">
        <f>_xll.BDH("NBIX US Equity","CASH_CONVERSION_CYCLE","FQ4 2022","FQ4 2022","Currency=USD","Period=FQ","BEST_FPERIOD_OVERRIDE=FQ","FILING_STATUS=MR","FA_ADJUSTED=GAAP","Sort=A","Dates=H","DateFormat=P","Fill=—","Direction=H","UseDPDF=Y")</f>
        <v>-695.81849999999997</v>
      </c>
      <c r="T92" s="14" t="str">
        <f>_xll.BDH("NBIX US Equity","CASH_CONVERSION_CYCLE","FQ1 2023","FQ1 2023","Currency=USD","Period=FQ","BEST_FPERIOD_OVERRIDE=FQ","FILING_STATUS=MR","FA_ADJUSTED=GAAP","Sort=A","Dates=H","DateFormat=P","Fill=—","Direction=H","UseDPDF=Y")</f>
        <v>—</v>
      </c>
      <c r="U92" s="14" t="str">
        <f>_xll.BDH("NBIX US Equity","CASH_CONVERSION_CYCLE","FQ2 2023","FQ2 2023","Currency=USD","Period=FQ","BEST_FPERIOD_OVERRIDE=FQ","FILING_STATUS=MR","FA_ADJUSTED=GAAP","Sort=A","Dates=H","DateFormat=P","Fill=—","Direction=H","UseDPDF=Y")</f>
        <v>—</v>
      </c>
      <c r="V92" s="14" t="str">
        <f>_xll.BDH("NBIX US Equity","CASH_CONVERSION_CYCLE","FQ3 2023","FQ3 2023","Currency=USD","Period=FQ","BEST_FPERIOD_OVERRIDE=FQ","FILING_STATUS=MR","FA_ADJUSTED=GAAP","Sort=A","Dates=H","DateFormat=P","Fill=—","Direction=H","UseDPDF=Y")</f>
        <v>—</v>
      </c>
      <c r="W92" s="14">
        <f>_xll.BDH("NBIX US Equity","CASH_CONVERSION_CYCLE","FQ4 2023","FQ4 2023","Currency=USD","Period=FQ","BEST_FPERIOD_OVERRIDE=FQ","FILING_STATUS=MR","FA_ADJUSTED=GAAP","Sort=A","Dates=H","DateFormat=P","Fill=—","Direction=H","UseDPDF=Y")</f>
        <v>-739.9556</v>
      </c>
      <c r="X92" s="14" t="str">
        <f>_xll.BDH("NBIX US Equity","CASH_CONVERSION_CYCLE","FQ1 2024","FQ1 2024","Currency=USD","Period=FQ","BEST_FPERIOD_OVERRIDE=FQ","FILING_STATUS=MR","FA_ADJUSTED=GAAP","Sort=A","Dates=H","DateFormat=P","Fill=—","Direction=H","UseDPDF=Y")</f>
        <v>—</v>
      </c>
      <c r="Y92" s="14" t="str">
        <f>_xll.BDH("NBIX US Equity","CASH_CONVERSION_CYCLE","FQ2 2024","FQ2 2024","Currency=USD","Period=FQ","BEST_FPERIOD_OVERRIDE=FQ","FILING_STATUS=MR","FA_ADJUSTED=GAAP","Sort=A","Dates=H","DateFormat=P","Fill=—","Direction=H","UseDPDF=Y")</f>
        <v>—</v>
      </c>
      <c r="Z92" s="14" t="str">
        <f>_xll.BDH("NBIX US Equity","CASH_CONVERSION_CYCLE","FQ3 2024","FQ3 2024","Currency=USD","Period=FQ","BEST_FPERIOD_OVERRIDE=FQ","FILING_STATUS=MR","FA_ADJUSTED=GAAP","Sort=A","Dates=H","DateFormat=P","Fill=—","Direction=H","UseDPDF=Y")</f>
        <v>—</v>
      </c>
      <c r="AA92" s="14">
        <f>_xll.BDH("NBIX US Equity","CASH_CONVERSION_CYCLE","FQ4 2024","FQ4 2024","Currency=USD","Period=FQ","BEST_FPERIOD_OVERRIDE=FQ","FILING_STATUS=MR","FA_ADJUSTED=GAAP","Sort=A","Dates=H","DateFormat=P","Fill=—","Direction=H","UseDPDF=Y")</f>
        <v>-390.58569999999997</v>
      </c>
    </row>
    <row r="93" spans="1:27" x14ac:dyDescent="0.25">
      <c r="A93" s="10" t="s">
        <v>813</v>
      </c>
      <c r="B93" s="10" t="s">
        <v>814</v>
      </c>
      <c r="C93" s="14">
        <f>_xll.BDH("NBIX US Equity","NUM_OF_EMPLOYEES","FQ4 2018","FQ4 2018","Currency=USD","Period=FQ","BEST_FPERIOD_OVERRIDE=FQ","FILING_STATUS=MR","Sort=A","Dates=H","DateFormat=P","Fill=—","Direction=H","UseDPDF=Y")</f>
        <v>585</v>
      </c>
      <c r="D93" s="14" t="str">
        <f>_xll.BDH("NBIX US Equity","NUM_OF_EMPLOYEES","FQ1 2019","FQ1 2019","Currency=USD","Period=FQ","BEST_FPERIOD_OVERRIDE=FQ","FILING_STATUS=MR","Sort=A","Dates=H","DateFormat=P","Fill=—","Direction=H","UseDPDF=Y")</f>
        <v>—</v>
      </c>
      <c r="E93" s="14" t="str">
        <f>_xll.BDH("NBIX US Equity","NUM_OF_EMPLOYEES","FQ2 2019","FQ2 2019","Currency=USD","Period=FQ","BEST_FPERIOD_OVERRIDE=FQ","FILING_STATUS=MR","Sort=A","Dates=H","DateFormat=P","Fill=—","Direction=H","UseDPDF=Y")</f>
        <v>—</v>
      </c>
      <c r="F93" s="14" t="str">
        <f>_xll.BDH("NBIX US Equity","NUM_OF_EMPLOYEES","FQ3 2019","FQ3 2019","Currency=USD","Period=FQ","BEST_FPERIOD_OVERRIDE=FQ","FILING_STATUS=MR","Sort=A","Dates=H","DateFormat=P","Fill=—","Direction=H","UseDPDF=Y")</f>
        <v>—</v>
      </c>
      <c r="G93" s="14">
        <f>_xll.BDH("NBIX US Equity","NUM_OF_EMPLOYEES","FQ4 2019","FQ4 2019","Currency=USD","Period=FQ","BEST_FPERIOD_OVERRIDE=FQ","FILING_STATUS=MR","Sort=A","Dates=H","DateFormat=P","Fill=—","Direction=H","UseDPDF=Y")</f>
        <v>700</v>
      </c>
      <c r="H93" s="14" t="str">
        <f>_xll.BDH("NBIX US Equity","NUM_OF_EMPLOYEES","FQ1 2020","FQ1 2020","Currency=USD","Period=FQ","BEST_FPERIOD_OVERRIDE=FQ","FILING_STATUS=MR","Sort=A","Dates=H","DateFormat=P","Fill=—","Direction=H","UseDPDF=Y")</f>
        <v>—</v>
      </c>
      <c r="I93" s="14" t="str">
        <f>_xll.BDH("NBIX US Equity","NUM_OF_EMPLOYEES","FQ2 2020","FQ2 2020","Currency=USD","Period=FQ","BEST_FPERIOD_OVERRIDE=FQ","FILING_STATUS=MR","Sort=A","Dates=H","DateFormat=P","Fill=—","Direction=H","UseDPDF=Y")</f>
        <v>—</v>
      </c>
      <c r="J93" s="14" t="str">
        <f>_xll.BDH("NBIX US Equity","NUM_OF_EMPLOYEES","FQ3 2020","FQ3 2020","Currency=USD","Period=FQ","BEST_FPERIOD_OVERRIDE=FQ","FILING_STATUS=MR","Sort=A","Dates=H","DateFormat=P","Fill=—","Direction=H","UseDPDF=Y")</f>
        <v>—</v>
      </c>
      <c r="K93" s="14">
        <f>_xll.BDH("NBIX US Equity","NUM_OF_EMPLOYEES","FQ4 2020","FQ4 2020","Currency=USD","Period=FQ","BEST_FPERIOD_OVERRIDE=FQ","FILING_STATUS=MR","Sort=A","Dates=H","DateFormat=P","Fill=—","Direction=H","UseDPDF=Y")</f>
        <v>845</v>
      </c>
      <c r="L93" s="14" t="str">
        <f>_xll.BDH("NBIX US Equity","NUM_OF_EMPLOYEES","FQ1 2021","FQ1 2021","Currency=USD","Period=FQ","BEST_FPERIOD_OVERRIDE=FQ","FILING_STATUS=MR","Sort=A","Dates=H","DateFormat=P","Fill=—","Direction=H","UseDPDF=Y")</f>
        <v>—</v>
      </c>
      <c r="M93" s="14" t="str">
        <f>_xll.BDH("NBIX US Equity","NUM_OF_EMPLOYEES","FQ2 2021","FQ2 2021","Currency=USD","Period=FQ","BEST_FPERIOD_OVERRIDE=FQ","FILING_STATUS=MR","Sort=A","Dates=H","DateFormat=P","Fill=—","Direction=H","UseDPDF=Y")</f>
        <v>—</v>
      </c>
      <c r="N93" s="14" t="str">
        <f>_xll.BDH("NBIX US Equity","NUM_OF_EMPLOYEES","FQ3 2021","FQ3 2021","Currency=USD","Period=FQ","BEST_FPERIOD_OVERRIDE=FQ","FILING_STATUS=MR","Sort=A","Dates=H","DateFormat=P","Fill=—","Direction=H","UseDPDF=Y")</f>
        <v>—</v>
      </c>
      <c r="O93" s="14">
        <f>_xll.BDH("NBIX US Equity","NUM_OF_EMPLOYEES","FQ4 2021","FQ4 2021","Currency=USD","Period=FQ","BEST_FPERIOD_OVERRIDE=FQ","FILING_STATUS=MR","Sort=A","Dates=H","DateFormat=P","Fill=—","Direction=H","UseDPDF=Y")</f>
        <v>900</v>
      </c>
      <c r="P93" s="14" t="str">
        <f>_xll.BDH("NBIX US Equity","NUM_OF_EMPLOYEES","FQ1 2022","FQ1 2022","Currency=USD","Period=FQ","BEST_FPERIOD_OVERRIDE=FQ","FILING_STATUS=MR","Sort=A","Dates=H","DateFormat=P","Fill=—","Direction=H","UseDPDF=Y")</f>
        <v>—</v>
      </c>
      <c r="Q93" s="14" t="str">
        <f>_xll.BDH("NBIX US Equity","NUM_OF_EMPLOYEES","FQ2 2022","FQ2 2022","Currency=USD","Period=FQ","BEST_FPERIOD_OVERRIDE=FQ","FILING_STATUS=MR","Sort=A","Dates=H","DateFormat=P","Fill=—","Direction=H","UseDPDF=Y")</f>
        <v>—</v>
      </c>
      <c r="R93" s="14" t="str">
        <f>_xll.BDH("NBIX US Equity","NUM_OF_EMPLOYEES","FQ3 2022","FQ3 2022","Currency=USD","Period=FQ","BEST_FPERIOD_OVERRIDE=FQ","FILING_STATUS=MR","Sort=A","Dates=H","DateFormat=P","Fill=—","Direction=H","UseDPDF=Y")</f>
        <v>—</v>
      </c>
      <c r="S93" s="14">
        <f>_xll.BDH("NBIX US Equity","NUM_OF_EMPLOYEES","FQ4 2022","FQ4 2022","Currency=USD","Period=FQ","BEST_FPERIOD_OVERRIDE=FQ","FILING_STATUS=MR","Sort=A","Dates=H","DateFormat=P","Fill=—","Direction=H","UseDPDF=Y")</f>
        <v>1200</v>
      </c>
      <c r="T93" s="14" t="str">
        <f>_xll.BDH("NBIX US Equity","NUM_OF_EMPLOYEES","FQ1 2023","FQ1 2023","Currency=USD","Period=FQ","BEST_FPERIOD_OVERRIDE=FQ","FILING_STATUS=MR","Sort=A","Dates=H","DateFormat=P","Fill=—","Direction=H","UseDPDF=Y")</f>
        <v>—</v>
      </c>
      <c r="U93" s="14" t="str">
        <f>_xll.BDH("NBIX US Equity","NUM_OF_EMPLOYEES","FQ2 2023","FQ2 2023","Currency=USD","Period=FQ","BEST_FPERIOD_OVERRIDE=FQ","FILING_STATUS=MR","Sort=A","Dates=H","DateFormat=P","Fill=—","Direction=H","UseDPDF=Y")</f>
        <v>—</v>
      </c>
      <c r="V93" s="14" t="str">
        <f>_xll.BDH("NBIX US Equity","NUM_OF_EMPLOYEES","FQ3 2023","FQ3 2023","Currency=USD","Period=FQ","BEST_FPERIOD_OVERRIDE=FQ","FILING_STATUS=MR","Sort=A","Dates=H","DateFormat=P","Fill=—","Direction=H","UseDPDF=Y")</f>
        <v>—</v>
      </c>
      <c r="W93" s="14">
        <f>_xll.BDH("NBIX US Equity","NUM_OF_EMPLOYEES","FQ4 2023","FQ4 2023","Currency=USD","Period=FQ","BEST_FPERIOD_OVERRIDE=FQ","FILING_STATUS=MR","Sort=A","Dates=H","DateFormat=P","Fill=—","Direction=H","UseDPDF=Y")</f>
        <v>1400</v>
      </c>
      <c r="X93" s="14" t="str">
        <f>_xll.BDH("NBIX US Equity","NUM_OF_EMPLOYEES","FQ1 2024","FQ1 2024","Currency=USD","Period=FQ","BEST_FPERIOD_OVERRIDE=FQ","FILING_STATUS=MR","Sort=A","Dates=H","DateFormat=P","Fill=—","Direction=H","UseDPDF=Y")</f>
        <v>—</v>
      </c>
      <c r="Y93" s="14" t="str">
        <f>_xll.BDH("NBIX US Equity","NUM_OF_EMPLOYEES","FQ2 2024","FQ2 2024","Currency=USD","Period=FQ","BEST_FPERIOD_OVERRIDE=FQ","FILING_STATUS=MR","Sort=A","Dates=H","DateFormat=P","Fill=—","Direction=H","UseDPDF=Y")</f>
        <v>—</v>
      </c>
      <c r="Z93" s="14">
        <f>_xll.BDH("NBIX US Equity","NUM_OF_EMPLOYEES","FQ3 2024","FQ3 2024","Currency=USD","Period=FQ","BEST_FPERIOD_OVERRIDE=FQ","FILING_STATUS=MR","Sort=A","Dates=H","DateFormat=P","Fill=—","Direction=H","UseDPDF=Y")</f>
        <v>1700</v>
      </c>
      <c r="AA93" s="14">
        <f>_xll.BDH("NBIX US Equity","NUM_OF_EMPLOYEES","FQ4 2024","FQ4 2024","Currency=USD","Period=FQ","BEST_FPERIOD_OVERRIDE=FQ","FILING_STATUS=MR","Sort=A","Dates=H","DateFormat=P","Fill=—","Direction=H","UseDPDF=Y")</f>
        <v>1800</v>
      </c>
    </row>
    <row r="94" spans="1:27" x14ac:dyDescent="0.25">
      <c r="A94" s="7" t="s">
        <v>90</v>
      </c>
      <c r="B94" s="7"/>
      <c r="C94" s="7" t="s">
        <v>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815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816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109</v>
      </c>
      <c r="B8" s="10" t="s">
        <v>817</v>
      </c>
      <c r="C8" s="13">
        <f>_xll.BDH("NBIX US Equity","ARD_CASH_AND_EQUIVALENTS","FQ4 2018","FQ4 2018","Currency=USD","Period=FQ","BEST_FPERIOD_OVERRIDE=FQ","FILING_STATUS=MR","SCALING_FORMAT=MLN","Sort=A","Dates=H","DateFormat=P","Fill=—","Direction=H","UseDPDF=Y")</f>
        <v>141.714</v>
      </c>
      <c r="D8" s="13">
        <f>_xll.BDH("NBIX US Equity","ARD_CASH_AND_EQUIVALENTS","FQ1 2019","FQ1 2019","Currency=USD","Period=FQ","BEST_FPERIOD_OVERRIDE=FQ","FILING_STATUS=MR","SCALING_FORMAT=MLN","Sort=A","Dates=H","DateFormat=P","Fill=—","Direction=H","UseDPDF=Y")</f>
        <v>72.778000000000006</v>
      </c>
      <c r="E8" s="13">
        <f>_xll.BDH("NBIX US Equity","ARD_CASH_AND_EQUIVALENTS","FQ2 2019","FQ2 2019","Currency=USD","Period=FQ","BEST_FPERIOD_OVERRIDE=FQ","FILING_STATUS=MR","SCALING_FORMAT=MLN","Sort=A","Dates=H","DateFormat=P","Fill=—","Direction=H","UseDPDF=Y")</f>
        <v>140.98500000000001</v>
      </c>
      <c r="F8" s="13">
        <f>_xll.BDH("NBIX US Equity","ARD_CASH_AND_EQUIVALENTS","FQ3 2019","FQ3 2019","Currency=USD","Period=FQ","BEST_FPERIOD_OVERRIDE=FQ","FILING_STATUS=MR","SCALING_FORMAT=MLN","Sort=A","Dates=H","DateFormat=P","Fill=—","Direction=H","UseDPDF=Y")</f>
        <v>166.637</v>
      </c>
      <c r="G8" s="13">
        <f>_xll.BDH("NBIX US Equity","ARD_CASH_AND_EQUIVALENTS","FQ4 2019","FQ4 2019","Currency=USD","Period=FQ","BEST_FPERIOD_OVERRIDE=FQ","FILING_STATUS=MR","SCALING_FORMAT=MLN","Sort=A","Dates=H","DateFormat=P","Fill=—","Direction=H","UseDPDF=Y")</f>
        <v>112.3</v>
      </c>
      <c r="H8" s="13">
        <f>_xll.BDH("NBIX US Equity","ARD_CASH_AND_EQUIVALENTS","FQ1 2020","FQ1 2020","Currency=USD","Period=FQ","BEST_FPERIOD_OVERRIDE=FQ","FILING_STATUS=MR","SCALING_FORMAT=MLN","Sort=A","Dates=H","DateFormat=P","Fill=—","Direction=H","UseDPDF=Y")</f>
        <v>187</v>
      </c>
      <c r="I8" s="13">
        <f>_xll.BDH("NBIX US Equity","ARD_CASH_AND_EQUIVALENTS","FQ2 2020","FQ2 2020","Currency=USD","Period=FQ","BEST_FPERIOD_OVERRIDE=FQ","FILING_STATUS=MR","SCALING_FORMAT=MLN","Sort=A","Dates=H","DateFormat=P","Fill=—","Direction=H","UseDPDF=Y")</f>
        <v>415.1</v>
      </c>
      <c r="J8" s="13">
        <f>_xll.BDH("NBIX US Equity","ARD_CASH_AND_EQUIVALENTS","FQ3 2020","FQ3 2020","Currency=USD","Period=FQ","BEST_FPERIOD_OVERRIDE=FQ","FILING_STATUS=MR","SCALING_FORMAT=MLN","Sort=A","Dates=H","DateFormat=P","Fill=—","Direction=H","UseDPDF=Y")</f>
        <v>425.3</v>
      </c>
      <c r="K8" s="13">
        <f>_xll.BDH("NBIX US Equity","ARD_CASH_AND_EQUIVALENTS","FQ4 2020","FQ4 2020","Currency=USD","Period=FQ","BEST_FPERIOD_OVERRIDE=FQ","FILING_STATUS=MR","SCALING_FORMAT=MLN","Sort=A","Dates=H","DateFormat=P","Fill=—","Direction=H","UseDPDF=Y")</f>
        <v>187.1</v>
      </c>
      <c r="L8" s="13">
        <f>_xll.BDH("NBIX US Equity","ARD_CASH_AND_EQUIVALENTS","FQ1 2021","FQ1 2021","Currency=USD","Period=FQ","BEST_FPERIOD_OVERRIDE=FQ","FILING_STATUS=MR","SCALING_FORMAT=MLN","Sort=A","Dates=H","DateFormat=P","Fill=—","Direction=H","UseDPDF=Y")</f>
        <v>352.6</v>
      </c>
      <c r="M8" s="13">
        <f>_xll.BDH("NBIX US Equity","ARD_CASH_AND_EQUIVALENTS","FQ2 2021","FQ2 2021","Currency=USD","Period=FQ","BEST_FPERIOD_OVERRIDE=FQ","FILING_STATUS=MR","SCALING_FORMAT=MLN","Sort=A","Dates=H","DateFormat=P","Fill=—","Direction=H","UseDPDF=Y")</f>
        <v>368</v>
      </c>
      <c r="N8" s="13">
        <f>_xll.BDH("NBIX US Equity","ARD_CASH_AND_EQUIVALENTS","FQ3 2021","FQ3 2021","Currency=USD","Period=FQ","BEST_FPERIOD_OVERRIDE=FQ","FILING_STATUS=MR","SCALING_FORMAT=MLN","Sort=A","Dates=H","DateFormat=P","Fill=—","Direction=H","UseDPDF=Y")</f>
        <v>311.10000000000002</v>
      </c>
      <c r="O8" s="13">
        <f>_xll.BDH("NBIX US Equity","ARD_CASH_AND_EQUIVALENTS","FQ4 2021","FQ4 2021","Currency=USD","Period=FQ","BEST_FPERIOD_OVERRIDE=FQ","FILING_STATUS=MR","SCALING_FORMAT=MLN","Sort=A","Dates=H","DateFormat=P","Fill=—","Direction=H","UseDPDF=Y")</f>
        <v>340.8</v>
      </c>
      <c r="P8" s="13">
        <f>_xll.BDH("NBIX US Equity","ARD_CASH_AND_EQUIVALENTS","FQ1 2022","FQ1 2022","Currency=USD","Period=FQ","BEST_FPERIOD_OVERRIDE=FQ","FILING_STATUS=MR","SCALING_FORMAT=MLN","Sort=A","Dates=H","DateFormat=P","Fill=—","Direction=H","UseDPDF=Y")</f>
        <v>270.2</v>
      </c>
      <c r="Q8" s="13">
        <f>_xll.BDH("NBIX US Equity","ARD_CASH_AND_EQUIVALENTS","FQ2 2022","FQ2 2022","Currency=USD","Period=FQ","BEST_FPERIOD_OVERRIDE=FQ","FILING_STATUS=MR","SCALING_FORMAT=MLN","Sort=A","Dates=H","DateFormat=P","Fill=—","Direction=H","UseDPDF=Y")</f>
        <v>163.30000000000001</v>
      </c>
      <c r="R8" s="13">
        <f>_xll.BDH("NBIX US Equity","ARD_CASH_AND_EQUIVALENTS","FQ3 2022","FQ3 2022","Currency=USD","Period=FQ","BEST_FPERIOD_OVERRIDE=FQ","FILING_STATUS=MR","SCALING_FORMAT=MLN","Sort=A","Dates=H","DateFormat=P","Fill=—","Direction=H","UseDPDF=Y")</f>
        <v>212.2</v>
      </c>
      <c r="S8" s="13">
        <f>_xll.BDH("NBIX US Equity","ARD_CASH_AND_EQUIVALENTS","FQ4 2022","FQ4 2022","Currency=USD","Period=FQ","BEST_FPERIOD_OVERRIDE=FQ","FILING_STATUS=MR","SCALING_FORMAT=MLN","Sort=A","Dates=H","DateFormat=P","Fill=—","Direction=H","UseDPDF=Y")</f>
        <v>262.89999999999998</v>
      </c>
      <c r="T8" s="13">
        <f>_xll.BDH("NBIX US Equity","ARD_CASH_AND_EQUIVALENTS","FQ1 2023","FQ1 2023","Currency=USD","Period=FQ","BEST_FPERIOD_OVERRIDE=FQ","FILING_STATUS=MR","SCALING_FORMAT=MLN","Sort=A","Dates=H","DateFormat=P","Fill=—","Direction=H","UseDPDF=Y")</f>
        <v>103.8</v>
      </c>
      <c r="U8" s="13">
        <f>_xll.BDH("NBIX US Equity","ARD_CASH_AND_EQUIVALENTS","FQ2 2023","FQ2 2023","Currency=USD","Period=FQ","BEST_FPERIOD_OVERRIDE=FQ","FILING_STATUS=MR","SCALING_FORMAT=MLN","Sort=A","Dates=H","DateFormat=P","Fill=—","Direction=H","UseDPDF=Y")</f>
        <v>160.19999999999999</v>
      </c>
      <c r="V8" s="13">
        <f>_xll.BDH("NBIX US Equity","ARD_CASH_AND_EQUIVALENTS","FQ3 2023","FQ3 2023","Currency=USD","Period=FQ","BEST_FPERIOD_OVERRIDE=FQ","FILING_STATUS=MR","SCALING_FORMAT=MLN","Sort=A","Dates=H","DateFormat=P","Fill=—","Direction=H","UseDPDF=Y")</f>
        <v>293.7</v>
      </c>
      <c r="W8" s="13">
        <f>_xll.BDH("NBIX US Equity","ARD_CASH_AND_EQUIVALENTS","FQ4 2023","FQ4 2023","Currency=USD","Period=FQ","BEST_FPERIOD_OVERRIDE=FQ","FILING_STATUS=MR","SCALING_FORMAT=MLN","Sort=A","Dates=H","DateFormat=P","Fill=—","Direction=H","UseDPDF=Y")</f>
        <v>251.1</v>
      </c>
      <c r="X8" s="13">
        <f>_xll.BDH("NBIX US Equity","ARD_CASH_AND_EQUIVALENTS","FQ1 2024","FQ1 2024","Currency=USD","Period=FQ","BEST_FPERIOD_OVERRIDE=FQ","FILING_STATUS=MR","SCALING_FORMAT=MLN","Sort=A","Dates=H","DateFormat=P","Fill=—","Direction=H","UseDPDF=Y")</f>
        <v>396.3</v>
      </c>
      <c r="Y8" s="13">
        <f>_xll.BDH("NBIX US Equity","ARD_CASH_AND_EQUIVALENTS","FQ2 2024","FQ2 2024","Currency=USD","Period=FQ","BEST_FPERIOD_OVERRIDE=FQ","FILING_STATUS=MR","SCALING_FORMAT=MLN","Sort=A","Dates=H","DateFormat=P","Fill=—","Direction=H","UseDPDF=Y")</f>
        <v>139.69999999999999</v>
      </c>
      <c r="Z8" s="13">
        <f>_xll.BDH("NBIX US Equity","ARD_CASH_AND_EQUIVALENTS","FQ3 2024","FQ3 2024","Currency=USD","Period=FQ","BEST_FPERIOD_OVERRIDE=FQ","FILING_STATUS=MR","SCALING_FORMAT=MLN","Sort=A","Dates=H","DateFormat=P","Fill=—","Direction=H","UseDPDF=Y")</f>
        <v>349.1</v>
      </c>
      <c r="AA8" s="13">
        <f>_xll.BDH("NBIX US Equity","ARD_CASH_AND_EQUIVALENTS","FQ4 2024","FQ4 2024","Currency=USD","Period=FQ","BEST_FPERIOD_OVERRIDE=FQ","FILING_STATUS=MR","SCALING_FORMAT=MLN","Sort=A","Dates=H","DateFormat=P","Fill=—","Direction=H","UseDPDF=Y")</f>
        <v>233</v>
      </c>
    </row>
    <row r="9" spans="1:27" x14ac:dyDescent="0.25">
      <c r="A9" s="10" t="s">
        <v>818</v>
      </c>
      <c r="B9" s="10" t="s">
        <v>819</v>
      </c>
      <c r="C9" s="13">
        <f>_xll.BDH("NBIX US Equity","ARD_ACCTS_RECEIVABLE_TRADE","FQ4 2018","FQ4 2018","Currency=USD","Period=FQ","BEST_FPERIOD_OVERRIDE=FQ","FILING_STATUS=MR","SCALING_FORMAT=MLN","Sort=A","Dates=H","DateFormat=P","Fill=—","Direction=H","UseDPDF=Y")</f>
        <v>56.24</v>
      </c>
      <c r="D9" s="13">
        <f>_xll.BDH("NBIX US Equity","ARD_ACCTS_RECEIVABLE_TRADE","FQ1 2019","FQ1 2019","Currency=USD","Period=FQ","BEST_FPERIOD_OVERRIDE=FQ","FILING_STATUS=MR","SCALING_FORMAT=MLN","Sort=A","Dates=H","DateFormat=P","Fill=—","Direction=H","UseDPDF=Y")</f>
        <v>71.963999999999999</v>
      </c>
      <c r="E9" s="13">
        <f>_xll.BDH("NBIX US Equity","ARD_ACCTS_RECEIVABLE_TRADE","FQ2 2019","FQ2 2019","Currency=USD","Period=FQ","BEST_FPERIOD_OVERRIDE=FQ","FILING_STATUS=MR","SCALING_FORMAT=MLN","Sort=A","Dates=H","DateFormat=P","Fill=—","Direction=H","UseDPDF=Y")</f>
        <v>95.356999999999999</v>
      </c>
      <c r="F9" s="13">
        <f>_xll.BDH("NBIX US Equity","ARD_ACCTS_RECEIVABLE_TRADE","FQ3 2019","FQ3 2019","Currency=USD","Period=FQ","BEST_FPERIOD_OVERRIDE=FQ","FILING_STATUS=MR","SCALING_FORMAT=MLN","Sort=A","Dates=H","DateFormat=P","Fill=—","Direction=H","UseDPDF=Y")</f>
        <v>115.318</v>
      </c>
      <c r="G9" s="13">
        <f>_xll.BDH("NBIX US Equity","ARD_ACCTS_RECEIVABLE_TRADE","FQ4 2019","FQ4 2019","Currency=USD","Period=FQ","BEST_FPERIOD_OVERRIDE=FQ","FILING_STATUS=MR","SCALING_FORMAT=MLN","Sort=A","Dates=H","DateFormat=P","Fill=—","Direction=H","UseDPDF=Y")</f>
        <v>126.6</v>
      </c>
      <c r="H9" s="13">
        <f>_xll.BDH("NBIX US Equity","ARD_ACCTS_RECEIVABLE_TRADE","FQ1 2020","FQ1 2020","Currency=USD","Period=FQ","BEST_FPERIOD_OVERRIDE=FQ","FILING_STATUS=MR","SCALING_FORMAT=MLN","Sort=A","Dates=H","DateFormat=P","Fill=—","Direction=H","UseDPDF=Y")</f>
        <v>148.6</v>
      </c>
      <c r="I9" s="13">
        <f>_xll.BDH("NBIX US Equity","ARD_ACCTS_RECEIVABLE_TRADE","FQ2 2020","FQ2 2020","Currency=USD","Period=FQ","BEST_FPERIOD_OVERRIDE=FQ","FILING_STATUS=MR","SCALING_FORMAT=MLN","Sort=A","Dates=H","DateFormat=P","Fill=—","Direction=H","UseDPDF=Y")</f>
        <v>148.4</v>
      </c>
      <c r="J9" s="13">
        <f>_xll.BDH("NBIX US Equity","ARD_ACCTS_RECEIVABLE_TRADE","FQ3 2020","FQ3 2020","Currency=USD","Period=FQ","BEST_FPERIOD_OVERRIDE=FQ","FILING_STATUS=MR","SCALING_FORMAT=MLN","Sort=A","Dates=H","DateFormat=P","Fill=—","Direction=H","UseDPDF=Y")</f>
        <v>156.9</v>
      </c>
      <c r="K9" s="13">
        <f>_xll.BDH("NBIX US Equity","ARD_ACCTS_RECEIVABLE_TRADE","FQ4 2020","FQ4 2020","Currency=USD","Period=FQ","BEST_FPERIOD_OVERRIDE=FQ","FILING_STATUS=MR","SCALING_FORMAT=MLN","Sort=A","Dates=H","DateFormat=P","Fill=—","Direction=H","UseDPDF=Y")</f>
        <v>157.1</v>
      </c>
      <c r="L9" s="13">
        <f>_xll.BDH("NBIX US Equity","ARD_ACCTS_RECEIVABLE_TRADE","FQ1 2021","FQ1 2021","Currency=USD","Period=FQ","BEST_FPERIOD_OVERRIDE=FQ","FILING_STATUS=MR","SCALING_FORMAT=MLN","Sort=A","Dates=H","DateFormat=P","Fill=—","Direction=H","UseDPDF=Y")</f>
        <v>147.80000000000001</v>
      </c>
      <c r="M9" s="13">
        <f>_xll.BDH("NBIX US Equity","ARD_ACCTS_RECEIVABLE_TRADE","FQ2 2021","FQ2 2021","Currency=USD","Period=FQ","BEST_FPERIOD_OVERRIDE=FQ","FILING_STATUS=MR","SCALING_FORMAT=MLN","Sort=A","Dates=H","DateFormat=P","Fill=—","Direction=H","UseDPDF=Y")</f>
        <v>158.5</v>
      </c>
      <c r="N9" s="13">
        <f>_xll.BDH("NBIX US Equity","ARD_ACCTS_RECEIVABLE_TRADE","FQ3 2021","FQ3 2021","Currency=USD","Period=FQ","BEST_FPERIOD_OVERRIDE=FQ","FILING_STATUS=MR","SCALING_FORMAT=MLN","Sort=A","Dates=H","DateFormat=P","Fill=—","Direction=H","UseDPDF=Y")</f>
        <v>163.80000000000001</v>
      </c>
      <c r="O9" s="13">
        <f>_xll.BDH("NBIX US Equity","ARD_ACCTS_RECEIVABLE_TRADE","FQ4 2021","FQ4 2021","Currency=USD","Period=FQ","BEST_FPERIOD_OVERRIDE=FQ","FILING_STATUS=MR","SCALING_FORMAT=MLN","Sort=A","Dates=H","DateFormat=P","Fill=—","Direction=H","UseDPDF=Y")</f>
        <v>185.5</v>
      </c>
      <c r="P9" s="13">
        <f>_xll.BDH("NBIX US Equity","ARD_ACCTS_RECEIVABLE_TRADE","FQ1 2022","FQ1 2022","Currency=USD","Period=FQ","BEST_FPERIOD_OVERRIDE=FQ","FILING_STATUS=MR","SCALING_FORMAT=MLN","Sort=A","Dates=H","DateFormat=P","Fill=—","Direction=H","UseDPDF=Y")</f>
        <v>263.5</v>
      </c>
      <c r="Q9" s="13">
        <f>_xll.BDH("NBIX US Equity","ARD_ACCTS_RECEIVABLE_TRADE","FQ2 2022","FQ2 2022","Currency=USD","Period=FQ","BEST_FPERIOD_OVERRIDE=FQ","FILING_STATUS=MR","SCALING_FORMAT=MLN","Sort=A","Dates=H","DateFormat=P","Fill=—","Direction=H","UseDPDF=Y")</f>
        <v>279</v>
      </c>
      <c r="R9" s="13">
        <f>_xll.BDH("NBIX US Equity","ARD_ACCTS_RECEIVABLE_TRADE","FQ3 2022","FQ3 2022","Currency=USD","Period=FQ","BEST_FPERIOD_OVERRIDE=FQ","FILING_STATUS=MR","SCALING_FORMAT=MLN","Sort=A","Dates=H","DateFormat=P","Fill=—","Direction=H","UseDPDF=Y")</f>
        <v>301.2</v>
      </c>
      <c r="S9" s="13">
        <f>_xll.BDH("NBIX US Equity","ARD_ACCTS_RECEIVABLE_TRADE","FQ4 2022","FQ4 2022","Currency=USD","Period=FQ","BEST_FPERIOD_OVERRIDE=FQ","FILING_STATUS=MR","SCALING_FORMAT=MLN","Sort=A","Dates=H","DateFormat=P","Fill=—","Direction=H","UseDPDF=Y")</f>
        <v>350</v>
      </c>
      <c r="T9" s="13">
        <f>_xll.BDH("NBIX US Equity","ARD_ACCTS_RECEIVABLE_TRADE","FQ1 2023","FQ1 2023","Currency=USD","Period=FQ","BEST_FPERIOD_OVERRIDE=FQ","FILING_STATUS=MR","SCALING_FORMAT=MLN","Sort=A","Dates=H","DateFormat=P","Fill=—","Direction=H","UseDPDF=Y")</f>
        <v>391.6</v>
      </c>
      <c r="U9" s="13">
        <f>_xll.BDH("NBIX US Equity","ARD_ACCTS_RECEIVABLE_TRADE","FQ2 2023","FQ2 2023","Currency=USD","Period=FQ","BEST_FPERIOD_OVERRIDE=FQ","FILING_STATUS=MR","SCALING_FORMAT=MLN","Sort=A","Dates=H","DateFormat=P","Fill=—","Direction=H","UseDPDF=Y")</f>
        <v>387.6</v>
      </c>
      <c r="V9" s="13">
        <f>_xll.BDH("NBIX US Equity","ARD_ACCTS_RECEIVABLE_TRADE","FQ3 2023","FQ3 2023","Currency=USD","Period=FQ","BEST_FPERIOD_OVERRIDE=FQ","FILING_STATUS=MR","SCALING_FORMAT=MLN","Sort=A","Dates=H","DateFormat=P","Fill=—","Direction=H","UseDPDF=Y")</f>
        <v>417.8</v>
      </c>
      <c r="W9" s="13">
        <f>_xll.BDH("NBIX US Equity","ARD_ACCTS_RECEIVABLE_TRADE","FQ4 2023","FQ4 2023","Currency=USD","Period=FQ","BEST_FPERIOD_OVERRIDE=FQ","FILING_STATUS=MR","SCALING_FORMAT=MLN","Sort=A","Dates=H","DateFormat=P","Fill=—","Direction=H","UseDPDF=Y")</f>
        <v>439.3</v>
      </c>
      <c r="X9" s="13">
        <f>_xll.BDH("NBIX US Equity","ARD_ACCTS_RECEIVABLE_TRADE","FQ1 2024","FQ1 2024","Currency=USD","Period=FQ","BEST_FPERIOD_OVERRIDE=FQ","FILING_STATUS=MR","SCALING_FORMAT=MLN","Sort=A","Dates=H","DateFormat=P","Fill=—","Direction=H","UseDPDF=Y")</f>
        <v>450.7</v>
      </c>
      <c r="Y9" s="13">
        <f>_xll.BDH("NBIX US Equity","ARD_ACCTS_RECEIVABLE_TRADE","FQ2 2024","FQ2 2024","Currency=USD","Period=FQ","BEST_FPERIOD_OVERRIDE=FQ","FILING_STATUS=MR","SCALING_FORMAT=MLN","Sort=A","Dates=H","DateFormat=P","Fill=—","Direction=H","UseDPDF=Y")</f>
        <v>468.2</v>
      </c>
      <c r="Z9" s="13">
        <f>_xll.BDH("NBIX US Equity","ARD_ACCTS_RECEIVABLE_TRADE","FQ3 2024","FQ3 2024","Currency=USD","Period=FQ","BEST_FPERIOD_OVERRIDE=FQ","FILING_STATUS=MR","SCALING_FORMAT=MLN","Sort=A","Dates=H","DateFormat=P","Fill=—","Direction=H","UseDPDF=Y")</f>
        <v>481.1</v>
      </c>
      <c r="AA9" s="13">
        <f>_xll.BDH("NBIX US Equity","ARD_ACCTS_RECEIVABLE_TRADE","FQ4 2024","FQ4 2024","Currency=USD","Period=FQ","BEST_FPERIOD_OVERRIDE=FQ","FILING_STATUS=MR","SCALING_FORMAT=MLN","Sort=A","Dates=H","DateFormat=P","Fill=—","Direction=H","UseDPDF=Y")</f>
        <v>479.1</v>
      </c>
    </row>
    <row r="10" spans="1:27" x14ac:dyDescent="0.25">
      <c r="A10" s="10" t="s">
        <v>820</v>
      </c>
      <c r="B10" s="10" t="s">
        <v>821</v>
      </c>
      <c r="C10" s="13">
        <f>_xll.BDH("NBIX US Equity","ARD_INVENTORY","FQ4 2018","FQ4 2018","Currency=USD","Period=FQ","BEST_FPERIOD_OVERRIDE=FQ","FILING_STATUS=MR","SCALING_FORMAT=MLN","Sort=A","Dates=H","DateFormat=P","Fill=—","Direction=H","UseDPDF=Y")</f>
        <v>10.864000000000001</v>
      </c>
      <c r="D10" s="13">
        <f>_xll.BDH("NBIX US Equity","ARD_INVENTORY","FQ1 2019","FQ1 2019","Currency=USD","Period=FQ","BEST_FPERIOD_OVERRIDE=FQ","FILING_STATUS=MR","SCALING_FORMAT=MLN","Sort=A","Dates=H","DateFormat=P","Fill=—","Direction=H","UseDPDF=Y")</f>
        <v>13.01</v>
      </c>
      <c r="E10" s="13">
        <f>_xll.BDH("NBIX US Equity","ARD_INVENTORY","FQ2 2019","FQ2 2019","Currency=USD","Period=FQ","BEST_FPERIOD_OVERRIDE=FQ","FILING_STATUS=MR","SCALING_FORMAT=MLN","Sort=A","Dates=H","DateFormat=P","Fill=—","Direction=H","UseDPDF=Y")</f>
        <v>12.018000000000001</v>
      </c>
      <c r="F10" s="13">
        <f>_xll.BDH("NBIX US Equity","ARD_INVENTORY","FQ3 2019","FQ3 2019","Currency=USD","Period=FQ","BEST_FPERIOD_OVERRIDE=FQ","FILING_STATUS=MR","SCALING_FORMAT=MLN","Sort=A","Dates=H","DateFormat=P","Fill=—","Direction=H","UseDPDF=Y")</f>
        <v>10.798</v>
      </c>
      <c r="G10" s="13">
        <f>_xll.BDH("NBIX US Equity","ARD_INVENTORY","FQ4 2019","FQ4 2019","Currency=USD","Period=FQ","BEST_FPERIOD_OVERRIDE=FQ","FILING_STATUS=MR","SCALING_FORMAT=MLN","Sort=A","Dates=H","DateFormat=P","Fill=—","Direction=H","UseDPDF=Y")</f>
        <v>17.3</v>
      </c>
      <c r="H10" s="13">
        <f>_xll.BDH("NBIX US Equity","ARD_INVENTORY","FQ1 2020","FQ1 2020","Currency=USD","Period=FQ","BEST_FPERIOD_OVERRIDE=FQ","FILING_STATUS=MR","SCALING_FORMAT=MLN","Sort=A","Dates=H","DateFormat=P","Fill=—","Direction=H","UseDPDF=Y")</f>
        <v>21.2</v>
      </c>
      <c r="I10" s="13">
        <f>_xll.BDH("NBIX US Equity","ARD_INVENTORY","FQ2 2020","FQ2 2020","Currency=USD","Period=FQ","BEST_FPERIOD_OVERRIDE=FQ","FILING_STATUS=MR","SCALING_FORMAT=MLN","Sort=A","Dates=H","DateFormat=P","Fill=—","Direction=H","UseDPDF=Y")</f>
        <v>22</v>
      </c>
      <c r="J10" s="13">
        <f>_xll.BDH("NBIX US Equity","ARD_INVENTORY","FQ3 2020","FQ3 2020","Currency=USD","Period=FQ","BEST_FPERIOD_OVERRIDE=FQ","FILING_STATUS=MR","SCALING_FORMAT=MLN","Sort=A","Dates=H","DateFormat=P","Fill=—","Direction=H","UseDPDF=Y")</f>
        <v>20.6</v>
      </c>
      <c r="K10" s="13">
        <f>_xll.BDH("NBIX US Equity","ARD_INVENTORY","FQ4 2020","FQ4 2020","Currency=USD","Period=FQ","BEST_FPERIOD_OVERRIDE=FQ","FILING_STATUS=MR","SCALING_FORMAT=MLN","Sort=A","Dates=H","DateFormat=P","Fill=—","Direction=H","UseDPDF=Y")</f>
        <v>28</v>
      </c>
      <c r="L10" s="13">
        <f>_xll.BDH("NBIX US Equity","ARD_INVENTORY","FQ1 2021","FQ1 2021","Currency=USD","Period=FQ","BEST_FPERIOD_OVERRIDE=FQ","FILING_STATUS=MR","SCALING_FORMAT=MLN","Sort=A","Dates=H","DateFormat=P","Fill=—","Direction=H","UseDPDF=Y")</f>
        <v>30.1</v>
      </c>
      <c r="M10" s="13">
        <f>_xll.BDH("NBIX US Equity","ARD_INVENTORY","FQ2 2021","FQ2 2021","Currency=USD","Period=FQ","BEST_FPERIOD_OVERRIDE=FQ","FILING_STATUS=MR","SCALING_FORMAT=MLN","Sort=A","Dates=H","DateFormat=P","Fill=—","Direction=H","UseDPDF=Y")</f>
        <v>28.3</v>
      </c>
      <c r="N10" s="13">
        <f>_xll.BDH("NBIX US Equity","ARD_INVENTORY","FQ3 2021","FQ3 2021","Currency=USD","Period=FQ","BEST_FPERIOD_OVERRIDE=FQ","FILING_STATUS=MR","SCALING_FORMAT=MLN","Sort=A","Dates=H","DateFormat=P","Fill=—","Direction=H","UseDPDF=Y")</f>
        <v>25.5</v>
      </c>
      <c r="O10" s="13">
        <f>_xll.BDH("NBIX US Equity","ARD_INVENTORY","FQ4 2021","FQ4 2021","Currency=USD","Period=FQ","BEST_FPERIOD_OVERRIDE=FQ","FILING_STATUS=MR","SCALING_FORMAT=MLN","Sort=A","Dates=H","DateFormat=P","Fill=—","Direction=H","UseDPDF=Y")</f>
        <v>30.5</v>
      </c>
      <c r="P10" s="13">
        <f>_xll.BDH("NBIX US Equity","ARD_INVENTORY","FQ1 2022","FQ1 2022","Currency=USD","Period=FQ","BEST_FPERIOD_OVERRIDE=FQ","FILING_STATUS=MR","SCALING_FORMAT=MLN","Sort=A","Dates=H","DateFormat=P","Fill=—","Direction=H","UseDPDF=Y")</f>
        <v>29</v>
      </c>
      <c r="Q10" s="13">
        <f>_xll.BDH("NBIX US Equity","ARD_INVENTORY","FQ2 2022","FQ2 2022","Currency=USD","Period=FQ","BEST_FPERIOD_OVERRIDE=FQ","FILING_STATUS=MR","SCALING_FORMAT=MLN","Sort=A","Dates=H","DateFormat=P","Fill=—","Direction=H","UseDPDF=Y")</f>
        <v>29.3</v>
      </c>
      <c r="R10" s="13">
        <f>_xll.BDH("NBIX US Equity","ARD_INVENTORY","FQ3 2022","FQ3 2022","Currency=USD","Period=FQ","BEST_FPERIOD_OVERRIDE=FQ","FILING_STATUS=MR","SCALING_FORMAT=MLN","Sort=A","Dates=H","DateFormat=P","Fill=—","Direction=H","UseDPDF=Y")</f>
        <v>37</v>
      </c>
      <c r="S10" s="13">
        <f>_xll.BDH("NBIX US Equity","ARD_INVENTORY","FQ4 2022","FQ4 2022","Currency=USD","Period=FQ","BEST_FPERIOD_OVERRIDE=FQ","FILING_STATUS=MR","SCALING_FORMAT=MLN","Sort=A","Dates=H","DateFormat=P","Fill=—","Direction=H","UseDPDF=Y")</f>
        <v>35.1</v>
      </c>
      <c r="T10" s="13">
        <f>_xll.BDH("NBIX US Equity","ARD_INVENTORY","FQ1 2023","FQ1 2023","Currency=USD","Period=FQ","BEST_FPERIOD_OVERRIDE=FQ","FILING_STATUS=MR","SCALING_FORMAT=MLN","Sort=A","Dates=H","DateFormat=P","Fill=—","Direction=H","UseDPDF=Y")</f>
        <v>33.4</v>
      </c>
      <c r="U10" s="13">
        <f>_xll.BDH("NBIX US Equity","ARD_INVENTORY","FQ2 2023","FQ2 2023","Currency=USD","Period=FQ","BEST_FPERIOD_OVERRIDE=FQ","FILING_STATUS=MR","SCALING_FORMAT=MLN","Sort=A","Dates=H","DateFormat=P","Fill=—","Direction=H","UseDPDF=Y")</f>
        <v>31.7</v>
      </c>
      <c r="V10" s="13">
        <f>_xll.BDH("NBIX US Equity","ARD_INVENTORY","FQ3 2023","FQ3 2023","Currency=USD","Period=FQ","BEST_FPERIOD_OVERRIDE=FQ","FILING_STATUS=MR","SCALING_FORMAT=MLN","Sort=A","Dates=H","DateFormat=P","Fill=—","Direction=H","UseDPDF=Y")</f>
        <v>28.8</v>
      </c>
      <c r="W10" s="13">
        <f>_xll.BDH("NBIX US Equity","ARD_INVENTORY","FQ4 2023","FQ4 2023","Currency=USD","Period=FQ","BEST_FPERIOD_OVERRIDE=FQ","FILING_STATUS=MR","SCALING_FORMAT=MLN","Sort=A","Dates=H","DateFormat=P","Fill=—","Direction=H","UseDPDF=Y")</f>
        <v>38.299999999999997</v>
      </c>
      <c r="X10" s="13">
        <f>_xll.BDH("NBIX US Equity","ARD_INVENTORY","FQ1 2024","FQ1 2024","Currency=USD","Period=FQ","BEST_FPERIOD_OVERRIDE=FQ","FILING_STATUS=MR","SCALING_FORMAT=MLN","Sort=A","Dates=H","DateFormat=P","Fill=—","Direction=H","UseDPDF=Y")</f>
        <v>37.200000000000003</v>
      </c>
      <c r="Y10" s="13">
        <f>_xll.BDH("NBIX US Equity","ARD_INVENTORY","FQ2 2024","FQ2 2024","Currency=USD","Period=FQ","BEST_FPERIOD_OVERRIDE=FQ","FILING_STATUS=MR","SCALING_FORMAT=MLN","Sort=A","Dates=H","DateFormat=P","Fill=—","Direction=H","UseDPDF=Y")</f>
        <v>42.5</v>
      </c>
      <c r="Z10" s="13">
        <f>_xll.BDH("NBIX US Equity","ARD_INVENTORY","FQ3 2024","FQ3 2024","Currency=USD","Period=FQ","BEST_FPERIOD_OVERRIDE=FQ","FILING_STATUS=MR","SCALING_FORMAT=MLN","Sort=A","Dates=H","DateFormat=P","Fill=—","Direction=H","UseDPDF=Y")</f>
        <v>45.8</v>
      </c>
      <c r="AA10" s="13">
        <f>_xll.BDH("NBIX US Equity","ARD_INVENTORY","FQ4 2024","FQ4 2024","Currency=USD","Period=FQ","BEST_FPERIOD_OVERRIDE=FQ","FILING_STATUS=MR","SCALING_FORMAT=MLN","Sort=A","Dates=H","DateFormat=P","Fill=—","Direction=H","UseDPDF=Y")</f>
        <v>57.4</v>
      </c>
    </row>
    <row r="11" spans="1:27" x14ac:dyDescent="0.25">
      <c r="A11" s="10" t="s">
        <v>822</v>
      </c>
      <c r="B11" s="10" t="s">
        <v>823</v>
      </c>
      <c r="C11" s="13">
        <f>_xll.BDH("NBIX US Equity","ARD_OTHER_CURRENT_ASSETS","FQ4 2018","FQ4 2018","Currency=USD","Period=FQ","BEST_FPERIOD_OVERRIDE=FQ","FILING_STATUS=MR","SCALING_FORMAT=MLN","Sort=A","Dates=H","DateFormat=P","Fill=—","Direction=H","UseDPDF=Y")</f>
        <v>19.760000000000002</v>
      </c>
      <c r="D11" s="13">
        <f>_xll.BDH("NBIX US Equity","ARD_OTHER_CURRENT_ASSETS","FQ1 2019","FQ1 2019","Currency=USD","Period=FQ","BEST_FPERIOD_OVERRIDE=FQ","FILING_STATUS=MR","SCALING_FORMAT=MLN","Sort=A","Dates=H","DateFormat=P","Fill=—","Direction=H","UseDPDF=Y")</f>
        <v>24.15</v>
      </c>
      <c r="E11" s="13">
        <f>_xll.BDH("NBIX US Equity","ARD_OTHER_CURRENT_ASSETS","FQ2 2019","FQ2 2019","Currency=USD","Period=FQ","BEST_FPERIOD_OVERRIDE=FQ","FILING_STATUS=MR","SCALING_FORMAT=MLN","Sort=A","Dates=H","DateFormat=P","Fill=—","Direction=H","UseDPDF=Y")</f>
        <v>21.454999999999998</v>
      </c>
      <c r="F11" s="13">
        <f>_xll.BDH("NBIX US Equity","ARD_OTHER_CURRENT_ASSETS","FQ3 2019","FQ3 2019","Currency=USD","Period=FQ","BEST_FPERIOD_OVERRIDE=FQ","FILING_STATUS=MR","SCALING_FORMAT=MLN","Sort=A","Dates=H","DateFormat=P","Fill=—","Direction=H","UseDPDF=Y")</f>
        <v>22.954000000000001</v>
      </c>
      <c r="G11" s="13">
        <f>_xll.BDH("NBIX US Equity","ARD_OTHER_CURRENT_ASSETS","FQ4 2019","FQ4 2019","Currency=USD","Period=FQ","BEST_FPERIOD_OVERRIDE=FQ","FILING_STATUS=MR","SCALING_FORMAT=MLN","Sort=A","Dates=H","DateFormat=P","Fill=—","Direction=H","UseDPDF=Y")</f>
        <v>16.600000000000001</v>
      </c>
      <c r="H11" s="13">
        <f>_xll.BDH("NBIX US Equity","ARD_OTHER_CURRENT_ASSETS","FQ1 2020","FQ1 2020","Currency=USD","Period=FQ","BEST_FPERIOD_OVERRIDE=FQ","FILING_STATUS=MR","SCALING_FORMAT=MLN","Sort=A","Dates=H","DateFormat=P","Fill=—","Direction=H","UseDPDF=Y")</f>
        <v>26.7</v>
      </c>
      <c r="I11" s="13">
        <f>_xll.BDH("NBIX US Equity","ARD_OTHER_CURRENT_ASSETS","FQ2 2020","FQ2 2020","Currency=USD","Period=FQ","BEST_FPERIOD_OVERRIDE=FQ","FILING_STATUS=MR","SCALING_FORMAT=MLN","Sort=A","Dates=H","DateFormat=P","Fill=—","Direction=H","UseDPDF=Y")</f>
        <v>27.5</v>
      </c>
      <c r="J11" s="13">
        <f>_xll.BDH("NBIX US Equity","ARD_OTHER_CURRENT_ASSETS","FQ3 2020","FQ3 2020","Currency=USD","Period=FQ","BEST_FPERIOD_OVERRIDE=FQ","FILING_STATUS=MR","SCALING_FORMAT=MLN","Sort=A","Dates=H","DateFormat=P","Fill=—","Direction=H","UseDPDF=Y")</f>
        <v>34.700000000000003</v>
      </c>
      <c r="K11" s="13">
        <f>_xll.BDH("NBIX US Equity","ARD_OTHER_CURRENT_ASSETS","FQ4 2020","FQ4 2020","Currency=USD","Period=FQ","BEST_FPERIOD_OVERRIDE=FQ","FILING_STATUS=MR","SCALING_FORMAT=MLN","Sort=A","Dates=H","DateFormat=P","Fill=—","Direction=H","UseDPDF=Y")</f>
        <v>30.1</v>
      </c>
      <c r="L11" s="13">
        <f>_xll.BDH("NBIX US Equity","ARD_OTHER_CURRENT_ASSETS","FQ1 2021","FQ1 2021","Currency=USD","Period=FQ","BEST_FPERIOD_OVERRIDE=FQ","FILING_STATUS=MR","SCALING_FORMAT=MLN","Sort=A","Dates=H","DateFormat=P","Fill=—","Direction=H","UseDPDF=Y")</f>
        <v>33.799999999999997</v>
      </c>
      <c r="M11" s="13">
        <f>_xll.BDH("NBIX US Equity","ARD_OTHER_CURRENT_ASSETS","FQ2 2021","FQ2 2021","Currency=USD","Period=FQ","BEST_FPERIOD_OVERRIDE=FQ","FILING_STATUS=MR","SCALING_FORMAT=MLN","Sort=A","Dates=H","DateFormat=P","Fill=—","Direction=H","UseDPDF=Y")</f>
        <v>38.4</v>
      </c>
      <c r="N11" s="13">
        <f>_xll.BDH("NBIX US Equity","ARD_OTHER_CURRENT_ASSETS","FQ3 2021","FQ3 2021","Currency=USD","Period=FQ","BEST_FPERIOD_OVERRIDE=FQ","FILING_STATUS=MR","SCALING_FORMAT=MLN","Sort=A","Dates=H","DateFormat=P","Fill=—","Direction=H","UseDPDF=Y")</f>
        <v>50.5</v>
      </c>
      <c r="O11" s="13">
        <f>_xll.BDH("NBIX US Equity","ARD_OTHER_CURRENT_ASSETS","FQ4 2021","FQ4 2021","Currency=USD","Period=FQ","BEST_FPERIOD_OVERRIDE=FQ","FILING_STATUS=MR","SCALING_FORMAT=MLN","Sort=A","Dates=H","DateFormat=P","Fill=—","Direction=H","UseDPDF=Y")</f>
        <v>45.5</v>
      </c>
      <c r="P11" s="13">
        <f>_xll.BDH("NBIX US Equity","ARD_OTHER_CURRENT_ASSETS","FQ1 2022","FQ1 2022","Currency=USD","Period=FQ","BEST_FPERIOD_OVERRIDE=FQ","FILING_STATUS=MR","SCALING_FORMAT=MLN","Sort=A","Dates=H","DateFormat=P","Fill=—","Direction=H","UseDPDF=Y")</f>
        <v>60.8</v>
      </c>
      <c r="Q11" s="13">
        <f>_xll.BDH("NBIX US Equity","ARD_OTHER_CURRENT_ASSETS","FQ2 2022","FQ2 2022","Currency=USD","Period=FQ","BEST_FPERIOD_OVERRIDE=FQ","FILING_STATUS=MR","SCALING_FORMAT=MLN","Sort=A","Dates=H","DateFormat=P","Fill=—","Direction=H","UseDPDF=Y")</f>
        <v>62.7</v>
      </c>
      <c r="R11" s="13">
        <f>_xll.BDH("NBIX US Equity","ARD_OTHER_CURRENT_ASSETS","FQ3 2022","FQ3 2022","Currency=USD","Period=FQ","BEST_FPERIOD_OVERRIDE=FQ","FILING_STATUS=MR","SCALING_FORMAT=MLN","Sort=A","Dates=H","DateFormat=P","Fill=—","Direction=H","UseDPDF=Y")</f>
        <v>67.900000000000006</v>
      </c>
      <c r="S11" s="13">
        <f>_xll.BDH("NBIX US Equity","ARD_OTHER_CURRENT_ASSETS","FQ4 2022","FQ4 2022","Currency=USD","Period=FQ","BEST_FPERIOD_OVERRIDE=FQ","FILING_STATUS=MR","SCALING_FORMAT=MLN","Sort=A","Dates=H","DateFormat=P","Fill=—","Direction=H","UseDPDF=Y")</f>
        <v>79.099999999999994</v>
      </c>
      <c r="T11" s="13">
        <f>_xll.BDH("NBIX US Equity","ARD_OTHER_CURRENT_ASSETS","FQ1 2023","FQ1 2023","Currency=USD","Period=FQ","BEST_FPERIOD_OVERRIDE=FQ","FILING_STATUS=MR","SCALING_FORMAT=MLN","Sort=A","Dates=H","DateFormat=P","Fill=—","Direction=H","UseDPDF=Y")</f>
        <v>113.2</v>
      </c>
      <c r="U11" s="13">
        <f>_xll.BDH("NBIX US Equity","ARD_OTHER_CURRENT_ASSETS","FQ2 2023","FQ2 2023","Currency=USD","Period=FQ","BEST_FPERIOD_OVERRIDE=FQ","FILING_STATUS=MR","SCALING_FORMAT=MLN","Sort=A","Dates=H","DateFormat=P","Fill=—","Direction=H","UseDPDF=Y")</f>
        <v>100.6</v>
      </c>
      <c r="V11" s="13">
        <f>_xll.BDH("NBIX US Equity","ARD_OTHER_CURRENT_ASSETS","FQ3 2023","FQ3 2023","Currency=USD","Period=FQ","BEST_FPERIOD_OVERRIDE=FQ","FILING_STATUS=MR","SCALING_FORMAT=MLN","Sort=A","Dates=H","DateFormat=P","Fill=—","Direction=H","UseDPDF=Y")</f>
        <v>108.2</v>
      </c>
      <c r="W11" s="13">
        <f>_xll.BDH("NBIX US Equity","ARD_OTHER_CURRENT_ASSETS","FQ4 2023","FQ4 2023","Currency=USD","Period=FQ","BEST_FPERIOD_OVERRIDE=FQ","FILING_STATUS=MR","SCALING_FORMAT=MLN","Sort=A","Dates=H","DateFormat=P","Fill=—","Direction=H","UseDPDF=Y")</f>
        <v>97.8</v>
      </c>
      <c r="X11" s="13">
        <f>_xll.BDH("NBIX US Equity","ARD_OTHER_CURRENT_ASSETS","FQ1 2024","FQ1 2024","Currency=USD","Period=FQ","BEST_FPERIOD_OVERRIDE=FQ","FILING_STATUS=MR","SCALING_FORMAT=MLN","Sort=A","Dates=H","DateFormat=P","Fill=—","Direction=H","UseDPDF=Y")</f>
        <v>100.5</v>
      </c>
      <c r="Y11" s="13">
        <f>_xll.BDH("NBIX US Equity","ARD_OTHER_CURRENT_ASSETS","FQ2 2024","FQ2 2024","Currency=USD","Period=FQ","BEST_FPERIOD_OVERRIDE=FQ","FILING_STATUS=MR","SCALING_FORMAT=MLN","Sort=A","Dates=H","DateFormat=P","Fill=—","Direction=H","UseDPDF=Y")</f>
        <v>120.2</v>
      </c>
      <c r="Z11" s="13">
        <f>_xll.BDH("NBIX US Equity","ARD_OTHER_CURRENT_ASSETS","FQ3 2024","FQ3 2024","Currency=USD","Period=FQ","BEST_FPERIOD_OVERRIDE=FQ","FILING_STATUS=MR","SCALING_FORMAT=MLN","Sort=A","Dates=H","DateFormat=P","Fill=—","Direction=H","UseDPDF=Y")</f>
        <v>121.7</v>
      </c>
      <c r="AA11" s="13">
        <f>_xll.BDH("NBIX US Equity","ARD_OTHER_CURRENT_ASSETS","FQ4 2024","FQ4 2024","Currency=USD","Period=FQ","BEST_FPERIOD_OVERRIDE=FQ","FILING_STATUS=MR","SCALING_FORMAT=MLN","Sort=A","Dates=H","DateFormat=P","Fill=—","Direction=H","UseDPDF=Y")</f>
        <v>112.1</v>
      </c>
    </row>
    <row r="12" spans="1:27" x14ac:dyDescent="0.25">
      <c r="A12" s="10" t="s">
        <v>824</v>
      </c>
      <c r="B12" s="10" t="s">
        <v>825</v>
      </c>
      <c r="C12" s="13">
        <f>_xll.BDH("NBIX US Equity","ARD_ST_INVEST","FQ4 2018","FQ4 2018","Currency=USD","Period=FQ","BEST_FPERIOD_OVERRIDE=FQ","FILING_STATUS=MR","SCALING_FORMAT=MLN","Sort=A","Dates=H","DateFormat=P","Fill=—","Direction=H","UseDPDF=Y")</f>
        <v>509.19900000000001</v>
      </c>
      <c r="D12" s="13">
        <f>_xll.BDH("NBIX US Equity","ARD_ST_INVEST","FQ1 2019","FQ1 2019","Currency=USD","Period=FQ","BEST_FPERIOD_OVERRIDE=FQ","FILING_STATUS=MR","SCALING_FORMAT=MLN","Sort=A","Dates=H","DateFormat=P","Fill=—","Direction=H","UseDPDF=Y")</f>
        <v>451.29</v>
      </c>
      <c r="E12" s="13">
        <f>_xll.BDH("NBIX US Equity","ARD_ST_INVEST","FQ2 2019","FQ2 2019","Currency=USD","Period=FQ","BEST_FPERIOD_OVERRIDE=FQ","FILING_STATUS=MR","SCALING_FORMAT=MLN","Sort=A","Dates=H","DateFormat=P","Fill=—","Direction=H","UseDPDF=Y")</f>
        <v>478.99299999999999</v>
      </c>
      <c r="F12" s="13">
        <f>_xll.BDH("NBIX US Equity","ARD_ST_INVEST","FQ3 2019","FQ3 2019","Currency=USD","Period=FQ","BEST_FPERIOD_OVERRIDE=FQ","FILING_STATUS=MR","SCALING_FORMAT=MLN","Sort=A","Dates=H","DateFormat=P","Fill=—","Direction=H","UseDPDF=Y")</f>
        <v>503.52499999999998</v>
      </c>
      <c r="G12" s="13">
        <f>_xll.BDH("NBIX US Equity","ARD_ST_INVEST","FQ4 2019","FQ4 2019","Currency=USD","Period=FQ","BEST_FPERIOD_OVERRIDE=FQ","FILING_STATUS=MR","SCALING_FORMAT=MLN","Sort=A","Dates=H","DateFormat=P","Fill=—","Direction=H","UseDPDF=Y")</f>
        <v>558.20000000000005</v>
      </c>
      <c r="H12" s="13">
        <f>_xll.BDH("NBIX US Equity","ARD_ST_INVEST","FQ1 2020","FQ1 2020","Currency=USD","Period=FQ","BEST_FPERIOD_OVERRIDE=FQ","FILING_STATUS=MR","SCALING_FORMAT=MLN","Sort=A","Dates=H","DateFormat=P","Fill=—","Direction=H","UseDPDF=Y")</f>
        <v>584.70000000000005</v>
      </c>
      <c r="I12" s="13">
        <f>_xll.BDH("NBIX US Equity","ARD_ST_INVEST","FQ2 2020","FQ2 2020","Currency=USD","Period=FQ","BEST_FPERIOD_OVERRIDE=FQ","FILING_STATUS=MR","SCALING_FORMAT=MLN","Sort=A","Dates=H","DateFormat=P","Fill=—","Direction=H","UseDPDF=Y")</f>
        <v>533.20000000000005</v>
      </c>
      <c r="J12" s="13">
        <f>_xll.BDH("NBIX US Equity","ARD_ST_INVEST","FQ3 2020","FQ3 2020","Currency=USD","Period=FQ","BEST_FPERIOD_OVERRIDE=FQ","FILING_STATUS=MR","SCALING_FORMAT=MLN","Sort=A","Dates=H","DateFormat=P","Fill=—","Direction=H","UseDPDF=Y")</f>
        <v>519.4</v>
      </c>
      <c r="K12" s="13">
        <f>_xll.BDH("NBIX US Equity","ARD_ST_INVEST","FQ4 2020","FQ4 2020","Currency=USD","Period=FQ","BEST_FPERIOD_OVERRIDE=FQ","FILING_STATUS=MR","SCALING_FORMAT=MLN","Sort=A","Dates=H","DateFormat=P","Fill=—","Direction=H","UseDPDF=Y")</f>
        <v>613.9</v>
      </c>
      <c r="L12" s="13">
        <f>_xll.BDH("NBIX US Equity","ARD_ST_INVEST","FQ1 2021","FQ1 2021","Currency=USD","Period=FQ","BEST_FPERIOD_OVERRIDE=FQ","FILING_STATUS=MR","SCALING_FORMAT=MLN","Sort=A","Dates=H","DateFormat=P","Fill=—","Direction=H","UseDPDF=Y")</f>
        <v>521.1</v>
      </c>
      <c r="M12" s="13">
        <f>_xll.BDH("NBIX US Equity","ARD_ST_INVEST","FQ2 2021","FQ2 2021","Currency=USD","Period=FQ","BEST_FPERIOD_OVERRIDE=FQ","FILING_STATUS=MR","SCALING_FORMAT=MLN","Sort=A","Dates=H","DateFormat=P","Fill=—","Direction=H","UseDPDF=Y")</f>
        <v>516.9</v>
      </c>
      <c r="N12" s="13">
        <f>_xll.BDH("NBIX US Equity","ARD_ST_INVEST","FQ3 2021","FQ3 2021","Currency=USD","Period=FQ","BEST_FPERIOD_OVERRIDE=FQ","FILING_STATUS=MR","SCALING_FORMAT=MLN","Sort=A","Dates=H","DateFormat=P","Fill=—","Direction=H","UseDPDF=Y")</f>
        <v>454.8</v>
      </c>
      <c r="O12" s="13">
        <f>_xll.BDH("NBIX US Equity","ARD_ST_INVEST","FQ4 2021","FQ4 2021","Currency=USD","Period=FQ","BEST_FPERIOD_OVERRIDE=FQ","FILING_STATUS=MR","SCALING_FORMAT=MLN","Sort=A","Dates=H","DateFormat=P","Fill=—","Direction=H","UseDPDF=Y")</f>
        <v>370.5</v>
      </c>
      <c r="P12" s="13">
        <f>_xll.BDH("NBIX US Equity","ARD_ST_INVEST","FQ1 2022","FQ1 2022","Currency=USD","Period=FQ","BEST_FPERIOD_OVERRIDE=FQ","FILING_STATUS=MR","SCALING_FORMAT=MLN","Sort=A","Dates=H","DateFormat=P","Fill=—","Direction=H","UseDPDF=Y")</f>
        <v>394.7</v>
      </c>
      <c r="Q12" s="13">
        <f>_xll.BDH("NBIX US Equity","ARD_ST_INVEST","FQ2 2022","FQ2 2022","Currency=USD","Period=FQ","BEST_FPERIOD_OVERRIDE=FQ","FILING_STATUS=MR","SCALING_FORMAT=MLN","Sort=A","Dates=H","DateFormat=P","Fill=—","Direction=H","UseDPDF=Y")</f>
        <v>485</v>
      </c>
      <c r="R12" s="13">
        <f>_xll.BDH("NBIX US Equity","ARD_ST_INVEST","FQ3 2022","FQ3 2022","Currency=USD","Period=FQ","BEST_FPERIOD_OVERRIDE=FQ","FILING_STATUS=MR","SCALING_FORMAT=MLN","Sort=A","Dates=H","DateFormat=P","Fill=—","Direction=H","UseDPDF=Y")</f>
        <v>587.20000000000005</v>
      </c>
      <c r="S12" s="13">
        <f>_xll.BDH("NBIX US Equity","ARD_ST_INVEST","FQ4 2022","FQ4 2022","Currency=USD","Period=FQ","BEST_FPERIOD_OVERRIDE=FQ","FILING_STATUS=MR","SCALING_FORMAT=MLN","Sort=A","Dates=H","DateFormat=P","Fill=—","Direction=H","UseDPDF=Y")</f>
        <v>726.4</v>
      </c>
      <c r="T12" s="13">
        <f>_xll.BDH("NBIX US Equity","ARD_ST_INVEST","FQ1 2023","FQ1 2023","Currency=USD","Period=FQ","BEST_FPERIOD_OVERRIDE=FQ","FILING_STATUS=MR","SCALING_FORMAT=MLN","Sort=A","Dates=H","DateFormat=P","Fill=—","Direction=H","UseDPDF=Y")</f>
        <v>790.8</v>
      </c>
      <c r="U12" s="13">
        <f>_xll.BDH("NBIX US Equity","ARD_ST_INVEST","FQ2 2023","FQ2 2023","Currency=USD","Period=FQ","BEST_FPERIOD_OVERRIDE=FQ","FILING_STATUS=MR","SCALING_FORMAT=MLN","Sort=A","Dates=H","DateFormat=P","Fill=—","Direction=H","UseDPDF=Y")</f>
        <v>816.5</v>
      </c>
      <c r="V12" s="13">
        <f>_xll.BDH("NBIX US Equity","ARD_ST_INVEST","FQ3 2023","FQ3 2023","Currency=USD","Period=FQ","BEST_FPERIOD_OVERRIDE=FQ","FILING_STATUS=MR","SCALING_FORMAT=MLN","Sort=A","Dates=H","DateFormat=P","Fill=—","Direction=H","UseDPDF=Y")</f>
        <v>801.4</v>
      </c>
      <c r="W12" s="13">
        <f>_xll.BDH("NBIX US Equity","ARD_ST_INVEST","FQ4 2023","FQ4 2023","Currency=USD","Period=FQ","BEST_FPERIOD_OVERRIDE=FQ","FILING_STATUS=MR","SCALING_FORMAT=MLN","Sort=A","Dates=H","DateFormat=P","Fill=—","Direction=H","UseDPDF=Y")</f>
        <v>780.5</v>
      </c>
      <c r="X12" s="13">
        <f>_xll.BDH("NBIX US Equity","ARD_ST_INVEST","FQ1 2024","FQ1 2024","Currency=USD","Period=FQ","BEST_FPERIOD_OVERRIDE=FQ","FILING_STATUS=MR","SCALING_FORMAT=MLN","Sort=A","Dates=H","DateFormat=P","Fill=—","Direction=H","UseDPDF=Y")</f>
        <v>814.3</v>
      </c>
      <c r="Y12" s="13">
        <f>_xll.BDH("NBIX US Equity","ARD_ST_INVEST","FQ2 2024","FQ2 2024","Currency=USD","Period=FQ","BEST_FPERIOD_OVERRIDE=FQ","FILING_STATUS=MR","SCALING_FORMAT=MLN","Sort=A","Dates=H","DateFormat=P","Fill=—","Direction=H","UseDPDF=Y")</f>
        <v>899.2</v>
      </c>
      <c r="Z12" s="13">
        <f>_xll.BDH("NBIX US Equity","ARD_ST_INVEST","FQ3 2024","FQ3 2024","Currency=USD","Period=FQ","BEST_FPERIOD_OVERRIDE=FQ","FILING_STATUS=MR","SCALING_FORMAT=MLN","Sort=A","Dates=H","DateFormat=P","Fill=—","Direction=H","UseDPDF=Y")</f>
        <v>878.9</v>
      </c>
      <c r="AA12" s="13">
        <f>_xll.BDH("NBIX US Equity","ARD_ST_INVEST","FQ4 2024","FQ4 2024","Currency=USD","Period=FQ","BEST_FPERIOD_OVERRIDE=FQ","FILING_STATUS=MR","SCALING_FORMAT=MLN","Sort=A","Dates=H","DateFormat=P","Fill=—","Direction=H","UseDPDF=Y")</f>
        <v>843.1</v>
      </c>
    </row>
    <row r="13" spans="1:27" x14ac:dyDescent="0.25">
      <c r="A13" s="6" t="s">
        <v>110</v>
      </c>
      <c r="B13" s="6" t="s">
        <v>826</v>
      </c>
      <c r="C13" s="19">
        <f>_xll.BDH("NBIX US Equity","ARD_TOTAL_CUR_ASSETS","FQ4 2018","FQ4 2018","Currency=USD","Period=FQ","BEST_FPERIOD_OVERRIDE=FQ","FILING_STATUS=MR","SCALING_FORMAT=MLN","Sort=A","Dates=H","DateFormat=P","Fill=—","Direction=H","UseDPDF=Y")</f>
        <v>737.77700000000004</v>
      </c>
      <c r="D13" s="19">
        <f>_xll.BDH("NBIX US Equity","ARD_TOTAL_CUR_ASSETS","FQ1 2019","FQ1 2019","Currency=USD","Period=FQ","BEST_FPERIOD_OVERRIDE=FQ","FILING_STATUS=MR","SCALING_FORMAT=MLN","Sort=A","Dates=H","DateFormat=P","Fill=—","Direction=H","UseDPDF=Y")</f>
        <v>633.19200000000001</v>
      </c>
      <c r="E13" s="19">
        <f>_xll.BDH("NBIX US Equity","ARD_TOTAL_CUR_ASSETS","FQ2 2019","FQ2 2019","Currency=USD","Period=FQ","BEST_FPERIOD_OVERRIDE=FQ","FILING_STATUS=MR","SCALING_FORMAT=MLN","Sort=A","Dates=H","DateFormat=P","Fill=—","Direction=H","UseDPDF=Y")</f>
        <v>748.80799999999999</v>
      </c>
      <c r="F13" s="19">
        <f>_xll.BDH("NBIX US Equity","ARD_TOTAL_CUR_ASSETS","FQ3 2019","FQ3 2019","Currency=USD","Period=FQ","BEST_FPERIOD_OVERRIDE=FQ","FILING_STATUS=MR","SCALING_FORMAT=MLN","Sort=A","Dates=H","DateFormat=P","Fill=—","Direction=H","UseDPDF=Y")</f>
        <v>819.23199999999997</v>
      </c>
      <c r="G13" s="19">
        <f>_xll.BDH("NBIX US Equity","ARD_TOTAL_CUR_ASSETS","FQ4 2019","FQ4 2019","Currency=USD","Period=FQ","BEST_FPERIOD_OVERRIDE=FQ","FILING_STATUS=MR","SCALING_FORMAT=MLN","Sort=A","Dates=H","DateFormat=P","Fill=—","Direction=H","UseDPDF=Y")</f>
        <v>831</v>
      </c>
      <c r="H13" s="19">
        <f>_xll.BDH("NBIX US Equity","ARD_TOTAL_CUR_ASSETS","FQ1 2020","FQ1 2020","Currency=USD","Period=FQ","BEST_FPERIOD_OVERRIDE=FQ","FILING_STATUS=MR","SCALING_FORMAT=MLN","Sort=A","Dates=H","DateFormat=P","Fill=—","Direction=H","UseDPDF=Y")</f>
        <v>968.2</v>
      </c>
      <c r="I13" s="19">
        <f>_xll.BDH("NBIX US Equity","ARD_TOTAL_CUR_ASSETS","FQ2 2020","FQ2 2020","Currency=USD","Period=FQ","BEST_FPERIOD_OVERRIDE=FQ","FILING_STATUS=MR","SCALING_FORMAT=MLN","Sort=A","Dates=H","DateFormat=P","Fill=—","Direction=H","UseDPDF=Y")</f>
        <v>1146.2</v>
      </c>
      <c r="J13" s="19">
        <f>_xll.BDH("NBIX US Equity","ARD_TOTAL_CUR_ASSETS","FQ3 2020","FQ3 2020","Currency=USD","Period=FQ","BEST_FPERIOD_OVERRIDE=FQ","FILING_STATUS=MR","SCALING_FORMAT=MLN","Sort=A","Dates=H","DateFormat=P","Fill=—","Direction=H","UseDPDF=Y")</f>
        <v>1156.9000000000001</v>
      </c>
      <c r="K13" s="19">
        <f>_xll.BDH("NBIX US Equity","ARD_TOTAL_CUR_ASSETS","FQ4 2020","FQ4 2020","Currency=USD","Period=FQ","BEST_FPERIOD_OVERRIDE=FQ","FILING_STATUS=MR","SCALING_FORMAT=MLN","Sort=A","Dates=H","DateFormat=P","Fill=—","Direction=H","UseDPDF=Y")</f>
        <v>1016.2</v>
      </c>
      <c r="L13" s="19">
        <f>_xll.BDH("NBIX US Equity","ARD_TOTAL_CUR_ASSETS","FQ1 2021","FQ1 2021","Currency=USD","Period=FQ","BEST_FPERIOD_OVERRIDE=FQ","FILING_STATUS=MR","SCALING_FORMAT=MLN","Sort=A","Dates=H","DateFormat=P","Fill=—","Direction=H","UseDPDF=Y")</f>
        <v>1085.4000000000001</v>
      </c>
      <c r="M13" s="19">
        <f>_xll.BDH("NBIX US Equity","ARD_TOTAL_CUR_ASSETS","FQ2 2021","FQ2 2021","Currency=USD","Period=FQ","BEST_FPERIOD_OVERRIDE=FQ","FILING_STATUS=MR","SCALING_FORMAT=MLN","Sort=A","Dates=H","DateFormat=P","Fill=—","Direction=H","UseDPDF=Y")</f>
        <v>1110.0999999999999</v>
      </c>
      <c r="N13" s="19">
        <f>_xll.BDH("NBIX US Equity","ARD_TOTAL_CUR_ASSETS","FQ3 2021","FQ3 2021","Currency=USD","Period=FQ","BEST_FPERIOD_OVERRIDE=FQ","FILING_STATUS=MR","SCALING_FORMAT=MLN","Sort=A","Dates=H","DateFormat=P","Fill=—","Direction=H","UseDPDF=Y")</f>
        <v>1005.7</v>
      </c>
      <c r="O13" s="19">
        <f>_xll.BDH("NBIX US Equity","ARD_TOTAL_CUR_ASSETS","FQ4 2021","FQ4 2021","Currency=USD","Period=FQ","BEST_FPERIOD_OVERRIDE=FQ","FILING_STATUS=MR","SCALING_FORMAT=MLN","Sort=A","Dates=H","DateFormat=P","Fill=—","Direction=H","UseDPDF=Y")</f>
        <v>972.8</v>
      </c>
      <c r="P13" s="19">
        <f>_xll.BDH("NBIX US Equity","ARD_TOTAL_CUR_ASSETS","FQ1 2022","FQ1 2022","Currency=USD","Period=FQ","BEST_FPERIOD_OVERRIDE=FQ","FILING_STATUS=MR","SCALING_FORMAT=MLN","Sort=A","Dates=H","DateFormat=P","Fill=—","Direction=H","UseDPDF=Y")</f>
        <v>1018.2</v>
      </c>
      <c r="Q13" s="19">
        <f>_xll.BDH("NBIX US Equity","ARD_TOTAL_CUR_ASSETS","FQ2 2022","FQ2 2022","Currency=USD","Period=FQ","BEST_FPERIOD_OVERRIDE=FQ","FILING_STATUS=MR","SCALING_FORMAT=MLN","Sort=A","Dates=H","DateFormat=P","Fill=—","Direction=H","UseDPDF=Y")</f>
        <v>1019.3</v>
      </c>
      <c r="R13" s="19">
        <f>_xll.BDH("NBIX US Equity","ARD_TOTAL_CUR_ASSETS","FQ3 2022","FQ3 2022","Currency=USD","Period=FQ","BEST_FPERIOD_OVERRIDE=FQ","FILING_STATUS=MR","SCALING_FORMAT=MLN","Sort=A","Dates=H","DateFormat=P","Fill=—","Direction=H","UseDPDF=Y")</f>
        <v>1205.5</v>
      </c>
      <c r="S13" s="19">
        <f>_xll.BDH("NBIX US Equity","ARD_TOTAL_CUR_ASSETS","FQ4 2022","FQ4 2022","Currency=USD","Period=FQ","BEST_FPERIOD_OVERRIDE=FQ","FILING_STATUS=MR","SCALING_FORMAT=MLN","Sort=A","Dates=H","DateFormat=P","Fill=—","Direction=H","UseDPDF=Y")</f>
        <v>1453.5</v>
      </c>
      <c r="T13" s="19">
        <f>_xll.BDH("NBIX US Equity","ARD_TOTAL_CUR_ASSETS","FQ1 2023","FQ1 2023","Currency=USD","Period=FQ","BEST_FPERIOD_OVERRIDE=FQ","FILING_STATUS=MR","SCALING_FORMAT=MLN","Sort=A","Dates=H","DateFormat=P","Fill=—","Direction=H","UseDPDF=Y")</f>
        <v>1432.8</v>
      </c>
      <c r="U13" s="19">
        <f>_xll.BDH("NBIX US Equity","ARD_TOTAL_CUR_ASSETS","FQ2 2023","FQ2 2023","Currency=USD","Period=FQ","BEST_FPERIOD_OVERRIDE=FQ","FILING_STATUS=MR","SCALING_FORMAT=MLN","Sort=A","Dates=H","DateFormat=P","Fill=—","Direction=H","UseDPDF=Y")</f>
        <v>1496.6</v>
      </c>
      <c r="V13" s="19">
        <f>_xll.BDH("NBIX US Equity","ARD_TOTAL_CUR_ASSETS","FQ3 2023","FQ3 2023","Currency=USD","Period=FQ","BEST_FPERIOD_OVERRIDE=FQ","FILING_STATUS=MR","SCALING_FORMAT=MLN","Sort=A","Dates=H","DateFormat=P","Fill=—","Direction=H","UseDPDF=Y")</f>
        <v>1649.9</v>
      </c>
      <c r="W13" s="19">
        <f>_xll.BDH("NBIX US Equity","ARD_TOTAL_CUR_ASSETS","FQ4 2023","FQ4 2023","Currency=USD","Period=FQ","BEST_FPERIOD_OVERRIDE=FQ","FILING_STATUS=MR","SCALING_FORMAT=MLN","Sort=A","Dates=H","DateFormat=P","Fill=—","Direction=H","UseDPDF=Y")</f>
        <v>1607</v>
      </c>
      <c r="X13" s="19">
        <f>_xll.BDH("NBIX US Equity","ARD_TOTAL_CUR_ASSETS","FQ1 2024","FQ1 2024","Currency=USD","Period=FQ","BEST_FPERIOD_OVERRIDE=FQ","FILING_STATUS=MR","SCALING_FORMAT=MLN","Sort=A","Dates=H","DateFormat=P","Fill=—","Direction=H","UseDPDF=Y")</f>
        <v>1799</v>
      </c>
      <c r="Y13" s="19">
        <f>_xll.BDH("NBIX US Equity","ARD_TOTAL_CUR_ASSETS","FQ2 2024","FQ2 2024","Currency=USD","Period=FQ","BEST_FPERIOD_OVERRIDE=FQ","FILING_STATUS=MR","SCALING_FORMAT=MLN","Sort=A","Dates=H","DateFormat=P","Fill=—","Direction=H","UseDPDF=Y")</f>
        <v>1669.8</v>
      </c>
      <c r="Z13" s="19">
        <f>_xll.BDH("NBIX US Equity","ARD_TOTAL_CUR_ASSETS","FQ3 2024","FQ3 2024","Currency=USD","Period=FQ","BEST_FPERIOD_OVERRIDE=FQ","FILING_STATUS=MR","SCALING_FORMAT=MLN","Sort=A","Dates=H","DateFormat=P","Fill=—","Direction=H","UseDPDF=Y")</f>
        <v>1876.6</v>
      </c>
      <c r="AA13" s="19">
        <f>_xll.BDH("NBIX US Equity","ARD_TOTAL_CUR_ASSETS","FQ4 2024","FQ4 2024","Currency=USD","Period=FQ","BEST_FPERIOD_OVERRIDE=FQ","FILING_STATUS=MR","SCALING_FORMAT=MLN","Sort=A","Dates=H","DateFormat=P","Fill=—","Direction=H","UseDPDF=Y")</f>
        <v>1724.7</v>
      </c>
    </row>
    <row r="14" spans="1:27" x14ac:dyDescent="0.25">
      <c r="A14" s="10" t="s">
        <v>827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828</v>
      </c>
      <c r="B15" s="10" t="s">
        <v>829</v>
      </c>
      <c r="C15" s="13">
        <f>_xll.BDH("NBIX US Equity","ARD_LT_INVEST","FQ4 2018","FQ4 2018","Currency=USD","Period=FQ","BEST_FPERIOD_OVERRIDE=FQ","FILING_STATUS=MR","SCALING_FORMAT=MLN","Sort=A","Dates=H","DateFormat=P","Fill=—","Direction=H","UseDPDF=Y")</f>
        <v>216.02799999999999</v>
      </c>
      <c r="D15" s="13">
        <f>_xll.BDH("NBIX US Equity","ARD_LT_INVEST","FQ1 2019","FQ1 2019","Currency=USD","Period=FQ","BEST_FPERIOD_OVERRIDE=FQ","FILING_STATUS=MR","SCALING_FORMAT=MLN","Sort=A","Dates=H","DateFormat=P","Fill=—","Direction=H","UseDPDF=Y")</f>
        <v>176.68899999999999</v>
      </c>
      <c r="E15" s="13">
        <f>_xll.BDH("NBIX US Equity","ARD_LT_INVEST","FQ2 2019","FQ2 2019","Currency=USD","Period=FQ","BEST_FPERIOD_OVERRIDE=FQ","FILING_STATUS=MR","SCALING_FORMAT=MLN","Sort=A","Dates=H","DateFormat=P","Fill=—","Direction=H","UseDPDF=Y")</f>
        <v>146.50299999999999</v>
      </c>
      <c r="F15" s="13">
        <f>_xll.BDH("NBIX US Equity","ARD_LT_INVEST","FQ3 2019","FQ3 2019","Currency=USD","Period=FQ","BEST_FPERIOD_OVERRIDE=FQ","FILING_STATUS=MR","SCALING_FORMAT=MLN","Sort=A","Dates=H","DateFormat=P","Fill=—","Direction=H","UseDPDF=Y")</f>
        <v>204.79300000000001</v>
      </c>
      <c r="G15" s="13">
        <f>_xll.BDH("NBIX US Equity","ARD_LT_INVEST","FQ4 2019","FQ4 2019","Currency=USD","Period=FQ","BEST_FPERIOD_OVERRIDE=FQ","FILING_STATUS=MR","SCALING_FORMAT=MLN","Sort=A","Dates=H","DateFormat=P","Fill=—","Direction=H","UseDPDF=Y")</f>
        <v>299.7</v>
      </c>
      <c r="H15" s="13">
        <f>_xll.BDH("NBIX US Equity","ARD_LT_INVEST","FQ1 2020","FQ1 2020","Currency=USD","Period=FQ","BEST_FPERIOD_OVERRIDE=FQ","FILING_STATUS=MR","SCALING_FORMAT=MLN","Sort=A","Dates=H","DateFormat=P","Fill=—","Direction=H","UseDPDF=Y")</f>
        <v>235.9</v>
      </c>
      <c r="I15" s="13">
        <f>_xll.BDH("NBIX US Equity","ARD_LT_INVEST","FQ2 2020","FQ2 2020","Currency=USD","Period=FQ","BEST_FPERIOD_OVERRIDE=FQ","FILING_STATUS=MR","SCALING_FORMAT=MLN","Sort=A","Dates=H","DateFormat=P","Fill=—","Direction=H","UseDPDF=Y")</f>
        <v>195.2</v>
      </c>
      <c r="J15" s="13">
        <f>_xll.BDH("NBIX US Equity","ARD_LT_INVEST","FQ3 2020","FQ3 2020","Currency=USD","Period=FQ","BEST_FPERIOD_OVERRIDE=FQ","FILING_STATUS=MR","SCALING_FORMAT=MLN","Sort=A","Dates=H","DateFormat=P","Fill=—","Direction=H","UseDPDF=Y")</f>
        <v>181.4</v>
      </c>
      <c r="K15" s="13">
        <f>_xll.BDH("NBIX US Equity","ARD_LT_INVEST","FQ4 2020","FQ4 2020","Currency=USD","Period=FQ","BEST_FPERIOD_OVERRIDE=FQ","FILING_STATUS=MR","SCALING_FORMAT=MLN","Sort=A","Dates=H","DateFormat=P","Fill=—","Direction=H","UseDPDF=Y")</f>
        <v>227.1</v>
      </c>
      <c r="L15" s="13">
        <f>_xll.BDH("NBIX US Equity","ARD_LT_INVEST","FQ1 2021","FQ1 2021","Currency=USD","Period=FQ","BEST_FPERIOD_OVERRIDE=FQ","FILING_STATUS=MR","SCALING_FORMAT=MLN","Sort=A","Dates=H","DateFormat=P","Fill=—","Direction=H","UseDPDF=Y")</f>
        <v>249.6</v>
      </c>
      <c r="M15" s="13">
        <f>_xll.BDH("NBIX US Equity","ARD_LT_INVEST","FQ2 2021","FQ2 2021","Currency=USD","Period=FQ","BEST_FPERIOD_OVERRIDE=FQ","FILING_STATUS=MR","SCALING_FORMAT=MLN","Sort=A","Dates=H","DateFormat=P","Fill=—","Direction=H","UseDPDF=Y")</f>
        <v>337.8</v>
      </c>
      <c r="N15" s="13">
        <f>_xll.BDH("NBIX US Equity","ARD_LT_INVEST","FQ3 2021","FQ3 2021","Currency=USD","Period=FQ","BEST_FPERIOD_OVERRIDE=FQ","FILING_STATUS=MR","SCALING_FORMAT=MLN","Sort=A","Dates=H","DateFormat=P","Fill=—","Direction=H","UseDPDF=Y")</f>
        <v>513.70000000000005</v>
      </c>
      <c r="O15" s="13">
        <f>_xll.BDH("NBIX US Equity","ARD_LT_INVEST","FQ4 2021","FQ4 2021","Currency=USD","Period=FQ","BEST_FPERIOD_OVERRIDE=FQ","FILING_STATUS=MR","SCALING_FORMAT=MLN","Sort=A","Dates=H","DateFormat=P","Fill=—","Direction=H","UseDPDF=Y")</f>
        <v>560.70000000000005</v>
      </c>
      <c r="P15" s="13">
        <f>_xll.BDH("NBIX US Equity","ARD_LT_INVEST","FQ1 2022","FQ1 2022","Currency=USD","Period=FQ","BEST_FPERIOD_OVERRIDE=FQ","FILING_STATUS=MR","SCALING_FORMAT=MLN","Sort=A","Dates=H","DateFormat=P","Fill=—","Direction=H","UseDPDF=Y")</f>
        <v>541</v>
      </c>
      <c r="Q15" s="13">
        <f>_xll.BDH("NBIX US Equity","ARD_LT_INVEST","FQ2 2022","FQ2 2022","Currency=USD","Period=FQ","BEST_FPERIOD_OVERRIDE=FQ","FILING_STATUS=MR","SCALING_FORMAT=MLN","Sort=A","Dates=H","DateFormat=P","Fill=—","Direction=H","UseDPDF=Y")</f>
        <v>405.2</v>
      </c>
      <c r="R15" s="13">
        <f>_xll.BDH("NBIX US Equity","ARD_LT_INVEST","FQ3 2022","FQ3 2022","Currency=USD","Period=FQ","BEST_FPERIOD_OVERRIDE=FQ","FILING_STATUS=MR","SCALING_FORMAT=MLN","Sort=A","Dates=H","DateFormat=P","Fill=—","Direction=H","UseDPDF=Y")</f>
        <v>362.6</v>
      </c>
      <c r="S15" s="13">
        <f>_xll.BDH("NBIX US Equity","ARD_LT_INVEST","FQ4 2022","FQ4 2022","Currency=USD","Period=FQ","BEST_FPERIOD_OVERRIDE=FQ","FILING_STATUS=MR","SCALING_FORMAT=MLN","Sort=A","Dates=H","DateFormat=P","Fill=—","Direction=H","UseDPDF=Y")</f>
        <v>299.39999999999998</v>
      </c>
      <c r="T15" s="13">
        <f>_xll.BDH("NBIX US Equity","ARD_LT_INVEST","FQ1 2023","FQ1 2023","Currency=USD","Period=FQ","BEST_FPERIOD_OVERRIDE=FQ","FILING_STATUS=MR","SCALING_FORMAT=MLN","Sort=A","Dates=H","DateFormat=P","Fill=—","Direction=H","UseDPDF=Y")</f>
        <v>244.6</v>
      </c>
      <c r="U15" s="13">
        <f>_xll.BDH("NBIX US Equity","ARD_LT_INVEST","FQ2 2023","FQ2 2023","Currency=USD","Period=FQ","BEST_FPERIOD_OVERRIDE=FQ","FILING_STATUS=MR","SCALING_FORMAT=MLN","Sort=A","Dates=H","DateFormat=P","Fill=—","Direction=H","UseDPDF=Y")</f>
        <v>342.6</v>
      </c>
      <c r="V15" s="13">
        <f>_xll.BDH("NBIX US Equity","ARD_LT_INVEST","FQ3 2023","FQ3 2023","Currency=USD","Period=FQ","BEST_FPERIOD_OVERRIDE=FQ","FILING_STATUS=MR","SCALING_FORMAT=MLN","Sort=A","Dates=H","DateFormat=P","Fill=—","Direction=H","UseDPDF=Y")</f>
        <v>454.7</v>
      </c>
      <c r="W15" s="13">
        <f>_xll.BDH("NBIX US Equity","ARD_LT_INVEST","FQ4 2023","FQ4 2023","Currency=USD","Period=FQ","BEST_FPERIOD_OVERRIDE=FQ","FILING_STATUS=MR","SCALING_FORMAT=MLN","Sort=A","Dates=H","DateFormat=P","Fill=—","Direction=H","UseDPDF=Y")</f>
        <v>687.5</v>
      </c>
      <c r="X15" s="13">
        <f>_xll.BDH("NBIX US Equity","ARD_LT_INVEST","FQ1 2024","FQ1 2024","Currency=USD","Period=FQ","BEST_FPERIOD_OVERRIDE=FQ","FILING_STATUS=MR","SCALING_FORMAT=MLN","Sort=A","Dates=H","DateFormat=P","Fill=—","Direction=H","UseDPDF=Y")</f>
        <v>700.4</v>
      </c>
      <c r="Y15" s="13">
        <f>_xll.BDH("NBIX US Equity","ARD_LT_INVEST","FQ2 2024","FQ2 2024","Currency=USD","Period=FQ","BEST_FPERIOD_OVERRIDE=FQ","FILING_STATUS=MR","SCALING_FORMAT=MLN","Sort=A","Dates=H","DateFormat=P","Fill=—","Direction=H","UseDPDF=Y")</f>
        <v>637.79999999999995</v>
      </c>
      <c r="Z15" s="13">
        <f>_xll.BDH("NBIX US Equity","ARD_LT_INVEST","FQ3 2024","FQ3 2024","Currency=USD","Period=FQ","BEST_FPERIOD_OVERRIDE=FQ","FILING_STATUS=MR","SCALING_FORMAT=MLN","Sort=A","Dates=H","DateFormat=P","Fill=—","Direction=H","UseDPDF=Y")</f>
        <v>643.9</v>
      </c>
      <c r="AA15" s="13">
        <f>_xll.BDH("NBIX US Equity","ARD_LT_INVEST","FQ4 2024","FQ4 2024","Currency=USD","Period=FQ","BEST_FPERIOD_OVERRIDE=FQ","FILING_STATUS=MR","SCALING_FORMAT=MLN","Sort=A","Dates=H","DateFormat=P","Fill=—","Direction=H","UseDPDF=Y")</f>
        <v>739.5</v>
      </c>
    </row>
    <row r="16" spans="1:27" x14ac:dyDescent="0.25">
      <c r="A16" s="10" t="s">
        <v>830</v>
      </c>
      <c r="B16" s="10" t="s">
        <v>831</v>
      </c>
      <c r="C16" s="13">
        <f>_xll.BDH("NBIX US Equity","ARD_PROPERTY_PLANT_EQUIP_NET","FQ4 2018","FQ4 2018","Currency=USD","Period=FQ","BEST_FPERIOD_OVERRIDE=FQ","FILING_STATUS=MR","SCALING_FORMAT=MLN","Sort=A","Dates=H","DateFormat=P","Fill=—","Direction=H","UseDPDF=Y")</f>
        <v>33.869</v>
      </c>
      <c r="D16" s="13">
        <f>_xll.BDH("NBIX US Equity","ARD_PROPERTY_PLANT_EQUIP_NET","FQ1 2019","FQ1 2019","Currency=USD","Period=FQ","BEST_FPERIOD_OVERRIDE=FQ","FILING_STATUS=MR","SCALING_FORMAT=MLN","Sort=A","Dates=H","DateFormat=P","Fill=—","Direction=H","UseDPDF=Y")</f>
        <v>36.661000000000001</v>
      </c>
      <c r="E16" s="13">
        <f>_xll.BDH("NBIX US Equity","ARD_PROPERTY_PLANT_EQUIP_NET","FQ2 2019","FQ2 2019","Currency=USD","Period=FQ","BEST_FPERIOD_OVERRIDE=FQ","FILING_STATUS=MR","SCALING_FORMAT=MLN","Sort=A","Dates=H","DateFormat=P","Fill=—","Direction=H","UseDPDF=Y")</f>
        <v>39.622999999999998</v>
      </c>
      <c r="F16" s="13">
        <f>_xll.BDH("NBIX US Equity","ARD_PROPERTY_PLANT_EQUIP_NET","FQ3 2019","FQ3 2019","Currency=USD","Period=FQ","BEST_FPERIOD_OVERRIDE=FQ","FILING_STATUS=MR","SCALING_FORMAT=MLN","Sort=A","Dates=H","DateFormat=P","Fill=—","Direction=H","UseDPDF=Y")</f>
        <v>40.302</v>
      </c>
      <c r="G16" s="13">
        <f>_xll.BDH("NBIX US Equity","ARD_PROPERTY_PLANT_EQUIP_NET","FQ4 2019","FQ4 2019","Currency=USD","Period=FQ","BEST_FPERIOD_OVERRIDE=FQ","FILING_STATUS=MR","SCALING_FORMAT=MLN","Sort=A","Dates=H","DateFormat=P","Fill=—","Direction=H","UseDPDF=Y")</f>
        <v>41.9</v>
      </c>
      <c r="H16" s="13">
        <f>_xll.BDH("NBIX US Equity","ARD_PROPERTY_PLANT_EQUIP_NET","FQ1 2020","FQ1 2020","Currency=USD","Period=FQ","BEST_FPERIOD_OVERRIDE=FQ","FILING_STATUS=MR","SCALING_FORMAT=MLN","Sort=A","Dates=H","DateFormat=P","Fill=—","Direction=H","UseDPDF=Y")</f>
        <v>41.9</v>
      </c>
      <c r="I16" s="13">
        <f>_xll.BDH("NBIX US Equity","ARD_PROPERTY_PLANT_EQUIP_NET","FQ2 2020","FQ2 2020","Currency=USD","Period=FQ","BEST_FPERIOD_OVERRIDE=FQ","FILING_STATUS=MR","SCALING_FORMAT=MLN","Sort=A","Dates=H","DateFormat=P","Fill=—","Direction=H","UseDPDF=Y")</f>
        <v>44.6</v>
      </c>
      <c r="J16" s="13">
        <f>_xll.BDH("NBIX US Equity","ARD_PROPERTY_PLANT_EQUIP_NET","FQ3 2020","FQ3 2020","Currency=USD","Period=FQ","BEST_FPERIOD_OVERRIDE=FQ","FILING_STATUS=MR","SCALING_FORMAT=MLN","Sort=A","Dates=H","DateFormat=P","Fill=—","Direction=H","UseDPDF=Y")</f>
        <v>43</v>
      </c>
      <c r="K16" s="13">
        <f>_xll.BDH("NBIX US Equity","ARD_PROPERTY_PLANT_EQUIP_NET","FQ4 2020","FQ4 2020","Currency=USD","Period=FQ","BEST_FPERIOD_OVERRIDE=FQ","FILING_STATUS=MR","SCALING_FORMAT=MLN","Sort=A","Dates=H","DateFormat=P","Fill=—","Direction=H","UseDPDF=Y")</f>
        <v>44.6</v>
      </c>
      <c r="L16" s="13">
        <f>_xll.BDH("NBIX US Equity","ARD_PROPERTY_PLANT_EQUIP_NET","FQ1 2021","FQ1 2021","Currency=USD","Period=FQ","BEST_FPERIOD_OVERRIDE=FQ","FILING_STATUS=MR","SCALING_FORMAT=MLN","Sort=A","Dates=H","DateFormat=P","Fill=—","Direction=H","UseDPDF=Y")</f>
        <v>45.3</v>
      </c>
      <c r="M16" s="13">
        <f>_xll.BDH("NBIX US Equity","ARD_PROPERTY_PLANT_EQUIP_NET","FQ2 2021","FQ2 2021","Currency=USD","Period=FQ","BEST_FPERIOD_OVERRIDE=FQ","FILING_STATUS=MR","SCALING_FORMAT=MLN","Sort=A","Dates=H","DateFormat=P","Fill=—","Direction=H","UseDPDF=Y")</f>
        <v>50</v>
      </c>
      <c r="N16" s="13">
        <f>_xll.BDH("NBIX US Equity","ARD_PROPERTY_PLANT_EQUIP_NET","FQ3 2021","FQ3 2021","Currency=USD","Period=FQ","BEST_FPERIOD_OVERRIDE=FQ","FILING_STATUS=MR","SCALING_FORMAT=MLN","Sort=A","Dates=H","DateFormat=P","Fill=—","Direction=H","UseDPDF=Y")</f>
        <v>51.1</v>
      </c>
      <c r="O16" s="13">
        <f>_xll.BDH("NBIX US Equity","ARD_PROPERTY_PLANT_EQUIP_NET","FQ4 2021","FQ4 2021","Currency=USD","Period=FQ","BEST_FPERIOD_OVERRIDE=FQ","FILING_STATUS=MR","SCALING_FORMAT=MLN","Sort=A","Dates=H","DateFormat=P","Fill=—","Direction=H","UseDPDF=Y")</f>
        <v>58.6</v>
      </c>
      <c r="P16" s="13">
        <f>_xll.BDH("NBIX US Equity","ARD_PROPERTY_PLANT_EQUIP_NET","FQ1 2022","FQ1 2022","Currency=USD","Period=FQ","BEST_FPERIOD_OVERRIDE=FQ","FILING_STATUS=MR","SCALING_FORMAT=MLN","Sort=A","Dates=H","DateFormat=P","Fill=—","Direction=H","UseDPDF=Y")</f>
        <v>63.9</v>
      </c>
      <c r="Q16" s="13">
        <f>_xll.BDH("NBIX US Equity","ARD_PROPERTY_PLANT_EQUIP_NET","FQ2 2022","FQ2 2022","Currency=USD","Period=FQ","BEST_FPERIOD_OVERRIDE=FQ","FILING_STATUS=MR","SCALING_FORMAT=MLN","Sort=A","Dates=H","DateFormat=P","Fill=—","Direction=H","UseDPDF=Y")</f>
        <v>66.8</v>
      </c>
      <c r="R16" s="13">
        <f>_xll.BDH("NBIX US Equity","ARD_PROPERTY_PLANT_EQUIP_NET","FQ3 2022","FQ3 2022","Currency=USD","Period=FQ","BEST_FPERIOD_OVERRIDE=FQ","FILING_STATUS=MR","SCALING_FORMAT=MLN","Sort=A","Dates=H","DateFormat=P","Fill=—","Direction=H","UseDPDF=Y")</f>
        <v>60.9</v>
      </c>
      <c r="S16" s="13">
        <f>_xll.BDH("NBIX US Equity","ARD_PROPERTY_PLANT_EQUIP_NET","FQ4 2022","FQ4 2022","Currency=USD","Period=FQ","BEST_FPERIOD_OVERRIDE=FQ","FILING_STATUS=MR","SCALING_FORMAT=MLN","Sort=A","Dates=H","DateFormat=P","Fill=—","Direction=H","UseDPDF=Y")</f>
        <v>58.6</v>
      </c>
      <c r="T16" s="13">
        <f>_xll.BDH("NBIX US Equity","ARD_PROPERTY_PLANT_EQUIP_NET","FQ1 2023","FQ1 2023","Currency=USD","Period=FQ","BEST_FPERIOD_OVERRIDE=FQ","FILING_STATUS=MR","SCALING_FORMAT=MLN","Sort=A","Dates=H","DateFormat=P","Fill=—","Direction=H","UseDPDF=Y")</f>
        <v>62.8</v>
      </c>
      <c r="U16" s="13">
        <f>_xll.BDH("NBIX US Equity","ARD_PROPERTY_PLANT_EQUIP_NET","FQ2 2023","FQ2 2023","Currency=USD","Period=FQ","BEST_FPERIOD_OVERRIDE=FQ","FILING_STATUS=MR","SCALING_FORMAT=MLN","Sort=A","Dates=H","DateFormat=P","Fill=—","Direction=H","UseDPDF=Y")</f>
        <v>65.599999999999994</v>
      </c>
      <c r="V16" s="13">
        <f>_xll.BDH("NBIX US Equity","ARD_PROPERTY_PLANT_EQUIP_NET","FQ3 2023","FQ3 2023","Currency=USD","Period=FQ","BEST_FPERIOD_OVERRIDE=FQ","FILING_STATUS=MR","SCALING_FORMAT=MLN","Sort=A","Dates=H","DateFormat=P","Fill=—","Direction=H","UseDPDF=Y")</f>
        <v>68.8</v>
      </c>
      <c r="W16" s="13">
        <f>_xll.BDH("NBIX US Equity","ARD_PROPERTY_PLANT_EQUIP_NET","FQ4 2023","FQ4 2023","Currency=USD","Period=FQ","BEST_FPERIOD_OVERRIDE=FQ","FILING_STATUS=MR","SCALING_FORMAT=MLN","Sort=A","Dates=H","DateFormat=P","Fill=—","Direction=H","UseDPDF=Y")</f>
        <v>70.8</v>
      </c>
      <c r="X16" s="13">
        <f>_xll.BDH("NBIX US Equity","ARD_PROPERTY_PLANT_EQUIP_NET","FQ1 2024","FQ1 2024","Currency=USD","Period=FQ","BEST_FPERIOD_OVERRIDE=FQ","FILING_STATUS=MR","SCALING_FORMAT=MLN","Sort=A","Dates=H","DateFormat=P","Fill=—","Direction=H","UseDPDF=Y")</f>
        <v>75.3</v>
      </c>
      <c r="Y16" s="13">
        <f>_xll.BDH("NBIX US Equity","ARD_PROPERTY_PLANT_EQUIP_NET","FQ2 2024","FQ2 2024","Currency=USD","Period=FQ","BEST_FPERIOD_OVERRIDE=FQ","FILING_STATUS=MR","SCALING_FORMAT=MLN","Sort=A","Dates=H","DateFormat=P","Fill=—","Direction=H","UseDPDF=Y")</f>
        <v>80.099999999999994</v>
      </c>
      <c r="Z16" s="13">
        <f>_xll.BDH("NBIX US Equity","ARD_PROPERTY_PLANT_EQUIP_NET","FQ3 2024","FQ3 2024","Currency=USD","Period=FQ","BEST_FPERIOD_OVERRIDE=FQ","FILING_STATUS=MR","SCALING_FORMAT=MLN","Sort=A","Dates=H","DateFormat=P","Fill=—","Direction=H","UseDPDF=Y")</f>
        <v>80</v>
      </c>
      <c r="AA16" s="13">
        <f>_xll.BDH("NBIX US Equity","ARD_PROPERTY_PLANT_EQUIP_NET","FQ4 2024","FQ4 2024","Currency=USD","Period=FQ","BEST_FPERIOD_OVERRIDE=FQ","FILING_STATUS=MR","SCALING_FORMAT=MLN","Sort=A","Dates=H","DateFormat=P","Fill=—","Direction=H","UseDPDF=Y")</f>
        <v>82.6</v>
      </c>
    </row>
    <row r="17" spans="1:27" x14ac:dyDescent="0.25">
      <c r="A17" s="10" t="s">
        <v>832</v>
      </c>
      <c r="B17" s="10" t="s">
        <v>833</v>
      </c>
      <c r="C17" s="13" t="str">
        <f>_xll.BDH("NBIX US Equity","ARD_DEFERRED_INC_TAX_ASSET_LT","FQ4 2018","FQ4 2018","Currency=USD","Period=FQ","BEST_FPERIOD_OVERRIDE=FQ","FILING_STATUS=MR","SCALING_FORMAT=MLN","Sort=A","Dates=H","DateFormat=P","Fill=—","Direction=H","UseDPDF=Y")</f>
        <v>—</v>
      </c>
      <c r="D17" s="13" t="str">
        <f>_xll.BDH("NBIX US Equity","ARD_DEFERRED_INC_TAX_ASSET_LT","FQ1 2019","FQ1 2019","Currency=USD","Period=FQ","BEST_FPERIOD_OVERRIDE=FQ","FILING_STATUS=MR","SCALING_FORMAT=MLN","Sort=A","Dates=H","DateFormat=P","Fill=—","Direction=H","UseDPDF=Y")</f>
        <v>—</v>
      </c>
      <c r="E17" s="13" t="str">
        <f>_xll.BDH("NBIX US Equity","ARD_DEFERRED_INC_TAX_ASSET_LT","FQ2 2019","FQ2 2019","Currency=USD","Period=FQ","BEST_FPERIOD_OVERRIDE=FQ","FILING_STATUS=MR","SCALING_FORMAT=MLN","Sort=A","Dates=H","DateFormat=P","Fill=—","Direction=H","UseDPDF=Y")</f>
        <v>—</v>
      </c>
      <c r="F17" s="13" t="str">
        <f>_xll.BDH("NBIX US Equity","ARD_DEFERRED_INC_TAX_ASSET_LT","FQ3 2019","FQ3 2019","Currency=USD","Period=FQ","BEST_FPERIOD_OVERRIDE=FQ","FILING_STATUS=MR","SCALING_FORMAT=MLN","Sort=A","Dates=H","DateFormat=P","Fill=—","Direction=H","UseDPDF=Y")</f>
        <v>—</v>
      </c>
      <c r="G17" s="13">
        <f>_xll.BDH("NBIX US Equity","ARD_DEFERRED_INC_TAX_ASSET_LT","FQ4 2019","FQ4 2019","Currency=USD","Period=FQ","BEST_FPERIOD_OVERRIDE=FQ","FILING_STATUS=MR","SCALING_FORMAT=MLN","Sort=A","Dates=H","DateFormat=P","Fill=—","Direction=H","UseDPDF=Y")</f>
        <v>0</v>
      </c>
      <c r="H17" s="13" t="str">
        <f>_xll.BDH("NBIX US Equity","ARD_DEFERRED_INC_TAX_ASSET_LT","FQ1 2020","FQ1 2020","Currency=USD","Period=FQ","BEST_FPERIOD_OVERRIDE=FQ","FILING_STATUS=MR","SCALING_FORMAT=MLN","Sort=A","Dates=H","DateFormat=P","Fill=—","Direction=H","UseDPDF=Y")</f>
        <v>—</v>
      </c>
      <c r="I17" s="13" t="str">
        <f>_xll.BDH("NBIX US Equity","ARD_DEFERRED_INC_TAX_ASSET_LT","FQ2 2020","FQ2 2020","Currency=USD","Period=FQ","BEST_FPERIOD_OVERRIDE=FQ","FILING_STATUS=MR","SCALING_FORMAT=MLN","Sort=A","Dates=H","DateFormat=P","Fill=—","Direction=H","UseDPDF=Y")</f>
        <v>—</v>
      </c>
      <c r="J17" s="13" t="str">
        <f>_xll.BDH("NBIX US Equity","ARD_DEFERRED_INC_TAX_ASSET_LT","FQ3 2020","FQ3 2020","Currency=USD","Period=FQ","BEST_FPERIOD_OVERRIDE=FQ","FILING_STATUS=MR","SCALING_FORMAT=MLN","Sort=A","Dates=H","DateFormat=P","Fill=—","Direction=H","UseDPDF=Y")</f>
        <v>—</v>
      </c>
      <c r="K17" s="13">
        <f>_xll.BDH("NBIX US Equity","ARD_DEFERRED_INC_TAX_ASSET_LT","FQ4 2020","FQ4 2020","Currency=USD","Period=FQ","BEST_FPERIOD_OVERRIDE=FQ","FILING_STATUS=MR","SCALING_FORMAT=MLN","Sort=A","Dates=H","DateFormat=P","Fill=—","Direction=H","UseDPDF=Y")</f>
        <v>319.39999999999998</v>
      </c>
      <c r="L17" s="13">
        <f>_xll.BDH("NBIX US Equity","ARD_DEFERRED_INC_TAX_ASSET_LT","FQ1 2021","FQ1 2021","Currency=USD","Period=FQ","BEST_FPERIOD_OVERRIDE=FQ","FILING_STATUS=MR","SCALING_FORMAT=MLN","Sort=A","Dates=H","DateFormat=P","Fill=—","Direction=H","UseDPDF=Y")</f>
        <v>325.60000000000002</v>
      </c>
      <c r="M17" s="13">
        <f>_xll.BDH("NBIX US Equity","ARD_DEFERRED_INC_TAX_ASSET_LT","FQ2 2021","FQ2 2021","Currency=USD","Period=FQ","BEST_FPERIOD_OVERRIDE=FQ","FILING_STATUS=MR","SCALING_FORMAT=MLN","Sort=A","Dates=H","DateFormat=P","Fill=—","Direction=H","UseDPDF=Y")</f>
        <v>316.10000000000002</v>
      </c>
      <c r="N17" s="13">
        <f>_xll.BDH("NBIX US Equity","ARD_DEFERRED_INC_TAX_ASSET_LT","FQ3 2021","FQ3 2021","Currency=USD","Period=FQ","BEST_FPERIOD_OVERRIDE=FQ","FILING_STATUS=MR","SCALING_FORMAT=MLN","Sort=A","Dates=H","DateFormat=P","Fill=—","Direction=H","UseDPDF=Y")</f>
        <v>310.39999999999998</v>
      </c>
      <c r="O17" s="13">
        <f>_xll.BDH("NBIX US Equity","ARD_DEFERRED_INC_TAX_ASSET_LT","FQ4 2021","FQ4 2021","Currency=USD","Period=FQ","BEST_FPERIOD_OVERRIDE=FQ","FILING_STATUS=MR","SCALING_FORMAT=MLN","Sort=A","Dates=H","DateFormat=P","Fill=—","Direction=H","UseDPDF=Y")</f>
        <v>315.10000000000002</v>
      </c>
      <c r="P17" s="13">
        <f>_xll.BDH("NBIX US Equity","ARD_DEFERRED_INC_TAX_ASSET_LT","FQ1 2022","FQ1 2022","Currency=USD","Period=FQ","BEST_FPERIOD_OVERRIDE=FQ","FILING_STATUS=MR","SCALING_FORMAT=MLN","Sort=A","Dates=H","DateFormat=P","Fill=—","Direction=H","UseDPDF=Y")</f>
        <v>325.3</v>
      </c>
      <c r="Q17" s="13">
        <f>_xll.BDH("NBIX US Equity","ARD_DEFERRED_INC_TAX_ASSET_LT","FQ2 2022","FQ2 2022","Currency=USD","Period=FQ","BEST_FPERIOD_OVERRIDE=FQ","FILING_STATUS=MR","SCALING_FORMAT=MLN","Sort=A","Dates=H","DateFormat=P","Fill=—","Direction=H","UseDPDF=Y")</f>
        <v>328.4</v>
      </c>
      <c r="R17" s="13">
        <f>_xll.BDH("NBIX US Equity","ARD_DEFERRED_INC_TAX_ASSET_LT","FQ3 2022","FQ3 2022","Currency=USD","Period=FQ","BEST_FPERIOD_OVERRIDE=FQ","FILING_STATUS=MR","SCALING_FORMAT=MLN","Sort=A","Dates=H","DateFormat=P","Fill=—","Direction=H","UseDPDF=Y")</f>
        <v>319.39999999999998</v>
      </c>
      <c r="S17" s="13">
        <f>_xll.BDH("NBIX US Equity","ARD_DEFERRED_INC_TAX_ASSET_LT","FQ4 2022","FQ4 2022","Currency=USD","Period=FQ","BEST_FPERIOD_OVERRIDE=FQ","FILING_STATUS=MR","SCALING_FORMAT=MLN","Sort=A","Dates=H","DateFormat=P","Fill=—","Direction=H","UseDPDF=Y")</f>
        <v>305.89999999999998</v>
      </c>
      <c r="T17" s="13">
        <f>_xll.BDH("NBIX US Equity","ARD_DEFERRED_INC_TAX_ASSET_LT","FQ1 2023","FQ1 2023","Currency=USD","Period=FQ","BEST_FPERIOD_OVERRIDE=FQ","FILING_STATUS=MR","SCALING_FORMAT=MLN","Sort=A","Dates=H","DateFormat=P","Fill=—","Direction=H","UseDPDF=Y")</f>
        <v>337.4</v>
      </c>
      <c r="U17" s="13">
        <f>_xll.BDH("NBIX US Equity","ARD_DEFERRED_INC_TAX_ASSET_LT","FQ2 2023","FQ2 2023","Currency=USD","Period=FQ","BEST_FPERIOD_OVERRIDE=FQ","FILING_STATUS=MR","SCALING_FORMAT=MLN","Sort=A","Dates=H","DateFormat=P","Fill=—","Direction=H","UseDPDF=Y")</f>
        <v>379</v>
      </c>
      <c r="V17" s="13">
        <f>_xll.BDH("NBIX US Equity","ARD_DEFERRED_INC_TAX_ASSET_LT","FQ3 2023","FQ3 2023","Currency=USD","Period=FQ","BEST_FPERIOD_OVERRIDE=FQ","FILING_STATUS=MR","SCALING_FORMAT=MLN","Sort=A","Dates=H","DateFormat=P","Fill=—","Direction=H","UseDPDF=Y")</f>
        <v>383.2</v>
      </c>
      <c r="W17" s="13">
        <f>_xll.BDH("NBIX US Equity","ARD_DEFERRED_INC_TAX_ASSET_LT","FQ4 2023","FQ4 2023","Currency=USD","Period=FQ","BEST_FPERIOD_OVERRIDE=FQ","FILING_STATUS=MR","SCALING_FORMAT=MLN","Sort=A","Dates=H","DateFormat=P","Fill=—","Direction=H","UseDPDF=Y")</f>
        <v>362.6</v>
      </c>
      <c r="X17" s="13">
        <f>_xll.BDH("NBIX US Equity","ARD_DEFERRED_INC_TAX_ASSET_LT","FQ1 2024","FQ1 2024","Currency=USD","Period=FQ","BEST_FPERIOD_OVERRIDE=FQ","FILING_STATUS=MR","SCALING_FORMAT=MLN","Sort=A","Dates=H","DateFormat=P","Fill=—","Direction=H","UseDPDF=Y")</f>
        <v>378.2</v>
      </c>
      <c r="Y17" s="13">
        <f>_xll.BDH("NBIX US Equity","ARD_DEFERRED_INC_TAX_ASSET_LT","FQ2 2024","FQ2 2024","Currency=USD","Period=FQ","BEST_FPERIOD_OVERRIDE=FQ","FILING_STATUS=MR","SCALING_FORMAT=MLN","Sort=A","Dates=H","DateFormat=P","Fill=—","Direction=H","UseDPDF=Y")</f>
        <v>419.5</v>
      </c>
      <c r="Z17" s="13">
        <f>_xll.BDH("NBIX US Equity","ARD_DEFERRED_INC_TAX_ASSET_LT","FQ3 2024","FQ3 2024","Currency=USD","Period=FQ","BEST_FPERIOD_OVERRIDE=FQ","FILING_STATUS=MR","SCALING_FORMAT=MLN","Sort=A","Dates=H","DateFormat=P","Fill=—","Direction=H","UseDPDF=Y")</f>
        <v>454.4</v>
      </c>
      <c r="AA17" s="13">
        <f>_xll.BDH("NBIX US Equity","ARD_DEFERRED_INC_TAX_ASSET_LT","FQ4 2024","FQ4 2024","Currency=USD","Period=FQ","BEST_FPERIOD_OVERRIDE=FQ","FILING_STATUS=MR","SCALING_FORMAT=MLN","Sort=A","Dates=H","DateFormat=P","Fill=—","Direction=H","UseDPDF=Y")</f>
        <v>485.7</v>
      </c>
    </row>
    <row r="18" spans="1:27" x14ac:dyDescent="0.25">
      <c r="A18" s="10" t="s">
        <v>834</v>
      </c>
      <c r="B18" s="10" t="s">
        <v>835</v>
      </c>
      <c r="C18" s="13" t="str">
        <f>_xll.BDH("NBIX US Equity","ARD_TOTAL_INTANGIBLE_ASSET_NET","FQ4 2018","FQ4 2018","Currency=USD","Period=FQ","BEST_FPERIOD_OVERRIDE=FQ","FILING_STATUS=MR","SCALING_FORMAT=MLN","Sort=A","Dates=H","DateFormat=P","Fill=—","Direction=H","UseDPDF=Y")</f>
        <v>—</v>
      </c>
      <c r="D18" s="13" t="str">
        <f>_xll.BDH("NBIX US Equity","ARD_TOTAL_INTANGIBLE_ASSET_NET","FQ1 2019","FQ1 2019","Currency=USD","Period=FQ","BEST_FPERIOD_OVERRIDE=FQ","FILING_STATUS=MR","SCALING_FORMAT=MLN","Sort=A","Dates=H","DateFormat=P","Fill=—","Direction=H","UseDPDF=Y")</f>
        <v>—</v>
      </c>
      <c r="E18" s="13" t="str">
        <f>_xll.BDH("NBIX US Equity","ARD_TOTAL_INTANGIBLE_ASSET_NET","FQ2 2019","FQ2 2019","Currency=USD","Period=FQ","BEST_FPERIOD_OVERRIDE=FQ","FILING_STATUS=MR","SCALING_FORMAT=MLN","Sort=A","Dates=H","DateFormat=P","Fill=—","Direction=H","UseDPDF=Y")</f>
        <v>—</v>
      </c>
      <c r="F18" s="13" t="str">
        <f>_xll.BDH("NBIX US Equity","ARD_TOTAL_INTANGIBLE_ASSET_NET","FQ3 2019","FQ3 2019","Currency=USD","Period=FQ","BEST_FPERIOD_OVERRIDE=FQ","FILING_STATUS=MR","SCALING_FORMAT=MLN","Sort=A","Dates=H","DateFormat=P","Fill=—","Direction=H","UseDPDF=Y")</f>
        <v>—</v>
      </c>
      <c r="G18" s="13" t="str">
        <f>_xll.BDH("NBIX US Equity","ARD_TOTAL_INTANGIBLE_ASSET_NET","FQ4 2019","FQ4 2019","Currency=USD","Period=FQ","BEST_FPERIOD_OVERRIDE=FQ","FILING_STATUS=MR","SCALING_FORMAT=MLN","Sort=A","Dates=H","DateFormat=P","Fill=—","Direction=H","UseDPDF=Y")</f>
        <v>—</v>
      </c>
      <c r="H18" s="13" t="str">
        <f>_xll.BDH("NBIX US Equity","ARD_TOTAL_INTANGIBLE_ASSET_NET","FQ1 2020","FQ1 2020","Currency=USD","Period=FQ","BEST_FPERIOD_OVERRIDE=FQ","FILING_STATUS=MR","SCALING_FORMAT=MLN","Sort=A","Dates=H","DateFormat=P","Fill=—","Direction=H","UseDPDF=Y")</f>
        <v>—</v>
      </c>
      <c r="I18" s="13" t="str">
        <f>_xll.BDH("NBIX US Equity","ARD_TOTAL_INTANGIBLE_ASSET_NET","FQ2 2020","FQ2 2020","Currency=USD","Period=FQ","BEST_FPERIOD_OVERRIDE=FQ","FILING_STATUS=MR","SCALING_FORMAT=MLN","Sort=A","Dates=H","DateFormat=P","Fill=—","Direction=H","UseDPDF=Y")</f>
        <v>—</v>
      </c>
      <c r="J18" s="13" t="str">
        <f>_xll.BDH("NBIX US Equity","ARD_TOTAL_INTANGIBLE_ASSET_NET","FQ3 2020","FQ3 2020","Currency=USD","Period=FQ","BEST_FPERIOD_OVERRIDE=FQ","FILING_STATUS=MR","SCALING_FORMAT=MLN","Sort=A","Dates=H","DateFormat=P","Fill=—","Direction=H","UseDPDF=Y")</f>
        <v>—</v>
      </c>
      <c r="K18" s="13" t="str">
        <f>_xll.BDH("NBIX US Equity","ARD_TOTAL_INTANGIBLE_ASSET_NET","FQ4 2020","FQ4 2020","Currency=USD","Period=FQ","BEST_FPERIOD_OVERRIDE=FQ","FILING_STATUS=MR","SCALING_FORMAT=MLN","Sort=A","Dates=H","DateFormat=P","Fill=—","Direction=H","UseDPDF=Y")</f>
        <v>—</v>
      </c>
      <c r="L18" s="13" t="str">
        <f>_xll.BDH("NBIX US Equity","ARD_TOTAL_INTANGIBLE_ASSET_NET","FQ1 2021","FQ1 2021","Currency=USD","Period=FQ","BEST_FPERIOD_OVERRIDE=FQ","FILING_STATUS=MR","SCALING_FORMAT=MLN","Sort=A","Dates=H","DateFormat=P","Fill=—","Direction=H","UseDPDF=Y")</f>
        <v>—</v>
      </c>
      <c r="M18" s="13" t="str">
        <f>_xll.BDH("NBIX US Equity","ARD_TOTAL_INTANGIBLE_ASSET_NET","FQ2 2021","FQ2 2021","Currency=USD","Period=FQ","BEST_FPERIOD_OVERRIDE=FQ","FILING_STATUS=MR","SCALING_FORMAT=MLN","Sort=A","Dates=H","DateFormat=P","Fill=—","Direction=H","UseDPDF=Y")</f>
        <v>—</v>
      </c>
      <c r="N18" s="13" t="str">
        <f>_xll.BDH("NBIX US Equity","ARD_TOTAL_INTANGIBLE_ASSET_NET","FQ3 2021","FQ3 2021","Currency=USD","Period=FQ","BEST_FPERIOD_OVERRIDE=FQ","FILING_STATUS=MR","SCALING_FORMAT=MLN","Sort=A","Dates=H","DateFormat=P","Fill=—","Direction=H","UseDPDF=Y")</f>
        <v>—</v>
      </c>
      <c r="O18" s="13" t="str">
        <f>_xll.BDH("NBIX US Equity","ARD_TOTAL_INTANGIBLE_ASSET_NET","FQ4 2021","FQ4 2021","Currency=USD","Period=FQ","BEST_FPERIOD_OVERRIDE=FQ","FILING_STATUS=MR","SCALING_FORMAT=MLN","Sort=A","Dates=H","DateFormat=P","Fill=—","Direction=H","UseDPDF=Y")</f>
        <v>—</v>
      </c>
      <c r="P18" s="13" t="str">
        <f>_xll.BDH("NBIX US Equity","ARD_TOTAL_INTANGIBLE_ASSET_NET","FQ1 2022","FQ1 2022","Currency=USD","Period=FQ","BEST_FPERIOD_OVERRIDE=FQ","FILING_STATUS=MR","SCALING_FORMAT=MLN","Sort=A","Dates=H","DateFormat=P","Fill=—","Direction=H","UseDPDF=Y")</f>
        <v>—</v>
      </c>
      <c r="Q18" s="13" t="str">
        <f>_xll.BDH("NBIX US Equity","ARD_TOTAL_INTANGIBLE_ASSET_NET","FQ2 2022","FQ2 2022","Currency=USD","Period=FQ","BEST_FPERIOD_OVERRIDE=FQ","FILING_STATUS=MR","SCALING_FORMAT=MLN","Sort=A","Dates=H","DateFormat=P","Fill=—","Direction=H","UseDPDF=Y")</f>
        <v>—</v>
      </c>
      <c r="R18" s="13" t="str">
        <f>_xll.BDH("NBIX US Equity","ARD_TOTAL_INTANGIBLE_ASSET_NET","FQ3 2022","FQ3 2022","Currency=USD","Period=FQ","BEST_FPERIOD_OVERRIDE=FQ","FILING_STATUS=MR","SCALING_FORMAT=MLN","Sort=A","Dates=H","DateFormat=P","Fill=—","Direction=H","UseDPDF=Y")</f>
        <v>—</v>
      </c>
      <c r="S18" s="13">
        <f>_xll.BDH("NBIX US Equity","ARD_TOTAL_INTANGIBLE_ASSET_NET","FQ4 2022","FQ4 2022","Currency=USD","Period=FQ","BEST_FPERIOD_OVERRIDE=FQ","FILING_STATUS=MR","SCALING_FORMAT=MLN","Sort=A","Dates=H","DateFormat=P","Fill=—","Direction=H","UseDPDF=Y")</f>
        <v>37.200000000000003</v>
      </c>
      <c r="T18" s="13">
        <f>_xll.BDH("NBIX US Equity","ARD_TOTAL_INTANGIBLE_ASSET_NET","FQ1 2023","FQ1 2023","Currency=USD","Period=FQ","BEST_FPERIOD_OVERRIDE=FQ","FILING_STATUS=MR","SCALING_FORMAT=MLN","Sort=A","Dates=H","DateFormat=P","Fill=—","Direction=H","UseDPDF=Y")</f>
        <v>37.200000000000003</v>
      </c>
      <c r="U18" s="13">
        <f>_xll.BDH("NBIX US Equity","ARD_TOTAL_INTANGIBLE_ASSET_NET","FQ2 2023","FQ2 2023","Currency=USD","Period=FQ","BEST_FPERIOD_OVERRIDE=FQ","FILING_STATUS=MR","SCALING_FORMAT=MLN","Sort=A","Dates=H","DateFormat=P","Fill=—","Direction=H","UseDPDF=Y")</f>
        <v>36.9</v>
      </c>
      <c r="V18" s="13">
        <f>_xll.BDH("NBIX US Equity","ARD_TOTAL_INTANGIBLE_ASSET_NET","FQ3 2023","FQ3 2023","Currency=USD","Period=FQ","BEST_FPERIOD_OVERRIDE=FQ","FILING_STATUS=MR","SCALING_FORMAT=MLN","Sort=A","Dates=H","DateFormat=P","Fill=—","Direction=H","UseDPDF=Y")</f>
        <v>34.9</v>
      </c>
      <c r="W18" s="13">
        <f>_xll.BDH("NBIX US Equity","ARD_TOTAL_INTANGIBLE_ASSET_NET","FQ4 2023","FQ4 2023","Currency=USD","Period=FQ","BEST_FPERIOD_OVERRIDE=FQ","FILING_STATUS=MR","SCALING_FORMAT=MLN","Sort=A","Dates=H","DateFormat=P","Fill=—","Direction=H","UseDPDF=Y")</f>
        <v>35.5</v>
      </c>
      <c r="X18" s="13">
        <f>_xll.BDH("NBIX US Equity","ARD_TOTAL_INTANGIBLE_ASSET_NET","FQ1 2024","FQ1 2024","Currency=USD","Period=FQ","BEST_FPERIOD_OVERRIDE=FQ","FILING_STATUS=MR","SCALING_FORMAT=MLN","Sort=A","Dates=H","DateFormat=P","Fill=—","Direction=H","UseDPDF=Y")</f>
        <v>34.299999999999997</v>
      </c>
      <c r="Y18" s="13">
        <f>_xll.BDH("NBIX US Equity","ARD_TOTAL_INTANGIBLE_ASSET_NET","FQ2 2024","FQ2 2024","Currency=USD","Period=FQ","BEST_FPERIOD_OVERRIDE=FQ","FILING_STATUS=MR","SCALING_FORMAT=MLN","Sort=A","Dates=H","DateFormat=P","Fill=—","Direction=H","UseDPDF=Y")</f>
        <v>33.5</v>
      </c>
      <c r="Z18" s="13">
        <f>_xll.BDH("NBIX US Equity","ARD_TOTAL_INTANGIBLE_ASSET_NET","FQ3 2024","FQ3 2024","Currency=USD","Period=FQ","BEST_FPERIOD_OVERRIDE=FQ","FILING_STATUS=MR","SCALING_FORMAT=MLN","Sort=A","Dates=H","DateFormat=P","Fill=—","Direction=H","UseDPDF=Y")</f>
        <v>34.5</v>
      </c>
      <c r="AA18" s="13">
        <f>_xll.BDH("NBIX US Equity","ARD_TOTAL_INTANGIBLE_ASSET_NET","FQ4 2024","FQ4 2024","Currency=USD","Period=FQ","BEST_FPERIOD_OVERRIDE=FQ","FILING_STATUS=MR","SCALING_FORMAT=MLN","Sort=A","Dates=H","DateFormat=P","Fill=—","Direction=H","UseDPDF=Y")</f>
        <v>36.5</v>
      </c>
    </row>
    <row r="19" spans="1:27" x14ac:dyDescent="0.25">
      <c r="A19" s="10" t="s">
        <v>836</v>
      </c>
      <c r="B19" s="10" t="s">
        <v>837</v>
      </c>
      <c r="C19" s="13">
        <f>_xll.BDH("NBIX US Equity","ARD_RESTRICTED_CASH_INVEST_LT","FQ4 2018","FQ4 2018","Currency=USD","Period=FQ","BEST_FPERIOD_OVERRIDE=FQ","FILING_STATUS=MR","SCALING_FORMAT=MLN","Sort=A","Dates=H","DateFormat=P","Fill=—","Direction=H","UseDPDF=Y")</f>
        <v>5.4770000000000003</v>
      </c>
      <c r="D19" s="13">
        <f>_xll.BDH("NBIX US Equity","ARD_RESTRICTED_CASH_INVEST_LT","FQ1 2019","FQ1 2019","Currency=USD","Period=FQ","BEST_FPERIOD_OVERRIDE=FQ","FILING_STATUS=MR","SCALING_FORMAT=MLN","Sort=A","Dates=H","DateFormat=P","Fill=—","Direction=H","UseDPDF=Y")</f>
        <v>5.4770000000000003</v>
      </c>
      <c r="E19" s="13">
        <f>_xll.BDH("NBIX US Equity","ARD_RESTRICTED_CASH_INVEST_LT","FQ2 2019","FQ2 2019","Currency=USD","Period=FQ","BEST_FPERIOD_OVERRIDE=FQ","FILING_STATUS=MR","SCALING_FORMAT=MLN","Sort=A","Dates=H","DateFormat=P","Fill=—","Direction=H","UseDPDF=Y")</f>
        <v>5.4770000000000003</v>
      </c>
      <c r="F19" s="13">
        <f>_xll.BDH("NBIX US Equity","ARD_RESTRICTED_CASH_INVEST_LT","FQ3 2019","FQ3 2019","Currency=USD","Period=FQ","BEST_FPERIOD_OVERRIDE=FQ","FILING_STATUS=MR","SCALING_FORMAT=MLN","Sort=A","Dates=H","DateFormat=P","Fill=—","Direction=H","UseDPDF=Y")</f>
        <v>4.7060000000000004</v>
      </c>
      <c r="G19" s="13">
        <f>_xll.BDH("NBIX US Equity","ARD_RESTRICTED_CASH_INVEST_LT","FQ4 2019","FQ4 2019","Currency=USD","Period=FQ","BEST_FPERIOD_OVERRIDE=FQ","FILING_STATUS=MR","SCALING_FORMAT=MLN","Sort=A","Dates=H","DateFormat=P","Fill=—","Direction=H","UseDPDF=Y")</f>
        <v>3.2</v>
      </c>
      <c r="H19" s="13">
        <f>_xll.BDH("NBIX US Equity","ARD_RESTRICTED_CASH_INVEST_LT","FQ1 2020","FQ1 2020","Currency=USD","Period=FQ","BEST_FPERIOD_OVERRIDE=FQ","FILING_STATUS=MR","SCALING_FORMAT=MLN","Sort=A","Dates=H","DateFormat=P","Fill=—","Direction=H","UseDPDF=Y")</f>
        <v>3.2</v>
      </c>
      <c r="I19" s="13">
        <f>_xll.BDH("NBIX US Equity","ARD_RESTRICTED_CASH_INVEST_LT","FQ2 2020","FQ2 2020","Currency=USD","Period=FQ","BEST_FPERIOD_OVERRIDE=FQ","FILING_STATUS=MR","SCALING_FORMAT=MLN","Sort=A","Dates=H","DateFormat=P","Fill=—","Direction=H","UseDPDF=Y")</f>
        <v>3.2</v>
      </c>
      <c r="J19" s="13">
        <f>_xll.BDH("NBIX US Equity","ARD_RESTRICTED_CASH_INVEST_LT","FQ3 2020","FQ3 2020","Currency=USD","Period=FQ","BEST_FPERIOD_OVERRIDE=FQ","FILING_STATUS=MR","SCALING_FORMAT=MLN","Sort=A","Dates=H","DateFormat=P","Fill=—","Direction=H","UseDPDF=Y")</f>
        <v>3.2</v>
      </c>
      <c r="K19" s="13">
        <f>_xll.BDH("NBIX US Equity","ARD_RESTRICTED_CASH_INVEST_LT","FQ4 2020","FQ4 2020","Currency=USD","Period=FQ","BEST_FPERIOD_OVERRIDE=FQ","FILING_STATUS=MR","SCALING_FORMAT=MLN","Sort=A","Dates=H","DateFormat=P","Fill=—","Direction=H","UseDPDF=Y")</f>
        <v>3.2</v>
      </c>
      <c r="L19" s="13">
        <f>_xll.BDH("NBIX US Equity","ARD_RESTRICTED_CASH_INVEST_LT","FQ1 2021","FQ1 2021","Currency=USD","Period=FQ","BEST_FPERIOD_OVERRIDE=FQ","FILING_STATUS=MR","SCALING_FORMAT=MLN","Sort=A","Dates=H","DateFormat=P","Fill=—","Direction=H","UseDPDF=Y")</f>
        <v>3.2</v>
      </c>
      <c r="M19" s="13">
        <f>_xll.BDH("NBIX US Equity","ARD_RESTRICTED_CASH_INVEST_LT","FQ2 2021","FQ2 2021","Currency=USD","Period=FQ","BEST_FPERIOD_OVERRIDE=FQ","FILING_STATUS=MR","SCALING_FORMAT=MLN","Sort=A","Dates=H","DateFormat=P","Fill=—","Direction=H","UseDPDF=Y")</f>
        <v>3.2</v>
      </c>
      <c r="N19" s="13">
        <f>_xll.BDH("NBIX US Equity","ARD_RESTRICTED_CASH_INVEST_LT","FQ3 2021","FQ3 2021","Currency=USD","Period=FQ","BEST_FPERIOD_OVERRIDE=FQ","FILING_STATUS=MR","SCALING_FORMAT=MLN","Sort=A","Dates=H","DateFormat=P","Fill=—","Direction=H","UseDPDF=Y")</f>
        <v>3.2</v>
      </c>
      <c r="O19" s="13" t="str">
        <f>_xll.BDH("NBIX US Equity","ARD_RESTRICTED_CASH_INVEST_LT","FQ4 2021","FQ4 2021","Currency=USD","Period=FQ","BEST_FPERIOD_OVERRIDE=FQ","FILING_STATUS=MR","SCALING_FORMAT=MLN","Sort=A","Dates=H","DateFormat=P","Fill=—","Direction=H","UseDPDF=Y")</f>
        <v>—</v>
      </c>
      <c r="P19" s="13" t="str">
        <f>_xll.BDH("NBIX US Equity","ARD_RESTRICTED_CASH_INVEST_LT","FQ1 2022","FQ1 2022","Currency=USD","Period=FQ","BEST_FPERIOD_OVERRIDE=FQ","FILING_STATUS=MR","SCALING_FORMAT=MLN","Sort=A","Dates=H","DateFormat=P","Fill=—","Direction=H","UseDPDF=Y")</f>
        <v>—</v>
      </c>
      <c r="Q19" s="13" t="str">
        <f>_xll.BDH("NBIX US Equity","ARD_RESTRICTED_CASH_INVEST_LT","FQ2 2022","FQ2 2022","Currency=USD","Period=FQ","BEST_FPERIOD_OVERRIDE=FQ","FILING_STATUS=MR","SCALING_FORMAT=MLN","Sort=A","Dates=H","DateFormat=P","Fill=—","Direction=H","UseDPDF=Y")</f>
        <v>—</v>
      </c>
      <c r="R19" s="13" t="str">
        <f>_xll.BDH("NBIX US Equity","ARD_RESTRICTED_CASH_INVEST_LT","FQ3 2022","FQ3 2022","Currency=USD","Period=FQ","BEST_FPERIOD_OVERRIDE=FQ","FILING_STATUS=MR","SCALING_FORMAT=MLN","Sort=A","Dates=H","DateFormat=P","Fill=—","Direction=H","UseDPDF=Y")</f>
        <v>—</v>
      </c>
      <c r="S19" s="13" t="str">
        <f>_xll.BDH("NBIX US Equity","ARD_RESTRICTED_CASH_INVEST_LT","FQ4 2022","FQ4 2022","Currency=USD","Period=FQ","BEST_FPERIOD_OVERRIDE=FQ","FILING_STATUS=MR","SCALING_FORMAT=MLN","Sort=A","Dates=H","DateFormat=P","Fill=—","Direction=H","UseDPDF=Y")</f>
        <v>—</v>
      </c>
      <c r="T19" s="13" t="str">
        <f>_xll.BDH("NBIX US Equity","ARD_RESTRICTED_CASH_INVEST_LT","FQ1 2023","FQ1 2023","Currency=USD","Period=FQ","BEST_FPERIOD_OVERRIDE=FQ","FILING_STATUS=MR","SCALING_FORMAT=MLN","Sort=A","Dates=H","DateFormat=P","Fill=—","Direction=H","UseDPDF=Y")</f>
        <v>—</v>
      </c>
      <c r="U19" s="13" t="str">
        <f>_xll.BDH("NBIX US Equity","ARD_RESTRICTED_CASH_INVEST_LT","FQ2 2023","FQ2 2023","Currency=USD","Period=FQ","BEST_FPERIOD_OVERRIDE=FQ","FILING_STATUS=MR","SCALING_FORMAT=MLN","Sort=A","Dates=H","DateFormat=P","Fill=—","Direction=H","UseDPDF=Y")</f>
        <v>—</v>
      </c>
      <c r="V19" s="13">
        <f>_xll.BDH("NBIX US Equity","ARD_RESTRICTED_CASH_INVEST_LT","FQ3 2023","FQ3 2023","Currency=USD","Period=FQ","BEST_FPERIOD_OVERRIDE=FQ","FILING_STATUS=MR","SCALING_FORMAT=MLN","Sort=A","Dates=H","DateFormat=P","Fill=—","Direction=H","UseDPDF=Y")</f>
        <v>43.1</v>
      </c>
      <c r="W19" s="13">
        <f>_xll.BDH("NBIX US Equity","ARD_RESTRICTED_CASH_INVEST_LT","FQ4 2023","FQ4 2023","Currency=USD","Period=FQ","BEST_FPERIOD_OVERRIDE=FQ","FILING_STATUS=MR","SCALING_FORMAT=MLN","Sort=A","Dates=H","DateFormat=P","Fill=—","Direction=H","UseDPDF=Y")</f>
        <v>49.6</v>
      </c>
      <c r="X19" s="13">
        <f>_xll.BDH("NBIX US Equity","ARD_RESTRICTED_CASH_INVEST_LT","FQ1 2024","FQ1 2024","Currency=USD","Period=FQ","BEST_FPERIOD_OVERRIDE=FQ","FILING_STATUS=MR","SCALING_FORMAT=MLN","Sort=A","Dates=H","DateFormat=P","Fill=—","Direction=H","UseDPDF=Y")</f>
        <v>50.9</v>
      </c>
      <c r="Y19" s="13" t="str">
        <f>_xll.BDH("NBIX US Equity","ARD_RESTRICTED_CASH_INVEST_LT","FQ2 2024","FQ2 2024","Currency=USD","Period=FQ","BEST_FPERIOD_OVERRIDE=FQ","FILING_STATUS=MR","SCALING_FORMAT=MLN","Sort=A","Dates=H","DateFormat=P","Fill=—","Direction=H","UseDPDF=Y")</f>
        <v>—</v>
      </c>
      <c r="Z19" s="13">
        <f>_xll.BDH("NBIX US Equity","ARD_RESTRICTED_CASH_INVEST_LT","FQ3 2024","FQ3 2024","Currency=USD","Period=FQ","BEST_FPERIOD_OVERRIDE=FQ","FILING_STATUS=MR","SCALING_FORMAT=MLN","Sort=A","Dates=H","DateFormat=P","Fill=—","Direction=H","UseDPDF=Y")</f>
        <v>61.6</v>
      </c>
      <c r="AA19" s="13" t="str">
        <f>_xll.BDH("NBIX US Equity","ARD_RESTRICTED_CASH_INVEST_LT","FQ4 2024","FQ4 2024","Currency=USD","Period=FQ","BEST_FPERIOD_OVERRIDE=FQ","FILING_STATUS=MR","SCALING_FORMAT=MLN","Sort=A","Dates=H","DateFormat=P","Fill=—","Direction=H","UseDPDF=Y")</f>
        <v>—</v>
      </c>
    </row>
    <row r="20" spans="1:27" x14ac:dyDescent="0.25">
      <c r="A20" s="10" t="s">
        <v>838</v>
      </c>
      <c r="B20" s="10" t="s">
        <v>839</v>
      </c>
      <c r="C20" s="13" t="str">
        <f>_xll.BDH("NBIX US Equity","ARD_OTHER_NONCURRENT_ASSET","FQ4 2018","FQ4 2018","Currency=USD","Period=FQ","BEST_FPERIOD_OVERRIDE=FQ","FILING_STATUS=MR","SCALING_FORMAT=MLN","Sort=A","Dates=H","DateFormat=P","Fill=—","Direction=H","UseDPDF=Y")</f>
        <v>—</v>
      </c>
      <c r="D20" s="13">
        <f>_xll.BDH("NBIX US Equity","ARD_OTHER_NONCURRENT_ASSET","FQ1 2019","FQ1 2019","Currency=USD","Period=FQ","BEST_FPERIOD_OVERRIDE=FQ","FILING_STATUS=MR","SCALING_FORMAT=MLN","Sort=A","Dates=H","DateFormat=P","Fill=—","Direction=H","UseDPDF=Y")</f>
        <v>56.4</v>
      </c>
      <c r="E20" s="13">
        <f>_xll.BDH("NBIX US Equity","ARD_OTHER_NONCURRENT_ASSET","FQ2 2019","FQ2 2019","Currency=USD","Period=FQ","BEST_FPERIOD_OVERRIDE=FQ","FILING_STATUS=MR","SCALING_FORMAT=MLN","Sort=A","Dates=H","DateFormat=P","Fill=—","Direction=H","UseDPDF=Y")</f>
        <v>77.364999999999995</v>
      </c>
      <c r="F20" s="13">
        <f>_xll.BDH("NBIX US Equity","ARD_OTHER_NONCURRENT_ASSET","FQ3 2019","FQ3 2019","Currency=USD","Period=FQ","BEST_FPERIOD_OVERRIDE=FQ","FILING_STATUS=MR","SCALING_FORMAT=MLN","Sort=A","Dates=H","DateFormat=P","Fill=—","Direction=H","UseDPDF=Y")</f>
        <v>48.914999999999999</v>
      </c>
      <c r="G20" s="13">
        <f>_xll.BDH("NBIX US Equity","ARD_OTHER_NONCURRENT_ASSET","FQ4 2019","FQ4 2019","Currency=USD","Period=FQ","BEST_FPERIOD_OVERRIDE=FQ","FILING_STATUS=MR","SCALING_FORMAT=MLN","Sort=A","Dates=H","DateFormat=P","Fill=—","Direction=H","UseDPDF=Y")</f>
        <v>55.9</v>
      </c>
      <c r="H20" s="13">
        <f>_xll.BDH("NBIX US Equity","ARD_OTHER_NONCURRENT_ASSET","FQ1 2020","FQ1 2020","Currency=USD","Period=FQ","BEST_FPERIOD_OVERRIDE=FQ","FILING_STATUS=MR","SCALING_FORMAT=MLN","Sort=A","Dates=H","DateFormat=P","Fill=—","Direction=H","UseDPDF=Y")</f>
        <v>39.4</v>
      </c>
      <c r="I20" s="13">
        <f>_xll.BDH("NBIX US Equity","ARD_OTHER_NONCURRENT_ASSET","FQ2 2020","FQ2 2020","Currency=USD","Period=FQ","BEST_FPERIOD_OVERRIDE=FQ","FILING_STATUS=MR","SCALING_FORMAT=MLN","Sort=A","Dates=H","DateFormat=P","Fill=—","Direction=H","UseDPDF=Y")</f>
        <v>54.3</v>
      </c>
      <c r="J20" s="13">
        <f>_xll.BDH("NBIX US Equity","ARD_OTHER_NONCURRENT_ASSET","FQ3 2020","FQ3 2020","Currency=USD","Period=FQ","BEST_FPERIOD_OVERRIDE=FQ","FILING_STATUS=MR","SCALING_FORMAT=MLN","Sort=A","Dates=H","DateFormat=P","Fill=—","Direction=H","UseDPDF=Y")</f>
        <v>47.1</v>
      </c>
      <c r="K20" s="13">
        <f>_xll.BDH("NBIX US Equity","ARD_OTHER_NONCURRENT_ASSET","FQ4 2020","FQ4 2020","Currency=USD","Period=FQ","BEST_FPERIOD_OVERRIDE=FQ","FILING_STATUS=MR","SCALING_FORMAT=MLN","Sort=A","Dates=H","DateFormat=P","Fill=—","Direction=H","UseDPDF=Y")</f>
        <v>41.4</v>
      </c>
      <c r="L20" s="13">
        <f>_xll.BDH("NBIX US Equity","ARD_OTHER_NONCURRENT_ASSET","FQ1 2021","FQ1 2021","Currency=USD","Period=FQ","BEST_FPERIOD_OVERRIDE=FQ","FILING_STATUS=MR","SCALING_FORMAT=MLN","Sort=A","Dates=H","DateFormat=P","Fill=—","Direction=H","UseDPDF=Y")</f>
        <v>40.299999999999997</v>
      </c>
      <c r="M20" s="13">
        <f>_xll.BDH("NBIX US Equity","ARD_OTHER_NONCURRENT_ASSET","FQ2 2021","FQ2 2021","Currency=USD","Period=FQ","BEST_FPERIOD_OVERRIDE=FQ","FILING_STATUS=MR","SCALING_FORMAT=MLN","Sort=A","Dates=H","DateFormat=P","Fill=—","Direction=H","UseDPDF=Y")</f>
        <v>38.9</v>
      </c>
      <c r="N20" s="13">
        <f>_xll.BDH("NBIX US Equity","ARD_OTHER_NONCURRENT_ASSET","FQ3 2021","FQ3 2021","Currency=USD","Period=FQ","BEST_FPERIOD_OVERRIDE=FQ","FILING_STATUS=MR","SCALING_FORMAT=MLN","Sort=A","Dates=H","DateFormat=P","Fill=—","Direction=H","UseDPDF=Y")</f>
        <v>35.299999999999997</v>
      </c>
      <c r="O20" s="13">
        <f>_xll.BDH("NBIX US Equity","ARD_OTHER_NONCURRENT_ASSET","FQ4 2021","FQ4 2021","Currency=USD","Period=FQ","BEST_FPERIOD_OVERRIDE=FQ","FILING_STATUS=MR","SCALING_FORMAT=MLN","Sort=A","Dates=H","DateFormat=P","Fill=—","Direction=H","UseDPDF=Y")</f>
        <v>68.099999999999994</v>
      </c>
      <c r="P20" s="13">
        <f>_xll.BDH("NBIX US Equity","ARD_OTHER_NONCURRENT_ASSET","FQ1 2022","FQ1 2022","Currency=USD","Period=FQ","BEST_FPERIOD_OVERRIDE=FQ","FILING_STATUS=MR","SCALING_FORMAT=MLN","Sort=A","Dates=H","DateFormat=P","Fill=—","Direction=H","UseDPDF=Y")</f>
        <v>101.4</v>
      </c>
      <c r="Q20" s="13">
        <f>_xll.BDH("NBIX US Equity","ARD_OTHER_NONCURRENT_ASSET","FQ2 2022","FQ2 2022","Currency=USD","Period=FQ","BEST_FPERIOD_OVERRIDE=FQ","FILING_STATUS=MR","SCALING_FORMAT=MLN","Sort=A","Dates=H","DateFormat=P","Fill=—","Direction=H","UseDPDF=Y")</f>
        <v>93.8</v>
      </c>
      <c r="R20" s="13">
        <f>_xll.BDH("NBIX US Equity","ARD_OTHER_NONCURRENT_ASSET","FQ3 2022","FQ3 2022","Currency=USD","Period=FQ","BEST_FPERIOD_OVERRIDE=FQ","FILING_STATUS=MR","SCALING_FORMAT=MLN","Sort=A","Dates=H","DateFormat=P","Fill=—","Direction=H","UseDPDF=Y")</f>
        <v>105.4</v>
      </c>
      <c r="S20" s="13">
        <f>_xll.BDH("NBIX US Equity","ARD_OTHER_NONCURRENT_ASSET","FQ4 2022","FQ4 2022","Currency=USD","Period=FQ","BEST_FPERIOD_OVERRIDE=FQ","FILING_STATUS=MR","SCALING_FORMAT=MLN","Sort=A","Dates=H","DateFormat=P","Fill=—","Direction=H","UseDPDF=Y")</f>
        <v>127.1</v>
      </c>
      <c r="T20" s="13">
        <f>_xll.BDH("NBIX US Equity","ARD_OTHER_NONCURRENT_ASSET","FQ1 2023","FQ1 2023","Currency=USD","Period=FQ","BEST_FPERIOD_OVERRIDE=FQ","FILING_STATUS=MR","SCALING_FORMAT=MLN","Sort=A","Dates=H","DateFormat=P","Fill=—","Direction=H","UseDPDF=Y")</f>
        <v>160.6</v>
      </c>
      <c r="U20" s="13">
        <f>_xll.BDH("NBIX US Equity","ARD_OTHER_NONCURRENT_ASSET","FQ2 2023","FQ2 2023","Currency=USD","Period=FQ","BEST_FPERIOD_OVERRIDE=FQ","FILING_STATUS=MR","SCALING_FORMAT=MLN","Sort=A","Dates=H","DateFormat=P","Fill=—","Direction=H","UseDPDF=Y")</f>
        <v>208.9</v>
      </c>
      <c r="V20" s="13">
        <f>_xll.BDH("NBIX US Equity","ARD_OTHER_NONCURRENT_ASSET","FQ3 2023","FQ3 2023","Currency=USD","Period=FQ","BEST_FPERIOD_OVERRIDE=FQ","FILING_STATUS=MR","SCALING_FORMAT=MLN","Sort=A","Dates=H","DateFormat=P","Fill=—","Direction=H","UseDPDF=Y")</f>
        <v>132.80000000000001</v>
      </c>
      <c r="W20" s="13">
        <f>_xll.BDH("NBIX US Equity","ARD_OTHER_NONCURRENT_ASSET","FQ4 2023","FQ4 2023","Currency=USD","Period=FQ","BEST_FPERIOD_OVERRIDE=FQ","FILING_STATUS=MR","SCALING_FORMAT=MLN","Sort=A","Dates=H","DateFormat=P","Fill=—","Direction=H","UseDPDF=Y")</f>
        <v>161.9</v>
      </c>
      <c r="X20" s="13">
        <f>_xll.BDH("NBIX US Equity","ARD_OTHER_NONCURRENT_ASSET","FQ1 2024","FQ1 2024","Currency=USD","Period=FQ","BEST_FPERIOD_OVERRIDE=FQ","FILING_STATUS=MR","SCALING_FORMAT=MLN","Sort=A","Dates=H","DateFormat=P","Fill=—","Direction=H","UseDPDF=Y")</f>
        <v>163.5</v>
      </c>
      <c r="Y20" s="13">
        <f>_xll.BDH("NBIX US Equity","ARD_OTHER_NONCURRENT_ASSET","FQ2 2024","FQ2 2024","Currency=USD","Period=FQ","BEST_FPERIOD_OVERRIDE=FQ","FILING_STATUS=MR","SCALING_FORMAT=MLN","Sort=A","Dates=H","DateFormat=P","Fill=—","Direction=H","UseDPDF=Y")</f>
        <v>201.4</v>
      </c>
      <c r="Z20" s="13">
        <f>_xll.BDH("NBIX US Equity","ARD_OTHER_NONCURRENT_ASSET","FQ3 2024","FQ3 2024","Currency=USD","Period=FQ","BEST_FPERIOD_OVERRIDE=FQ","FILING_STATUS=MR","SCALING_FORMAT=MLN","Sort=A","Dates=H","DateFormat=P","Fill=—","Direction=H","UseDPDF=Y")</f>
        <v>126.7</v>
      </c>
      <c r="AA20" s="13">
        <f>_xll.BDH("NBIX US Equity","ARD_OTHER_NONCURRENT_ASSET","FQ4 2024","FQ4 2024","Currency=USD","Period=FQ","BEST_FPERIOD_OVERRIDE=FQ","FILING_STATUS=MR","SCALING_FORMAT=MLN","Sort=A","Dates=H","DateFormat=P","Fill=—","Direction=H","UseDPDF=Y")</f>
        <v>140.30000000000001</v>
      </c>
    </row>
    <row r="21" spans="1:27" x14ac:dyDescent="0.25">
      <c r="A21" s="10" t="s">
        <v>840</v>
      </c>
      <c r="B21" s="10" t="s">
        <v>841</v>
      </c>
      <c r="C21" s="13" t="str">
        <f>_xll.BDH("NBIX US Equity","ARD_TOTAL_NONCURRENT_ASSETS","FQ4 2018","FQ4 2018","Currency=USD","Period=FQ","BEST_FPERIOD_OVERRIDE=FQ","FILING_STATUS=MR","SCALING_FORMAT=MLN","Sort=A","Dates=H","DateFormat=P","Fill=—","Direction=H","UseDPDF=Y")</f>
        <v>—</v>
      </c>
      <c r="D21" s="13" t="str">
        <f>_xll.BDH("NBIX US Equity","ARD_TOTAL_NONCURRENT_ASSETS","FQ1 2019","FQ1 2019","Currency=USD","Period=FQ","BEST_FPERIOD_OVERRIDE=FQ","FILING_STATUS=MR","SCALING_FORMAT=MLN","Sort=A","Dates=H","DateFormat=P","Fill=—","Direction=H","UseDPDF=Y")</f>
        <v>—</v>
      </c>
      <c r="E21" s="13" t="str">
        <f>_xll.BDH("NBIX US Equity","ARD_TOTAL_NONCURRENT_ASSETS","FQ2 2019","FQ2 2019","Currency=USD","Period=FQ","BEST_FPERIOD_OVERRIDE=FQ","FILING_STATUS=MR","SCALING_FORMAT=MLN","Sort=A","Dates=H","DateFormat=P","Fill=—","Direction=H","UseDPDF=Y")</f>
        <v>—</v>
      </c>
      <c r="F21" s="13" t="str">
        <f>_xll.BDH("NBIX US Equity","ARD_TOTAL_NONCURRENT_ASSETS","FQ3 2019","FQ3 2019","Currency=USD","Period=FQ","BEST_FPERIOD_OVERRIDE=FQ","FILING_STATUS=MR","SCALING_FORMAT=MLN","Sort=A","Dates=H","DateFormat=P","Fill=—","Direction=H","UseDPDF=Y")</f>
        <v>—</v>
      </c>
      <c r="G21" s="13" t="str">
        <f>_xll.BDH("NBIX US Equity","ARD_TOTAL_NONCURRENT_ASSETS","FQ4 2019","FQ4 2019","Currency=USD","Period=FQ","BEST_FPERIOD_OVERRIDE=FQ","FILING_STATUS=MR","SCALING_FORMAT=MLN","Sort=A","Dates=H","DateFormat=P","Fill=—","Direction=H","UseDPDF=Y")</f>
        <v>—</v>
      </c>
      <c r="H21" s="13" t="str">
        <f>_xll.BDH("NBIX US Equity","ARD_TOTAL_NONCURRENT_ASSETS","FQ1 2020","FQ1 2020","Currency=USD","Period=FQ","BEST_FPERIOD_OVERRIDE=FQ","FILING_STATUS=MR","SCALING_FORMAT=MLN","Sort=A","Dates=H","DateFormat=P","Fill=—","Direction=H","UseDPDF=Y")</f>
        <v>—</v>
      </c>
      <c r="I21" s="13" t="str">
        <f>_xll.BDH("NBIX US Equity","ARD_TOTAL_NONCURRENT_ASSETS","FQ2 2020","FQ2 2020","Currency=USD","Period=FQ","BEST_FPERIOD_OVERRIDE=FQ","FILING_STATUS=MR","SCALING_FORMAT=MLN","Sort=A","Dates=H","DateFormat=P","Fill=—","Direction=H","UseDPDF=Y")</f>
        <v>—</v>
      </c>
      <c r="J21" s="13" t="str">
        <f>_xll.BDH("NBIX US Equity","ARD_TOTAL_NONCURRENT_ASSETS","FQ3 2020","FQ3 2020","Currency=USD","Period=FQ","BEST_FPERIOD_OVERRIDE=FQ","FILING_STATUS=MR","SCALING_FORMAT=MLN","Sort=A","Dates=H","DateFormat=P","Fill=—","Direction=H","UseDPDF=Y")</f>
        <v>—</v>
      </c>
      <c r="K21" s="13" t="str">
        <f>_xll.BDH("NBIX US Equity","ARD_TOTAL_NONCURRENT_ASSETS","FQ4 2020","FQ4 2020","Currency=USD","Period=FQ","BEST_FPERIOD_OVERRIDE=FQ","FILING_STATUS=MR","SCALING_FORMAT=MLN","Sort=A","Dates=H","DateFormat=P","Fill=—","Direction=H","UseDPDF=Y")</f>
        <v>—</v>
      </c>
      <c r="L21" s="13" t="str">
        <f>_xll.BDH("NBIX US Equity","ARD_TOTAL_NONCURRENT_ASSETS","FQ1 2021","FQ1 2021","Currency=USD","Period=FQ","BEST_FPERIOD_OVERRIDE=FQ","FILING_STATUS=MR","SCALING_FORMAT=MLN","Sort=A","Dates=H","DateFormat=P","Fill=—","Direction=H","UseDPDF=Y")</f>
        <v>—</v>
      </c>
      <c r="M21" s="13" t="str">
        <f>_xll.BDH("NBIX US Equity","ARD_TOTAL_NONCURRENT_ASSETS","FQ2 2021","FQ2 2021","Currency=USD","Period=FQ","BEST_FPERIOD_OVERRIDE=FQ","FILING_STATUS=MR","SCALING_FORMAT=MLN","Sort=A","Dates=H","DateFormat=P","Fill=—","Direction=H","UseDPDF=Y")</f>
        <v>—</v>
      </c>
      <c r="N21" s="13" t="str">
        <f>_xll.BDH("NBIX US Equity","ARD_TOTAL_NONCURRENT_ASSETS","FQ3 2021","FQ3 2021","Currency=USD","Period=FQ","BEST_FPERIOD_OVERRIDE=FQ","FILING_STATUS=MR","SCALING_FORMAT=MLN","Sort=A","Dates=H","DateFormat=P","Fill=—","Direction=H","UseDPDF=Y")</f>
        <v>—</v>
      </c>
      <c r="O21" s="13" t="str">
        <f>_xll.BDH("NBIX US Equity","ARD_TOTAL_NONCURRENT_ASSETS","FQ4 2021","FQ4 2021","Currency=USD","Period=FQ","BEST_FPERIOD_OVERRIDE=FQ","FILING_STATUS=MR","SCALING_FORMAT=MLN","Sort=A","Dates=H","DateFormat=P","Fill=—","Direction=H","UseDPDF=Y")</f>
        <v>—</v>
      </c>
      <c r="P21" s="13">
        <f>_xll.BDH("NBIX US Equity","ARD_TOTAL_NONCURRENT_ASSETS","FQ1 2022","FQ1 2022","Currency=USD","Period=FQ","BEST_FPERIOD_OVERRIDE=FQ","FILING_STATUS=MR","SCALING_FORMAT=MLN","Sort=A","Dates=H","DateFormat=P","Fill=—","Direction=H","UseDPDF=Y")</f>
        <v>1126.3</v>
      </c>
      <c r="Q21" s="13" t="str">
        <f>_xll.BDH("NBIX US Equity","ARD_TOTAL_NONCURRENT_ASSETS","FQ2 2022","FQ2 2022","Currency=USD","Period=FQ","BEST_FPERIOD_OVERRIDE=FQ","FILING_STATUS=MR","SCALING_FORMAT=MLN","Sort=A","Dates=H","DateFormat=P","Fill=—","Direction=H","UseDPDF=Y")</f>
        <v>—</v>
      </c>
      <c r="R21" s="13" t="str">
        <f>_xll.BDH("NBIX US Equity","ARD_TOTAL_NONCURRENT_ASSETS","FQ3 2022","FQ3 2022","Currency=USD","Period=FQ","BEST_FPERIOD_OVERRIDE=FQ","FILING_STATUS=MR","SCALING_FORMAT=MLN","Sort=A","Dates=H","DateFormat=P","Fill=—","Direction=H","UseDPDF=Y")</f>
        <v>—</v>
      </c>
      <c r="S21" s="13">
        <f>_xll.BDH("NBIX US Equity","ARD_TOTAL_NONCURRENT_ASSETS","FQ4 2022","FQ4 2022","Currency=USD","Period=FQ","BEST_FPERIOD_OVERRIDE=FQ","FILING_STATUS=MR","SCALING_FORMAT=MLN","Sort=A","Dates=H","DateFormat=P","Fill=—","Direction=H","UseDPDF=Y")</f>
        <v>915.2</v>
      </c>
      <c r="T21" s="13">
        <f>_xll.BDH("NBIX US Equity","ARD_TOTAL_NONCURRENT_ASSETS","FQ1 2023","FQ1 2023","Currency=USD","Period=FQ","BEST_FPERIOD_OVERRIDE=FQ","FILING_STATUS=MR","SCALING_FORMAT=MLN","Sort=A","Dates=H","DateFormat=P","Fill=—","Direction=H","UseDPDF=Y")</f>
        <v>927</v>
      </c>
      <c r="U21" s="13">
        <f>_xll.BDH("NBIX US Equity","ARD_TOTAL_NONCURRENT_ASSETS","FQ2 2023","FQ2 2023","Currency=USD","Period=FQ","BEST_FPERIOD_OVERRIDE=FQ","FILING_STATUS=MR","SCALING_FORMAT=MLN","Sort=A","Dates=H","DateFormat=P","Fill=—","Direction=H","UseDPDF=Y")</f>
        <v>1116.5</v>
      </c>
      <c r="V21" s="13">
        <f>_xll.BDH("NBIX US Equity","ARD_TOTAL_NONCURRENT_ASSETS","FQ3 2023","FQ3 2023","Currency=USD","Period=FQ","BEST_FPERIOD_OVERRIDE=FQ","FILING_STATUS=MR","SCALING_FORMAT=MLN","Sort=A","Dates=H","DateFormat=P","Fill=—","Direction=H","UseDPDF=Y")</f>
        <v>1198.3</v>
      </c>
      <c r="W21" s="13">
        <f>_xll.BDH("NBIX US Equity","ARD_TOTAL_NONCURRENT_ASSETS","FQ4 2023","FQ4 2023","Currency=USD","Period=FQ","BEST_FPERIOD_OVERRIDE=FQ","FILING_STATUS=MR","SCALING_FORMAT=MLN","Sort=A","Dates=H","DateFormat=P","Fill=—","Direction=H","UseDPDF=Y")</f>
        <v>1644.4</v>
      </c>
      <c r="X21" s="13">
        <f>_xll.BDH("NBIX US Equity","ARD_TOTAL_NONCURRENT_ASSETS","FQ1 2024","FQ1 2024","Currency=USD","Period=FQ","BEST_FPERIOD_OVERRIDE=FQ","FILING_STATUS=MR","SCALING_FORMAT=MLN","Sort=A","Dates=H","DateFormat=P","Fill=—","Direction=H","UseDPDF=Y")</f>
        <v>1673.4</v>
      </c>
      <c r="Y21" s="13" t="str">
        <f>_xll.BDH("NBIX US Equity","ARD_TOTAL_NONCURRENT_ASSETS","FQ2 2024","FQ2 2024","Currency=USD","Period=FQ","BEST_FPERIOD_OVERRIDE=FQ","FILING_STATUS=MR","SCALING_FORMAT=MLN","Sort=A","Dates=H","DateFormat=P","Fill=—","Direction=H","UseDPDF=Y")</f>
        <v>—</v>
      </c>
      <c r="Z21" s="13" t="str">
        <f>_xll.BDH("NBIX US Equity","ARD_TOTAL_NONCURRENT_ASSETS","FQ3 2024","FQ3 2024","Currency=USD","Period=FQ","BEST_FPERIOD_OVERRIDE=FQ","FILING_STATUS=MR","SCALING_FORMAT=MLN","Sort=A","Dates=H","DateFormat=P","Fill=—","Direction=H","UseDPDF=Y")</f>
        <v>—</v>
      </c>
      <c r="AA21" s="13" t="str">
        <f>_xll.BDH("NBIX US Equity","ARD_TOTAL_NONCURRENT_ASSETS","FQ4 2024","FQ4 2024","Currency=USD","Period=FQ","BEST_FPERIOD_OVERRIDE=FQ","FILING_STATUS=MR","SCALING_FORMAT=MLN","Sort=A","Dates=H","DateFormat=P","Fill=—","Direction=H","UseDPDF=Y")</f>
        <v>—</v>
      </c>
    </row>
    <row r="22" spans="1:27" x14ac:dyDescent="0.25">
      <c r="A22" s="6" t="s">
        <v>112</v>
      </c>
      <c r="B22" s="6" t="s">
        <v>842</v>
      </c>
      <c r="C22" s="19">
        <f>_xll.BDH("NBIX US Equity","ARD_TOT_ASSETS","FQ4 2018","FQ4 2018","Currency=USD","Period=FQ","BEST_FPERIOD_OVERRIDE=FQ","FILING_STATUS=MR","SCALING_FORMAT=MLN","Sort=A","Dates=H","DateFormat=P","Fill=—","Direction=H","UseDPDF=Y")</f>
        <v>993.15099999999995</v>
      </c>
      <c r="D22" s="19">
        <f>_xll.BDH("NBIX US Equity","ARD_TOT_ASSETS","FQ1 2019","FQ1 2019","Currency=USD","Period=FQ","BEST_FPERIOD_OVERRIDE=FQ","FILING_STATUS=MR","SCALING_FORMAT=MLN","Sort=A","Dates=H","DateFormat=P","Fill=—","Direction=H","UseDPDF=Y")</f>
        <v>957.72299999999996</v>
      </c>
      <c r="E22" s="19">
        <f>_xll.BDH("NBIX US Equity","ARD_TOT_ASSETS","FQ2 2019","FQ2 2019","Currency=USD","Period=FQ","BEST_FPERIOD_OVERRIDE=FQ","FILING_STATUS=MR","SCALING_FORMAT=MLN","Sort=A","Dates=H","DateFormat=P","Fill=—","Direction=H","UseDPDF=Y")</f>
        <v>1066.8610000000001</v>
      </c>
      <c r="F22" s="19">
        <f>_xll.BDH("NBIX US Equity","ARD_TOT_ASSETS","FQ3 2019","FQ3 2019","Currency=USD","Period=FQ","BEST_FPERIOD_OVERRIDE=FQ","FILING_STATUS=MR","SCALING_FORMAT=MLN","Sort=A","Dates=H","DateFormat=P","Fill=—","Direction=H","UseDPDF=Y")</f>
        <v>1179.9349999999999</v>
      </c>
      <c r="G22" s="19">
        <f>_xll.BDH("NBIX US Equity","ARD_TOT_ASSETS","FQ4 2019","FQ4 2019","Currency=USD","Period=FQ","BEST_FPERIOD_OVERRIDE=FQ","FILING_STATUS=MR","SCALING_FORMAT=MLN","Sort=A","Dates=H","DateFormat=P","Fill=—","Direction=H","UseDPDF=Y")</f>
        <v>1306</v>
      </c>
      <c r="H22" s="19">
        <f>_xll.BDH("NBIX US Equity","ARD_TOT_ASSETS","FQ1 2020","FQ1 2020","Currency=USD","Period=FQ","BEST_FPERIOD_OVERRIDE=FQ","FILING_STATUS=MR","SCALING_FORMAT=MLN","Sort=A","Dates=H","DateFormat=P","Fill=—","Direction=H","UseDPDF=Y")</f>
        <v>1361.9</v>
      </c>
      <c r="I22" s="19">
        <f>_xll.BDH("NBIX US Equity","ARD_TOT_ASSETS","FQ2 2020","FQ2 2020","Currency=USD","Period=FQ","BEST_FPERIOD_OVERRIDE=FQ","FILING_STATUS=MR","SCALING_FORMAT=MLN","Sort=A","Dates=H","DateFormat=P","Fill=—","Direction=H","UseDPDF=Y")</f>
        <v>1515.6</v>
      </c>
      <c r="J22" s="19">
        <f>_xll.BDH("NBIX US Equity","ARD_TOT_ASSETS","FQ3 2020","FQ3 2020","Currency=USD","Period=FQ","BEST_FPERIOD_OVERRIDE=FQ","FILING_STATUS=MR","SCALING_FORMAT=MLN","Sort=A","Dates=H","DateFormat=P","Fill=—","Direction=H","UseDPDF=Y")</f>
        <v>1502.6</v>
      </c>
      <c r="K22" s="19">
        <f>_xll.BDH("NBIX US Equity","ARD_TOT_ASSETS","FQ4 2020","FQ4 2020","Currency=USD","Period=FQ","BEST_FPERIOD_OVERRIDE=FQ","FILING_STATUS=MR","SCALING_FORMAT=MLN","Sort=A","Dates=H","DateFormat=P","Fill=—","Direction=H","UseDPDF=Y")</f>
        <v>1734.7</v>
      </c>
      <c r="L22" s="19">
        <f>_xll.BDH("NBIX US Equity","ARD_TOT_ASSETS","FQ1 2021","FQ1 2021","Currency=USD","Period=FQ","BEST_FPERIOD_OVERRIDE=FQ","FILING_STATUS=MR","SCALING_FORMAT=MLN","Sort=A","Dates=H","DateFormat=P","Fill=—","Direction=H","UseDPDF=Y")</f>
        <v>1846.4</v>
      </c>
      <c r="M22" s="19">
        <f>_xll.BDH("NBIX US Equity","ARD_TOT_ASSETS","FQ2 2021","FQ2 2021","Currency=USD","Period=FQ","BEST_FPERIOD_OVERRIDE=FQ","FILING_STATUS=MR","SCALING_FORMAT=MLN","Sort=A","Dates=H","DateFormat=P","Fill=—","Direction=H","UseDPDF=Y")</f>
        <v>1956.4</v>
      </c>
      <c r="N22" s="19">
        <f>_xll.BDH("NBIX US Equity","ARD_TOT_ASSETS","FQ3 2021","FQ3 2021","Currency=USD","Period=FQ","BEST_FPERIOD_OVERRIDE=FQ","FILING_STATUS=MR","SCALING_FORMAT=MLN","Sort=A","Dates=H","DateFormat=P","Fill=—","Direction=H","UseDPDF=Y")</f>
        <v>2017.3</v>
      </c>
      <c r="O22" s="19">
        <f>_xll.BDH("NBIX US Equity","ARD_TOT_ASSETS","FQ4 2021","FQ4 2021","Currency=USD","Period=FQ","BEST_FPERIOD_OVERRIDE=FQ","FILING_STATUS=MR","SCALING_FORMAT=MLN","Sort=A","Dates=H","DateFormat=P","Fill=—","Direction=H","UseDPDF=Y")</f>
        <v>2072.5</v>
      </c>
      <c r="P22" s="19">
        <f>_xll.BDH("NBIX US Equity","ARD_TOT_ASSETS","FQ1 2022","FQ1 2022","Currency=USD","Period=FQ","BEST_FPERIOD_OVERRIDE=FQ","FILING_STATUS=MR","SCALING_FORMAT=MLN","Sort=A","Dates=H","DateFormat=P","Fill=—","Direction=H","UseDPDF=Y")</f>
        <v>2144.5</v>
      </c>
      <c r="Q22" s="19">
        <f>_xll.BDH("NBIX US Equity","ARD_TOT_ASSETS","FQ2 2022","FQ2 2022","Currency=USD","Period=FQ","BEST_FPERIOD_OVERRIDE=FQ","FILING_STATUS=MR","SCALING_FORMAT=MLN","Sort=A","Dates=H","DateFormat=P","Fill=—","Direction=H","UseDPDF=Y")</f>
        <v>2005.7</v>
      </c>
      <c r="R22" s="19">
        <f>_xll.BDH("NBIX US Equity","ARD_TOT_ASSETS","FQ3 2022","FQ3 2022","Currency=USD","Period=FQ","BEST_FPERIOD_OVERRIDE=FQ","FILING_STATUS=MR","SCALING_FORMAT=MLN","Sort=A","Dates=H","DateFormat=P","Fill=—","Direction=H","UseDPDF=Y")</f>
        <v>2143.4</v>
      </c>
      <c r="S22" s="19">
        <f>_xll.BDH("NBIX US Equity","ARD_TOT_ASSETS","FQ4 2022","FQ4 2022","Currency=USD","Period=FQ","BEST_FPERIOD_OVERRIDE=FQ","FILING_STATUS=MR","SCALING_FORMAT=MLN","Sort=A","Dates=H","DateFormat=P","Fill=—","Direction=H","UseDPDF=Y")</f>
        <v>2368.6999999999998</v>
      </c>
      <c r="T22" s="19">
        <f>_xll.BDH("NBIX US Equity","ARD_TOT_ASSETS","FQ1 2023","FQ1 2023","Currency=USD","Period=FQ","BEST_FPERIOD_OVERRIDE=FQ","FILING_STATUS=MR","SCALING_FORMAT=MLN","Sort=A","Dates=H","DateFormat=P","Fill=—","Direction=H","UseDPDF=Y")</f>
        <v>2359.8000000000002</v>
      </c>
      <c r="U22" s="19">
        <f>_xll.BDH("NBIX US Equity","ARD_TOT_ASSETS","FQ2 2023","FQ2 2023","Currency=USD","Period=FQ","BEST_FPERIOD_OVERRIDE=FQ","FILING_STATUS=MR","SCALING_FORMAT=MLN","Sort=A","Dates=H","DateFormat=P","Fill=—","Direction=H","UseDPDF=Y")</f>
        <v>2613.1</v>
      </c>
      <c r="V22" s="19">
        <f>_xll.BDH("NBIX US Equity","ARD_TOT_ASSETS","FQ3 2023","FQ3 2023","Currency=USD","Period=FQ","BEST_FPERIOD_OVERRIDE=FQ","FILING_STATUS=MR","SCALING_FORMAT=MLN","Sort=A","Dates=H","DateFormat=P","Fill=—","Direction=H","UseDPDF=Y")</f>
        <v>2848.2</v>
      </c>
      <c r="W22" s="19">
        <f>_xll.BDH("NBIX US Equity","ARD_TOT_ASSETS","FQ4 2023","FQ4 2023","Currency=USD","Period=FQ","BEST_FPERIOD_OVERRIDE=FQ","FILING_STATUS=MR","SCALING_FORMAT=MLN","Sort=A","Dates=H","DateFormat=P","Fill=—","Direction=H","UseDPDF=Y")</f>
        <v>3251.4</v>
      </c>
      <c r="X22" s="19">
        <f>_xll.BDH("NBIX US Equity","ARD_TOT_ASSETS","FQ1 2024","FQ1 2024","Currency=USD","Period=FQ","BEST_FPERIOD_OVERRIDE=FQ","FILING_STATUS=MR","SCALING_FORMAT=MLN","Sort=A","Dates=H","DateFormat=P","Fill=—","Direction=H","UseDPDF=Y")</f>
        <v>3472.4</v>
      </c>
      <c r="Y22" s="19">
        <f>_xll.BDH("NBIX US Equity","ARD_TOT_ASSETS","FQ2 2024","FQ2 2024","Currency=USD","Period=FQ","BEST_FPERIOD_OVERRIDE=FQ","FILING_STATUS=MR","SCALING_FORMAT=MLN","Sort=A","Dates=H","DateFormat=P","Fill=—","Direction=H","UseDPDF=Y")</f>
        <v>3305</v>
      </c>
      <c r="Z22" s="19">
        <f>_xll.BDH("NBIX US Equity","ARD_TOT_ASSETS","FQ3 2024","FQ3 2024","Currency=USD","Period=FQ","BEST_FPERIOD_OVERRIDE=FQ","FILING_STATUS=MR","SCALING_FORMAT=MLN","Sort=A","Dates=H","DateFormat=P","Fill=—","Direction=H","UseDPDF=Y")</f>
        <v>3535</v>
      </c>
      <c r="AA22" s="19">
        <f>_xll.BDH("NBIX US Equity","ARD_TOT_ASSETS","FQ4 2024","FQ4 2024","Currency=USD","Period=FQ","BEST_FPERIOD_OVERRIDE=FQ","FILING_STATUS=MR","SCALING_FORMAT=MLN","Sort=A","Dates=H","DateFormat=P","Fill=—","Direction=H","UseDPDF=Y")</f>
        <v>3718.7</v>
      </c>
    </row>
    <row r="23" spans="1:27" x14ac:dyDescent="0.25">
      <c r="A23" s="10" t="s">
        <v>843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844</v>
      </c>
      <c r="B24" s="10" t="s">
        <v>845</v>
      </c>
      <c r="C24" s="13">
        <f>_xll.BDH("NBIX US Equity","ARD_ACCT_PAYABLE_ACCRUED_EXP","FQ4 2018","FQ4 2018","Currency=USD","Period=FQ","BEST_FPERIOD_OVERRIDE=FQ","FILING_STATUS=MR","SCALING_FORMAT=MLN","Sort=A","Dates=H","DateFormat=P","Fill=—","Direction=H","UseDPDF=Y")</f>
        <v>86.376999999999995</v>
      </c>
      <c r="D24" s="13">
        <f>_xll.BDH("NBIX US Equity","ARD_ACCT_PAYABLE_ACCRUED_EXP","FQ1 2019","FQ1 2019","Currency=USD","Period=FQ","BEST_FPERIOD_OVERRIDE=FQ","FILING_STATUS=MR","SCALING_FORMAT=MLN","Sort=A","Dates=H","DateFormat=P","Fill=—","Direction=H","UseDPDF=Y")</f>
        <v>68.28</v>
      </c>
      <c r="E24" s="13">
        <f>_xll.BDH("NBIX US Equity","ARD_ACCT_PAYABLE_ACCRUED_EXP","FQ2 2019","FQ2 2019","Currency=USD","Period=FQ","BEST_FPERIOD_OVERRIDE=FQ","FILING_STATUS=MR","SCALING_FORMAT=MLN","Sort=A","Dates=H","DateFormat=P","Fill=—","Direction=H","UseDPDF=Y")</f>
        <v>95.027000000000001</v>
      </c>
      <c r="F24" s="13">
        <f>_xll.BDH("NBIX US Equity","ARD_ACCT_PAYABLE_ACCRUED_EXP","FQ3 2019","FQ3 2019","Currency=USD","Period=FQ","BEST_FPERIOD_OVERRIDE=FQ","FILING_STATUS=MR","SCALING_FORMAT=MLN","Sort=A","Dates=H","DateFormat=P","Fill=—","Direction=H","UseDPDF=Y")</f>
        <v>102.357</v>
      </c>
      <c r="G24" s="13">
        <f>_xll.BDH("NBIX US Equity","ARD_ACCT_PAYABLE_ACCRUED_EXP","FQ4 2019","FQ4 2019","Currency=USD","Period=FQ","BEST_FPERIOD_OVERRIDE=FQ","FILING_STATUS=MR","SCALING_FORMAT=MLN","Sort=A","Dates=H","DateFormat=P","Fill=—","Direction=H","UseDPDF=Y")</f>
        <v>141.30000000000001</v>
      </c>
      <c r="H24" s="13">
        <f>_xll.BDH("NBIX US Equity","ARD_ACCT_PAYABLE_ACCRUED_EXP","FQ1 2020","FQ1 2020","Currency=USD","Period=FQ","BEST_FPERIOD_OVERRIDE=FQ","FILING_STATUS=MR","SCALING_FORMAT=MLN","Sort=A","Dates=H","DateFormat=P","Fill=—","Direction=H","UseDPDF=Y")</f>
        <v>125.9</v>
      </c>
      <c r="I24" s="13">
        <f>_xll.BDH("NBIX US Equity","ARD_ACCT_PAYABLE_ACCRUED_EXP","FQ2 2020","FQ2 2020","Currency=USD","Period=FQ","BEST_FPERIOD_OVERRIDE=FQ","FILING_STATUS=MR","SCALING_FORMAT=MLN","Sort=A","Dates=H","DateFormat=P","Fill=—","Direction=H","UseDPDF=Y")</f>
        <v>137.1</v>
      </c>
      <c r="J24" s="13">
        <f>_xll.BDH("NBIX US Equity","ARD_ACCT_PAYABLE_ACCRUED_EXP","FQ3 2020","FQ3 2020","Currency=USD","Period=FQ","BEST_FPERIOD_OVERRIDE=FQ","FILING_STATUS=MR","SCALING_FORMAT=MLN","Sort=A","Dates=H","DateFormat=P","Fill=—","Direction=H","UseDPDF=Y")</f>
        <v>170.5</v>
      </c>
      <c r="K24" s="13">
        <f>_xll.BDH("NBIX US Equity","ARD_ACCT_PAYABLE_ACCRUED_EXP","FQ4 2020","FQ4 2020","Currency=USD","Period=FQ","BEST_FPERIOD_OVERRIDE=FQ","FILING_STATUS=MR","SCALING_FORMAT=MLN","Sort=A","Dates=H","DateFormat=P","Fill=—","Direction=H","UseDPDF=Y")</f>
        <v>168.7</v>
      </c>
      <c r="L24" s="13">
        <f>_xll.BDH("NBIX US Equity","ARD_ACCT_PAYABLE_ACCRUED_EXP","FQ1 2021","FQ1 2021","Currency=USD","Period=FQ","BEST_FPERIOD_OVERRIDE=FQ","FILING_STATUS=MR","SCALING_FORMAT=MLN","Sort=A","Dates=H","DateFormat=P","Fill=—","Direction=H","UseDPDF=Y")</f>
        <v>171.9</v>
      </c>
      <c r="M24" s="13">
        <f>_xll.BDH("NBIX US Equity","ARD_ACCT_PAYABLE_ACCRUED_EXP","FQ2 2021","FQ2 2021","Currency=USD","Period=FQ","BEST_FPERIOD_OVERRIDE=FQ","FILING_STATUS=MR","SCALING_FORMAT=MLN","Sort=A","Dates=H","DateFormat=P","Fill=—","Direction=H","UseDPDF=Y")</f>
        <v>190.9</v>
      </c>
      <c r="N24" s="13">
        <f>_xll.BDH("NBIX US Equity","ARD_ACCT_PAYABLE_ACCRUED_EXP","FQ3 2021","FQ3 2021","Currency=USD","Period=FQ","BEST_FPERIOD_OVERRIDE=FQ","FILING_STATUS=MR","SCALING_FORMAT=MLN","Sort=A","Dates=H","DateFormat=P","Fill=—","Direction=H","UseDPDF=Y")</f>
        <v>205.9</v>
      </c>
      <c r="O24" s="13">
        <f>_xll.BDH("NBIX US Equity","ARD_ACCT_PAYABLE_ACCRUED_EXP","FQ4 2021","FQ4 2021","Currency=USD","Period=FQ","BEST_FPERIOD_OVERRIDE=FQ","FILING_STATUS=MR","SCALING_FORMAT=MLN","Sort=A","Dates=H","DateFormat=P","Fill=—","Direction=H","UseDPDF=Y")</f>
        <v>225.8</v>
      </c>
      <c r="P24" s="13">
        <f>_xll.BDH("NBIX US Equity","ARD_ACCT_PAYABLE_ACCRUED_EXP","FQ1 2022","FQ1 2022","Currency=USD","Period=FQ","BEST_FPERIOD_OVERRIDE=FQ","FILING_STATUS=MR","SCALING_FORMAT=MLN","Sort=A","Dates=H","DateFormat=P","Fill=—","Direction=H","UseDPDF=Y")</f>
        <v>235.9</v>
      </c>
      <c r="Q24" s="13">
        <f>_xll.BDH("NBIX US Equity","ARD_ACCT_PAYABLE_ACCRUED_EXP","FQ2 2022","FQ2 2022","Currency=USD","Period=FQ","BEST_FPERIOD_OVERRIDE=FQ","FILING_STATUS=MR","SCALING_FORMAT=MLN","Sort=A","Dates=H","DateFormat=P","Fill=—","Direction=H","UseDPDF=Y")</f>
        <v>265.7</v>
      </c>
      <c r="R24" s="13">
        <f>_xll.BDH("NBIX US Equity","ARD_ACCT_PAYABLE_ACCRUED_EXP","FQ3 2022","FQ3 2022","Currency=USD","Period=FQ","BEST_FPERIOD_OVERRIDE=FQ","FILING_STATUS=MR","SCALING_FORMAT=MLN","Sort=A","Dates=H","DateFormat=P","Fill=—","Direction=H","UseDPDF=Y")</f>
        <v>297.8</v>
      </c>
      <c r="S24" s="13">
        <f>_xll.BDH("NBIX US Equity","ARD_ACCT_PAYABLE_ACCRUED_EXP","FQ4 2022","FQ4 2022","Currency=USD","Period=FQ","BEST_FPERIOD_OVERRIDE=FQ","FILING_STATUS=MR","SCALING_FORMAT=MLN","Sort=A","Dates=H","DateFormat=P","Fill=—","Direction=H","UseDPDF=Y")</f>
        <v>347.6</v>
      </c>
      <c r="T24" s="13">
        <f>_xll.BDH("NBIX US Equity","ARD_ACCT_PAYABLE_ACCRUED_EXP","FQ1 2023","FQ1 2023","Currency=USD","Period=FQ","BEST_FPERIOD_OVERRIDE=FQ","FILING_STATUS=MR","SCALING_FORMAT=MLN","Sort=A","Dates=H","DateFormat=P","Fill=—","Direction=H","UseDPDF=Y")</f>
        <v>355.7</v>
      </c>
      <c r="U24" s="13">
        <f>_xll.BDH("NBIX US Equity","ARD_ACCT_PAYABLE_ACCRUED_EXP","FQ2 2023","FQ2 2023","Currency=USD","Period=FQ","BEST_FPERIOD_OVERRIDE=FQ","FILING_STATUS=MR","SCALING_FORMAT=MLN","Sort=A","Dates=H","DateFormat=P","Fill=—","Direction=H","UseDPDF=Y")</f>
        <v>391.6</v>
      </c>
      <c r="V24" s="13">
        <f>_xll.BDH("NBIX US Equity","ARD_ACCT_PAYABLE_ACCRUED_EXP","FQ3 2023","FQ3 2023","Currency=USD","Period=FQ","BEST_FPERIOD_OVERRIDE=FQ","FILING_STATUS=MR","SCALING_FORMAT=MLN","Sort=A","Dates=H","DateFormat=P","Fill=—","Direction=H","UseDPDF=Y")</f>
        <v>503</v>
      </c>
      <c r="W24" s="13">
        <f>_xll.BDH("NBIX US Equity","ARD_ACCT_PAYABLE_ACCRUED_EXP","FQ4 2023","FQ4 2023","Currency=USD","Period=FQ","BEST_FPERIOD_OVERRIDE=FQ","FILING_STATUS=MR","SCALING_FORMAT=MLN","Sort=A","Dates=H","DateFormat=P","Fill=—","Direction=H","UseDPDF=Y")</f>
        <v>448.8</v>
      </c>
      <c r="X24" s="13">
        <f>_xll.BDH("NBIX US Equity","ARD_ACCT_PAYABLE_ACCRUED_EXP","FQ1 2024","FQ1 2024","Currency=USD","Period=FQ","BEST_FPERIOD_OVERRIDE=FQ","FILING_STATUS=MR","SCALING_FORMAT=MLN","Sort=A","Dates=H","DateFormat=P","Fill=—","Direction=H","UseDPDF=Y")</f>
        <v>417.2</v>
      </c>
      <c r="Y24" s="13">
        <f>_xll.BDH("NBIX US Equity","ARD_ACCT_PAYABLE_ACCRUED_EXP","FQ2 2024","FQ2 2024","Currency=USD","Period=FQ","BEST_FPERIOD_OVERRIDE=FQ","FILING_STATUS=MR","SCALING_FORMAT=MLN","Sort=A","Dates=H","DateFormat=P","Fill=—","Direction=H","UseDPDF=Y")</f>
        <v>358.5</v>
      </c>
      <c r="Z24" s="13">
        <f>_xll.BDH("NBIX US Equity","ARD_ACCT_PAYABLE_ACCRUED_EXP","FQ3 2024","FQ3 2024","Currency=USD","Period=FQ","BEST_FPERIOD_OVERRIDE=FQ","FILING_STATUS=MR","SCALING_FORMAT=MLN","Sort=A","Dates=H","DateFormat=P","Fill=—","Direction=H","UseDPDF=Y")</f>
        <v>392.7</v>
      </c>
      <c r="AA24" s="13">
        <f>_xll.BDH("NBIX US Equity","ARD_ACCT_PAYABLE_ACCRUED_EXP","FQ4 2024","FQ4 2024","Currency=USD","Period=FQ","BEST_FPERIOD_OVERRIDE=FQ","FILING_STATUS=MR","SCALING_FORMAT=MLN","Sort=A","Dates=H","DateFormat=P","Fill=—","Direction=H","UseDPDF=Y")</f>
        <v>461.6</v>
      </c>
    </row>
    <row r="25" spans="1:27" x14ac:dyDescent="0.25">
      <c r="A25" s="10" t="s">
        <v>846</v>
      </c>
      <c r="B25" s="10" t="s">
        <v>847</v>
      </c>
      <c r="C25" s="13" t="str">
        <f>_xll.BDH("NBIX US Equity","ARD_CURRENT_PORTION_OF_LT_DEBT","FQ4 2018","FQ4 2018","Currency=USD","Period=FQ","BEST_FPERIOD_OVERRIDE=FQ","FILING_STATUS=MR","SCALING_FORMAT=MLN","Sort=A","Dates=H","DateFormat=P","Fill=—","Direction=H","UseDPDF=Y")</f>
        <v>—</v>
      </c>
      <c r="D25" s="13" t="str">
        <f>_xll.BDH("NBIX US Equity","ARD_CURRENT_PORTION_OF_LT_DEBT","FQ1 2019","FQ1 2019","Currency=USD","Period=FQ","BEST_FPERIOD_OVERRIDE=FQ","FILING_STATUS=MR","SCALING_FORMAT=MLN","Sort=A","Dates=H","DateFormat=P","Fill=—","Direction=H","UseDPDF=Y")</f>
        <v>—</v>
      </c>
      <c r="E25" s="13" t="str">
        <f>_xll.BDH("NBIX US Equity","ARD_CURRENT_PORTION_OF_LT_DEBT","FQ2 2019","FQ2 2019","Currency=USD","Period=FQ","BEST_FPERIOD_OVERRIDE=FQ","FILING_STATUS=MR","SCALING_FORMAT=MLN","Sort=A","Dates=H","DateFormat=P","Fill=—","Direction=H","UseDPDF=Y")</f>
        <v>—</v>
      </c>
      <c r="F25" s="13" t="str">
        <f>_xll.BDH("NBIX US Equity","ARD_CURRENT_PORTION_OF_LT_DEBT","FQ3 2019","FQ3 2019","Currency=USD","Period=FQ","BEST_FPERIOD_OVERRIDE=FQ","FILING_STATUS=MR","SCALING_FORMAT=MLN","Sort=A","Dates=H","DateFormat=P","Fill=—","Direction=H","UseDPDF=Y")</f>
        <v>—</v>
      </c>
      <c r="G25" s="13" t="str">
        <f>_xll.BDH("NBIX US Equity","ARD_CURRENT_PORTION_OF_LT_DEBT","FQ4 2019","FQ4 2019","Currency=USD","Period=FQ","BEST_FPERIOD_OVERRIDE=FQ","FILING_STATUS=MR","SCALING_FORMAT=MLN","Sort=A","Dates=H","DateFormat=P","Fill=—","Direction=H","UseDPDF=Y")</f>
        <v>—</v>
      </c>
      <c r="H25" s="13" t="str">
        <f>_xll.BDH("NBIX US Equity","ARD_CURRENT_PORTION_OF_LT_DEBT","FQ1 2020","FQ1 2020","Currency=USD","Period=FQ","BEST_FPERIOD_OVERRIDE=FQ","FILING_STATUS=MR","SCALING_FORMAT=MLN","Sort=A","Dates=H","DateFormat=P","Fill=—","Direction=H","UseDPDF=Y")</f>
        <v>—</v>
      </c>
      <c r="I25" s="13" t="str">
        <f>_xll.BDH("NBIX US Equity","ARD_CURRENT_PORTION_OF_LT_DEBT","FQ2 2020","FQ2 2020","Currency=USD","Period=FQ","BEST_FPERIOD_OVERRIDE=FQ","FILING_STATUS=MR","SCALING_FORMAT=MLN","Sort=A","Dates=H","DateFormat=P","Fill=—","Direction=H","UseDPDF=Y")</f>
        <v>—</v>
      </c>
      <c r="J25" s="13" t="str">
        <f>_xll.BDH("NBIX US Equity","ARD_CURRENT_PORTION_OF_LT_DEBT","FQ3 2020","FQ3 2020","Currency=USD","Period=FQ","BEST_FPERIOD_OVERRIDE=FQ","FILING_STATUS=MR","SCALING_FORMAT=MLN","Sort=A","Dates=H","DateFormat=P","Fill=—","Direction=H","UseDPDF=Y")</f>
        <v>—</v>
      </c>
      <c r="K25" s="13" t="str">
        <f>_xll.BDH("NBIX US Equity","ARD_CURRENT_PORTION_OF_LT_DEBT","FQ4 2020","FQ4 2020","Currency=USD","Period=FQ","BEST_FPERIOD_OVERRIDE=FQ","FILING_STATUS=MR","SCALING_FORMAT=MLN","Sort=A","Dates=H","DateFormat=P","Fill=—","Direction=H","UseDPDF=Y")</f>
        <v>—</v>
      </c>
      <c r="L25" s="13" t="str">
        <f>_xll.BDH("NBIX US Equity","ARD_CURRENT_PORTION_OF_LT_DEBT","FQ1 2021","FQ1 2021","Currency=USD","Period=FQ","BEST_FPERIOD_OVERRIDE=FQ","FILING_STATUS=MR","SCALING_FORMAT=MLN","Sort=A","Dates=H","DateFormat=P","Fill=—","Direction=H","UseDPDF=Y")</f>
        <v>—</v>
      </c>
      <c r="M25" s="13" t="str">
        <f>_xll.BDH("NBIX US Equity","ARD_CURRENT_PORTION_OF_LT_DEBT","FQ2 2021","FQ2 2021","Currency=USD","Period=FQ","BEST_FPERIOD_OVERRIDE=FQ","FILING_STATUS=MR","SCALING_FORMAT=MLN","Sort=A","Dates=H","DateFormat=P","Fill=—","Direction=H","UseDPDF=Y")</f>
        <v>—</v>
      </c>
      <c r="N25" s="13" t="str">
        <f>_xll.BDH("NBIX US Equity","ARD_CURRENT_PORTION_OF_LT_DEBT","FQ3 2021","FQ3 2021","Currency=USD","Period=FQ","BEST_FPERIOD_OVERRIDE=FQ","FILING_STATUS=MR","SCALING_FORMAT=MLN","Sort=A","Dates=H","DateFormat=P","Fill=—","Direction=H","UseDPDF=Y")</f>
        <v>—</v>
      </c>
      <c r="O25" s="13" t="str">
        <f>_xll.BDH("NBIX US Equity","ARD_CURRENT_PORTION_OF_LT_DEBT","FQ4 2021","FQ4 2021","Currency=USD","Period=FQ","BEST_FPERIOD_OVERRIDE=FQ","FILING_STATUS=MR","SCALING_FORMAT=MLN","Sort=A","Dates=H","DateFormat=P","Fill=—","Direction=H","UseDPDF=Y")</f>
        <v>—</v>
      </c>
      <c r="P25" s="13" t="str">
        <f>_xll.BDH("NBIX US Equity","ARD_CURRENT_PORTION_OF_LT_DEBT","FQ1 2022","FQ1 2022","Currency=USD","Period=FQ","BEST_FPERIOD_OVERRIDE=FQ","FILING_STATUS=MR","SCALING_FORMAT=MLN","Sort=A","Dates=H","DateFormat=P","Fill=—","Direction=H","UseDPDF=Y")</f>
        <v>—</v>
      </c>
      <c r="Q25" s="13" t="str">
        <f>_xll.BDH("NBIX US Equity","ARD_CURRENT_PORTION_OF_LT_DEBT","FQ2 2022","FQ2 2022","Currency=USD","Period=FQ","BEST_FPERIOD_OVERRIDE=FQ","FILING_STATUS=MR","SCALING_FORMAT=MLN","Sort=A","Dates=H","DateFormat=P","Fill=—","Direction=H","UseDPDF=Y")</f>
        <v>—</v>
      </c>
      <c r="R25" s="13" t="str">
        <f>_xll.BDH("NBIX US Equity","ARD_CURRENT_PORTION_OF_LT_DEBT","FQ3 2022","FQ3 2022","Currency=USD","Period=FQ","BEST_FPERIOD_OVERRIDE=FQ","FILING_STATUS=MR","SCALING_FORMAT=MLN","Sort=A","Dates=H","DateFormat=P","Fill=—","Direction=H","UseDPDF=Y")</f>
        <v>—</v>
      </c>
      <c r="S25" s="13" t="str">
        <f>_xll.BDH("NBIX US Equity","ARD_CURRENT_PORTION_OF_LT_DEBT","FQ4 2022","FQ4 2022","Currency=USD","Period=FQ","BEST_FPERIOD_OVERRIDE=FQ","FILING_STATUS=MR","SCALING_FORMAT=MLN","Sort=A","Dates=H","DateFormat=P","Fill=—","Direction=H","UseDPDF=Y")</f>
        <v>—</v>
      </c>
      <c r="T25" s="13" t="str">
        <f>_xll.BDH("NBIX US Equity","ARD_CURRENT_PORTION_OF_LT_DEBT","FQ1 2023","FQ1 2023","Currency=USD","Period=FQ","BEST_FPERIOD_OVERRIDE=FQ","FILING_STATUS=MR","SCALING_FORMAT=MLN","Sort=A","Dates=H","DateFormat=P","Fill=—","Direction=H","UseDPDF=Y")</f>
        <v>—</v>
      </c>
      <c r="U25" s="13" t="str">
        <f>_xll.BDH("NBIX US Equity","ARD_CURRENT_PORTION_OF_LT_DEBT","FQ2 2023","FQ2 2023","Currency=USD","Period=FQ","BEST_FPERIOD_OVERRIDE=FQ","FILING_STATUS=MR","SCALING_FORMAT=MLN","Sort=A","Dates=H","DateFormat=P","Fill=—","Direction=H","UseDPDF=Y")</f>
        <v>—</v>
      </c>
      <c r="V25" s="13" t="str">
        <f>_xll.BDH("NBIX US Equity","ARD_CURRENT_PORTION_OF_LT_DEBT","FQ3 2023","FQ3 2023","Currency=USD","Period=FQ","BEST_FPERIOD_OVERRIDE=FQ","FILING_STATUS=MR","SCALING_FORMAT=MLN","Sort=A","Dates=H","DateFormat=P","Fill=—","Direction=H","UseDPDF=Y")</f>
        <v>—</v>
      </c>
      <c r="W25" s="13" t="str">
        <f>_xll.BDH("NBIX US Equity","ARD_CURRENT_PORTION_OF_LT_DEBT","FQ4 2023","FQ4 2023","Currency=USD","Period=FQ","BEST_FPERIOD_OVERRIDE=FQ","FILING_STATUS=MR","SCALING_FORMAT=MLN","Sort=A","Dates=H","DateFormat=P","Fill=—","Direction=H","UseDPDF=Y")</f>
        <v>—</v>
      </c>
      <c r="X25" s="13" t="str">
        <f>_xll.BDH("NBIX US Equity","ARD_CURRENT_PORTION_OF_LT_DEBT","FQ1 2024","FQ1 2024","Currency=USD","Period=FQ","BEST_FPERIOD_OVERRIDE=FQ","FILING_STATUS=MR","SCALING_FORMAT=MLN","Sort=A","Dates=H","DateFormat=P","Fill=—","Direction=H","UseDPDF=Y")</f>
        <v>—</v>
      </c>
      <c r="Y25" s="13" t="str">
        <f>_xll.BDH("NBIX US Equity","ARD_CURRENT_PORTION_OF_LT_DEBT","FQ2 2024","FQ2 2024","Currency=USD","Period=FQ","BEST_FPERIOD_OVERRIDE=FQ","FILING_STATUS=MR","SCALING_FORMAT=MLN","Sort=A","Dates=H","DateFormat=P","Fill=—","Direction=H","UseDPDF=Y")</f>
        <v>—</v>
      </c>
      <c r="Z25" s="13" t="str">
        <f>_xll.BDH("NBIX US Equity","ARD_CURRENT_PORTION_OF_LT_DEBT","FQ3 2024","FQ3 2024","Currency=USD","Period=FQ","BEST_FPERIOD_OVERRIDE=FQ","FILING_STATUS=MR","SCALING_FORMAT=MLN","Sort=A","Dates=H","DateFormat=P","Fill=—","Direction=H","UseDPDF=Y")</f>
        <v>—</v>
      </c>
      <c r="AA25" s="13" t="str">
        <f>_xll.BDH("NBIX US Equity","ARD_CURRENT_PORTION_OF_LT_DEBT","FQ4 2024","FQ4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0" t="s">
        <v>848</v>
      </c>
      <c r="B26" s="10" t="s">
        <v>849</v>
      </c>
      <c r="C26" s="13">
        <f>_xll.BDH("NBIX US Equity","ARD_OTHER_CURRENT_LIABILITIES","FQ4 2018","FQ4 2018","Currency=USD","Period=FQ","BEST_FPERIOD_OVERRIDE=FQ","FILING_STATUS=MR","SCALING_FORMAT=MLN","Sort=A","Dates=H","DateFormat=P","Fill=—","Direction=H","UseDPDF=Y")</f>
        <v>1.8560000000000001</v>
      </c>
      <c r="D26" s="13">
        <f>_xll.BDH("NBIX US Equity","ARD_OTHER_CURRENT_LIABILITIES","FQ1 2019","FQ1 2019","Currency=USD","Period=FQ","BEST_FPERIOD_OVERRIDE=FQ","FILING_STATUS=MR","SCALING_FORMAT=MLN","Sort=A","Dates=H","DateFormat=P","Fill=—","Direction=H","UseDPDF=Y")</f>
        <v>3.7229999999999999</v>
      </c>
      <c r="E26" s="13">
        <f>_xll.BDH("NBIX US Equity","ARD_OTHER_CURRENT_LIABILITIES","FQ2 2019","FQ2 2019","Currency=USD","Period=FQ","BEST_FPERIOD_OVERRIDE=FQ","FILING_STATUS=MR","SCALING_FORMAT=MLN","Sort=A","Dates=H","DateFormat=P","Fill=—","Direction=H","UseDPDF=Y")</f>
        <v>5.5620000000000003</v>
      </c>
      <c r="F26" s="13">
        <f>_xll.BDH("NBIX US Equity","ARD_OTHER_CURRENT_LIABILITIES","FQ3 2019","FQ3 2019","Currency=USD","Period=FQ","BEST_FPERIOD_OVERRIDE=FQ","FILING_STATUS=MR","SCALING_FORMAT=MLN","Sort=A","Dates=H","DateFormat=P","Fill=—","Direction=H","UseDPDF=Y")</f>
        <v>13.295</v>
      </c>
      <c r="G26" s="13">
        <f>_xll.BDH("NBIX US Equity","ARD_OTHER_CURRENT_LIABILITIES","FQ4 2019","FQ4 2019","Currency=USD","Period=FQ","BEST_FPERIOD_OVERRIDE=FQ","FILING_STATUS=MR","SCALING_FORMAT=MLN","Sort=A","Dates=H","DateFormat=P","Fill=—","Direction=H","UseDPDF=Y")</f>
        <v>15.2</v>
      </c>
      <c r="H26" s="13">
        <f>_xll.BDH("NBIX US Equity","ARD_OTHER_CURRENT_LIABILITIES","FQ1 2020","FQ1 2020","Currency=USD","Period=FQ","BEST_FPERIOD_OVERRIDE=FQ","FILING_STATUS=MR","SCALING_FORMAT=MLN","Sort=A","Dates=H","DateFormat=P","Fill=—","Direction=H","UseDPDF=Y")</f>
        <v>14.4</v>
      </c>
      <c r="I26" s="13">
        <f>_xll.BDH("NBIX US Equity","ARD_OTHER_CURRENT_LIABILITIES","FQ2 2020","FQ2 2020","Currency=USD","Period=FQ","BEST_FPERIOD_OVERRIDE=FQ","FILING_STATUS=MR","SCALING_FORMAT=MLN","Sort=A","Dates=H","DateFormat=P","Fill=—","Direction=H","UseDPDF=Y")</f>
        <v>16.399999999999999</v>
      </c>
      <c r="J26" s="13">
        <f>_xll.BDH("NBIX US Equity","ARD_OTHER_CURRENT_LIABILITIES","FQ3 2020","FQ3 2020","Currency=USD","Period=FQ","BEST_FPERIOD_OVERRIDE=FQ","FILING_STATUS=MR","SCALING_FORMAT=MLN","Sort=A","Dates=H","DateFormat=P","Fill=—","Direction=H","UseDPDF=Y")</f>
        <v>15.5</v>
      </c>
      <c r="K26" s="13">
        <f>_xll.BDH("NBIX US Equity","ARD_OTHER_CURRENT_LIABILITIES","FQ4 2020","FQ4 2020","Currency=USD","Period=FQ","BEST_FPERIOD_OVERRIDE=FQ","FILING_STATUS=MR","SCALING_FORMAT=MLN","Sort=A","Dates=H","DateFormat=P","Fill=—","Direction=H","UseDPDF=Y")</f>
        <v>17.8</v>
      </c>
      <c r="L26" s="13">
        <f>_xll.BDH("NBIX US Equity","ARD_OTHER_CURRENT_LIABILITIES","FQ1 2021","FQ1 2021","Currency=USD","Period=FQ","BEST_FPERIOD_OVERRIDE=FQ","FILING_STATUS=MR","SCALING_FORMAT=MLN","Sort=A","Dates=H","DateFormat=P","Fill=—","Direction=H","UseDPDF=Y")</f>
        <v>18.100000000000001</v>
      </c>
      <c r="M26" s="13">
        <f>_xll.BDH("NBIX US Equity","ARD_OTHER_CURRENT_LIABILITIES","FQ2 2021","FQ2 2021","Currency=USD","Period=FQ","BEST_FPERIOD_OVERRIDE=FQ","FILING_STATUS=MR","SCALING_FORMAT=MLN","Sort=A","Dates=H","DateFormat=P","Fill=—","Direction=H","UseDPDF=Y")</f>
        <v>22</v>
      </c>
      <c r="N26" s="13">
        <f>_xll.BDH("NBIX US Equity","ARD_OTHER_CURRENT_LIABILITIES","FQ3 2021","FQ3 2021","Currency=USD","Period=FQ","BEST_FPERIOD_OVERRIDE=FQ","FILING_STATUS=MR","SCALING_FORMAT=MLN","Sort=A","Dates=H","DateFormat=P","Fill=—","Direction=H","UseDPDF=Y")</f>
        <v>20</v>
      </c>
      <c r="O26" s="13">
        <f>_xll.BDH("NBIX US Equity","ARD_OTHER_CURRENT_LIABILITIES","FQ4 2021","FQ4 2021","Currency=USD","Period=FQ","BEST_FPERIOD_OVERRIDE=FQ","FILING_STATUS=MR","SCALING_FORMAT=MLN","Sort=A","Dates=H","DateFormat=P","Fill=—","Direction=H","UseDPDF=Y")</f>
        <v>20</v>
      </c>
      <c r="P26" s="13">
        <f>_xll.BDH("NBIX US Equity","ARD_OTHER_CURRENT_LIABILITIES","FQ1 2022","FQ1 2022","Currency=USD","Period=FQ","BEST_FPERIOD_OVERRIDE=FQ","FILING_STATUS=MR","SCALING_FORMAT=MLN","Sort=A","Dates=H","DateFormat=P","Fill=—","Direction=H","UseDPDF=Y")</f>
        <v>17.600000000000001</v>
      </c>
      <c r="Q26" s="13">
        <f>_xll.BDH("NBIX US Equity","ARD_OTHER_CURRENT_LIABILITIES","FQ2 2022","FQ2 2022","Currency=USD","Period=FQ","BEST_FPERIOD_OVERRIDE=FQ","FILING_STATUS=MR","SCALING_FORMAT=MLN","Sort=A","Dates=H","DateFormat=P","Fill=—","Direction=H","UseDPDF=Y")</f>
        <v>20</v>
      </c>
      <c r="R26" s="13">
        <f>_xll.BDH("NBIX US Equity","ARD_OTHER_CURRENT_LIABILITIES","FQ3 2022","FQ3 2022","Currency=USD","Period=FQ","BEST_FPERIOD_OVERRIDE=FQ","FILING_STATUS=MR","SCALING_FORMAT=MLN","Sort=A","Dates=H","DateFormat=P","Fill=—","Direction=H","UseDPDF=Y")</f>
        <v>18.100000000000001</v>
      </c>
      <c r="S26" s="13">
        <f>_xll.BDH("NBIX US Equity","ARD_OTHER_CURRENT_LIABILITIES","FQ4 2022","FQ4 2022","Currency=USD","Period=FQ","BEST_FPERIOD_OVERRIDE=FQ","FILING_STATUS=MR","SCALING_FORMAT=MLN","Sort=A","Dates=H","DateFormat=P","Fill=—","Direction=H","UseDPDF=Y")</f>
        <v>20.7</v>
      </c>
      <c r="T26" s="13">
        <f>_xll.BDH("NBIX US Equity","ARD_OTHER_CURRENT_LIABILITIES","FQ1 2023","FQ1 2023","Currency=USD","Period=FQ","BEST_FPERIOD_OVERRIDE=FQ","FILING_STATUS=MR","SCALING_FORMAT=MLN","Sort=A","Dates=H","DateFormat=P","Fill=—","Direction=H","UseDPDF=Y")</f>
        <v>18.399999999999999</v>
      </c>
      <c r="U26" s="13">
        <f>_xll.BDH("NBIX US Equity","ARD_OTHER_CURRENT_LIABILITIES","FQ2 2023","FQ2 2023","Currency=USD","Period=FQ","BEST_FPERIOD_OVERRIDE=FQ","FILING_STATUS=MR","SCALING_FORMAT=MLN","Sort=A","Dates=H","DateFormat=P","Fill=—","Direction=H","UseDPDF=Y")</f>
        <v>21.2</v>
      </c>
      <c r="V26" s="13">
        <f>_xll.BDH("NBIX US Equity","ARD_OTHER_CURRENT_LIABILITIES","FQ3 2023","FQ3 2023","Currency=USD","Period=FQ","BEST_FPERIOD_OVERRIDE=FQ","FILING_STATUS=MR","SCALING_FORMAT=MLN","Sort=A","Dates=H","DateFormat=P","Fill=—","Direction=H","UseDPDF=Y")</f>
        <v>18.7</v>
      </c>
      <c r="W26" s="13">
        <f>_xll.BDH("NBIX US Equity","ARD_OTHER_CURRENT_LIABILITIES","FQ4 2023","FQ4 2023","Currency=USD","Period=FQ","BEST_FPERIOD_OVERRIDE=FQ","FILING_STATUS=MR","SCALING_FORMAT=MLN","Sort=A","Dates=H","DateFormat=P","Fill=—","Direction=H","UseDPDF=Y")</f>
        <v>35.9</v>
      </c>
      <c r="X26" s="13">
        <f>_xll.BDH("NBIX US Equity","ARD_OTHER_CURRENT_LIABILITIES","FQ1 2024","FQ1 2024","Currency=USD","Period=FQ","BEST_FPERIOD_OVERRIDE=FQ","FILING_STATUS=MR","SCALING_FORMAT=MLN","Sort=A","Dates=H","DateFormat=P","Fill=—","Direction=H","UseDPDF=Y")</f>
        <v>36.700000000000003</v>
      </c>
      <c r="Y26" s="13">
        <f>_xll.BDH("NBIX US Equity","ARD_OTHER_CURRENT_LIABILITIES","FQ2 2024","FQ2 2024","Currency=USD","Period=FQ","BEST_FPERIOD_OVERRIDE=FQ","FILING_STATUS=MR","SCALING_FORMAT=MLN","Sort=A","Dates=H","DateFormat=P","Fill=—","Direction=H","UseDPDF=Y")</f>
        <v>40</v>
      </c>
      <c r="Z26" s="13">
        <f>_xll.BDH("NBIX US Equity","ARD_OTHER_CURRENT_LIABILITIES","FQ3 2024","FQ3 2024","Currency=USD","Period=FQ","BEST_FPERIOD_OVERRIDE=FQ","FILING_STATUS=MR","SCALING_FORMAT=MLN","Sort=A","Dates=H","DateFormat=P","Fill=—","Direction=H","UseDPDF=Y")</f>
        <v>37</v>
      </c>
      <c r="AA26" s="13">
        <f>_xll.BDH("NBIX US Equity","ARD_OTHER_CURRENT_LIABILITIES","FQ4 2024","FQ4 2024","Currency=USD","Period=FQ","BEST_FPERIOD_OVERRIDE=FQ","FILING_STATUS=MR","SCALING_FORMAT=MLN","Sort=A","Dates=H","DateFormat=P","Fill=—","Direction=H","UseDPDF=Y")</f>
        <v>46.1</v>
      </c>
    </row>
    <row r="27" spans="1:27" x14ac:dyDescent="0.25">
      <c r="A27" s="10" t="s">
        <v>850</v>
      </c>
      <c r="B27" s="10" t="s">
        <v>851</v>
      </c>
      <c r="C27" s="13" t="str">
        <f>_xll.BDH("NBIX US Equity","ARD_DERIVATIVE_LIABILITIES_ST","FQ4 2018","FQ4 2018","Currency=USD","Period=FQ","BEST_FPERIOD_OVERRIDE=FQ","FILING_STATUS=MR","SCALING_FORMAT=MLN","Sort=A","Dates=H","DateFormat=P","Fill=—","Direction=H","UseDPDF=Y")</f>
        <v>—</v>
      </c>
      <c r="D27" s="13" t="str">
        <f>_xll.BDH("NBIX US Equity","ARD_DERIVATIVE_LIABILITIES_ST","FQ1 2019","FQ1 2019","Currency=USD","Period=FQ","BEST_FPERIOD_OVERRIDE=FQ","FILING_STATUS=MR","SCALING_FORMAT=MLN","Sort=A","Dates=H","DateFormat=P","Fill=—","Direction=H","UseDPDF=Y")</f>
        <v>—</v>
      </c>
      <c r="E27" s="13" t="str">
        <f>_xll.BDH("NBIX US Equity","ARD_DERIVATIVE_LIABILITIES_ST","FQ2 2019","FQ2 2019","Currency=USD","Period=FQ","BEST_FPERIOD_OVERRIDE=FQ","FILING_STATUS=MR","SCALING_FORMAT=MLN","Sort=A","Dates=H","DateFormat=P","Fill=—","Direction=H","UseDPDF=Y")</f>
        <v>—</v>
      </c>
      <c r="F27" s="13" t="str">
        <f>_xll.BDH("NBIX US Equity","ARD_DERIVATIVE_LIABILITIES_ST","FQ3 2019","FQ3 2019","Currency=USD","Period=FQ","BEST_FPERIOD_OVERRIDE=FQ","FILING_STATUS=MR","SCALING_FORMAT=MLN","Sort=A","Dates=H","DateFormat=P","Fill=—","Direction=H","UseDPDF=Y")</f>
        <v>—</v>
      </c>
      <c r="G27" s="13" t="str">
        <f>_xll.BDH("NBIX US Equity","ARD_DERIVATIVE_LIABILITIES_ST","FQ4 2019","FQ4 2019","Currency=USD","Period=FQ","BEST_FPERIOD_OVERRIDE=FQ","FILING_STATUS=MR","SCALING_FORMAT=MLN","Sort=A","Dates=H","DateFormat=P","Fill=—","Direction=H","UseDPDF=Y")</f>
        <v>—</v>
      </c>
      <c r="H27" s="13" t="str">
        <f>_xll.BDH("NBIX US Equity","ARD_DERIVATIVE_LIABILITIES_ST","FQ1 2020","FQ1 2020","Currency=USD","Period=FQ","BEST_FPERIOD_OVERRIDE=FQ","FILING_STATUS=MR","SCALING_FORMAT=MLN","Sort=A","Dates=H","DateFormat=P","Fill=—","Direction=H","UseDPDF=Y")</f>
        <v>—</v>
      </c>
      <c r="I27" s="13" t="str">
        <f>_xll.BDH("NBIX US Equity","ARD_DERIVATIVE_LIABILITIES_ST","FQ2 2020","FQ2 2020","Currency=USD","Period=FQ","BEST_FPERIOD_OVERRIDE=FQ","FILING_STATUS=MR","SCALING_FORMAT=MLN","Sort=A","Dates=H","DateFormat=P","Fill=—","Direction=H","UseDPDF=Y")</f>
        <v>—</v>
      </c>
      <c r="J27" s="13" t="str">
        <f>_xll.BDH("NBIX US Equity","ARD_DERIVATIVE_LIABILITIES_ST","FQ3 2020","FQ3 2020","Currency=USD","Period=FQ","BEST_FPERIOD_OVERRIDE=FQ","FILING_STATUS=MR","SCALING_FORMAT=MLN","Sort=A","Dates=H","DateFormat=P","Fill=—","Direction=H","UseDPDF=Y")</f>
        <v>—</v>
      </c>
      <c r="K27" s="13" t="str">
        <f>_xll.BDH("NBIX US Equity","ARD_DERIVATIVE_LIABILITIES_ST","FQ4 2020","FQ4 2020","Currency=USD","Period=FQ","BEST_FPERIOD_OVERRIDE=FQ","FILING_STATUS=MR","SCALING_FORMAT=MLN","Sort=A","Dates=H","DateFormat=P","Fill=—","Direction=H","UseDPDF=Y")</f>
        <v>—</v>
      </c>
      <c r="L27" s="13" t="str">
        <f>_xll.BDH("NBIX US Equity","ARD_DERIVATIVE_LIABILITIES_ST","FQ1 2021","FQ1 2021","Currency=USD","Period=FQ","BEST_FPERIOD_OVERRIDE=FQ","FILING_STATUS=MR","SCALING_FORMAT=MLN","Sort=A","Dates=H","DateFormat=P","Fill=—","Direction=H","UseDPDF=Y")</f>
        <v>—</v>
      </c>
      <c r="M27" s="13" t="str">
        <f>_xll.BDH("NBIX US Equity","ARD_DERIVATIVE_LIABILITIES_ST","FQ2 2021","FQ2 2021","Currency=USD","Period=FQ","BEST_FPERIOD_OVERRIDE=FQ","FILING_STATUS=MR","SCALING_FORMAT=MLN","Sort=A","Dates=H","DateFormat=P","Fill=—","Direction=H","UseDPDF=Y")</f>
        <v>—</v>
      </c>
      <c r="N27" s="13" t="str">
        <f>_xll.BDH("NBIX US Equity","ARD_DERIVATIVE_LIABILITIES_ST","FQ3 2021","FQ3 2021","Currency=USD","Period=FQ","BEST_FPERIOD_OVERRIDE=FQ","FILING_STATUS=MR","SCALING_FORMAT=MLN","Sort=A","Dates=H","DateFormat=P","Fill=—","Direction=H","UseDPDF=Y")</f>
        <v>—</v>
      </c>
      <c r="O27" s="13" t="str">
        <f>_xll.BDH("NBIX US Equity","ARD_DERIVATIVE_LIABILITIES_ST","FQ4 2021","FQ4 2021","Currency=USD","Period=FQ","BEST_FPERIOD_OVERRIDE=FQ","FILING_STATUS=MR","SCALING_FORMAT=MLN","Sort=A","Dates=H","DateFormat=P","Fill=—","Direction=H","UseDPDF=Y")</f>
        <v>—</v>
      </c>
      <c r="P27" s="13" t="str">
        <f>_xll.BDH("NBIX US Equity","ARD_DERIVATIVE_LIABILITIES_ST","FQ1 2022","FQ1 2022","Currency=USD","Period=FQ","BEST_FPERIOD_OVERRIDE=FQ","FILING_STATUS=MR","SCALING_FORMAT=MLN","Sort=A","Dates=H","DateFormat=P","Fill=—","Direction=H","UseDPDF=Y")</f>
        <v>—</v>
      </c>
      <c r="Q27" s="13" t="str">
        <f>_xll.BDH("NBIX US Equity","ARD_DERIVATIVE_LIABILITIES_ST","FQ2 2022","FQ2 2022","Currency=USD","Period=FQ","BEST_FPERIOD_OVERRIDE=FQ","FILING_STATUS=MR","SCALING_FORMAT=MLN","Sort=A","Dates=H","DateFormat=P","Fill=—","Direction=H","UseDPDF=Y")</f>
        <v>—</v>
      </c>
      <c r="R27" s="13" t="str">
        <f>_xll.BDH("NBIX US Equity","ARD_DERIVATIVE_LIABILITIES_ST","FQ3 2022","FQ3 2022","Currency=USD","Period=FQ","BEST_FPERIOD_OVERRIDE=FQ","FILING_STATUS=MR","SCALING_FORMAT=MLN","Sort=A","Dates=H","DateFormat=P","Fill=—","Direction=H","UseDPDF=Y")</f>
        <v>—</v>
      </c>
      <c r="S27" s="13" t="str">
        <f>_xll.BDH("NBIX US Equity","ARD_DERIVATIVE_LIABILITIES_ST","FQ4 2022","FQ4 2022","Currency=USD","Period=FQ","BEST_FPERIOD_OVERRIDE=FQ","FILING_STATUS=MR","SCALING_FORMAT=MLN","Sort=A","Dates=H","DateFormat=P","Fill=—","Direction=H","UseDPDF=Y")</f>
        <v>—</v>
      </c>
      <c r="T27" s="13" t="str">
        <f>_xll.BDH("NBIX US Equity","ARD_DERIVATIVE_LIABILITIES_ST","FQ1 2023","FQ1 2023","Currency=USD","Period=FQ","BEST_FPERIOD_OVERRIDE=FQ","FILING_STATUS=MR","SCALING_FORMAT=MLN","Sort=A","Dates=H","DateFormat=P","Fill=—","Direction=H","UseDPDF=Y")</f>
        <v>—</v>
      </c>
      <c r="U27" s="13" t="str">
        <f>_xll.BDH("NBIX US Equity","ARD_DERIVATIVE_LIABILITIES_ST","FQ2 2023","FQ2 2023","Currency=USD","Period=FQ","BEST_FPERIOD_OVERRIDE=FQ","FILING_STATUS=MR","SCALING_FORMAT=MLN","Sort=A","Dates=H","DateFormat=P","Fill=—","Direction=H","UseDPDF=Y")</f>
        <v>—</v>
      </c>
      <c r="V27" s="13" t="str">
        <f>_xll.BDH("NBIX US Equity","ARD_DERIVATIVE_LIABILITIES_ST","FQ3 2023","FQ3 2023","Currency=USD","Period=FQ","BEST_FPERIOD_OVERRIDE=FQ","FILING_STATUS=MR","SCALING_FORMAT=MLN","Sort=A","Dates=H","DateFormat=P","Fill=—","Direction=H","UseDPDF=Y")</f>
        <v>—</v>
      </c>
      <c r="W27" s="13" t="str">
        <f>_xll.BDH("NBIX US Equity","ARD_DERIVATIVE_LIABILITIES_ST","FQ4 2023","FQ4 2023","Currency=USD","Period=FQ","BEST_FPERIOD_OVERRIDE=FQ","FILING_STATUS=MR","SCALING_FORMAT=MLN","Sort=A","Dates=H","DateFormat=P","Fill=—","Direction=H","UseDPDF=Y")</f>
        <v>—</v>
      </c>
      <c r="X27" s="13">
        <f>_xll.BDH("NBIX US Equity","ARD_DERIVATIVE_LIABILITIES_ST","FQ1 2024","FQ1 2024","Currency=USD","Period=FQ","BEST_FPERIOD_OVERRIDE=FQ","FILING_STATUS=MR","SCALING_FORMAT=MLN","Sort=A","Dates=H","DateFormat=P","Fill=—","Direction=H","UseDPDF=Y")</f>
        <v>136.19999999999999</v>
      </c>
      <c r="Y27" s="13" t="str">
        <f>_xll.BDH("NBIX US Equity","ARD_DERIVATIVE_LIABILITIES_ST","FQ2 2024","FQ2 2024","Currency=USD","Period=FQ","BEST_FPERIOD_OVERRIDE=FQ","FILING_STATUS=MR","SCALING_FORMAT=MLN","Sort=A","Dates=H","DateFormat=P","Fill=—","Direction=H","UseDPDF=Y")</f>
        <v>—</v>
      </c>
      <c r="Z27" s="13" t="str">
        <f>_xll.BDH("NBIX US Equity","ARD_DERIVATIVE_LIABILITIES_ST","FQ3 2024","FQ3 2024","Currency=USD","Period=FQ","BEST_FPERIOD_OVERRIDE=FQ","FILING_STATUS=MR","SCALING_FORMAT=MLN","Sort=A","Dates=H","DateFormat=P","Fill=—","Direction=H","UseDPDF=Y")</f>
        <v>—</v>
      </c>
      <c r="AA27" s="13" t="str">
        <f>_xll.BDH("NBIX US Equity","ARD_DERIVATIVE_LIABILITIES_ST","FQ4 2024","FQ4 2024","Currency=USD","Period=FQ","BEST_FPERIOD_OVERRIDE=FQ","FILING_STATUS=MR","SCALING_FORMAT=MLN","Sort=A","Dates=H","DateFormat=P","Fill=—","Direction=H","UseDPDF=Y")</f>
        <v>—</v>
      </c>
    </row>
    <row r="28" spans="1:27" x14ac:dyDescent="0.25">
      <c r="A28" s="10" t="s">
        <v>852</v>
      </c>
      <c r="B28" s="10" t="s">
        <v>853</v>
      </c>
      <c r="C28" s="13" t="str">
        <f>_xll.BDH("NBIX US Equity","ARD_CONVERT_DEBT","FQ4 2018","FQ4 2018","Currency=USD","Period=FQ","BEST_FPERIOD_OVERRIDE=FQ","FILING_STATUS=MR","SCALING_FORMAT=MLN","Sort=A","Dates=H","DateFormat=P","Fill=—","Direction=H","UseDPDF=Y")</f>
        <v>—</v>
      </c>
      <c r="D28" s="13" t="str">
        <f>_xll.BDH("NBIX US Equity","ARD_CONVERT_DEBT","FQ1 2019","FQ1 2019","Currency=USD","Period=FQ","BEST_FPERIOD_OVERRIDE=FQ","FILING_STATUS=MR","SCALING_FORMAT=MLN","Sort=A","Dates=H","DateFormat=P","Fill=—","Direction=H","UseDPDF=Y")</f>
        <v>—</v>
      </c>
      <c r="E28" s="13" t="str">
        <f>_xll.BDH("NBIX US Equity","ARD_CONVERT_DEBT","FQ2 2019","FQ2 2019","Currency=USD","Period=FQ","BEST_FPERIOD_OVERRIDE=FQ","FILING_STATUS=MR","SCALING_FORMAT=MLN","Sort=A","Dates=H","DateFormat=P","Fill=—","Direction=H","UseDPDF=Y")</f>
        <v>—</v>
      </c>
      <c r="F28" s="13" t="str">
        <f>_xll.BDH("NBIX US Equity","ARD_CONVERT_DEBT","FQ3 2019","FQ3 2019","Currency=USD","Period=FQ","BEST_FPERIOD_OVERRIDE=FQ","FILING_STATUS=MR","SCALING_FORMAT=MLN","Sort=A","Dates=H","DateFormat=P","Fill=—","Direction=H","UseDPDF=Y")</f>
        <v>—</v>
      </c>
      <c r="G28" s="13">
        <f>_xll.BDH("NBIX US Equity","ARD_CONVERT_DEBT","FQ4 2019","FQ4 2019","Currency=USD","Period=FQ","BEST_FPERIOD_OVERRIDE=FQ","FILING_STATUS=MR","SCALING_FORMAT=MLN","Sort=A","Dates=H","DateFormat=P","Fill=—","Direction=H","UseDPDF=Y")</f>
        <v>408.8</v>
      </c>
      <c r="H28" s="13">
        <f>_xll.BDH("NBIX US Equity","ARD_CONVERT_DEBT","FQ1 2020","FQ1 2020","Currency=USD","Period=FQ","BEST_FPERIOD_OVERRIDE=FQ","FILING_STATUS=MR","SCALING_FORMAT=MLN","Sort=A","Dates=H","DateFormat=P","Fill=—","Direction=H","UseDPDF=Y")</f>
        <v>0</v>
      </c>
      <c r="I28" s="13">
        <f>_xll.BDH("NBIX US Equity","ARD_CONVERT_DEBT","FQ2 2020","FQ2 2020","Currency=USD","Period=FQ","BEST_FPERIOD_OVERRIDE=FQ","FILING_STATUS=MR","SCALING_FORMAT=MLN","Sort=A","Dates=H","DateFormat=P","Fill=—","Direction=H","UseDPDF=Y")</f>
        <v>419.5</v>
      </c>
      <c r="J28" s="13">
        <f>_xll.BDH("NBIX US Equity","ARD_CONVERT_DEBT","FQ3 2020","FQ3 2020","Currency=USD","Period=FQ","BEST_FPERIOD_OVERRIDE=FQ","FILING_STATUS=MR","SCALING_FORMAT=MLN","Sort=A","Dates=H","DateFormat=P","Fill=—","Direction=H","UseDPDF=Y")</f>
        <v>425</v>
      </c>
      <c r="K28" s="13">
        <f>_xll.BDH("NBIX US Equity","ARD_CONVERT_DEBT","FQ4 2020","FQ4 2020","Currency=USD","Period=FQ","BEST_FPERIOD_OVERRIDE=FQ","FILING_STATUS=MR","SCALING_FORMAT=MLN","Sort=A","Dates=H","DateFormat=P","Fill=—","Direction=H","UseDPDF=Y")</f>
        <v>0</v>
      </c>
      <c r="L28" s="13" t="str">
        <f>_xll.BDH("NBIX US Equity","ARD_CONVERT_DEBT","FQ1 2021","FQ1 2021","Currency=USD","Period=FQ","BEST_FPERIOD_OVERRIDE=FQ","FILING_STATUS=MR","SCALING_FORMAT=MLN","Sort=A","Dates=H","DateFormat=P","Fill=—","Direction=H","UseDPDF=Y")</f>
        <v>—</v>
      </c>
      <c r="M28" s="13" t="str">
        <f>_xll.BDH("NBIX US Equity","ARD_CONVERT_DEBT","FQ2 2021","FQ2 2021","Currency=USD","Period=FQ","BEST_FPERIOD_OVERRIDE=FQ","FILING_STATUS=MR","SCALING_FORMAT=MLN","Sort=A","Dates=H","DateFormat=P","Fill=—","Direction=H","UseDPDF=Y")</f>
        <v>—</v>
      </c>
      <c r="N28" s="13" t="str">
        <f>_xll.BDH("NBIX US Equity","ARD_CONVERT_DEBT","FQ3 2021","FQ3 2021","Currency=USD","Period=FQ","BEST_FPERIOD_OVERRIDE=FQ","FILING_STATUS=MR","SCALING_FORMAT=MLN","Sort=A","Dates=H","DateFormat=P","Fill=—","Direction=H","UseDPDF=Y")</f>
        <v>—</v>
      </c>
      <c r="O28" s="13" t="str">
        <f>_xll.BDH("NBIX US Equity","ARD_CONVERT_DEBT","FQ4 2021","FQ4 2021","Currency=USD","Period=FQ","BEST_FPERIOD_OVERRIDE=FQ","FILING_STATUS=MR","SCALING_FORMAT=MLN","Sort=A","Dates=H","DateFormat=P","Fill=—","Direction=H","UseDPDF=Y")</f>
        <v>—</v>
      </c>
      <c r="P28" s="13" t="str">
        <f>_xll.BDH("NBIX US Equity","ARD_CONVERT_DEBT","FQ1 2022","FQ1 2022","Currency=USD","Period=FQ","BEST_FPERIOD_OVERRIDE=FQ","FILING_STATUS=MR","SCALING_FORMAT=MLN","Sort=A","Dates=H","DateFormat=P","Fill=—","Direction=H","UseDPDF=Y")</f>
        <v>—</v>
      </c>
      <c r="Q28" s="13" t="str">
        <f>_xll.BDH("NBIX US Equity","ARD_CONVERT_DEBT","FQ2 2022","FQ2 2022","Currency=USD","Period=FQ","BEST_FPERIOD_OVERRIDE=FQ","FILING_STATUS=MR","SCALING_FORMAT=MLN","Sort=A","Dates=H","DateFormat=P","Fill=—","Direction=H","UseDPDF=Y")</f>
        <v>—</v>
      </c>
      <c r="R28" s="13">
        <f>_xll.BDH("NBIX US Equity","ARD_CONVERT_DEBT","FQ3 2022","FQ3 2022","Currency=USD","Period=FQ","BEST_FPERIOD_OVERRIDE=FQ","FILING_STATUS=MR","SCALING_FORMAT=MLN","Sort=A","Dates=H","DateFormat=P","Fill=—","Direction=H","UseDPDF=Y")</f>
        <v>169.2</v>
      </c>
      <c r="S28" s="13">
        <f>_xll.BDH("NBIX US Equity","ARD_CONVERT_DEBT","FQ4 2022","FQ4 2022","Currency=USD","Period=FQ","BEST_FPERIOD_OVERRIDE=FQ","FILING_STATUS=MR","SCALING_FORMAT=MLN","Sort=A","Dates=H","DateFormat=P","Fill=—","Direction=H","UseDPDF=Y")</f>
        <v>169.4</v>
      </c>
      <c r="T28" s="13">
        <f>_xll.BDH("NBIX US Equity","ARD_CONVERT_DEBT","FQ1 2023","FQ1 2023","Currency=USD","Period=FQ","BEST_FPERIOD_OVERRIDE=FQ","FILING_STATUS=MR","SCALING_FORMAT=MLN","Sort=A","Dates=H","DateFormat=P","Fill=—","Direction=H","UseDPDF=Y")</f>
        <v>0</v>
      </c>
      <c r="U28" s="13">
        <f>_xll.BDH("NBIX US Equity","ARD_CONVERT_DEBT","FQ2 2023","FQ2 2023","Currency=USD","Period=FQ","BEST_FPERIOD_OVERRIDE=FQ","FILING_STATUS=MR","SCALING_FORMAT=MLN","Sort=A","Dates=H","DateFormat=P","Fill=—","Direction=H","UseDPDF=Y")</f>
        <v>169.7</v>
      </c>
      <c r="V28" s="13">
        <f>_xll.BDH("NBIX US Equity","ARD_CONVERT_DEBT","FQ3 2023","FQ3 2023","Currency=USD","Period=FQ","BEST_FPERIOD_OVERRIDE=FQ","FILING_STATUS=MR","SCALING_FORMAT=MLN","Sort=A","Dates=H","DateFormat=P","Fill=—","Direction=H","UseDPDF=Y")</f>
        <v>169.9</v>
      </c>
      <c r="W28" s="13">
        <f>_xll.BDH("NBIX US Equity","ARD_CONVERT_DEBT","FQ4 2023","FQ4 2023","Currency=USD","Period=FQ","BEST_FPERIOD_OVERRIDE=FQ","FILING_STATUS=MR","SCALING_FORMAT=MLN","Sort=A","Dates=H","DateFormat=P","Fill=—","Direction=H","UseDPDF=Y")</f>
        <v>170.1</v>
      </c>
      <c r="X28" s="13">
        <f>_xll.BDH("NBIX US Equity","ARD_CONVERT_DEBT","FQ1 2024","FQ1 2024","Currency=USD","Period=FQ","BEST_FPERIOD_OVERRIDE=FQ","FILING_STATUS=MR","SCALING_FORMAT=MLN","Sort=A","Dates=H","DateFormat=P","Fill=—","Direction=H","UseDPDF=Y")</f>
        <v>122.8</v>
      </c>
      <c r="Y28" s="13">
        <f>_xll.BDH("NBIX US Equity","ARD_CONVERT_DEBT","FQ2 2024","FQ2 2024","Currency=USD","Period=FQ","BEST_FPERIOD_OVERRIDE=FQ","FILING_STATUS=MR","SCALING_FORMAT=MLN","Sort=A","Dates=H","DateFormat=P","Fill=—","Direction=H","UseDPDF=Y")</f>
        <v>0</v>
      </c>
      <c r="Z28" s="13">
        <f>_xll.BDH("NBIX US Equity","ARD_CONVERT_DEBT","FQ3 2024","FQ3 2024","Currency=USD","Period=FQ","BEST_FPERIOD_OVERRIDE=FQ","FILING_STATUS=MR","SCALING_FORMAT=MLN","Sort=A","Dates=H","DateFormat=P","Fill=—","Direction=H","UseDPDF=Y")</f>
        <v>0</v>
      </c>
      <c r="AA28" s="13">
        <f>_xll.BDH("NBIX US Equity","ARD_CONVERT_DEBT","FQ4 2024","FQ4 2024","Currency=USD","Period=FQ","BEST_FPERIOD_OVERRIDE=FQ","FILING_STATUS=MR","SCALING_FORMAT=MLN","Sort=A","Dates=H","DateFormat=P","Fill=—","Direction=H","UseDPDF=Y")</f>
        <v>0</v>
      </c>
    </row>
    <row r="29" spans="1:27" x14ac:dyDescent="0.25">
      <c r="A29" s="6" t="s">
        <v>114</v>
      </c>
      <c r="B29" s="6" t="s">
        <v>854</v>
      </c>
      <c r="C29" s="19">
        <f>_xll.BDH("NBIX US Equity","ARD_TOTAL_CURRENT_LIABILITIES","FQ4 2018","FQ4 2018","Currency=USD","Period=FQ","BEST_FPERIOD_OVERRIDE=FQ","FILING_STATUS=MR","SCALING_FORMAT=MLN","Sort=A","Dates=H","DateFormat=P","Fill=—","Direction=H","UseDPDF=Y")</f>
        <v>88.233000000000004</v>
      </c>
      <c r="D29" s="19">
        <f>_xll.BDH("NBIX US Equity","ARD_TOTAL_CURRENT_LIABILITIES","FQ1 2019","FQ1 2019","Currency=USD","Period=FQ","BEST_FPERIOD_OVERRIDE=FQ","FILING_STATUS=MR","SCALING_FORMAT=MLN","Sort=A","Dates=H","DateFormat=P","Fill=—","Direction=H","UseDPDF=Y")</f>
        <v>72.003</v>
      </c>
      <c r="E29" s="19">
        <f>_xll.BDH("NBIX US Equity","ARD_TOTAL_CURRENT_LIABILITIES","FQ2 2019","FQ2 2019","Currency=USD","Period=FQ","BEST_FPERIOD_OVERRIDE=FQ","FILING_STATUS=MR","SCALING_FORMAT=MLN","Sort=A","Dates=H","DateFormat=P","Fill=—","Direction=H","UseDPDF=Y")</f>
        <v>100.589</v>
      </c>
      <c r="F29" s="19">
        <f>_xll.BDH("NBIX US Equity","ARD_TOTAL_CURRENT_LIABILITIES","FQ3 2019","FQ3 2019","Currency=USD","Period=FQ","BEST_FPERIOD_OVERRIDE=FQ","FILING_STATUS=MR","SCALING_FORMAT=MLN","Sort=A","Dates=H","DateFormat=P","Fill=—","Direction=H","UseDPDF=Y")</f>
        <v>115.652</v>
      </c>
      <c r="G29" s="19">
        <f>_xll.BDH("NBIX US Equity","ARD_TOTAL_CURRENT_LIABILITIES","FQ4 2019","FQ4 2019","Currency=USD","Period=FQ","BEST_FPERIOD_OVERRIDE=FQ","FILING_STATUS=MR","SCALING_FORMAT=MLN","Sort=A","Dates=H","DateFormat=P","Fill=—","Direction=H","UseDPDF=Y")</f>
        <v>565.29999999999995</v>
      </c>
      <c r="H29" s="19">
        <f>_xll.BDH("NBIX US Equity","ARD_TOTAL_CURRENT_LIABILITIES","FQ1 2020","FQ1 2020","Currency=USD","Period=FQ","BEST_FPERIOD_OVERRIDE=FQ","FILING_STATUS=MR","SCALING_FORMAT=MLN","Sort=A","Dates=H","DateFormat=P","Fill=—","Direction=H","UseDPDF=Y")</f>
        <v>140.30000000000001</v>
      </c>
      <c r="I29" s="19">
        <f>_xll.BDH("NBIX US Equity","ARD_TOTAL_CURRENT_LIABILITIES","FQ2 2020","FQ2 2020","Currency=USD","Period=FQ","BEST_FPERIOD_OVERRIDE=FQ","FILING_STATUS=MR","SCALING_FORMAT=MLN","Sort=A","Dates=H","DateFormat=P","Fill=—","Direction=H","UseDPDF=Y")</f>
        <v>573</v>
      </c>
      <c r="J29" s="19">
        <f>_xll.BDH("NBIX US Equity","ARD_TOTAL_CURRENT_LIABILITIES","FQ3 2020","FQ3 2020","Currency=USD","Period=FQ","BEST_FPERIOD_OVERRIDE=FQ","FILING_STATUS=MR","SCALING_FORMAT=MLN","Sort=A","Dates=H","DateFormat=P","Fill=—","Direction=H","UseDPDF=Y")</f>
        <v>611</v>
      </c>
      <c r="K29" s="19">
        <f>_xll.BDH("NBIX US Equity","ARD_TOTAL_CURRENT_LIABILITIES","FQ4 2020","FQ4 2020","Currency=USD","Period=FQ","BEST_FPERIOD_OVERRIDE=FQ","FILING_STATUS=MR","SCALING_FORMAT=MLN","Sort=A","Dates=H","DateFormat=P","Fill=—","Direction=H","UseDPDF=Y")</f>
        <v>186.5</v>
      </c>
      <c r="L29" s="19">
        <f>_xll.BDH("NBIX US Equity","ARD_TOTAL_CURRENT_LIABILITIES","FQ1 2021","FQ1 2021","Currency=USD","Period=FQ","BEST_FPERIOD_OVERRIDE=FQ","FILING_STATUS=MR","SCALING_FORMAT=MLN","Sort=A","Dates=H","DateFormat=P","Fill=—","Direction=H","UseDPDF=Y")</f>
        <v>190</v>
      </c>
      <c r="M29" s="19">
        <f>_xll.BDH("NBIX US Equity","ARD_TOTAL_CURRENT_LIABILITIES","FQ2 2021","FQ2 2021","Currency=USD","Period=FQ","BEST_FPERIOD_OVERRIDE=FQ","FILING_STATUS=MR","SCALING_FORMAT=MLN","Sort=A","Dates=H","DateFormat=P","Fill=—","Direction=H","UseDPDF=Y")</f>
        <v>212.9</v>
      </c>
      <c r="N29" s="19">
        <f>_xll.BDH("NBIX US Equity","ARD_TOTAL_CURRENT_LIABILITIES","FQ3 2021","FQ3 2021","Currency=USD","Period=FQ","BEST_FPERIOD_OVERRIDE=FQ","FILING_STATUS=MR","SCALING_FORMAT=MLN","Sort=A","Dates=H","DateFormat=P","Fill=—","Direction=H","UseDPDF=Y")</f>
        <v>225.9</v>
      </c>
      <c r="O29" s="19">
        <f>_xll.BDH("NBIX US Equity","ARD_TOTAL_CURRENT_LIABILITIES","FQ4 2021","FQ4 2021","Currency=USD","Period=FQ","BEST_FPERIOD_OVERRIDE=FQ","FILING_STATUS=MR","SCALING_FORMAT=MLN","Sort=A","Dates=H","DateFormat=P","Fill=—","Direction=H","UseDPDF=Y")</f>
        <v>245.8</v>
      </c>
      <c r="P29" s="19">
        <f>_xll.BDH("NBIX US Equity","ARD_TOTAL_CURRENT_LIABILITIES","FQ1 2022","FQ1 2022","Currency=USD","Period=FQ","BEST_FPERIOD_OVERRIDE=FQ","FILING_STATUS=MR","SCALING_FORMAT=MLN","Sort=A","Dates=H","DateFormat=P","Fill=—","Direction=H","UseDPDF=Y")</f>
        <v>253.5</v>
      </c>
      <c r="Q29" s="19">
        <f>_xll.BDH("NBIX US Equity","ARD_TOTAL_CURRENT_LIABILITIES","FQ2 2022","FQ2 2022","Currency=USD","Period=FQ","BEST_FPERIOD_OVERRIDE=FQ","FILING_STATUS=MR","SCALING_FORMAT=MLN","Sort=A","Dates=H","DateFormat=P","Fill=—","Direction=H","UseDPDF=Y")</f>
        <v>285.7</v>
      </c>
      <c r="R29" s="19">
        <f>_xll.BDH("NBIX US Equity","ARD_TOTAL_CURRENT_LIABILITIES","FQ3 2022","FQ3 2022","Currency=USD","Period=FQ","BEST_FPERIOD_OVERRIDE=FQ","FILING_STATUS=MR","SCALING_FORMAT=MLN","Sort=A","Dates=H","DateFormat=P","Fill=—","Direction=H","UseDPDF=Y")</f>
        <v>485.1</v>
      </c>
      <c r="S29" s="19">
        <f>_xll.BDH("NBIX US Equity","ARD_TOTAL_CURRENT_LIABILITIES","FQ4 2022","FQ4 2022","Currency=USD","Period=FQ","BEST_FPERIOD_OVERRIDE=FQ","FILING_STATUS=MR","SCALING_FORMAT=MLN","Sort=A","Dates=H","DateFormat=P","Fill=—","Direction=H","UseDPDF=Y")</f>
        <v>537.70000000000005</v>
      </c>
      <c r="T29" s="19">
        <f>_xll.BDH("NBIX US Equity","ARD_TOTAL_CURRENT_LIABILITIES","FQ1 2023","FQ1 2023","Currency=USD","Period=FQ","BEST_FPERIOD_OVERRIDE=FQ","FILING_STATUS=MR","SCALING_FORMAT=MLN","Sort=A","Dates=H","DateFormat=P","Fill=—","Direction=H","UseDPDF=Y")</f>
        <v>374.1</v>
      </c>
      <c r="U29" s="19">
        <f>_xll.BDH("NBIX US Equity","ARD_TOTAL_CURRENT_LIABILITIES","FQ2 2023","FQ2 2023","Currency=USD","Period=FQ","BEST_FPERIOD_OVERRIDE=FQ","FILING_STATUS=MR","SCALING_FORMAT=MLN","Sort=A","Dates=H","DateFormat=P","Fill=—","Direction=H","UseDPDF=Y")</f>
        <v>582.5</v>
      </c>
      <c r="V29" s="19">
        <f>_xll.BDH("NBIX US Equity","ARD_TOTAL_CURRENT_LIABILITIES","FQ3 2023","FQ3 2023","Currency=USD","Period=FQ","BEST_FPERIOD_OVERRIDE=FQ","FILING_STATUS=MR","SCALING_FORMAT=MLN","Sort=A","Dates=H","DateFormat=P","Fill=—","Direction=H","UseDPDF=Y")</f>
        <v>691.6</v>
      </c>
      <c r="W29" s="19">
        <f>_xll.BDH("NBIX US Equity","ARD_TOTAL_CURRENT_LIABILITIES","FQ4 2023","FQ4 2023","Currency=USD","Period=FQ","BEST_FPERIOD_OVERRIDE=FQ","FILING_STATUS=MR","SCALING_FORMAT=MLN","Sort=A","Dates=H","DateFormat=P","Fill=—","Direction=H","UseDPDF=Y")</f>
        <v>654.79999999999995</v>
      </c>
      <c r="X29" s="19">
        <f>_xll.BDH("NBIX US Equity","ARD_TOTAL_CURRENT_LIABILITIES","FQ1 2024","FQ1 2024","Currency=USD","Period=FQ","BEST_FPERIOD_OVERRIDE=FQ","FILING_STATUS=MR","SCALING_FORMAT=MLN","Sort=A","Dates=H","DateFormat=P","Fill=—","Direction=H","UseDPDF=Y")</f>
        <v>712.9</v>
      </c>
      <c r="Y29" s="19">
        <f>_xll.BDH("NBIX US Equity","ARD_TOTAL_CURRENT_LIABILITIES","FQ2 2024","FQ2 2024","Currency=USD","Period=FQ","BEST_FPERIOD_OVERRIDE=FQ","FILING_STATUS=MR","SCALING_FORMAT=MLN","Sort=A","Dates=H","DateFormat=P","Fill=—","Direction=H","UseDPDF=Y")</f>
        <v>398.5</v>
      </c>
      <c r="Z29" s="19">
        <f>_xll.BDH("NBIX US Equity","ARD_TOTAL_CURRENT_LIABILITIES","FQ3 2024","FQ3 2024","Currency=USD","Period=FQ","BEST_FPERIOD_OVERRIDE=FQ","FILING_STATUS=MR","SCALING_FORMAT=MLN","Sort=A","Dates=H","DateFormat=P","Fill=—","Direction=H","UseDPDF=Y")</f>
        <v>429.7</v>
      </c>
      <c r="AA29" s="19">
        <f>_xll.BDH("NBIX US Equity","ARD_TOTAL_CURRENT_LIABILITIES","FQ4 2024","FQ4 2024","Currency=USD","Period=FQ","BEST_FPERIOD_OVERRIDE=FQ","FILING_STATUS=MR","SCALING_FORMAT=MLN","Sort=A","Dates=H","DateFormat=P","Fill=—","Direction=H","UseDPDF=Y")</f>
        <v>507.7</v>
      </c>
    </row>
    <row r="30" spans="1:27" x14ac:dyDescent="0.25">
      <c r="A30" s="10" t="s">
        <v>855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5">
      <c r="A31" s="10" t="s">
        <v>770</v>
      </c>
      <c r="B31" s="10" t="s">
        <v>856</v>
      </c>
      <c r="C31" s="13" t="str">
        <f>_xll.BDH("NBIX US Equity","ARD_TOT_NONCURRENT_LIABILITIES","FQ4 2018","FQ4 2018","Currency=USD","Period=FQ","BEST_FPERIOD_OVERRIDE=FQ","FILING_STATUS=MR","SCALING_FORMAT=MLN","Sort=A","Dates=H","DateFormat=P","Fill=—","Direction=H","UseDPDF=Y")</f>
        <v>—</v>
      </c>
      <c r="D31" s="13" t="str">
        <f>_xll.BDH("NBIX US Equity","ARD_TOT_NONCURRENT_LIABILITIES","FQ1 2019","FQ1 2019","Currency=USD","Period=FQ","BEST_FPERIOD_OVERRIDE=FQ","FILING_STATUS=MR","SCALING_FORMAT=MLN","Sort=A","Dates=H","DateFormat=P","Fill=—","Direction=H","UseDPDF=Y")</f>
        <v>—</v>
      </c>
      <c r="E31" s="13" t="str">
        <f>_xll.BDH("NBIX US Equity","ARD_TOT_NONCURRENT_LIABILITIES","FQ2 2019","FQ2 2019","Currency=USD","Period=FQ","BEST_FPERIOD_OVERRIDE=FQ","FILING_STATUS=MR","SCALING_FORMAT=MLN","Sort=A","Dates=H","DateFormat=P","Fill=—","Direction=H","UseDPDF=Y")</f>
        <v>—</v>
      </c>
      <c r="F31" s="13" t="str">
        <f>_xll.BDH("NBIX US Equity","ARD_TOT_NONCURRENT_LIABILITIES","FQ3 2019","FQ3 2019","Currency=USD","Period=FQ","BEST_FPERIOD_OVERRIDE=FQ","FILING_STATUS=MR","SCALING_FORMAT=MLN","Sort=A","Dates=H","DateFormat=P","Fill=—","Direction=H","UseDPDF=Y")</f>
        <v>—</v>
      </c>
      <c r="G31" s="13" t="str">
        <f>_xll.BDH("NBIX US Equity","ARD_TOT_NONCURRENT_LIABILITIES","FQ4 2019","FQ4 2019","Currency=USD","Period=FQ","BEST_FPERIOD_OVERRIDE=FQ","FILING_STATUS=MR","SCALING_FORMAT=MLN","Sort=A","Dates=H","DateFormat=P","Fill=—","Direction=H","UseDPDF=Y")</f>
        <v>—</v>
      </c>
      <c r="H31" s="13" t="str">
        <f>_xll.BDH("NBIX US Equity","ARD_TOT_NONCURRENT_LIABILITIES","FQ1 2020","FQ1 2020","Currency=USD","Period=FQ","BEST_FPERIOD_OVERRIDE=FQ","FILING_STATUS=MR","SCALING_FORMAT=MLN","Sort=A","Dates=H","DateFormat=P","Fill=—","Direction=H","UseDPDF=Y")</f>
        <v>—</v>
      </c>
      <c r="I31" s="13" t="str">
        <f>_xll.BDH("NBIX US Equity","ARD_TOT_NONCURRENT_LIABILITIES","FQ2 2020","FQ2 2020","Currency=USD","Period=FQ","BEST_FPERIOD_OVERRIDE=FQ","FILING_STATUS=MR","SCALING_FORMAT=MLN","Sort=A","Dates=H","DateFormat=P","Fill=—","Direction=H","UseDPDF=Y")</f>
        <v>—</v>
      </c>
      <c r="J31" s="13" t="str">
        <f>_xll.BDH("NBIX US Equity","ARD_TOT_NONCURRENT_LIABILITIES","FQ3 2020","FQ3 2020","Currency=USD","Period=FQ","BEST_FPERIOD_OVERRIDE=FQ","FILING_STATUS=MR","SCALING_FORMAT=MLN","Sort=A","Dates=H","DateFormat=P","Fill=—","Direction=H","UseDPDF=Y")</f>
        <v>—</v>
      </c>
      <c r="K31" s="13" t="str">
        <f>_xll.BDH("NBIX US Equity","ARD_TOT_NONCURRENT_LIABILITIES","FQ4 2020","FQ4 2020","Currency=USD","Period=FQ","BEST_FPERIOD_OVERRIDE=FQ","FILING_STATUS=MR","SCALING_FORMAT=MLN","Sort=A","Dates=H","DateFormat=P","Fill=—","Direction=H","UseDPDF=Y")</f>
        <v>—</v>
      </c>
      <c r="L31" s="13" t="str">
        <f>_xll.BDH("NBIX US Equity","ARD_TOT_NONCURRENT_LIABILITIES","FQ1 2021","FQ1 2021","Currency=USD","Period=FQ","BEST_FPERIOD_OVERRIDE=FQ","FILING_STATUS=MR","SCALING_FORMAT=MLN","Sort=A","Dates=H","DateFormat=P","Fill=—","Direction=H","UseDPDF=Y")</f>
        <v>—</v>
      </c>
      <c r="M31" s="13" t="str">
        <f>_xll.BDH("NBIX US Equity","ARD_TOT_NONCURRENT_LIABILITIES","FQ2 2021","FQ2 2021","Currency=USD","Period=FQ","BEST_FPERIOD_OVERRIDE=FQ","FILING_STATUS=MR","SCALING_FORMAT=MLN","Sort=A","Dates=H","DateFormat=P","Fill=—","Direction=H","UseDPDF=Y")</f>
        <v>—</v>
      </c>
      <c r="N31" s="13" t="str">
        <f>_xll.BDH("NBIX US Equity","ARD_TOT_NONCURRENT_LIABILITIES","FQ3 2021","FQ3 2021","Currency=USD","Period=FQ","BEST_FPERIOD_OVERRIDE=FQ","FILING_STATUS=MR","SCALING_FORMAT=MLN","Sort=A","Dates=H","DateFormat=P","Fill=—","Direction=H","UseDPDF=Y")</f>
        <v>—</v>
      </c>
      <c r="O31" s="13" t="str">
        <f>_xll.BDH("NBIX US Equity","ARD_TOT_NONCURRENT_LIABILITIES","FQ4 2021","FQ4 2021","Currency=USD","Period=FQ","BEST_FPERIOD_OVERRIDE=FQ","FILING_STATUS=MR","SCALING_FORMAT=MLN","Sort=A","Dates=H","DateFormat=P","Fill=—","Direction=H","UseDPDF=Y")</f>
        <v>—</v>
      </c>
      <c r="P31" s="13">
        <f>_xll.BDH("NBIX US Equity","ARD_TOT_NONCURRENT_LIABILITIES","FQ1 2022","FQ1 2022","Currency=USD","Period=FQ","BEST_FPERIOD_OVERRIDE=FQ","FILING_STATUS=MR","SCALING_FORMAT=MLN","Sort=A","Dates=H","DateFormat=P","Fill=—","Direction=H","UseDPDF=Y")</f>
        <v>499.9</v>
      </c>
      <c r="Q31" s="13" t="str">
        <f>_xll.BDH("NBIX US Equity","ARD_TOT_NONCURRENT_LIABILITIES","FQ2 2022","FQ2 2022","Currency=USD","Period=FQ","BEST_FPERIOD_OVERRIDE=FQ","FILING_STATUS=MR","SCALING_FORMAT=MLN","Sort=A","Dates=H","DateFormat=P","Fill=—","Direction=H","UseDPDF=Y")</f>
        <v>—</v>
      </c>
      <c r="R31" s="13" t="str">
        <f>_xll.BDH("NBIX US Equity","ARD_TOT_NONCURRENT_LIABILITIES","FQ3 2022","FQ3 2022","Currency=USD","Period=FQ","BEST_FPERIOD_OVERRIDE=FQ","FILING_STATUS=MR","SCALING_FORMAT=MLN","Sort=A","Dates=H","DateFormat=P","Fill=—","Direction=H","UseDPDF=Y")</f>
        <v>—</v>
      </c>
      <c r="S31" s="13">
        <f>_xll.BDH("NBIX US Equity","ARD_TOT_NONCURRENT_LIABILITIES","FQ4 2022","FQ4 2022","Currency=USD","Period=FQ","BEST_FPERIOD_OVERRIDE=FQ","FILING_STATUS=MR","SCALING_FORMAT=MLN","Sort=A","Dates=H","DateFormat=P","Fill=—","Direction=H","UseDPDF=Y")</f>
        <v>123.2</v>
      </c>
      <c r="T31" s="13">
        <f>_xll.BDH("NBIX US Equity","ARD_TOT_NONCURRENT_LIABILITIES","FQ1 2023","FQ1 2023","Currency=USD","Period=FQ","BEST_FPERIOD_OVERRIDE=FQ","FILING_STATUS=MR","SCALING_FORMAT=MLN","Sort=A","Dates=H","DateFormat=P","Fill=—","Direction=H","UseDPDF=Y")</f>
        <v>301.2</v>
      </c>
      <c r="U31" s="13">
        <f>_xll.BDH("NBIX US Equity","ARD_TOT_NONCURRENT_LIABILITIES","FQ2 2023","FQ2 2023","Currency=USD","Period=FQ","BEST_FPERIOD_OVERRIDE=FQ","FILING_STATUS=MR","SCALING_FORMAT=MLN","Sort=A","Dates=H","DateFormat=P","Fill=—","Direction=H","UseDPDF=Y")</f>
        <v>177.6</v>
      </c>
      <c r="V31" s="13">
        <f>_xll.BDH("NBIX US Equity","ARD_TOT_NONCURRENT_LIABILITIES","FQ3 2023","FQ3 2023","Currency=USD","Period=FQ","BEST_FPERIOD_OVERRIDE=FQ","FILING_STATUS=MR","SCALING_FORMAT=MLN","Sort=A","Dates=H","DateFormat=P","Fill=—","Direction=H","UseDPDF=Y")</f>
        <v>154.5</v>
      </c>
      <c r="W31" s="13">
        <f>_xll.BDH("NBIX US Equity","ARD_TOT_NONCURRENT_LIABILITIES","FQ4 2023","FQ4 2023","Currency=USD","Period=FQ","BEST_FPERIOD_OVERRIDE=FQ","FILING_STATUS=MR","SCALING_FORMAT=MLN","Sort=A","Dates=H","DateFormat=P","Fill=—","Direction=H","UseDPDF=Y")</f>
        <v>364.6</v>
      </c>
      <c r="X31" s="13">
        <f>_xll.BDH("NBIX US Equity","ARD_TOT_NONCURRENT_LIABILITIES","FQ1 2024","FQ1 2024","Currency=USD","Period=FQ","BEST_FPERIOD_OVERRIDE=FQ","FILING_STATUS=MR","SCALING_FORMAT=MLN","Sort=A","Dates=H","DateFormat=P","Fill=—","Direction=H","UseDPDF=Y")</f>
        <v>373.4</v>
      </c>
      <c r="Y31" s="13" t="str">
        <f>_xll.BDH("NBIX US Equity","ARD_TOT_NONCURRENT_LIABILITIES","FQ2 2024","FQ2 2024","Currency=USD","Period=FQ","BEST_FPERIOD_OVERRIDE=FQ","FILING_STATUS=MR","SCALING_FORMAT=MLN","Sort=A","Dates=H","DateFormat=P","Fill=—","Direction=H","UseDPDF=Y")</f>
        <v>—</v>
      </c>
      <c r="Z31" s="13" t="str">
        <f>_xll.BDH("NBIX US Equity","ARD_TOT_NONCURRENT_LIABILITIES","FQ3 2024","FQ3 2024","Currency=USD","Period=FQ","BEST_FPERIOD_OVERRIDE=FQ","FILING_STATUS=MR","SCALING_FORMAT=MLN","Sort=A","Dates=H","DateFormat=P","Fill=—","Direction=H","UseDPDF=Y")</f>
        <v>—</v>
      </c>
      <c r="AA31" s="13" t="str">
        <f>_xll.BDH("NBIX US Equity","ARD_TOT_NONCURRENT_LIABILITIES","FQ4 2024","FQ4 2024","Currency=USD","Period=FQ","BEST_FPERIOD_OVERRIDE=FQ","FILING_STATUS=MR","SCALING_FORMAT=MLN","Sort=A","Dates=H","DateFormat=P","Fill=—","Direction=H","UseDPDF=Y")</f>
        <v>—</v>
      </c>
    </row>
    <row r="32" spans="1:27" x14ac:dyDescent="0.25">
      <c r="A32" s="10" t="s">
        <v>857</v>
      </c>
      <c r="B32" s="10" t="s">
        <v>858</v>
      </c>
      <c r="C32" s="13" t="str">
        <f>_xll.BDH("NBIX US Equity","ARD_LT_CAP_LEASE_OBLIGATIONS","FQ4 2018","FQ4 2018","Currency=USD","Period=FQ","BEST_FPERIOD_OVERRIDE=FQ","FILING_STATUS=MR","SCALING_FORMAT=MLN","Sort=A","Dates=H","DateFormat=P","Fill=—","Direction=H","UseDPDF=Y")</f>
        <v>—</v>
      </c>
      <c r="D32" s="13">
        <f>_xll.BDH("NBIX US Equity","ARD_LT_CAP_LEASE_OBLIGATIONS","FQ1 2019","FQ1 2019","Currency=USD","Period=FQ","BEST_FPERIOD_OVERRIDE=FQ","FILING_STATUS=MR","SCALING_FORMAT=MLN","Sort=A","Dates=H","DateFormat=P","Fill=—","Direction=H","UseDPDF=Y")</f>
        <v>67.147000000000006</v>
      </c>
      <c r="E32" s="13" t="str">
        <f>_xll.BDH("NBIX US Equity","ARD_LT_CAP_LEASE_OBLIGATIONS","FQ2 2019","FQ2 2019","Currency=USD","Period=FQ","BEST_FPERIOD_OVERRIDE=FQ","FILING_STATUS=MR","SCALING_FORMAT=MLN","Sort=A","Dates=H","DateFormat=P","Fill=—","Direction=H","UseDPDF=Y")</f>
        <v>—</v>
      </c>
      <c r="F32" s="13" t="str">
        <f>_xll.BDH("NBIX US Equity","ARD_LT_CAP_LEASE_OBLIGATIONS","FQ3 2019","FQ3 2019","Currency=USD","Period=FQ","BEST_FPERIOD_OVERRIDE=FQ","FILING_STATUS=MR","SCALING_FORMAT=MLN","Sort=A","Dates=H","DateFormat=P","Fill=—","Direction=H","UseDPDF=Y")</f>
        <v>—</v>
      </c>
      <c r="G32" s="13" t="str">
        <f>_xll.BDH("NBIX US Equity","ARD_LT_CAP_LEASE_OBLIGATIONS","FQ4 2019","FQ4 2019","Currency=USD","Period=FQ","BEST_FPERIOD_OVERRIDE=FQ","FILING_STATUS=MR","SCALING_FORMAT=MLN","Sort=A","Dates=H","DateFormat=P","Fill=—","Direction=H","UseDPDF=Y")</f>
        <v>—</v>
      </c>
      <c r="H32" s="13" t="str">
        <f>_xll.BDH("NBIX US Equity","ARD_LT_CAP_LEASE_OBLIGATIONS","FQ1 2020","FQ1 2020","Currency=USD","Period=FQ","BEST_FPERIOD_OVERRIDE=FQ","FILING_STATUS=MR","SCALING_FORMAT=MLN","Sort=A","Dates=H","DateFormat=P","Fill=—","Direction=H","UseDPDF=Y")</f>
        <v>—</v>
      </c>
      <c r="I32" s="13" t="str">
        <f>_xll.BDH("NBIX US Equity","ARD_LT_CAP_LEASE_OBLIGATIONS","FQ2 2020","FQ2 2020","Currency=USD","Period=FQ","BEST_FPERIOD_OVERRIDE=FQ","FILING_STATUS=MR","SCALING_FORMAT=MLN","Sort=A","Dates=H","DateFormat=P","Fill=—","Direction=H","UseDPDF=Y")</f>
        <v>—</v>
      </c>
      <c r="J32" s="13" t="str">
        <f>_xll.BDH("NBIX US Equity","ARD_LT_CAP_LEASE_OBLIGATIONS","FQ3 2020","FQ3 2020","Currency=USD","Period=FQ","BEST_FPERIOD_OVERRIDE=FQ","FILING_STATUS=MR","SCALING_FORMAT=MLN","Sort=A","Dates=H","DateFormat=P","Fill=—","Direction=H","UseDPDF=Y")</f>
        <v>—</v>
      </c>
      <c r="K32" s="13" t="str">
        <f>_xll.BDH("NBIX US Equity","ARD_LT_CAP_LEASE_OBLIGATIONS","FQ4 2020","FQ4 2020","Currency=USD","Period=FQ","BEST_FPERIOD_OVERRIDE=FQ","FILING_STATUS=MR","SCALING_FORMAT=MLN","Sort=A","Dates=H","DateFormat=P","Fill=—","Direction=H","UseDPDF=Y")</f>
        <v>—</v>
      </c>
      <c r="L32" s="13" t="str">
        <f>_xll.BDH("NBIX US Equity","ARD_LT_CAP_LEASE_OBLIGATIONS","FQ1 2021","FQ1 2021","Currency=USD","Period=FQ","BEST_FPERIOD_OVERRIDE=FQ","FILING_STATUS=MR","SCALING_FORMAT=MLN","Sort=A","Dates=H","DateFormat=P","Fill=—","Direction=H","UseDPDF=Y")</f>
        <v>—</v>
      </c>
      <c r="M32" s="13" t="str">
        <f>_xll.BDH("NBIX US Equity","ARD_LT_CAP_LEASE_OBLIGATIONS","FQ2 2021","FQ2 2021","Currency=USD","Period=FQ","BEST_FPERIOD_OVERRIDE=FQ","FILING_STATUS=MR","SCALING_FORMAT=MLN","Sort=A","Dates=H","DateFormat=P","Fill=—","Direction=H","UseDPDF=Y")</f>
        <v>—</v>
      </c>
      <c r="N32" s="13" t="str">
        <f>_xll.BDH("NBIX US Equity","ARD_LT_CAP_LEASE_OBLIGATIONS","FQ3 2021","FQ3 2021","Currency=USD","Period=FQ","BEST_FPERIOD_OVERRIDE=FQ","FILING_STATUS=MR","SCALING_FORMAT=MLN","Sort=A","Dates=H","DateFormat=P","Fill=—","Direction=H","UseDPDF=Y")</f>
        <v>—</v>
      </c>
      <c r="O32" s="13" t="str">
        <f>_xll.BDH("NBIX US Equity","ARD_LT_CAP_LEASE_OBLIGATIONS","FQ4 2021","FQ4 2021","Currency=USD","Period=FQ","BEST_FPERIOD_OVERRIDE=FQ","FILING_STATUS=MR","SCALING_FORMAT=MLN","Sort=A","Dates=H","DateFormat=P","Fill=—","Direction=H","UseDPDF=Y")</f>
        <v>—</v>
      </c>
      <c r="P32" s="13" t="str">
        <f>_xll.BDH("NBIX US Equity","ARD_LT_CAP_LEASE_OBLIGATIONS","FQ1 2022","FQ1 2022","Currency=USD","Period=FQ","BEST_FPERIOD_OVERRIDE=FQ","FILING_STATUS=MR","SCALING_FORMAT=MLN","Sort=A","Dates=H","DateFormat=P","Fill=—","Direction=H","UseDPDF=Y")</f>
        <v>—</v>
      </c>
      <c r="Q32" s="13" t="str">
        <f>_xll.BDH("NBIX US Equity","ARD_LT_CAP_LEASE_OBLIGATIONS","FQ2 2022","FQ2 2022","Currency=USD","Period=FQ","BEST_FPERIOD_OVERRIDE=FQ","FILING_STATUS=MR","SCALING_FORMAT=MLN","Sort=A","Dates=H","DateFormat=P","Fill=—","Direction=H","UseDPDF=Y")</f>
        <v>—</v>
      </c>
      <c r="R32" s="13" t="str">
        <f>_xll.BDH("NBIX US Equity","ARD_LT_CAP_LEASE_OBLIGATIONS","FQ3 2022","FQ3 2022","Currency=USD","Period=FQ","BEST_FPERIOD_OVERRIDE=FQ","FILING_STATUS=MR","SCALING_FORMAT=MLN","Sort=A","Dates=H","DateFormat=P","Fill=—","Direction=H","UseDPDF=Y")</f>
        <v>—</v>
      </c>
      <c r="S32" s="13" t="str">
        <f>_xll.BDH("NBIX US Equity","ARD_LT_CAP_LEASE_OBLIGATIONS","FQ4 2022","FQ4 2022","Currency=USD","Period=FQ","BEST_FPERIOD_OVERRIDE=FQ","FILING_STATUS=MR","SCALING_FORMAT=MLN","Sort=A","Dates=H","DateFormat=P","Fill=—","Direction=H","UseDPDF=Y")</f>
        <v>—</v>
      </c>
      <c r="T32" s="13" t="str">
        <f>_xll.BDH("NBIX US Equity","ARD_LT_CAP_LEASE_OBLIGATIONS","FQ1 2023","FQ1 2023","Currency=USD","Period=FQ","BEST_FPERIOD_OVERRIDE=FQ","FILING_STATUS=MR","SCALING_FORMAT=MLN","Sort=A","Dates=H","DateFormat=P","Fill=—","Direction=H","UseDPDF=Y")</f>
        <v>—</v>
      </c>
      <c r="U32" s="13" t="str">
        <f>_xll.BDH("NBIX US Equity","ARD_LT_CAP_LEASE_OBLIGATIONS","FQ2 2023","FQ2 2023","Currency=USD","Period=FQ","BEST_FPERIOD_OVERRIDE=FQ","FILING_STATUS=MR","SCALING_FORMAT=MLN","Sort=A","Dates=H","DateFormat=P","Fill=—","Direction=H","UseDPDF=Y")</f>
        <v>—</v>
      </c>
      <c r="V32" s="13" t="str">
        <f>_xll.BDH("NBIX US Equity","ARD_LT_CAP_LEASE_OBLIGATIONS","FQ3 2023","FQ3 2023","Currency=USD","Period=FQ","BEST_FPERIOD_OVERRIDE=FQ","FILING_STATUS=MR","SCALING_FORMAT=MLN","Sort=A","Dates=H","DateFormat=P","Fill=—","Direction=H","UseDPDF=Y")</f>
        <v>—</v>
      </c>
      <c r="W32" s="13" t="str">
        <f>_xll.BDH("NBIX US Equity","ARD_LT_CAP_LEASE_OBLIGATIONS","FQ4 2023","FQ4 2023","Currency=USD","Period=FQ","BEST_FPERIOD_OVERRIDE=FQ","FILING_STATUS=MR","SCALING_FORMAT=MLN","Sort=A","Dates=H","DateFormat=P","Fill=—","Direction=H","UseDPDF=Y")</f>
        <v>—</v>
      </c>
      <c r="X32" s="13" t="str">
        <f>_xll.BDH("NBIX US Equity","ARD_LT_CAP_LEASE_OBLIGATIONS","FQ1 2024","FQ1 2024","Currency=USD","Period=FQ","BEST_FPERIOD_OVERRIDE=FQ","FILING_STATUS=MR","SCALING_FORMAT=MLN","Sort=A","Dates=H","DateFormat=P","Fill=—","Direction=H","UseDPDF=Y")</f>
        <v>—</v>
      </c>
      <c r="Y32" s="13" t="str">
        <f>_xll.BDH("NBIX US Equity","ARD_LT_CAP_LEASE_OBLIGATIONS","FQ2 2024","FQ2 2024","Currency=USD","Period=FQ","BEST_FPERIOD_OVERRIDE=FQ","FILING_STATUS=MR","SCALING_FORMAT=MLN","Sort=A","Dates=H","DateFormat=P","Fill=—","Direction=H","UseDPDF=Y")</f>
        <v>—</v>
      </c>
      <c r="Z32" s="13" t="str">
        <f>_xll.BDH("NBIX US Equity","ARD_LT_CAP_LEASE_OBLIGATIONS","FQ3 2024","FQ3 2024","Currency=USD","Period=FQ","BEST_FPERIOD_OVERRIDE=FQ","FILING_STATUS=MR","SCALING_FORMAT=MLN","Sort=A","Dates=H","DateFormat=P","Fill=—","Direction=H","UseDPDF=Y")</f>
        <v>—</v>
      </c>
      <c r="AA32" s="13" t="str">
        <f>_xll.BDH("NBIX US Equity","ARD_LT_CAP_LEASE_OBLIGATIONS","FQ4 2024","FQ4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859</v>
      </c>
      <c r="B33" s="10" t="s">
        <v>860</v>
      </c>
      <c r="C33" s="13">
        <f>_xll.BDH("NBIX US Equity","ARD_CONVERTIBLE_DEBT_LT","FQ4 2018","FQ4 2018","Currency=USD","Period=FQ","BEST_FPERIOD_OVERRIDE=FQ","FILING_STATUS=MR","SCALING_FORMAT=MLN","Sort=A","Dates=H","DateFormat=P","Fill=—","Direction=H","UseDPDF=Y")</f>
        <v>388.49599999999998</v>
      </c>
      <c r="D33" s="13">
        <f>_xll.BDH("NBIX US Equity","ARD_CONVERTIBLE_DEBT_LT","FQ1 2019","FQ1 2019","Currency=USD","Period=FQ","BEST_FPERIOD_OVERRIDE=FQ","FILING_STATUS=MR","SCALING_FORMAT=MLN","Sort=A","Dates=H","DateFormat=P","Fill=—","Direction=H","UseDPDF=Y")</f>
        <v>393.435</v>
      </c>
      <c r="E33" s="13">
        <f>_xll.BDH("NBIX US Equity","ARD_CONVERTIBLE_DEBT_LT","FQ2 2019","FQ2 2019","Currency=USD","Period=FQ","BEST_FPERIOD_OVERRIDE=FQ","FILING_STATUS=MR","SCALING_FORMAT=MLN","Sort=A","Dates=H","DateFormat=P","Fill=—","Direction=H","UseDPDF=Y")</f>
        <v>398.46600000000001</v>
      </c>
      <c r="F33" s="13">
        <f>_xll.BDH("NBIX US Equity","ARD_CONVERTIBLE_DEBT_LT","FQ3 2019","FQ3 2019","Currency=USD","Period=FQ","BEST_FPERIOD_OVERRIDE=FQ","FILING_STATUS=MR","SCALING_FORMAT=MLN","Sort=A","Dates=H","DateFormat=P","Fill=—","Direction=H","UseDPDF=Y")</f>
        <v>403.589</v>
      </c>
      <c r="G33" s="13">
        <f>_xll.BDH("NBIX US Equity","ARD_CONVERTIBLE_DEBT_LT","FQ4 2019","FQ4 2019","Currency=USD","Period=FQ","BEST_FPERIOD_OVERRIDE=FQ","FILING_STATUS=MR","SCALING_FORMAT=MLN","Sort=A","Dates=H","DateFormat=P","Fill=—","Direction=H","UseDPDF=Y")</f>
        <v>0</v>
      </c>
      <c r="H33" s="13">
        <f>_xll.BDH("NBIX US Equity","ARD_CONVERTIBLE_DEBT_LT","FQ1 2020","FQ1 2020","Currency=USD","Period=FQ","BEST_FPERIOD_OVERRIDE=FQ","FILING_STATUS=MR","SCALING_FORMAT=MLN","Sort=A","Dates=H","DateFormat=P","Fill=—","Direction=H","UseDPDF=Y")</f>
        <v>414.1</v>
      </c>
      <c r="I33" s="13" t="str">
        <f>_xll.BDH("NBIX US Equity","ARD_CONVERTIBLE_DEBT_LT","FQ2 2020","FQ2 2020","Currency=USD","Period=FQ","BEST_FPERIOD_OVERRIDE=FQ","FILING_STATUS=MR","SCALING_FORMAT=MLN","Sort=A","Dates=H","DateFormat=P","Fill=—","Direction=H","UseDPDF=Y")</f>
        <v>—</v>
      </c>
      <c r="J33" s="13" t="str">
        <f>_xll.BDH("NBIX US Equity","ARD_CONVERTIBLE_DEBT_LT","FQ3 2020","FQ3 2020","Currency=USD","Period=FQ","BEST_FPERIOD_OVERRIDE=FQ","FILING_STATUS=MR","SCALING_FORMAT=MLN","Sort=A","Dates=H","DateFormat=P","Fill=—","Direction=H","UseDPDF=Y")</f>
        <v>—</v>
      </c>
      <c r="K33" s="13">
        <f>_xll.BDH("NBIX US Equity","ARD_CONVERTIBLE_DEBT_LT","FQ4 2020","FQ4 2020","Currency=USD","Period=FQ","BEST_FPERIOD_OVERRIDE=FQ","FILING_STATUS=MR","SCALING_FORMAT=MLN","Sort=A","Dates=H","DateFormat=P","Fill=—","Direction=H","UseDPDF=Y")</f>
        <v>317.89999999999998</v>
      </c>
      <c r="L33" s="13">
        <f>_xll.BDH("NBIX US Equity","ARD_CONVERTIBLE_DEBT_LT","FQ1 2021","FQ1 2021","Currency=USD","Period=FQ","BEST_FPERIOD_OVERRIDE=FQ","FILING_STATUS=MR","SCALING_FORMAT=MLN","Sort=A","Dates=H","DateFormat=P","Fill=—","Direction=H","UseDPDF=Y")</f>
        <v>322</v>
      </c>
      <c r="M33" s="13">
        <f>_xll.BDH("NBIX US Equity","ARD_CONVERTIBLE_DEBT_LT","FQ2 2021","FQ2 2021","Currency=USD","Period=FQ","BEST_FPERIOD_OVERRIDE=FQ","FILING_STATUS=MR","SCALING_FORMAT=MLN","Sort=A","Dates=H","DateFormat=P","Fill=—","Direction=H","UseDPDF=Y")</f>
        <v>326.3</v>
      </c>
      <c r="N33" s="13">
        <f>_xll.BDH("NBIX US Equity","ARD_CONVERTIBLE_DEBT_LT","FQ3 2021","FQ3 2021","Currency=USD","Period=FQ","BEST_FPERIOD_OVERRIDE=FQ","FILING_STATUS=MR","SCALING_FORMAT=MLN","Sort=A","Dates=H","DateFormat=P","Fill=—","Direction=H","UseDPDF=Y")</f>
        <v>330.7</v>
      </c>
      <c r="O33" s="13">
        <f>_xll.BDH("NBIX US Equity","ARD_CONVERTIBLE_DEBT_LT","FQ4 2021","FQ4 2021","Currency=USD","Period=FQ","BEST_FPERIOD_OVERRIDE=FQ","FILING_STATUS=MR","SCALING_FORMAT=MLN","Sort=A","Dates=H","DateFormat=P","Fill=—","Direction=H","UseDPDF=Y")</f>
        <v>335.1</v>
      </c>
      <c r="P33" s="13">
        <f>_xll.BDH("NBIX US Equity","ARD_CONVERTIBLE_DEBT_LT","FQ1 2022","FQ1 2022","Currency=USD","Period=FQ","BEST_FPERIOD_OVERRIDE=FQ","FILING_STATUS=MR","SCALING_FORMAT=MLN","Sort=A","Dates=H","DateFormat=P","Fill=—","Direction=H","UseDPDF=Y")</f>
        <v>377.7</v>
      </c>
      <c r="Q33" s="13">
        <f>_xll.BDH("NBIX US Equity","ARD_CONVERTIBLE_DEBT_LT","FQ2 2022","FQ2 2022","Currency=USD","Period=FQ","BEST_FPERIOD_OVERRIDE=FQ","FILING_STATUS=MR","SCALING_FORMAT=MLN","Sort=A","Dates=H","DateFormat=P","Fill=—","Direction=H","UseDPDF=Y")</f>
        <v>169</v>
      </c>
      <c r="R33" s="13">
        <f>_xll.BDH("NBIX US Equity","ARD_CONVERTIBLE_DEBT_LT","FQ3 2022","FQ3 2022","Currency=USD","Period=FQ","BEST_FPERIOD_OVERRIDE=FQ","FILING_STATUS=MR","SCALING_FORMAT=MLN","Sort=A","Dates=H","DateFormat=P","Fill=—","Direction=H","UseDPDF=Y")</f>
        <v>0</v>
      </c>
      <c r="S33" s="13">
        <f>_xll.BDH("NBIX US Equity","ARD_CONVERTIBLE_DEBT_LT","FQ4 2022","FQ4 2022","Currency=USD","Period=FQ","BEST_FPERIOD_OVERRIDE=FQ","FILING_STATUS=MR","SCALING_FORMAT=MLN","Sort=A","Dates=H","DateFormat=P","Fill=—","Direction=H","UseDPDF=Y")</f>
        <v>0</v>
      </c>
      <c r="T33" s="13">
        <f>_xll.BDH("NBIX US Equity","ARD_CONVERTIBLE_DEBT_LT","FQ1 2023","FQ1 2023","Currency=USD","Period=FQ","BEST_FPERIOD_OVERRIDE=FQ","FILING_STATUS=MR","SCALING_FORMAT=MLN","Sort=A","Dates=H","DateFormat=P","Fill=—","Direction=H","UseDPDF=Y")</f>
        <v>169.5</v>
      </c>
      <c r="U33" s="13" t="str">
        <f>_xll.BDH("NBIX US Equity","ARD_CONVERTIBLE_DEBT_LT","FQ2 2023","FQ2 2023","Currency=USD","Period=FQ","BEST_FPERIOD_OVERRIDE=FQ","FILING_STATUS=MR","SCALING_FORMAT=MLN","Sort=A","Dates=H","DateFormat=P","Fill=—","Direction=H","UseDPDF=Y")</f>
        <v>—</v>
      </c>
      <c r="V33" s="13">
        <f>_xll.BDH("NBIX US Equity","ARD_CONVERTIBLE_DEBT_LT","FQ3 2023","FQ3 2023","Currency=USD","Period=FQ","BEST_FPERIOD_OVERRIDE=FQ","FILING_STATUS=MR","SCALING_FORMAT=MLN","Sort=A","Dates=H","DateFormat=P","Fill=—","Direction=H","UseDPDF=Y")</f>
        <v>0</v>
      </c>
      <c r="W33" s="13" t="str">
        <f>_xll.BDH("NBIX US Equity","ARD_CONVERTIBLE_DEBT_LT","FQ4 2023","FQ4 2023","Currency=USD","Period=FQ","BEST_FPERIOD_OVERRIDE=FQ","FILING_STATUS=MR","SCALING_FORMAT=MLN","Sort=A","Dates=H","DateFormat=P","Fill=—","Direction=H","UseDPDF=Y")</f>
        <v>—</v>
      </c>
      <c r="X33" s="13" t="str">
        <f>_xll.BDH("NBIX US Equity","ARD_CONVERTIBLE_DEBT_LT","FQ1 2024","FQ1 2024","Currency=USD","Period=FQ","BEST_FPERIOD_OVERRIDE=FQ","FILING_STATUS=MR","SCALING_FORMAT=MLN","Sort=A","Dates=H","DateFormat=P","Fill=—","Direction=H","UseDPDF=Y")</f>
        <v>—</v>
      </c>
      <c r="Y33" s="13" t="str">
        <f>_xll.BDH("NBIX US Equity","ARD_CONVERTIBLE_DEBT_LT","FQ2 2024","FQ2 2024","Currency=USD","Period=FQ","BEST_FPERIOD_OVERRIDE=FQ","FILING_STATUS=MR","SCALING_FORMAT=MLN","Sort=A","Dates=H","DateFormat=P","Fill=—","Direction=H","UseDPDF=Y")</f>
        <v>—</v>
      </c>
      <c r="Z33" s="13">
        <f>_xll.BDH("NBIX US Equity","ARD_CONVERTIBLE_DEBT_LT","FQ3 2024","FQ3 2024","Currency=USD","Period=FQ","BEST_FPERIOD_OVERRIDE=FQ","FILING_STATUS=MR","SCALING_FORMAT=MLN","Sort=A","Dates=H","DateFormat=P","Fill=—","Direction=H","UseDPDF=Y")</f>
        <v>0</v>
      </c>
      <c r="AA33" s="13" t="str">
        <f>_xll.BDH("NBIX US Equity","ARD_CONVERTIBLE_DEBT_LT","FQ4 2024","FQ4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861</v>
      </c>
      <c r="B34" s="10" t="s">
        <v>862</v>
      </c>
      <c r="C34" s="13">
        <f>_xll.BDH("NBIX US Equity","ARD_DEFERRED_UNEARNED_REV_LT","FQ4 2018","FQ4 2018","Currency=USD","Period=FQ","BEST_FPERIOD_OVERRIDE=FQ","FILING_STATUS=MR","SCALING_FORMAT=MLN","Sort=A","Dates=H","DateFormat=P","Fill=—","Direction=H","UseDPDF=Y")</f>
        <v>17.542999999999999</v>
      </c>
      <c r="D34" s="13">
        <f>_xll.BDH("NBIX US Equity","ARD_DEFERRED_UNEARNED_REV_LT","FQ1 2019","FQ1 2019","Currency=USD","Period=FQ","BEST_FPERIOD_OVERRIDE=FQ","FILING_STATUS=MR","SCALING_FORMAT=MLN","Sort=A","Dates=H","DateFormat=P","Fill=—","Direction=H","UseDPDF=Y")</f>
        <v>15.863</v>
      </c>
      <c r="E34" s="13">
        <f>_xll.BDH("NBIX US Equity","ARD_DEFERRED_UNEARNED_REV_LT","FQ2 2019","FQ2 2019","Currency=USD","Period=FQ","BEST_FPERIOD_OVERRIDE=FQ","FILING_STATUS=MR","SCALING_FORMAT=MLN","Sort=A","Dates=H","DateFormat=P","Fill=—","Direction=H","UseDPDF=Y")</f>
        <v>0</v>
      </c>
      <c r="F34" s="13">
        <f>_xll.BDH("NBIX US Equity","ARD_DEFERRED_UNEARNED_REV_LT","FQ3 2019","FQ3 2019","Currency=USD","Period=FQ","BEST_FPERIOD_OVERRIDE=FQ","FILING_STATUS=MR","SCALING_FORMAT=MLN","Sort=A","Dates=H","DateFormat=P","Fill=—","Direction=H","UseDPDF=Y")</f>
        <v>0</v>
      </c>
      <c r="G34" s="13" t="str">
        <f>_xll.BDH("NBIX US Equity","ARD_DEFERRED_UNEARNED_REV_LT","FQ4 2019","FQ4 2019","Currency=USD","Period=FQ","BEST_FPERIOD_OVERRIDE=FQ","FILING_STATUS=MR","SCALING_FORMAT=MLN","Sort=A","Dates=H","DateFormat=P","Fill=—","Direction=H","UseDPDF=Y")</f>
        <v>—</v>
      </c>
      <c r="H34" s="13" t="str">
        <f>_xll.BDH("NBIX US Equity","ARD_DEFERRED_UNEARNED_REV_LT","FQ1 2020","FQ1 2020","Currency=USD","Period=FQ","BEST_FPERIOD_OVERRIDE=FQ","FILING_STATUS=MR","SCALING_FORMAT=MLN","Sort=A","Dates=H","DateFormat=P","Fill=—","Direction=H","UseDPDF=Y")</f>
        <v>—</v>
      </c>
      <c r="I34" s="13" t="str">
        <f>_xll.BDH("NBIX US Equity","ARD_DEFERRED_UNEARNED_REV_LT","FQ2 2020","FQ2 2020","Currency=USD","Period=FQ","BEST_FPERIOD_OVERRIDE=FQ","FILING_STATUS=MR","SCALING_FORMAT=MLN","Sort=A","Dates=H","DateFormat=P","Fill=—","Direction=H","UseDPDF=Y")</f>
        <v>—</v>
      </c>
      <c r="J34" s="13" t="str">
        <f>_xll.BDH("NBIX US Equity","ARD_DEFERRED_UNEARNED_REV_LT","FQ3 2020","FQ3 2020","Currency=USD","Period=FQ","BEST_FPERIOD_OVERRIDE=FQ","FILING_STATUS=MR","SCALING_FORMAT=MLN","Sort=A","Dates=H","DateFormat=P","Fill=—","Direction=H","UseDPDF=Y")</f>
        <v>—</v>
      </c>
      <c r="K34" s="13" t="str">
        <f>_xll.BDH("NBIX US Equity","ARD_DEFERRED_UNEARNED_REV_LT","FQ4 2020","FQ4 2020","Currency=USD","Period=FQ","BEST_FPERIOD_OVERRIDE=FQ","FILING_STATUS=MR","SCALING_FORMAT=MLN","Sort=A","Dates=H","DateFormat=P","Fill=—","Direction=H","UseDPDF=Y")</f>
        <v>—</v>
      </c>
      <c r="L34" s="13" t="str">
        <f>_xll.BDH("NBIX US Equity","ARD_DEFERRED_UNEARNED_REV_LT","FQ1 2021","FQ1 2021","Currency=USD","Period=FQ","BEST_FPERIOD_OVERRIDE=FQ","FILING_STATUS=MR","SCALING_FORMAT=MLN","Sort=A","Dates=H","DateFormat=P","Fill=—","Direction=H","UseDPDF=Y")</f>
        <v>—</v>
      </c>
      <c r="M34" s="13" t="str">
        <f>_xll.BDH("NBIX US Equity","ARD_DEFERRED_UNEARNED_REV_LT","FQ2 2021","FQ2 2021","Currency=USD","Period=FQ","BEST_FPERIOD_OVERRIDE=FQ","FILING_STATUS=MR","SCALING_FORMAT=MLN","Sort=A","Dates=H","DateFormat=P","Fill=—","Direction=H","UseDPDF=Y")</f>
        <v>—</v>
      </c>
      <c r="N34" s="13" t="str">
        <f>_xll.BDH("NBIX US Equity","ARD_DEFERRED_UNEARNED_REV_LT","FQ3 2021","FQ3 2021","Currency=USD","Period=FQ","BEST_FPERIOD_OVERRIDE=FQ","FILING_STATUS=MR","SCALING_FORMAT=MLN","Sort=A","Dates=H","DateFormat=P","Fill=—","Direction=H","UseDPDF=Y")</f>
        <v>—</v>
      </c>
      <c r="O34" s="13" t="str">
        <f>_xll.BDH("NBIX US Equity","ARD_DEFERRED_UNEARNED_REV_LT","FQ4 2021","FQ4 2021","Currency=USD","Period=FQ","BEST_FPERIOD_OVERRIDE=FQ","FILING_STATUS=MR","SCALING_FORMAT=MLN","Sort=A","Dates=H","DateFormat=P","Fill=—","Direction=H","UseDPDF=Y")</f>
        <v>—</v>
      </c>
      <c r="P34" s="13" t="str">
        <f>_xll.BDH("NBIX US Equity","ARD_DEFERRED_UNEARNED_REV_LT","FQ1 2022","FQ1 2022","Currency=USD","Period=FQ","BEST_FPERIOD_OVERRIDE=FQ","FILING_STATUS=MR","SCALING_FORMAT=MLN","Sort=A","Dates=H","DateFormat=P","Fill=—","Direction=H","UseDPDF=Y")</f>
        <v>—</v>
      </c>
      <c r="Q34" s="13" t="str">
        <f>_xll.BDH("NBIX US Equity","ARD_DEFERRED_UNEARNED_REV_LT","FQ2 2022","FQ2 2022","Currency=USD","Period=FQ","BEST_FPERIOD_OVERRIDE=FQ","FILING_STATUS=MR","SCALING_FORMAT=MLN","Sort=A","Dates=H","DateFormat=P","Fill=—","Direction=H","UseDPDF=Y")</f>
        <v>—</v>
      </c>
      <c r="R34" s="13" t="str">
        <f>_xll.BDH("NBIX US Equity","ARD_DEFERRED_UNEARNED_REV_LT","FQ3 2022","FQ3 2022","Currency=USD","Period=FQ","BEST_FPERIOD_OVERRIDE=FQ","FILING_STATUS=MR","SCALING_FORMAT=MLN","Sort=A","Dates=H","DateFormat=P","Fill=—","Direction=H","UseDPDF=Y")</f>
        <v>—</v>
      </c>
      <c r="S34" s="13" t="str">
        <f>_xll.BDH("NBIX US Equity","ARD_DEFERRED_UNEARNED_REV_LT","FQ4 2022","FQ4 2022","Currency=USD","Period=FQ","BEST_FPERIOD_OVERRIDE=FQ","FILING_STATUS=MR","SCALING_FORMAT=MLN","Sort=A","Dates=H","DateFormat=P","Fill=—","Direction=H","UseDPDF=Y")</f>
        <v>—</v>
      </c>
      <c r="T34" s="13" t="str">
        <f>_xll.BDH("NBIX US Equity","ARD_DEFERRED_UNEARNED_REV_LT","FQ1 2023","FQ1 2023","Currency=USD","Period=FQ","BEST_FPERIOD_OVERRIDE=FQ","FILING_STATUS=MR","SCALING_FORMAT=MLN","Sort=A","Dates=H","DateFormat=P","Fill=—","Direction=H","UseDPDF=Y")</f>
        <v>—</v>
      </c>
      <c r="U34" s="13" t="str">
        <f>_xll.BDH("NBIX US Equity","ARD_DEFERRED_UNEARNED_REV_LT","FQ2 2023","FQ2 2023","Currency=USD","Period=FQ","BEST_FPERIOD_OVERRIDE=FQ","FILING_STATUS=MR","SCALING_FORMAT=MLN","Sort=A","Dates=H","DateFormat=P","Fill=—","Direction=H","UseDPDF=Y")</f>
        <v>—</v>
      </c>
      <c r="V34" s="13" t="str">
        <f>_xll.BDH("NBIX US Equity","ARD_DEFERRED_UNEARNED_REV_LT","FQ3 2023","FQ3 2023","Currency=USD","Period=FQ","BEST_FPERIOD_OVERRIDE=FQ","FILING_STATUS=MR","SCALING_FORMAT=MLN","Sort=A","Dates=H","DateFormat=P","Fill=—","Direction=H","UseDPDF=Y")</f>
        <v>—</v>
      </c>
      <c r="W34" s="13" t="str">
        <f>_xll.BDH("NBIX US Equity","ARD_DEFERRED_UNEARNED_REV_LT","FQ4 2023","FQ4 2023","Currency=USD","Period=FQ","BEST_FPERIOD_OVERRIDE=FQ","FILING_STATUS=MR","SCALING_FORMAT=MLN","Sort=A","Dates=H","DateFormat=P","Fill=—","Direction=H","UseDPDF=Y")</f>
        <v>—</v>
      </c>
      <c r="X34" s="13" t="str">
        <f>_xll.BDH("NBIX US Equity","ARD_DEFERRED_UNEARNED_REV_LT","FQ1 2024","FQ1 2024","Currency=USD","Period=FQ","BEST_FPERIOD_OVERRIDE=FQ","FILING_STATUS=MR","SCALING_FORMAT=MLN","Sort=A","Dates=H","DateFormat=P","Fill=—","Direction=H","UseDPDF=Y")</f>
        <v>—</v>
      </c>
      <c r="Y34" s="13" t="str">
        <f>_xll.BDH("NBIX US Equity","ARD_DEFERRED_UNEARNED_REV_LT","FQ2 2024","FQ2 2024","Currency=USD","Period=FQ","BEST_FPERIOD_OVERRIDE=FQ","FILING_STATUS=MR","SCALING_FORMAT=MLN","Sort=A","Dates=H","DateFormat=P","Fill=—","Direction=H","UseDPDF=Y")</f>
        <v>—</v>
      </c>
      <c r="Z34" s="13" t="str">
        <f>_xll.BDH("NBIX US Equity","ARD_DEFERRED_UNEARNED_REV_LT","FQ3 2024","FQ3 2024","Currency=USD","Period=FQ","BEST_FPERIOD_OVERRIDE=FQ","FILING_STATUS=MR","SCALING_FORMAT=MLN","Sort=A","Dates=H","DateFormat=P","Fill=—","Direction=H","UseDPDF=Y")</f>
        <v>—</v>
      </c>
      <c r="AA34" s="13" t="str">
        <f>_xll.BDH("NBIX US Equity","ARD_DEFERRED_UNEARNED_REV_LT","FQ4 2024","FQ4 2024","Currency=USD","Period=FQ","BEST_FPERIOD_OVERRIDE=FQ","FILING_STATUS=MR","SCALING_FORMAT=MLN","Sort=A","Dates=H","DateFormat=P","Fill=—","Direction=H","UseDPDF=Y")</f>
        <v>—</v>
      </c>
    </row>
    <row r="35" spans="1:27" x14ac:dyDescent="0.25">
      <c r="A35" s="10" t="s">
        <v>863</v>
      </c>
      <c r="B35" s="10" t="s">
        <v>864</v>
      </c>
      <c r="C35" s="13" t="str">
        <f>_xll.BDH("NBIX US Equity","ARD_OTH_NONCURRENT_LIABILITIES","FQ4 2018","FQ4 2018","Currency=USD","Period=FQ","BEST_FPERIOD_OVERRIDE=FQ","FILING_STATUS=MR","SCALING_FORMAT=MLN","Sort=A","Dates=H","DateFormat=P","Fill=—","Direction=H","UseDPDF=Y")</f>
        <v>—</v>
      </c>
      <c r="D35" s="13" t="str">
        <f>_xll.BDH("NBIX US Equity","ARD_OTH_NONCURRENT_LIABILITIES","FQ1 2019","FQ1 2019","Currency=USD","Period=FQ","BEST_FPERIOD_OVERRIDE=FQ","FILING_STATUS=MR","SCALING_FORMAT=MLN","Sort=A","Dates=H","DateFormat=P","Fill=—","Direction=H","UseDPDF=Y")</f>
        <v>—</v>
      </c>
      <c r="E35" s="13">
        <f>_xll.BDH("NBIX US Equity","ARD_OTH_NONCURRENT_LIABILITIES","FQ2 2019","FQ2 2019","Currency=USD","Period=FQ","BEST_FPERIOD_OVERRIDE=FQ","FILING_STATUS=MR","SCALING_FORMAT=MLN","Sort=A","Dates=H","DateFormat=P","Fill=—","Direction=H","UseDPDF=Y")</f>
        <v>17.914999999999999</v>
      </c>
      <c r="F35" s="13">
        <f>_xll.BDH("NBIX US Equity","ARD_OTH_NONCURRENT_LIABILITIES","FQ3 2019","FQ3 2019","Currency=USD","Period=FQ","BEST_FPERIOD_OVERRIDE=FQ","FILING_STATUS=MR","SCALING_FORMAT=MLN","Sort=A","Dates=H","DateFormat=P","Fill=—","Direction=H","UseDPDF=Y")</f>
        <v>11.696999999999999</v>
      </c>
      <c r="G35" s="13">
        <f>_xll.BDH("NBIX US Equity","ARD_OTH_NONCURRENT_LIABILITIES","FQ4 2019","FQ4 2019","Currency=USD","Period=FQ","BEST_FPERIOD_OVERRIDE=FQ","FILING_STATUS=MR","SCALING_FORMAT=MLN","Sort=A","Dates=H","DateFormat=P","Fill=—","Direction=H","UseDPDF=Y")</f>
        <v>17.100000000000001</v>
      </c>
      <c r="H35" s="13">
        <f>_xll.BDH("NBIX US Equity","ARD_OTH_NONCURRENT_LIABILITIES","FQ1 2020","FQ1 2020","Currency=USD","Period=FQ","BEST_FPERIOD_OVERRIDE=FQ","FILING_STATUS=MR","SCALING_FORMAT=MLN","Sort=A","Dates=H","DateFormat=P","Fill=—","Direction=H","UseDPDF=Y")</f>
        <v>21.6</v>
      </c>
      <c r="I35" s="13">
        <f>_xll.BDH("NBIX US Equity","ARD_OTH_NONCURRENT_LIABILITIES","FQ2 2020","FQ2 2020","Currency=USD","Period=FQ","BEST_FPERIOD_OVERRIDE=FQ","FILING_STATUS=MR","SCALING_FORMAT=MLN","Sort=A","Dates=H","DateFormat=P","Fill=—","Direction=H","UseDPDF=Y")</f>
        <v>27.1</v>
      </c>
      <c r="J35" s="13">
        <f>_xll.BDH("NBIX US Equity","ARD_OTH_NONCURRENT_LIABILITIES","FQ3 2020","FQ3 2020","Currency=USD","Period=FQ","BEST_FPERIOD_OVERRIDE=FQ","FILING_STATUS=MR","SCALING_FORMAT=MLN","Sort=A","Dates=H","DateFormat=P","Fill=—","Direction=H","UseDPDF=Y")</f>
        <v>4.3</v>
      </c>
      <c r="K35" s="13">
        <f>_xll.BDH("NBIX US Equity","ARD_OTH_NONCURRENT_LIABILITIES","FQ4 2020","FQ4 2020","Currency=USD","Period=FQ","BEST_FPERIOD_OVERRIDE=FQ","FILING_STATUS=MR","SCALING_FORMAT=MLN","Sort=A","Dates=H","DateFormat=P","Fill=—","Direction=H","UseDPDF=Y")</f>
        <v>9.6999999999999993</v>
      </c>
      <c r="L35" s="13">
        <f>_xll.BDH("NBIX US Equity","ARD_OTH_NONCURRENT_LIABILITIES","FQ1 2021","FQ1 2021","Currency=USD","Period=FQ","BEST_FPERIOD_OVERRIDE=FQ","FILING_STATUS=MR","SCALING_FORMAT=MLN","Sort=A","Dates=H","DateFormat=P","Fill=—","Direction=H","UseDPDF=Y")</f>
        <v>21.3</v>
      </c>
      <c r="M35" s="13">
        <f>_xll.BDH("NBIX US Equity","ARD_OTH_NONCURRENT_LIABILITIES","FQ2 2021","FQ2 2021","Currency=USD","Period=FQ","BEST_FPERIOD_OVERRIDE=FQ","FILING_STATUS=MR","SCALING_FORMAT=MLN","Sort=A","Dates=H","DateFormat=P","Fill=—","Direction=H","UseDPDF=Y")</f>
        <v>29</v>
      </c>
      <c r="N35" s="13">
        <f>_xll.BDH("NBIX US Equity","ARD_OTH_NONCURRENT_LIABILITIES","FQ3 2021","FQ3 2021","Currency=USD","Period=FQ","BEST_FPERIOD_OVERRIDE=FQ","FILING_STATUS=MR","SCALING_FORMAT=MLN","Sort=A","Dates=H","DateFormat=P","Fill=—","Direction=H","UseDPDF=Y")</f>
        <v>8.3000000000000007</v>
      </c>
      <c r="O35" s="13">
        <f>_xll.BDH("NBIX US Equity","ARD_OTH_NONCURRENT_LIABILITIES","FQ4 2021","FQ4 2021","Currency=USD","Period=FQ","BEST_FPERIOD_OVERRIDE=FQ","FILING_STATUS=MR","SCALING_FORMAT=MLN","Sort=A","Dates=H","DateFormat=P","Fill=—","Direction=H","UseDPDF=Y")</f>
        <v>12.3</v>
      </c>
      <c r="P35" s="13">
        <f>_xll.BDH("NBIX US Equity","ARD_OTH_NONCURRENT_LIABILITIES","FQ1 2022","FQ1 2022","Currency=USD","Period=FQ","BEST_FPERIOD_OVERRIDE=FQ","FILING_STATUS=MR","SCALING_FORMAT=MLN","Sort=A","Dates=H","DateFormat=P","Fill=—","Direction=H","UseDPDF=Y")</f>
        <v>19.7</v>
      </c>
      <c r="Q35" s="13">
        <f>_xll.BDH("NBIX US Equity","ARD_OTH_NONCURRENT_LIABILITIES","FQ2 2022","FQ2 2022","Currency=USD","Period=FQ","BEST_FPERIOD_OVERRIDE=FQ","FILING_STATUS=MR","SCALING_FORMAT=MLN","Sort=A","Dates=H","DateFormat=P","Fill=—","Direction=H","UseDPDF=Y")</f>
        <v>28</v>
      </c>
      <c r="R35" s="13">
        <f>_xll.BDH("NBIX US Equity","ARD_OTH_NONCURRENT_LIABILITIES","FQ3 2022","FQ3 2022","Currency=USD","Period=FQ","BEST_FPERIOD_OVERRIDE=FQ","FILING_STATUS=MR","SCALING_FORMAT=MLN","Sort=A","Dates=H","DateFormat=P","Fill=—","Direction=H","UseDPDF=Y")</f>
        <v>17.100000000000001</v>
      </c>
      <c r="S35" s="13">
        <f>_xll.BDH("NBIX US Equity","ARD_OTH_NONCURRENT_LIABILITIES","FQ4 2022","FQ4 2022","Currency=USD","Period=FQ","BEST_FPERIOD_OVERRIDE=FQ","FILING_STATUS=MR","SCALING_FORMAT=MLN","Sort=A","Dates=H","DateFormat=P","Fill=—","Direction=H","UseDPDF=Y")</f>
        <v>29.7</v>
      </c>
      <c r="T35" s="13">
        <f>_xll.BDH("NBIX US Equity","ARD_OTH_NONCURRENT_LIABILITIES","FQ1 2023","FQ1 2023","Currency=USD","Period=FQ","BEST_FPERIOD_OVERRIDE=FQ","FILING_STATUS=MR","SCALING_FORMAT=MLN","Sort=A","Dates=H","DateFormat=P","Fill=—","Direction=H","UseDPDF=Y")</f>
        <v>41.3</v>
      </c>
      <c r="U35" s="13">
        <f>_xll.BDH("NBIX US Equity","ARD_OTH_NONCURRENT_LIABILITIES","FQ2 2023","FQ2 2023","Currency=USD","Period=FQ","BEST_FPERIOD_OVERRIDE=FQ","FILING_STATUS=MR","SCALING_FORMAT=MLN","Sort=A","Dates=H","DateFormat=P","Fill=—","Direction=H","UseDPDF=Y")</f>
        <v>88.5</v>
      </c>
      <c r="V35" s="13">
        <f>_xll.BDH("NBIX US Equity","ARD_OTH_NONCURRENT_LIABILITIES","FQ3 2023","FQ3 2023","Currency=USD","Period=FQ","BEST_FPERIOD_OVERRIDE=FQ","FILING_STATUS=MR","SCALING_FORMAT=MLN","Sort=A","Dates=H","DateFormat=P","Fill=—","Direction=H","UseDPDF=Y")</f>
        <v>68.599999999999994</v>
      </c>
      <c r="W35" s="13">
        <f>_xll.BDH("NBIX US Equity","ARD_OTH_NONCURRENT_LIABILITIES","FQ4 2023","FQ4 2023","Currency=USD","Period=FQ","BEST_FPERIOD_OVERRIDE=FQ","FILING_STATUS=MR","SCALING_FORMAT=MLN","Sort=A","Dates=H","DateFormat=P","Fill=—","Direction=H","UseDPDF=Y")</f>
        <v>106.3</v>
      </c>
      <c r="X35" s="13">
        <f>_xll.BDH("NBIX US Equity","ARD_OTH_NONCURRENT_LIABILITIES","FQ1 2024","FQ1 2024","Currency=USD","Period=FQ","BEST_FPERIOD_OVERRIDE=FQ","FILING_STATUS=MR","SCALING_FORMAT=MLN","Sort=A","Dates=H","DateFormat=P","Fill=—","Direction=H","UseDPDF=Y")</f>
        <v>120.5</v>
      </c>
      <c r="Y35" s="13">
        <f>_xll.BDH("NBIX US Equity","ARD_OTH_NONCURRENT_LIABILITIES","FQ2 2024","FQ2 2024","Currency=USD","Period=FQ","BEST_FPERIOD_OVERRIDE=FQ","FILING_STATUS=MR","SCALING_FORMAT=MLN","Sort=A","Dates=H","DateFormat=P","Fill=—","Direction=H","UseDPDF=Y")</f>
        <v>141.1</v>
      </c>
      <c r="Z35" s="13">
        <f>_xll.BDH("NBIX US Equity","ARD_OTH_NONCURRENT_LIABILITIES","FQ3 2024","FQ3 2024","Currency=USD","Period=FQ","BEST_FPERIOD_OVERRIDE=FQ","FILING_STATUS=MR","SCALING_FORMAT=MLN","Sort=A","Dates=H","DateFormat=P","Fill=—","Direction=H","UseDPDF=Y")</f>
        <v>135</v>
      </c>
      <c r="AA35" s="13">
        <f>_xll.BDH("NBIX US Equity","ARD_OTH_NONCURRENT_LIABILITIES","FQ4 2024","FQ4 2024","Currency=USD","Period=FQ","BEST_FPERIOD_OVERRIDE=FQ","FILING_STATUS=MR","SCALING_FORMAT=MLN","Sort=A","Dates=H","DateFormat=P","Fill=—","Direction=H","UseDPDF=Y")</f>
        <v>166.2</v>
      </c>
    </row>
    <row r="36" spans="1:27" x14ac:dyDescent="0.25">
      <c r="A36" s="10" t="s">
        <v>865</v>
      </c>
      <c r="B36" s="10" t="s">
        <v>866</v>
      </c>
      <c r="C36" s="13" t="str">
        <f>_xll.BDH("NBIX US Equity","ARD_LT_OPERATING_LEASE_LIABS","FQ4 2018","FQ4 2018","Currency=USD","Period=FQ","BEST_FPERIOD_OVERRIDE=FQ","FILING_STATUS=MR","Sort=A","Dates=H","DateFormat=P","Fill=—","Direction=H","UseDPDF=Y")</f>
        <v>—</v>
      </c>
      <c r="D36" s="13">
        <f>_xll.BDH("NBIX US Equity","ARD_LT_OPERATING_LEASE_LIABS","FQ1 2019","FQ1 2019","Currency=USD","Period=FQ","BEST_FPERIOD_OVERRIDE=FQ","FILING_STATUS=MR","Sort=A","Dates=H","DateFormat=P","Fill=—","Direction=H","UseDPDF=Y")</f>
        <v>67.147000000000006</v>
      </c>
      <c r="E36" s="13">
        <f>_xll.BDH("NBIX US Equity","ARD_LT_OPERATING_LEASE_LIABS","FQ2 2019","FQ2 2019","Currency=USD","Period=FQ","BEST_FPERIOD_OVERRIDE=FQ","FILING_STATUS=MR","Sort=A","Dates=H","DateFormat=P","Fill=—","Direction=H","UseDPDF=Y")</f>
        <v>66.185000000000002</v>
      </c>
      <c r="F36" s="13">
        <f>_xll.BDH("NBIX US Equity","ARD_LT_OPERATING_LEASE_LIABS","FQ3 2019","FQ3 2019","Currency=USD","Period=FQ","BEST_FPERIOD_OVERRIDE=FQ","FILING_STATUS=MR","Sort=A","Dates=H","DateFormat=P","Fill=—","Direction=H","UseDPDF=Y")</f>
        <v>74.481999999999999</v>
      </c>
      <c r="G36" s="13">
        <f>_xll.BDH("NBIX US Equity","ARD_LT_OPERATING_LEASE_LIABS","FQ4 2019","FQ4 2019","Currency=USD","Period=FQ","BEST_FPERIOD_OVERRIDE=FQ","FILING_STATUS=MR","Sort=A","Dates=H","DateFormat=P","Fill=—","Direction=H","UseDPDF=Y")</f>
        <v>86.7</v>
      </c>
      <c r="H36" s="13">
        <f>_xll.BDH("NBIX US Equity","ARD_LT_OPERATING_LEASE_LIABS","FQ1 2020","FQ1 2020","Currency=USD","Period=FQ","BEST_FPERIOD_OVERRIDE=FQ","FILING_STATUS=MR","Sort=A","Dates=H","DateFormat=P","Fill=—","Direction=H","UseDPDF=Y")</f>
        <v>85.6</v>
      </c>
      <c r="I36" s="13">
        <f>_xll.BDH("NBIX US Equity","ARD_LT_OPERATING_LEASE_LIABS","FQ2 2020","FQ2 2020","Currency=USD","Period=FQ","BEST_FPERIOD_OVERRIDE=FQ","FILING_STATUS=MR","Sort=A","Dates=H","DateFormat=P","Fill=—","Direction=H","UseDPDF=Y")</f>
        <v>84.3</v>
      </c>
      <c r="J36" s="13">
        <f>_xll.BDH("NBIX US Equity","ARD_LT_OPERATING_LEASE_LIABS","FQ3 2020","FQ3 2020","Currency=USD","Period=FQ","BEST_FPERIOD_OVERRIDE=FQ","FILING_STATUS=MR","Sort=A","Dates=H","DateFormat=P","Fill=—","Direction=H","UseDPDF=Y")</f>
        <v>83</v>
      </c>
      <c r="K36" s="13">
        <f>_xll.BDH("NBIX US Equity","ARD_LT_OPERATING_LEASE_LIABS","FQ4 2020","FQ4 2020","Currency=USD","Period=FQ","BEST_FPERIOD_OVERRIDE=FQ","FILING_STATUS=MR","Sort=A","Dates=H","DateFormat=P","Fill=—","Direction=H","UseDPDF=Y")</f>
        <v>94.4</v>
      </c>
      <c r="L36" s="13">
        <f>_xll.BDH("NBIX US Equity","ARD_LT_OPERATING_LEASE_LIABS","FQ1 2021","FQ1 2021","Currency=USD","Period=FQ","BEST_FPERIOD_OVERRIDE=FQ","FILING_STATUS=MR","Sort=A","Dates=H","DateFormat=P","Fill=—","Direction=H","UseDPDF=Y")</f>
        <v>107.5</v>
      </c>
      <c r="M36" s="13">
        <f>_xll.BDH("NBIX US Equity","ARD_LT_OPERATING_LEASE_LIABS","FQ2 2021","FQ2 2021","Currency=USD","Period=FQ","BEST_FPERIOD_OVERRIDE=FQ","FILING_STATUS=MR","Sort=A","Dates=H","DateFormat=P","Fill=—","Direction=H","UseDPDF=Y")</f>
        <v>109</v>
      </c>
      <c r="N36" s="13">
        <f>_xll.BDH("NBIX US Equity","ARD_LT_OPERATING_LEASE_LIABS","FQ3 2021","FQ3 2021","Currency=USD","Period=FQ","BEST_FPERIOD_OVERRIDE=FQ","FILING_STATUS=MR","Sort=A","Dates=H","DateFormat=P","Fill=—","Direction=H","UseDPDF=Y")</f>
        <v>106.4</v>
      </c>
      <c r="O36" s="13">
        <f>_xll.BDH("NBIX US Equity","ARD_LT_OPERATING_LEASE_LIABS","FQ4 2021","FQ4 2021","Currency=USD","Period=FQ","BEST_FPERIOD_OVERRIDE=FQ","FILING_STATUS=MR","Sort=A","Dates=H","DateFormat=P","Fill=—","Direction=H","UseDPDF=Y")</f>
        <v>105.3</v>
      </c>
      <c r="P36" s="13">
        <f>_xll.BDH("NBIX US Equity","ARD_LT_OPERATING_LEASE_LIABS","FQ1 2022","FQ1 2022","Currency=USD","Period=FQ","BEST_FPERIOD_OVERRIDE=FQ","FILING_STATUS=MR","Sort=A","Dates=H","DateFormat=P","Fill=—","Direction=H","UseDPDF=Y")</f>
        <v>102.5</v>
      </c>
      <c r="Q36" s="13">
        <f>_xll.BDH("NBIX US Equity","ARD_LT_OPERATING_LEASE_LIABS","FQ2 2022","FQ2 2022","Currency=USD","Period=FQ","BEST_FPERIOD_OVERRIDE=FQ","FILING_STATUS=MR","Sort=A","Dates=H","DateFormat=P","Fill=—","Direction=H","UseDPDF=Y")</f>
        <v>99.6</v>
      </c>
      <c r="R36" s="13">
        <f>_xll.BDH("NBIX US Equity","ARD_LT_OPERATING_LEASE_LIABS","FQ3 2022","FQ3 2022","Currency=USD","Period=FQ","BEST_FPERIOD_OVERRIDE=FQ","FILING_STATUS=MR","Sort=A","Dates=H","DateFormat=P","Fill=—","Direction=H","UseDPDF=Y")</f>
        <v>96.6</v>
      </c>
      <c r="S36" s="13">
        <f>_xll.BDH("NBIX US Equity","ARD_LT_OPERATING_LEASE_LIABS","FQ4 2022","FQ4 2022","Currency=USD","Period=FQ","BEST_FPERIOD_OVERRIDE=FQ","FILING_STATUS=MR","Sort=A","Dates=H","DateFormat=P","Fill=—","Direction=H","UseDPDF=Y")</f>
        <v>93.5</v>
      </c>
      <c r="T36" s="13">
        <f>_xll.BDH("NBIX US Equity","ARD_LT_OPERATING_LEASE_LIABS","FQ1 2023","FQ1 2023","Currency=USD","Period=FQ","BEST_FPERIOD_OVERRIDE=FQ","FILING_STATUS=MR","Sort=A","Dates=H","DateFormat=P","Fill=—","Direction=H","UseDPDF=Y")</f>
        <v>90.4</v>
      </c>
      <c r="U36" s="13">
        <f>_xll.BDH("NBIX US Equity","ARD_LT_OPERATING_LEASE_LIABS","FQ2 2023","FQ2 2023","Currency=USD","Period=FQ","BEST_FPERIOD_OVERRIDE=FQ","FILING_STATUS=MR","Sort=A","Dates=H","DateFormat=P","Fill=—","Direction=H","UseDPDF=Y")</f>
        <v>89.1</v>
      </c>
      <c r="V36" s="13">
        <f>_xll.BDH("NBIX US Equity","ARD_LT_OPERATING_LEASE_LIABS","FQ3 2023","FQ3 2023","Currency=USD","Period=FQ","BEST_FPERIOD_OVERRIDE=FQ","FILING_STATUS=MR","Sort=A","Dates=H","DateFormat=P","Fill=—","Direction=H","UseDPDF=Y")</f>
        <v>85.9</v>
      </c>
      <c r="W36" s="13">
        <f>_xll.BDH("NBIX US Equity","ARD_LT_OPERATING_LEASE_LIABS","FQ4 2023","FQ4 2023","Currency=USD","Period=FQ","BEST_FPERIOD_OVERRIDE=FQ","FILING_STATUS=MR","Sort=A","Dates=H","DateFormat=P","Fill=—","Direction=H","UseDPDF=Y")</f>
        <v>258.3</v>
      </c>
      <c r="X36" s="13">
        <f>_xll.BDH("NBIX US Equity","ARD_LT_OPERATING_LEASE_LIABS","FQ1 2024","FQ1 2024","Currency=USD","Period=FQ","BEST_FPERIOD_OVERRIDE=FQ","FILING_STATUS=MR","Sort=A","Dates=H","DateFormat=P","Fill=—","Direction=H","UseDPDF=Y")</f>
        <v>252.9</v>
      </c>
      <c r="Y36" s="13">
        <f>_xll.BDH("NBIX US Equity","ARD_LT_OPERATING_LEASE_LIABS","FQ2 2024","FQ2 2024","Currency=USD","Period=FQ","BEST_FPERIOD_OVERRIDE=FQ","FILING_STATUS=MR","Sort=A","Dates=H","DateFormat=P","Fill=—","Direction=H","UseDPDF=Y")</f>
        <v>256.2</v>
      </c>
      <c r="Z36" s="13">
        <f>_xll.BDH("NBIX US Equity","ARD_LT_OPERATING_LEASE_LIABS","FQ3 2024","FQ3 2024","Currency=USD","Period=FQ","BEST_FPERIOD_OVERRIDE=FQ","FILING_STATUS=MR","Sort=A","Dates=H","DateFormat=P","Fill=—","Direction=H","UseDPDF=Y")</f>
        <v>251.4</v>
      </c>
      <c r="AA36" s="13">
        <f>_xll.BDH("NBIX US Equity","ARD_LT_OPERATING_LEASE_LIABS","FQ4 2024","FQ4 2024","Currency=USD","Period=FQ","BEST_FPERIOD_OVERRIDE=FQ","FILING_STATUS=MR","Sort=A","Dates=H","DateFormat=P","Fill=—","Direction=H","UseDPDF=Y")</f>
        <v>455.1</v>
      </c>
    </row>
    <row r="37" spans="1:27" x14ac:dyDescent="0.25">
      <c r="A37" s="10" t="s">
        <v>867</v>
      </c>
      <c r="B37" s="10" t="s">
        <v>868</v>
      </c>
      <c r="C37" s="13">
        <f>_xll.BDH("NBIX US Equity","ARD_DEFERRED_EXPENSES_LT","FQ4 2018","FQ4 2018","Currency=USD","Period=FQ","BEST_FPERIOD_OVERRIDE=FQ","FILING_STATUS=MR","SCALING_FORMAT=MLN","Sort=A","Dates=H","DateFormat=P","Fill=—","Direction=H","UseDPDF=Y")</f>
        <v>18.114000000000001</v>
      </c>
      <c r="D37" s="13">
        <f>_xll.BDH("NBIX US Equity","ARD_DEFERRED_EXPENSES_LT","FQ1 2019","FQ1 2019","Currency=USD","Period=FQ","BEST_FPERIOD_OVERRIDE=FQ","FILING_STATUS=MR","SCALING_FORMAT=MLN","Sort=A","Dates=H","DateFormat=P","Fill=—","Direction=H","UseDPDF=Y")</f>
        <v>0</v>
      </c>
      <c r="E37" s="13">
        <f>_xll.BDH("NBIX US Equity","ARD_DEFERRED_EXPENSES_LT","FQ2 2019","FQ2 2019","Currency=USD","Period=FQ","BEST_FPERIOD_OVERRIDE=FQ","FILING_STATUS=MR","SCALING_FORMAT=MLN","Sort=A","Dates=H","DateFormat=P","Fill=—","Direction=H","UseDPDF=Y")</f>
        <v>0</v>
      </c>
      <c r="F37" s="13">
        <f>_xll.BDH("NBIX US Equity","ARD_DEFERRED_EXPENSES_LT","FQ3 2019","FQ3 2019","Currency=USD","Period=FQ","BEST_FPERIOD_OVERRIDE=FQ","FILING_STATUS=MR","SCALING_FORMAT=MLN","Sort=A","Dates=H","DateFormat=P","Fill=—","Direction=H","UseDPDF=Y")</f>
        <v>0</v>
      </c>
      <c r="G37" s="13" t="str">
        <f>_xll.BDH("NBIX US Equity","ARD_DEFERRED_EXPENSES_LT","FQ4 2019","FQ4 2019","Currency=USD","Period=FQ","BEST_FPERIOD_OVERRIDE=FQ","FILING_STATUS=MR","SCALING_FORMAT=MLN","Sort=A","Dates=H","DateFormat=P","Fill=—","Direction=H","UseDPDF=Y")</f>
        <v>—</v>
      </c>
      <c r="H37" s="13" t="str">
        <f>_xll.BDH("NBIX US Equity","ARD_DEFERRED_EXPENSES_LT","FQ1 2020","FQ1 2020","Currency=USD","Period=FQ","BEST_FPERIOD_OVERRIDE=FQ","FILING_STATUS=MR","SCALING_FORMAT=MLN","Sort=A","Dates=H","DateFormat=P","Fill=—","Direction=H","UseDPDF=Y")</f>
        <v>—</v>
      </c>
      <c r="I37" s="13" t="str">
        <f>_xll.BDH("NBIX US Equity","ARD_DEFERRED_EXPENSES_LT","FQ2 2020","FQ2 2020","Currency=USD","Period=FQ","BEST_FPERIOD_OVERRIDE=FQ","FILING_STATUS=MR","SCALING_FORMAT=MLN","Sort=A","Dates=H","DateFormat=P","Fill=—","Direction=H","UseDPDF=Y")</f>
        <v>—</v>
      </c>
      <c r="J37" s="13" t="str">
        <f>_xll.BDH("NBIX US Equity","ARD_DEFERRED_EXPENSES_LT","FQ3 2020","FQ3 2020","Currency=USD","Period=FQ","BEST_FPERIOD_OVERRIDE=FQ","FILING_STATUS=MR","SCALING_FORMAT=MLN","Sort=A","Dates=H","DateFormat=P","Fill=—","Direction=H","UseDPDF=Y")</f>
        <v>—</v>
      </c>
      <c r="K37" s="13" t="str">
        <f>_xll.BDH("NBIX US Equity","ARD_DEFERRED_EXPENSES_LT","FQ4 2020","FQ4 2020","Currency=USD","Period=FQ","BEST_FPERIOD_OVERRIDE=FQ","FILING_STATUS=MR","SCALING_FORMAT=MLN","Sort=A","Dates=H","DateFormat=P","Fill=—","Direction=H","UseDPDF=Y")</f>
        <v>—</v>
      </c>
      <c r="L37" s="13" t="str">
        <f>_xll.BDH("NBIX US Equity","ARD_DEFERRED_EXPENSES_LT","FQ1 2021","FQ1 2021","Currency=USD","Period=FQ","BEST_FPERIOD_OVERRIDE=FQ","FILING_STATUS=MR","SCALING_FORMAT=MLN","Sort=A","Dates=H","DateFormat=P","Fill=—","Direction=H","UseDPDF=Y")</f>
        <v>—</v>
      </c>
      <c r="M37" s="13" t="str">
        <f>_xll.BDH("NBIX US Equity","ARD_DEFERRED_EXPENSES_LT","FQ2 2021","FQ2 2021","Currency=USD","Period=FQ","BEST_FPERIOD_OVERRIDE=FQ","FILING_STATUS=MR","SCALING_FORMAT=MLN","Sort=A","Dates=H","DateFormat=P","Fill=—","Direction=H","UseDPDF=Y")</f>
        <v>—</v>
      </c>
      <c r="N37" s="13" t="str">
        <f>_xll.BDH("NBIX US Equity","ARD_DEFERRED_EXPENSES_LT","FQ3 2021","FQ3 2021","Currency=USD","Period=FQ","BEST_FPERIOD_OVERRIDE=FQ","FILING_STATUS=MR","SCALING_FORMAT=MLN","Sort=A","Dates=H","DateFormat=P","Fill=—","Direction=H","UseDPDF=Y")</f>
        <v>—</v>
      </c>
      <c r="O37" s="13" t="str">
        <f>_xll.BDH("NBIX US Equity","ARD_DEFERRED_EXPENSES_LT","FQ4 2021","FQ4 2021","Currency=USD","Period=FQ","BEST_FPERIOD_OVERRIDE=FQ","FILING_STATUS=MR","SCALING_FORMAT=MLN","Sort=A","Dates=H","DateFormat=P","Fill=—","Direction=H","UseDPDF=Y")</f>
        <v>—</v>
      </c>
      <c r="P37" s="13" t="str">
        <f>_xll.BDH("NBIX US Equity","ARD_DEFERRED_EXPENSES_LT","FQ1 2022","FQ1 2022","Currency=USD","Period=FQ","BEST_FPERIOD_OVERRIDE=FQ","FILING_STATUS=MR","SCALING_FORMAT=MLN","Sort=A","Dates=H","DateFormat=P","Fill=—","Direction=H","UseDPDF=Y")</f>
        <v>—</v>
      </c>
      <c r="Q37" s="13" t="str">
        <f>_xll.BDH("NBIX US Equity","ARD_DEFERRED_EXPENSES_LT","FQ2 2022","FQ2 2022","Currency=USD","Period=FQ","BEST_FPERIOD_OVERRIDE=FQ","FILING_STATUS=MR","SCALING_FORMAT=MLN","Sort=A","Dates=H","DateFormat=P","Fill=—","Direction=H","UseDPDF=Y")</f>
        <v>—</v>
      </c>
      <c r="R37" s="13" t="str">
        <f>_xll.BDH("NBIX US Equity","ARD_DEFERRED_EXPENSES_LT","FQ3 2022","FQ3 2022","Currency=USD","Period=FQ","BEST_FPERIOD_OVERRIDE=FQ","FILING_STATUS=MR","SCALING_FORMAT=MLN","Sort=A","Dates=H","DateFormat=P","Fill=—","Direction=H","UseDPDF=Y")</f>
        <v>—</v>
      </c>
      <c r="S37" s="13" t="str">
        <f>_xll.BDH("NBIX US Equity","ARD_DEFERRED_EXPENSES_LT","FQ4 2022","FQ4 2022","Currency=USD","Period=FQ","BEST_FPERIOD_OVERRIDE=FQ","FILING_STATUS=MR","SCALING_FORMAT=MLN","Sort=A","Dates=H","DateFormat=P","Fill=—","Direction=H","UseDPDF=Y")</f>
        <v>—</v>
      </c>
      <c r="T37" s="13" t="str">
        <f>_xll.BDH("NBIX US Equity","ARD_DEFERRED_EXPENSES_LT","FQ1 2023","FQ1 2023","Currency=USD","Period=FQ","BEST_FPERIOD_OVERRIDE=FQ","FILING_STATUS=MR","SCALING_FORMAT=MLN","Sort=A","Dates=H","DateFormat=P","Fill=—","Direction=H","UseDPDF=Y")</f>
        <v>—</v>
      </c>
      <c r="U37" s="13" t="str">
        <f>_xll.BDH("NBIX US Equity","ARD_DEFERRED_EXPENSES_LT","FQ2 2023","FQ2 2023","Currency=USD","Period=FQ","BEST_FPERIOD_OVERRIDE=FQ","FILING_STATUS=MR","SCALING_FORMAT=MLN","Sort=A","Dates=H","DateFormat=P","Fill=—","Direction=H","UseDPDF=Y")</f>
        <v>—</v>
      </c>
      <c r="V37" s="13" t="str">
        <f>_xll.BDH("NBIX US Equity","ARD_DEFERRED_EXPENSES_LT","FQ3 2023","FQ3 2023","Currency=USD","Period=FQ","BEST_FPERIOD_OVERRIDE=FQ","FILING_STATUS=MR","SCALING_FORMAT=MLN","Sort=A","Dates=H","DateFormat=P","Fill=—","Direction=H","UseDPDF=Y")</f>
        <v>—</v>
      </c>
      <c r="W37" s="13" t="str">
        <f>_xll.BDH("NBIX US Equity","ARD_DEFERRED_EXPENSES_LT","FQ4 2023","FQ4 2023","Currency=USD","Period=FQ","BEST_FPERIOD_OVERRIDE=FQ","FILING_STATUS=MR","SCALING_FORMAT=MLN","Sort=A","Dates=H","DateFormat=P","Fill=—","Direction=H","UseDPDF=Y")</f>
        <v>—</v>
      </c>
      <c r="X37" s="13" t="str">
        <f>_xll.BDH("NBIX US Equity","ARD_DEFERRED_EXPENSES_LT","FQ1 2024","FQ1 2024","Currency=USD","Period=FQ","BEST_FPERIOD_OVERRIDE=FQ","FILING_STATUS=MR","SCALING_FORMAT=MLN","Sort=A","Dates=H","DateFormat=P","Fill=—","Direction=H","UseDPDF=Y")</f>
        <v>—</v>
      </c>
      <c r="Y37" s="13" t="str">
        <f>_xll.BDH("NBIX US Equity","ARD_DEFERRED_EXPENSES_LT","FQ2 2024","FQ2 2024","Currency=USD","Period=FQ","BEST_FPERIOD_OVERRIDE=FQ","FILING_STATUS=MR","SCALING_FORMAT=MLN","Sort=A","Dates=H","DateFormat=P","Fill=—","Direction=H","UseDPDF=Y")</f>
        <v>—</v>
      </c>
      <c r="Z37" s="13" t="str">
        <f>_xll.BDH("NBIX US Equity","ARD_DEFERRED_EXPENSES_LT","FQ3 2024","FQ3 2024","Currency=USD","Period=FQ","BEST_FPERIOD_OVERRIDE=FQ","FILING_STATUS=MR","SCALING_FORMAT=MLN","Sort=A","Dates=H","DateFormat=P","Fill=—","Direction=H","UseDPDF=Y")</f>
        <v>—</v>
      </c>
      <c r="AA37" s="13" t="str">
        <f>_xll.BDH("NBIX US Equity","ARD_DEFERRED_EXPENSES_LT","FQ4 2024","FQ4 2024","Currency=USD","Period=FQ","BEST_FPERIOD_OVERRIDE=FQ","FILING_STATUS=MR","SCALING_FORMAT=MLN","Sort=A","Dates=H","DateFormat=P","Fill=—","Direction=H","UseDPDF=Y")</f>
        <v>—</v>
      </c>
    </row>
    <row r="38" spans="1:27" x14ac:dyDescent="0.25">
      <c r="A38" s="6" t="s">
        <v>116</v>
      </c>
      <c r="B38" s="6" t="s">
        <v>869</v>
      </c>
      <c r="C38" s="19">
        <f>_xll.BDH("NBIX US Equity","ARD_TOT_LIABILITIES","FQ4 2018","FQ4 2018","Currency=USD","Period=FQ","BEST_FPERIOD_OVERRIDE=FQ","FILING_STATUS=MR","SCALING_FORMAT=MLN","Sort=A","Dates=H","DateFormat=P","Fill=—","Direction=H","UseDPDF=Y")</f>
        <v>512.38599999999997</v>
      </c>
      <c r="D38" s="19">
        <f>_xll.BDH("NBIX US Equity","ARD_TOT_LIABILITIES","FQ1 2019","FQ1 2019","Currency=USD","Period=FQ","BEST_FPERIOD_OVERRIDE=FQ","FILING_STATUS=MR","SCALING_FORMAT=MLN","Sort=A","Dates=H","DateFormat=P","Fill=—","Direction=H","UseDPDF=Y")</f>
        <v>548.44799999999998</v>
      </c>
      <c r="E38" s="19">
        <f>_xll.BDH("NBIX US Equity","ARD_TOT_LIABILITIES","FQ2 2019","FQ2 2019","Currency=USD","Period=FQ","BEST_FPERIOD_OVERRIDE=FQ","FILING_STATUS=MR","SCALING_FORMAT=MLN","Sort=A","Dates=H","DateFormat=P","Fill=—","Direction=H","UseDPDF=Y")</f>
        <v>583.15499999999997</v>
      </c>
      <c r="F38" s="19">
        <f>_xll.BDH("NBIX US Equity","ARD_TOT_LIABILITIES","FQ3 2019","FQ3 2019","Currency=USD","Period=FQ","BEST_FPERIOD_OVERRIDE=FQ","FILING_STATUS=MR","SCALING_FORMAT=MLN","Sort=A","Dates=H","DateFormat=P","Fill=—","Direction=H","UseDPDF=Y")</f>
        <v>605.41999999999996</v>
      </c>
      <c r="G38" s="19">
        <f>_xll.BDH("NBIX US Equity","ARD_TOT_LIABILITIES","FQ4 2019","FQ4 2019","Currency=USD","Period=FQ","BEST_FPERIOD_OVERRIDE=FQ","FILING_STATUS=MR","SCALING_FORMAT=MLN","Sort=A","Dates=H","DateFormat=P","Fill=—","Direction=H","UseDPDF=Y")</f>
        <v>669.1</v>
      </c>
      <c r="H38" s="19">
        <f>_xll.BDH("NBIX US Equity","ARD_TOT_LIABILITIES","FQ1 2020","FQ1 2020","Currency=USD","Period=FQ","BEST_FPERIOD_OVERRIDE=FQ","FILING_STATUS=MR","SCALING_FORMAT=MLN","Sort=A","Dates=H","DateFormat=P","Fill=—","Direction=H","UseDPDF=Y")</f>
        <v>661.6</v>
      </c>
      <c r="I38" s="19">
        <f>_xll.BDH("NBIX US Equity","ARD_TOT_LIABILITIES","FQ2 2020","FQ2 2020","Currency=USD","Period=FQ","BEST_FPERIOD_OVERRIDE=FQ","FILING_STATUS=MR","SCALING_FORMAT=MLN","Sort=A","Dates=H","DateFormat=P","Fill=—","Direction=H","UseDPDF=Y")</f>
        <v>684.4</v>
      </c>
      <c r="J38" s="19">
        <f>_xll.BDH("NBIX US Equity","ARD_TOT_LIABILITIES","FQ3 2020","FQ3 2020","Currency=USD","Period=FQ","BEST_FPERIOD_OVERRIDE=FQ","FILING_STATUS=MR","SCALING_FORMAT=MLN","Sort=A","Dates=H","DateFormat=P","Fill=—","Direction=H","UseDPDF=Y")</f>
        <v>698.3</v>
      </c>
      <c r="K38" s="19">
        <f>_xll.BDH("NBIX US Equity","ARD_TOT_LIABILITIES","FQ4 2020","FQ4 2020","Currency=USD","Period=FQ","BEST_FPERIOD_OVERRIDE=FQ","FILING_STATUS=MR","SCALING_FORMAT=MLN","Sort=A","Dates=H","DateFormat=P","Fill=—","Direction=H","UseDPDF=Y")</f>
        <v>608.5</v>
      </c>
      <c r="L38" s="19">
        <f>_xll.BDH("NBIX US Equity","ARD_TOT_LIABILITIES","FQ1 2021","FQ1 2021","Currency=USD","Period=FQ","BEST_FPERIOD_OVERRIDE=FQ","FILING_STATUS=MR","SCALING_FORMAT=MLN","Sort=A","Dates=H","DateFormat=P","Fill=—","Direction=H","UseDPDF=Y")</f>
        <v>640.79999999999995</v>
      </c>
      <c r="M38" s="19">
        <f>_xll.BDH("NBIX US Equity","ARD_TOT_LIABILITIES","FQ2 2021","FQ2 2021","Currency=USD","Period=FQ","BEST_FPERIOD_OVERRIDE=FQ","FILING_STATUS=MR","SCALING_FORMAT=MLN","Sort=A","Dates=H","DateFormat=P","Fill=—","Direction=H","UseDPDF=Y")</f>
        <v>677.2</v>
      </c>
      <c r="N38" s="19">
        <f>_xll.BDH("NBIX US Equity","ARD_TOT_LIABILITIES","FQ3 2021","FQ3 2021","Currency=USD","Period=FQ","BEST_FPERIOD_OVERRIDE=FQ","FILING_STATUS=MR","SCALING_FORMAT=MLN","Sort=A","Dates=H","DateFormat=P","Fill=—","Direction=H","UseDPDF=Y")</f>
        <v>671.3</v>
      </c>
      <c r="O38" s="19">
        <f>_xll.BDH("NBIX US Equity","ARD_TOT_LIABILITIES","FQ4 2021","FQ4 2021","Currency=USD","Period=FQ","BEST_FPERIOD_OVERRIDE=FQ","FILING_STATUS=MR","SCALING_FORMAT=MLN","Sort=A","Dates=H","DateFormat=P","Fill=—","Direction=H","UseDPDF=Y")</f>
        <v>698.5</v>
      </c>
      <c r="P38" s="19">
        <f>_xll.BDH("NBIX US Equity","ARD_TOT_LIABILITIES","FQ1 2022","FQ1 2022","Currency=USD","Period=FQ","BEST_FPERIOD_OVERRIDE=FQ","FILING_STATUS=MR","SCALING_FORMAT=MLN","Sort=A","Dates=H","DateFormat=P","Fill=—","Direction=H","UseDPDF=Y")</f>
        <v>753.4</v>
      </c>
      <c r="Q38" s="19">
        <f>_xll.BDH("NBIX US Equity","ARD_TOT_LIABILITIES","FQ2 2022","FQ2 2022","Currency=USD","Period=FQ","BEST_FPERIOD_OVERRIDE=FQ","FILING_STATUS=MR","SCALING_FORMAT=MLN","Sort=A","Dates=H","DateFormat=P","Fill=—","Direction=H","UseDPDF=Y")</f>
        <v>582.29999999999995</v>
      </c>
      <c r="R38" s="19">
        <f>_xll.BDH("NBIX US Equity","ARD_TOT_LIABILITIES","FQ3 2022","FQ3 2022","Currency=USD","Period=FQ","BEST_FPERIOD_OVERRIDE=FQ","FILING_STATUS=MR","SCALING_FORMAT=MLN","Sort=A","Dates=H","DateFormat=P","Fill=—","Direction=H","UseDPDF=Y")</f>
        <v>598.79999999999995</v>
      </c>
      <c r="S38" s="19">
        <f>_xll.BDH("NBIX US Equity","ARD_TOT_LIABILITIES","FQ4 2022","FQ4 2022","Currency=USD","Period=FQ","BEST_FPERIOD_OVERRIDE=FQ","FILING_STATUS=MR","SCALING_FORMAT=MLN","Sort=A","Dates=H","DateFormat=P","Fill=—","Direction=H","UseDPDF=Y")</f>
        <v>660.9</v>
      </c>
      <c r="T38" s="19">
        <f>_xll.BDH("NBIX US Equity","ARD_TOT_LIABILITIES","FQ1 2023","FQ1 2023","Currency=USD","Period=FQ","BEST_FPERIOD_OVERRIDE=FQ","FILING_STATUS=MR","SCALING_FORMAT=MLN","Sort=A","Dates=H","DateFormat=P","Fill=—","Direction=H","UseDPDF=Y")</f>
        <v>675.3</v>
      </c>
      <c r="U38" s="19">
        <f>_xll.BDH("NBIX US Equity","ARD_TOT_LIABILITIES","FQ2 2023","FQ2 2023","Currency=USD","Period=FQ","BEST_FPERIOD_OVERRIDE=FQ","FILING_STATUS=MR","SCALING_FORMAT=MLN","Sort=A","Dates=H","DateFormat=P","Fill=—","Direction=H","UseDPDF=Y")</f>
        <v>760.1</v>
      </c>
      <c r="V38" s="19">
        <f>_xll.BDH("NBIX US Equity","ARD_TOT_LIABILITIES","FQ3 2023","FQ3 2023","Currency=USD","Period=FQ","BEST_FPERIOD_OVERRIDE=FQ","FILING_STATUS=MR","SCALING_FORMAT=MLN","Sort=A","Dates=H","DateFormat=P","Fill=—","Direction=H","UseDPDF=Y")</f>
        <v>846.1</v>
      </c>
      <c r="W38" s="19">
        <f>_xll.BDH("NBIX US Equity","ARD_TOT_LIABILITIES","FQ4 2023","FQ4 2023","Currency=USD","Period=FQ","BEST_FPERIOD_OVERRIDE=FQ","FILING_STATUS=MR","SCALING_FORMAT=MLN","Sort=A","Dates=H","DateFormat=P","Fill=—","Direction=H","UseDPDF=Y")</f>
        <v>1019.4</v>
      </c>
      <c r="X38" s="19">
        <f>_xll.BDH("NBIX US Equity","ARD_TOT_LIABILITIES","FQ1 2024","FQ1 2024","Currency=USD","Period=FQ","BEST_FPERIOD_OVERRIDE=FQ","FILING_STATUS=MR","SCALING_FORMAT=MLN","Sort=A","Dates=H","DateFormat=P","Fill=—","Direction=H","UseDPDF=Y")</f>
        <v>1086.3</v>
      </c>
      <c r="Y38" s="19">
        <f>_xll.BDH("NBIX US Equity","ARD_TOT_LIABILITIES","FQ2 2024","FQ2 2024","Currency=USD","Period=FQ","BEST_FPERIOD_OVERRIDE=FQ","FILING_STATUS=MR","SCALING_FORMAT=MLN","Sort=A","Dates=H","DateFormat=P","Fill=—","Direction=H","UseDPDF=Y")</f>
        <v>795.8</v>
      </c>
      <c r="Z38" s="19">
        <f>_xll.BDH("NBIX US Equity","ARD_TOT_LIABILITIES","FQ3 2024","FQ3 2024","Currency=USD","Period=FQ","BEST_FPERIOD_OVERRIDE=FQ","FILING_STATUS=MR","SCALING_FORMAT=MLN","Sort=A","Dates=H","DateFormat=P","Fill=—","Direction=H","UseDPDF=Y")</f>
        <v>816.1</v>
      </c>
      <c r="AA38" s="19">
        <f>_xll.BDH("NBIX US Equity","ARD_TOT_LIABILITIES","FQ4 2024","FQ4 2024","Currency=USD","Period=FQ","BEST_FPERIOD_OVERRIDE=FQ","FILING_STATUS=MR","SCALING_FORMAT=MLN","Sort=A","Dates=H","DateFormat=P","Fill=—","Direction=H","UseDPDF=Y")</f>
        <v>1129</v>
      </c>
    </row>
    <row r="39" spans="1:27" x14ac:dyDescent="0.25">
      <c r="A39" s="10" t="s">
        <v>870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5">
      <c r="A40" s="10" t="s">
        <v>871</v>
      </c>
      <c r="B40" s="10" t="s">
        <v>872</v>
      </c>
      <c r="C40" s="13">
        <f>_xll.BDH("NBIX US Equity","ARD_PREFERRED_STOCK","FQ4 2018","FQ4 2018","Currency=USD","Period=FQ","BEST_FPERIOD_OVERRIDE=FQ","FILING_STATUS=MR","SCALING_FORMAT=MLN","Sort=A","Dates=H","DateFormat=P","Fill=—","Direction=H","UseDPDF=Y")</f>
        <v>0</v>
      </c>
      <c r="D40" s="13">
        <f>_xll.BDH("NBIX US Equity","ARD_PREFERRED_STOCK","FQ1 2019","FQ1 2019","Currency=USD","Period=FQ","BEST_FPERIOD_OVERRIDE=FQ","FILING_STATUS=MR","SCALING_FORMAT=MLN","Sort=A","Dates=H","DateFormat=P","Fill=—","Direction=H","UseDPDF=Y")</f>
        <v>0</v>
      </c>
      <c r="E40" s="13">
        <f>_xll.BDH("NBIX US Equity","ARD_PREFERRED_STOCK","FQ2 2019","FQ2 2019","Currency=USD","Period=FQ","BEST_FPERIOD_OVERRIDE=FQ","FILING_STATUS=MR","SCALING_FORMAT=MLN","Sort=A","Dates=H","DateFormat=P","Fill=—","Direction=H","UseDPDF=Y")</f>
        <v>0</v>
      </c>
      <c r="F40" s="13">
        <f>_xll.BDH("NBIX US Equity","ARD_PREFERRED_STOCK","FQ3 2019","FQ3 2019","Currency=USD","Period=FQ","BEST_FPERIOD_OVERRIDE=FQ","FILING_STATUS=MR","SCALING_FORMAT=MLN","Sort=A","Dates=H","DateFormat=P","Fill=—","Direction=H","UseDPDF=Y")</f>
        <v>0</v>
      </c>
      <c r="G40" s="13">
        <f>_xll.BDH("NBIX US Equity","ARD_PREFERRED_STOCK","FQ4 2019","FQ4 2019","Currency=USD","Period=FQ","BEST_FPERIOD_OVERRIDE=FQ","FILING_STATUS=MR","SCALING_FORMAT=MLN","Sort=A","Dates=H","DateFormat=P","Fill=—","Direction=H","UseDPDF=Y")</f>
        <v>0</v>
      </c>
      <c r="H40" s="13">
        <f>_xll.BDH("NBIX US Equity","ARD_PREFERRED_STOCK","FQ1 2020","FQ1 2020","Currency=USD","Period=FQ","BEST_FPERIOD_OVERRIDE=FQ","FILING_STATUS=MR","SCALING_FORMAT=MLN","Sort=A","Dates=H","DateFormat=P","Fill=—","Direction=H","UseDPDF=Y")</f>
        <v>0</v>
      </c>
      <c r="I40" s="13">
        <f>_xll.BDH("NBIX US Equity","ARD_PREFERRED_STOCK","FQ2 2020","FQ2 2020","Currency=USD","Period=FQ","BEST_FPERIOD_OVERRIDE=FQ","FILING_STATUS=MR","SCALING_FORMAT=MLN","Sort=A","Dates=H","DateFormat=P","Fill=—","Direction=H","UseDPDF=Y")</f>
        <v>0</v>
      </c>
      <c r="J40" s="13">
        <f>_xll.BDH("NBIX US Equity","ARD_PREFERRED_STOCK","FQ3 2020","FQ3 2020","Currency=USD","Period=FQ","BEST_FPERIOD_OVERRIDE=FQ","FILING_STATUS=MR","SCALING_FORMAT=MLN","Sort=A","Dates=H","DateFormat=P","Fill=—","Direction=H","UseDPDF=Y")</f>
        <v>0</v>
      </c>
      <c r="K40" s="13">
        <f>_xll.BDH("NBIX US Equity","ARD_PREFERRED_STOCK","FQ4 2020","FQ4 2020","Currency=USD","Period=FQ","BEST_FPERIOD_OVERRIDE=FQ","FILING_STATUS=MR","SCALING_FORMAT=MLN","Sort=A","Dates=H","DateFormat=P","Fill=—","Direction=H","UseDPDF=Y")</f>
        <v>0</v>
      </c>
      <c r="L40" s="13">
        <f>_xll.BDH("NBIX US Equity","ARD_PREFERRED_STOCK","FQ1 2021","FQ1 2021","Currency=USD","Period=FQ","BEST_FPERIOD_OVERRIDE=FQ","FILING_STATUS=MR","SCALING_FORMAT=MLN","Sort=A","Dates=H","DateFormat=P","Fill=—","Direction=H","UseDPDF=Y")</f>
        <v>0</v>
      </c>
      <c r="M40" s="13">
        <f>_xll.BDH("NBIX US Equity","ARD_PREFERRED_STOCK","FQ2 2021","FQ2 2021","Currency=USD","Period=FQ","BEST_FPERIOD_OVERRIDE=FQ","FILING_STATUS=MR","SCALING_FORMAT=MLN","Sort=A","Dates=H","DateFormat=P","Fill=—","Direction=H","UseDPDF=Y")</f>
        <v>0</v>
      </c>
      <c r="N40" s="13">
        <f>_xll.BDH("NBIX US Equity","ARD_PREFERRED_STOCK","FQ3 2021","FQ3 2021","Currency=USD","Period=FQ","BEST_FPERIOD_OVERRIDE=FQ","FILING_STATUS=MR","SCALING_FORMAT=MLN","Sort=A","Dates=H","DateFormat=P","Fill=—","Direction=H","UseDPDF=Y")</f>
        <v>0</v>
      </c>
      <c r="O40" s="13">
        <f>_xll.BDH("NBIX US Equity","ARD_PREFERRED_STOCK","FQ4 2021","FQ4 2021","Currency=USD","Period=FQ","BEST_FPERIOD_OVERRIDE=FQ","FILING_STATUS=MR","SCALING_FORMAT=MLN","Sort=A","Dates=H","DateFormat=P","Fill=—","Direction=H","UseDPDF=Y")</f>
        <v>0</v>
      </c>
      <c r="P40" s="13">
        <f>_xll.BDH("NBIX US Equity","ARD_PREFERRED_STOCK","FQ1 2022","FQ1 2022","Currency=USD","Period=FQ","BEST_FPERIOD_OVERRIDE=FQ","FILING_STATUS=MR","SCALING_FORMAT=MLN","Sort=A","Dates=H","DateFormat=P","Fill=—","Direction=H","UseDPDF=Y")</f>
        <v>0</v>
      </c>
      <c r="Q40" s="13">
        <f>_xll.BDH("NBIX US Equity","ARD_PREFERRED_STOCK","FQ2 2022","FQ2 2022","Currency=USD","Period=FQ","BEST_FPERIOD_OVERRIDE=FQ","FILING_STATUS=MR","SCALING_FORMAT=MLN","Sort=A","Dates=H","DateFormat=P","Fill=—","Direction=H","UseDPDF=Y")</f>
        <v>0</v>
      </c>
      <c r="R40" s="13">
        <f>_xll.BDH("NBIX US Equity","ARD_PREFERRED_STOCK","FQ3 2022","FQ3 2022","Currency=USD","Period=FQ","BEST_FPERIOD_OVERRIDE=FQ","FILING_STATUS=MR","SCALING_FORMAT=MLN","Sort=A","Dates=H","DateFormat=P","Fill=—","Direction=H","UseDPDF=Y")</f>
        <v>0</v>
      </c>
      <c r="S40" s="13">
        <f>_xll.BDH("NBIX US Equity","ARD_PREFERRED_STOCK","FQ4 2022","FQ4 2022","Currency=USD","Period=FQ","BEST_FPERIOD_OVERRIDE=FQ","FILING_STATUS=MR","SCALING_FORMAT=MLN","Sort=A","Dates=H","DateFormat=P","Fill=—","Direction=H","UseDPDF=Y")</f>
        <v>0</v>
      </c>
      <c r="T40" s="13">
        <f>_xll.BDH("NBIX US Equity","ARD_PREFERRED_STOCK","FQ1 2023","FQ1 2023","Currency=USD","Period=FQ","BEST_FPERIOD_OVERRIDE=FQ","FILING_STATUS=MR","SCALING_FORMAT=MLN","Sort=A","Dates=H","DateFormat=P","Fill=—","Direction=H","UseDPDF=Y")</f>
        <v>0</v>
      </c>
      <c r="U40" s="13">
        <f>_xll.BDH("NBIX US Equity","ARD_PREFERRED_STOCK","FQ2 2023","FQ2 2023","Currency=USD","Period=FQ","BEST_FPERIOD_OVERRIDE=FQ","FILING_STATUS=MR","SCALING_FORMAT=MLN","Sort=A","Dates=H","DateFormat=P","Fill=—","Direction=H","UseDPDF=Y")</f>
        <v>0</v>
      </c>
      <c r="V40" s="13">
        <f>_xll.BDH("NBIX US Equity","ARD_PREFERRED_STOCK","FQ3 2023","FQ3 2023","Currency=USD","Period=FQ","BEST_FPERIOD_OVERRIDE=FQ","FILING_STATUS=MR","SCALING_FORMAT=MLN","Sort=A","Dates=H","DateFormat=P","Fill=—","Direction=H","UseDPDF=Y")</f>
        <v>0</v>
      </c>
      <c r="W40" s="13">
        <f>_xll.BDH("NBIX US Equity","ARD_PREFERRED_STOCK","FQ4 2023","FQ4 2023","Currency=USD","Period=FQ","BEST_FPERIOD_OVERRIDE=FQ","FILING_STATUS=MR","SCALING_FORMAT=MLN","Sort=A","Dates=H","DateFormat=P","Fill=—","Direction=H","UseDPDF=Y")</f>
        <v>0</v>
      </c>
      <c r="X40" s="13">
        <f>_xll.BDH("NBIX US Equity","ARD_PREFERRED_STOCK","FQ1 2024","FQ1 2024","Currency=USD","Period=FQ","BEST_FPERIOD_OVERRIDE=FQ","FILING_STATUS=MR","SCALING_FORMAT=MLN","Sort=A","Dates=H","DateFormat=P","Fill=—","Direction=H","UseDPDF=Y")</f>
        <v>0</v>
      </c>
      <c r="Y40" s="13">
        <f>_xll.BDH("NBIX US Equity","ARD_PREFERRED_STOCK","FQ2 2024","FQ2 2024","Currency=USD","Period=FQ","BEST_FPERIOD_OVERRIDE=FQ","FILING_STATUS=MR","SCALING_FORMAT=MLN","Sort=A","Dates=H","DateFormat=P","Fill=—","Direction=H","UseDPDF=Y")</f>
        <v>0</v>
      </c>
      <c r="Z40" s="13">
        <f>_xll.BDH("NBIX US Equity","ARD_PREFERRED_STOCK","FQ3 2024","FQ3 2024","Currency=USD","Period=FQ","BEST_FPERIOD_OVERRIDE=FQ","FILING_STATUS=MR","SCALING_FORMAT=MLN","Sort=A","Dates=H","DateFormat=P","Fill=—","Direction=H","UseDPDF=Y")</f>
        <v>0</v>
      </c>
      <c r="AA40" s="13">
        <f>_xll.BDH("NBIX US Equity","ARD_PREFERRED_STOCK","FQ4 2024","FQ4 2024","Currency=USD","Period=FQ","BEST_FPERIOD_OVERRIDE=FQ","FILING_STATUS=MR","SCALING_FORMAT=MLN","Sort=A","Dates=H","DateFormat=P","Fill=—","Direction=H","UseDPDF=Y")</f>
        <v>0</v>
      </c>
    </row>
    <row r="41" spans="1:27" x14ac:dyDescent="0.25">
      <c r="A41" s="10" t="s">
        <v>873</v>
      </c>
      <c r="B41" s="10" t="s">
        <v>874</v>
      </c>
      <c r="C41" s="13">
        <f>_xll.BDH("NBIX US Equity","ARD_COMMON_STOCK","FQ4 2018","FQ4 2018","Currency=USD","Period=FQ","BEST_FPERIOD_OVERRIDE=FQ","FILING_STATUS=MR","SCALING_FORMAT=MLN","Sort=A","Dates=H","DateFormat=P","Fill=—","Direction=H","UseDPDF=Y")</f>
        <v>9.0999999999999998E-2</v>
      </c>
      <c r="D41" s="13">
        <f>_xll.BDH("NBIX US Equity","ARD_COMMON_STOCK","FQ1 2019","FQ1 2019","Currency=USD","Period=FQ","BEST_FPERIOD_OVERRIDE=FQ","FILING_STATUS=MR","SCALING_FORMAT=MLN","Sort=A","Dates=H","DateFormat=P","Fill=—","Direction=H","UseDPDF=Y")</f>
        <v>9.0999999999999998E-2</v>
      </c>
      <c r="E41" s="13">
        <f>_xll.BDH("NBIX US Equity","ARD_COMMON_STOCK","FQ2 2019","FQ2 2019","Currency=USD","Period=FQ","BEST_FPERIOD_OVERRIDE=FQ","FILING_STATUS=MR","SCALING_FORMAT=MLN","Sort=A","Dates=H","DateFormat=P","Fill=—","Direction=H","UseDPDF=Y")</f>
        <v>9.1999999999999998E-2</v>
      </c>
      <c r="F41" s="13">
        <f>_xll.BDH("NBIX US Equity","ARD_COMMON_STOCK","FQ3 2019","FQ3 2019","Currency=USD","Period=FQ","BEST_FPERIOD_OVERRIDE=FQ","FILING_STATUS=MR","SCALING_FORMAT=MLN","Sort=A","Dates=H","DateFormat=P","Fill=—","Direction=H","UseDPDF=Y")</f>
        <v>9.1999999999999998E-2</v>
      </c>
      <c r="G41" s="13">
        <f>_xll.BDH("NBIX US Equity","ARD_COMMON_STOCK","FQ4 2019","FQ4 2019","Currency=USD","Period=FQ","BEST_FPERIOD_OVERRIDE=FQ","FILING_STATUS=MR","SCALING_FORMAT=MLN","Sort=A","Dates=H","DateFormat=P","Fill=—","Direction=H","UseDPDF=Y")</f>
        <v>0.1</v>
      </c>
      <c r="H41" s="13">
        <f>_xll.BDH("NBIX US Equity","ARD_COMMON_STOCK","FQ1 2020","FQ1 2020","Currency=USD","Period=FQ","BEST_FPERIOD_OVERRIDE=FQ","FILING_STATUS=MR","SCALING_FORMAT=MLN","Sort=A","Dates=H","DateFormat=P","Fill=—","Direction=H","UseDPDF=Y")</f>
        <v>0.1</v>
      </c>
      <c r="I41" s="13">
        <f>_xll.BDH("NBIX US Equity","ARD_COMMON_STOCK","FQ2 2020","FQ2 2020","Currency=USD","Period=FQ","BEST_FPERIOD_OVERRIDE=FQ","FILING_STATUS=MR","SCALING_FORMAT=MLN","Sort=A","Dates=H","DateFormat=P","Fill=—","Direction=H","UseDPDF=Y")</f>
        <v>0.1</v>
      </c>
      <c r="J41" s="13">
        <f>_xll.BDH("NBIX US Equity","ARD_COMMON_STOCK","FQ3 2020","FQ3 2020","Currency=USD","Period=FQ","BEST_FPERIOD_OVERRIDE=FQ","FILING_STATUS=MR","SCALING_FORMAT=MLN","Sort=A","Dates=H","DateFormat=P","Fill=—","Direction=H","UseDPDF=Y")</f>
        <v>0.1</v>
      </c>
      <c r="K41" s="13">
        <f>_xll.BDH("NBIX US Equity","ARD_COMMON_STOCK","FQ4 2020","FQ4 2020","Currency=USD","Period=FQ","BEST_FPERIOD_OVERRIDE=FQ","FILING_STATUS=MR","SCALING_FORMAT=MLN","Sort=A","Dates=H","DateFormat=P","Fill=—","Direction=H","UseDPDF=Y")</f>
        <v>0.1</v>
      </c>
      <c r="L41" s="13">
        <f>_xll.BDH("NBIX US Equity","ARD_COMMON_STOCK","FQ1 2021","FQ1 2021","Currency=USD","Period=FQ","BEST_FPERIOD_OVERRIDE=FQ","FILING_STATUS=MR","SCALING_FORMAT=MLN","Sort=A","Dates=H","DateFormat=P","Fill=—","Direction=H","UseDPDF=Y")</f>
        <v>0.1</v>
      </c>
      <c r="M41" s="13">
        <f>_xll.BDH("NBIX US Equity","ARD_COMMON_STOCK","FQ2 2021","FQ2 2021","Currency=USD","Period=FQ","BEST_FPERIOD_OVERRIDE=FQ","FILING_STATUS=MR","SCALING_FORMAT=MLN","Sort=A","Dates=H","DateFormat=P","Fill=—","Direction=H","UseDPDF=Y")</f>
        <v>0.1</v>
      </c>
      <c r="N41" s="13">
        <f>_xll.BDH("NBIX US Equity","ARD_COMMON_STOCK","FQ3 2021","FQ3 2021","Currency=USD","Period=FQ","BEST_FPERIOD_OVERRIDE=FQ","FILING_STATUS=MR","SCALING_FORMAT=MLN","Sort=A","Dates=H","DateFormat=P","Fill=—","Direction=H","UseDPDF=Y")</f>
        <v>0.1</v>
      </c>
      <c r="O41" s="13">
        <f>_xll.BDH("NBIX US Equity","ARD_COMMON_STOCK","FQ4 2021","FQ4 2021","Currency=USD","Period=FQ","BEST_FPERIOD_OVERRIDE=FQ","FILING_STATUS=MR","SCALING_FORMAT=MLN","Sort=A","Dates=H","DateFormat=P","Fill=—","Direction=H","UseDPDF=Y")</f>
        <v>0.1</v>
      </c>
      <c r="P41" s="13">
        <f>_xll.BDH("NBIX US Equity","ARD_COMMON_STOCK","FQ1 2022","FQ1 2022","Currency=USD","Period=FQ","BEST_FPERIOD_OVERRIDE=FQ","FILING_STATUS=MR","SCALING_FORMAT=MLN","Sort=A","Dates=H","DateFormat=P","Fill=—","Direction=H","UseDPDF=Y")</f>
        <v>0.1</v>
      </c>
      <c r="Q41" s="13">
        <f>_xll.BDH("NBIX US Equity","ARD_COMMON_STOCK","FQ2 2022","FQ2 2022","Currency=USD","Period=FQ","BEST_FPERIOD_OVERRIDE=FQ","FILING_STATUS=MR","SCALING_FORMAT=MLN","Sort=A","Dates=H","DateFormat=P","Fill=—","Direction=H","UseDPDF=Y")</f>
        <v>0.1</v>
      </c>
      <c r="R41" s="13">
        <f>_xll.BDH("NBIX US Equity","ARD_COMMON_STOCK","FQ3 2022","FQ3 2022","Currency=USD","Period=FQ","BEST_FPERIOD_OVERRIDE=FQ","FILING_STATUS=MR","SCALING_FORMAT=MLN","Sort=A","Dates=H","DateFormat=P","Fill=—","Direction=H","UseDPDF=Y")</f>
        <v>0.1</v>
      </c>
      <c r="S41" s="13">
        <f>_xll.BDH("NBIX US Equity","ARD_COMMON_STOCK","FQ4 2022","FQ4 2022","Currency=USD","Period=FQ","BEST_FPERIOD_OVERRIDE=FQ","FILING_STATUS=MR","SCALING_FORMAT=MLN","Sort=A","Dates=H","DateFormat=P","Fill=—","Direction=H","UseDPDF=Y")</f>
        <v>0.1</v>
      </c>
      <c r="T41" s="13">
        <f>_xll.BDH("NBIX US Equity","ARD_COMMON_STOCK","FQ1 2023","FQ1 2023","Currency=USD","Period=FQ","BEST_FPERIOD_OVERRIDE=FQ","FILING_STATUS=MR","SCALING_FORMAT=MLN","Sort=A","Dates=H","DateFormat=P","Fill=—","Direction=H","UseDPDF=Y")</f>
        <v>0.1</v>
      </c>
      <c r="U41" s="13">
        <f>_xll.BDH("NBIX US Equity","ARD_COMMON_STOCK","FQ2 2023","FQ2 2023","Currency=USD","Period=FQ","BEST_FPERIOD_OVERRIDE=FQ","FILING_STATUS=MR","SCALING_FORMAT=MLN","Sort=A","Dates=H","DateFormat=P","Fill=—","Direction=H","UseDPDF=Y")</f>
        <v>0.1</v>
      </c>
      <c r="V41" s="13">
        <f>_xll.BDH("NBIX US Equity","ARD_COMMON_STOCK","FQ3 2023","FQ3 2023","Currency=USD","Period=FQ","BEST_FPERIOD_OVERRIDE=FQ","FILING_STATUS=MR","SCALING_FORMAT=MLN","Sort=A","Dates=H","DateFormat=P","Fill=—","Direction=H","UseDPDF=Y")</f>
        <v>0.1</v>
      </c>
      <c r="W41" s="13">
        <f>_xll.BDH("NBIX US Equity","ARD_COMMON_STOCK","FQ4 2023","FQ4 2023","Currency=USD","Period=FQ","BEST_FPERIOD_OVERRIDE=FQ","FILING_STATUS=MR","SCALING_FORMAT=MLN","Sort=A","Dates=H","DateFormat=P","Fill=—","Direction=H","UseDPDF=Y")</f>
        <v>0.1</v>
      </c>
      <c r="X41" s="13">
        <f>_xll.BDH("NBIX US Equity","ARD_COMMON_STOCK","FQ1 2024","FQ1 2024","Currency=USD","Period=FQ","BEST_FPERIOD_OVERRIDE=FQ","FILING_STATUS=MR","SCALING_FORMAT=MLN","Sort=A","Dates=H","DateFormat=P","Fill=—","Direction=H","UseDPDF=Y")</f>
        <v>0.1</v>
      </c>
      <c r="Y41" s="13">
        <f>_xll.BDH("NBIX US Equity","ARD_COMMON_STOCK","FQ2 2024","FQ2 2024","Currency=USD","Period=FQ","BEST_FPERIOD_OVERRIDE=FQ","FILING_STATUS=MR","SCALING_FORMAT=MLN","Sort=A","Dates=H","DateFormat=P","Fill=—","Direction=H","UseDPDF=Y")</f>
        <v>0.1</v>
      </c>
      <c r="Z41" s="13">
        <f>_xll.BDH("NBIX US Equity","ARD_COMMON_STOCK","FQ3 2024","FQ3 2024","Currency=USD","Period=FQ","BEST_FPERIOD_OVERRIDE=FQ","FILING_STATUS=MR","SCALING_FORMAT=MLN","Sort=A","Dates=H","DateFormat=P","Fill=—","Direction=H","UseDPDF=Y")</f>
        <v>0.1</v>
      </c>
      <c r="AA41" s="13">
        <f>_xll.BDH("NBIX US Equity","ARD_COMMON_STOCK","FQ4 2024","FQ4 2024","Currency=USD","Period=FQ","BEST_FPERIOD_OVERRIDE=FQ","FILING_STATUS=MR","SCALING_FORMAT=MLN","Sort=A","Dates=H","DateFormat=P","Fill=—","Direction=H","UseDPDF=Y")</f>
        <v>0.1</v>
      </c>
    </row>
    <row r="42" spans="1:27" x14ac:dyDescent="0.25">
      <c r="A42" s="10" t="s">
        <v>875</v>
      </c>
      <c r="B42" s="10" t="s">
        <v>876</v>
      </c>
      <c r="C42" s="13">
        <f>_xll.BDH("NBIX US Equity","ARD_ADDITIONAL_PAID_IN_CAPITAL","FQ4 2018","FQ4 2018","Currency=USD","Period=FQ","BEST_FPERIOD_OVERRIDE=FQ","FILING_STATUS=MR","SCALING_FORMAT=MLN","Sort=A","Dates=H","DateFormat=P","Fill=—","Direction=H","UseDPDF=Y")</f>
        <v>1660.3610000000001</v>
      </c>
      <c r="D42" s="13">
        <f>_xll.BDH("NBIX US Equity","ARD_ADDITIONAL_PAID_IN_CAPITAL","FQ1 2019","FQ1 2019","Currency=USD","Period=FQ","BEST_FPERIOD_OVERRIDE=FQ","FILING_STATUS=MR","SCALING_FORMAT=MLN","Sort=A","Dates=H","DateFormat=P","Fill=—","Direction=H","UseDPDF=Y")</f>
        <v>1681.2439999999999</v>
      </c>
      <c r="E42" s="13">
        <f>_xll.BDH("NBIX US Equity","ARD_ADDITIONAL_PAID_IN_CAPITAL","FQ2 2019","FQ2 2019","Currency=USD","Period=FQ","BEST_FPERIOD_OVERRIDE=FQ","FILING_STATUS=MR","SCALING_FORMAT=MLN","Sort=A","Dates=H","DateFormat=P","Fill=—","Direction=H","UseDPDF=Y")</f>
        <v>1703.4580000000001</v>
      </c>
      <c r="F42" s="13">
        <f>_xll.BDH("NBIX US Equity","ARD_ADDITIONAL_PAID_IN_CAPITAL","FQ3 2019","FQ3 2019","Currency=USD","Period=FQ","BEST_FPERIOD_OVERRIDE=FQ","FILING_STATUS=MR","SCALING_FORMAT=MLN","Sort=A","Dates=H","DateFormat=P","Fill=—","Direction=H","UseDPDF=Y")</f>
        <v>1739.5170000000001</v>
      </c>
      <c r="G42" s="13">
        <f>_xll.BDH("NBIX US Equity","ARD_ADDITIONAL_PAID_IN_CAPITAL","FQ4 2019","FQ4 2019","Currency=USD","Period=FQ","BEST_FPERIOD_OVERRIDE=FQ","FILING_STATUS=MR","SCALING_FORMAT=MLN","Sort=A","Dates=H","DateFormat=P","Fill=—","Direction=H","UseDPDF=Y")</f>
        <v>1768.1</v>
      </c>
      <c r="H42" s="13">
        <f>_xll.BDH("NBIX US Equity","ARD_ADDITIONAL_PAID_IN_CAPITAL","FQ1 2020","FQ1 2020","Currency=USD","Period=FQ","BEST_FPERIOD_OVERRIDE=FQ","FILING_STATUS=MR","SCALING_FORMAT=MLN","Sort=A","Dates=H","DateFormat=P","Fill=—","Direction=H","UseDPDF=Y")</f>
        <v>1796.9</v>
      </c>
      <c r="I42" s="13">
        <f>_xll.BDH("NBIX US Equity","ARD_ADDITIONAL_PAID_IN_CAPITAL","FQ2 2020","FQ2 2020","Currency=USD","Period=FQ","BEST_FPERIOD_OVERRIDE=FQ","FILING_STATUS=MR","SCALING_FORMAT=MLN","Sort=A","Dates=H","DateFormat=P","Fill=—","Direction=H","UseDPDF=Y")</f>
        <v>1842.2</v>
      </c>
      <c r="J42" s="13">
        <f>_xll.BDH("NBIX US Equity","ARD_ADDITIONAL_PAID_IN_CAPITAL","FQ3 2020","FQ3 2020","Currency=USD","Period=FQ","BEST_FPERIOD_OVERRIDE=FQ","FILING_STATUS=MR","SCALING_FORMAT=MLN","Sort=A","Dates=H","DateFormat=P","Fill=—","Direction=H","UseDPDF=Y")</f>
        <v>1874.3</v>
      </c>
      <c r="K42" s="13">
        <f>_xll.BDH("NBIX US Equity","ARD_ADDITIONAL_PAID_IN_CAPITAL","FQ4 2020","FQ4 2020","Currency=USD","Period=FQ","BEST_FPERIOD_OVERRIDE=FQ","FILING_STATUS=MR","SCALING_FORMAT=MLN","Sort=A","Dates=H","DateFormat=P","Fill=—","Direction=H","UseDPDF=Y")</f>
        <v>1849.7</v>
      </c>
      <c r="L42" s="13">
        <f>_xll.BDH("NBIX US Equity","ARD_ADDITIONAL_PAID_IN_CAPITAL","FQ1 2021","FQ1 2021","Currency=USD","Period=FQ","BEST_FPERIOD_OVERRIDE=FQ","FILING_STATUS=MR","SCALING_FORMAT=MLN","Sort=A","Dates=H","DateFormat=P","Fill=—","Direction=H","UseDPDF=Y")</f>
        <v>1897.8</v>
      </c>
      <c r="M42" s="13">
        <f>_xll.BDH("NBIX US Equity","ARD_ADDITIONAL_PAID_IN_CAPITAL","FQ2 2021","FQ2 2021","Currency=USD","Period=FQ","BEST_FPERIOD_OVERRIDE=FQ","FILING_STATUS=MR","SCALING_FORMAT=MLN","Sort=A","Dates=H","DateFormat=P","Fill=—","Direction=H","UseDPDF=Y")</f>
        <v>1929.4</v>
      </c>
      <c r="N42" s="13">
        <f>_xll.BDH("NBIX US Equity","ARD_ADDITIONAL_PAID_IN_CAPITAL","FQ3 2021","FQ3 2021","Currency=USD","Period=FQ","BEST_FPERIOD_OVERRIDE=FQ","FILING_STATUS=MR","SCALING_FORMAT=MLN","Sort=A","Dates=H","DateFormat=P","Fill=—","Direction=H","UseDPDF=Y")</f>
        <v>1974</v>
      </c>
      <c r="O42" s="13">
        <f>_xll.BDH("NBIX US Equity","ARD_ADDITIONAL_PAID_IN_CAPITAL","FQ4 2021","FQ4 2021","Currency=USD","Period=FQ","BEST_FPERIOD_OVERRIDE=FQ","FILING_STATUS=MR","SCALING_FORMAT=MLN","Sort=A","Dates=H","DateFormat=P","Fill=—","Direction=H","UseDPDF=Y")</f>
        <v>2011.4</v>
      </c>
      <c r="P42" s="13">
        <f>_xll.BDH("NBIX US Equity","ARD_ADDITIONAL_PAID_IN_CAPITAL","FQ1 2022","FQ1 2022","Currency=USD","Period=FQ","BEST_FPERIOD_OVERRIDE=FQ","FILING_STATUS=MR","SCALING_FORMAT=MLN","Sort=A","Dates=H","DateFormat=P","Fill=—","Direction=H","UseDPDF=Y")</f>
        <v>1947.7</v>
      </c>
      <c r="Q42" s="13">
        <f>_xll.BDH("NBIX US Equity","ARD_ADDITIONAL_PAID_IN_CAPITAL","FQ2 2022","FQ2 2022","Currency=USD","Period=FQ","BEST_FPERIOD_OVERRIDE=FQ","FILING_STATUS=MR","SCALING_FORMAT=MLN","Sort=A","Dates=H","DateFormat=P","Fill=—","Direction=H","UseDPDF=Y")</f>
        <v>1999.8</v>
      </c>
      <c r="R42" s="13">
        <f>_xll.BDH("NBIX US Equity","ARD_ADDITIONAL_PAID_IN_CAPITAL","FQ3 2022","FQ3 2022","Currency=USD","Period=FQ","BEST_FPERIOD_OVERRIDE=FQ","FILING_STATUS=MR","SCALING_FORMAT=MLN","Sort=A","Dates=H","DateFormat=P","Fill=—","Direction=H","UseDPDF=Y")</f>
        <v>2054.3000000000002</v>
      </c>
      <c r="S42" s="13">
        <f>_xll.BDH("NBIX US Equity","ARD_ADDITIONAL_PAID_IN_CAPITAL","FQ4 2022","FQ4 2022","Currency=USD","Period=FQ","BEST_FPERIOD_OVERRIDE=FQ","FILING_STATUS=MR","SCALING_FORMAT=MLN","Sort=A","Dates=H","DateFormat=P","Fill=—","Direction=H","UseDPDF=Y")</f>
        <v>2122.4</v>
      </c>
      <c r="T42" s="13">
        <f>_xll.BDH("NBIX US Equity","ARD_ADDITIONAL_PAID_IN_CAPITAL","FQ1 2023","FQ1 2023","Currency=USD","Period=FQ","BEST_FPERIOD_OVERRIDE=FQ","FILING_STATUS=MR","SCALING_FORMAT=MLN","Sort=A","Dates=H","DateFormat=P","Fill=—","Direction=H","UseDPDF=Y")</f>
        <v>2170.5</v>
      </c>
      <c r="U42" s="13">
        <f>_xll.BDH("NBIX US Equity","ARD_ADDITIONAL_PAID_IN_CAPITAL","FQ2 2023","FQ2 2023","Currency=USD","Period=FQ","BEST_FPERIOD_OVERRIDE=FQ","FILING_STATUS=MR","SCALING_FORMAT=MLN","Sort=A","Dates=H","DateFormat=P","Fill=—","Direction=H","UseDPDF=Y")</f>
        <v>2241.9</v>
      </c>
      <c r="V42" s="13">
        <f>_xll.BDH("NBIX US Equity","ARD_ADDITIONAL_PAID_IN_CAPITAL","FQ3 2023","FQ3 2023","Currency=USD","Period=FQ","BEST_FPERIOD_OVERRIDE=FQ","FILING_STATUS=MR","SCALING_FORMAT=MLN","Sort=A","Dates=H","DateFormat=P","Fill=—","Direction=H","UseDPDF=Y")</f>
        <v>2308.5</v>
      </c>
      <c r="W42" s="13">
        <f>_xll.BDH("NBIX US Equity","ARD_ADDITIONAL_PAID_IN_CAPITAL","FQ4 2023","FQ4 2023","Currency=USD","Period=FQ","BEST_FPERIOD_OVERRIDE=FQ","FILING_STATUS=MR","SCALING_FORMAT=MLN","Sort=A","Dates=H","DateFormat=P","Fill=—","Direction=H","UseDPDF=Y")</f>
        <v>2382</v>
      </c>
      <c r="X42" s="13">
        <f>_xll.BDH("NBIX US Equity","ARD_ADDITIONAL_PAID_IN_CAPITAL","FQ1 2024","FQ1 2024","Currency=USD","Period=FQ","BEST_FPERIOD_OVERRIDE=FQ","FILING_STATUS=MR","SCALING_FORMAT=MLN","Sort=A","Dates=H","DateFormat=P","Fill=—","Direction=H","UseDPDF=Y")</f>
        <v>2496.4</v>
      </c>
      <c r="Y42" s="13">
        <f>_xll.BDH("NBIX US Equity","ARD_ADDITIONAL_PAID_IN_CAPITAL","FQ2 2024","FQ2 2024","Currency=USD","Period=FQ","BEST_FPERIOD_OVERRIDE=FQ","FILING_STATUS=MR","SCALING_FORMAT=MLN","Sort=A","Dates=H","DateFormat=P","Fill=—","Direction=H","UseDPDF=Y")</f>
        <v>2555.3000000000002</v>
      </c>
      <c r="Z42" s="13">
        <f>_xll.BDH("NBIX US Equity","ARD_ADDITIONAL_PAID_IN_CAPITAL","FQ3 2024","FQ3 2024","Currency=USD","Period=FQ","BEST_FPERIOD_OVERRIDE=FQ","FILING_STATUS=MR","SCALING_FORMAT=MLN","Sort=A","Dates=H","DateFormat=P","Fill=—","Direction=H","UseDPDF=Y")</f>
        <v>2623.2</v>
      </c>
      <c r="AA42" s="13">
        <f>_xll.BDH("NBIX US Equity","ARD_ADDITIONAL_PAID_IN_CAPITAL","FQ4 2024","FQ4 2024","Currency=USD","Period=FQ","BEST_FPERIOD_OVERRIDE=FQ","FILING_STATUS=MR","SCALING_FORMAT=MLN","Sort=A","Dates=H","DateFormat=P","Fill=—","Direction=H","UseDPDF=Y")</f>
        <v>2554.6</v>
      </c>
    </row>
    <row r="43" spans="1:27" x14ac:dyDescent="0.25">
      <c r="A43" s="10" t="s">
        <v>877</v>
      </c>
      <c r="B43" s="10" t="s">
        <v>878</v>
      </c>
      <c r="C43" s="13">
        <f>_xll.BDH("NBIX US Equity","ARD_ACC_OTH_COMPREHENSIVE_INC","FQ4 2018","FQ4 2018","Currency=USD","Period=FQ","BEST_FPERIOD_OVERRIDE=FQ","FILING_STATUS=MR","SCALING_FORMAT=MLN","Sort=A","Dates=H","DateFormat=P","Fill=—","Direction=H","UseDPDF=Y")</f>
        <v>-1.9319999999999999</v>
      </c>
      <c r="D43" s="13">
        <f>_xll.BDH("NBIX US Equity","ARD_ACC_OTH_COMPREHENSIVE_INC","FQ1 2019","FQ1 2019","Currency=USD","Period=FQ","BEST_FPERIOD_OVERRIDE=FQ","FILING_STATUS=MR","SCALING_FORMAT=MLN","Sort=A","Dates=H","DateFormat=P","Fill=—","Direction=H","UseDPDF=Y")</f>
        <v>-0.23300000000000001</v>
      </c>
      <c r="E43" s="13">
        <f>_xll.BDH("NBIX US Equity","ARD_ACC_OTH_COMPREHENSIVE_INC","FQ2 2019","FQ2 2019","Currency=USD","Period=FQ","BEST_FPERIOD_OVERRIDE=FQ","FILING_STATUS=MR","SCALING_FORMAT=MLN","Sort=A","Dates=H","DateFormat=P","Fill=—","Direction=H","UseDPDF=Y")</f>
        <v>0.64500000000000002</v>
      </c>
      <c r="F43" s="13">
        <f>_xll.BDH("NBIX US Equity","ARD_ACC_OTH_COMPREHENSIVE_INC","FQ3 2019","FQ3 2019","Currency=USD","Period=FQ","BEST_FPERIOD_OVERRIDE=FQ","FILING_STATUS=MR","SCALING_FORMAT=MLN","Sort=A","Dates=H","DateFormat=P","Fill=—","Direction=H","UseDPDF=Y")</f>
        <v>1.6060000000000001</v>
      </c>
      <c r="G43" s="13">
        <f>_xll.BDH("NBIX US Equity","ARD_ACC_OTH_COMPREHENSIVE_INC","FQ4 2019","FQ4 2019","Currency=USD","Period=FQ","BEST_FPERIOD_OVERRIDE=FQ","FILING_STATUS=MR","SCALING_FORMAT=MLN","Sort=A","Dates=H","DateFormat=P","Fill=—","Direction=H","UseDPDF=Y")</f>
        <v>1.4</v>
      </c>
      <c r="H43" s="13">
        <f>_xll.BDH("NBIX US Equity","ARD_ACC_OTH_COMPREHENSIVE_INC","FQ1 2020","FQ1 2020","Currency=USD","Period=FQ","BEST_FPERIOD_OVERRIDE=FQ","FILING_STATUS=MR","SCALING_FORMAT=MLN","Sort=A","Dates=H","DateFormat=P","Fill=—","Direction=H","UseDPDF=Y")</f>
        <v>0</v>
      </c>
      <c r="I43" s="13">
        <f>_xll.BDH("NBIX US Equity","ARD_ACC_OTH_COMPREHENSIVE_INC","FQ2 2020","FQ2 2020","Currency=USD","Period=FQ","BEST_FPERIOD_OVERRIDE=FQ","FILING_STATUS=MR","SCALING_FORMAT=MLN","Sort=A","Dates=H","DateFormat=P","Fill=—","Direction=H","UseDPDF=Y")</f>
        <v>4.5999999999999996</v>
      </c>
      <c r="J43" s="13">
        <f>_xll.BDH("NBIX US Equity","ARD_ACC_OTH_COMPREHENSIVE_INC","FQ3 2020","FQ3 2020","Currency=USD","Period=FQ","BEST_FPERIOD_OVERRIDE=FQ","FILING_STATUS=MR","SCALING_FORMAT=MLN","Sort=A","Dates=H","DateFormat=P","Fill=—","Direction=H","UseDPDF=Y")</f>
        <v>3.2</v>
      </c>
      <c r="K43" s="13">
        <f>_xll.BDH("NBIX US Equity","ARD_ACC_OTH_COMPREHENSIVE_INC","FQ4 2020","FQ4 2020","Currency=USD","Period=FQ","BEST_FPERIOD_OVERRIDE=FQ","FILING_STATUS=MR","SCALING_FORMAT=MLN","Sort=A","Dates=H","DateFormat=P","Fill=—","Direction=H","UseDPDF=Y")</f>
        <v>1.8</v>
      </c>
      <c r="L43" s="13">
        <f>_xll.BDH("NBIX US Equity","ARD_ACC_OTH_COMPREHENSIVE_INC","FQ1 2021","FQ1 2021","Currency=USD","Period=FQ","BEST_FPERIOD_OVERRIDE=FQ","FILING_STATUS=MR","SCALING_FORMAT=MLN","Sort=A","Dates=H","DateFormat=P","Fill=—","Direction=H","UseDPDF=Y")</f>
        <v>1</v>
      </c>
      <c r="M43" s="13">
        <f>_xll.BDH("NBIX US Equity","ARD_ACC_OTH_COMPREHENSIVE_INC","FQ2 2021","FQ2 2021","Currency=USD","Period=FQ","BEST_FPERIOD_OVERRIDE=FQ","FILING_STATUS=MR","SCALING_FORMAT=MLN","Sort=A","Dates=H","DateFormat=P","Fill=—","Direction=H","UseDPDF=Y")</f>
        <v>0.7</v>
      </c>
      <c r="N43" s="13">
        <f>_xll.BDH("NBIX US Equity","ARD_ACC_OTH_COMPREHENSIVE_INC","FQ3 2021","FQ3 2021","Currency=USD","Period=FQ","BEST_FPERIOD_OVERRIDE=FQ","FILING_STATUS=MR","SCALING_FORMAT=MLN","Sort=A","Dates=H","DateFormat=P","Fill=—","Direction=H","UseDPDF=Y")</f>
        <v>0.4</v>
      </c>
      <c r="O43" s="13">
        <f>_xll.BDH("NBIX US Equity","ARD_ACC_OTH_COMPREHENSIVE_INC","FQ4 2021","FQ4 2021","Currency=USD","Period=FQ","BEST_FPERIOD_OVERRIDE=FQ","FILING_STATUS=MR","SCALING_FORMAT=MLN","Sort=A","Dates=H","DateFormat=P","Fill=—","Direction=H","UseDPDF=Y")</f>
        <v>-1.7</v>
      </c>
      <c r="P43" s="13">
        <f>_xll.BDH("NBIX US Equity","ARD_ACC_OTH_COMPREHENSIVE_INC","FQ1 2022","FQ1 2022","Currency=USD","Period=FQ","BEST_FPERIOD_OVERRIDE=FQ","FILING_STATUS=MR","SCALING_FORMAT=MLN","Sort=A","Dates=H","DateFormat=P","Fill=—","Direction=H","UseDPDF=Y")</f>
        <v>-9.3000000000000007</v>
      </c>
      <c r="Q43" s="13">
        <f>_xll.BDH("NBIX US Equity","ARD_ACC_OTH_COMPREHENSIVE_INC","FQ2 2022","FQ2 2022","Currency=USD","Period=FQ","BEST_FPERIOD_OVERRIDE=FQ","FILING_STATUS=MR","SCALING_FORMAT=MLN","Sort=A","Dates=H","DateFormat=P","Fill=—","Direction=H","UseDPDF=Y")</f>
        <v>-12.2</v>
      </c>
      <c r="R43" s="13">
        <f>_xll.BDH("NBIX US Equity","ARD_ACC_OTH_COMPREHENSIVE_INC","FQ3 2022","FQ3 2022","Currency=USD","Period=FQ","BEST_FPERIOD_OVERRIDE=FQ","FILING_STATUS=MR","SCALING_FORMAT=MLN","Sort=A","Dates=H","DateFormat=P","Fill=—","Direction=H","UseDPDF=Y")</f>
        <v>-14</v>
      </c>
      <c r="S43" s="13">
        <f>_xll.BDH("NBIX US Equity","ARD_ACC_OTH_COMPREHENSIVE_INC","FQ4 2022","FQ4 2022","Currency=USD","Period=FQ","BEST_FPERIOD_OVERRIDE=FQ","FILING_STATUS=MR","SCALING_FORMAT=MLN","Sort=A","Dates=H","DateFormat=P","Fill=—","Direction=H","UseDPDF=Y")</f>
        <v>-7.9</v>
      </c>
      <c r="T43" s="13">
        <f>_xll.BDH("NBIX US Equity","ARD_ACC_OTH_COMPREHENSIVE_INC","FQ1 2023","FQ1 2023","Currency=USD","Period=FQ","BEST_FPERIOD_OVERRIDE=FQ","FILING_STATUS=MR","SCALING_FORMAT=MLN","Sort=A","Dates=H","DateFormat=P","Fill=—","Direction=H","UseDPDF=Y")</f>
        <v>-2.7</v>
      </c>
      <c r="U43" s="13">
        <f>_xll.BDH("NBIX US Equity","ARD_ACC_OTH_COMPREHENSIVE_INC","FQ2 2023","FQ2 2023","Currency=USD","Period=FQ","BEST_FPERIOD_OVERRIDE=FQ","FILING_STATUS=MR","SCALING_FORMAT=MLN","Sort=A","Dates=H","DateFormat=P","Fill=—","Direction=H","UseDPDF=Y")</f>
        <v>-1.1000000000000001</v>
      </c>
      <c r="V43" s="13">
        <f>_xll.BDH("NBIX US Equity","ARD_ACC_OTH_COMPREHENSIVE_INC","FQ3 2023","FQ3 2023","Currency=USD","Period=FQ","BEST_FPERIOD_OVERRIDE=FQ","FILING_STATUS=MR","SCALING_FORMAT=MLN","Sort=A","Dates=H","DateFormat=P","Fill=—","Direction=H","UseDPDF=Y")</f>
        <v>-1.7</v>
      </c>
      <c r="W43" s="13">
        <f>_xll.BDH("NBIX US Equity","ARD_ACC_OTH_COMPREHENSIVE_INC","FQ4 2023","FQ4 2023","Currency=USD","Period=FQ","BEST_FPERIOD_OVERRIDE=FQ","FILING_STATUS=MR","SCALING_FORMAT=MLN","Sort=A","Dates=H","DateFormat=P","Fill=—","Direction=H","UseDPDF=Y")</f>
        <v>7</v>
      </c>
      <c r="X43" s="13">
        <f>_xll.BDH("NBIX US Equity","ARD_ACC_OTH_COMPREHENSIVE_INC","FQ1 2024","FQ1 2024","Currency=USD","Period=FQ","BEST_FPERIOD_OVERRIDE=FQ","FILING_STATUS=MR","SCALING_FORMAT=MLN","Sort=A","Dates=H","DateFormat=P","Fill=—","Direction=H","UseDPDF=Y")</f>
        <v>3.3</v>
      </c>
      <c r="Y43" s="13">
        <f>_xll.BDH("NBIX US Equity","ARD_ACC_OTH_COMPREHENSIVE_INC","FQ2 2024","FQ2 2024","Currency=USD","Period=FQ","BEST_FPERIOD_OVERRIDE=FQ","FILING_STATUS=MR","SCALING_FORMAT=MLN","Sort=A","Dates=H","DateFormat=P","Fill=—","Direction=H","UseDPDF=Y")</f>
        <v>2.5</v>
      </c>
      <c r="Z43" s="13">
        <f>_xll.BDH("NBIX US Equity","ARD_ACC_OTH_COMPREHENSIVE_INC","FQ3 2024","FQ3 2024","Currency=USD","Period=FQ","BEST_FPERIOD_OVERRIDE=FQ","FILING_STATUS=MR","SCALING_FORMAT=MLN","Sort=A","Dates=H","DateFormat=P","Fill=—","Direction=H","UseDPDF=Y")</f>
        <v>14.5</v>
      </c>
      <c r="AA43" s="13">
        <f>_xll.BDH("NBIX US Equity","ARD_ACC_OTH_COMPREHENSIVE_INC","FQ4 2024","FQ4 2024","Currency=USD","Period=FQ","BEST_FPERIOD_OVERRIDE=FQ","FILING_STATUS=MR","SCALING_FORMAT=MLN","Sort=A","Dates=H","DateFormat=P","Fill=—","Direction=H","UseDPDF=Y")</f>
        <v>5.8</v>
      </c>
    </row>
    <row r="44" spans="1:27" x14ac:dyDescent="0.25">
      <c r="A44" s="10" t="s">
        <v>879</v>
      </c>
      <c r="B44" s="10" t="s">
        <v>880</v>
      </c>
      <c r="C44" s="13">
        <f>_xll.BDH("NBIX US Equity","ARD_RETAINED_EARN_ACC_DEFICIT","FQ4 2018","FQ4 2018","Currency=USD","Period=FQ","BEST_FPERIOD_OVERRIDE=FQ","FILING_STATUS=MR","SCALING_FORMAT=MLN","Sort=A","Dates=H","DateFormat=P","Fill=—","Direction=H","UseDPDF=Y")</f>
        <v>-1177.7550000000001</v>
      </c>
      <c r="D44" s="13">
        <f>_xll.BDH("NBIX US Equity","ARD_RETAINED_EARN_ACC_DEFICIT","FQ1 2019","FQ1 2019","Currency=USD","Period=FQ","BEST_FPERIOD_OVERRIDE=FQ","FILING_STATUS=MR","SCALING_FORMAT=MLN","Sort=A","Dates=H","DateFormat=P","Fill=—","Direction=H","UseDPDF=Y")</f>
        <v>-1271.827</v>
      </c>
      <c r="E44" s="13">
        <f>_xll.BDH("NBIX US Equity","ARD_RETAINED_EARN_ACC_DEFICIT","FQ2 2019","FQ2 2019","Currency=USD","Period=FQ","BEST_FPERIOD_OVERRIDE=FQ","FILING_STATUS=MR","SCALING_FORMAT=MLN","Sort=A","Dates=H","DateFormat=P","Fill=—","Direction=H","UseDPDF=Y")</f>
        <v>-1220.489</v>
      </c>
      <c r="F44" s="13">
        <f>_xll.BDH("NBIX US Equity","ARD_RETAINED_EARN_ACC_DEFICIT","FQ3 2019","FQ3 2019","Currency=USD","Period=FQ","BEST_FPERIOD_OVERRIDE=FQ","FILING_STATUS=MR","SCALING_FORMAT=MLN","Sort=A","Dates=H","DateFormat=P","Fill=—","Direction=H","UseDPDF=Y")</f>
        <v>-1166.7</v>
      </c>
      <c r="G44" s="13">
        <f>_xll.BDH("NBIX US Equity","ARD_RETAINED_EARN_ACC_DEFICIT","FQ4 2019","FQ4 2019","Currency=USD","Period=FQ","BEST_FPERIOD_OVERRIDE=FQ","FILING_STATUS=MR","SCALING_FORMAT=MLN","Sort=A","Dates=H","DateFormat=P","Fill=—","Direction=H","UseDPDF=Y")</f>
        <v>-1132.7</v>
      </c>
      <c r="H44" s="13">
        <f>_xll.BDH("NBIX US Equity","ARD_RETAINED_EARN_ACC_DEFICIT","FQ1 2020","FQ1 2020","Currency=USD","Period=FQ","BEST_FPERIOD_OVERRIDE=FQ","FILING_STATUS=MR","SCALING_FORMAT=MLN","Sort=A","Dates=H","DateFormat=P","Fill=—","Direction=H","UseDPDF=Y")</f>
        <v>0</v>
      </c>
      <c r="I44" s="13">
        <f>_xll.BDH("NBIX US Equity","ARD_RETAINED_EARN_ACC_DEFICIT","FQ2 2020","FQ2 2020","Currency=USD","Period=FQ","BEST_FPERIOD_OVERRIDE=FQ","FILING_STATUS=MR","SCALING_FORMAT=MLN","Sort=A","Dates=H","DateFormat=P","Fill=—","Direction=H","UseDPDF=Y")</f>
        <v>-1015.7</v>
      </c>
      <c r="J44" s="13">
        <f>_xll.BDH("NBIX US Equity","ARD_RETAINED_EARN_ACC_DEFICIT","FQ3 2020","FQ3 2020","Currency=USD","Period=FQ","BEST_FPERIOD_OVERRIDE=FQ","FILING_STATUS=MR","SCALING_FORMAT=MLN","Sort=A","Dates=H","DateFormat=P","Fill=—","Direction=H","UseDPDF=Y")</f>
        <v>-1073.3</v>
      </c>
      <c r="K44" s="13">
        <f>_xll.BDH("NBIX US Equity","ARD_RETAINED_EARN_ACC_DEFICIT","FQ4 2020","FQ4 2020","Currency=USD","Period=FQ","BEST_FPERIOD_OVERRIDE=FQ","FILING_STATUS=MR","SCALING_FORMAT=MLN","Sort=A","Dates=H","DateFormat=P","Fill=—","Direction=H","UseDPDF=Y")</f>
        <v>-725.4</v>
      </c>
      <c r="L44" s="13">
        <f>_xll.BDH("NBIX US Equity","ARD_RETAINED_EARN_ACC_DEFICIT","FQ1 2021","FQ1 2021","Currency=USD","Period=FQ","BEST_FPERIOD_OVERRIDE=FQ","FILING_STATUS=MR","SCALING_FORMAT=MLN","Sort=A","Dates=H","DateFormat=P","Fill=—","Direction=H","UseDPDF=Y")</f>
        <v>-693.3</v>
      </c>
      <c r="M44" s="13">
        <f>_xll.BDH("NBIX US Equity","ARD_RETAINED_EARN_ACC_DEFICIT","FQ2 2021","FQ2 2021","Currency=USD","Period=FQ","BEST_FPERIOD_OVERRIDE=FQ","FILING_STATUS=MR","SCALING_FORMAT=MLN","Sort=A","Dates=H","DateFormat=P","Fill=—","Direction=H","UseDPDF=Y")</f>
        <v>-651</v>
      </c>
      <c r="N44" s="13">
        <f>_xll.BDH("NBIX US Equity","ARD_RETAINED_EARN_ACC_DEFICIT","FQ3 2021","FQ3 2021","Currency=USD","Period=FQ","BEST_FPERIOD_OVERRIDE=FQ","FILING_STATUS=MR","SCALING_FORMAT=MLN","Sort=A","Dates=H","DateFormat=P","Fill=—","Direction=H","UseDPDF=Y")</f>
        <v>-628.5</v>
      </c>
      <c r="O44" s="13">
        <f>_xll.BDH("NBIX US Equity","ARD_RETAINED_EARN_ACC_DEFICIT","FQ4 2021","FQ4 2021","Currency=USD","Period=FQ","BEST_FPERIOD_OVERRIDE=FQ","FILING_STATUS=MR","SCALING_FORMAT=MLN","Sort=A","Dates=H","DateFormat=P","Fill=—","Direction=H","UseDPDF=Y")</f>
        <v>-635.79999999999995</v>
      </c>
      <c r="P44" s="13">
        <f>_xll.BDH("NBIX US Equity","ARD_RETAINED_EARN_ACC_DEFICIT","FQ1 2022","FQ1 2022","Currency=USD","Period=FQ","BEST_FPERIOD_OVERRIDE=FQ","FILING_STATUS=MR","SCALING_FORMAT=MLN","Sort=A","Dates=H","DateFormat=P","Fill=—","Direction=H","UseDPDF=Y")</f>
        <v>-547.4</v>
      </c>
      <c r="Q44" s="13">
        <f>_xll.BDH("NBIX US Equity","ARD_RETAINED_EARN_ACC_DEFICIT","FQ2 2022","FQ2 2022","Currency=USD","Period=FQ","BEST_FPERIOD_OVERRIDE=FQ","FILING_STATUS=MR","SCALING_FORMAT=MLN","Sort=A","Dates=H","DateFormat=P","Fill=—","Direction=H","UseDPDF=Y")</f>
        <v>-564.29999999999995</v>
      </c>
      <c r="R44" s="13">
        <f>_xll.BDH("NBIX US Equity","ARD_RETAINED_EARN_ACC_DEFICIT","FQ3 2022","FQ3 2022","Currency=USD","Period=FQ","BEST_FPERIOD_OVERRIDE=FQ","FILING_STATUS=MR","SCALING_FORMAT=MLN","Sort=A","Dates=H","DateFormat=P","Fill=—","Direction=H","UseDPDF=Y")</f>
        <v>-495.8</v>
      </c>
      <c r="S44" s="13">
        <f>_xll.BDH("NBIX US Equity","ARD_RETAINED_EARN_ACC_DEFICIT","FQ4 2022","FQ4 2022","Currency=USD","Period=FQ","BEST_FPERIOD_OVERRIDE=FQ","FILING_STATUS=MR","SCALING_FORMAT=MLN","Sort=A","Dates=H","DateFormat=P","Fill=—","Direction=H","UseDPDF=Y")</f>
        <v>-406.8</v>
      </c>
      <c r="T44" s="13">
        <f>_xll.BDH("NBIX US Equity","ARD_RETAINED_EARN_ACC_DEFICIT","FQ1 2023","FQ1 2023","Currency=USD","Period=FQ","BEST_FPERIOD_OVERRIDE=FQ","FILING_STATUS=MR","SCALING_FORMAT=MLN","Sort=A","Dates=H","DateFormat=P","Fill=—","Direction=H","UseDPDF=Y")</f>
        <v>-483.4</v>
      </c>
      <c r="U44" s="13">
        <f>_xll.BDH("NBIX US Equity","ARD_RETAINED_EARN_ACC_DEFICIT","FQ2 2023","FQ2 2023","Currency=USD","Period=FQ","BEST_FPERIOD_OVERRIDE=FQ","FILING_STATUS=MR","SCALING_FORMAT=MLN","Sort=A","Dates=H","DateFormat=P","Fill=—","Direction=H","UseDPDF=Y")</f>
        <v>-387.9</v>
      </c>
      <c r="V44" s="13">
        <f>_xll.BDH("NBIX US Equity","ARD_RETAINED_EARN_ACC_DEFICIT","FQ3 2023","FQ3 2023","Currency=USD","Period=FQ","BEST_FPERIOD_OVERRIDE=FQ","FILING_STATUS=MR","SCALING_FORMAT=MLN","Sort=A","Dates=H","DateFormat=P","Fill=—","Direction=H","UseDPDF=Y")</f>
        <v>-304.8</v>
      </c>
      <c r="W44" s="13">
        <f>_xll.BDH("NBIX US Equity","ARD_RETAINED_EARN_ACC_DEFICIT","FQ4 2023","FQ4 2023","Currency=USD","Period=FQ","BEST_FPERIOD_OVERRIDE=FQ","FILING_STATUS=MR","SCALING_FORMAT=MLN","Sort=A","Dates=H","DateFormat=P","Fill=—","Direction=H","UseDPDF=Y")</f>
        <v>-157.1</v>
      </c>
      <c r="X44" s="13">
        <f>_xll.BDH("NBIX US Equity","ARD_RETAINED_EARN_ACC_DEFICIT","FQ1 2024","FQ1 2024","Currency=USD","Period=FQ","BEST_FPERIOD_OVERRIDE=FQ","FILING_STATUS=MR","SCALING_FORMAT=MLN","Sort=A","Dates=H","DateFormat=P","Fill=—","Direction=H","UseDPDF=Y")</f>
        <v>-113.7</v>
      </c>
      <c r="Y44" s="13">
        <f>_xll.BDH("NBIX US Equity","ARD_RETAINED_EARN_ACC_DEFICIT","FQ2 2024","FQ2 2024","Currency=USD","Period=FQ","BEST_FPERIOD_OVERRIDE=FQ","FILING_STATUS=MR","SCALING_FORMAT=MLN","Sort=A","Dates=H","DateFormat=P","Fill=—","Direction=H","UseDPDF=Y")</f>
        <v>-48.7</v>
      </c>
      <c r="Z44" s="13">
        <f>_xll.BDH("NBIX US Equity","ARD_RETAINED_EARN_ACC_DEFICIT","FQ3 2024","FQ3 2024","Currency=USD","Period=FQ","BEST_FPERIOD_OVERRIDE=FQ","FILING_STATUS=MR","SCALING_FORMAT=MLN","Sort=A","Dates=H","DateFormat=P","Fill=—","Direction=H","UseDPDF=Y")</f>
        <v>81.099999999999994</v>
      </c>
      <c r="AA44" s="13">
        <f>_xll.BDH("NBIX US Equity","ARD_RETAINED_EARN_ACC_DEFICIT","FQ4 2024","FQ4 2024","Currency=USD","Period=FQ","BEST_FPERIOD_OVERRIDE=FQ","FILING_STATUS=MR","SCALING_FORMAT=MLN","Sort=A","Dates=H","DateFormat=P","Fill=—","Direction=H","UseDPDF=Y")</f>
        <v>29.2</v>
      </c>
    </row>
    <row r="45" spans="1:27" x14ac:dyDescent="0.25">
      <c r="A45" s="10" t="s">
        <v>790</v>
      </c>
      <c r="B45" s="10" t="s">
        <v>881</v>
      </c>
      <c r="C45" s="13">
        <f>_xll.BDH("NBIX US Equity","ARD_SHARES_OUTSTANDING","FQ4 2018","FQ4 2018","Currency=USD","Period=FQ","BEST_FPERIOD_OVERRIDE=FQ","FILING_STATUS=MR","Sort=A","Dates=H","DateFormat=P","Fill=—","Direction=H","UseDPDF=Y")</f>
        <v>90.7971</v>
      </c>
      <c r="D45" s="13">
        <f>_xll.BDH("NBIX US Equity","ARD_SHARES_OUTSTANDING","FQ1 2019","FQ1 2019","Currency=USD","Period=FQ","BEST_FPERIOD_OVERRIDE=FQ","FILING_STATUS=MR","Sort=A","Dates=H","DateFormat=P","Fill=—","Direction=H","UseDPDF=Y")</f>
        <v>91.284000000000006</v>
      </c>
      <c r="E45" s="13">
        <f>_xll.BDH("NBIX US Equity","ARD_SHARES_OUTSTANDING","FQ2 2019","FQ2 2019","Currency=USD","Period=FQ","BEST_FPERIOD_OVERRIDE=FQ","FILING_STATUS=MR","Sort=A","Dates=H","DateFormat=P","Fill=—","Direction=H","UseDPDF=Y")</f>
        <v>91.536000000000001</v>
      </c>
      <c r="F45" s="13">
        <f>_xll.BDH("NBIX US Equity","ARD_SHARES_OUTSTANDING","FQ3 2019","FQ3 2019","Currency=USD","Period=FQ","BEST_FPERIOD_OVERRIDE=FQ","FILING_STATUS=MR","Sort=A","Dates=H","DateFormat=P","Fill=—","Direction=H","UseDPDF=Y")</f>
        <v>92.08</v>
      </c>
      <c r="G45" s="13">
        <f>_xll.BDH("NBIX US Equity","ARD_SHARES_OUTSTANDING","FQ4 2019","FQ4 2019","Currency=USD","Period=FQ","BEST_FPERIOD_OVERRIDE=FQ","FILING_STATUS=MR","Sort=A","Dates=H","DateFormat=P","Fill=—","Direction=H","UseDPDF=Y")</f>
        <v>92.3</v>
      </c>
      <c r="H45" s="13">
        <f>_xll.BDH("NBIX US Equity","ARD_SHARES_OUTSTANDING","FQ1 2020","FQ1 2020","Currency=USD","Period=FQ","BEST_FPERIOD_OVERRIDE=FQ","FILING_STATUS=MR","Sort=A","Dates=H","DateFormat=P","Fill=—","Direction=H","UseDPDF=Y")</f>
        <v>92.8</v>
      </c>
      <c r="I45" s="13">
        <f>_xll.BDH("NBIX US Equity","ARD_SHARES_OUTSTANDING","FQ2 2020","FQ2 2020","Currency=USD","Period=FQ","BEST_FPERIOD_OVERRIDE=FQ","FILING_STATUS=MR","Sort=A","Dates=H","DateFormat=P","Fill=—","Direction=H","UseDPDF=Y")</f>
        <v>93.2</v>
      </c>
      <c r="J45" s="13">
        <f>_xll.BDH("NBIX US Equity","ARD_SHARES_OUTSTANDING","FQ3 2020","FQ3 2020","Currency=USD","Period=FQ","BEST_FPERIOD_OVERRIDE=FQ","FILING_STATUS=MR","Sort=A","Dates=H","DateFormat=P","Fill=—","Direction=H","UseDPDF=Y")</f>
        <v>93.4</v>
      </c>
      <c r="K45" s="13">
        <f>_xll.BDH("NBIX US Equity","ARD_SHARES_OUTSTANDING","FQ4 2020","FQ4 2020","Currency=USD","Period=FQ","BEST_FPERIOD_OVERRIDE=FQ","FILING_STATUS=MR","Sort=A","Dates=H","DateFormat=P","Fill=—","Direction=H","UseDPDF=Y")</f>
        <v>93.5</v>
      </c>
      <c r="L45" s="13" t="str">
        <f>_xll.BDH("NBIX US Equity","ARD_SHARES_OUTSTANDING","FQ1 2021","FQ1 2021","Currency=USD","Period=FQ","BEST_FPERIOD_OVERRIDE=FQ","FILING_STATUS=MR","Sort=A","Dates=H","DateFormat=P","Fill=—","Direction=H","UseDPDF=Y")</f>
        <v>—</v>
      </c>
      <c r="M45" s="13">
        <f>_xll.BDH("NBIX US Equity","ARD_SHARES_OUTSTANDING","FQ2 2021","FQ2 2021","Currency=USD","Period=FQ","BEST_FPERIOD_OVERRIDE=FQ","FILING_STATUS=MR","Sort=A","Dates=H","DateFormat=P","Fill=—","Direction=H","UseDPDF=Y")</f>
        <v>94.6</v>
      </c>
      <c r="N45" s="13">
        <f>_xll.BDH("NBIX US Equity","ARD_SHARES_OUTSTANDING","FQ3 2021","FQ3 2021","Currency=USD","Period=FQ","BEST_FPERIOD_OVERRIDE=FQ","FILING_STATUS=MR","Sort=A","Dates=H","DateFormat=P","Fill=—","Direction=H","UseDPDF=Y")</f>
        <v>94.8</v>
      </c>
      <c r="O45" s="13">
        <f>_xll.BDH("NBIX US Equity","ARD_SHARES_OUTSTANDING","FQ4 2021","FQ4 2021","Currency=USD","Period=FQ","BEST_FPERIOD_OVERRIDE=FQ","FILING_STATUS=MR","Sort=A","Dates=H","DateFormat=P","Fill=—","Direction=H","UseDPDF=Y")</f>
        <v>94.9</v>
      </c>
      <c r="P45" s="13">
        <f>_xll.BDH("NBIX US Equity","ARD_SHARES_OUTSTANDING","FQ1 2022","FQ1 2022","Currency=USD","Period=FQ","BEST_FPERIOD_OVERRIDE=FQ","FILING_STATUS=MR","Sort=A","Dates=H","DateFormat=P","Fill=—","Direction=H","UseDPDF=Y")</f>
        <v>95.5</v>
      </c>
      <c r="Q45" s="13" t="str">
        <f>_xll.BDH("NBIX US Equity","ARD_SHARES_OUTSTANDING","FQ2 2022","FQ2 2022","Currency=USD","Period=FQ","BEST_FPERIOD_OVERRIDE=FQ","FILING_STATUS=MR","Sort=A","Dates=H","DateFormat=P","Fill=—","Direction=H","UseDPDF=Y")</f>
        <v>—</v>
      </c>
      <c r="R45" s="13">
        <f>_xll.BDH("NBIX US Equity","ARD_SHARES_OUTSTANDING","FQ3 2022","FQ3 2022","Currency=USD","Period=FQ","BEST_FPERIOD_OVERRIDE=FQ","FILING_STATUS=MR","Sort=A","Dates=H","DateFormat=P","Fill=—","Direction=H","UseDPDF=Y")</f>
        <v>96.1</v>
      </c>
      <c r="S45" s="13">
        <f>_xll.BDH("NBIX US Equity","ARD_SHARES_OUTSTANDING","FQ4 2022","FQ4 2022","Currency=USD","Period=FQ","BEST_FPERIOD_OVERRIDE=FQ","FILING_STATUS=MR","Sort=A","Dates=H","DateFormat=P","Fill=—","Direction=H","UseDPDF=Y")</f>
        <v>96.5</v>
      </c>
      <c r="T45" s="13">
        <f>_xll.BDH("NBIX US Equity","ARD_SHARES_OUTSTANDING","FQ1 2023","FQ1 2023","Currency=USD","Period=FQ","BEST_FPERIOD_OVERRIDE=FQ","FILING_STATUS=MR","Sort=A","Dates=H","DateFormat=P","Fill=—","Direction=H","UseDPDF=Y")</f>
        <v>97.5</v>
      </c>
      <c r="U45" s="13">
        <f>_xll.BDH("NBIX US Equity","ARD_SHARES_OUTSTANDING","FQ2 2023","FQ2 2023","Currency=USD","Period=FQ","BEST_FPERIOD_OVERRIDE=FQ","FILING_STATUS=MR","Sort=A","Dates=H","DateFormat=P","Fill=—","Direction=H","UseDPDF=Y")</f>
        <v>97.6</v>
      </c>
      <c r="V45" s="13">
        <f>_xll.BDH("NBIX US Equity","ARD_SHARES_OUTSTANDING","FQ3 2023","FQ3 2023","Currency=USD","Period=FQ","BEST_FPERIOD_OVERRIDE=FQ","FILING_STATUS=MR","Sort=A","Dates=H","DateFormat=P","Fill=—","Direction=H","UseDPDF=Y")</f>
        <v>98.2</v>
      </c>
      <c r="W45" s="13">
        <f>_xll.BDH("NBIX US Equity","ARD_SHARES_OUTSTANDING","FQ4 2023","FQ4 2023","Currency=USD","Period=FQ","BEST_FPERIOD_OVERRIDE=FQ","FILING_STATUS=MR","Sort=A","Dates=H","DateFormat=P","Fill=—","Direction=H","UseDPDF=Y")</f>
        <v>98.7</v>
      </c>
      <c r="X45" s="13">
        <f>_xll.BDH("NBIX US Equity","ARD_SHARES_OUTSTANDING","FQ1 2024","FQ1 2024","Currency=USD","Period=FQ","BEST_FPERIOD_OVERRIDE=FQ","FILING_STATUS=MR","Sort=A","Dates=H","DateFormat=P","Fill=—","Direction=H","UseDPDF=Y")</f>
        <v>100.6</v>
      </c>
      <c r="Y45" s="13">
        <f>_xll.BDH("NBIX US Equity","ARD_SHARES_OUTSTANDING","FQ2 2024","FQ2 2024","Currency=USD","Period=FQ","BEST_FPERIOD_OVERRIDE=FQ","FILING_STATUS=MR","Sort=A","Dates=H","DateFormat=P","Fill=—","Direction=H","UseDPDF=Y")</f>
        <v>100.9</v>
      </c>
      <c r="Z45" s="13">
        <f>_xll.BDH("NBIX US Equity","ARD_SHARES_OUTSTANDING","FQ3 2024","FQ3 2024","Currency=USD","Period=FQ","BEST_FPERIOD_OVERRIDE=FQ","FILING_STATUS=MR","Sort=A","Dates=H","DateFormat=P","Fill=—","Direction=H","UseDPDF=Y")</f>
        <v>101.2</v>
      </c>
      <c r="AA45" s="13">
        <f>_xll.BDH("NBIX US Equity","ARD_SHARES_OUTSTANDING","FQ4 2024","FQ4 2024","Currency=USD","Period=FQ","BEST_FPERIOD_OVERRIDE=FQ","FILING_STATUS=MR","Sort=A","Dates=H","DateFormat=P","Fill=—","Direction=H","UseDPDF=Y")</f>
        <v>99.4</v>
      </c>
    </row>
    <row r="46" spans="1:27" x14ac:dyDescent="0.25">
      <c r="A46" s="10" t="s">
        <v>882</v>
      </c>
      <c r="B46" s="10" t="s">
        <v>883</v>
      </c>
      <c r="C46" s="14">
        <f>_xll.BDH("NBIX US Equity","ARD_PAR_VALUE","FQ4 2018","FQ4 2018","Currency=USD","Period=FQ","BEST_FPERIOD_OVERRIDE=FQ","FILING_STATUS=MR","Sort=A","Dates=H","DateFormat=P","Fill=—","Direction=H","UseDPDF=Y")</f>
        <v>1E-3</v>
      </c>
      <c r="D46" s="14">
        <f>_xll.BDH("NBIX US Equity","ARD_PAR_VALUE","FQ1 2019","FQ1 2019","Currency=USD","Period=FQ","BEST_FPERIOD_OVERRIDE=FQ","FILING_STATUS=MR","Sort=A","Dates=H","DateFormat=P","Fill=—","Direction=H","UseDPDF=Y")</f>
        <v>1E-3</v>
      </c>
      <c r="E46" s="14">
        <f>_xll.BDH("NBIX US Equity","ARD_PAR_VALUE","FQ2 2019","FQ2 2019","Currency=USD","Period=FQ","BEST_FPERIOD_OVERRIDE=FQ","FILING_STATUS=MR","Sort=A","Dates=H","DateFormat=P","Fill=—","Direction=H","UseDPDF=Y")</f>
        <v>1E-3</v>
      </c>
      <c r="F46" s="14">
        <f>_xll.BDH("NBIX US Equity","ARD_PAR_VALUE","FQ3 2019","FQ3 2019","Currency=USD","Period=FQ","BEST_FPERIOD_OVERRIDE=FQ","FILING_STATUS=MR","Sort=A","Dates=H","DateFormat=P","Fill=—","Direction=H","UseDPDF=Y")</f>
        <v>1E-3</v>
      </c>
      <c r="G46" s="14">
        <f>_xll.BDH("NBIX US Equity","ARD_PAR_VALUE","FQ4 2019","FQ4 2019","Currency=USD","Period=FQ","BEST_FPERIOD_OVERRIDE=FQ","FILING_STATUS=MR","Sort=A","Dates=H","DateFormat=P","Fill=—","Direction=H","UseDPDF=Y")</f>
        <v>1E-3</v>
      </c>
      <c r="H46" s="14">
        <f>_xll.BDH("NBIX US Equity","ARD_PAR_VALUE","FQ1 2020","FQ1 2020","Currency=USD","Period=FQ","BEST_FPERIOD_OVERRIDE=FQ","FILING_STATUS=MR","Sort=A","Dates=H","DateFormat=P","Fill=—","Direction=H","UseDPDF=Y")</f>
        <v>1E-3</v>
      </c>
      <c r="I46" s="14">
        <f>_xll.BDH("NBIX US Equity","ARD_PAR_VALUE","FQ2 2020","FQ2 2020","Currency=USD","Period=FQ","BEST_FPERIOD_OVERRIDE=FQ","FILING_STATUS=MR","Sort=A","Dates=H","DateFormat=P","Fill=—","Direction=H","UseDPDF=Y")</f>
        <v>1E-3</v>
      </c>
      <c r="J46" s="14">
        <f>_xll.BDH("NBIX US Equity","ARD_PAR_VALUE","FQ3 2020","FQ3 2020","Currency=USD","Period=FQ","BEST_FPERIOD_OVERRIDE=FQ","FILING_STATUS=MR","Sort=A","Dates=H","DateFormat=P","Fill=—","Direction=H","UseDPDF=Y")</f>
        <v>1E-3</v>
      </c>
      <c r="K46" s="14">
        <f>_xll.BDH("NBIX US Equity","ARD_PAR_VALUE","FQ4 2020","FQ4 2020","Currency=USD","Period=FQ","BEST_FPERIOD_OVERRIDE=FQ","FILING_STATUS=MR","Sort=A","Dates=H","DateFormat=P","Fill=—","Direction=H","UseDPDF=Y")</f>
        <v>1E-3</v>
      </c>
      <c r="L46" s="14" t="str">
        <f>_xll.BDH("NBIX US Equity","ARD_PAR_VALUE","FQ1 2021","FQ1 2021","Currency=USD","Period=FQ","BEST_FPERIOD_OVERRIDE=FQ","FILING_STATUS=MR","Sort=A","Dates=H","DateFormat=P","Fill=—","Direction=H","UseDPDF=Y")</f>
        <v>—</v>
      </c>
      <c r="M46" s="14">
        <f>_xll.BDH("NBIX US Equity","ARD_PAR_VALUE","FQ2 2021","FQ2 2021","Currency=USD","Period=FQ","BEST_FPERIOD_OVERRIDE=FQ","FILING_STATUS=MR","Sort=A","Dates=H","DateFormat=P","Fill=—","Direction=H","UseDPDF=Y")</f>
        <v>1E-3</v>
      </c>
      <c r="N46" s="14">
        <f>_xll.BDH("NBIX US Equity","ARD_PAR_VALUE","FQ3 2021","FQ3 2021","Currency=USD","Period=FQ","BEST_FPERIOD_OVERRIDE=FQ","FILING_STATUS=MR","Sort=A","Dates=H","DateFormat=P","Fill=—","Direction=H","UseDPDF=Y")</f>
        <v>1E-3</v>
      </c>
      <c r="O46" s="14">
        <f>_xll.BDH("NBIX US Equity","ARD_PAR_VALUE","FQ4 2021","FQ4 2021","Currency=USD","Period=FQ","BEST_FPERIOD_OVERRIDE=FQ","FILING_STATUS=MR","Sort=A","Dates=H","DateFormat=P","Fill=—","Direction=H","UseDPDF=Y")</f>
        <v>1E-3</v>
      </c>
      <c r="P46" s="14">
        <f>_xll.BDH("NBIX US Equity","ARD_PAR_VALUE","FQ1 2022","FQ1 2022","Currency=USD","Period=FQ","BEST_FPERIOD_OVERRIDE=FQ","FILING_STATUS=MR","Sort=A","Dates=H","DateFormat=P","Fill=—","Direction=H","UseDPDF=Y")</f>
        <v>1E-3</v>
      </c>
      <c r="Q46" s="14" t="str">
        <f>_xll.BDH("NBIX US Equity","ARD_PAR_VALUE","FQ2 2022","FQ2 2022","Currency=USD","Period=FQ","BEST_FPERIOD_OVERRIDE=FQ","FILING_STATUS=MR","Sort=A","Dates=H","DateFormat=P","Fill=—","Direction=H","UseDPDF=Y")</f>
        <v>—</v>
      </c>
      <c r="R46" s="14">
        <f>_xll.BDH("NBIX US Equity","ARD_PAR_VALUE","FQ3 2022","FQ3 2022","Currency=USD","Period=FQ","BEST_FPERIOD_OVERRIDE=FQ","FILING_STATUS=MR","Sort=A","Dates=H","DateFormat=P","Fill=—","Direction=H","UseDPDF=Y")</f>
        <v>1E-3</v>
      </c>
      <c r="S46" s="14">
        <f>_xll.BDH("NBIX US Equity","ARD_PAR_VALUE","FQ4 2022","FQ4 2022","Currency=USD","Period=FQ","BEST_FPERIOD_OVERRIDE=FQ","FILING_STATUS=MR","Sort=A","Dates=H","DateFormat=P","Fill=—","Direction=H","UseDPDF=Y")</f>
        <v>1E-3</v>
      </c>
      <c r="T46" s="14">
        <f>_xll.BDH("NBIX US Equity","ARD_PAR_VALUE","FQ1 2023","FQ1 2023","Currency=USD","Period=FQ","BEST_FPERIOD_OVERRIDE=FQ","FILING_STATUS=MR","Sort=A","Dates=H","DateFormat=P","Fill=—","Direction=H","UseDPDF=Y")</f>
        <v>1E-3</v>
      </c>
      <c r="U46" s="14">
        <f>_xll.BDH("NBIX US Equity","ARD_PAR_VALUE","FQ2 2023","FQ2 2023","Currency=USD","Period=FQ","BEST_FPERIOD_OVERRIDE=FQ","FILING_STATUS=MR","Sort=A","Dates=H","DateFormat=P","Fill=—","Direction=H","UseDPDF=Y")</f>
        <v>1E-3</v>
      </c>
      <c r="V46" s="14">
        <f>_xll.BDH("NBIX US Equity","ARD_PAR_VALUE","FQ3 2023","FQ3 2023","Currency=USD","Period=FQ","BEST_FPERIOD_OVERRIDE=FQ","FILING_STATUS=MR","Sort=A","Dates=H","DateFormat=P","Fill=—","Direction=H","UseDPDF=Y")</f>
        <v>1E-3</v>
      </c>
      <c r="W46" s="14">
        <f>_xll.BDH("NBIX US Equity","ARD_PAR_VALUE","FQ4 2023","FQ4 2023","Currency=USD","Period=FQ","BEST_FPERIOD_OVERRIDE=FQ","FILING_STATUS=MR","Sort=A","Dates=H","DateFormat=P","Fill=—","Direction=H","UseDPDF=Y")</f>
        <v>1E-3</v>
      </c>
      <c r="X46" s="14">
        <f>_xll.BDH("NBIX US Equity","ARD_PAR_VALUE","FQ1 2024","FQ1 2024","Currency=USD","Period=FQ","BEST_FPERIOD_OVERRIDE=FQ","FILING_STATUS=MR","Sort=A","Dates=H","DateFormat=P","Fill=—","Direction=H","UseDPDF=Y")</f>
        <v>1E-3</v>
      </c>
      <c r="Y46" s="14">
        <f>_xll.BDH("NBIX US Equity","ARD_PAR_VALUE","FQ2 2024","FQ2 2024","Currency=USD","Period=FQ","BEST_FPERIOD_OVERRIDE=FQ","FILING_STATUS=MR","Sort=A","Dates=H","DateFormat=P","Fill=—","Direction=H","UseDPDF=Y")</f>
        <v>1E-3</v>
      </c>
      <c r="Z46" s="14">
        <f>_xll.BDH("NBIX US Equity","ARD_PAR_VALUE","FQ3 2024","FQ3 2024","Currency=USD","Period=FQ","BEST_FPERIOD_OVERRIDE=FQ","FILING_STATUS=MR","Sort=A","Dates=H","DateFormat=P","Fill=—","Direction=H","UseDPDF=Y")</f>
        <v>1E-3</v>
      </c>
      <c r="AA46" s="14">
        <f>_xll.BDH("NBIX US Equity","ARD_PAR_VALUE","FQ4 2024","FQ4 2024","Currency=USD","Period=FQ","BEST_FPERIOD_OVERRIDE=FQ","FILING_STATUS=MR","Sort=A","Dates=H","DateFormat=P","Fill=—","Direction=H","UseDPDF=Y")</f>
        <v>1E-3</v>
      </c>
    </row>
    <row r="47" spans="1:27" x14ac:dyDescent="0.25">
      <c r="A47" s="10" t="s">
        <v>884</v>
      </c>
      <c r="B47" s="10" t="s">
        <v>885</v>
      </c>
      <c r="C47" s="13" t="str">
        <f>_xll.BDH("NBIX US Equity","ARD_SHARES_ISSUED","FQ4 2018","FQ4 2018","Currency=USD","Period=FQ","BEST_FPERIOD_OVERRIDE=FQ","FILING_STATUS=MR","Sort=A","Dates=H","DateFormat=P","Fill=—","Direction=H","UseDPDF=Y")</f>
        <v>—</v>
      </c>
      <c r="D47" s="13" t="str">
        <f>_xll.BDH("NBIX US Equity","ARD_SHARES_ISSUED","FQ1 2019","FQ1 2019","Currency=USD","Period=FQ","BEST_FPERIOD_OVERRIDE=FQ","FILING_STATUS=MR","Sort=A","Dates=H","DateFormat=P","Fill=—","Direction=H","UseDPDF=Y")</f>
        <v>—</v>
      </c>
      <c r="E47" s="13" t="str">
        <f>_xll.BDH("NBIX US Equity","ARD_SHARES_ISSUED","FQ2 2019","FQ2 2019","Currency=USD","Period=FQ","BEST_FPERIOD_OVERRIDE=FQ","FILING_STATUS=MR","Sort=A","Dates=H","DateFormat=P","Fill=—","Direction=H","UseDPDF=Y")</f>
        <v>—</v>
      </c>
      <c r="F47" s="13" t="str">
        <f>_xll.BDH("NBIX US Equity","ARD_SHARES_ISSUED","FQ3 2019","FQ3 2019","Currency=USD","Period=FQ","BEST_FPERIOD_OVERRIDE=FQ","FILING_STATUS=MR","Sort=A","Dates=H","DateFormat=P","Fill=—","Direction=H","UseDPDF=Y")</f>
        <v>—</v>
      </c>
      <c r="G47" s="13" t="str">
        <f>_xll.BDH("NBIX US Equity","ARD_SHARES_ISSUED","FQ4 2019","FQ4 2019","Currency=USD","Period=FQ","BEST_FPERIOD_OVERRIDE=FQ","FILING_STATUS=MR","Sort=A","Dates=H","DateFormat=P","Fill=—","Direction=H","UseDPDF=Y")</f>
        <v>—</v>
      </c>
      <c r="H47" s="13" t="str">
        <f>_xll.BDH("NBIX US Equity","ARD_SHARES_ISSUED","FQ1 2020","FQ1 2020","Currency=USD","Period=FQ","BEST_FPERIOD_OVERRIDE=FQ","FILING_STATUS=MR","Sort=A","Dates=H","DateFormat=P","Fill=—","Direction=H","UseDPDF=Y")</f>
        <v>—</v>
      </c>
      <c r="I47" s="13" t="str">
        <f>_xll.BDH("NBIX US Equity","ARD_SHARES_ISSUED","FQ2 2020","FQ2 2020","Currency=USD","Period=FQ","BEST_FPERIOD_OVERRIDE=FQ","FILING_STATUS=MR","Sort=A","Dates=H","DateFormat=P","Fill=—","Direction=H","UseDPDF=Y")</f>
        <v>—</v>
      </c>
      <c r="J47" s="13" t="str">
        <f>_xll.BDH("NBIX US Equity","ARD_SHARES_ISSUED","FQ3 2020","FQ3 2020","Currency=USD","Period=FQ","BEST_FPERIOD_OVERRIDE=FQ","FILING_STATUS=MR","Sort=A","Dates=H","DateFormat=P","Fill=—","Direction=H","UseDPDF=Y")</f>
        <v>—</v>
      </c>
      <c r="K47" s="13" t="str">
        <f>_xll.BDH("NBIX US Equity","ARD_SHARES_ISSUED","FQ4 2020","FQ4 2020","Currency=USD","Period=FQ","BEST_FPERIOD_OVERRIDE=FQ","FILING_STATUS=MR","Sort=A","Dates=H","DateFormat=P","Fill=—","Direction=H","UseDPDF=Y")</f>
        <v>—</v>
      </c>
      <c r="L47" s="13" t="str">
        <f>_xll.BDH("NBIX US Equity","ARD_SHARES_ISSUED","FQ1 2021","FQ1 2021","Currency=USD","Period=FQ","BEST_FPERIOD_OVERRIDE=FQ","FILING_STATUS=MR","Sort=A","Dates=H","DateFormat=P","Fill=—","Direction=H","UseDPDF=Y")</f>
        <v>—</v>
      </c>
      <c r="M47" s="13" t="str">
        <f>_xll.BDH("NBIX US Equity","ARD_SHARES_ISSUED","FQ2 2021","FQ2 2021","Currency=USD","Period=FQ","BEST_FPERIOD_OVERRIDE=FQ","FILING_STATUS=MR","Sort=A","Dates=H","DateFormat=P","Fill=—","Direction=H","UseDPDF=Y")</f>
        <v>—</v>
      </c>
      <c r="N47" s="13" t="str">
        <f>_xll.BDH("NBIX US Equity","ARD_SHARES_ISSUED","FQ3 2021","FQ3 2021","Currency=USD","Period=FQ","BEST_FPERIOD_OVERRIDE=FQ","FILING_STATUS=MR","Sort=A","Dates=H","DateFormat=P","Fill=—","Direction=H","UseDPDF=Y")</f>
        <v>—</v>
      </c>
      <c r="O47" s="13" t="str">
        <f>_xll.BDH("NBIX US Equity","ARD_SHARES_ISSUED","FQ4 2021","FQ4 2021","Currency=USD","Period=FQ","BEST_FPERIOD_OVERRIDE=FQ","FILING_STATUS=MR","Sort=A","Dates=H","DateFormat=P","Fill=—","Direction=H","UseDPDF=Y")</f>
        <v>—</v>
      </c>
      <c r="P47" s="13" t="str">
        <f>_xll.BDH("NBIX US Equity","ARD_SHARES_ISSUED","FQ1 2022","FQ1 2022","Currency=USD","Period=FQ","BEST_FPERIOD_OVERRIDE=FQ","FILING_STATUS=MR","Sort=A","Dates=H","DateFormat=P","Fill=—","Direction=H","UseDPDF=Y")</f>
        <v>—</v>
      </c>
      <c r="Q47" s="13" t="str">
        <f>_xll.BDH("NBIX US Equity","ARD_SHARES_ISSUED","FQ2 2022","FQ2 2022","Currency=USD","Period=FQ","BEST_FPERIOD_OVERRIDE=FQ","FILING_STATUS=MR","Sort=A","Dates=H","DateFormat=P","Fill=—","Direction=H","UseDPDF=Y")</f>
        <v>—</v>
      </c>
      <c r="R47" s="13" t="str">
        <f>_xll.BDH("NBIX US Equity","ARD_SHARES_ISSUED","FQ3 2022","FQ3 2022","Currency=USD","Period=FQ","BEST_FPERIOD_OVERRIDE=FQ","FILING_STATUS=MR","Sort=A","Dates=H","DateFormat=P","Fill=—","Direction=H","UseDPDF=Y")</f>
        <v>—</v>
      </c>
      <c r="S47" s="13" t="str">
        <f>_xll.BDH("NBIX US Equity","ARD_SHARES_ISSUED","FQ4 2022","FQ4 2022","Currency=USD","Period=FQ","BEST_FPERIOD_OVERRIDE=FQ","FILING_STATUS=MR","Sort=A","Dates=H","DateFormat=P","Fill=—","Direction=H","UseDPDF=Y")</f>
        <v>—</v>
      </c>
      <c r="T47" s="13" t="str">
        <f>_xll.BDH("NBIX US Equity","ARD_SHARES_ISSUED","FQ1 2023","FQ1 2023","Currency=USD","Period=FQ","BEST_FPERIOD_OVERRIDE=FQ","FILING_STATUS=MR","Sort=A","Dates=H","DateFormat=P","Fill=—","Direction=H","UseDPDF=Y")</f>
        <v>—</v>
      </c>
      <c r="U47" s="13">
        <f>_xll.BDH("NBIX US Equity","ARD_SHARES_ISSUED","FQ2 2023","FQ2 2023","Currency=USD","Period=FQ","BEST_FPERIOD_OVERRIDE=FQ","FILING_STATUS=MR","Sort=A","Dates=H","DateFormat=P","Fill=—","Direction=H","UseDPDF=Y")</f>
        <v>97.6</v>
      </c>
      <c r="V47" s="13">
        <f>_xll.BDH("NBIX US Equity","ARD_SHARES_ISSUED","FQ3 2023","FQ3 2023","Currency=USD","Period=FQ","BEST_FPERIOD_OVERRIDE=FQ","FILING_STATUS=MR","Sort=A","Dates=H","DateFormat=P","Fill=—","Direction=H","UseDPDF=Y")</f>
        <v>98.2</v>
      </c>
      <c r="W47" s="13">
        <f>_xll.BDH("NBIX US Equity","ARD_SHARES_ISSUED","FQ4 2023","FQ4 2023","Currency=USD","Period=FQ","BEST_FPERIOD_OVERRIDE=FQ","FILING_STATUS=MR","Sort=A","Dates=H","DateFormat=P","Fill=—","Direction=H","UseDPDF=Y")</f>
        <v>98.7</v>
      </c>
      <c r="X47" s="13">
        <f>_xll.BDH("NBIX US Equity","ARD_SHARES_ISSUED","FQ1 2024","FQ1 2024","Currency=USD","Period=FQ","BEST_FPERIOD_OVERRIDE=FQ","FILING_STATUS=MR","Sort=A","Dates=H","DateFormat=P","Fill=—","Direction=H","UseDPDF=Y")</f>
        <v>100.6</v>
      </c>
      <c r="Y47" s="13">
        <f>_xll.BDH("NBIX US Equity","ARD_SHARES_ISSUED","FQ2 2024","FQ2 2024","Currency=USD","Period=FQ","BEST_FPERIOD_OVERRIDE=FQ","FILING_STATUS=MR","Sort=A","Dates=H","DateFormat=P","Fill=—","Direction=H","UseDPDF=Y")</f>
        <v>100.9</v>
      </c>
      <c r="Z47" s="13">
        <f>_xll.BDH("NBIX US Equity","ARD_SHARES_ISSUED","FQ3 2024","FQ3 2024","Currency=USD","Period=FQ","BEST_FPERIOD_OVERRIDE=FQ","FILING_STATUS=MR","Sort=A","Dates=H","DateFormat=P","Fill=—","Direction=H","UseDPDF=Y")</f>
        <v>101.2</v>
      </c>
      <c r="AA47" s="13">
        <f>_xll.BDH("NBIX US Equity","ARD_SHARES_ISSUED","FQ4 2024","FQ4 2024","Currency=USD","Period=FQ","BEST_FPERIOD_OVERRIDE=FQ","FILING_STATUS=MR","Sort=A","Dates=H","DateFormat=P","Fill=—","Direction=H","UseDPDF=Y")</f>
        <v>99.4</v>
      </c>
    </row>
    <row r="48" spans="1:27" x14ac:dyDescent="0.25">
      <c r="A48" s="10" t="s">
        <v>886</v>
      </c>
      <c r="B48" s="10" t="s">
        <v>887</v>
      </c>
      <c r="C48" s="13">
        <f>_xll.BDH("NBIX US Equity","ARD_TOTAL_SHAREHOLDERS_EQUITY","FQ4 2018","FQ4 2018","Currency=USD","Period=FQ","BEST_FPERIOD_OVERRIDE=FQ","FILING_STATUS=MR","SCALING_FORMAT=MLN","Sort=A","Dates=H","DateFormat=P","Fill=—","Direction=H","UseDPDF=Y")</f>
        <v>480.76499999999999</v>
      </c>
      <c r="D48" s="13">
        <f>_xll.BDH("NBIX US Equity","ARD_TOTAL_SHAREHOLDERS_EQUITY","FQ1 2019","FQ1 2019","Currency=USD","Period=FQ","BEST_FPERIOD_OVERRIDE=FQ","FILING_STATUS=MR","SCALING_FORMAT=MLN","Sort=A","Dates=H","DateFormat=P","Fill=—","Direction=H","UseDPDF=Y")</f>
        <v>409.27499999999998</v>
      </c>
      <c r="E48" s="13">
        <f>_xll.BDH("NBIX US Equity","ARD_TOTAL_SHAREHOLDERS_EQUITY","FQ2 2019","FQ2 2019","Currency=USD","Period=FQ","BEST_FPERIOD_OVERRIDE=FQ","FILING_STATUS=MR","SCALING_FORMAT=MLN","Sort=A","Dates=H","DateFormat=P","Fill=—","Direction=H","UseDPDF=Y")</f>
        <v>483.70600000000002</v>
      </c>
      <c r="F48" s="13">
        <f>_xll.BDH("NBIX US Equity","ARD_TOTAL_SHAREHOLDERS_EQUITY","FQ3 2019","FQ3 2019","Currency=USD","Period=FQ","BEST_FPERIOD_OVERRIDE=FQ","FILING_STATUS=MR","SCALING_FORMAT=MLN","Sort=A","Dates=H","DateFormat=P","Fill=—","Direction=H","UseDPDF=Y")</f>
        <v>574.51499999999999</v>
      </c>
      <c r="G48" s="13">
        <f>_xll.BDH("NBIX US Equity","ARD_TOTAL_SHAREHOLDERS_EQUITY","FQ4 2019","FQ4 2019","Currency=USD","Period=FQ","BEST_FPERIOD_OVERRIDE=FQ","FILING_STATUS=MR","SCALING_FORMAT=MLN","Sort=A","Dates=H","DateFormat=P","Fill=—","Direction=H","UseDPDF=Y")</f>
        <v>636.9</v>
      </c>
      <c r="H48" s="13">
        <f>_xll.BDH("NBIX US Equity","ARD_TOTAL_SHAREHOLDERS_EQUITY","FQ1 2020","FQ1 2020","Currency=USD","Period=FQ","BEST_FPERIOD_OVERRIDE=FQ","FILING_STATUS=MR","SCALING_FORMAT=MLN","Sort=A","Dates=H","DateFormat=P","Fill=—","Direction=H","UseDPDF=Y")</f>
        <v>700.3</v>
      </c>
      <c r="I48" s="13">
        <f>_xll.BDH("NBIX US Equity","ARD_TOTAL_SHAREHOLDERS_EQUITY","FQ2 2020","FQ2 2020","Currency=USD","Period=FQ","BEST_FPERIOD_OVERRIDE=FQ","FILING_STATUS=MR","SCALING_FORMAT=MLN","Sort=A","Dates=H","DateFormat=P","Fill=—","Direction=H","UseDPDF=Y")</f>
        <v>831.2</v>
      </c>
      <c r="J48" s="13">
        <f>_xll.BDH("NBIX US Equity","ARD_TOTAL_SHAREHOLDERS_EQUITY","FQ3 2020","FQ3 2020","Currency=USD","Period=FQ","BEST_FPERIOD_OVERRIDE=FQ","FILING_STATUS=MR","SCALING_FORMAT=MLN","Sort=A","Dates=H","DateFormat=P","Fill=—","Direction=H","UseDPDF=Y")</f>
        <v>804.3</v>
      </c>
      <c r="K48" s="13">
        <f>_xll.BDH("NBIX US Equity","ARD_TOTAL_SHAREHOLDERS_EQUITY","FQ4 2020","FQ4 2020","Currency=USD","Period=FQ","BEST_FPERIOD_OVERRIDE=FQ","FILING_STATUS=MR","SCALING_FORMAT=MLN","Sort=A","Dates=H","DateFormat=P","Fill=—","Direction=H","UseDPDF=Y")</f>
        <v>1126.2</v>
      </c>
      <c r="L48" s="13">
        <f>_xll.BDH("NBIX US Equity","ARD_TOTAL_SHAREHOLDERS_EQUITY","FQ1 2021","FQ1 2021","Currency=USD","Period=FQ","BEST_FPERIOD_OVERRIDE=FQ","FILING_STATUS=MR","SCALING_FORMAT=MLN","Sort=A","Dates=H","DateFormat=P","Fill=—","Direction=H","UseDPDF=Y")</f>
        <v>1205.5999999999999</v>
      </c>
      <c r="M48" s="13">
        <f>_xll.BDH("NBIX US Equity","ARD_TOTAL_SHAREHOLDERS_EQUITY","FQ2 2021","FQ2 2021","Currency=USD","Period=FQ","BEST_FPERIOD_OVERRIDE=FQ","FILING_STATUS=MR","SCALING_FORMAT=MLN","Sort=A","Dates=H","DateFormat=P","Fill=—","Direction=H","UseDPDF=Y")</f>
        <v>1279.2</v>
      </c>
      <c r="N48" s="13">
        <f>_xll.BDH("NBIX US Equity","ARD_TOTAL_SHAREHOLDERS_EQUITY","FQ3 2021","FQ3 2021","Currency=USD","Period=FQ","BEST_FPERIOD_OVERRIDE=FQ","FILING_STATUS=MR","SCALING_FORMAT=MLN","Sort=A","Dates=H","DateFormat=P","Fill=—","Direction=H","UseDPDF=Y")</f>
        <v>1346</v>
      </c>
      <c r="O48" s="13">
        <f>_xll.BDH("NBIX US Equity","ARD_TOTAL_SHAREHOLDERS_EQUITY","FQ4 2021","FQ4 2021","Currency=USD","Period=FQ","BEST_FPERIOD_OVERRIDE=FQ","FILING_STATUS=MR","SCALING_FORMAT=MLN","Sort=A","Dates=H","DateFormat=P","Fill=—","Direction=H","UseDPDF=Y")</f>
        <v>1374</v>
      </c>
      <c r="P48" s="13">
        <f>_xll.BDH("NBIX US Equity","ARD_TOTAL_SHAREHOLDERS_EQUITY","FQ1 2022","FQ1 2022","Currency=USD","Period=FQ","BEST_FPERIOD_OVERRIDE=FQ","FILING_STATUS=MR","SCALING_FORMAT=MLN","Sort=A","Dates=H","DateFormat=P","Fill=—","Direction=H","UseDPDF=Y")</f>
        <v>1391.1</v>
      </c>
      <c r="Q48" s="13">
        <f>_xll.BDH("NBIX US Equity","ARD_TOTAL_SHAREHOLDERS_EQUITY","FQ2 2022","FQ2 2022","Currency=USD","Period=FQ","BEST_FPERIOD_OVERRIDE=FQ","FILING_STATUS=MR","SCALING_FORMAT=MLN","Sort=A","Dates=H","DateFormat=P","Fill=—","Direction=H","UseDPDF=Y")</f>
        <v>1423.4</v>
      </c>
      <c r="R48" s="13">
        <f>_xll.BDH("NBIX US Equity","ARD_TOTAL_SHAREHOLDERS_EQUITY","FQ3 2022","FQ3 2022","Currency=USD","Period=FQ","BEST_FPERIOD_OVERRIDE=FQ","FILING_STATUS=MR","SCALING_FORMAT=MLN","Sort=A","Dates=H","DateFormat=P","Fill=—","Direction=H","UseDPDF=Y")</f>
        <v>1544.6</v>
      </c>
      <c r="S48" s="13">
        <f>_xll.BDH("NBIX US Equity","ARD_TOTAL_SHAREHOLDERS_EQUITY","FQ4 2022","FQ4 2022","Currency=USD","Period=FQ","BEST_FPERIOD_OVERRIDE=FQ","FILING_STATUS=MR","SCALING_FORMAT=MLN","Sort=A","Dates=H","DateFormat=P","Fill=—","Direction=H","UseDPDF=Y")</f>
        <v>1707.8</v>
      </c>
      <c r="T48" s="13">
        <f>_xll.BDH("NBIX US Equity","ARD_TOTAL_SHAREHOLDERS_EQUITY","FQ1 2023","FQ1 2023","Currency=USD","Period=FQ","BEST_FPERIOD_OVERRIDE=FQ","FILING_STATUS=MR","SCALING_FORMAT=MLN","Sort=A","Dates=H","DateFormat=P","Fill=—","Direction=H","UseDPDF=Y")</f>
        <v>1684.5</v>
      </c>
      <c r="U48" s="13">
        <f>_xll.BDH("NBIX US Equity","ARD_TOTAL_SHAREHOLDERS_EQUITY","FQ2 2023","FQ2 2023","Currency=USD","Period=FQ","BEST_FPERIOD_OVERRIDE=FQ","FILING_STATUS=MR","SCALING_FORMAT=MLN","Sort=A","Dates=H","DateFormat=P","Fill=—","Direction=H","UseDPDF=Y")</f>
        <v>1853</v>
      </c>
      <c r="V48" s="13">
        <f>_xll.BDH("NBIX US Equity","ARD_TOTAL_SHAREHOLDERS_EQUITY","FQ3 2023","FQ3 2023","Currency=USD","Period=FQ","BEST_FPERIOD_OVERRIDE=FQ","FILING_STATUS=MR","SCALING_FORMAT=MLN","Sort=A","Dates=H","DateFormat=P","Fill=—","Direction=H","UseDPDF=Y")</f>
        <v>2002.1</v>
      </c>
      <c r="W48" s="13">
        <f>_xll.BDH("NBIX US Equity","ARD_TOTAL_SHAREHOLDERS_EQUITY","FQ4 2023","FQ4 2023","Currency=USD","Period=FQ","BEST_FPERIOD_OVERRIDE=FQ","FILING_STATUS=MR","SCALING_FORMAT=MLN","Sort=A","Dates=H","DateFormat=P","Fill=—","Direction=H","UseDPDF=Y")</f>
        <v>2232</v>
      </c>
      <c r="X48" s="13">
        <f>_xll.BDH("NBIX US Equity","ARD_TOTAL_SHAREHOLDERS_EQUITY","FQ1 2024","FQ1 2024","Currency=USD","Period=FQ","BEST_FPERIOD_OVERRIDE=FQ","FILING_STATUS=MR","SCALING_FORMAT=MLN","Sort=A","Dates=H","DateFormat=P","Fill=—","Direction=H","UseDPDF=Y")</f>
        <v>2386.1</v>
      </c>
      <c r="Y48" s="13">
        <f>_xll.BDH("NBIX US Equity","ARD_TOTAL_SHAREHOLDERS_EQUITY","FQ2 2024","FQ2 2024","Currency=USD","Period=FQ","BEST_FPERIOD_OVERRIDE=FQ","FILING_STATUS=MR","SCALING_FORMAT=MLN","Sort=A","Dates=H","DateFormat=P","Fill=—","Direction=H","UseDPDF=Y")</f>
        <v>2509.1999999999998</v>
      </c>
      <c r="Z48" s="13">
        <f>_xll.BDH("NBIX US Equity","ARD_TOTAL_SHAREHOLDERS_EQUITY","FQ3 2024","FQ3 2024","Currency=USD","Period=FQ","BEST_FPERIOD_OVERRIDE=FQ","FILING_STATUS=MR","SCALING_FORMAT=MLN","Sort=A","Dates=H","DateFormat=P","Fill=—","Direction=H","UseDPDF=Y")</f>
        <v>2718.9</v>
      </c>
      <c r="AA48" s="13">
        <f>_xll.BDH("NBIX US Equity","ARD_TOTAL_SHAREHOLDERS_EQUITY","FQ4 2024","FQ4 2024","Currency=USD","Period=FQ","BEST_FPERIOD_OVERRIDE=FQ","FILING_STATUS=MR","SCALING_FORMAT=MLN","Sort=A","Dates=H","DateFormat=P","Fill=—","Direction=H","UseDPDF=Y")</f>
        <v>2589.6999999999998</v>
      </c>
    </row>
    <row r="49" spans="1:27" x14ac:dyDescent="0.25">
      <c r="A49" s="10" t="s">
        <v>888</v>
      </c>
      <c r="B49" s="10" t="s">
        <v>889</v>
      </c>
      <c r="C49" s="13">
        <f>_xll.BDH("NBIX US Equity","ARD_SHARES_AUTHORIZED","FQ4 2018","FQ4 2018","Currency=USD","Period=FQ","BEST_FPERIOD_OVERRIDE=FQ","FILING_STATUS=MR","SCALING_FORMAT=MLN","Sort=A","Dates=H","DateFormat=P","Fill=—","Direction=H","UseDPDF=Y")</f>
        <v>220</v>
      </c>
      <c r="D49" s="13">
        <f>_xll.BDH("NBIX US Equity","ARD_SHARES_AUTHORIZED","FQ1 2019","FQ1 2019","Currency=USD","Period=FQ","BEST_FPERIOD_OVERRIDE=FQ","FILING_STATUS=MR","SCALING_FORMAT=MLN","Sort=A","Dates=H","DateFormat=P","Fill=—","Direction=H","UseDPDF=Y")</f>
        <v>220</v>
      </c>
      <c r="E49" s="13">
        <f>_xll.BDH("NBIX US Equity","ARD_SHARES_AUTHORIZED","FQ2 2019","FQ2 2019","Currency=USD","Period=FQ","BEST_FPERIOD_OVERRIDE=FQ","FILING_STATUS=MR","SCALING_FORMAT=MLN","Sort=A","Dates=H","DateFormat=P","Fill=—","Direction=H","UseDPDF=Y")</f>
        <v>220</v>
      </c>
      <c r="F49" s="13">
        <f>_xll.BDH("NBIX US Equity","ARD_SHARES_AUTHORIZED","FQ3 2019","FQ3 2019","Currency=USD","Period=FQ","BEST_FPERIOD_OVERRIDE=FQ","FILING_STATUS=MR","SCALING_FORMAT=MLN","Sort=A","Dates=H","DateFormat=P","Fill=—","Direction=H","UseDPDF=Y")</f>
        <v>220</v>
      </c>
      <c r="G49" s="13">
        <f>_xll.BDH("NBIX US Equity","ARD_SHARES_AUTHORIZED","FQ4 2019","FQ4 2019","Currency=USD","Period=FQ","BEST_FPERIOD_OVERRIDE=FQ","FILING_STATUS=MR","SCALING_FORMAT=MLN","Sort=A","Dates=H","DateFormat=P","Fill=—","Direction=H","UseDPDF=Y")</f>
        <v>220</v>
      </c>
      <c r="H49" s="13">
        <f>_xll.BDH("NBIX US Equity","ARD_SHARES_AUTHORIZED","FQ1 2020","FQ1 2020","Currency=USD","Period=FQ","BEST_FPERIOD_OVERRIDE=FQ","FILING_STATUS=MR","SCALING_FORMAT=MLN","Sort=A","Dates=H","DateFormat=P","Fill=—","Direction=H","UseDPDF=Y")</f>
        <v>220</v>
      </c>
      <c r="I49" s="13">
        <f>_xll.BDH("NBIX US Equity","ARD_SHARES_AUTHORIZED","FQ2 2020","FQ2 2020","Currency=USD","Period=FQ","BEST_FPERIOD_OVERRIDE=FQ","FILING_STATUS=MR","SCALING_FORMAT=MLN","Sort=A","Dates=H","DateFormat=P","Fill=—","Direction=H","UseDPDF=Y")</f>
        <v>220</v>
      </c>
      <c r="J49" s="13">
        <f>_xll.BDH("NBIX US Equity","ARD_SHARES_AUTHORIZED","FQ3 2020","FQ3 2020","Currency=USD","Period=FQ","BEST_FPERIOD_OVERRIDE=FQ","FILING_STATUS=MR","SCALING_FORMAT=MLN","Sort=A","Dates=H","DateFormat=P","Fill=—","Direction=H","UseDPDF=Y")</f>
        <v>220</v>
      </c>
      <c r="K49" s="13">
        <f>_xll.BDH("NBIX US Equity","ARD_SHARES_AUTHORIZED","FQ4 2020","FQ4 2020","Currency=USD","Period=FQ","BEST_FPERIOD_OVERRIDE=FQ","FILING_STATUS=MR","SCALING_FORMAT=MLN","Sort=A","Dates=H","DateFormat=P","Fill=—","Direction=H","UseDPDF=Y")</f>
        <v>220</v>
      </c>
      <c r="L49" s="13" t="str">
        <f>_xll.BDH("NBIX US Equity","ARD_SHARES_AUTHORIZED","FQ1 2021","FQ1 2021","Currency=USD","Period=FQ","BEST_FPERIOD_OVERRIDE=FQ","FILING_STATUS=MR","SCALING_FORMAT=MLN","Sort=A","Dates=H","DateFormat=P","Fill=—","Direction=H","UseDPDF=Y")</f>
        <v>—</v>
      </c>
      <c r="M49" s="13">
        <f>_xll.BDH("NBIX US Equity","ARD_SHARES_AUTHORIZED","FQ2 2021","FQ2 2021","Currency=USD","Period=FQ","BEST_FPERIOD_OVERRIDE=FQ","FILING_STATUS=MR","SCALING_FORMAT=MLN","Sort=A","Dates=H","DateFormat=P","Fill=—","Direction=H","UseDPDF=Y")</f>
        <v>220</v>
      </c>
      <c r="N49" s="13">
        <f>_xll.BDH("NBIX US Equity","ARD_SHARES_AUTHORIZED","FQ3 2021","FQ3 2021","Currency=USD","Period=FQ","BEST_FPERIOD_OVERRIDE=FQ","FILING_STATUS=MR","SCALING_FORMAT=MLN","Sort=A","Dates=H","DateFormat=P","Fill=—","Direction=H","UseDPDF=Y")</f>
        <v>220</v>
      </c>
      <c r="O49" s="13">
        <f>_xll.BDH("NBIX US Equity","ARD_SHARES_AUTHORIZED","FQ4 2021","FQ4 2021","Currency=USD","Period=FQ","BEST_FPERIOD_OVERRIDE=FQ","FILING_STATUS=MR","SCALING_FORMAT=MLN","Sort=A","Dates=H","DateFormat=P","Fill=—","Direction=H","UseDPDF=Y")</f>
        <v>220</v>
      </c>
      <c r="P49" s="13">
        <f>_xll.BDH("NBIX US Equity","ARD_SHARES_AUTHORIZED","FQ1 2022","FQ1 2022","Currency=USD","Period=FQ","BEST_FPERIOD_OVERRIDE=FQ","FILING_STATUS=MR","SCALING_FORMAT=MLN","Sort=A","Dates=H","DateFormat=P","Fill=—","Direction=H","UseDPDF=Y")</f>
        <v>2.0000000000000001E-4</v>
      </c>
      <c r="Q49" s="13" t="str">
        <f>_xll.BDH("NBIX US Equity","ARD_SHARES_AUTHORIZED","FQ2 2022","FQ2 2022","Currency=USD","Period=FQ","BEST_FPERIOD_OVERRIDE=FQ","FILING_STATUS=MR","SCALING_FORMAT=MLN","Sort=A","Dates=H","DateFormat=P","Fill=—","Direction=H","UseDPDF=Y")</f>
        <v>—</v>
      </c>
      <c r="R49" s="13">
        <f>_xll.BDH("NBIX US Equity","ARD_SHARES_AUTHORIZED","FQ3 2022","FQ3 2022","Currency=USD","Period=FQ","BEST_FPERIOD_OVERRIDE=FQ","FILING_STATUS=MR","SCALING_FORMAT=MLN","Sort=A","Dates=H","DateFormat=P","Fill=—","Direction=H","UseDPDF=Y")</f>
        <v>220</v>
      </c>
      <c r="S49" s="13">
        <f>_xll.BDH("NBIX US Equity","ARD_SHARES_AUTHORIZED","FQ4 2022","FQ4 2022","Currency=USD","Period=FQ","BEST_FPERIOD_OVERRIDE=FQ","FILING_STATUS=MR","SCALING_FORMAT=MLN","Sort=A","Dates=H","DateFormat=P","Fill=—","Direction=H","UseDPDF=Y")</f>
        <v>220</v>
      </c>
      <c r="T49" s="13">
        <f>_xll.BDH("NBIX US Equity","ARD_SHARES_AUTHORIZED","FQ1 2023","FQ1 2023","Currency=USD","Period=FQ","BEST_FPERIOD_OVERRIDE=FQ","FILING_STATUS=MR","SCALING_FORMAT=MLN","Sort=A","Dates=H","DateFormat=P","Fill=—","Direction=H","UseDPDF=Y")</f>
        <v>2.0000000000000001E-4</v>
      </c>
      <c r="U49" s="13">
        <f>_xll.BDH("NBIX US Equity","ARD_SHARES_AUTHORIZED","FQ2 2023","FQ2 2023","Currency=USD","Period=FQ","BEST_FPERIOD_OVERRIDE=FQ","FILING_STATUS=MR","SCALING_FORMAT=MLN","Sort=A","Dates=H","DateFormat=P","Fill=—","Direction=H","UseDPDF=Y")</f>
        <v>220</v>
      </c>
      <c r="V49" s="13">
        <f>_xll.BDH("NBIX US Equity","ARD_SHARES_AUTHORIZED","FQ3 2023","FQ3 2023","Currency=USD","Period=FQ","BEST_FPERIOD_OVERRIDE=FQ","FILING_STATUS=MR","SCALING_FORMAT=MLN","Sort=A","Dates=H","DateFormat=P","Fill=—","Direction=H","UseDPDF=Y")</f>
        <v>220</v>
      </c>
      <c r="W49" s="13">
        <f>_xll.BDH("NBIX US Equity","ARD_SHARES_AUTHORIZED","FQ4 2023","FQ4 2023","Currency=USD","Period=FQ","BEST_FPERIOD_OVERRIDE=FQ","FILING_STATUS=MR","SCALING_FORMAT=MLN","Sort=A","Dates=H","DateFormat=P","Fill=—","Direction=H","UseDPDF=Y")</f>
        <v>220</v>
      </c>
      <c r="X49" s="13">
        <f>_xll.BDH("NBIX US Equity","ARD_SHARES_AUTHORIZED","FQ1 2024","FQ1 2024","Currency=USD","Period=FQ","BEST_FPERIOD_OVERRIDE=FQ","FILING_STATUS=MR","SCALING_FORMAT=MLN","Sort=A","Dates=H","DateFormat=P","Fill=—","Direction=H","UseDPDF=Y")</f>
        <v>2.0000000000000001E-4</v>
      </c>
      <c r="Y49" s="13">
        <f>_xll.BDH("NBIX US Equity","ARD_SHARES_AUTHORIZED","FQ2 2024","FQ2 2024","Currency=USD","Period=FQ","BEST_FPERIOD_OVERRIDE=FQ","FILING_STATUS=MR","SCALING_FORMAT=MLN","Sort=A","Dates=H","DateFormat=P","Fill=—","Direction=H","UseDPDF=Y")</f>
        <v>220</v>
      </c>
      <c r="Z49" s="13">
        <f>_xll.BDH("NBIX US Equity","ARD_SHARES_AUTHORIZED","FQ3 2024","FQ3 2024","Currency=USD","Period=FQ","BEST_FPERIOD_OVERRIDE=FQ","FILING_STATUS=MR","SCALING_FORMAT=MLN","Sort=A","Dates=H","DateFormat=P","Fill=—","Direction=H","UseDPDF=Y")</f>
        <v>220</v>
      </c>
      <c r="AA49" s="13">
        <f>_xll.BDH("NBIX US Equity","ARD_SHARES_AUTHORIZED","FQ4 2024","FQ4 2024","Currency=USD","Period=FQ","BEST_FPERIOD_OVERRIDE=FQ","FILING_STATUS=MR","SCALING_FORMAT=MLN","Sort=A","Dates=H","DateFormat=P","Fill=—","Direction=H","UseDPDF=Y")</f>
        <v>220</v>
      </c>
    </row>
    <row r="50" spans="1:27" x14ac:dyDescent="0.25">
      <c r="A50" s="10" t="s">
        <v>890</v>
      </c>
      <c r="B50" s="10" t="s">
        <v>891</v>
      </c>
      <c r="C50" s="13" t="str">
        <f>_xll.BDH("NBIX US Equity","ARD_TOT_SHARE_EQY_EXCL_MINORITY","FQ4 2018","FQ4 2018","Currency=USD","Period=FQ","BEST_FPERIOD_OVERRIDE=FQ","FILING_STATUS=MR","SCALING_FORMAT=MLN","Sort=A","Dates=H","DateFormat=P","Fill=—","Direction=H","UseDPDF=Y")</f>
        <v>—</v>
      </c>
      <c r="D50" s="13" t="str">
        <f>_xll.BDH("NBIX US Equity","ARD_TOT_SHARE_EQY_EXCL_MINORITY","FQ1 2019","FQ1 2019","Currency=USD","Period=FQ","BEST_FPERIOD_OVERRIDE=FQ","FILING_STATUS=MR","SCALING_FORMAT=MLN","Sort=A","Dates=H","DateFormat=P","Fill=—","Direction=H","UseDPDF=Y")</f>
        <v>—</v>
      </c>
      <c r="E50" s="13" t="str">
        <f>_xll.BDH("NBIX US Equity","ARD_TOT_SHARE_EQY_EXCL_MINORITY","FQ2 2019","FQ2 2019","Currency=USD","Period=FQ","BEST_FPERIOD_OVERRIDE=FQ","FILING_STATUS=MR","SCALING_FORMAT=MLN","Sort=A","Dates=H","DateFormat=P","Fill=—","Direction=H","UseDPDF=Y")</f>
        <v>—</v>
      </c>
      <c r="F50" s="13" t="str">
        <f>_xll.BDH("NBIX US Equity","ARD_TOT_SHARE_EQY_EXCL_MINORITY","FQ3 2019","FQ3 2019","Currency=USD","Period=FQ","BEST_FPERIOD_OVERRIDE=FQ","FILING_STATUS=MR","SCALING_FORMAT=MLN","Sort=A","Dates=H","DateFormat=P","Fill=—","Direction=H","UseDPDF=Y")</f>
        <v>—</v>
      </c>
      <c r="G50" s="13" t="str">
        <f>_xll.BDH("NBIX US Equity","ARD_TOT_SHARE_EQY_EXCL_MINORITY","FQ4 2019","FQ4 2019","Currency=USD","Period=FQ","BEST_FPERIOD_OVERRIDE=FQ","FILING_STATUS=MR","SCALING_FORMAT=MLN","Sort=A","Dates=H","DateFormat=P","Fill=—","Direction=H","UseDPDF=Y")</f>
        <v>—</v>
      </c>
      <c r="H50" s="13" t="str">
        <f>_xll.BDH("NBIX US Equity","ARD_TOT_SHARE_EQY_EXCL_MINORITY","FQ1 2020","FQ1 2020","Currency=USD","Period=FQ","BEST_FPERIOD_OVERRIDE=FQ","FILING_STATUS=MR","SCALING_FORMAT=MLN","Sort=A","Dates=H","DateFormat=P","Fill=—","Direction=H","UseDPDF=Y")</f>
        <v>—</v>
      </c>
      <c r="I50" s="13" t="str">
        <f>_xll.BDH("NBIX US Equity","ARD_TOT_SHARE_EQY_EXCL_MINORITY","FQ2 2020","FQ2 2020","Currency=USD","Period=FQ","BEST_FPERIOD_OVERRIDE=FQ","FILING_STATUS=MR","SCALING_FORMAT=MLN","Sort=A","Dates=H","DateFormat=P","Fill=—","Direction=H","UseDPDF=Y")</f>
        <v>—</v>
      </c>
      <c r="J50" s="13" t="str">
        <f>_xll.BDH("NBIX US Equity","ARD_TOT_SHARE_EQY_EXCL_MINORITY","FQ3 2020","FQ3 2020","Currency=USD","Period=FQ","BEST_FPERIOD_OVERRIDE=FQ","FILING_STATUS=MR","SCALING_FORMAT=MLN","Sort=A","Dates=H","DateFormat=P","Fill=—","Direction=H","UseDPDF=Y")</f>
        <v>—</v>
      </c>
      <c r="K50" s="13" t="str">
        <f>_xll.BDH("NBIX US Equity","ARD_TOT_SHARE_EQY_EXCL_MINORITY","FQ4 2020","FQ4 2020","Currency=USD","Period=FQ","BEST_FPERIOD_OVERRIDE=FQ","FILING_STATUS=MR","SCALING_FORMAT=MLN","Sort=A","Dates=H","DateFormat=P","Fill=—","Direction=H","UseDPDF=Y")</f>
        <v>—</v>
      </c>
      <c r="L50" s="13" t="str">
        <f>_xll.BDH("NBIX US Equity","ARD_TOT_SHARE_EQY_EXCL_MINORITY","FQ1 2021","FQ1 2021","Currency=USD","Period=FQ","BEST_FPERIOD_OVERRIDE=FQ","FILING_STATUS=MR","SCALING_FORMAT=MLN","Sort=A","Dates=H","DateFormat=P","Fill=—","Direction=H","UseDPDF=Y")</f>
        <v>—</v>
      </c>
      <c r="M50" s="13" t="str">
        <f>_xll.BDH("NBIX US Equity","ARD_TOT_SHARE_EQY_EXCL_MINORITY","FQ2 2021","FQ2 2021","Currency=USD","Period=FQ","BEST_FPERIOD_OVERRIDE=FQ","FILING_STATUS=MR","SCALING_FORMAT=MLN","Sort=A","Dates=H","DateFormat=P","Fill=—","Direction=H","UseDPDF=Y")</f>
        <v>—</v>
      </c>
      <c r="N50" s="13" t="str">
        <f>_xll.BDH("NBIX US Equity","ARD_TOT_SHARE_EQY_EXCL_MINORITY","FQ3 2021","FQ3 2021","Currency=USD","Period=FQ","BEST_FPERIOD_OVERRIDE=FQ","FILING_STATUS=MR","SCALING_FORMAT=MLN","Sort=A","Dates=H","DateFormat=P","Fill=—","Direction=H","UseDPDF=Y")</f>
        <v>—</v>
      </c>
      <c r="O50" s="13" t="str">
        <f>_xll.BDH("NBIX US Equity","ARD_TOT_SHARE_EQY_EXCL_MINORITY","FQ4 2021","FQ4 2021","Currency=USD","Period=FQ","BEST_FPERIOD_OVERRIDE=FQ","FILING_STATUS=MR","SCALING_FORMAT=MLN","Sort=A","Dates=H","DateFormat=P","Fill=—","Direction=H","UseDPDF=Y")</f>
        <v>—</v>
      </c>
      <c r="P50" s="13">
        <f>_xll.BDH("NBIX US Equity","ARD_TOT_SHARE_EQY_EXCL_MINORITY","FQ1 2022","FQ1 2022","Currency=USD","Period=FQ","BEST_FPERIOD_OVERRIDE=FQ","FILING_STATUS=MR","SCALING_FORMAT=MLN","Sort=A","Dates=H","DateFormat=P","Fill=—","Direction=H","UseDPDF=Y")</f>
        <v>1391.1</v>
      </c>
      <c r="Q50" s="13" t="str">
        <f>_xll.BDH("NBIX US Equity","ARD_TOT_SHARE_EQY_EXCL_MINORITY","FQ2 2022","FQ2 2022","Currency=USD","Period=FQ","BEST_FPERIOD_OVERRIDE=FQ","FILING_STATUS=MR","SCALING_FORMAT=MLN","Sort=A","Dates=H","DateFormat=P","Fill=—","Direction=H","UseDPDF=Y")</f>
        <v>—</v>
      </c>
      <c r="R50" s="13" t="str">
        <f>_xll.BDH("NBIX US Equity","ARD_TOT_SHARE_EQY_EXCL_MINORITY","FQ3 2022","FQ3 2022","Currency=USD","Period=FQ","BEST_FPERIOD_OVERRIDE=FQ","FILING_STATUS=MR","SCALING_FORMAT=MLN","Sort=A","Dates=H","DateFormat=P","Fill=—","Direction=H","UseDPDF=Y")</f>
        <v>—</v>
      </c>
      <c r="S50" s="13">
        <f>_xll.BDH("NBIX US Equity","ARD_TOT_SHARE_EQY_EXCL_MINORITY","FQ4 2022","FQ4 2022","Currency=USD","Period=FQ","BEST_FPERIOD_OVERRIDE=FQ","FILING_STATUS=MR","SCALING_FORMAT=MLN","Sort=A","Dates=H","DateFormat=P","Fill=—","Direction=H","UseDPDF=Y")</f>
        <v>1707.8</v>
      </c>
      <c r="T50" s="13">
        <f>_xll.BDH("NBIX US Equity","ARD_TOT_SHARE_EQY_EXCL_MINORITY","FQ1 2023","FQ1 2023","Currency=USD","Period=FQ","BEST_FPERIOD_OVERRIDE=FQ","FILING_STATUS=MR","SCALING_FORMAT=MLN","Sort=A","Dates=H","DateFormat=P","Fill=—","Direction=H","UseDPDF=Y")</f>
        <v>1684.5</v>
      </c>
      <c r="U50" s="13" t="str">
        <f>_xll.BDH("NBIX US Equity","ARD_TOT_SHARE_EQY_EXCL_MINORITY","FQ2 2023","FQ2 2023","Currency=USD","Period=FQ","BEST_FPERIOD_OVERRIDE=FQ","FILING_STATUS=MR","SCALING_FORMAT=MLN","Sort=A","Dates=H","DateFormat=P","Fill=—","Direction=H","UseDPDF=Y")</f>
        <v>—</v>
      </c>
      <c r="V50" s="13">
        <f>_xll.BDH("NBIX US Equity","ARD_TOT_SHARE_EQY_EXCL_MINORITY","FQ3 2023","FQ3 2023","Currency=USD","Period=FQ","BEST_FPERIOD_OVERRIDE=FQ","FILING_STATUS=MR","SCALING_FORMAT=MLN","Sort=A","Dates=H","DateFormat=P","Fill=—","Direction=H","UseDPDF=Y")</f>
        <v>2002.1</v>
      </c>
      <c r="W50" s="13">
        <f>_xll.BDH("NBIX US Equity","ARD_TOT_SHARE_EQY_EXCL_MINORITY","FQ4 2023","FQ4 2023","Currency=USD","Period=FQ","BEST_FPERIOD_OVERRIDE=FQ","FILING_STATUS=MR","SCALING_FORMAT=MLN","Sort=A","Dates=H","DateFormat=P","Fill=—","Direction=H","UseDPDF=Y")</f>
        <v>2232</v>
      </c>
      <c r="X50" s="13">
        <f>_xll.BDH("NBIX US Equity","ARD_TOT_SHARE_EQY_EXCL_MINORITY","FQ1 2024","FQ1 2024","Currency=USD","Period=FQ","BEST_FPERIOD_OVERRIDE=FQ","FILING_STATUS=MR","SCALING_FORMAT=MLN","Sort=A","Dates=H","DateFormat=P","Fill=—","Direction=H","UseDPDF=Y")</f>
        <v>2386.1</v>
      </c>
      <c r="Y50" s="13">
        <f>_xll.BDH("NBIX US Equity","ARD_TOT_SHARE_EQY_EXCL_MINORITY","FQ2 2024","FQ2 2024","Currency=USD","Period=FQ","BEST_FPERIOD_OVERRIDE=FQ","FILING_STATUS=MR","SCALING_FORMAT=MLN","Sort=A","Dates=H","DateFormat=P","Fill=—","Direction=H","UseDPDF=Y")</f>
        <v>2509.1999999999998</v>
      </c>
      <c r="Z50" s="13">
        <f>_xll.BDH("NBIX US Equity","ARD_TOT_SHARE_EQY_EXCL_MINORITY","FQ3 2024","FQ3 2024","Currency=USD","Period=FQ","BEST_FPERIOD_OVERRIDE=FQ","FILING_STATUS=MR","SCALING_FORMAT=MLN","Sort=A","Dates=H","DateFormat=P","Fill=—","Direction=H","UseDPDF=Y")</f>
        <v>2718.9</v>
      </c>
      <c r="AA50" s="13">
        <f>_xll.BDH("NBIX US Equity","ARD_TOT_SHARE_EQY_EXCL_MINORITY","FQ4 2024","FQ4 2024","Currency=USD","Period=FQ","BEST_FPERIOD_OVERRIDE=FQ","FILING_STATUS=MR","SCALING_FORMAT=MLN","Sort=A","Dates=H","DateFormat=P","Fill=—","Direction=H","UseDPDF=Y")</f>
        <v>2589.6999999999998</v>
      </c>
    </row>
    <row r="51" spans="1:27" x14ac:dyDescent="0.25">
      <c r="A51" s="6" t="s">
        <v>892</v>
      </c>
      <c r="B51" s="6" t="s">
        <v>893</v>
      </c>
      <c r="C51" s="19">
        <f>_xll.BDH("NBIX US Equity","ARD_TOT_LIAB_AND_SHAREHOLDER_EQY","FQ4 2018","FQ4 2018","Currency=USD","Period=FQ","BEST_FPERIOD_OVERRIDE=FQ","FILING_STATUS=MR","SCALING_FORMAT=MLN","Sort=A","Dates=H","DateFormat=P","Fill=—","Direction=H","UseDPDF=Y")</f>
        <v>993.15099999999995</v>
      </c>
      <c r="D51" s="19">
        <f>_xll.BDH("NBIX US Equity","ARD_TOT_LIAB_AND_SHAREHOLDER_EQY","FQ1 2019","FQ1 2019","Currency=USD","Period=FQ","BEST_FPERIOD_OVERRIDE=FQ","FILING_STATUS=MR","SCALING_FORMAT=MLN","Sort=A","Dates=H","DateFormat=P","Fill=—","Direction=H","UseDPDF=Y")</f>
        <v>957.72299999999996</v>
      </c>
      <c r="E51" s="19">
        <f>_xll.BDH("NBIX US Equity","ARD_TOT_LIAB_AND_SHAREHOLDER_EQY","FQ2 2019","FQ2 2019","Currency=USD","Period=FQ","BEST_FPERIOD_OVERRIDE=FQ","FILING_STATUS=MR","SCALING_FORMAT=MLN","Sort=A","Dates=H","DateFormat=P","Fill=—","Direction=H","UseDPDF=Y")</f>
        <v>1066.8610000000001</v>
      </c>
      <c r="F51" s="19">
        <f>_xll.BDH("NBIX US Equity","ARD_TOT_LIAB_AND_SHAREHOLDER_EQY","FQ3 2019","FQ3 2019","Currency=USD","Period=FQ","BEST_FPERIOD_OVERRIDE=FQ","FILING_STATUS=MR","SCALING_FORMAT=MLN","Sort=A","Dates=H","DateFormat=P","Fill=—","Direction=H","UseDPDF=Y")</f>
        <v>1179.9349999999999</v>
      </c>
      <c r="G51" s="19">
        <f>_xll.BDH("NBIX US Equity","ARD_TOT_LIAB_AND_SHAREHOLDER_EQY","FQ4 2019","FQ4 2019","Currency=USD","Period=FQ","BEST_FPERIOD_OVERRIDE=FQ","FILING_STATUS=MR","SCALING_FORMAT=MLN","Sort=A","Dates=H","DateFormat=P","Fill=—","Direction=H","UseDPDF=Y")</f>
        <v>1306</v>
      </c>
      <c r="H51" s="19">
        <f>_xll.BDH("NBIX US Equity","ARD_TOT_LIAB_AND_SHAREHOLDER_EQY","FQ1 2020","FQ1 2020","Currency=USD","Period=FQ","BEST_FPERIOD_OVERRIDE=FQ","FILING_STATUS=MR","SCALING_FORMAT=MLN","Sort=A","Dates=H","DateFormat=P","Fill=—","Direction=H","UseDPDF=Y")</f>
        <v>1361.9</v>
      </c>
      <c r="I51" s="19">
        <f>_xll.BDH("NBIX US Equity","ARD_TOT_LIAB_AND_SHAREHOLDER_EQY","FQ2 2020","FQ2 2020","Currency=USD","Period=FQ","BEST_FPERIOD_OVERRIDE=FQ","FILING_STATUS=MR","SCALING_FORMAT=MLN","Sort=A","Dates=H","DateFormat=P","Fill=—","Direction=H","UseDPDF=Y")</f>
        <v>1515.6</v>
      </c>
      <c r="J51" s="19">
        <f>_xll.BDH("NBIX US Equity","ARD_TOT_LIAB_AND_SHAREHOLDER_EQY","FQ3 2020","FQ3 2020","Currency=USD","Period=FQ","BEST_FPERIOD_OVERRIDE=FQ","FILING_STATUS=MR","SCALING_FORMAT=MLN","Sort=A","Dates=H","DateFormat=P","Fill=—","Direction=H","UseDPDF=Y")</f>
        <v>1502.6</v>
      </c>
      <c r="K51" s="19">
        <f>_xll.BDH("NBIX US Equity","ARD_TOT_LIAB_AND_SHAREHOLDER_EQY","FQ4 2020","FQ4 2020","Currency=USD","Period=FQ","BEST_FPERIOD_OVERRIDE=FQ","FILING_STATUS=MR","SCALING_FORMAT=MLN","Sort=A","Dates=H","DateFormat=P","Fill=—","Direction=H","UseDPDF=Y")</f>
        <v>1734.7</v>
      </c>
      <c r="L51" s="19">
        <f>_xll.BDH("NBIX US Equity","ARD_TOT_LIAB_AND_SHAREHOLDER_EQY","FQ1 2021","FQ1 2021","Currency=USD","Period=FQ","BEST_FPERIOD_OVERRIDE=FQ","FILING_STATUS=MR","SCALING_FORMAT=MLN","Sort=A","Dates=H","DateFormat=P","Fill=—","Direction=H","UseDPDF=Y")</f>
        <v>1846.4</v>
      </c>
      <c r="M51" s="19">
        <f>_xll.BDH("NBIX US Equity","ARD_TOT_LIAB_AND_SHAREHOLDER_EQY","FQ2 2021","FQ2 2021","Currency=USD","Period=FQ","BEST_FPERIOD_OVERRIDE=FQ","FILING_STATUS=MR","SCALING_FORMAT=MLN","Sort=A","Dates=H","DateFormat=P","Fill=—","Direction=H","UseDPDF=Y")</f>
        <v>1956.4</v>
      </c>
      <c r="N51" s="19">
        <f>_xll.BDH("NBIX US Equity","ARD_TOT_LIAB_AND_SHAREHOLDER_EQY","FQ3 2021","FQ3 2021","Currency=USD","Period=FQ","BEST_FPERIOD_OVERRIDE=FQ","FILING_STATUS=MR","SCALING_FORMAT=MLN","Sort=A","Dates=H","DateFormat=P","Fill=—","Direction=H","UseDPDF=Y")</f>
        <v>2017.3</v>
      </c>
      <c r="O51" s="19">
        <f>_xll.BDH("NBIX US Equity","ARD_TOT_LIAB_AND_SHAREHOLDER_EQY","FQ4 2021","FQ4 2021","Currency=USD","Period=FQ","BEST_FPERIOD_OVERRIDE=FQ","FILING_STATUS=MR","SCALING_FORMAT=MLN","Sort=A","Dates=H","DateFormat=P","Fill=—","Direction=H","UseDPDF=Y")</f>
        <v>2072.5</v>
      </c>
      <c r="P51" s="19">
        <f>_xll.BDH("NBIX US Equity","ARD_TOT_LIAB_AND_SHAREHOLDER_EQY","FQ1 2022","FQ1 2022","Currency=USD","Period=FQ","BEST_FPERIOD_OVERRIDE=FQ","FILING_STATUS=MR","SCALING_FORMAT=MLN","Sort=A","Dates=H","DateFormat=P","Fill=—","Direction=H","UseDPDF=Y")</f>
        <v>2144.5</v>
      </c>
      <c r="Q51" s="19">
        <f>_xll.BDH("NBIX US Equity","ARD_TOT_LIAB_AND_SHAREHOLDER_EQY","FQ2 2022","FQ2 2022","Currency=USD","Period=FQ","BEST_FPERIOD_OVERRIDE=FQ","FILING_STATUS=MR","SCALING_FORMAT=MLN","Sort=A","Dates=H","DateFormat=P","Fill=—","Direction=H","UseDPDF=Y")</f>
        <v>2005.7</v>
      </c>
      <c r="R51" s="19">
        <f>_xll.BDH("NBIX US Equity","ARD_TOT_LIAB_AND_SHAREHOLDER_EQY","FQ3 2022","FQ3 2022","Currency=USD","Period=FQ","BEST_FPERIOD_OVERRIDE=FQ","FILING_STATUS=MR","SCALING_FORMAT=MLN","Sort=A","Dates=H","DateFormat=P","Fill=—","Direction=H","UseDPDF=Y")</f>
        <v>2143.4</v>
      </c>
      <c r="S51" s="19">
        <f>_xll.BDH("NBIX US Equity","ARD_TOT_LIAB_AND_SHAREHOLDER_EQY","FQ4 2022","FQ4 2022","Currency=USD","Period=FQ","BEST_FPERIOD_OVERRIDE=FQ","FILING_STATUS=MR","SCALING_FORMAT=MLN","Sort=A","Dates=H","DateFormat=P","Fill=—","Direction=H","UseDPDF=Y")</f>
        <v>2368.6999999999998</v>
      </c>
      <c r="T51" s="19">
        <f>_xll.BDH("NBIX US Equity","ARD_TOT_LIAB_AND_SHAREHOLDER_EQY","FQ1 2023","FQ1 2023","Currency=USD","Period=FQ","BEST_FPERIOD_OVERRIDE=FQ","FILING_STATUS=MR","SCALING_FORMAT=MLN","Sort=A","Dates=H","DateFormat=P","Fill=—","Direction=H","UseDPDF=Y")</f>
        <v>2359.8000000000002</v>
      </c>
      <c r="U51" s="19">
        <f>_xll.BDH("NBIX US Equity","ARD_TOT_LIAB_AND_SHAREHOLDER_EQY","FQ2 2023","FQ2 2023","Currency=USD","Period=FQ","BEST_FPERIOD_OVERRIDE=FQ","FILING_STATUS=MR","SCALING_FORMAT=MLN","Sort=A","Dates=H","DateFormat=P","Fill=—","Direction=H","UseDPDF=Y")</f>
        <v>2613.1</v>
      </c>
      <c r="V51" s="19">
        <f>_xll.BDH("NBIX US Equity","ARD_TOT_LIAB_AND_SHAREHOLDER_EQY","FQ3 2023","FQ3 2023","Currency=USD","Period=FQ","BEST_FPERIOD_OVERRIDE=FQ","FILING_STATUS=MR","SCALING_FORMAT=MLN","Sort=A","Dates=H","DateFormat=P","Fill=—","Direction=H","UseDPDF=Y")</f>
        <v>2848.2</v>
      </c>
      <c r="W51" s="19">
        <f>_xll.BDH("NBIX US Equity","ARD_TOT_LIAB_AND_SHAREHOLDER_EQY","FQ4 2023","FQ4 2023","Currency=USD","Period=FQ","BEST_FPERIOD_OVERRIDE=FQ","FILING_STATUS=MR","SCALING_FORMAT=MLN","Sort=A","Dates=H","DateFormat=P","Fill=—","Direction=H","UseDPDF=Y")</f>
        <v>3251.4</v>
      </c>
      <c r="X51" s="19">
        <f>_xll.BDH("NBIX US Equity","ARD_TOT_LIAB_AND_SHAREHOLDER_EQY","FQ1 2024","FQ1 2024","Currency=USD","Period=FQ","BEST_FPERIOD_OVERRIDE=FQ","FILING_STATUS=MR","SCALING_FORMAT=MLN","Sort=A","Dates=H","DateFormat=P","Fill=—","Direction=H","UseDPDF=Y")</f>
        <v>3472.4</v>
      </c>
      <c r="Y51" s="19">
        <f>_xll.BDH("NBIX US Equity","ARD_TOT_LIAB_AND_SHAREHOLDER_EQY","FQ2 2024","FQ2 2024","Currency=USD","Period=FQ","BEST_FPERIOD_OVERRIDE=FQ","FILING_STATUS=MR","SCALING_FORMAT=MLN","Sort=A","Dates=H","DateFormat=P","Fill=—","Direction=H","UseDPDF=Y")</f>
        <v>3305</v>
      </c>
      <c r="Z51" s="19">
        <f>_xll.BDH("NBIX US Equity","ARD_TOT_LIAB_AND_SHAREHOLDER_EQY","FQ3 2024","FQ3 2024","Currency=USD","Period=FQ","BEST_FPERIOD_OVERRIDE=FQ","FILING_STATUS=MR","SCALING_FORMAT=MLN","Sort=A","Dates=H","DateFormat=P","Fill=—","Direction=H","UseDPDF=Y")</f>
        <v>3535</v>
      </c>
      <c r="AA51" s="19">
        <f>_xll.BDH("NBIX US Equity","ARD_TOT_LIAB_AND_SHAREHOLDER_EQY","FQ4 2024","FQ4 2024","Currency=USD","Period=FQ","BEST_FPERIOD_OVERRIDE=FQ","FILING_STATUS=MR","SCALING_FORMAT=MLN","Sort=A","Dates=H","DateFormat=P","Fill=—","Direction=H","UseDPDF=Y")</f>
        <v>3718.7</v>
      </c>
    </row>
    <row r="52" spans="1:27" x14ac:dyDescent="0.25">
      <c r="A52" s="10" t="s">
        <v>494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5">
      <c r="A53" s="10" t="s">
        <v>820</v>
      </c>
      <c r="B53" s="10" t="s">
        <v>894</v>
      </c>
      <c r="C53" s="13">
        <f>_xll.BDH("NBIX US Equity","ARDR_INVENTORY","FQ4 2018","FQ4 2018","Currency=USD","Period=FQ","BEST_FPERIOD_OVERRIDE=FQ","FILING_STATUS=MR","SCALING_FORMAT=MLN","Sort=A","Dates=H","DateFormat=P","Fill=—","Direction=H","UseDPDF=Y")</f>
        <v>10.864000000000001</v>
      </c>
      <c r="D53" s="13">
        <f>_xll.BDH("NBIX US Equity","ARDR_INVENTORY","FQ1 2019","FQ1 2019","Currency=USD","Period=FQ","BEST_FPERIOD_OVERRIDE=FQ","FILING_STATUS=MR","SCALING_FORMAT=MLN","Sort=A","Dates=H","DateFormat=P","Fill=—","Direction=H","UseDPDF=Y")</f>
        <v>13.01</v>
      </c>
      <c r="E53" s="13">
        <f>_xll.BDH("NBIX US Equity","ARDR_INVENTORY","FQ2 2019","FQ2 2019","Currency=USD","Period=FQ","BEST_FPERIOD_OVERRIDE=FQ","FILING_STATUS=MR","SCALING_FORMAT=MLN","Sort=A","Dates=H","DateFormat=P","Fill=—","Direction=H","UseDPDF=Y")</f>
        <v>12.018000000000001</v>
      </c>
      <c r="F53" s="13">
        <f>_xll.BDH("NBIX US Equity","ARDR_INVENTORY","FQ3 2019","FQ3 2019","Currency=USD","Period=FQ","BEST_FPERIOD_OVERRIDE=FQ","FILING_STATUS=MR","SCALING_FORMAT=MLN","Sort=A","Dates=H","DateFormat=P","Fill=—","Direction=H","UseDPDF=Y")</f>
        <v>10.798</v>
      </c>
      <c r="G53" s="13">
        <f>_xll.BDH("NBIX US Equity","ARDR_INVENTORY","FQ4 2019","FQ4 2019","Currency=USD","Period=FQ","BEST_FPERIOD_OVERRIDE=FQ","FILING_STATUS=MR","SCALING_FORMAT=MLN","Sort=A","Dates=H","DateFormat=P","Fill=—","Direction=H","UseDPDF=Y")</f>
        <v>17.3</v>
      </c>
      <c r="H53" s="13">
        <f>_xll.BDH("NBIX US Equity","ARDR_INVENTORY","FQ1 2020","FQ1 2020","Currency=USD","Period=FQ","BEST_FPERIOD_OVERRIDE=FQ","FILING_STATUS=MR","SCALING_FORMAT=MLN","Sort=A","Dates=H","DateFormat=P","Fill=—","Direction=H","UseDPDF=Y")</f>
        <v>21.2</v>
      </c>
      <c r="I53" s="13">
        <f>_xll.BDH("NBIX US Equity","ARDR_INVENTORY","FQ2 2020","FQ2 2020","Currency=USD","Period=FQ","BEST_FPERIOD_OVERRIDE=FQ","FILING_STATUS=MR","SCALING_FORMAT=MLN","Sort=A","Dates=H","DateFormat=P","Fill=—","Direction=H","UseDPDF=Y")</f>
        <v>22</v>
      </c>
      <c r="J53" s="13">
        <f>_xll.BDH("NBIX US Equity","ARDR_INVENTORY","FQ3 2020","FQ3 2020","Currency=USD","Period=FQ","BEST_FPERIOD_OVERRIDE=FQ","FILING_STATUS=MR","SCALING_FORMAT=MLN","Sort=A","Dates=H","DateFormat=P","Fill=—","Direction=H","UseDPDF=Y")</f>
        <v>20.6</v>
      </c>
      <c r="K53" s="13">
        <f>_xll.BDH("NBIX US Equity","ARDR_INVENTORY","FQ4 2020","FQ4 2020","Currency=USD","Period=FQ","BEST_FPERIOD_OVERRIDE=FQ","FILING_STATUS=MR","SCALING_FORMAT=MLN","Sort=A","Dates=H","DateFormat=P","Fill=—","Direction=H","UseDPDF=Y")</f>
        <v>28</v>
      </c>
      <c r="L53" s="13">
        <f>_xll.BDH("NBIX US Equity","ARDR_INVENTORY","FQ1 2021","FQ1 2021","Currency=USD","Period=FQ","BEST_FPERIOD_OVERRIDE=FQ","FILING_STATUS=MR","SCALING_FORMAT=MLN","Sort=A","Dates=H","DateFormat=P","Fill=—","Direction=H","UseDPDF=Y")</f>
        <v>30.1</v>
      </c>
      <c r="M53" s="13">
        <f>_xll.BDH("NBIX US Equity","ARDR_INVENTORY","FQ2 2021","FQ2 2021","Currency=USD","Period=FQ","BEST_FPERIOD_OVERRIDE=FQ","FILING_STATUS=MR","SCALING_FORMAT=MLN","Sort=A","Dates=H","DateFormat=P","Fill=—","Direction=H","UseDPDF=Y")</f>
        <v>28.3</v>
      </c>
      <c r="N53" s="13">
        <f>_xll.BDH("NBIX US Equity","ARDR_INVENTORY","FQ3 2021","FQ3 2021","Currency=USD","Period=FQ","BEST_FPERIOD_OVERRIDE=FQ","FILING_STATUS=MR","SCALING_FORMAT=MLN","Sort=A","Dates=H","DateFormat=P","Fill=—","Direction=H","UseDPDF=Y")</f>
        <v>25.5</v>
      </c>
      <c r="O53" s="13">
        <f>_xll.BDH("NBIX US Equity","ARDR_INVENTORY","FQ4 2021","FQ4 2021","Currency=USD","Period=FQ","BEST_FPERIOD_OVERRIDE=FQ","FILING_STATUS=MR","SCALING_FORMAT=MLN","Sort=A","Dates=H","DateFormat=P","Fill=—","Direction=H","UseDPDF=Y")</f>
        <v>30.5</v>
      </c>
      <c r="P53" s="13">
        <f>_xll.BDH("NBIX US Equity","ARDR_INVENTORY","FQ1 2022","FQ1 2022","Currency=USD","Period=FQ","BEST_FPERIOD_OVERRIDE=FQ","FILING_STATUS=MR","SCALING_FORMAT=MLN","Sort=A","Dates=H","DateFormat=P","Fill=—","Direction=H","UseDPDF=Y")</f>
        <v>29</v>
      </c>
      <c r="Q53" s="13">
        <f>_xll.BDH("NBIX US Equity","ARDR_INVENTORY","FQ2 2022","FQ2 2022","Currency=USD","Period=FQ","BEST_FPERIOD_OVERRIDE=FQ","FILING_STATUS=MR","SCALING_FORMAT=MLN","Sort=A","Dates=H","DateFormat=P","Fill=—","Direction=H","UseDPDF=Y")</f>
        <v>29.3</v>
      </c>
      <c r="R53" s="13">
        <f>_xll.BDH("NBIX US Equity","ARDR_INVENTORY","FQ3 2022","FQ3 2022","Currency=USD","Period=FQ","BEST_FPERIOD_OVERRIDE=FQ","FILING_STATUS=MR","SCALING_FORMAT=MLN","Sort=A","Dates=H","DateFormat=P","Fill=—","Direction=H","UseDPDF=Y")</f>
        <v>37</v>
      </c>
      <c r="S53" s="13">
        <f>_xll.BDH("NBIX US Equity","ARDR_INVENTORY","FQ4 2022","FQ4 2022","Currency=USD","Period=FQ","BEST_FPERIOD_OVERRIDE=FQ","FILING_STATUS=MR","SCALING_FORMAT=MLN","Sort=A","Dates=H","DateFormat=P","Fill=—","Direction=H","UseDPDF=Y")</f>
        <v>35.1</v>
      </c>
      <c r="T53" s="13">
        <f>_xll.BDH("NBIX US Equity","ARDR_INVENTORY","FQ1 2023","FQ1 2023","Currency=USD","Period=FQ","BEST_FPERIOD_OVERRIDE=FQ","FILING_STATUS=MR","SCALING_FORMAT=MLN","Sort=A","Dates=H","DateFormat=P","Fill=—","Direction=H","UseDPDF=Y")</f>
        <v>33.4</v>
      </c>
      <c r="U53" s="13">
        <f>_xll.BDH("NBIX US Equity","ARDR_INVENTORY","FQ2 2023","FQ2 2023","Currency=USD","Period=FQ","BEST_FPERIOD_OVERRIDE=FQ","FILING_STATUS=MR","SCALING_FORMAT=MLN","Sort=A","Dates=H","DateFormat=P","Fill=—","Direction=H","UseDPDF=Y")</f>
        <v>31.7</v>
      </c>
      <c r="V53" s="13">
        <f>_xll.BDH("NBIX US Equity","ARDR_INVENTORY","FQ3 2023","FQ3 2023","Currency=USD","Period=FQ","BEST_FPERIOD_OVERRIDE=FQ","FILING_STATUS=MR","SCALING_FORMAT=MLN","Sort=A","Dates=H","DateFormat=P","Fill=—","Direction=H","UseDPDF=Y")</f>
        <v>28.8</v>
      </c>
      <c r="W53" s="13">
        <f>_xll.BDH("NBIX US Equity","ARDR_INVENTORY","FQ4 2023","FQ4 2023","Currency=USD","Period=FQ","BEST_FPERIOD_OVERRIDE=FQ","FILING_STATUS=MR","SCALING_FORMAT=MLN","Sort=A","Dates=H","DateFormat=P","Fill=—","Direction=H","UseDPDF=Y")</f>
        <v>38.299999999999997</v>
      </c>
      <c r="X53" s="13">
        <f>_xll.BDH("NBIX US Equity","ARDR_INVENTORY","FQ1 2024","FQ1 2024","Currency=USD","Period=FQ","BEST_FPERIOD_OVERRIDE=FQ","FILING_STATUS=MR","SCALING_FORMAT=MLN","Sort=A","Dates=H","DateFormat=P","Fill=—","Direction=H","UseDPDF=Y")</f>
        <v>37.200000000000003</v>
      </c>
      <c r="Y53" s="13">
        <f>_xll.BDH("NBIX US Equity","ARDR_INVENTORY","FQ2 2024","FQ2 2024","Currency=USD","Period=FQ","BEST_FPERIOD_OVERRIDE=FQ","FILING_STATUS=MR","SCALING_FORMAT=MLN","Sort=A","Dates=H","DateFormat=P","Fill=—","Direction=H","UseDPDF=Y")</f>
        <v>42.5</v>
      </c>
      <c r="Z53" s="13">
        <f>_xll.BDH("NBIX US Equity","ARDR_INVENTORY","FQ3 2024","FQ3 2024","Currency=USD","Period=FQ","BEST_FPERIOD_OVERRIDE=FQ","FILING_STATUS=MR","SCALING_FORMAT=MLN","Sort=A","Dates=H","DateFormat=P","Fill=—","Direction=H","UseDPDF=Y")</f>
        <v>45.8</v>
      </c>
      <c r="AA53" s="13">
        <f>_xll.BDH("NBIX US Equity","ARDR_INVENTORY","FQ4 2024","FQ4 2024","Currency=USD","Period=FQ","BEST_FPERIOD_OVERRIDE=FQ","FILING_STATUS=MR","SCALING_FORMAT=MLN","Sort=A","Dates=H","DateFormat=P","Fill=—","Direction=H","UseDPDF=Y")</f>
        <v>57.4</v>
      </c>
    </row>
    <row r="54" spans="1:27" x14ac:dyDescent="0.25">
      <c r="A54" s="10" t="s">
        <v>895</v>
      </c>
      <c r="B54" s="10" t="s">
        <v>896</v>
      </c>
      <c r="C54" s="13">
        <f>_xll.BDH("NBIX US Equity","ARDR_LEASEHOLD_IMPROVEMENTS","FQ4 2018","FQ4 2018","Currency=USD","Period=FQ","BEST_FPERIOD_OVERRIDE=FQ","FILING_STATUS=MR","SCALING_FORMAT=MLN","Sort=A","Dates=H","DateFormat=P","Fill=—","Direction=H","UseDPDF=Y")</f>
        <v>19.856999999999999</v>
      </c>
      <c r="D54" s="13" t="str">
        <f>_xll.BDH("NBIX US Equity","ARDR_LEASEHOLD_IMPROVEMENTS","FQ1 2019","FQ1 2019","Currency=USD","Period=FQ","BEST_FPERIOD_OVERRIDE=FQ","FILING_STATUS=MR","SCALING_FORMAT=MLN","Sort=A","Dates=H","DateFormat=P","Fill=—","Direction=H","UseDPDF=Y")</f>
        <v>—</v>
      </c>
      <c r="E54" s="13" t="str">
        <f>_xll.BDH("NBIX US Equity","ARDR_LEASEHOLD_IMPROVEMENTS","FQ2 2019","FQ2 2019","Currency=USD","Period=FQ","BEST_FPERIOD_OVERRIDE=FQ","FILING_STATUS=MR","SCALING_FORMAT=MLN","Sort=A","Dates=H","DateFormat=P","Fill=—","Direction=H","UseDPDF=Y")</f>
        <v>—</v>
      </c>
      <c r="F54" s="13" t="str">
        <f>_xll.BDH("NBIX US Equity","ARDR_LEASEHOLD_IMPROVEMENTS","FQ3 2019","FQ3 2019","Currency=USD","Period=FQ","BEST_FPERIOD_OVERRIDE=FQ","FILING_STATUS=MR","SCALING_FORMAT=MLN","Sort=A","Dates=H","DateFormat=P","Fill=—","Direction=H","UseDPDF=Y")</f>
        <v>—</v>
      </c>
      <c r="G54" s="13">
        <f>_xll.BDH("NBIX US Equity","ARDR_LEASEHOLD_IMPROVEMENTS","FQ4 2019","FQ4 2019","Currency=USD","Period=FQ","BEST_FPERIOD_OVERRIDE=FQ","FILING_STATUS=MR","SCALING_FORMAT=MLN","Sort=A","Dates=H","DateFormat=P","Fill=—","Direction=H","UseDPDF=Y")</f>
        <v>26.3</v>
      </c>
      <c r="H54" s="13" t="str">
        <f>_xll.BDH("NBIX US Equity","ARDR_LEASEHOLD_IMPROVEMENTS","FQ1 2020","FQ1 2020","Currency=USD","Period=FQ","BEST_FPERIOD_OVERRIDE=FQ","FILING_STATUS=MR","SCALING_FORMAT=MLN","Sort=A","Dates=H","DateFormat=P","Fill=—","Direction=H","UseDPDF=Y")</f>
        <v>—</v>
      </c>
      <c r="I54" s="13" t="str">
        <f>_xll.BDH("NBIX US Equity","ARDR_LEASEHOLD_IMPROVEMENTS","FQ2 2020","FQ2 2020","Currency=USD","Period=FQ","BEST_FPERIOD_OVERRIDE=FQ","FILING_STATUS=MR","SCALING_FORMAT=MLN","Sort=A","Dates=H","DateFormat=P","Fill=—","Direction=H","UseDPDF=Y")</f>
        <v>—</v>
      </c>
      <c r="J54" s="13" t="str">
        <f>_xll.BDH("NBIX US Equity","ARDR_LEASEHOLD_IMPROVEMENTS","FQ3 2020","FQ3 2020","Currency=USD","Period=FQ","BEST_FPERIOD_OVERRIDE=FQ","FILING_STATUS=MR","SCALING_FORMAT=MLN","Sort=A","Dates=H","DateFormat=P","Fill=—","Direction=H","UseDPDF=Y")</f>
        <v>—</v>
      </c>
      <c r="K54" s="13">
        <f>_xll.BDH("NBIX US Equity","ARDR_LEASEHOLD_IMPROVEMENTS","FQ4 2020","FQ4 2020","Currency=USD","Period=FQ","BEST_FPERIOD_OVERRIDE=FQ","FILING_STATUS=MR","SCALING_FORMAT=MLN","Sort=A","Dates=H","DateFormat=P","Fill=—","Direction=H","UseDPDF=Y")</f>
        <v>29.5</v>
      </c>
      <c r="L54" s="13" t="str">
        <f>_xll.BDH("NBIX US Equity","ARDR_LEASEHOLD_IMPROVEMENTS","FQ1 2021","FQ1 2021","Currency=USD","Period=FQ","BEST_FPERIOD_OVERRIDE=FQ","FILING_STATUS=MR","SCALING_FORMAT=MLN","Sort=A","Dates=H","DateFormat=P","Fill=—","Direction=H","UseDPDF=Y")</f>
        <v>—</v>
      </c>
      <c r="M54" s="13" t="str">
        <f>_xll.BDH("NBIX US Equity","ARDR_LEASEHOLD_IMPROVEMENTS","FQ2 2021","FQ2 2021","Currency=USD","Period=FQ","BEST_FPERIOD_OVERRIDE=FQ","FILING_STATUS=MR","SCALING_FORMAT=MLN","Sort=A","Dates=H","DateFormat=P","Fill=—","Direction=H","UseDPDF=Y")</f>
        <v>—</v>
      </c>
      <c r="N54" s="13" t="str">
        <f>_xll.BDH("NBIX US Equity","ARDR_LEASEHOLD_IMPROVEMENTS","FQ3 2021","FQ3 2021","Currency=USD","Period=FQ","BEST_FPERIOD_OVERRIDE=FQ","FILING_STATUS=MR","SCALING_FORMAT=MLN","Sort=A","Dates=H","DateFormat=P","Fill=—","Direction=H","UseDPDF=Y")</f>
        <v>—</v>
      </c>
      <c r="O54" s="13">
        <f>_xll.BDH("NBIX US Equity","ARDR_LEASEHOLD_IMPROVEMENTS","FQ4 2021","FQ4 2021","Currency=USD","Period=FQ","BEST_FPERIOD_OVERRIDE=FQ","FILING_STATUS=MR","SCALING_FORMAT=MLN","Sort=A","Dates=H","DateFormat=P","Fill=—","Direction=H","UseDPDF=Y")</f>
        <v>34.9</v>
      </c>
      <c r="P54" s="13" t="str">
        <f>_xll.BDH("NBIX US Equity","ARDR_LEASEHOLD_IMPROVEMENTS","FQ1 2022","FQ1 2022","Currency=USD","Period=FQ","BEST_FPERIOD_OVERRIDE=FQ","FILING_STATUS=MR","SCALING_FORMAT=MLN","Sort=A","Dates=H","DateFormat=P","Fill=—","Direction=H","UseDPDF=Y")</f>
        <v>—</v>
      </c>
      <c r="Q54" s="13" t="str">
        <f>_xll.BDH("NBIX US Equity","ARDR_LEASEHOLD_IMPROVEMENTS","FQ2 2022","FQ2 2022","Currency=USD","Period=FQ","BEST_FPERIOD_OVERRIDE=FQ","FILING_STATUS=MR","SCALING_FORMAT=MLN","Sort=A","Dates=H","DateFormat=P","Fill=—","Direction=H","UseDPDF=Y")</f>
        <v>—</v>
      </c>
      <c r="R54" s="13" t="str">
        <f>_xll.BDH("NBIX US Equity","ARDR_LEASEHOLD_IMPROVEMENTS","FQ3 2022","FQ3 2022","Currency=USD","Period=FQ","BEST_FPERIOD_OVERRIDE=FQ","FILING_STATUS=MR","SCALING_FORMAT=MLN","Sort=A","Dates=H","DateFormat=P","Fill=—","Direction=H","UseDPDF=Y")</f>
        <v>—</v>
      </c>
      <c r="S54" s="13">
        <f>_xll.BDH("NBIX US Equity","ARDR_LEASEHOLD_IMPROVEMENTS","FQ4 2022","FQ4 2022","Currency=USD","Period=FQ","BEST_FPERIOD_OVERRIDE=FQ","FILING_STATUS=MR","SCALING_FORMAT=MLN","Sort=A","Dates=H","DateFormat=P","Fill=—","Direction=H","UseDPDF=Y")</f>
        <v>37.9</v>
      </c>
      <c r="T54" s="13" t="str">
        <f>_xll.BDH("NBIX US Equity","ARDR_LEASEHOLD_IMPROVEMENTS","FQ1 2023","FQ1 2023","Currency=USD","Period=FQ","BEST_FPERIOD_OVERRIDE=FQ","FILING_STATUS=MR","SCALING_FORMAT=MLN","Sort=A","Dates=H","DateFormat=P","Fill=—","Direction=H","UseDPDF=Y")</f>
        <v>—</v>
      </c>
      <c r="U54" s="13" t="str">
        <f>_xll.BDH("NBIX US Equity","ARDR_LEASEHOLD_IMPROVEMENTS","FQ2 2023","FQ2 2023","Currency=USD","Period=FQ","BEST_FPERIOD_OVERRIDE=FQ","FILING_STATUS=MR","SCALING_FORMAT=MLN","Sort=A","Dates=H","DateFormat=P","Fill=—","Direction=H","UseDPDF=Y")</f>
        <v>—</v>
      </c>
      <c r="V54" s="13" t="str">
        <f>_xll.BDH("NBIX US Equity","ARDR_LEASEHOLD_IMPROVEMENTS","FQ3 2023","FQ3 2023","Currency=USD","Period=FQ","BEST_FPERIOD_OVERRIDE=FQ","FILING_STATUS=MR","SCALING_FORMAT=MLN","Sort=A","Dates=H","DateFormat=P","Fill=—","Direction=H","UseDPDF=Y")</f>
        <v>—</v>
      </c>
      <c r="W54" s="13">
        <f>_xll.BDH("NBIX US Equity","ARDR_LEASEHOLD_IMPROVEMENTS","FQ4 2023","FQ4 2023","Currency=USD","Period=FQ","BEST_FPERIOD_OVERRIDE=FQ","FILING_STATUS=MR","SCALING_FORMAT=MLN","Sort=A","Dates=H","DateFormat=P","Fill=—","Direction=H","UseDPDF=Y")</f>
        <v>38.1</v>
      </c>
      <c r="X54" s="13" t="str">
        <f>_xll.BDH("NBIX US Equity","ARDR_LEASEHOLD_IMPROVEMENTS","FQ1 2024","FQ1 2024","Currency=USD","Period=FQ","BEST_FPERIOD_OVERRIDE=FQ","FILING_STATUS=MR","SCALING_FORMAT=MLN","Sort=A","Dates=H","DateFormat=P","Fill=—","Direction=H","UseDPDF=Y")</f>
        <v>—</v>
      </c>
      <c r="Y54" s="13" t="str">
        <f>_xll.BDH("NBIX US Equity","ARDR_LEASEHOLD_IMPROVEMENTS","FQ2 2024","FQ2 2024","Currency=USD","Period=FQ","BEST_FPERIOD_OVERRIDE=FQ","FILING_STATUS=MR","SCALING_FORMAT=MLN","Sort=A","Dates=H","DateFormat=P","Fill=—","Direction=H","UseDPDF=Y")</f>
        <v>—</v>
      </c>
      <c r="Z54" s="13" t="str">
        <f>_xll.BDH("NBIX US Equity","ARDR_LEASEHOLD_IMPROVEMENTS","FQ3 2024","FQ3 2024","Currency=USD","Period=FQ","BEST_FPERIOD_OVERRIDE=FQ","FILING_STATUS=MR","SCALING_FORMAT=MLN","Sort=A","Dates=H","DateFormat=P","Fill=—","Direction=H","UseDPDF=Y")</f>
        <v>—</v>
      </c>
      <c r="AA54" s="13">
        <f>_xll.BDH("NBIX US Equity","ARDR_LEASEHOLD_IMPROVEMENTS","FQ4 2024","FQ4 2024","Currency=USD","Period=FQ","BEST_FPERIOD_OVERRIDE=FQ","FILING_STATUS=MR","SCALING_FORMAT=MLN","Sort=A","Dates=H","DateFormat=P","Fill=—","Direction=H","UseDPDF=Y")</f>
        <v>35.9</v>
      </c>
    </row>
    <row r="55" spans="1:27" x14ac:dyDescent="0.25">
      <c r="A55" s="10" t="s">
        <v>897</v>
      </c>
      <c r="B55" s="10" t="s">
        <v>898</v>
      </c>
      <c r="C55" s="13">
        <f>_xll.BDH("NBIX US Equity","ARDR_FURNITURE_MACHINERY_EQUIP","FQ4 2018","FQ4 2018","Currency=USD","Period=FQ","BEST_FPERIOD_OVERRIDE=FQ","FILING_STATUS=MR","SCALING_FORMAT=MLN","Sort=A","Dates=H","DateFormat=P","Fill=—","Direction=H","UseDPDF=Y")</f>
        <v>42.283000000000001</v>
      </c>
      <c r="D55" s="13" t="str">
        <f>_xll.BDH("NBIX US Equity","ARDR_FURNITURE_MACHINERY_EQUIP","FQ1 2019","FQ1 2019","Currency=USD","Period=FQ","BEST_FPERIOD_OVERRIDE=FQ","FILING_STATUS=MR","SCALING_FORMAT=MLN","Sort=A","Dates=H","DateFormat=P","Fill=—","Direction=H","UseDPDF=Y")</f>
        <v>—</v>
      </c>
      <c r="E55" s="13" t="str">
        <f>_xll.BDH("NBIX US Equity","ARDR_FURNITURE_MACHINERY_EQUIP","FQ2 2019","FQ2 2019","Currency=USD","Period=FQ","BEST_FPERIOD_OVERRIDE=FQ","FILING_STATUS=MR","SCALING_FORMAT=MLN","Sort=A","Dates=H","DateFormat=P","Fill=—","Direction=H","UseDPDF=Y")</f>
        <v>—</v>
      </c>
      <c r="F55" s="13" t="str">
        <f>_xll.BDH("NBIX US Equity","ARDR_FURNITURE_MACHINERY_EQUIP","FQ3 2019","FQ3 2019","Currency=USD","Period=FQ","BEST_FPERIOD_OVERRIDE=FQ","FILING_STATUS=MR","SCALING_FORMAT=MLN","Sort=A","Dates=H","DateFormat=P","Fill=—","Direction=H","UseDPDF=Y")</f>
        <v>—</v>
      </c>
      <c r="G55" s="13">
        <f>_xll.BDH("NBIX US Equity","ARDR_FURNITURE_MACHINERY_EQUIP","FQ4 2019","FQ4 2019","Currency=USD","Period=FQ","BEST_FPERIOD_OVERRIDE=FQ","FILING_STATUS=MR","SCALING_FORMAT=MLN","Sort=A","Dates=H","DateFormat=P","Fill=—","Direction=H","UseDPDF=Y")</f>
        <v>49.2</v>
      </c>
      <c r="H55" s="13" t="str">
        <f>_xll.BDH("NBIX US Equity","ARDR_FURNITURE_MACHINERY_EQUIP","FQ1 2020","FQ1 2020","Currency=USD","Period=FQ","BEST_FPERIOD_OVERRIDE=FQ","FILING_STATUS=MR","SCALING_FORMAT=MLN","Sort=A","Dates=H","DateFormat=P","Fill=—","Direction=H","UseDPDF=Y")</f>
        <v>—</v>
      </c>
      <c r="I55" s="13" t="str">
        <f>_xll.BDH("NBIX US Equity","ARDR_FURNITURE_MACHINERY_EQUIP","FQ2 2020","FQ2 2020","Currency=USD","Period=FQ","BEST_FPERIOD_OVERRIDE=FQ","FILING_STATUS=MR","SCALING_FORMAT=MLN","Sort=A","Dates=H","DateFormat=P","Fill=—","Direction=H","UseDPDF=Y")</f>
        <v>—</v>
      </c>
      <c r="J55" s="13" t="str">
        <f>_xll.BDH("NBIX US Equity","ARDR_FURNITURE_MACHINERY_EQUIP","FQ3 2020","FQ3 2020","Currency=USD","Period=FQ","BEST_FPERIOD_OVERRIDE=FQ","FILING_STATUS=MR","SCALING_FORMAT=MLN","Sort=A","Dates=H","DateFormat=P","Fill=—","Direction=H","UseDPDF=Y")</f>
        <v>—</v>
      </c>
      <c r="K55" s="13">
        <f>_xll.BDH("NBIX US Equity","ARDR_FURNITURE_MACHINERY_EQUIP","FQ4 2020","FQ4 2020","Currency=USD","Period=FQ","BEST_FPERIOD_OVERRIDE=FQ","FILING_STATUS=MR","SCALING_FORMAT=MLN","Sort=A","Dates=H","DateFormat=P","Fill=—","Direction=H","UseDPDF=Y")</f>
        <v>56.8</v>
      </c>
      <c r="L55" s="13" t="str">
        <f>_xll.BDH("NBIX US Equity","ARDR_FURNITURE_MACHINERY_EQUIP","FQ1 2021","FQ1 2021","Currency=USD","Period=FQ","BEST_FPERIOD_OVERRIDE=FQ","FILING_STATUS=MR","SCALING_FORMAT=MLN","Sort=A","Dates=H","DateFormat=P","Fill=—","Direction=H","UseDPDF=Y")</f>
        <v>—</v>
      </c>
      <c r="M55" s="13" t="str">
        <f>_xll.BDH("NBIX US Equity","ARDR_FURNITURE_MACHINERY_EQUIP","FQ2 2021","FQ2 2021","Currency=USD","Period=FQ","BEST_FPERIOD_OVERRIDE=FQ","FILING_STATUS=MR","SCALING_FORMAT=MLN","Sort=A","Dates=H","DateFormat=P","Fill=—","Direction=H","UseDPDF=Y")</f>
        <v>—</v>
      </c>
      <c r="N55" s="13" t="str">
        <f>_xll.BDH("NBIX US Equity","ARDR_FURNITURE_MACHINERY_EQUIP","FQ3 2021","FQ3 2021","Currency=USD","Period=FQ","BEST_FPERIOD_OVERRIDE=FQ","FILING_STATUS=MR","SCALING_FORMAT=MLN","Sort=A","Dates=H","DateFormat=P","Fill=—","Direction=H","UseDPDF=Y")</f>
        <v>—</v>
      </c>
      <c r="O55" s="13">
        <f>_xll.BDH("NBIX US Equity","ARDR_FURNITURE_MACHINERY_EQUIP","FQ4 2021","FQ4 2021","Currency=USD","Period=FQ","BEST_FPERIOD_OVERRIDE=FQ","FILING_STATUS=MR","SCALING_FORMAT=MLN","Sort=A","Dates=H","DateFormat=P","Fill=—","Direction=H","UseDPDF=Y")</f>
        <v>75.599999999999994</v>
      </c>
      <c r="P55" s="13" t="str">
        <f>_xll.BDH("NBIX US Equity","ARDR_FURNITURE_MACHINERY_EQUIP","FQ1 2022","FQ1 2022","Currency=USD","Period=FQ","BEST_FPERIOD_OVERRIDE=FQ","FILING_STATUS=MR","SCALING_FORMAT=MLN","Sort=A","Dates=H","DateFormat=P","Fill=—","Direction=H","UseDPDF=Y")</f>
        <v>—</v>
      </c>
      <c r="Q55" s="13" t="str">
        <f>_xll.BDH("NBIX US Equity","ARDR_FURNITURE_MACHINERY_EQUIP","FQ2 2022","FQ2 2022","Currency=USD","Period=FQ","BEST_FPERIOD_OVERRIDE=FQ","FILING_STATUS=MR","SCALING_FORMAT=MLN","Sort=A","Dates=H","DateFormat=P","Fill=—","Direction=H","UseDPDF=Y")</f>
        <v>—</v>
      </c>
      <c r="R55" s="13" t="str">
        <f>_xll.BDH("NBIX US Equity","ARDR_FURNITURE_MACHINERY_EQUIP","FQ3 2022","FQ3 2022","Currency=USD","Period=FQ","BEST_FPERIOD_OVERRIDE=FQ","FILING_STATUS=MR","SCALING_FORMAT=MLN","Sort=A","Dates=H","DateFormat=P","Fill=—","Direction=H","UseDPDF=Y")</f>
        <v>—</v>
      </c>
      <c r="S55" s="13">
        <f>_xll.BDH("NBIX US Equity","ARDR_FURNITURE_MACHINERY_EQUIP","FQ4 2022","FQ4 2022","Currency=USD","Period=FQ","BEST_FPERIOD_OVERRIDE=FQ","FILING_STATUS=MR","SCALING_FORMAT=MLN","Sort=A","Dates=H","DateFormat=P","Fill=—","Direction=H","UseDPDF=Y")</f>
        <v>87</v>
      </c>
      <c r="T55" s="13" t="str">
        <f>_xll.BDH("NBIX US Equity","ARDR_FURNITURE_MACHINERY_EQUIP","FQ1 2023","FQ1 2023","Currency=USD","Period=FQ","BEST_FPERIOD_OVERRIDE=FQ","FILING_STATUS=MR","SCALING_FORMAT=MLN","Sort=A","Dates=H","DateFormat=P","Fill=—","Direction=H","UseDPDF=Y")</f>
        <v>—</v>
      </c>
      <c r="U55" s="13" t="str">
        <f>_xll.BDH("NBIX US Equity","ARDR_FURNITURE_MACHINERY_EQUIP","FQ2 2023","FQ2 2023","Currency=USD","Period=FQ","BEST_FPERIOD_OVERRIDE=FQ","FILING_STATUS=MR","SCALING_FORMAT=MLN","Sort=A","Dates=H","DateFormat=P","Fill=—","Direction=H","UseDPDF=Y")</f>
        <v>—</v>
      </c>
      <c r="V55" s="13" t="str">
        <f>_xll.BDH("NBIX US Equity","ARDR_FURNITURE_MACHINERY_EQUIP","FQ3 2023","FQ3 2023","Currency=USD","Period=FQ","BEST_FPERIOD_OVERRIDE=FQ","FILING_STATUS=MR","SCALING_FORMAT=MLN","Sort=A","Dates=H","DateFormat=P","Fill=—","Direction=H","UseDPDF=Y")</f>
        <v>—</v>
      </c>
      <c r="W55" s="13">
        <f>_xll.BDH("NBIX US Equity","ARDR_FURNITURE_MACHINERY_EQUIP","FQ4 2023","FQ4 2023","Currency=USD","Period=FQ","BEST_FPERIOD_OVERRIDE=FQ","FILING_STATUS=MR","SCALING_FORMAT=MLN","Sort=A","Dates=H","DateFormat=P","Fill=—","Direction=H","UseDPDF=Y")</f>
        <v>115.7</v>
      </c>
      <c r="X55" s="13" t="str">
        <f>_xll.BDH("NBIX US Equity","ARDR_FURNITURE_MACHINERY_EQUIP","FQ1 2024","FQ1 2024","Currency=USD","Period=FQ","BEST_FPERIOD_OVERRIDE=FQ","FILING_STATUS=MR","SCALING_FORMAT=MLN","Sort=A","Dates=H","DateFormat=P","Fill=—","Direction=H","UseDPDF=Y")</f>
        <v>—</v>
      </c>
      <c r="Y55" s="13" t="str">
        <f>_xll.BDH("NBIX US Equity","ARDR_FURNITURE_MACHINERY_EQUIP","FQ2 2024","FQ2 2024","Currency=USD","Period=FQ","BEST_FPERIOD_OVERRIDE=FQ","FILING_STATUS=MR","SCALING_FORMAT=MLN","Sort=A","Dates=H","DateFormat=P","Fill=—","Direction=H","UseDPDF=Y")</f>
        <v>—</v>
      </c>
      <c r="Z55" s="13" t="str">
        <f>_xll.BDH("NBIX US Equity","ARDR_FURNITURE_MACHINERY_EQUIP","FQ3 2024","FQ3 2024","Currency=USD","Period=FQ","BEST_FPERIOD_OVERRIDE=FQ","FILING_STATUS=MR","SCALING_FORMAT=MLN","Sort=A","Dates=H","DateFormat=P","Fill=—","Direction=H","UseDPDF=Y")</f>
        <v>—</v>
      </c>
      <c r="AA55" s="13">
        <f>_xll.BDH("NBIX US Equity","ARDR_FURNITURE_MACHINERY_EQUIP","FQ4 2024","FQ4 2024","Currency=USD","Period=FQ","BEST_FPERIOD_OVERRIDE=FQ","FILING_STATUS=MR","SCALING_FORMAT=MLN","Sort=A","Dates=H","DateFormat=P","Fill=—","Direction=H","UseDPDF=Y")</f>
        <v>153.19999999999999</v>
      </c>
    </row>
    <row r="56" spans="1:27" x14ac:dyDescent="0.25">
      <c r="A56" s="10" t="s">
        <v>899</v>
      </c>
      <c r="B56" s="10" t="s">
        <v>900</v>
      </c>
      <c r="C56" s="13">
        <f>_xll.BDH("NBIX US Equity","ARDR_PROPERTY_PLANT_EQUIP_GROSS","FQ4 2018","FQ4 2018","Currency=USD","Period=FQ","BEST_FPERIOD_OVERRIDE=FQ","FILING_STATUS=MR","SCALING_FORMAT=MLN","Sort=A","Dates=H","DateFormat=P","Fill=—","Direction=H","UseDPDF=Y")</f>
        <v>62.14</v>
      </c>
      <c r="D56" s="13" t="str">
        <f>_xll.BDH("NBIX US Equity","ARDR_PROPERTY_PLANT_EQUIP_GROSS","FQ1 2019","FQ1 2019","Currency=USD","Period=FQ","BEST_FPERIOD_OVERRIDE=FQ","FILING_STATUS=MR","SCALING_FORMAT=MLN","Sort=A","Dates=H","DateFormat=P","Fill=—","Direction=H","UseDPDF=Y")</f>
        <v>—</v>
      </c>
      <c r="E56" s="13" t="str">
        <f>_xll.BDH("NBIX US Equity","ARDR_PROPERTY_PLANT_EQUIP_GROSS","FQ2 2019","FQ2 2019","Currency=USD","Period=FQ","BEST_FPERIOD_OVERRIDE=FQ","FILING_STATUS=MR","SCALING_FORMAT=MLN","Sort=A","Dates=H","DateFormat=P","Fill=—","Direction=H","UseDPDF=Y")</f>
        <v>—</v>
      </c>
      <c r="F56" s="13" t="str">
        <f>_xll.BDH("NBIX US Equity","ARDR_PROPERTY_PLANT_EQUIP_GROSS","FQ3 2019","FQ3 2019","Currency=USD","Period=FQ","BEST_FPERIOD_OVERRIDE=FQ","FILING_STATUS=MR","SCALING_FORMAT=MLN","Sort=A","Dates=H","DateFormat=P","Fill=—","Direction=H","UseDPDF=Y")</f>
        <v>—</v>
      </c>
      <c r="G56" s="13">
        <f>_xll.BDH("NBIX US Equity","ARDR_PROPERTY_PLANT_EQUIP_GROSS","FQ4 2019","FQ4 2019","Currency=USD","Period=FQ","BEST_FPERIOD_OVERRIDE=FQ","FILING_STATUS=MR","SCALING_FORMAT=MLN","Sort=A","Dates=H","DateFormat=P","Fill=—","Direction=H","UseDPDF=Y")</f>
        <v>75.5</v>
      </c>
      <c r="H56" s="13" t="str">
        <f>_xll.BDH("NBIX US Equity","ARDR_PROPERTY_PLANT_EQUIP_GROSS","FQ1 2020","FQ1 2020","Currency=USD","Period=FQ","BEST_FPERIOD_OVERRIDE=FQ","FILING_STATUS=MR","SCALING_FORMAT=MLN","Sort=A","Dates=H","DateFormat=P","Fill=—","Direction=H","UseDPDF=Y")</f>
        <v>—</v>
      </c>
      <c r="I56" s="13" t="str">
        <f>_xll.BDH("NBIX US Equity","ARDR_PROPERTY_PLANT_EQUIP_GROSS","FQ2 2020","FQ2 2020","Currency=USD","Period=FQ","BEST_FPERIOD_OVERRIDE=FQ","FILING_STATUS=MR","SCALING_FORMAT=MLN","Sort=A","Dates=H","DateFormat=P","Fill=—","Direction=H","UseDPDF=Y")</f>
        <v>—</v>
      </c>
      <c r="J56" s="13" t="str">
        <f>_xll.BDH("NBIX US Equity","ARDR_PROPERTY_PLANT_EQUIP_GROSS","FQ3 2020","FQ3 2020","Currency=USD","Period=FQ","BEST_FPERIOD_OVERRIDE=FQ","FILING_STATUS=MR","SCALING_FORMAT=MLN","Sort=A","Dates=H","DateFormat=P","Fill=—","Direction=H","UseDPDF=Y")</f>
        <v>—</v>
      </c>
      <c r="K56" s="13">
        <f>_xll.BDH("NBIX US Equity","ARDR_PROPERTY_PLANT_EQUIP_GROSS","FQ4 2020","FQ4 2020","Currency=USD","Period=FQ","BEST_FPERIOD_OVERRIDE=FQ","FILING_STATUS=MR","SCALING_FORMAT=MLN","Sort=A","Dates=H","DateFormat=P","Fill=—","Direction=H","UseDPDF=Y")</f>
        <v>86.3</v>
      </c>
      <c r="L56" s="13" t="str">
        <f>_xll.BDH("NBIX US Equity","ARDR_PROPERTY_PLANT_EQUIP_GROSS","FQ1 2021","FQ1 2021","Currency=USD","Period=FQ","BEST_FPERIOD_OVERRIDE=FQ","FILING_STATUS=MR","SCALING_FORMAT=MLN","Sort=A","Dates=H","DateFormat=P","Fill=—","Direction=H","UseDPDF=Y")</f>
        <v>—</v>
      </c>
      <c r="M56" s="13" t="str">
        <f>_xll.BDH("NBIX US Equity","ARDR_PROPERTY_PLANT_EQUIP_GROSS","FQ2 2021","FQ2 2021","Currency=USD","Period=FQ","BEST_FPERIOD_OVERRIDE=FQ","FILING_STATUS=MR","SCALING_FORMAT=MLN","Sort=A","Dates=H","DateFormat=P","Fill=—","Direction=H","UseDPDF=Y")</f>
        <v>—</v>
      </c>
      <c r="N56" s="13" t="str">
        <f>_xll.BDH("NBIX US Equity","ARDR_PROPERTY_PLANT_EQUIP_GROSS","FQ3 2021","FQ3 2021","Currency=USD","Period=FQ","BEST_FPERIOD_OVERRIDE=FQ","FILING_STATUS=MR","SCALING_FORMAT=MLN","Sort=A","Dates=H","DateFormat=P","Fill=—","Direction=H","UseDPDF=Y")</f>
        <v>—</v>
      </c>
      <c r="O56" s="13">
        <f>_xll.BDH("NBIX US Equity","ARDR_PROPERTY_PLANT_EQUIP_GROSS","FQ4 2021","FQ4 2021","Currency=USD","Period=FQ","BEST_FPERIOD_OVERRIDE=FQ","FILING_STATUS=MR","SCALING_FORMAT=MLN","Sort=A","Dates=H","DateFormat=P","Fill=—","Direction=H","UseDPDF=Y")</f>
        <v>110.5</v>
      </c>
      <c r="P56" s="13" t="str">
        <f>_xll.BDH("NBIX US Equity","ARDR_PROPERTY_PLANT_EQUIP_GROSS","FQ1 2022","FQ1 2022","Currency=USD","Period=FQ","BEST_FPERIOD_OVERRIDE=FQ","FILING_STATUS=MR","SCALING_FORMAT=MLN","Sort=A","Dates=H","DateFormat=P","Fill=—","Direction=H","UseDPDF=Y")</f>
        <v>—</v>
      </c>
      <c r="Q56" s="13" t="str">
        <f>_xll.BDH("NBIX US Equity","ARDR_PROPERTY_PLANT_EQUIP_GROSS","FQ2 2022","FQ2 2022","Currency=USD","Period=FQ","BEST_FPERIOD_OVERRIDE=FQ","FILING_STATUS=MR","SCALING_FORMAT=MLN","Sort=A","Dates=H","DateFormat=P","Fill=—","Direction=H","UseDPDF=Y")</f>
        <v>—</v>
      </c>
      <c r="R56" s="13" t="str">
        <f>_xll.BDH("NBIX US Equity","ARDR_PROPERTY_PLANT_EQUIP_GROSS","FQ3 2022","FQ3 2022","Currency=USD","Period=FQ","BEST_FPERIOD_OVERRIDE=FQ","FILING_STATUS=MR","SCALING_FORMAT=MLN","Sort=A","Dates=H","DateFormat=P","Fill=—","Direction=H","UseDPDF=Y")</f>
        <v>—</v>
      </c>
      <c r="S56" s="13">
        <f>_xll.BDH("NBIX US Equity","ARDR_PROPERTY_PLANT_EQUIP_GROSS","FQ4 2022","FQ4 2022","Currency=USD","Period=FQ","BEST_FPERIOD_OVERRIDE=FQ","FILING_STATUS=MR","SCALING_FORMAT=MLN","Sort=A","Dates=H","DateFormat=P","Fill=—","Direction=H","UseDPDF=Y")</f>
        <v>124.9</v>
      </c>
      <c r="T56" s="13" t="str">
        <f>_xll.BDH("NBIX US Equity","ARDR_PROPERTY_PLANT_EQUIP_GROSS","FQ1 2023","FQ1 2023","Currency=USD","Period=FQ","BEST_FPERIOD_OVERRIDE=FQ","FILING_STATUS=MR","SCALING_FORMAT=MLN","Sort=A","Dates=H","DateFormat=P","Fill=—","Direction=H","UseDPDF=Y")</f>
        <v>—</v>
      </c>
      <c r="U56" s="13" t="str">
        <f>_xll.BDH("NBIX US Equity","ARDR_PROPERTY_PLANT_EQUIP_GROSS","FQ2 2023","FQ2 2023","Currency=USD","Period=FQ","BEST_FPERIOD_OVERRIDE=FQ","FILING_STATUS=MR","SCALING_FORMAT=MLN","Sort=A","Dates=H","DateFormat=P","Fill=—","Direction=H","UseDPDF=Y")</f>
        <v>—</v>
      </c>
      <c r="V56" s="13" t="str">
        <f>_xll.BDH("NBIX US Equity","ARDR_PROPERTY_PLANT_EQUIP_GROSS","FQ3 2023","FQ3 2023","Currency=USD","Period=FQ","BEST_FPERIOD_OVERRIDE=FQ","FILING_STATUS=MR","SCALING_FORMAT=MLN","Sort=A","Dates=H","DateFormat=P","Fill=—","Direction=H","UseDPDF=Y")</f>
        <v>—</v>
      </c>
      <c r="W56" s="13">
        <f>_xll.BDH("NBIX US Equity","ARDR_PROPERTY_PLANT_EQUIP_GROSS","FQ4 2023","FQ4 2023","Currency=USD","Period=FQ","BEST_FPERIOD_OVERRIDE=FQ","FILING_STATUS=MR","SCALING_FORMAT=MLN","Sort=A","Dates=H","DateFormat=P","Fill=—","Direction=H","UseDPDF=Y")</f>
        <v>153.80000000000001</v>
      </c>
      <c r="X56" s="13" t="str">
        <f>_xll.BDH("NBIX US Equity","ARDR_PROPERTY_PLANT_EQUIP_GROSS","FQ1 2024","FQ1 2024","Currency=USD","Period=FQ","BEST_FPERIOD_OVERRIDE=FQ","FILING_STATUS=MR","SCALING_FORMAT=MLN","Sort=A","Dates=H","DateFormat=P","Fill=—","Direction=H","UseDPDF=Y")</f>
        <v>—</v>
      </c>
      <c r="Y56" s="13" t="str">
        <f>_xll.BDH("NBIX US Equity","ARDR_PROPERTY_PLANT_EQUIP_GROSS","FQ2 2024","FQ2 2024","Currency=USD","Period=FQ","BEST_FPERIOD_OVERRIDE=FQ","FILING_STATUS=MR","SCALING_FORMAT=MLN","Sort=A","Dates=H","DateFormat=P","Fill=—","Direction=H","UseDPDF=Y")</f>
        <v>—</v>
      </c>
      <c r="Z56" s="13" t="str">
        <f>_xll.BDH("NBIX US Equity","ARDR_PROPERTY_PLANT_EQUIP_GROSS","FQ3 2024","FQ3 2024","Currency=USD","Period=FQ","BEST_FPERIOD_OVERRIDE=FQ","FILING_STATUS=MR","SCALING_FORMAT=MLN","Sort=A","Dates=H","DateFormat=P","Fill=—","Direction=H","UseDPDF=Y")</f>
        <v>—</v>
      </c>
      <c r="AA56" s="13">
        <f>_xll.BDH("NBIX US Equity","ARDR_PROPERTY_PLANT_EQUIP_GROSS","FQ4 2024","FQ4 2024","Currency=USD","Period=FQ","BEST_FPERIOD_OVERRIDE=FQ","FILING_STATUS=MR","SCALING_FORMAT=MLN","Sort=A","Dates=H","DateFormat=P","Fill=—","Direction=H","UseDPDF=Y")</f>
        <v>189.1</v>
      </c>
    </row>
    <row r="57" spans="1:27" x14ac:dyDescent="0.25">
      <c r="A57" s="10" t="s">
        <v>901</v>
      </c>
      <c r="B57" s="10" t="s">
        <v>902</v>
      </c>
      <c r="C57" s="13">
        <f>_xll.BDH("NBIX US Equity","ARDR_ACCUMULATED_DEPREC","FQ4 2018","FQ4 2018","Currency=USD","Period=FQ","BEST_FPERIOD_OVERRIDE=FQ","FILING_STATUS=MR","SCALING_FORMAT=MLN","Sort=A","Dates=H","DateFormat=P","Fill=—","Direction=H","UseDPDF=Y")</f>
        <v>28.271000000000001</v>
      </c>
      <c r="D57" s="13" t="str">
        <f>_xll.BDH("NBIX US Equity","ARDR_ACCUMULATED_DEPREC","FQ1 2019","FQ1 2019","Currency=USD","Period=FQ","BEST_FPERIOD_OVERRIDE=FQ","FILING_STATUS=MR","SCALING_FORMAT=MLN","Sort=A","Dates=H","DateFormat=P","Fill=—","Direction=H","UseDPDF=Y")</f>
        <v>—</v>
      </c>
      <c r="E57" s="13" t="str">
        <f>_xll.BDH("NBIX US Equity","ARDR_ACCUMULATED_DEPREC","FQ2 2019","FQ2 2019","Currency=USD","Period=FQ","BEST_FPERIOD_OVERRIDE=FQ","FILING_STATUS=MR","SCALING_FORMAT=MLN","Sort=A","Dates=H","DateFormat=P","Fill=—","Direction=H","UseDPDF=Y")</f>
        <v>—</v>
      </c>
      <c r="F57" s="13" t="str">
        <f>_xll.BDH("NBIX US Equity","ARDR_ACCUMULATED_DEPREC","FQ3 2019","FQ3 2019","Currency=USD","Period=FQ","BEST_FPERIOD_OVERRIDE=FQ","FILING_STATUS=MR","SCALING_FORMAT=MLN","Sort=A","Dates=H","DateFormat=P","Fill=—","Direction=H","UseDPDF=Y")</f>
        <v>—</v>
      </c>
      <c r="G57" s="13">
        <f>_xll.BDH("NBIX US Equity","ARDR_ACCUMULATED_DEPREC","FQ4 2019","FQ4 2019","Currency=USD","Period=FQ","BEST_FPERIOD_OVERRIDE=FQ","FILING_STATUS=MR","SCALING_FORMAT=MLN","Sort=A","Dates=H","DateFormat=P","Fill=—","Direction=H","UseDPDF=Y")</f>
        <v>33.6</v>
      </c>
      <c r="H57" s="13" t="str">
        <f>_xll.BDH("NBIX US Equity","ARDR_ACCUMULATED_DEPREC","FQ1 2020","FQ1 2020","Currency=USD","Period=FQ","BEST_FPERIOD_OVERRIDE=FQ","FILING_STATUS=MR","SCALING_FORMAT=MLN","Sort=A","Dates=H","DateFormat=P","Fill=—","Direction=H","UseDPDF=Y")</f>
        <v>—</v>
      </c>
      <c r="I57" s="13" t="str">
        <f>_xll.BDH("NBIX US Equity","ARDR_ACCUMULATED_DEPREC","FQ2 2020","FQ2 2020","Currency=USD","Period=FQ","BEST_FPERIOD_OVERRIDE=FQ","FILING_STATUS=MR","SCALING_FORMAT=MLN","Sort=A","Dates=H","DateFormat=P","Fill=—","Direction=H","UseDPDF=Y")</f>
        <v>—</v>
      </c>
      <c r="J57" s="13" t="str">
        <f>_xll.BDH("NBIX US Equity","ARDR_ACCUMULATED_DEPREC","FQ3 2020","FQ3 2020","Currency=USD","Period=FQ","BEST_FPERIOD_OVERRIDE=FQ","FILING_STATUS=MR","SCALING_FORMAT=MLN","Sort=A","Dates=H","DateFormat=P","Fill=—","Direction=H","UseDPDF=Y")</f>
        <v>—</v>
      </c>
      <c r="K57" s="13">
        <f>_xll.BDH("NBIX US Equity","ARDR_ACCUMULATED_DEPREC","FQ4 2020","FQ4 2020","Currency=USD","Period=FQ","BEST_FPERIOD_OVERRIDE=FQ","FILING_STATUS=MR","SCALING_FORMAT=MLN","Sort=A","Dates=H","DateFormat=P","Fill=—","Direction=H","UseDPDF=Y")</f>
        <v>41.7</v>
      </c>
      <c r="L57" s="13" t="str">
        <f>_xll.BDH("NBIX US Equity","ARDR_ACCUMULATED_DEPREC","FQ1 2021","FQ1 2021","Currency=USD","Period=FQ","BEST_FPERIOD_OVERRIDE=FQ","FILING_STATUS=MR","SCALING_FORMAT=MLN","Sort=A","Dates=H","DateFormat=P","Fill=—","Direction=H","UseDPDF=Y")</f>
        <v>—</v>
      </c>
      <c r="M57" s="13" t="str">
        <f>_xll.BDH("NBIX US Equity","ARDR_ACCUMULATED_DEPREC","FQ2 2021","FQ2 2021","Currency=USD","Period=FQ","BEST_FPERIOD_OVERRIDE=FQ","FILING_STATUS=MR","SCALING_FORMAT=MLN","Sort=A","Dates=H","DateFormat=P","Fill=—","Direction=H","UseDPDF=Y")</f>
        <v>—</v>
      </c>
      <c r="N57" s="13" t="str">
        <f>_xll.BDH("NBIX US Equity","ARDR_ACCUMULATED_DEPREC","FQ3 2021","FQ3 2021","Currency=USD","Period=FQ","BEST_FPERIOD_OVERRIDE=FQ","FILING_STATUS=MR","SCALING_FORMAT=MLN","Sort=A","Dates=H","DateFormat=P","Fill=—","Direction=H","UseDPDF=Y")</f>
        <v>—</v>
      </c>
      <c r="O57" s="13">
        <f>_xll.BDH("NBIX US Equity","ARDR_ACCUMULATED_DEPREC","FQ4 2021","FQ4 2021","Currency=USD","Period=FQ","BEST_FPERIOD_OVERRIDE=FQ","FILING_STATUS=MR","SCALING_FORMAT=MLN","Sort=A","Dates=H","DateFormat=P","Fill=—","Direction=H","UseDPDF=Y")</f>
        <v>51.9</v>
      </c>
      <c r="P57" s="13" t="str">
        <f>_xll.BDH("NBIX US Equity","ARDR_ACCUMULATED_DEPREC","FQ1 2022","FQ1 2022","Currency=USD","Period=FQ","BEST_FPERIOD_OVERRIDE=FQ","FILING_STATUS=MR","SCALING_FORMAT=MLN","Sort=A","Dates=H","DateFormat=P","Fill=—","Direction=H","UseDPDF=Y")</f>
        <v>—</v>
      </c>
      <c r="Q57" s="13" t="str">
        <f>_xll.BDH("NBIX US Equity","ARDR_ACCUMULATED_DEPREC","FQ2 2022","FQ2 2022","Currency=USD","Period=FQ","BEST_FPERIOD_OVERRIDE=FQ","FILING_STATUS=MR","SCALING_FORMAT=MLN","Sort=A","Dates=H","DateFormat=P","Fill=—","Direction=H","UseDPDF=Y")</f>
        <v>—</v>
      </c>
      <c r="R57" s="13" t="str">
        <f>_xll.BDH("NBIX US Equity","ARDR_ACCUMULATED_DEPREC","FQ3 2022","FQ3 2022","Currency=USD","Period=FQ","BEST_FPERIOD_OVERRIDE=FQ","FILING_STATUS=MR","SCALING_FORMAT=MLN","Sort=A","Dates=H","DateFormat=P","Fill=—","Direction=H","UseDPDF=Y")</f>
        <v>—</v>
      </c>
      <c r="S57" s="13">
        <f>_xll.BDH("NBIX US Equity","ARDR_ACCUMULATED_DEPREC","FQ4 2022","FQ4 2022","Currency=USD","Period=FQ","BEST_FPERIOD_OVERRIDE=FQ","FILING_STATUS=MR","SCALING_FORMAT=MLN","Sort=A","Dates=H","DateFormat=P","Fill=—","Direction=H","UseDPDF=Y")</f>
        <v>66.3</v>
      </c>
      <c r="T57" s="13" t="str">
        <f>_xll.BDH("NBIX US Equity","ARDR_ACCUMULATED_DEPREC","FQ1 2023","FQ1 2023","Currency=USD","Period=FQ","BEST_FPERIOD_OVERRIDE=FQ","FILING_STATUS=MR","SCALING_FORMAT=MLN","Sort=A","Dates=H","DateFormat=P","Fill=—","Direction=H","UseDPDF=Y")</f>
        <v>—</v>
      </c>
      <c r="U57" s="13" t="str">
        <f>_xll.BDH("NBIX US Equity","ARDR_ACCUMULATED_DEPREC","FQ2 2023","FQ2 2023","Currency=USD","Period=FQ","BEST_FPERIOD_OVERRIDE=FQ","FILING_STATUS=MR","SCALING_FORMAT=MLN","Sort=A","Dates=H","DateFormat=P","Fill=—","Direction=H","UseDPDF=Y")</f>
        <v>—</v>
      </c>
      <c r="V57" s="13" t="str">
        <f>_xll.BDH("NBIX US Equity","ARDR_ACCUMULATED_DEPREC","FQ3 2023","FQ3 2023","Currency=USD","Period=FQ","BEST_FPERIOD_OVERRIDE=FQ","FILING_STATUS=MR","SCALING_FORMAT=MLN","Sort=A","Dates=H","DateFormat=P","Fill=—","Direction=H","UseDPDF=Y")</f>
        <v>—</v>
      </c>
      <c r="W57" s="13">
        <f>_xll.BDH("NBIX US Equity","ARDR_ACCUMULATED_DEPREC","FQ4 2023","FQ4 2023","Currency=USD","Period=FQ","BEST_FPERIOD_OVERRIDE=FQ","FILING_STATUS=MR","SCALING_FORMAT=MLN","Sort=A","Dates=H","DateFormat=P","Fill=—","Direction=H","UseDPDF=Y")</f>
        <v>83</v>
      </c>
      <c r="X57" s="13" t="str">
        <f>_xll.BDH("NBIX US Equity","ARDR_ACCUMULATED_DEPREC","FQ1 2024","FQ1 2024","Currency=USD","Period=FQ","BEST_FPERIOD_OVERRIDE=FQ","FILING_STATUS=MR","SCALING_FORMAT=MLN","Sort=A","Dates=H","DateFormat=P","Fill=—","Direction=H","UseDPDF=Y")</f>
        <v>—</v>
      </c>
      <c r="Y57" s="13" t="str">
        <f>_xll.BDH("NBIX US Equity","ARDR_ACCUMULATED_DEPREC","FQ2 2024","FQ2 2024","Currency=USD","Period=FQ","BEST_FPERIOD_OVERRIDE=FQ","FILING_STATUS=MR","SCALING_FORMAT=MLN","Sort=A","Dates=H","DateFormat=P","Fill=—","Direction=H","UseDPDF=Y")</f>
        <v>—</v>
      </c>
      <c r="Z57" s="13" t="str">
        <f>_xll.BDH("NBIX US Equity","ARDR_ACCUMULATED_DEPREC","FQ3 2024","FQ3 2024","Currency=USD","Period=FQ","BEST_FPERIOD_OVERRIDE=FQ","FILING_STATUS=MR","SCALING_FORMAT=MLN","Sort=A","Dates=H","DateFormat=P","Fill=—","Direction=H","UseDPDF=Y")</f>
        <v>—</v>
      </c>
      <c r="AA57" s="13">
        <f>_xll.BDH("NBIX US Equity","ARDR_ACCUMULATED_DEPREC","FQ4 2024","FQ4 2024","Currency=USD","Period=FQ","BEST_FPERIOD_OVERRIDE=FQ","FILING_STATUS=MR","SCALING_FORMAT=MLN","Sort=A","Dates=H","DateFormat=P","Fill=—","Direction=H","UseDPDF=Y")</f>
        <v>106.5</v>
      </c>
    </row>
    <row r="58" spans="1:27" x14ac:dyDescent="0.25">
      <c r="A58" s="10" t="s">
        <v>830</v>
      </c>
      <c r="B58" s="10" t="s">
        <v>903</v>
      </c>
      <c r="C58" s="13">
        <f>_xll.BDH("NBIX US Equity","ARDR_PROPERTY_PLANT_EQUIP_NET","FQ4 2018","FQ4 2018","Currency=USD","Period=FQ","BEST_FPERIOD_OVERRIDE=FQ","FILING_STATUS=MR","SCALING_FORMAT=MLN","Sort=A","Dates=H","DateFormat=P","Fill=—","Direction=H","UseDPDF=Y")</f>
        <v>33.869</v>
      </c>
      <c r="D58" s="13" t="str">
        <f>_xll.BDH("NBIX US Equity","ARDR_PROPERTY_PLANT_EQUIP_NET","FQ1 2019","FQ1 2019","Currency=USD","Period=FQ","BEST_FPERIOD_OVERRIDE=FQ","FILING_STATUS=MR","SCALING_FORMAT=MLN","Sort=A","Dates=H","DateFormat=P","Fill=—","Direction=H","UseDPDF=Y")</f>
        <v>—</v>
      </c>
      <c r="E58" s="13" t="str">
        <f>_xll.BDH("NBIX US Equity","ARDR_PROPERTY_PLANT_EQUIP_NET","FQ2 2019","FQ2 2019","Currency=USD","Period=FQ","BEST_FPERIOD_OVERRIDE=FQ","FILING_STATUS=MR","SCALING_FORMAT=MLN","Sort=A","Dates=H","DateFormat=P","Fill=—","Direction=H","UseDPDF=Y")</f>
        <v>—</v>
      </c>
      <c r="F58" s="13" t="str">
        <f>_xll.BDH("NBIX US Equity","ARDR_PROPERTY_PLANT_EQUIP_NET","FQ3 2019","FQ3 2019","Currency=USD","Period=FQ","BEST_FPERIOD_OVERRIDE=FQ","FILING_STATUS=MR","SCALING_FORMAT=MLN","Sort=A","Dates=H","DateFormat=P","Fill=—","Direction=H","UseDPDF=Y")</f>
        <v>—</v>
      </c>
      <c r="G58" s="13">
        <f>_xll.BDH("NBIX US Equity","ARDR_PROPERTY_PLANT_EQUIP_NET","FQ4 2019","FQ4 2019","Currency=USD","Period=FQ","BEST_FPERIOD_OVERRIDE=FQ","FILING_STATUS=MR","SCALING_FORMAT=MLN","Sort=A","Dates=H","DateFormat=P","Fill=—","Direction=H","UseDPDF=Y")</f>
        <v>41.9</v>
      </c>
      <c r="H58" s="13" t="str">
        <f>_xll.BDH("NBIX US Equity","ARDR_PROPERTY_PLANT_EQUIP_NET","FQ1 2020","FQ1 2020","Currency=USD","Period=FQ","BEST_FPERIOD_OVERRIDE=FQ","FILING_STATUS=MR","SCALING_FORMAT=MLN","Sort=A","Dates=H","DateFormat=P","Fill=—","Direction=H","UseDPDF=Y")</f>
        <v>—</v>
      </c>
      <c r="I58" s="13" t="str">
        <f>_xll.BDH("NBIX US Equity","ARDR_PROPERTY_PLANT_EQUIP_NET","FQ2 2020","FQ2 2020","Currency=USD","Period=FQ","BEST_FPERIOD_OVERRIDE=FQ","FILING_STATUS=MR","SCALING_FORMAT=MLN","Sort=A","Dates=H","DateFormat=P","Fill=—","Direction=H","UseDPDF=Y")</f>
        <v>—</v>
      </c>
      <c r="J58" s="13" t="str">
        <f>_xll.BDH("NBIX US Equity","ARDR_PROPERTY_PLANT_EQUIP_NET","FQ3 2020","FQ3 2020","Currency=USD","Period=FQ","BEST_FPERIOD_OVERRIDE=FQ","FILING_STATUS=MR","SCALING_FORMAT=MLN","Sort=A","Dates=H","DateFormat=P","Fill=—","Direction=H","UseDPDF=Y")</f>
        <v>—</v>
      </c>
      <c r="K58" s="13">
        <f>_xll.BDH("NBIX US Equity","ARDR_PROPERTY_PLANT_EQUIP_NET","FQ4 2020","FQ4 2020","Currency=USD","Period=FQ","BEST_FPERIOD_OVERRIDE=FQ","FILING_STATUS=MR","SCALING_FORMAT=MLN","Sort=A","Dates=H","DateFormat=P","Fill=—","Direction=H","UseDPDF=Y")</f>
        <v>44.6</v>
      </c>
      <c r="L58" s="13" t="str">
        <f>_xll.BDH("NBIX US Equity","ARDR_PROPERTY_PLANT_EQUIP_NET","FQ1 2021","FQ1 2021","Currency=USD","Period=FQ","BEST_FPERIOD_OVERRIDE=FQ","FILING_STATUS=MR","SCALING_FORMAT=MLN","Sort=A","Dates=H","DateFormat=P","Fill=—","Direction=H","UseDPDF=Y")</f>
        <v>—</v>
      </c>
      <c r="M58" s="13" t="str">
        <f>_xll.BDH("NBIX US Equity","ARDR_PROPERTY_PLANT_EQUIP_NET","FQ2 2021","FQ2 2021","Currency=USD","Period=FQ","BEST_FPERIOD_OVERRIDE=FQ","FILING_STATUS=MR","SCALING_FORMAT=MLN","Sort=A","Dates=H","DateFormat=P","Fill=—","Direction=H","UseDPDF=Y")</f>
        <v>—</v>
      </c>
      <c r="N58" s="13" t="str">
        <f>_xll.BDH("NBIX US Equity","ARDR_PROPERTY_PLANT_EQUIP_NET","FQ3 2021","FQ3 2021","Currency=USD","Period=FQ","BEST_FPERIOD_OVERRIDE=FQ","FILING_STATUS=MR","SCALING_FORMAT=MLN","Sort=A","Dates=H","DateFormat=P","Fill=—","Direction=H","UseDPDF=Y")</f>
        <v>—</v>
      </c>
      <c r="O58" s="13">
        <f>_xll.BDH("NBIX US Equity","ARDR_PROPERTY_PLANT_EQUIP_NET","FQ4 2021","FQ4 2021","Currency=USD","Period=FQ","BEST_FPERIOD_OVERRIDE=FQ","FILING_STATUS=MR","SCALING_FORMAT=MLN","Sort=A","Dates=H","DateFormat=P","Fill=—","Direction=H","UseDPDF=Y")</f>
        <v>58.6</v>
      </c>
      <c r="P58" s="13" t="str">
        <f>_xll.BDH("NBIX US Equity","ARDR_PROPERTY_PLANT_EQUIP_NET","FQ1 2022","FQ1 2022","Currency=USD","Period=FQ","BEST_FPERIOD_OVERRIDE=FQ","FILING_STATUS=MR","SCALING_FORMAT=MLN","Sort=A","Dates=H","DateFormat=P","Fill=—","Direction=H","UseDPDF=Y")</f>
        <v>—</v>
      </c>
      <c r="Q58" s="13" t="str">
        <f>_xll.BDH("NBIX US Equity","ARDR_PROPERTY_PLANT_EQUIP_NET","FQ2 2022","FQ2 2022","Currency=USD","Period=FQ","BEST_FPERIOD_OVERRIDE=FQ","FILING_STATUS=MR","SCALING_FORMAT=MLN","Sort=A","Dates=H","DateFormat=P","Fill=—","Direction=H","UseDPDF=Y")</f>
        <v>—</v>
      </c>
      <c r="R58" s="13" t="str">
        <f>_xll.BDH("NBIX US Equity","ARDR_PROPERTY_PLANT_EQUIP_NET","FQ3 2022","FQ3 2022","Currency=USD","Period=FQ","BEST_FPERIOD_OVERRIDE=FQ","FILING_STATUS=MR","SCALING_FORMAT=MLN","Sort=A","Dates=H","DateFormat=P","Fill=—","Direction=H","UseDPDF=Y")</f>
        <v>—</v>
      </c>
      <c r="S58" s="13">
        <f>_xll.BDH("NBIX US Equity","ARDR_PROPERTY_PLANT_EQUIP_NET","FQ4 2022","FQ4 2022","Currency=USD","Period=FQ","BEST_FPERIOD_OVERRIDE=FQ","FILING_STATUS=MR","SCALING_FORMAT=MLN","Sort=A","Dates=H","DateFormat=P","Fill=—","Direction=H","UseDPDF=Y")</f>
        <v>58.6</v>
      </c>
      <c r="T58" s="13" t="str">
        <f>_xll.BDH("NBIX US Equity","ARDR_PROPERTY_PLANT_EQUIP_NET","FQ1 2023","FQ1 2023","Currency=USD","Period=FQ","BEST_FPERIOD_OVERRIDE=FQ","FILING_STATUS=MR","SCALING_FORMAT=MLN","Sort=A","Dates=H","DateFormat=P","Fill=—","Direction=H","UseDPDF=Y")</f>
        <v>—</v>
      </c>
      <c r="U58" s="13" t="str">
        <f>_xll.BDH("NBIX US Equity","ARDR_PROPERTY_PLANT_EQUIP_NET","FQ2 2023","FQ2 2023","Currency=USD","Period=FQ","BEST_FPERIOD_OVERRIDE=FQ","FILING_STATUS=MR","SCALING_FORMAT=MLN","Sort=A","Dates=H","DateFormat=P","Fill=—","Direction=H","UseDPDF=Y")</f>
        <v>—</v>
      </c>
      <c r="V58" s="13" t="str">
        <f>_xll.BDH("NBIX US Equity","ARDR_PROPERTY_PLANT_EQUIP_NET","FQ3 2023","FQ3 2023","Currency=USD","Period=FQ","BEST_FPERIOD_OVERRIDE=FQ","FILING_STATUS=MR","SCALING_FORMAT=MLN","Sort=A","Dates=H","DateFormat=P","Fill=—","Direction=H","UseDPDF=Y")</f>
        <v>—</v>
      </c>
      <c r="W58" s="13">
        <f>_xll.BDH("NBIX US Equity","ARDR_PROPERTY_PLANT_EQUIP_NET","FQ4 2023","FQ4 2023","Currency=USD","Period=FQ","BEST_FPERIOD_OVERRIDE=FQ","FILING_STATUS=MR","SCALING_FORMAT=MLN","Sort=A","Dates=H","DateFormat=P","Fill=—","Direction=H","UseDPDF=Y")</f>
        <v>70.8</v>
      </c>
      <c r="X58" s="13" t="str">
        <f>_xll.BDH("NBIX US Equity","ARDR_PROPERTY_PLANT_EQUIP_NET","FQ1 2024","FQ1 2024","Currency=USD","Period=FQ","BEST_FPERIOD_OVERRIDE=FQ","FILING_STATUS=MR","SCALING_FORMAT=MLN","Sort=A","Dates=H","DateFormat=P","Fill=—","Direction=H","UseDPDF=Y")</f>
        <v>—</v>
      </c>
      <c r="Y58" s="13" t="str">
        <f>_xll.BDH("NBIX US Equity","ARDR_PROPERTY_PLANT_EQUIP_NET","FQ2 2024","FQ2 2024","Currency=USD","Period=FQ","BEST_FPERIOD_OVERRIDE=FQ","FILING_STATUS=MR","SCALING_FORMAT=MLN","Sort=A","Dates=H","DateFormat=P","Fill=—","Direction=H","UseDPDF=Y")</f>
        <v>—</v>
      </c>
      <c r="Z58" s="13" t="str">
        <f>_xll.BDH("NBIX US Equity","ARDR_PROPERTY_PLANT_EQUIP_NET","FQ3 2024","FQ3 2024","Currency=USD","Period=FQ","BEST_FPERIOD_OVERRIDE=FQ","FILING_STATUS=MR","SCALING_FORMAT=MLN","Sort=A","Dates=H","DateFormat=P","Fill=—","Direction=H","UseDPDF=Y")</f>
        <v>—</v>
      </c>
      <c r="AA58" s="13">
        <f>_xll.BDH("NBIX US Equity","ARDR_PROPERTY_PLANT_EQUIP_NET","FQ4 2024","FQ4 2024","Currency=USD","Period=FQ","BEST_FPERIOD_OVERRIDE=FQ","FILING_STATUS=MR","SCALING_FORMAT=MLN","Sort=A","Dates=H","DateFormat=P","Fill=—","Direction=H","UseDPDF=Y")</f>
        <v>82.6</v>
      </c>
    </row>
    <row r="59" spans="1:27" x14ac:dyDescent="0.25">
      <c r="A59" s="10" t="s">
        <v>904</v>
      </c>
      <c r="B59" s="10" t="s">
        <v>905</v>
      </c>
      <c r="C59" s="13">
        <f>_xll.BDH("NBIX US Equity","ARDR_DEFERRED_INC_TAX_ASSET_LT","FQ4 2018","FQ4 2018","Currency=USD","Period=FQ","BEST_FPERIOD_OVERRIDE=FQ","FILING_STATUS=MR","SCALING_FORMAT=MLN","Sort=A","Dates=H","DateFormat=P","Fill=—","Direction=H","UseDPDF=Y")</f>
        <v>366.7</v>
      </c>
      <c r="D59" s="13" t="str">
        <f>_xll.BDH("NBIX US Equity","ARDR_DEFERRED_INC_TAX_ASSET_LT","FQ1 2019","FQ1 2019","Currency=USD","Period=FQ","BEST_FPERIOD_OVERRIDE=FQ","FILING_STATUS=MR","SCALING_FORMAT=MLN","Sort=A","Dates=H","DateFormat=P","Fill=—","Direction=H","UseDPDF=Y")</f>
        <v>—</v>
      </c>
      <c r="E59" s="13" t="str">
        <f>_xll.BDH("NBIX US Equity","ARDR_DEFERRED_INC_TAX_ASSET_LT","FQ2 2019","FQ2 2019","Currency=USD","Period=FQ","BEST_FPERIOD_OVERRIDE=FQ","FILING_STATUS=MR","SCALING_FORMAT=MLN","Sort=A","Dates=H","DateFormat=P","Fill=—","Direction=H","UseDPDF=Y")</f>
        <v>—</v>
      </c>
      <c r="F59" s="13" t="str">
        <f>_xll.BDH("NBIX US Equity","ARDR_DEFERRED_INC_TAX_ASSET_LT","FQ3 2019","FQ3 2019","Currency=USD","Period=FQ","BEST_FPERIOD_OVERRIDE=FQ","FILING_STATUS=MR","SCALING_FORMAT=MLN","Sort=A","Dates=H","DateFormat=P","Fill=—","Direction=H","UseDPDF=Y")</f>
        <v>—</v>
      </c>
      <c r="G59" s="13">
        <f>_xll.BDH("NBIX US Equity","ARDR_DEFERRED_INC_TAX_ASSET_LT","FQ4 2019","FQ4 2019","Currency=USD","Period=FQ","BEST_FPERIOD_OVERRIDE=FQ","FILING_STATUS=MR","SCALING_FORMAT=MLN","Sort=A","Dates=H","DateFormat=P","Fill=—","Direction=H","UseDPDF=Y")</f>
        <v>395.2</v>
      </c>
      <c r="H59" s="13" t="str">
        <f>_xll.BDH("NBIX US Equity","ARDR_DEFERRED_INC_TAX_ASSET_LT","FQ1 2020","FQ1 2020","Currency=USD","Period=FQ","BEST_FPERIOD_OVERRIDE=FQ","FILING_STATUS=MR","SCALING_FORMAT=MLN","Sort=A","Dates=H","DateFormat=P","Fill=—","Direction=H","UseDPDF=Y")</f>
        <v>—</v>
      </c>
      <c r="I59" s="13" t="str">
        <f>_xll.BDH("NBIX US Equity","ARDR_DEFERRED_INC_TAX_ASSET_LT","FQ2 2020","FQ2 2020","Currency=USD","Period=FQ","BEST_FPERIOD_OVERRIDE=FQ","FILING_STATUS=MR","SCALING_FORMAT=MLN","Sort=A","Dates=H","DateFormat=P","Fill=—","Direction=H","UseDPDF=Y")</f>
        <v>—</v>
      </c>
      <c r="J59" s="13" t="str">
        <f>_xll.BDH("NBIX US Equity","ARDR_DEFERRED_INC_TAX_ASSET_LT","FQ3 2020","FQ3 2020","Currency=USD","Period=FQ","BEST_FPERIOD_OVERRIDE=FQ","FILING_STATUS=MR","SCALING_FORMAT=MLN","Sort=A","Dates=H","DateFormat=P","Fill=—","Direction=H","UseDPDF=Y")</f>
        <v>—</v>
      </c>
      <c r="K59" s="13">
        <f>_xll.BDH("NBIX US Equity","ARDR_DEFERRED_INC_TAX_ASSET_LT","FQ4 2020","FQ4 2020","Currency=USD","Period=FQ","BEST_FPERIOD_OVERRIDE=FQ","FILING_STATUS=MR","SCALING_FORMAT=MLN","Sort=A","Dates=H","DateFormat=P","Fill=—","Direction=H","UseDPDF=Y")</f>
        <v>411.3</v>
      </c>
      <c r="L59" s="13" t="str">
        <f>_xll.BDH("NBIX US Equity","ARDR_DEFERRED_INC_TAX_ASSET_LT","FQ1 2021","FQ1 2021","Currency=USD","Period=FQ","BEST_FPERIOD_OVERRIDE=FQ","FILING_STATUS=MR","SCALING_FORMAT=MLN","Sort=A","Dates=H","DateFormat=P","Fill=—","Direction=H","UseDPDF=Y")</f>
        <v>—</v>
      </c>
      <c r="M59" s="13" t="str">
        <f>_xll.BDH("NBIX US Equity","ARDR_DEFERRED_INC_TAX_ASSET_LT","FQ2 2021","FQ2 2021","Currency=USD","Period=FQ","BEST_FPERIOD_OVERRIDE=FQ","FILING_STATUS=MR","SCALING_FORMAT=MLN","Sort=A","Dates=H","DateFormat=P","Fill=—","Direction=H","UseDPDF=Y")</f>
        <v>—</v>
      </c>
      <c r="N59" s="13" t="str">
        <f>_xll.BDH("NBIX US Equity","ARDR_DEFERRED_INC_TAX_ASSET_LT","FQ3 2021","FQ3 2021","Currency=USD","Period=FQ","BEST_FPERIOD_OVERRIDE=FQ","FILING_STATUS=MR","SCALING_FORMAT=MLN","Sort=A","Dates=H","DateFormat=P","Fill=—","Direction=H","UseDPDF=Y")</f>
        <v>—</v>
      </c>
      <c r="O59" s="13">
        <f>_xll.BDH("NBIX US Equity","ARDR_DEFERRED_INC_TAX_ASSET_LT","FQ4 2021","FQ4 2021","Currency=USD","Period=FQ","BEST_FPERIOD_OVERRIDE=FQ","FILING_STATUS=MR","SCALING_FORMAT=MLN","Sort=A","Dates=H","DateFormat=P","Fill=—","Direction=H","UseDPDF=Y")</f>
        <v>413.8</v>
      </c>
      <c r="P59" s="13" t="str">
        <f>_xll.BDH("NBIX US Equity","ARDR_DEFERRED_INC_TAX_ASSET_LT","FQ1 2022","FQ1 2022","Currency=USD","Period=FQ","BEST_FPERIOD_OVERRIDE=FQ","FILING_STATUS=MR","SCALING_FORMAT=MLN","Sort=A","Dates=H","DateFormat=P","Fill=—","Direction=H","UseDPDF=Y")</f>
        <v>—</v>
      </c>
      <c r="Q59" s="13" t="str">
        <f>_xll.BDH("NBIX US Equity","ARDR_DEFERRED_INC_TAX_ASSET_LT","FQ2 2022","FQ2 2022","Currency=USD","Period=FQ","BEST_FPERIOD_OVERRIDE=FQ","FILING_STATUS=MR","SCALING_FORMAT=MLN","Sort=A","Dates=H","DateFormat=P","Fill=—","Direction=H","UseDPDF=Y")</f>
        <v>—</v>
      </c>
      <c r="R59" s="13" t="str">
        <f>_xll.BDH("NBIX US Equity","ARDR_DEFERRED_INC_TAX_ASSET_LT","FQ3 2022","FQ3 2022","Currency=USD","Period=FQ","BEST_FPERIOD_OVERRIDE=FQ","FILING_STATUS=MR","SCALING_FORMAT=MLN","Sort=A","Dates=H","DateFormat=P","Fill=—","Direction=H","UseDPDF=Y")</f>
        <v>—</v>
      </c>
      <c r="S59" s="13">
        <f>_xll.BDH("NBIX US Equity","ARDR_DEFERRED_INC_TAX_ASSET_LT","FQ4 2022","FQ4 2022","Currency=USD","Period=FQ","BEST_FPERIOD_OVERRIDE=FQ","FILING_STATUS=MR","SCALING_FORMAT=MLN","Sort=A","Dates=H","DateFormat=P","Fill=—","Direction=H","UseDPDF=Y")</f>
        <v>405.7</v>
      </c>
      <c r="T59" s="13">
        <f>_xll.BDH("NBIX US Equity","ARDR_DEFERRED_INC_TAX_ASSET_LT","FQ1 2023","FQ1 2023","Currency=USD","Period=FQ","BEST_FPERIOD_OVERRIDE=FQ","FILING_STATUS=MR","SCALING_FORMAT=MLN","Sort=A","Dates=H","DateFormat=P","Fill=—","Direction=H","UseDPDF=Y")</f>
        <v>337.4</v>
      </c>
      <c r="U59" s="13" t="str">
        <f>_xll.BDH("NBIX US Equity","ARDR_DEFERRED_INC_TAX_ASSET_LT","FQ2 2023","FQ2 2023","Currency=USD","Period=FQ","BEST_FPERIOD_OVERRIDE=FQ","FILING_STATUS=MR","SCALING_FORMAT=MLN","Sort=A","Dates=H","DateFormat=P","Fill=—","Direction=H","UseDPDF=Y")</f>
        <v>—</v>
      </c>
      <c r="V59" s="13">
        <f>_xll.BDH("NBIX US Equity","ARDR_DEFERRED_INC_TAX_ASSET_LT","FQ3 2023","FQ3 2023","Currency=USD","Period=FQ","BEST_FPERIOD_OVERRIDE=FQ","FILING_STATUS=MR","SCALING_FORMAT=MLN","Sort=A","Dates=H","DateFormat=P","Fill=—","Direction=H","UseDPDF=Y")</f>
        <v>383.2</v>
      </c>
      <c r="W59" s="13">
        <f>_xll.BDH("NBIX US Equity","ARDR_DEFERRED_INC_TAX_ASSET_LT","FQ4 2023","FQ4 2023","Currency=USD","Period=FQ","BEST_FPERIOD_OVERRIDE=FQ","FILING_STATUS=MR","SCALING_FORMAT=MLN","Sort=A","Dates=H","DateFormat=P","Fill=—","Direction=H","UseDPDF=Y")</f>
        <v>530.1</v>
      </c>
      <c r="X59" s="13">
        <f>_xll.BDH("NBIX US Equity","ARDR_DEFERRED_INC_TAX_ASSET_LT","FQ1 2024","FQ1 2024","Currency=USD","Period=FQ","BEST_FPERIOD_OVERRIDE=FQ","FILING_STATUS=MR","SCALING_FORMAT=MLN","Sort=A","Dates=H","DateFormat=P","Fill=—","Direction=H","UseDPDF=Y")</f>
        <v>378.2</v>
      </c>
      <c r="Y59" s="13">
        <f>_xll.BDH("NBIX US Equity","ARDR_DEFERRED_INC_TAX_ASSET_LT","FQ2 2024","FQ2 2024","Currency=USD","Period=FQ","BEST_FPERIOD_OVERRIDE=FQ","FILING_STATUS=MR","SCALING_FORMAT=MLN","Sort=A","Dates=H","DateFormat=P","Fill=—","Direction=H","UseDPDF=Y")</f>
        <v>419.5</v>
      </c>
      <c r="Z59" s="13">
        <f>_xll.BDH("NBIX US Equity","ARDR_DEFERRED_INC_TAX_ASSET_LT","FQ3 2024","FQ3 2024","Currency=USD","Period=FQ","BEST_FPERIOD_OVERRIDE=FQ","FILING_STATUS=MR","SCALING_FORMAT=MLN","Sort=A","Dates=H","DateFormat=P","Fill=—","Direction=H","UseDPDF=Y")</f>
        <v>454.4</v>
      </c>
      <c r="AA59" s="13">
        <f>_xll.BDH("NBIX US Equity","ARDR_DEFERRED_INC_TAX_ASSET_LT","FQ4 2024","FQ4 2024","Currency=USD","Period=FQ","BEST_FPERIOD_OVERRIDE=FQ","FILING_STATUS=MR","SCALING_FORMAT=MLN","Sort=A","Dates=H","DateFormat=P","Fill=—","Direction=H","UseDPDF=Y")</f>
        <v>726.2</v>
      </c>
    </row>
    <row r="60" spans="1:27" x14ac:dyDescent="0.25">
      <c r="A60" s="10" t="s">
        <v>834</v>
      </c>
      <c r="B60" s="10" t="s">
        <v>906</v>
      </c>
      <c r="C60" s="13" t="str">
        <f>_xll.BDH("NBIX US Equity","ARDR_TOTAL_INTANGIBLE_ASSET_NET","FQ4 2018","FQ4 2018","Currency=USD","Period=FQ","BEST_FPERIOD_OVERRIDE=FQ","FILING_STATUS=MR","SCALING_FORMAT=MLN","Sort=A","Dates=H","DateFormat=P","Fill=—","Direction=H","UseDPDF=Y")</f>
        <v>—</v>
      </c>
      <c r="D60" s="13" t="str">
        <f>_xll.BDH("NBIX US Equity","ARDR_TOTAL_INTANGIBLE_ASSET_NET","FQ1 2019","FQ1 2019","Currency=USD","Period=FQ","BEST_FPERIOD_OVERRIDE=FQ","FILING_STATUS=MR","SCALING_FORMAT=MLN","Sort=A","Dates=H","DateFormat=P","Fill=—","Direction=H","UseDPDF=Y")</f>
        <v>—</v>
      </c>
      <c r="E60" s="13" t="str">
        <f>_xll.BDH("NBIX US Equity","ARDR_TOTAL_INTANGIBLE_ASSET_NET","FQ2 2019","FQ2 2019","Currency=USD","Period=FQ","BEST_FPERIOD_OVERRIDE=FQ","FILING_STATUS=MR","SCALING_FORMAT=MLN","Sort=A","Dates=H","DateFormat=P","Fill=—","Direction=H","UseDPDF=Y")</f>
        <v>—</v>
      </c>
      <c r="F60" s="13" t="str">
        <f>_xll.BDH("NBIX US Equity","ARDR_TOTAL_INTANGIBLE_ASSET_NET","FQ3 2019","FQ3 2019","Currency=USD","Period=FQ","BEST_FPERIOD_OVERRIDE=FQ","FILING_STATUS=MR","SCALING_FORMAT=MLN","Sort=A","Dates=H","DateFormat=P","Fill=—","Direction=H","UseDPDF=Y")</f>
        <v>—</v>
      </c>
      <c r="G60" s="13" t="str">
        <f>_xll.BDH("NBIX US Equity","ARDR_TOTAL_INTANGIBLE_ASSET_NET","FQ4 2019","FQ4 2019","Currency=USD","Period=FQ","BEST_FPERIOD_OVERRIDE=FQ","FILING_STATUS=MR","SCALING_FORMAT=MLN","Sort=A","Dates=H","DateFormat=P","Fill=—","Direction=H","UseDPDF=Y")</f>
        <v>—</v>
      </c>
      <c r="H60" s="13" t="str">
        <f>_xll.BDH("NBIX US Equity","ARDR_TOTAL_INTANGIBLE_ASSET_NET","FQ1 2020","FQ1 2020","Currency=USD","Period=FQ","BEST_FPERIOD_OVERRIDE=FQ","FILING_STATUS=MR","SCALING_FORMAT=MLN","Sort=A","Dates=H","DateFormat=P","Fill=—","Direction=H","UseDPDF=Y")</f>
        <v>—</v>
      </c>
      <c r="I60" s="13" t="str">
        <f>_xll.BDH("NBIX US Equity","ARDR_TOTAL_INTANGIBLE_ASSET_NET","FQ2 2020","FQ2 2020","Currency=USD","Period=FQ","BEST_FPERIOD_OVERRIDE=FQ","FILING_STATUS=MR","SCALING_FORMAT=MLN","Sort=A","Dates=H","DateFormat=P","Fill=—","Direction=H","UseDPDF=Y")</f>
        <v>—</v>
      </c>
      <c r="J60" s="13" t="str">
        <f>_xll.BDH("NBIX US Equity","ARDR_TOTAL_INTANGIBLE_ASSET_NET","FQ3 2020","FQ3 2020","Currency=USD","Period=FQ","BEST_FPERIOD_OVERRIDE=FQ","FILING_STATUS=MR","SCALING_FORMAT=MLN","Sort=A","Dates=H","DateFormat=P","Fill=—","Direction=H","UseDPDF=Y")</f>
        <v>—</v>
      </c>
      <c r="K60" s="13" t="str">
        <f>_xll.BDH("NBIX US Equity","ARDR_TOTAL_INTANGIBLE_ASSET_NET","FQ4 2020","FQ4 2020","Currency=USD","Period=FQ","BEST_FPERIOD_OVERRIDE=FQ","FILING_STATUS=MR","SCALING_FORMAT=MLN","Sort=A","Dates=H","DateFormat=P","Fill=—","Direction=H","UseDPDF=Y")</f>
        <v>—</v>
      </c>
      <c r="L60" s="13" t="str">
        <f>_xll.BDH("NBIX US Equity","ARDR_TOTAL_INTANGIBLE_ASSET_NET","FQ1 2021","FQ1 2021","Currency=USD","Period=FQ","BEST_FPERIOD_OVERRIDE=FQ","FILING_STATUS=MR","SCALING_FORMAT=MLN","Sort=A","Dates=H","DateFormat=P","Fill=—","Direction=H","UseDPDF=Y")</f>
        <v>—</v>
      </c>
      <c r="M60" s="13" t="str">
        <f>_xll.BDH("NBIX US Equity","ARDR_TOTAL_INTANGIBLE_ASSET_NET","FQ2 2021","FQ2 2021","Currency=USD","Period=FQ","BEST_FPERIOD_OVERRIDE=FQ","FILING_STATUS=MR","SCALING_FORMAT=MLN","Sort=A","Dates=H","DateFormat=P","Fill=—","Direction=H","UseDPDF=Y")</f>
        <v>—</v>
      </c>
      <c r="N60" s="13" t="str">
        <f>_xll.BDH("NBIX US Equity","ARDR_TOTAL_INTANGIBLE_ASSET_NET","FQ3 2021","FQ3 2021","Currency=USD","Period=FQ","BEST_FPERIOD_OVERRIDE=FQ","FILING_STATUS=MR","SCALING_FORMAT=MLN","Sort=A","Dates=H","DateFormat=P","Fill=—","Direction=H","UseDPDF=Y")</f>
        <v>—</v>
      </c>
      <c r="O60" s="13" t="str">
        <f>_xll.BDH("NBIX US Equity","ARDR_TOTAL_INTANGIBLE_ASSET_NET","FQ4 2021","FQ4 2021","Currency=USD","Period=FQ","BEST_FPERIOD_OVERRIDE=FQ","FILING_STATUS=MR","SCALING_FORMAT=MLN","Sort=A","Dates=H","DateFormat=P","Fill=—","Direction=H","UseDPDF=Y")</f>
        <v>—</v>
      </c>
      <c r="P60" s="13" t="str">
        <f>_xll.BDH("NBIX US Equity","ARDR_TOTAL_INTANGIBLE_ASSET_NET","FQ1 2022","FQ1 2022","Currency=USD","Period=FQ","BEST_FPERIOD_OVERRIDE=FQ","FILING_STATUS=MR","SCALING_FORMAT=MLN","Sort=A","Dates=H","DateFormat=P","Fill=—","Direction=H","UseDPDF=Y")</f>
        <v>—</v>
      </c>
      <c r="Q60" s="13" t="str">
        <f>_xll.BDH("NBIX US Equity","ARDR_TOTAL_INTANGIBLE_ASSET_NET","FQ2 2022","FQ2 2022","Currency=USD","Period=FQ","BEST_FPERIOD_OVERRIDE=FQ","FILING_STATUS=MR","SCALING_FORMAT=MLN","Sort=A","Dates=H","DateFormat=P","Fill=—","Direction=H","UseDPDF=Y")</f>
        <v>—</v>
      </c>
      <c r="R60" s="13" t="str">
        <f>_xll.BDH("NBIX US Equity","ARDR_TOTAL_INTANGIBLE_ASSET_NET","FQ3 2022","FQ3 2022","Currency=USD","Period=FQ","BEST_FPERIOD_OVERRIDE=FQ","FILING_STATUS=MR","SCALING_FORMAT=MLN","Sort=A","Dates=H","DateFormat=P","Fill=—","Direction=H","UseDPDF=Y")</f>
        <v>—</v>
      </c>
      <c r="S60" s="13" t="str">
        <f>_xll.BDH("NBIX US Equity","ARDR_TOTAL_INTANGIBLE_ASSET_NET","FQ4 2022","FQ4 2022","Currency=USD","Period=FQ","BEST_FPERIOD_OVERRIDE=FQ","FILING_STATUS=MR","SCALING_FORMAT=MLN","Sort=A","Dates=H","DateFormat=P","Fill=—","Direction=H","UseDPDF=Y")</f>
        <v>—</v>
      </c>
      <c r="T60" s="13" t="str">
        <f>_xll.BDH("NBIX US Equity","ARDR_TOTAL_INTANGIBLE_ASSET_NET","FQ1 2023","FQ1 2023","Currency=USD","Period=FQ","BEST_FPERIOD_OVERRIDE=FQ","FILING_STATUS=MR","SCALING_FORMAT=MLN","Sort=A","Dates=H","DateFormat=P","Fill=—","Direction=H","UseDPDF=Y")</f>
        <v>—</v>
      </c>
      <c r="U60" s="13">
        <f>_xll.BDH("NBIX US Equity","ARDR_TOTAL_INTANGIBLE_ASSET_NET","FQ2 2023","FQ2 2023","Currency=USD","Period=FQ","BEST_FPERIOD_OVERRIDE=FQ","FILING_STATUS=MR","SCALING_FORMAT=MLN","Sort=A","Dates=H","DateFormat=P","Fill=—","Direction=H","UseDPDF=Y")</f>
        <v>36.9</v>
      </c>
      <c r="V60" s="13">
        <f>_xll.BDH("NBIX US Equity","ARDR_TOTAL_INTANGIBLE_ASSET_NET","FQ3 2023","FQ3 2023","Currency=USD","Period=FQ","BEST_FPERIOD_OVERRIDE=FQ","FILING_STATUS=MR","SCALING_FORMAT=MLN","Sort=A","Dates=H","DateFormat=P","Fill=—","Direction=H","UseDPDF=Y")</f>
        <v>34.9</v>
      </c>
      <c r="W60" s="13" t="str">
        <f>_xll.BDH("NBIX US Equity","ARDR_TOTAL_INTANGIBLE_ASSET_NET","FQ4 2023","FQ4 2023","Currency=USD","Period=FQ","BEST_FPERIOD_OVERRIDE=FQ","FILING_STATUS=MR","SCALING_FORMAT=MLN","Sort=A","Dates=H","DateFormat=P","Fill=—","Direction=H","UseDPDF=Y")</f>
        <v>—</v>
      </c>
      <c r="X60" s="13" t="str">
        <f>_xll.BDH("NBIX US Equity","ARDR_TOTAL_INTANGIBLE_ASSET_NET","FQ1 2024","FQ1 2024","Currency=USD","Period=FQ","BEST_FPERIOD_OVERRIDE=FQ","FILING_STATUS=MR","SCALING_FORMAT=MLN","Sort=A","Dates=H","DateFormat=P","Fill=—","Direction=H","UseDPDF=Y")</f>
        <v>—</v>
      </c>
      <c r="Y60" s="13">
        <f>_xll.BDH("NBIX US Equity","ARDR_TOTAL_INTANGIBLE_ASSET_NET","FQ2 2024","FQ2 2024","Currency=USD","Period=FQ","BEST_FPERIOD_OVERRIDE=FQ","FILING_STATUS=MR","SCALING_FORMAT=MLN","Sort=A","Dates=H","DateFormat=P","Fill=—","Direction=H","UseDPDF=Y")</f>
        <v>33.5</v>
      </c>
      <c r="Z60" s="13">
        <f>_xll.BDH("NBIX US Equity","ARDR_TOTAL_INTANGIBLE_ASSET_NET","FQ3 2024","FQ3 2024","Currency=USD","Period=FQ","BEST_FPERIOD_OVERRIDE=FQ","FILING_STATUS=MR","SCALING_FORMAT=MLN","Sort=A","Dates=H","DateFormat=P","Fill=—","Direction=H","UseDPDF=Y")</f>
        <v>34.5</v>
      </c>
      <c r="AA60" s="13">
        <f>_xll.BDH("NBIX US Equity","ARDR_TOTAL_INTANGIBLE_ASSET_NET","FQ4 2024","FQ4 2024","Currency=USD","Period=FQ","BEST_FPERIOD_OVERRIDE=FQ","FILING_STATUS=MR","SCALING_FORMAT=MLN","Sort=A","Dates=H","DateFormat=P","Fill=—","Direction=H","UseDPDF=Y")</f>
        <v>36.5</v>
      </c>
    </row>
    <row r="61" spans="1:27" x14ac:dyDescent="0.25">
      <c r="A61" s="10" t="s">
        <v>907</v>
      </c>
      <c r="B61" s="10" t="s">
        <v>908</v>
      </c>
      <c r="C61" s="13" t="str">
        <f>_xll.BDH("NBIX US Equity","ARDR_OTHER_INTANGIBLE_ASSET","FQ4 2018","FQ4 2018","Currency=USD","Period=FQ","BEST_FPERIOD_OVERRIDE=FQ","FILING_STATUS=MR","SCALING_FORMAT=MLN","Sort=A","Dates=H","DateFormat=P","Fill=—","Direction=H","UseDPDF=Y")</f>
        <v>—</v>
      </c>
      <c r="D61" s="13" t="str">
        <f>_xll.BDH("NBIX US Equity","ARDR_OTHER_INTANGIBLE_ASSET","FQ1 2019","FQ1 2019","Currency=USD","Period=FQ","BEST_FPERIOD_OVERRIDE=FQ","FILING_STATUS=MR","SCALING_FORMAT=MLN","Sort=A","Dates=H","DateFormat=P","Fill=—","Direction=H","UseDPDF=Y")</f>
        <v>—</v>
      </c>
      <c r="E61" s="13" t="str">
        <f>_xll.BDH("NBIX US Equity","ARDR_OTHER_INTANGIBLE_ASSET","FQ2 2019","FQ2 2019","Currency=USD","Period=FQ","BEST_FPERIOD_OVERRIDE=FQ","FILING_STATUS=MR","SCALING_FORMAT=MLN","Sort=A","Dates=H","DateFormat=P","Fill=—","Direction=H","UseDPDF=Y")</f>
        <v>—</v>
      </c>
      <c r="F61" s="13" t="str">
        <f>_xll.BDH("NBIX US Equity","ARDR_OTHER_INTANGIBLE_ASSET","FQ3 2019","FQ3 2019","Currency=USD","Period=FQ","BEST_FPERIOD_OVERRIDE=FQ","FILING_STATUS=MR","SCALING_FORMAT=MLN","Sort=A","Dates=H","DateFormat=P","Fill=—","Direction=H","UseDPDF=Y")</f>
        <v>—</v>
      </c>
      <c r="G61" s="13" t="str">
        <f>_xll.BDH("NBIX US Equity","ARDR_OTHER_INTANGIBLE_ASSET","FQ4 2019","FQ4 2019","Currency=USD","Period=FQ","BEST_FPERIOD_OVERRIDE=FQ","FILING_STATUS=MR","SCALING_FORMAT=MLN","Sort=A","Dates=H","DateFormat=P","Fill=—","Direction=H","UseDPDF=Y")</f>
        <v>—</v>
      </c>
      <c r="H61" s="13" t="str">
        <f>_xll.BDH("NBIX US Equity","ARDR_OTHER_INTANGIBLE_ASSET","FQ1 2020","FQ1 2020","Currency=USD","Period=FQ","BEST_FPERIOD_OVERRIDE=FQ","FILING_STATUS=MR","SCALING_FORMAT=MLN","Sort=A","Dates=H","DateFormat=P","Fill=—","Direction=H","UseDPDF=Y")</f>
        <v>—</v>
      </c>
      <c r="I61" s="13" t="str">
        <f>_xll.BDH("NBIX US Equity","ARDR_OTHER_INTANGIBLE_ASSET","FQ2 2020","FQ2 2020","Currency=USD","Period=FQ","BEST_FPERIOD_OVERRIDE=FQ","FILING_STATUS=MR","SCALING_FORMAT=MLN","Sort=A","Dates=H","DateFormat=P","Fill=—","Direction=H","UseDPDF=Y")</f>
        <v>—</v>
      </c>
      <c r="J61" s="13" t="str">
        <f>_xll.BDH("NBIX US Equity","ARDR_OTHER_INTANGIBLE_ASSET","FQ3 2020","FQ3 2020","Currency=USD","Period=FQ","BEST_FPERIOD_OVERRIDE=FQ","FILING_STATUS=MR","SCALING_FORMAT=MLN","Sort=A","Dates=H","DateFormat=P","Fill=—","Direction=H","UseDPDF=Y")</f>
        <v>—</v>
      </c>
      <c r="K61" s="13" t="str">
        <f>_xll.BDH("NBIX US Equity","ARDR_OTHER_INTANGIBLE_ASSET","FQ4 2020","FQ4 2020","Currency=USD","Period=FQ","BEST_FPERIOD_OVERRIDE=FQ","FILING_STATUS=MR","SCALING_FORMAT=MLN","Sort=A","Dates=H","DateFormat=P","Fill=—","Direction=H","UseDPDF=Y")</f>
        <v>—</v>
      </c>
      <c r="L61" s="13" t="str">
        <f>_xll.BDH("NBIX US Equity","ARDR_OTHER_INTANGIBLE_ASSET","FQ1 2021","FQ1 2021","Currency=USD","Period=FQ","BEST_FPERIOD_OVERRIDE=FQ","FILING_STATUS=MR","SCALING_FORMAT=MLN","Sort=A","Dates=H","DateFormat=P","Fill=—","Direction=H","UseDPDF=Y")</f>
        <v>—</v>
      </c>
      <c r="M61" s="13" t="str">
        <f>_xll.BDH("NBIX US Equity","ARDR_OTHER_INTANGIBLE_ASSET","FQ2 2021","FQ2 2021","Currency=USD","Period=FQ","BEST_FPERIOD_OVERRIDE=FQ","FILING_STATUS=MR","SCALING_FORMAT=MLN","Sort=A","Dates=H","DateFormat=P","Fill=—","Direction=H","UseDPDF=Y")</f>
        <v>—</v>
      </c>
      <c r="N61" s="13" t="str">
        <f>_xll.BDH("NBIX US Equity","ARDR_OTHER_INTANGIBLE_ASSET","FQ3 2021","FQ3 2021","Currency=USD","Period=FQ","BEST_FPERIOD_OVERRIDE=FQ","FILING_STATUS=MR","SCALING_FORMAT=MLN","Sort=A","Dates=H","DateFormat=P","Fill=—","Direction=H","UseDPDF=Y")</f>
        <v>—</v>
      </c>
      <c r="O61" s="13" t="str">
        <f>_xll.BDH("NBIX US Equity","ARDR_OTHER_INTANGIBLE_ASSET","FQ4 2021","FQ4 2021","Currency=USD","Period=FQ","BEST_FPERIOD_OVERRIDE=FQ","FILING_STATUS=MR","SCALING_FORMAT=MLN","Sort=A","Dates=H","DateFormat=P","Fill=—","Direction=H","UseDPDF=Y")</f>
        <v>—</v>
      </c>
      <c r="P61" s="13" t="str">
        <f>_xll.BDH("NBIX US Equity","ARDR_OTHER_INTANGIBLE_ASSET","FQ1 2022","FQ1 2022","Currency=USD","Period=FQ","BEST_FPERIOD_OVERRIDE=FQ","FILING_STATUS=MR","SCALING_FORMAT=MLN","Sort=A","Dates=H","DateFormat=P","Fill=—","Direction=H","UseDPDF=Y")</f>
        <v>—</v>
      </c>
      <c r="Q61" s="13" t="str">
        <f>_xll.BDH("NBIX US Equity","ARDR_OTHER_INTANGIBLE_ASSET","FQ2 2022","FQ2 2022","Currency=USD","Period=FQ","BEST_FPERIOD_OVERRIDE=FQ","FILING_STATUS=MR","SCALING_FORMAT=MLN","Sort=A","Dates=H","DateFormat=P","Fill=—","Direction=H","UseDPDF=Y")</f>
        <v>—</v>
      </c>
      <c r="R61" s="13" t="str">
        <f>_xll.BDH("NBIX US Equity","ARDR_OTHER_INTANGIBLE_ASSET","FQ3 2022","FQ3 2022","Currency=USD","Period=FQ","BEST_FPERIOD_OVERRIDE=FQ","FILING_STATUS=MR","SCALING_FORMAT=MLN","Sort=A","Dates=H","DateFormat=P","Fill=—","Direction=H","UseDPDF=Y")</f>
        <v>—</v>
      </c>
      <c r="S61" s="13" t="str">
        <f>_xll.BDH("NBIX US Equity","ARDR_OTHER_INTANGIBLE_ASSET","FQ4 2022","FQ4 2022","Currency=USD","Period=FQ","BEST_FPERIOD_OVERRIDE=FQ","FILING_STATUS=MR","SCALING_FORMAT=MLN","Sort=A","Dates=H","DateFormat=P","Fill=—","Direction=H","UseDPDF=Y")</f>
        <v>—</v>
      </c>
      <c r="T61" s="13" t="str">
        <f>_xll.BDH("NBIX US Equity","ARDR_OTHER_INTANGIBLE_ASSET","FQ1 2023","FQ1 2023","Currency=USD","Period=FQ","BEST_FPERIOD_OVERRIDE=FQ","FILING_STATUS=MR","SCALING_FORMAT=MLN","Sort=A","Dates=H","DateFormat=P","Fill=—","Direction=H","UseDPDF=Y")</f>
        <v>—</v>
      </c>
      <c r="U61" s="13">
        <f>_xll.BDH("NBIX US Equity","ARDR_OTHER_INTANGIBLE_ASSET","FQ2 2023","FQ2 2023","Currency=USD","Period=FQ","BEST_FPERIOD_OVERRIDE=FQ","FILING_STATUS=MR","SCALING_FORMAT=MLN","Sort=A","Dates=H","DateFormat=P","Fill=—","Direction=H","UseDPDF=Y")</f>
        <v>36.9</v>
      </c>
      <c r="V61" s="13">
        <f>_xll.BDH("NBIX US Equity","ARDR_OTHER_INTANGIBLE_ASSET","FQ3 2023","FQ3 2023","Currency=USD","Period=FQ","BEST_FPERIOD_OVERRIDE=FQ","FILING_STATUS=MR","SCALING_FORMAT=MLN","Sort=A","Dates=H","DateFormat=P","Fill=—","Direction=H","UseDPDF=Y")</f>
        <v>34.9</v>
      </c>
      <c r="W61" s="13" t="str">
        <f>_xll.BDH("NBIX US Equity","ARDR_OTHER_INTANGIBLE_ASSET","FQ4 2023","FQ4 2023","Currency=USD","Period=FQ","BEST_FPERIOD_OVERRIDE=FQ","FILING_STATUS=MR","SCALING_FORMAT=MLN","Sort=A","Dates=H","DateFormat=P","Fill=—","Direction=H","UseDPDF=Y")</f>
        <v>—</v>
      </c>
      <c r="X61" s="13" t="str">
        <f>_xll.BDH("NBIX US Equity","ARDR_OTHER_INTANGIBLE_ASSET","FQ1 2024","FQ1 2024","Currency=USD","Period=FQ","BEST_FPERIOD_OVERRIDE=FQ","FILING_STATUS=MR","SCALING_FORMAT=MLN","Sort=A","Dates=H","DateFormat=P","Fill=—","Direction=H","UseDPDF=Y")</f>
        <v>—</v>
      </c>
      <c r="Y61" s="13">
        <f>_xll.BDH("NBIX US Equity","ARDR_OTHER_INTANGIBLE_ASSET","FQ2 2024","FQ2 2024","Currency=USD","Period=FQ","BEST_FPERIOD_OVERRIDE=FQ","FILING_STATUS=MR","SCALING_FORMAT=MLN","Sort=A","Dates=H","DateFormat=P","Fill=—","Direction=H","UseDPDF=Y")</f>
        <v>33.5</v>
      </c>
      <c r="Z61" s="13">
        <f>_xll.BDH("NBIX US Equity","ARDR_OTHER_INTANGIBLE_ASSET","FQ3 2024","FQ3 2024","Currency=USD","Period=FQ","BEST_FPERIOD_OVERRIDE=FQ","FILING_STATUS=MR","SCALING_FORMAT=MLN","Sort=A","Dates=H","DateFormat=P","Fill=—","Direction=H","UseDPDF=Y")</f>
        <v>34.5</v>
      </c>
      <c r="AA61" s="13">
        <f>_xll.BDH("NBIX US Equity","ARDR_OTHER_INTANGIBLE_ASSET","FQ4 2024","FQ4 2024","Currency=USD","Period=FQ","BEST_FPERIOD_OVERRIDE=FQ","FILING_STATUS=MR","SCALING_FORMAT=MLN","Sort=A","Dates=H","DateFormat=P","Fill=—","Direction=H","UseDPDF=Y")</f>
        <v>3.7</v>
      </c>
    </row>
    <row r="62" spans="1:27" x14ac:dyDescent="0.25">
      <c r="A62" s="10" t="s">
        <v>909</v>
      </c>
      <c r="B62" s="10" t="s">
        <v>910</v>
      </c>
      <c r="C62" s="13">
        <f>_xll.BDH("NBIX US Equity","ARDR_ACCOUNTS_PAYABLE_TRADE","FQ4 2018","FQ4 2018","Currency=USD","Period=FQ","BEST_FPERIOD_OVERRIDE=FQ","FILING_STATUS=MR","SCALING_FORMAT=MLN","Sort=A","Dates=H","DateFormat=P","Fill=—","Direction=H","UseDPDF=Y")</f>
        <v>13.801</v>
      </c>
      <c r="D62" s="13" t="str">
        <f>_xll.BDH("NBIX US Equity","ARDR_ACCOUNTS_PAYABLE_TRADE","FQ1 2019","FQ1 2019","Currency=USD","Period=FQ","BEST_FPERIOD_OVERRIDE=FQ","FILING_STATUS=MR","SCALING_FORMAT=MLN","Sort=A","Dates=H","DateFormat=P","Fill=—","Direction=H","UseDPDF=Y")</f>
        <v>—</v>
      </c>
      <c r="E62" s="13" t="str">
        <f>_xll.BDH("NBIX US Equity","ARDR_ACCOUNTS_PAYABLE_TRADE","FQ2 2019","FQ2 2019","Currency=USD","Period=FQ","BEST_FPERIOD_OVERRIDE=FQ","FILING_STATUS=MR","SCALING_FORMAT=MLN","Sort=A","Dates=H","DateFormat=P","Fill=—","Direction=H","UseDPDF=Y")</f>
        <v>—</v>
      </c>
      <c r="F62" s="13" t="str">
        <f>_xll.BDH("NBIX US Equity","ARDR_ACCOUNTS_PAYABLE_TRADE","FQ3 2019","FQ3 2019","Currency=USD","Period=FQ","BEST_FPERIOD_OVERRIDE=FQ","FILING_STATUS=MR","SCALING_FORMAT=MLN","Sort=A","Dates=H","DateFormat=P","Fill=—","Direction=H","UseDPDF=Y")</f>
        <v>—</v>
      </c>
      <c r="G62" s="13">
        <f>_xll.BDH("NBIX US Equity","ARDR_ACCOUNTS_PAYABLE_TRADE","FQ4 2019","FQ4 2019","Currency=USD","Period=FQ","BEST_FPERIOD_OVERRIDE=FQ","FILING_STATUS=MR","SCALING_FORMAT=MLN","Sort=A","Dates=H","DateFormat=P","Fill=—","Direction=H","UseDPDF=Y")</f>
        <v>30.6</v>
      </c>
      <c r="H62" s="13" t="str">
        <f>_xll.BDH("NBIX US Equity","ARDR_ACCOUNTS_PAYABLE_TRADE","FQ1 2020","FQ1 2020","Currency=USD","Period=FQ","BEST_FPERIOD_OVERRIDE=FQ","FILING_STATUS=MR","SCALING_FORMAT=MLN","Sort=A","Dates=H","DateFormat=P","Fill=—","Direction=H","UseDPDF=Y")</f>
        <v>—</v>
      </c>
      <c r="I62" s="13" t="str">
        <f>_xll.BDH("NBIX US Equity","ARDR_ACCOUNTS_PAYABLE_TRADE","FQ2 2020","FQ2 2020","Currency=USD","Period=FQ","BEST_FPERIOD_OVERRIDE=FQ","FILING_STATUS=MR","SCALING_FORMAT=MLN","Sort=A","Dates=H","DateFormat=P","Fill=—","Direction=H","UseDPDF=Y")</f>
        <v>—</v>
      </c>
      <c r="J62" s="13" t="str">
        <f>_xll.BDH("NBIX US Equity","ARDR_ACCOUNTS_PAYABLE_TRADE","FQ3 2020","FQ3 2020","Currency=USD","Period=FQ","BEST_FPERIOD_OVERRIDE=FQ","FILING_STATUS=MR","SCALING_FORMAT=MLN","Sort=A","Dates=H","DateFormat=P","Fill=—","Direction=H","UseDPDF=Y")</f>
        <v>—</v>
      </c>
      <c r="K62" s="13">
        <f>_xll.BDH("NBIX US Equity","ARDR_ACCOUNTS_PAYABLE_TRADE","FQ4 2020","FQ4 2020","Currency=USD","Period=FQ","BEST_FPERIOD_OVERRIDE=FQ","FILING_STATUS=MR","SCALING_FORMAT=MLN","Sort=A","Dates=H","DateFormat=P","Fill=—","Direction=H","UseDPDF=Y")</f>
        <v>34.6</v>
      </c>
      <c r="L62" s="13" t="str">
        <f>_xll.BDH("NBIX US Equity","ARDR_ACCOUNTS_PAYABLE_TRADE","FQ1 2021","FQ1 2021","Currency=USD","Period=FQ","BEST_FPERIOD_OVERRIDE=FQ","FILING_STATUS=MR","SCALING_FORMAT=MLN","Sort=A","Dates=H","DateFormat=P","Fill=—","Direction=H","UseDPDF=Y")</f>
        <v>—</v>
      </c>
      <c r="M62" s="13" t="str">
        <f>_xll.BDH("NBIX US Equity","ARDR_ACCOUNTS_PAYABLE_TRADE","FQ2 2021","FQ2 2021","Currency=USD","Period=FQ","BEST_FPERIOD_OVERRIDE=FQ","FILING_STATUS=MR","SCALING_FORMAT=MLN","Sort=A","Dates=H","DateFormat=P","Fill=—","Direction=H","UseDPDF=Y")</f>
        <v>—</v>
      </c>
      <c r="N62" s="13" t="str">
        <f>_xll.BDH("NBIX US Equity","ARDR_ACCOUNTS_PAYABLE_TRADE","FQ3 2021","FQ3 2021","Currency=USD","Period=FQ","BEST_FPERIOD_OVERRIDE=FQ","FILING_STATUS=MR","SCALING_FORMAT=MLN","Sort=A","Dates=H","DateFormat=P","Fill=—","Direction=H","UseDPDF=Y")</f>
        <v>—</v>
      </c>
      <c r="O62" s="13">
        <f>_xll.BDH("NBIX US Equity","ARDR_ACCOUNTS_PAYABLE_TRADE","FQ4 2021","FQ4 2021","Currency=USD","Period=FQ","BEST_FPERIOD_OVERRIDE=FQ","FILING_STATUS=MR","SCALING_FORMAT=MLN","Sort=A","Dates=H","DateFormat=P","Fill=—","Direction=H","UseDPDF=Y")</f>
        <v>62.7</v>
      </c>
      <c r="P62" s="13" t="str">
        <f>_xll.BDH("NBIX US Equity","ARDR_ACCOUNTS_PAYABLE_TRADE","FQ1 2022","FQ1 2022","Currency=USD","Period=FQ","BEST_FPERIOD_OVERRIDE=FQ","FILING_STATUS=MR","SCALING_FORMAT=MLN","Sort=A","Dates=H","DateFormat=P","Fill=—","Direction=H","UseDPDF=Y")</f>
        <v>—</v>
      </c>
      <c r="Q62" s="13" t="str">
        <f>_xll.BDH("NBIX US Equity","ARDR_ACCOUNTS_PAYABLE_TRADE","FQ2 2022","FQ2 2022","Currency=USD","Period=FQ","BEST_FPERIOD_OVERRIDE=FQ","FILING_STATUS=MR","SCALING_FORMAT=MLN","Sort=A","Dates=H","DateFormat=P","Fill=—","Direction=H","UseDPDF=Y")</f>
        <v>—</v>
      </c>
      <c r="R62" s="13" t="str">
        <f>_xll.BDH("NBIX US Equity","ARDR_ACCOUNTS_PAYABLE_TRADE","FQ3 2022","FQ3 2022","Currency=USD","Period=FQ","BEST_FPERIOD_OVERRIDE=FQ","FILING_STATUS=MR","SCALING_FORMAT=MLN","Sort=A","Dates=H","DateFormat=P","Fill=—","Direction=H","UseDPDF=Y")</f>
        <v>—</v>
      </c>
      <c r="S62" s="13">
        <f>_xll.BDH("NBIX US Equity","ARDR_ACCOUNTS_PAYABLE_TRADE","FQ4 2022","FQ4 2022","Currency=USD","Period=FQ","BEST_FPERIOD_OVERRIDE=FQ","FILING_STATUS=MR","SCALING_FORMAT=MLN","Sort=A","Dates=H","DateFormat=P","Fill=—","Direction=H","UseDPDF=Y")</f>
        <v>131.9</v>
      </c>
      <c r="T62" s="13" t="str">
        <f>_xll.BDH("NBIX US Equity","ARDR_ACCOUNTS_PAYABLE_TRADE","FQ1 2023","FQ1 2023","Currency=USD","Period=FQ","BEST_FPERIOD_OVERRIDE=FQ","FILING_STATUS=MR","SCALING_FORMAT=MLN","Sort=A","Dates=H","DateFormat=P","Fill=—","Direction=H","UseDPDF=Y")</f>
        <v>—</v>
      </c>
      <c r="U62" s="13" t="str">
        <f>_xll.BDH("NBIX US Equity","ARDR_ACCOUNTS_PAYABLE_TRADE","FQ2 2023","FQ2 2023","Currency=USD","Period=FQ","BEST_FPERIOD_OVERRIDE=FQ","FILING_STATUS=MR","SCALING_FORMAT=MLN","Sort=A","Dates=H","DateFormat=P","Fill=—","Direction=H","UseDPDF=Y")</f>
        <v>—</v>
      </c>
      <c r="V62" s="13" t="str">
        <f>_xll.BDH("NBIX US Equity","ARDR_ACCOUNTS_PAYABLE_TRADE","FQ3 2023","FQ3 2023","Currency=USD","Period=FQ","BEST_FPERIOD_OVERRIDE=FQ","FILING_STATUS=MR","SCALING_FORMAT=MLN","Sort=A","Dates=H","DateFormat=P","Fill=—","Direction=H","UseDPDF=Y")</f>
        <v>—</v>
      </c>
      <c r="W62" s="13">
        <f>_xll.BDH("NBIX US Equity","ARDR_ACCOUNTS_PAYABLE_TRADE","FQ4 2023","FQ4 2023","Currency=USD","Period=FQ","BEST_FPERIOD_OVERRIDE=FQ","FILING_STATUS=MR","SCALING_FORMAT=MLN","Sort=A","Dates=H","DateFormat=P","Fill=—","Direction=H","UseDPDF=Y")</f>
        <v>139.30000000000001</v>
      </c>
      <c r="X62" s="13" t="str">
        <f>_xll.BDH("NBIX US Equity","ARDR_ACCOUNTS_PAYABLE_TRADE","FQ1 2024","FQ1 2024","Currency=USD","Period=FQ","BEST_FPERIOD_OVERRIDE=FQ","FILING_STATUS=MR","SCALING_FORMAT=MLN","Sort=A","Dates=H","DateFormat=P","Fill=—","Direction=H","UseDPDF=Y")</f>
        <v>—</v>
      </c>
      <c r="Y62" s="13" t="str">
        <f>_xll.BDH("NBIX US Equity","ARDR_ACCOUNTS_PAYABLE_TRADE","FQ2 2024","FQ2 2024","Currency=USD","Period=FQ","BEST_FPERIOD_OVERRIDE=FQ","FILING_STATUS=MR","SCALING_FORMAT=MLN","Sort=A","Dates=H","DateFormat=P","Fill=—","Direction=H","UseDPDF=Y")</f>
        <v>—</v>
      </c>
      <c r="Z62" s="13" t="str">
        <f>_xll.BDH("NBIX US Equity","ARDR_ACCOUNTS_PAYABLE_TRADE","FQ3 2024","FQ3 2024","Currency=USD","Period=FQ","BEST_FPERIOD_OVERRIDE=FQ","FILING_STATUS=MR","SCALING_FORMAT=MLN","Sort=A","Dates=H","DateFormat=P","Fill=—","Direction=H","UseDPDF=Y")</f>
        <v>—</v>
      </c>
      <c r="AA62" s="13">
        <f>_xll.BDH("NBIX US Equity","ARDR_ACCOUNTS_PAYABLE_TRADE","FQ4 2024","FQ4 2024","Currency=USD","Period=FQ","BEST_FPERIOD_OVERRIDE=FQ","FILING_STATUS=MR","SCALING_FORMAT=MLN","Sort=A","Dates=H","DateFormat=P","Fill=—","Direction=H","UseDPDF=Y")</f>
        <v>144.19999999999999</v>
      </c>
    </row>
    <row r="63" spans="1:27" x14ac:dyDescent="0.25">
      <c r="A63" s="10" t="s">
        <v>911</v>
      </c>
      <c r="B63" s="10" t="s">
        <v>912</v>
      </c>
      <c r="C63" s="13">
        <f>_xll.BDH("NBIX US Equity","ARDR_DEFERRED_INCOME_TAXES_LIAB","FQ4 2018","FQ4 2018","Currency=USD","Period=FQ","BEST_FPERIOD_OVERRIDE=FQ","FILING_STATUS=MR","SCALING_FORMAT=MLN","Sort=A","Dates=H","DateFormat=P","Fill=—","Direction=H","UseDPDF=Y")</f>
        <v>31.5</v>
      </c>
      <c r="D63" s="13" t="str">
        <f>_xll.BDH("NBIX US Equity","ARDR_DEFERRED_INCOME_TAXES_LIAB","FQ1 2019","FQ1 2019","Currency=USD","Period=FQ","BEST_FPERIOD_OVERRIDE=FQ","FILING_STATUS=MR","SCALING_FORMAT=MLN","Sort=A","Dates=H","DateFormat=P","Fill=—","Direction=H","UseDPDF=Y")</f>
        <v>—</v>
      </c>
      <c r="E63" s="13" t="str">
        <f>_xll.BDH("NBIX US Equity","ARDR_DEFERRED_INCOME_TAXES_LIAB","FQ2 2019","FQ2 2019","Currency=USD","Period=FQ","BEST_FPERIOD_OVERRIDE=FQ","FILING_STATUS=MR","SCALING_FORMAT=MLN","Sort=A","Dates=H","DateFormat=P","Fill=—","Direction=H","UseDPDF=Y")</f>
        <v>—</v>
      </c>
      <c r="F63" s="13" t="str">
        <f>_xll.BDH("NBIX US Equity","ARDR_DEFERRED_INCOME_TAXES_LIAB","FQ3 2019","FQ3 2019","Currency=USD","Period=FQ","BEST_FPERIOD_OVERRIDE=FQ","FILING_STATUS=MR","SCALING_FORMAT=MLN","Sort=A","Dates=H","DateFormat=P","Fill=—","Direction=H","UseDPDF=Y")</f>
        <v>—</v>
      </c>
      <c r="G63" s="13">
        <f>_xll.BDH("NBIX US Equity","ARDR_DEFERRED_INCOME_TAXES_LIAB","FQ4 2019","FQ4 2019","Currency=USD","Period=FQ","BEST_FPERIOD_OVERRIDE=FQ","FILING_STATUS=MR","SCALING_FORMAT=MLN","Sort=A","Dates=H","DateFormat=P","Fill=—","Direction=H","UseDPDF=Y")</f>
        <v>49.2</v>
      </c>
      <c r="H63" s="13" t="str">
        <f>_xll.BDH("NBIX US Equity","ARDR_DEFERRED_INCOME_TAXES_LIAB","FQ1 2020","FQ1 2020","Currency=USD","Period=FQ","BEST_FPERIOD_OVERRIDE=FQ","FILING_STATUS=MR","SCALING_FORMAT=MLN","Sort=A","Dates=H","DateFormat=P","Fill=—","Direction=H","UseDPDF=Y")</f>
        <v>—</v>
      </c>
      <c r="I63" s="13" t="str">
        <f>_xll.BDH("NBIX US Equity","ARDR_DEFERRED_INCOME_TAXES_LIAB","FQ2 2020","FQ2 2020","Currency=USD","Period=FQ","BEST_FPERIOD_OVERRIDE=FQ","FILING_STATUS=MR","SCALING_FORMAT=MLN","Sort=A","Dates=H","DateFormat=P","Fill=—","Direction=H","UseDPDF=Y")</f>
        <v>—</v>
      </c>
      <c r="J63" s="13" t="str">
        <f>_xll.BDH("NBIX US Equity","ARDR_DEFERRED_INCOME_TAXES_LIAB","FQ3 2020","FQ3 2020","Currency=USD","Period=FQ","BEST_FPERIOD_OVERRIDE=FQ","FILING_STATUS=MR","SCALING_FORMAT=MLN","Sort=A","Dates=H","DateFormat=P","Fill=—","Direction=H","UseDPDF=Y")</f>
        <v>—</v>
      </c>
      <c r="K63" s="13">
        <f>_xll.BDH("NBIX US Equity","ARDR_DEFERRED_INCOME_TAXES_LIAB","FQ4 2020","FQ4 2020","Currency=USD","Period=FQ","BEST_FPERIOD_OVERRIDE=FQ","FILING_STATUS=MR","SCALING_FORMAT=MLN","Sort=A","Dates=H","DateFormat=P","Fill=—","Direction=H","UseDPDF=Y")</f>
        <v>42.1</v>
      </c>
      <c r="L63" s="13" t="str">
        <f>_xll.BDH("NBIX US Equity","ARDR_DEFERRED_INCOME_TAXES_LIAB","FQ1 2021","FQ1 2021","Currency=USD","Period=FQ","BEST_FPERIOD_OVERRIDE=FQ","FILING_STATUS=MR","SCALING_FORMAT=MLN","Sort=A","Dates=H","DateFormat=P","Fill=—","Direction=H","UseDPDF=Y")</f>
        <v>—</v>
      </c>
      <c r="M63" s="13" t="str">
        <f>_xll.BDH("NBIX US Equity","ARDR_DEFERRED_INCOME_TAXES_LIAB","FQ2 2021","FQ2 2021","Currency=USD","Period=FQ","BEST_FPERIOD_OVERRIDE=FQ","FILING_STATUS=MR","SCALING_FORMAT=MLN","Sort=A","Dates=H","DateFormat=P","Fill=—","Direction=H","UseDPDF=Y")</f>
        <v>—</v>
      </c>
      <c r="N63" s="13" t="str">
        <f>_xll.BDH("NBIX US Equity","ARDR_DEFERRED_INCOME_TAXES_LIAB","FQ3 2021","FQ3 2021","Currency=USD","Period=FQ","BEST_FPERIOD_OVERRIDE=FQ","FILING_STATUS=MR","SCALING_FORMAT=MLN","Sort=A","Dates=H","DateFormat=P","Fill=—","Direction=H","UseDPDF=Y")</f>
        <v>—</v>
      </c>
      <c r="O63" s="13">
        <f>_xll.BDH("NBIX US Equity","ARDR_DEFERRED_INCOME_TAXES_LIAB","FQ4 2021","FQ4 2021","Currency=USD","Period=FQ","BEST_FPERIOD_OVERRIDE=FQ","FILING_STATUS=MR","SCALING_FORMAT=MLN","Sort=A","Dates=H","DateFormat=P","Fill=—","Direction=H","UseDPDF=Y")</f>
        <v>43.9</v>
      </c>
      <c r="P63" s="13" t="str">
        <f>_xll.BDH("NBIX US Equity","ARDR_DEFERRED_INCOME_TAXES_LIAB","FQ1 2022","FQ1 2022","Currency=USD","Period=FQ","BEST_FPERIOD_OVERRIDE=FQ","FILING_STATUS=MR","SCALING_FORMAT=MLN","Sort=A","Dates=H","DateFormat=P","Fill=—","Direction=H","UseDPDF=Y")</f>
        <v>—</v>
      </c>
      <c r="Q63" s="13" t="str">
        <f>_xll.BDH("NBIX US Equity","ARDR_DEFERRED_INCOME_TAXES_LIAB","FQ2 2022","FQ2 2022","Currency=USD","Period=FQ","BEST_FPERIOD_OVERRIDE=FQ","FILING_STATUS=MR","SCALING_FORMAT=MLN","Sort=A","Dates=H","DateFormat=P","Fill=—","Direction=H","UseDPDF=Y")</f>
        <v>—</v>
      </c>
      <c r="R63" s="13" t="str">
        <f>_xll.BDH("NBIX US Equity","ARDR_DEFERRED_INCOME_TAXES_LIAB","FQ3 2022","FQ3 2022","Currency=USD","Period=FQ","BEST_FPERIOD_OVERRIDE=FQ","FILING_STATUS=MR","SCALING_FORMAT=MLN","Sort=A","Dates=H","DateFormat=P","Fill=—","Direction=H","UseDPDF=Y")</f>
        <v>—</v>
      </c>
      <c r="S63" s="13">
        <f>_xll.BDH("NBIX US Equity","ARDR_DEFERRED_INCOME_TAXES_LIAB","FQ4 2022","FQ4 2022","Currency=USD","Period=FQ","BEST_FPERIOD_OVERRIDE=FQ","FILING_STATUS=MR","SCALING_FORMAT=MLN","Sort=A","Dates=H","DateFormat=P","Fill=—","Direction=H","UseDPDF=Y")</f>
        <v>32.799999999999997</v>
      </c>
      <c r="T63" s="13" t="str">
        <f>_xll.BDH("NBIX US Equity","ARDR_DEFERRED_INCOME_TAXES_LIAB","FQ1 2023","FQ1 2023","Currency=USD","Period=FQ","BEST_FPERIOD_OVERRIDE=FQ","FILING_STATUS=MR","SCALING_FORMAT=MLN","Sort=A","Dates=H","DateFormat=P","Fill=—","Direction=H","UseDPDF=Y")</f>
        <v>—</v>
      </c>
      <c r="U63" s="13" t="str">
        <f>_xll.BDH("NBIX US Equity","ARDR_DEFERRED_INCOME_TAXES_LIAB","FQ2 2023","FQ2 2023","Currency=USD","Period=FQ","BEST_FPERIOD_OVERRIDE=FQ","FILING_STATUS=MR","SCALING_FORMAT=MLN","Sort=A","Dates=H","DateFormat=P","Fill=—","Direction=H","UseDPDF=Y")</f>
        <v>—</v>
      </c>
      <c r="V63" s="13" t="str">
        <f>_xll.BDH("NBIX US Equity","ARDR_DEFERRED_INCOME_TAXES_LIAB","FQ3 2023","FQ3 2023","Currency=USD","Period=FQ","BEST_FPERIOD_OVERRIDE=FQ","FILING_STATUS=MR","SCALING_FORMAT=MLN","Sort=A","Dates=H","DateFormat=P","Fill=—","Direction=H","UseDPDF=Y")</f>
        <v>—</v>
      </c>
      <c r="W63" s="13">
        <f>_xll.BDH("NBIX US Equity","ARDR_DEFERRED_INCOME_TAXES_LIAB","FQ4 2023","FQ4 2023","Currency=USD","Period=FQ","BEST_FPERIOD_OVERRIDE=FQ","FILING_STATUS=MR","SCALING_FORMAT=MLN","Sort=A","Dates=H","DateFormat=P","Fill=—","Direction=H","UseDPDF=Y")</f>
        <v>78.599999999999994</v>
      </c>
      <c r="X63" s="13" t="str">
        <f>_xll.BDH("NBIX US Equity","ARDR_DEFERRED_INCOME_TAXES_LIAB","FQ1 2024","FQ1 2024","Currency=USD","Period=FQ","BEST_FPERIOD_OVERRIDE=FQ","FILING_STATUS=MR","SCALING_FORMAT=MLN","Sort=A","Dates=H","DateFormat=P","Fill=—","Direction=H","UseDPDF=Y")</f>
        <v>—</v>
      </c>
      <c r="Y63" s="13" t="str">
        <f>_xll.BDH("NBIX US Equity","ARDR_DEFERRED_INCOME_TAXES_LIAB","FQ2 2024","FQ2 2024","Currency=USD","Period=FQ","BEST_FPERIOD_OVERRIDE=FQ","FILING_STATUS=MR","SCALING_FORMAT=MLN","Sort=A","Dates=H","DateFormat=P","Fill=—","Direction=H","UseDPDF=Y")</f>
        <v>—</v>
      </c>
      <c r="Z63" s="13" t="str">
        <f>_xll.BDH("NBIX US Equity","ARDR_DEFERRED_INCOME_TAXES_LIAB","FQ3 2024","FQ3 2024","Currency=USD","Period=FQ","BEST_FPERIOD_OVERRIDE=FQ","FILING_STATUS=MR","SCALING_FORMAT=MLN","Sort=A","Dates=H","DateFormat=P","Fill=—","Direction=H","UseDPDF=Y")</f>
        <v>—</v>
      </c>
      <c r="AA63" s="13">
        <f>_xll.BDH("NBIX US Equity","ARDR_DEFERRED_INCOME_TAXES_LIAB","FQ4 2024","FQ4 2024","Currency=USD","Period=FQ","BEST_FPERIOD_OVERRIDE=FQ","FILING_STATUS=MR","SCALING_FORMAT=MLN","Sort=A","Dates=H","DateFormat=P","Fill=—","Direction=H","UseDPDF=Y")</f>
        <v>128.30000000000001</v>
      </c>
    </row>
    <row r="64" spans="1:27" x14ac:dyDescent="0.25">
      <c r="A64" s="10" t="s">
        <v>873</v>
      </c>
      <c r="B64" s="10" t="s">
        <v>913</v>
      </c>
      <c r="C64" s="13">
        <f>_xll.BDH("NBIX US Equity","ARDR_COMMON_STOCK","FQ4 2018","FQ4 2018","Currency=USD","Period=FQ","BEST_FPERIOD_OVERRIDE=FQ","FILING_STATUS=MR","SCALING_FORMAT=MLN","Sort=A","Dates=H","DateFormat=P","Fill=—","Direction=H","UseDPDF=Y")</f>
        <v>9.0999999999999998E-2</v>
      </c>
      <c r="D64" s="13">
        <f>_xll.BDH("NBIX US Equity","ARDR_COMMON_STOCK","FQ1 2019","FQ1 2019","Currency=USD","Period=FQ","BEST_FPERIOD_OVERRIDE=FQ","FILING_STATUS=MR","SCALING_FORMAT=MLN","Sort=A","Dates=H","DateFormat=P","Fill=—","Direction=H","UseDPDF=Y")</f>
        <v>9.0999999999999998E-2</v>
      </c>
      <c r="E64" s="13">
        <f>_xll.BDH("NBIX US Equity","ARDR_COMMON_STOCK","FQ2 2019","FQ2 2019","Currency=USD","Period=FQ","BEST_FPERIOD_OVERRIDE=FQ","FILING_STATUS=MR","SCALING_FORMAT=MLN","Sort=A","Dates=H","DateFormat=P","Fill=—","Direction=H","UseDPDF=Y")</f>
        <v>9.1999999999999998E-2</v>
      </c>
      <c r="F64" s="13">
        <f>_xll.BDH("NBIX US Equity","ARDR_COMMON_STOCK","FQ3 2019","FQ3 2019","Currency=USD","Period=FQ","BEST_FPERIOD_OVERRIDE=FQ","FILING_STATUS=MR","SCALING_FORMAT=MLN","Sort=A","Dates=H","DateFormat=P","Fill=—","Direction=H","UseDPDF=Y")</f>
        <v>9.1999999999999998E-2</v>
      </c>
      <c r="G64" s="13">
        <f>_xll.BDH("NBIX US Equity","ARDR_COMMON_STOCK","FQ4 2019","FQ4 2019","Currency=USD","Period=FQ","BEST_FPERIOD_OVERRIDE=FQ","FILING_STATUS=MR","SCALING_FORMAT=MLN","Sort=A","Dates=H","DateFormat=P","Fill=—","Direction=H","UseDPDF=Y")</f>
        <v>0.1</v>
      </c>
      <c r="H64" s="13">
        <f>_xll.BDH("NBIX US Equity","ARDR_COMMON_STOCK","FQ1 2020","FQ1 2020","Currency=USD","Period=FQ","BEST_FPERIOD_OVERRIDE=FQ","FILING_STATUS=MR","SCALING_FORMAT=MLN","Sort=A","Dates=H","DateFormat=P","Fill=—","Direction=H","UseDPDF=Y")</f>
        <v>0.1</v>
      </c>
      <c r="I64" s="13">
        <f>_xll.BDH("NBIX US Equity","ARDR_COMMON_STOCK","FQ2 2020","FQ2 2020","Currency=USD","Period=FQ","BEST_FPERIOD_OVERRIDE=FQ","FILING_STATUS=MR","SCALING_FORMAT=MLN","Sort=A","Dates=H","DateFormat=P","Fill=—","Direction=H","UseDPDF=Y")</f>
        <v>0.1</v>
      </c>
      <c r="J64" s="13">
        <f>_xll.BDH("NBIX US Equity","ARDR_COMMON_STOCK","FQ3 2020","FQ3 2020","Currency=USD","Period=FQ","BEST_FPERIOD_OVERRIDE=FQ","FILING_STATUS=MR","SCALING_FORMAT=MLN","Sort=A","Dates=H","DateFormat=P","Fill=—","Direction=H","UseDPDF=Y")</f>
        <v>0.1</v>
      </c>
      <c r="K64" s="13">
        <f>_xll.BDH("NBIX US Equity","ARDR_COMMON_STOCK","FQ4 2020","FQ4 2020","Currency=USD","Period=FQ","BEST_FPERIOD_OVERRIDE=FQ","FILING_STATUS=MR","SCALING_FORMAT=MLN","Sort=A","Dates=H","DateFormat=P","Fill=—","Direction=H","UseDPDF=Y")</f>
        <v>0.1</v>
      </c>
      <c r="L64" s="13">
        <f>_xll.BDH("NBIX US Equity","ARDR_COMMON_STOCK","FQ1 2021","FQ1 2021","Currency=USD","Period=FQ","BEST_FPERIOD_OVERRIDE=FQ","FILING_STATUS=MR","SCALING_FORMAT=MLN","Sort=A","Dates=H","DateFormat=P","Fill=—","Direction=H","UseDPDF=Y")</f>
        <v>0.1</v>
      </c>
      <c r="M64" s="13">
        <f>_xll.BDH("NBIX US Equity","ARDR_COMMON_STOCK","FQ2 2021","FQ2 2021","Currency=USD","Period=FQ","BEST_FPERIOD_OVERRIDE=FQ","FILING_STATUS=MR","SCALING_FORMAT=MLN","Sort=A","Dates=H","DateFormat=P","Fill=—","Direction=H","UseDPDF=Y")</f>
        <v>0.1</v>
      </c>
      <c r="N64" s="13">
        <f>_xll.BDH("NBIX US Equity","ARDR_COMMON_STOCK","FQ3 2021","FQ3 2021","Currency=USD","Period=FQ","BEST_FPERIOD_OVERRIDE=FQ","FILING_STATUS=MR","SCALING_FORMAT=MLN","Sort=A","Dates=H","DateFormat=P","Fill=—","Direction=H","UseDPDF=Y")</f>
        <v>0.1</v>
      </c>
      <c r="O64" s="13">
        <f>_xll.BDH("NBIX US Equity","ARDR_COMMON_STOCK","FQ4 2021","FQ4 2021","Currency=USD","Period=FQ","BEST_FPERIOD_OVERRIDE=FQ","FILING_STATUS=MR","SCALING_FORMAT=MLN","Sort=A","Dates=H","DateFormat=P","Fill=—","Direction=H","UseDPDF=Y")</f>
        <v>0.1</v>
      </c>
      <c r="P64" s="13">
        <f>_xll.BDH("NBIX US Equity","ARDR_COMMON_STOCK","FQ1 2022","FQ1 2022","Currency=USD","Period=FQ","BEST_FPERIOD_OVERRIDE=FQ","FILING_STATUS=MR","SCALING_FORMAT=MLN","Sort=A","Dates=H","DateFormat=P","Fill=—","Direction=H","UseDPDF=Y")</f>
        <v>0.1</v>
      </c>
      <c r="Q64" s="13">
        <f>_xll.BDH("NBIX US Equity","ARDR_COMMON_STOCK","FQ2 2022","FQ2 2022","Currency=USD","Period=FQ","BEST_FPERIOD_OVERRIDE=FQ","FILING_STATUS=MR","SCALING_FORMAT=MLN","Sort=A","Dates=H","DateFormat=P","Fill=—","Direction=H","UseDPDF=Y")</f>
        <v>0.1</v>
      </c>
      <c r="R64" s="13">
        <f>_xll.BDH("NBIX US Equity","ARDR_COMMON_STOCK","FQ3 2022","FQ3 2022","Currency=USD","Period=FQ","BEST_FPERIOD_OVERRIDE=FQ","FILING_STATUS=MR","SCALING_FORMAT=MLN","Sort=A","Dates=H","DateFormat=P","Fill=—","Direction=H","UseDPDF=Y")</f>
        <v>0.1</v>
      </c>
      <c r="S64" s="13">
        <f>_xll.BDH("NBIX US Equity","ARDR_COMMON_STOCK","FQ4 2022","FQ4 2022","Currency=USD","Period=FQ","BEST_FPERIOD_OVERRIDE=FQ","FILING_STATUS=MR","SCALING_FORMAT=MLN","Sort=A","Dates=H","DateFormat=P","Fill=—","Direction=H","UseDPDF=Y")</f>
        <v>0.1</v>
      </c>
      <c r="T64" s="13">
        <f>_xll.BDH("NBIX US Equity","ARDR_COMMON_STOCK","FQ1 2023","FQ1 2023","Currency=USD","Period=FQ","BEST_FPERIOD_OVERRIDE=FQ","FILING_STATUS=MR","SCALING_FORMAT=MLN","Sort=A","Dates=H","DateFormat=P","Fill=—","Direction=H","UseDPDF=Y")</f>
        <v>0.1</v>
      </c>
      <c r="U64" s="13">
        <f>_xll.BDH("NBIX US Equity","ARDR_COMMON_STOCK","FQ2 2023","FQ2 2023","Currency=USD","Period=FQ","BEST_FPERIOD_OVERRIDE=FQ","FILING_STATUS=MR","SCALING_FORMAT=MLN","Sort=A","Dates=H","DateFormat=P","Fill=—","Direction=H","UseDPDF=Y")</f>
        <v>0.1</v>
      </c>
      <c r="V64" s="13">
        <f>_xll.BDH("NBIX US Equity","ARDR_COMMON_STOCK","FQ3 2023","FQ3 2023","Currency=USD","Period=FQ","BEST_FPERIOD_OVERRIDE=FQ","FILING_STATUS=MR","SCALING_FORMAT=MLN","Sort=A","Dates=H","DateFormat=P","Fill=—","Direction=H","UseDPDF=Y")</f>
        <v>0.1</v>
      </c>
      <c r="W64" s="13">
        <f>_xll.BDH("NBIX US Equity","ARDR_COMMON_STOCK","FQ4 2023","FQ4 2023","Currency=USD","Period=FQ","BEST_FPERIOD_OVERRIDE=FQ","FILING_STATUS=MR","SCALING_FORMAT=MLN","Sort=A","Dates=H","DateFormat=P","Fill=—","Direction=H","UseDPDF=Y")</f>
        <v>0.1</v>
      </c>
      <c r="X64" s="13">
        <f>_xll.BDH("NBIX US Equity","ARDR_COMMON_STOCK","FQ1 2024","FQ1 2024","Currency=USD","Period=FQ","BEST_FPERIOD_OVERRIDE=FQ","FILING_STATUS=MR","SCALING_FORMAT=MLN","Sort=A","Dates=H","DateFormat=P","Fill=—","Direction=H","UseDPDF=Y")</f>
        <v>0.1</v>
      </c>
      <c r="Y64" s="13">
        <f>_xll.BDH("NBIX US Equity","ARDR_COMMON_STOCK","FQ2 2024","FQ2 2024","Currency=USD","Period=FQ","BEST_FPERIOD_OVERRIDE=FQ","FILING_STATUS=MR","SCALING_FORMAT=MLN","Sort=A","Dates=H","DateFormat=P","Fill=—","Direction=H","UseDPDF=Y")</f>
        <v>0.1</v>
      </c>
      <c r="Z64" s="13">
        <f>_xll.BDH("NBIX US Equity","ARDR_COMMON_STOCK","FQ3 2024","FQ3 2024","Currency=USD","Period=FQ","BEST_FPERIOD_OVERRIDE=FQ","FILING_STATUS=MR","SCALING_FORMAT=MLN","Sort=A","Dates=H","DateFormat=P","Fill=—","Direction=H","UseDPDF=Y")</f>
        <v>0.1</v>
      </c>
      <c r="AA64" s="13">
        <f>_xll.BDH("NBIX US Equity","ARDR_COMMON_STOCK","FQ4 2024","FQ4 2024","Currency=USD","Period=FQ","BEST_FPERIOD_OVERRIDE=FQ","FILING_STATUS=MR","SCALING_FORMAT=MLN","Sort=A","Dates=H","DateFormat=P","Fill=—","Direction=H","UseDPDF=Y")</f>
        <v>0.1</v>
      </c>
    </row>
    <row r="65" spans="1:27" x14ac:dyDescent="0.25">
      <c r="A65" s="10" t="s">
        <v>875</v>
      </c>
      <c r="B65" s="10" t="s">
        <v>914</v>
      </c>
      <c r="C65" s="13">
        <f>_xll.BDH("NBIX US Equity","ARDR_ADDITIONAL_PAID_IN_CAPITAL","FQ4 2018","FQ4 2018","Currency=USD","Period=FQ","BEST_FPERIOD_OVERRIDE=FQ","FILING_STATUS=MR","SCALING_FORMAT=MLN","Sort=A","Dates=H","DateFormat=P","Fill=—","Direction=H","UseDPDF=Y")</f>
        <v>1660.3610000000001</v>
      </c>
      <c r="D65" s="13">
        <f>_xll.BDH("NBIX US Equity","ARDR_ADDITIONAL_PAID_IN_CAPITAL","FQ1 2019","FQ1 2019","Currency=USD","Period=FQ","BEST_FPERIOD_OVERRIDE=FQ","FILING_STATUS=MR","SCALING_FORMAT=MLN","Sort=A","Dates=H","DateFormat=P","Fill=—","Direction=H","UseDPDF=Y")</f>
        <v>1681.2439999999999</v>
      </c>
      <c r="E65" s="13">
        <f>_xll.BDH("NBIX US Equity","ARDR_ADDITIONAL_PAID_IN_CAPITAL","FQ2 2019","FQ2 2019","Currency=USD","Period=FQ","BEST_FPERIOD_OVERRIDE=FQ","FILING_STATUS=MR","SCALING_FORMAT=MLN","Sort=A","Dates=H","DateFormat=P","Fill=—","Direction=H","UseDPDF=Y")</f>
        <v>1703.4580000000001</v>
      </c>
      <c r="F65" s="13">
        <f>_xll.BDH("NBIX US Equity","ARDR_ADDITIONAL_PAID_IN_CAPITAL","FQ3 2019","FQ3 2019","Currency=USD","Period=FQ","BEST_FPERIOD_OVERRIDE=FQ","FILING_STATUS=MR","SCALING_FORMAT=MLN","Sort=A","Dates=H","DateFormat=P","Fill=—","Direction=H","UseDPDF=Y")</f>
        <v>1739.5170000000001</v>
      </c>
      <c r="G65" s="13">
        <f>_xll.BDH("NBIX US Equity","ARDR_ADDITIONAL_PAID_IN_CAPITAL","FQ4 2019","FQ4 2019","Currency=USD","Period=FQ","BEST_FPERIOD_OVERRIDE=FQ","FILING_STATUS=MR","SCALING_FORMAT=MLN","Sort=A","Dates=H","DateFormat=P","Fill=—","Direction=H","UseDPDF=Y")</f>
        <v>1768.1</v>
      </c>
      <c r="H65" s="13">
        <f>_xll.BDH("NBIX US Equity","ARDR_ADDITIONAL_PAID_IN_CAPITAL","FQ1 2020","FQ1 2020","Currency=USD","Period=FQ","BEST_FPERIOD_OVERRIDE=FQ","FILING_STATUS=MR","SCALING_FORMAT=MLN","Sort=A","Dates=H","DateFormat=P","Fill=—","Direction=H","UseDPDF=Y")</f>
        <v>1796.9</v>
      </c>
      <c r="I65" s="13">
        <f>_xll.BDH("NBIX US Equity","ARDR_ADDITIONAL_PAID_IN_CAPITAL","FQ2 2020","FQ2 2020","Currency=USD","Period=FQ","BEST_FPERIOD_OVERRIDE=FQ","FILING_STATUS=MR","SCALING_FORMAT=MLN","Sort=A","Dates=H","DateFormat=P","Fill=—","Direction=H","UseDPDF=Y")</f>
        <v>1842.2</v>
      </c>
      <c r="J65" s="13">
        <f>_xll.BDH("NBIX US Equity","ARDR_ADDITIONAL_PAID_IN_CAPITAL","FQ3 2020","FQ3 2020","Currency=USD","Period=FQ","BEST_FPERIOD_OVERRIDE=FQ","FILING_STATUS=MR","SCALING_FORMAT=MLN","Sort=A","Dates=H","DateFormat=P","Fill=—","Direction=H","UseDPDF=Y")</f>
        <v>1874.3</v>
      </c>
      <c r="K65" s="13">
        <f>_xll.BDH("NBIX US Equity","ARDR_ADDITIONAL_PAID_IN_CAPITAL","FQ4 2020","FQ4 2020","Currency=USD","Period=FQ","BEST_FPERIOD_OVERRIDE=FQ","FILING_STATUS=MR","SCALING_FORMAT=MLN","Sort=A","Dates=H","DateFormat=P","Fill=—","Direction=H","UseDPDF=Y")</f>
        <v>1849.7</v>
      </c>
      <c r="L65" s="13">
        <f>_xll.BDH("NBIX US Equity","ARDR_ADDITIONAL_PAID_IN_CAPITAL","FQ1 2021","FQ1 2021","Currency=USD","Period=FQ","BEST_FPERIOD_OVERRIDE=FQ","FILING_STATUS=MR","SCALING_FORMAT=MLN","Sort=A","Dates=H","DateFormat=P","Fill=—","Direction=H","UseDPDF=Y")</f>
        <v>1897.8</v>
      </c>
      <c r="M65" s="13">
        <f>_xll.BDH("NBIX US Equity","ARDR_ADDITIONAL_PAID_IN_CAPITAL","FQ2 2021","FQ2 2021","Currency=USD","Period=FQ","BEST_FPERIOD_OVERRIDE=FQ","FILING_STATUS=MR","SCALING_FORMAT=MLN","Sort=A","Dates=H","DateFormat=P","Fill=—","Direction=H","UseDPDF=Y")</f>
        <v>1929.4</v>
      </c>
      <c r="N65" s="13">
        <f>_xll.BDH("NBIX US Equity","ARDR_ADDITIONAL_PAID_IN_CAPITAL","FQ3 2021","FQ3 2021","Currency=USD","Period=FQ","BEST_FPERIOD_OVERRIDE=FQ","FILING_STATUS=MR","SCALING_FORMAT=MLN","Sort=A","Dates=H","DateFormat=P","Fill=—","Direction=H","UseDPDF=Y")</f>
        <v>1974</v>
      </c>
      <c r="O65" s="13">
        <f>_xll.BDH("NBIX US Equity","ARDR_ADDITIONAL_PAID_IN_CAPITAL","FQ4 2021","FQ4 2021","Currency=USD","Period=FQ","BEST_FPERIOD_OVERRIDE=FQ","FILING_STATUS=MR","SCALING_FORMAT=MLN","Sort=A","Dates=H","DateFormat=P","Fill=—","Direction=H","UseDPDF=Y")</f>
        <v>2011.4</v>
      </c>
      <c r="P65" s="13">
        <f>_xll.BDH("NBIX US Equity","ARDR_ADDITIONAL_PAID_IN_CAPITAL","FQ1 2022","FQ1 2022","Currency=USD","Period=FQ","BEST_FPERIOD_OVERRIDE=FQ","FILING_STATUS=MR","SCALING_FORMAT=MLN","Sort=A","Dates=H","DateFormat=P","Fill=—","Direction=H","UseDPDF=Y")</f>
        <v>1947.7</v>
      </c>
      <c r="Q65" s="13">
        <f>_xll.BDH("NBIX US Equity","ARDR_ADDITIONAL_PAID_IN_CAPITAL","FQ2 2022","FQ2 2022","Currency=USD","Period=FQ","BEST_FPERIOD_OVERRIDE=FQ","FILING_STATUS=MR","SCALING_FORMAT=MLN","Sort=A","Dates=H","DateFormat=P","Fill=—","Direction=H","UseDPDF=Y")</f>
        <v>1999.8</v>
      </c>
      <c r="R65" s="13">
        <f>_xll.BDH("NBIX US Equity","ARDR_ADDITIONAL_PAID_IN_CAPITAL","FQ3 2022","FQ3 2022","Currency=USD","Period=FQ","BEST_FPERIOD_OVERRIDE=FQ","FILING_STATUS=MR","SCALING_FORMAT=MLN","Sort=A","Dates=H","DateFormat=P","Fill=—","Direction=H","UseDPDF=Y")</f>
        <v>2054.3000000000002</v>
      </c>
      <c r="S65" s="13">
        <f>_xll.BDH("NBIX US Equity","ARDR_ADDITIONAL_PAID_IN_CAPITAL","FQ4 2022","FQ4 2022","Currency=USD","Period=FQ","BEST_FPERIOD_OVERRIDE=FQ","FILING_STATUS=MR","SCALING_FORMAT=MLN","Sort=A","Dates=H","DateFormat=P","Fill=—","Direction=H","UseDPDF=Y")</f>
        <v>2122.4</v>
      </c>
      <c r="T65" s="13">
        <f>_xll.BDH("NBIX US Equity","ARDR_ADDITIONAL_PAID_IN_CAPITAL","FQ1 2023","FQ1 2023","Currency=USD","Period=FQ","BEST_FPERIOD_OVERRIDE=FQ","FILING_STATUS=MR","SCALING_FORMAT=MLN","Sort=A","Dates=H","DateFormat=P","Fill=—","Direction=H","UseDPDF=Y")</f>
        <v>2170.5</v>
      </c>
      <c r="U65" s="13">
        <f>_xll.BDH("NBIX US Equity","ARDR_ADDITIONAL_PAID_IN_CAPITAL","FQ2 2023","FQ2 2023","Currency=USD","Period=FQ","BEST_FPERIOD_OVERRIDE=FQ","FILING_STATUS=MR","SCALING_FORMAT=MLN","Sort=A","Dates=H","DateFormat=P","Fill=—","Direction=H","UseDPDF=Y")</f>
        <v>2241.9</v>
      </c>
      <c r="V65" s="13">
        <f>_xll.BDH("NBIX US Equity","ARDR_ADDITIONAL_PAID_IN_CAPITAL","FQ3 2023","FQ3 2023","Currency=USD","Period=FQ","BEST_FPERIOD_OVERRIDE=FQ","FILING_STATUS=MR","SCALING_FORMAT=MLN","Sort=A","Dates=H","DateFormat=P","Fill=—","Direction=H","UseDPDF=Y")</f>
        <v>2308.5</v>
      </c>
      <c r="W65" s="13">
        <f>_xll.BDH("NBIX US Equity","ARDR_ADDITIONAL_PAID_IN_CAPITAL","FQ4 2023","FQ4 2023","Currency=USD","Period=FQ","BEST_FPERIOD_OVERRIDE=FQ","FILING_STATUS=MR","SCALING_FORMAT=MLN","Sort=A","Dates=H","DateFormat=P","Fill=—","Direction=H","UseDPDF=Y")</f>
        <v>2382</v>
      </c>
      <c r="X65" s="13">
        <f>_xll.BDH("NBIX US Equity","ARDR_ADDITIONAL_PAID_IN_CAPITAL","FQ1 2024","FQ1 2024","Currency=USD","Period=FQ","BEST_FPERIOD_OVERRIDE=FQ","FILING_STATUS=MR","SCALING_FORMAT=MLN","Sort=A","Dates=H","DateFormat=P","Fill=—","Direction=H","UseDPDF=Y")</f>
        <v>2496.4</v>
      </c>
      <c r="Y65" s="13">
        <f>_xll.BDH("NBIX US Equity","ARDR_ADDITIONAL_PAID_IN_CAPITAL","FQ2 2024","FQ2 2024","Currency=USD","Period=FQ","BEST_FPERIOD_OVERRIDE=FQ","FILING_STATUS=MR","SCALING_FORMAT=MLN","Sort=A","Dates=H","DateFormat=P","Fill=—","Direction=H","UseDPDF=Y")</f>
        <v>2555.3000000000002</v>
      </c>
      <c r="Z65" s="13">
        <f>_xll.BDH("NBIX US Equity","ARDR_ADDITIONAL_PAID_IN_CAPITAL","FQ3 2024","FQ3 2024","Currency=USD","Period=FQ","BEST_FPERIOD_OVERRIDE=FQ","FILING_STATUS=MR","SCALING_FORMAT=MLN","Sort=A","Dates=H","DateFormat=P","Fill=—","Direction=H","UseDPDF=Y")</f>
        <v>2623.2</v>
      </c>
      <c r="AA65" s="13">
        <f>_xll.BDH("NBIX US Equity","ARDR_ADDITIONAL_PAID_IN_CAPITAL","FQ4 2024","FQ4 2024","Currency=USD","Period=FQ","BEST_FPERIOD_OVERRIDE=FQ","FILING_STATUS=MR","SCALING_FORMAT=MLN","Sort=A","Dates=H","DateFormat=P","Fill=—","Direction=H","UseDPDF=Y")</f>
        <v>2554.6</v>
      </c>
    </row>
    <row r="66" spans="1:27" x14ac:dyDescent="0.25">
      <c r="A66" s="10" t="s">
        <v>877</v>
      </c>
      <c r="B66" s="10" t="s">
        <v>915</v>
      </c>
      <c r="C66" s="13">
        <f>_xll.BDH("NBIX US Equity","ARDR_ACC_OTH_COMPREHENSIVE_INC","FQ4 2018","FQ4 2018","Currency=USD","Period=FQ","BEST_FPERIOD_OVERRIDE=FQ","FILING_STATUS=MR","SCALING_FORMAT=MLN","Sort=A","Dates=H","DateFormat=P","Fill=—","Direction=H","UseDPDF=Y")</f>
        <v>-1.9319999999999999</v>
      </c>
      <c r="D66" s="13">
        <f>_xll.BDH("NBIX US Equity","ARDR_ACC_OTH_COMPREHENSIVE_INC","FQ1 2019","FQ1 2019","Currency=USD","Period=FQ","BEST_FPERIOD_OVERRIDE=FQ","FILING_STATUS=MR","SCALING_FORMAT=MLN","Sort=A","Dates=H","DateFormat=P","Fill=—","Direction=H","UseDPDF=Y")</f>
        <v>-0.23300000000000001</v>
      </c>
      <c r="E66" s="13">
        <f>_xll.BDH("NBIX US Equity","ARDR_ACC_OTH_COMPREHENSIVE_INC","FQ2 2019","FQ2 2019","Currency=USD","Period=FQ","BEST_FPERIOD_OVERRIDE=FQ","FILING_STATUS=MR","SCALING_FORMAT=MLN","Sort=A","Dates=H","DateFormat=P","Fill=—","Direction=H","UseDPDF=Y")</f>
        <v>0.64500000000000002</v>
      </c>
      <c r="F66" s="13">
        <f>_xll.BDH("NBIX US Equity","ARDR_ACC_OTH_COMPREHENSIVE_INC","FQ3 2019","FQ3 2019","Currency=USD","Period=FQ","BEST_FPERIOD_OVERRIDE=FQ","FILING_STATUS=MR","SCALING_FORMAT=MLN","Sort=A","Dates=H","DateFormat=P","Fill=—","Direction=H","UseDPDF=Y")</f>
        <v>1.6060000000000001</v>
      </c>
      <c r="G66" s="13">
        <f>_xll.BDH("NBIX US Equity","ARDR_ACC_OTH_COMPREHENSIVE_INC","FQ4 2019","FQ4 2019","Currency=USD","Period=FQ","BEST_FPERIOD_OVERRIDE=FQ","FILING_STATUS=MR","SCALING_FORMAT=MLN","Sort=A","Dates=H","DateFormat=P","Fill=—","Direction=H","UseDPDF=Y")</f>
        <v>1.4</v>
      </c>
      <c r="H66" s="13">
        <f>_xll.BDH("NBIX US Equity","ARDR_ACC_OTH_COMPREHENSIVE_INC","FQ1 2020","FQ1 2020","Currency=USD","Period=FQ","BEST_FPERIOD_OVERRIDE=FQ","FILING_STATUS=MR","SCALING_FORMAT=MLN","Sort=A","Dates=H","DateFormat=P","Fill=—","Direction=H","UseDPDF=Y")</f>
        <v>-1.4</v>
      </c>
      <c r="I66" s="13">
        <f>_xll.BDH("NBIX US Equity","ARDR_ACC_OTH_COMPREHENSIVE_INC","FQ2 2020","FQ2 2020","Currency=USD","Period=FQ","BEST_FPERIOD_OVERRIDE=FQ","FILING_STATUS=MR","SCALING_FORMAT=MLN","Sort=A","Dates=H","DateFormat=P","Fill=—","Direction=H","UseDPDF=Y")</f>
        <v>4.5999999999999996</v>
      </c>
      <c r="J66" s="13">
        <f>_xll.BDH("NBIX US Equity","ARDR_ACC_OTH_COMPREHENSIVE_INC","FQ3 2020","FQ3 2020","Currency=USD","Period=FQ","BEST_FPERIOD_OVERRIDE=FQ","FILING_STATUS=MR","SCALING_FORMAT=MLN","Sort=A","Dates=H","DateFormat=P","Fill=—","Direction=H","UseDPDF=Y")</f>
        <v>3.2</v>
      </c>
      <c r="K66" s="13">
        <f>_xll.BDH("NBIX US Equity","ARDR_ACC_OTH_COMPREHENSIVE_INC","FQ4 2020","FQ4 2020","Currency=USD","Period=FQ","BEST_FPERIOD_OVERRIDE=FQ","FILING_STATUS=MR","SCALING_FORMAT=MLN","Sort=A","Dates=H","DateFormat=P","Fill=—","Direction=H","UseDPDF=Y")</f>
        <v>1.8</v>
      </c>
      <c r="L66" s="13">
        <f>_xll.BDH("NBIX US Equity","ARDR_ACC_OTH_COMPREHENSIVE_INC","FQ1 2021","FQ1 2021","Currency=USD","Period=FQ","BEST_FPERIOD_OVERRIDE=FQ","FILING_STATUS=MR","SCALING_FORMAT=MLN","Sort=A","Dates=H","DateFormat=P","Fill=—","Direction=H","UseDPDF=Y")</f>
        <v>1</v>
      </c>
      <c r="M66" s="13">
        <f>_xll.BDH("NBIX US Equity","ARDR_ACC_OTH_COMPREHENSIVE_INC","FQ2 2021","FQ2 2021","Currency=USD","Period=FQ","BEST_FPERIOD_OVERRIDE=FQ","FILING_STATUS=MR","SCALING_FORMAT=MLN","Sort=A","Dates=H","DateFormat=P","Fill=—","Direction=H","UseDPDF=Y")</f>
        <v>0.7</v>
      </c>
      <c r="N66" s="13">
        <f>_xll.BDH("NBIX US Equity","ARDR_ACC_OTH_COMPREHENSIVE_INC","FQ3 2021","FQ3 2021","Currency=USD","Period=FQ","BEST_FPERIOD_OVERRIDE=FQ","FILING_STATUS=MR","SCALING_FORMAT=MLN","Sort=A","Dates=H","DateFormat=P","Fill=—","Direction=H","UseDPDF=Y")</f>
        <v>0.4</v>
      </c>
      <c r="O66" s="13">
        <f>_xll.BDH("NBIX US Equity","ARDR_ACC_OTH_COMPREHENSIVE_INC","FQ4 2021","FQ4 2021","Currency=USD","Period=FQ","BEST_FPERIOD_OVERRIDE=FQ","FILING_STATUS=MR","SCALING_FORMAT=MLN","Sort=A","Dates=H","DateFormat=P","Fill=—","Direction=H","UseDPDF=Y")</f>
        <v>-1.7</v>
      </c>
      <c r="P66" s="13">
        <f>_xll.BDH("NBIX US Equity","ARDR_ACC_OTH_COMPREHENSIVE_INC","FQ1 2022","FQ1 2022","Currency=USD","Period=FQ","BEST_FPERIOD_OVERRIDE=FQ","FILING_STATUS=MR","SCALING_FORMAT=MLN","Sort=A","Dates=H","DateFormat=P","Fill=—","Direction=H","UseDPDF=Y")</f>
        <v>-9.3000000000000007</v>
      </c>
      <c r="Q66" s="13">
        <f>_xll.BDH("NBIX US Equity","ARDR_ACC_OTH_COMPREHENSIVE_INC","FQ2 2022","FQ2 2022","Currency=USD","Period=FQ","BEST_FPERIOD_OVERRIDE=FQ","FILING_STATUS=MR","SCALING_FORMAT=MLN","Sort=A","Dates=H","DateFormat=P","Fill=—","Direction=H","UseDPDF=Y")</f>
        <v>-12.2</v>
      </c>
      <c r="R66" s="13">
        <f>_xll.BDH("NBIX US Equity","ARDR_ACC_OTH_COMPREHENSIVE_INC","FQ3 2022","FQ3 2022","Currency=USD","Period=FQ","BEST_FPERIOD_OVERRIDE=FQ","FILING_STATUS=MR","SCALING_FORMAT=MLN","Sort=A","Dates=H","DateFormat=P","Fill=—","Direction=H","UseDPDF=Y")</f>
        <v>-14</v>
      </c>
      <c r="S66" s="13">
        <f>_xll.BDH("NBIX US Equity","ARDR_ACC_OTH_COMPREHENSIVE_INC","FQ4 2022","FQ4 2022","Currency=USD","Period=FQ","BEST_FPERIOD_OVERRIDE=FQ","FILING_STATUS=MR","SCALING_FORMAT=MLN","Sort=A","Dates=H","DateFormat=P","Fill=—","Direction=H","UseDPDF=Y")</f>
        <v>-7.9</v>
      </c>
      <c r="T66" s="13">
        <f>_xll.BDH("NBIX US Equity","ARDR_ACC_OTH_COMPREHENSIVE_INC","FQ1 2023","FQ1 2023","Currency=USD","Period=FQ","BEST_FPERIOD_OVERRIDE=FQ","FILING_STATUS=MR","SCALING_FORMAT=MLN","Sort=A","Dates=H","DateFormat=P","Fill=—","Direction=H","UseDPDF=Y")</f>
        <v>-2.7</v>
      </c>
      <c r="U66" s="13">
        <f>_xll.BDH("NBIX US Equity","ARDR_ACC_OTH_COMPREHENSIVE_INC","FQ2 2023","FQ2 2023","Currency=USD","Period=FQ","BEST_FPERIOD_OVERRIDE=FQ","FILING_STATUS=MR","SCALING_FORMAT=MLN","Sort=A","Dates=H","DateFormat=P","Fill=—","Direction=H","UseDPDF=Y")</f>
        <v>-1.1000000000000001</v>
      </c>
      <c r="V66" s="13">
        <f>_xll.BDH("NBIX US Equity","ARDR_ACC_OTH_COMPREHENSIVE_INC","FQ3 2023","FQ3 2023","Currency=USD","Period=FQ","BEST_FPERIOD_OVERRIDE=FQ","FILING_STATUS=MR","SCALING_FORMAT=MLN","Sort=A","Dates=H","DateFormat=P","Fill=—","Direction=H","UseDPDF=Y")</f>
        <v>-1.7</v>
      </c>
      <c r="W66" s="13">
        <f>_xll.BDH("NBIX US Equity","ARDR_ACC_OTH_COMPREHENSIVE_INC","FQ4 2023","FQ4 2023","Currency=USD","Period=FQ","BEST_FPERIOD_OVERRIDE=FQ","FILING_STATUS=MR","SCALING_FORMAT=MLN","Sort=A","Dates=H","DateFormat=P","Fill=—","Direction=H","UseDPDF=Y")</f>
        <v>7</v>
      </c>
      <c r="X66" s="13">
        <f>_xll.BDH("NBIX US Equity","ARDR_ACC_OTH_COMPREHENSIVE_INC","FQ1 2024","FQ1 2024","Currency=USD","Period=FQ","BEST_FPERIOD_OVERRIDE=FQ","FILING_STATUS=MR","SCALING_FORMAT=MLN","Sort=A","Dates=H","DateFormat=P","Fill=—","Direction=H","UseDPDF=Y")</f>
        <v>3.3</v>
      </c>
      <c r="Y66" s="13">
        <f>_xll.BDH("NBIX US Equity","ARDR_ACC_OTH_COMPREHENSIVE_INC","FQ2 2024","FQ2 2024","Currency=USD","Period=FQ","BEST_FPERIOD_OVERRIDE=FQ","FILING_STATUS=MR","SCALING_FORMAT=MLN","Sort=A","Dates=H","DateFormat=P","Fill=—","Direction=H","UseDPDF=Y")</f>
        <v>2.5</v>
      </c>
      <c r="Z66" s="13">
        <f>_xll.BDH("NBIX US Equity","ARDR_ACC_OTH_COMPREHENSIVE_INC","FQ3 2024","FQ3 2024","Currency=USD","Period=FQ","BEST_FPERIOD_OVERRIDE=FQ","FILING_STATUS=MR","SCALING_FORMAT=MLN","Sort=A","Dates=H","DateFormat=P","Fill=—","Direction=H","UseDPDF=Y")</f>
        <v>14.5</v>
      </c>
      <c r="AA66" s="13">
        <f>_xll.BDH("NBIX US Equity","ARDR_ACC_OTH_COMPREHENSIVE_INC","FQ4 2024","FQ4 2024","Currency=USD","Period=FQ","BEST_FPERIOD_OVERRIDE=FQ","FILING_STATUS=MR","SCALING_FORMAT=MLN","Sort=A","Dates=H","DateFormat=P","Fill=—","Direction=H","UseDPDF=Y")</f>
        <v>5.8</v>
      </c>
    </row>
    <row r="67" spans="1:27" x14ac:dyDescent="0.25">
      <c r="A67" s="10" t="s">
        <v>879</v>
      </c>
      <c r="B67" s="10" t="s">
        <v>916</v>
      </c>
      <c r="C67" s="13">
        <f>_xll.BDH("NBIX US Equity","ARDR_RETAINED_EARN_ACC_DEFICIT","FQ4 2018","FQ4 2018","Currency=USD","Period=FQ","BEST_FPERIOD_OVERRIDE=FQ","FILING_STATUS=MR","SCALING_FORMAT=MLN","Sort=A","Dates=H","DateFormat=P","Fill=—","Direction=H","UseDPDF=Y")</f>
        <v>-1177.7550000000001</v>
      </c>
      <c r="D67" s="13">
        <f>_xll.BDH("NBIX US Equity","ARDR_RETAINED_EARN_ACC_DEFICIT","FQ1 2019","FQ1 2019","Currency=USD","Period=FQ","BEST_FPERIOD_OVERRIDE=FQ","FILING_STATUS=MR","SCALING_FORMAT=MLN","Sort=A","Dates=H","DateFormat=P","Fill=—","Direction=H","UseDPDF=Y")</f>
        <v>-1271.827</v>
      </c>
      <c r="E67" s="13">
        <f>_xll.BDH("NBIX US Equity","ARDR_RETAINED_EARN_ACC_DEFICIT","FQ2 2019","FQ2 2019","Currency=USD","Period=FQ","BEST_FPERIOD_OVERRIDE=FQ","FILING_STATUS=MR","SCALING_FORMAT=MLN","Sort=A","Dates=H","DateFormat=P","Fill=—","Direction=H","UseDPDF=Y")</f>
        <v>-1220.489</v>
      </c>
      <c r="F67" s="13">
        <f>_xll.BDH("NBIX US Equity","ARDR_RETAINED_EARN_ACC_DEFICIT","FQ3 2019","FQ3 2019","Currency=USD","Period=FQ","BEST_FPERIOD_OVERRIDE=FQ","FILING_STATUS=MR","SCALING_FORMAT=MLN","Sort=A","Dates=H","DateFormat=P","Fill=—","Direction=H","UseDPDF=Y")</f>
        <v>-1166.7</v>
      </c>
      <c r="G67" s="13">
        <f>_xll.BDH("NBIX US Equity","ARDR_RETAINED_EARN_ACC_DEFICIT","FQ4 2019","FQ4 2019","Currency=USD","Period=FQ","BEST_FPERIOD_OVERRIDE=FQ","FILING_STATUS=MR","SCALING_FORMAT=MLN","Sort=A","Dates=H","DateFormat=P","Fill=—","Direction=H","UseDPDF=Y")</f>
        <v>-1132.7</v>
      </c>
      <c r="H67" s="13">
        <f>_xll.BDH("NBIX US Equity","ARDR_RETAINED_EARN_ACC_DEFICIT","FQ1 2020","FQ1 2020","Currency=USD","Period=FQ","BEST_FPERIOD_OVERRIDE=FQ","FILING_STATUS=MR","SCALING_FORMAT=MLN","Sort=A","Dates=H","DateFormat=P","Fill=—","Direction=H","UseDPDF=Y")</f>
        <v>-1095.3</v>
      </c>
      <c r="I67" s="13">
        <f>_xll.BDH("NBIX US Equity","ARDR_RETAINED_EARN_ACC_DEFICIT","FQ2 2020","FQ2 2020","Currency=USD","Period=FQ","BEST_FPERIOD_OVERRIDE=FQ","FILING_STATUS=MR","SCALING_FORMAT=MLN","Sort=A","Dates=H","DateFormat=P","Fill=—","Direction=H","UseDPDF=Y")</f>
        <v>-1015.7</v>
      </c>
      <c r="J67" s="13">
        <f>_xll.BDH("NBIX US Equity","ARDR_RETAINED_EARN_ACC_DEFICIT","FQ3 2020","FQ3 2020","Currency=USD","Period=FQ","BEST_FPERIOD_OVERRIDE=FQ","FILING_STATUS=MR","SCALING_FORMAT=MLN","Sort=A","Dates=H","DateFormat=P","Fill=—","Direction=H","UseDPDF=Y")</f>
        <v>-1073.3</v>
      </c>
      <c r="K67" s="13">
        <f>_xll.BDH("NBIX US Equity","ARDR_RETAINED_EARN_ACC_DEFICIT","FQ4 2020","FQ4 2020","Currency=USD","Period=FQ","BEST_FPERIOD_OVERRIDE=FQ","FILING_STATUS=MR","SCALING_FORMAT=MLN","Sort=A","Dates=H","DateFormat=P","Fill=—","Direction=H","UseDPDF=Y")</f>
        <v>-725.4</v>
      </c>
      <c r="L67" s="13">
        <f>_xll.BDH("NBIX US Equity","ARDR_RETAINED_EARN_ACC_DEFICIT","FQ1 2021","FQ1 2021","Currency=USD","Period=FQ","BEST_FPERIOD_OVERRIDE=FQ","FILING_STATUS=MR","SCALING_FORMAT=MLN","Sort=A","Dates=H","DateFormat=P","Fill=—","Direction=H","UseDPDF=Y")</f>
        <v>-693.3</v>
      </c>
      <c r="M67" s="13">
        <f>_xll.BDH("NBIX US Equity","ARDR_RETAINED_EARN_ACC_DEFICIT","FQ2 2021","FQ2 2021","Currency=USD","Period=FQ","BEST_FPERIOD_OVERRIDE=FQ","FILING_STATUS=MR","SCALING_FORMAT=MLN","Sort=A","Dates=H","DateFormat=P","Fill=—","Direction=H","UseDPDF=Y")</f>
        <v>-651</v>
      </c>
      <c r="N67" s="13">
        <f>_xll.BDH("NBIX US Equity","ARDR_RETAINED_EARN_ACC_DEFICIT","FQ3 2021","FQ3 2021","Currency=USD","Period=FQ","BEST_FPERIOD_OVERRIDE=FQ","FILING_STATUS=MR","SCALING_FORMAT=MLN","Sort=A","Dates=H","DateFormat=P","Fill=—","Direction=H","UseDPDF=Y")</f>
        <v>628.5</v>
      </c>
      <c r="O67" s="13">
        <f>_xll.BDH("NBIX US Equity","ARDR_RETAINED_EARN_ACC_DEFICIT","FQ4 2021","FQ4 2021","Currency=USD","Period=FQ","BEST_FPERIOD_OVERRIDE=FQ","FILING_STATUS=MR","SCALING_FORMAT=MLN","Sort=A","Dates=H","DateFormat=P","Fill=—","Direction=H","UseDPDF=Y")</f>
        <v>-635.79999999999995</v>
      </c>
      <c r="P67" s="13">
        <f>_xll.BDH("NBIX US Equity","ARDR_RETAINED_EARN_ACC_DEFICIT","FQ1 2022","FQ1 2022","Currency=USD","Period=FQ","BEST_FPERIOD_OVERRIDE=FQ","FILING_STATUS=MR","SCALING_FORMAT=MLN","Sort=A","Dates=H","DateFormat=P","Fill=—","Direction=H","UseDPDF=Y")</f>
        <v>-547.4</v>
      </c>
      <c r="Q67" s="13">
        <f>_xll.BDH("NBIX US Equity","ARDR_RETAINED_EARN_ACC_DEFICIT","FQ2 2022","FQ2 2022","Currency=USD","Period=FQ","BEST_FPERIOD_OVERRIDE=FQ","FILING_STATUS=MR","SCALING_FORMAT=MLN","Sort=A","Dates=H","DateFormat=P","Fill=—","Direction=H","UseDPDF=Y")</f>
        <v>-564.29999999999995</v>
      </c>
      <c r="R67" s="13">
        <f>_xll.BDH("NBIX US Equity","ARDR_RETAINED_EARN_ACC_DEFICIT","FQ3 2022","FQ3 2022","Currency=USD","Period=FQ","BEST_FPERIOD_OVERRIDE=FQ","FILING_STATUS=MR","SCALING_FORMAT=MLN","Sort=A","Dates=H","DateFormat=P","Fill=—","Direction=H","UseDPDF=Y")</f>
        <v>495.8</v>
      </c>
      <c r="S67" s="13">
        <f>_xll.BDH("NBIX US Equity","ARDR_RETAINED_EARN_ACC_DEFICIT","FQ4 2022","FQ4 2022","Currency=USD","Period=FQ","BEST_FPERIOD_OVERRIDE=FQ","FILING_STATUS=MR","SCALING_FORMAT=MLN","Sort=A","Dates=H","DateFormat=P","Fill=—","Direction=H","UseDPDF=Y")</f>
        <v>-406.8</v>
      </c>
      <c r="T67" s="13">
        <f>_xll.BDH("NBIX US Equity","ARDR_RETAINED_EARN_ACC_DEFICIT","FQ1 2023","FQ1 2023","Currency=USD","Period=FQ","BEST_FPERIOD_OVERRIDE=FQ","FILING_STATUS=MR","SCALING_FORMAT=MLN","Sort=A","Dates=H","DateFormat=P","Fill=—","Direction=H","UseDPDF=Y")</f>
        <v>-483.4</v>
      </c>
      <c r="U67" s="13">
        <f>_xll.BDH("NBIX US Equity","ARDR_RETAINED_EARN_ACC_DEFICIT","FQ2 2023","FQ2 2023","Currency=USD","Period=FQ","BEST_FPERIOD_OVERRIDE=FQ","FILING_STATUS=MR","SCALING_FORMAT=MLN","Sort=A","Dates=H","DateFormat=P","Fill=—","Direction=H","UseDPDF=Y")</f>
        <v>-387.9</v>
      </c>
      <c r="V67" s="13">
        <f>_xll.BDH("NBIX US Equity","ARDR_RETAINED_EARN_ACC_DEFICIT","FQ3 2023","FQ3 2023","Currency=USD","Period=FQ","BEST_FPERIOD_OVERRIDE=FQ","FILING_STATUS=MR","SCALING_FORMAT=MLN","Sort=A","Dates=H","DateFormat=P","Fill=—","Direction=H","UseDPDF=Y")</f>
        <v>-304.8</v>
      </c>
      <c r="W67" s="13">
        <f>_xll.BDH("NBIX US Equity","ARDR_RETAINED_EARN_ACC_DEFICIT","FQ4 2023","FQ4 2023","Currency=USD","Period=FQ","BEST_FPERIOD_OVERRIDE=FQ","FILING_STATUS=MR","SCALING_FORMAT=MLN","Sort=A","Dates=H","DateFormat=P","Fill=—","Direction=H","UseDPDF=Y")</f>
        <v>-157.1</v>
      </c>
      <c r="X67" s="13">
        <f>_xll.BDH("NBIX US Equity","ARDR_RETAINED_EARN_ACC_DEFICIT","FQ1 2024","FQ1 2024","Currency=USD","Period=FQ","BEST_FPERIOD_OVERRIDE=FQ","FILING_STATUS=MR","SCALING_FORMAT=MLN","Sort=A","Dates=H","DateFormat=P","Fill=—","Direction=H","UseDPDF=Y")</f>
        <v>-113.7</v>
      </c>
      <c r="Y67" s="13">
        <f>_xll.BDH("NBIX US Equity","ARDR_RETAINED_EARN_ACC_DEFICIT","FQ2 2024","FQ2 2024","Currency=USD","Period=FQ","BEST_FPERIOD_OVERRIDE=FQ","FILING_STATUS=MR","SCALING_FORMAT=MLN","Sort=A","Dates=H","DateFormat=P","Fill=—","Direction=H","UseDPDF=Y")</f>
        <v>-48.7</v>
      </c>
      <c r="Z67" s="13">
        <f>_xll.BDH("NBIX US Equity","ARDR_RETAINED_EARN_ACC_DEFICIT","FQ3 2024","FQ3 2024","Currency=USD","Period=FQ","BEST_FPERIOD_OVERRIDE=FQ","FILING_STATUS=MR","SCALING_FORMAT=MLN","Sort=A","Dates=H","DateFormat=P","Fill=—","Direction=H","UseDPDF=Y")</f>
        <v>81.099999999999994</v>
      </c>
      <c r="AA67" s="13">
        <f>_xll.BDH("NBIX US Equity","ARDR_RETAINED_EARN_ACC_DEFICIT","FQ4 2024","FQ4 2024","Currency=USD","Period=FQ","BEST_FPERIOD_OVERRIDE=FQ","FILING_STATUS=MR","SCALING_FORMAT=MLN","Sort=A","Dates=H","DateFormat=P","Fill=—","Direction=H","UseDPDF=Y")</f>
        <v>29.2</v>
      </c>
    </row>
    <row r="68" spans="1:27" x14ac:dyDescent="0.25">
      <c r="A68" s="10" t="s">
        <v>790</v>
      </c>
      <c r="B68" s="10" t="s">
        <v>917</v>
      </c>
      <c r="C68" s="13">
        <f>_xll.BDH("NBIX US Equity","ARDR_SHARES_OUTSTANDING","FQ4 2018","FQ4 2018","Currency=USD","Period=FQ","BEST_FPERIOD_OVERRIDE=FQ","FILING_STATUS=MR","Sort=A","Dates=H","DateFormat=P","Fill=—","Direction=H","UseDPDF=Y")</f>
        <v>90.796999999999997</v>
      </c>
      <c r="D68" s="13">
        <f>_xll.BDH("NBIX US Equity","ARDR_SHARES_OUTSTANDING","FQ1 2019","FQ1 2019","Currency=USD","Period=FQ","BEST_FPERIOD_OVERRIDE=FQ","FILING_STATUS=MR","Sort=A","Dates=H","DateFormat=P","Fill=—","Direction=H","UseDPDF=Y")</f>
        <v>91.284000000000006</v>
      </c>
      <c r="E68" s="13">
        <f>_xll.BDH("NBIX US Equity","ARDR_SHARES_OUTSTANDING","FQ2 2019","FQ2 2019","Currency=USD","Period=FQ","BEST_FPERIOD_OVERRIDE=FQ","FILING_STATUS=MR","Sort=A","Dates=H","DateFormat=P","Fill=—","Direction=H","UseDPDF=Y")</f>
        <v>91.536000000000001</v>
      </c>
      <c r="F68" s="13">
        <f>_xll.BDH("NBIX US Equity","ARDR_SHARES_OUTSTANDING","FQ3 2019","FQ3 2019","Currency=USD","Period=FQ","BEST_FPERIOD_OVERRIDE=FQ","FILING_STATUS=MR","Sort=A","Dates=H","DateFormat=P","Fill=—","Direction=H","UseDPDF=Y")</f>
        <v>92.08</v>
      </c>
      <c r="G68" s="13">
        <f>_xll.BDH("NBIX US Equity","ARDR_SHARES_OUTSTANDING","FQ4 2019","FQ4 2019","Currency=USD","Period=FQ","BEST_FPERIOD_OVERRIDE=FQ","FILING_STATUS=MR","Sort=A","Dates=H","DateFormat=P","Fill=—","Direction=H","UseDPDF=Y")</f>
        <v>92.3</v>
      </c>
      <c r="H68" s="13">
        <f>_xll.BDH("NBIX US Equity","ARDR_SHARES_OUTSTANDING","FQ1 2020","FQ1 2020","Currency=USD","Period=FQ","BEST_FPERIOD_OVERRIDE=FQ","FILING_STATUS=MR","Sort=A","Dates=H","DateFormat=P","Fill=—","Direction=H","UseDPDF=Y")</f>
        <v>92.8</v>
      </c>
      <c r="I68" s="13">
        <f>_xll.BDH("NBIX US Equity","ARDR_SHARES_OUTSTANDING","FQ2 2020","FQ2 2020","Currency=USD","Period=FQ","BEST_FPERIOD_OVERRIDE=FQ","FILING_STATUS=MR","Sort=A","Dates=H","DateFormat=P","Fill=—","Direction=H","UseDPDF=Y")</f>
        <v>93.2</v>
      </c>
      <c r="J68" s="13">
        <f>_xll.BDH("NBIX US Equity","ARDR_SHARES_OUTSTANDING","FQ3 2020","FQ3 2020","Currency=USD","Period=FQ","BEST_FPERIOD_OVERRIDE=FQ","FILING_STATUS=MR","Sort=A","Dates=H","DateFormat=P","Fill=—","Direction=H","UseDPDF=Y")</f>
        <v>93.4</v>
      </c>
      <c r="K68" s="13">
        <f>_xll.BDH("NBIX US Equity","ARDR_SHARES_OUTSTANDING","FQ4 2020","FQ4 2020","Currency=USD","Period=FQ","BEST_FPERIOD_OVERRIDE=FQ","FILING_STATUS=MR","Sort=A","Dates=H","DateFormat=P","Fill=—","Direction=H","UseDPDF=Y")</f>
        <v>93.5</v>
      </c>
      <c r="L68" s="13">
        <f>_xll.BDH("NBIX US Equity","ARDR_SHARES_OUTSTANDING","FQ1 2021","FQ1 2021","Currency=USD","Period=FQ","BEST_FPERIOD_OVERRIDE=FQ","FILING_STATUS=MR","Sort=A","Dates=H","DateFormat=P","Fill=—","Direction=H","UseDPDF=Y")</f>
        <v>94.5</v>
      </c>
      <c r="M68" s="13">
        <f>_xll.BDH("NBIX US Equity","ARDR_SHARES_OUTSTANDING","FQ2 2021","FQ2 2021","Currency=USD","Period=FQ","BEST_FPERIOD_OVERRIDE=FQ","FILING_STATUS=MR","Sort=A","Dates=H","DateFormat=P","Fill=—","Direction=H","UseDPDF=Y")</f>
        <v>94.6</v>
      </c>
      <c r="N68" s="13">
        <f>_xll.BDH("NBIX US Equity","ARDR_SHARES_OUTSTANDING","FQ3 2021","FQ3 2021","Currency=USD","Period=FQ","BEST_FPERIOD_OVERRIDE=FQ","FILING_STATUS=MR","Sort=A","Dates=H","DateFormat=P","Fill=—","Direction=H","UseDPDF=Y")</f>
        <v>94.8</v>
      </c>
      <c r="O68" s="13">
        <f>_xll.BDH("NBIX US Equity","ARDR_SHARES_OUTSTANDING","FQ4 2021","FQ4 2021","Currency=USD","Period=FQ","BEST_FPERIOD_OVERRIDE=FQ","FILING_STATUS=MR","Sort=A","Dates=H","DateFormat=P","Fill=—","Direction=H","UseDPDF=Y")</f>
        <v>94.9</v>
      </c>
      <c r="P68" s="13">
        <f>_xll.BDH("NBIX US Equity","ARDR_SHARES_OUTSTANDING","FQ1 2022","FQ1 2022","Currency=USD","Period=FQ","BEST_FPERIOD_OVERRIDE=FQ","FILING_STATUS=MR","Sort=A","Dates=H","DateFormat=P","Fill=—","Direction=H","UseDPDF=Y")</f>
        <v>95.5</v>
      </c>
      <c r="Q68" s="13">
        <f>_xll.BDH("NBIX US Equity","ARDR_SHARES_OUTSTANDING","FQ2 2022","FQ2 2022","Currency=USD","Period=FQ","BEST_FPERIOD_OVERRIDE=FQ","FILING_STATUS=MR","Sort=A","Dates=H","DateFormat=P","Fill=—","Direction=H","UseDPDF=Y")</f>
        <v>95.6</v>
      </c>
      <c r="R68" s="13">
        <f>_xll.BDH("NBIX US Equity","ARDR_SHARES_OUTSTANDING","FQ3 2022","FQ3 2022","Currency=USD","Period=FQ","BEST_FPERIOD_OVERRIDE=FQ","FILING_STATUS=MR","Sort=A","Dates=H","DateFormat=P","Fill=—","Direction=H","UseDPDF=Y")</f>
        <v>96.1</v>
      </c>
      <c r="S68" s="13">
        <f>_xll.BDH("NBIX US Equity","ARDR_SHARES_OUTSTANDING","FQ4 2022","FQ4 2022","Currency=USD","Period=FQ","BEST_FPERIOD_OVERRIDE=FQ","FILING_STATUS=MR","Sort=A","Dates=H","DateFormat=P","Fill=—","Direction=H","UseDPDF=Y")</f>
        <v>96.5</v>
      </c>
      <c r="T68" s="13">
        <f>_xll.BDH("NBIX US Equity","ARDR_SHARES_OUTSTANDING","FQ1 2023","FQ1 2023","Currency=USD","Period=FQ","BEST_FPERIOD_OVERRIDE=FQ","FILING_STATUS=MR","Sort=A","Dates=H","DateFormat=P","Fill=—","Direction=H","UseDPDF=Y")</f>
        <v>97.5</v>
      </c>
      <c r="U68" s="13">
        <f>_xll.BDH("NBIX US Equity","ARDR_SHARES_OUTSTANDING","FQ2 2023","FQ2 2023","Currency=USD","Period=FQ","BEST_FPERIOD_OVERRIDE=FQ","FILING_STATUS=MR","Sort=A","Dates=H","DateFormat=P","Fill=—","Direction=H","UseDPDF=Y")</f>
        <v>97.6</v>
      </c>
      <c r="V68" s="13">
        <f>_xll.BDH("NBIX US Equity","ARDR_SHARES_OUTSTANDING","FQ3 2023","FQ3 2023","Currency=USD","Period=FQ","BEST_FPERIOD_OVERRIDE=FQ","FILING_STATUS=MR","Sort=A","Dates=H","DateFormat=P","Fill=—","Direction=H","UseDPDF=Y")</f>
        <v>98.2</v>
      </c>
      <c r="W68" s="13">
        <f>_xll.BDH("NBIX US Equity","ARDR_SHARES_OUTSTANDING","FQ4 2023","FQ4 2023","Currency=USD","Period=FQ","BEST_FPERIOD_OVERRIDE=FQ","FILING_STATUS=MR","Sort=A","Dates=H","DateFormat=P","Fill=—","Direction=H","UseDPDF=Y")</f>
        <v>98.7</v>
      </c>
      <c r="X68" s="13">
        <f>_xll.BDH("NBIX US Equity","ARDR_SHARES_OUTSTANDING","FQ1 2024","FQ1 2024","Currency=USD","Period=FQ","BEST_FPERIOD_OVERRIDE=FQ","FILING_STATUS=MR","Sort=A","Dates=H","DateFormat=P","Fill=—","Direction=H","UseDPDF=Y")</f>
        <v>100.6</v>
      </c>
      <c r="Y68" s="13">
        <f>_xll.BDH("NBIX US Equity","ARDR_SHARES_OUTSTANDING","FQ2 2024","FQ2 2024","Currency=USD","Period=FQ","BEST_FPERIOD_OVERRIDE=FQ","FILING_STATUS=MR","Sort=A","Dates=H","DateFormat=P","Fill=—","Direction=H","UseDPDF=Y")</f>
        <v>100.9</v>
      </c>
      <c r="Z68" s="13">
        <f>_xll.BDH("NBIX US Equity","ARDR_SHARES_OUTSTANDING","FQ3 2024","FQ3 2024","Currency=USD","Period=FQ","BEST_FPERIOD_OVERRIDE=FQ","FILING_STATUS=MR","Sort=A","Dates=H","DateFormat=P","Fill=—","Direction=H","UseDPDF=Y")</f>
        <v>101.2</v>
      </c>
      <c r="AA68" s="13">
        <f>_xll.BDH("NBIX US Equity","ARDR_SHARES_OUTSTANDING","FQ4 2024","FQ4 2024","Currency=USD","Period=FQ","BEST_FPERIOD_OVERRIDE=FQ","FILING_STATUS=MR","Sort=A","Dates=H","DateFormat=P","Fill=—","Direction=H","UseDPDF=Y")</f>
        <v>99.4</v>
      </c>
    </row>
    <row r="69" spans="1:27" x14ac:dyDescent="0.25">
      <c r="A69" s="10" t="s">
        <v>882</v>
      </c>
      <c r="B69" s="10" t="s">
        <v>918</v>
      </c>
      <c r="C69" s="14">
        <f>_xll.BDH("NBIX US Equity","ARDR_PAR_VALUE","FQ4 2018","FQ4 2018","Currency=USD","Period=FQ","BEST_FPERIOD_OVERRIDE=FQ","FILING_STATUS=MR","Sort=A","Dates=H","DateFormat=P","Fill=—","Direction=H","UseDPDF=Y")</f>
        <v>0.01</v>
      </c>
      <c r="D69" s="14">
        <f>_xll.BDH("NBIX US Equity","ARDR_PAR_VALUE","FQ1 2019","FQ1 2019","Currency=USD","Period=FQ","BEST_FPERIOD_OVERRIDE=FQ","FILING_STATUS=MR","Sort=A","Dates=H","DateFormat=P","Fill=—","Direction=H","UseDPDF=Y")</f>
        <v>1E-3</v>
      </c>
      <c r="E69" s="14">
        <f>_xll.BDH("NBIX US Equity","ARDR_PAR_VALUE","FQ2 2019","FQ2 2019","Currency=USD","Period=FQ","BEST_FPERIOD_OVERRIDE=FQ","FILING_STATUS=MR","Sort=A","Dates=H","DateFormat=P","Fill=—","Direction=H","UseDPDF=Y")</f>
        <v>1E-3</v>
      </c>
      <c r="F69" s="14">
        <f>_xll.BDH("NBIX US Equity","ARDR_PAR_VALUE","FQ3 2019","FQ3 2019","Currency=USD","Period=FQ","BEST_FPERIOD_OVERRIDE=FQ","FILING_STATUS=MR","Sort=A","Dates=H","DateFormat=P","Fill=—","Direction=H","UseDPDF=Y")</f>
        <v>1E-3</v>
      </c>
      <c r="G69" s="14">
        <f>_xll.BDH("NBIX US Equity","ARDR_PAR_VALUE","FQ4 2019","FQ4 2019","Currency=USD","Period=FQ","BEST_FPERIOD_OVERRIDE=FQ","FILING_STATUS=MR","Sort=A","Dates=H","DateFormat=P","Fill=—","Direction=H","UseDPDF=Y")</f>
        <v>1E-3</v>
      </c>
      <c r="H69" s="14">
        <f>_xll.BDH("NBIX US Equity","ARDR_PAR_VALUE","FQ1 2020","FQ1 2020","Currency=USD","Period=FQ","BEST_FPERIOD_OVERRIDE=FQ","FILING_STATUS=MR","Sort=A","Dates=H","DateFormat=P","Fill=—","Direction=H","UseDPDF=Y")</f>
        <v>1E-3</v>
      </c>
      <c r="I69" s="14">
        <f>_xll.BDH("NBIX US Equity","ARDR_PAR_VALUE","FQ2 2020","FQ2 2020","Currency=USD","Period=FQ","BEST_FPERIOD_OVERRIDE=FQ","FILING_STATUS=MR","Sort=A","Dates=H","DateFormat=P","Fill=—","Direction=H","UseDPDF=Y")</f>
        <v>1E-3</v>
      </c>
      <c r="J69" s="14">
        <f>_xll.BDH("NBIX US Equity","ARDR_PAR_VALUE","FQ3 2020","FQ3 2020","Currency=USD","Period=FQ","BEST_FPERIOD_OVERRIDE=FQ","FILING_STATUS=MR","Sort=A","Dates=H","DateFormat=P","Fill=—","Direction=H","UseDPDF=Y")</f>
        <v>1E-3</v>
      </c>
      <c r="K69" s="14">
        <f>_xll.BDH("NBIX US Equity","ARDR_PAR_VALUE","FQ4 2020","FQ4 2020","Currency=USD","Period=FQ","BEST_FPERIOD_OVERRIDE=FQ","FILING_STATUS=MR","Sort=A","Dates=H","DateFormat=P","Fill=—","Direction=H","UseDPDF=Y")</f>
        <v>1E-3</v>
      </c>
      <c r="L69" s="14">
        <f>_xll.BDH("NBIX US Equity","ARDR_PAR_VALUE","FQ1 2021","FQ1 2021","Currency=USD","Period=FQ","BEST_FPERIOD_OVERRIDE=FQ","FILING_STATUS=MR","Sort=A","Dates=H","DateFormat=P","Fill=—","Direction=H","UseDPDF=Y")</f>
        <v>1E-3</v>
      </c>
      <c r="M69" s="14">
        <f>_xll.BDH("NBIX US Equity","ARDR_PAR_VALUE","FQ2 2021","FQ2 2021","Currency=USD","Period=FQ","BEST_FPERIOD_OVERRIDE=FQ","FILING_STATUS=MR","Sort=A","Dates=H","DateFormat=P","Fill=—","Direction=H","UseDPDF=Y")</f>
        <v>1E-3</v>
      </c>
      <c r="N69" s="14">
        <f>_xll.BDH("NBIX US Equity","ARDR_PAR_VALUE","FQ3 2021","FQ3 2021","Currency=USD","Period=FQ","BEST_FPERIOD_OVERRIDE=FQ","FILING_STATUS=MR","Sort=A","Dates=H","DateFormat=P","Fill=—","Direction=H","UseDPDF=Y")</f>
        <v>1E-3</v>
      </c>
      <c r="O69" s="14">
        <f>_xll.BDH("NBIX US Equity","ARDR_PAR_VALUE","FQ4 2021","FQ4 2021","Currency=USD","Period=FQ","BEST_FPERIOD_OVERRIDE=FQ","FILING_STATUS=MR","Sort=A","Dates=H","DateFormat=P","Fill=—","Direction=H","UseDPDF=Y")</f>
        <v>1E-3</v>
      </c>
      <c r="P69" s="14">
        <f>_xll.BDH("NBIX US Equity","ARDR_PAR_VALUE","FQ1 2022","FQ1 2022","Currency=USD","Period=FQ","BEST_FPERIOD_OVERRIDE=FQ","FILING_STATUS=MR","Sort=A","Dates=H","DateFormat=P","Fill=—","Direction=H","UseDPDF=Y")</f>
        <v>1E-3</v>
      </c>
      <c r="Q69" s="14">
        <f>_xll.BDH("NBIX US Equity","ARDR_PAR_VALUE","FQ2 2022","FQ2 2022","Currency=USD","Period=FQ","BEST_FPERIOD_OVERRIDE=FQ","FILING_STATUS=MR","Sort=A","Dates=H","DateFormat=P","Fill=—","Direction=H","UseDPDF=Y")</f>
        <v>1E-3</v>
      </c>
      <c r="R69" s="14">
        <f>_xll.BDH("NBIX US Equity","ARDR_PAR_VALUE","FQ3 2022","FQ3 2022","Currency=USD","Period=FQ","BEST_FPERIOD_OVERRIDE=FQ","FILING_STATUS=MR","Sort=A","Dates=H","DateFormat=P","Fill=—","Direction=H","UseDPDF=Y")</f>
        <v>1E-3</v>
      </c>
      <c r="S69" s="14">
        <f>_xll.BDH("NBIX US Equity","ARDR_PAR_VALUE","FQ4 2022","FQ4 2022","Currency=USD","Period=FQ","BEST_FPERIOD_OVERRIDE=FQ","FILING_STATUS=MR","Sort=A","Dates=H","DateFormat=P","Fill=—","Direction=H","UseDPDF=Y")</f>
        <v>1E-3</v>
      </c>
      <c r="T69" s="14">
        <f>_xll.BDH("NBIX US Equity","ARDR_PAR_VALUE","FQ1 2023","FQ1 2023","Currency=USD","Period=FQ","BEST_FPERIOD_OVERRIDE=FQ","FILING_STATUS=MR","Sort=A","Dates=H","DateFormat=P","Fill=—","Direction=H","UseDPDF=Y")</f>
        <v>1E-3</v>
      </c>
      <c r="U69" s="14">
        <f>_xll.BDH("NBIX US Equity","ARDR_PAR_VALUE","FQ2 2023","FQ2 2023","Currency=USD","Period=FQ","BEST_FPERIOD_OVERRIDE=FQ","FILING_STATUS=MR","Sort=A","Dates=H","DateFormat=P","Fill=—","Direction=H","UseDPDF=Y")</f>
        <v>1E-3</v>
      </c>
      <c r="V69" s="14">
        <f>_xll.BDH("NBIX US Equity","ARDR_PAR_VALUE","FQ3 2023","FQ3 2023","Currency=USD","Period=FQ","BEST_FPERIOD_OVERRIDE=FQ","FILING_STATUS=MR","Sort=A","Dates=H","DateFormat=P","Fill=—","Direction=H","UseDPDF=Y")</f>
        <v>1E-3</v>
      </c>
      <c r="W69" s="14">
        <f>_xll.BDH("NBIX US Equity","ARDR_PAR_VALUE","FQ4 2023","FQ4 2023","Currency=USD","Period=FQ","BEST_FPERIOD_OVERRIDE=FQ","FILING_STATUS=MR","Sort=A","Dates=H","DateFormat=P","Fill=—","Direction=H","UseDPDF=Y")</f>
        <v>1E-3</v>
      </c>
      <c r="X69" s="14">
        <f>_xll.BDH("NBIX US Equity","ARDR_PAR_VALUE","FQ1 2024","FQ1 2024","Currency=USD","Period=FQ","BEST_FPERIOD_OVERRIDE=FQ","FILING_STATUS=MR","Sort=A","Dates=H","DateFormat=P","Fill=—","Direction=H","UseDPDF=Y")</f>
        <v>1E-3</v>
      </c>
      <c r="Y69" s="14">
        <f>_xll.BDH("NBIX US Equity","ARDR_PAR_VALUE","FQ2 2024","FQ2 2024","Currency=USD","Period=FQ","BEST_FPERIOD_OVERRIDE=FQ","FILING_STATUS=MR","Sort=A","Dates=H","DateFormat=P","Fill=—","Direction=H","UseDPDF=Y")</f>
        <v>1E-3</v>
      </c>
      <c r="Z69" s="14">
        <f>_xll.BDH("NBIX US Equity","ARDR_PAR_VALUE","FQ3 2024","FQ3 2024","Currency=USD","Period=FQ","BEST_FPERIOD_OVERRIDE=FQ","FILING_STATUS=MR","Sort=A","Dates=H","DateFormat=P","Fill=—","Direction=H","UseDPDF=Y")</f>
        <v>1E-3</v>
      </c>
      <c r="AA69" s="14">
        <f>_xll.BDH("NBIX US Equity","ARDR_PAR_VALUE","FQ4 2024","FQ4 2024","Currency=USD","Period=FQ","BEST_FPERIOD_OVERRIDE=FQ","FILING_STATUS=MR","Sort=A","Dates=H","DateFormat=P","Fill=—","Direction=H","UseDPDF=Y")</f>
        <v>1E-3</v>
      </c>
    </row>
    <row r="70" spans="1:27" x14ac:dyDescent="0.25">
      <c r="A70" s="10" t="s">
        <v>919</v>
      </c>
      <c r="B70" s="10" t="s">
        <v>920</v>
      </c>
      <c r="C70" s="13">
        <f>_xll.BDH("NBIX US Equity","ARDR_RAW_MATERIAL","FQ4 2018","FQ4 2018","Currency=USD","Period=FQ","BEST_FPERIOD_OVERRIDE=FQ","FILING_STATUS=MR","SCALING_FORMAT=MLN","Sort=A","Dates=H","DateFormat=P","Fill=—","Direction=H","UseDPDF=Y")</f>
        <v>7.8550000000000004</v>
      </c>
      <c r="D70" s="13">
        <f>_xll.BDH("NBIX US Equity","ARDR_RAW_MATERIAL","FQ1 2019","FQ1 2019","Currency=USD","Period=FQ","BEST_FPERIOD_OVERRIDE=FQ","FILING_STATUS=MR","SCALING_FORMAT=MLN","Sort=A","Dates=H","DateFormat=P","Fill=—","Direction=H","UseDPDF=Y")</f>
        <v>7.7329999999999997</v>
      </c>
      <c r="E70" s="13">
        <f>_xll.BDH("NBIX US Equity","ARDR_RAW_MATERIAL","FQ2 2019","FQ2 2019","Currency=USD","Period=FQ","BEST_FPERIOD_OVERRIDE=FQ","FILING_STATUS=MR","SCALING_FORMAT=MLN","Sort=A","Dates=H","DateFormat=P","Fill=—","Direction=H","UseDPDF=Y")</f>
        <v>6.6719999999999997</v>
      </c>
      <c r="F70" s="13">
        <f>_xll.BDH("NBIX US Equity","ARDR_RAW_MATERIAL","FQ3 2019","FQ3 2019","Currency=USD","Period=FQ","BEST_FPERIOD_OVERRIDE=FQ","FILING_STATUS=MR","SCALING_FORMAT=MLN","Sort=A","Dates=H","DateFormat=P","Fill=—","Direction=H","UseDPDF=Y")</f>
        <v>6.4610000000000003</v>
      </c>
      <c r="G70" s="13">
        <f>_xll.BDH("NBIX US Equity","ARDR_RAW_MATERIAL","FQ4 2019","FQ4 2019","Currency=USD","Period=FQ","BEST_FPERIOD_OVERRIDE=FQ","FILING_STATUS=MR","SCALING_FORMAT=MLN","Sort=A","Dates=H","DateFormat=P","Fill=—","Direction=H","UseDPDF=Y")</f>
        <v>14.1</v>
      </c>
      <c r="H70" s="13">
        <f>_xll.BDH("NBIX US Equity","ARDR_RAW_MATERIAL","FQ1 2020","FQ1 2020","Currency=USD","Period=FQ","BEST_FPERIOD_OVERRIDE=FQ","FILING_STATUS=MR","SCALING_FORMAT=MLN","Sort=A","Dates=H","DateFormat=P","Fill=—","Direction=H","UseDPDF=Y")</f>
        <v>17.8</v>
      </c>
      <c r="I70" s="13">
        <f>_xll.BDH("NBIX US Equity","ARDR_RAW_MATERIAL","FQ2 2020","FQ2 2020","Currency=USD","Period=FQ","BEST_FPERIOD_OVERRIDE=FQ","FILING_STATUS=MR","SCALING_FORMAT=MLN","Sort=A","Dates=H","DateFormat=P","Fill=—","Direction=H","UseDPDF=Y")</f>
        <v>15.8</v>
      </c>
      <c r="J70" s="13">
        <f>_xll.BDH("NBIX US Equity","ARDR_RAW_MATERIAL","FQ3 2020","FQ3 2020","Currency=USD","Period=FQ","BEST_FPERIOD_OVERRIDE=FQ","FILING_STATUS=MR","SCALING_FORMAT=MLN","Sort=A","Dates=H","DateFormat=P","Fill=—","Direction=H","UseDPDF=Y")</f>
        <v>14.8</v>
      </c>
      <c r="K70" s="13">
        <f>_xll.BDH("NBIX US Equity","ARDR_RAW_MATERIAL","FQ4 2020","FQ4 2020","Currency=USD","Period=FQ","BEST_FPERIOD_OVERRIDE=FQ","FILING_STATUS=MR","SCALING_FORMAT=MLN","Sort=A","Dates=H","DateFormat=P","Fill=—","Direction=H","UseDPDF=Y")</f>
        <v>16.600000000000001</v>
      </c>
      <c r="L70" s="13">
        <f>_xll.BDH("NBIX US Equity","ARDR_RAW_MATERIAL","FQ1 2021","FQ1 2021","Currency=USD","Period=FQ","BEST_FPERIOD_OVERRIDE=FQ","FILING_STATUS=MR","SCALING_FORMAT=MLN","Sort=A","Dates=H","DateFormat=P","Fill=—","Direction=H","UseDPDF=Y")</f>
        <v>14.8</v>
      </c>
      <c r="M70" s="13">
        <f>_xll.BDH("NBIX US Equity","ARDR_RAW_MATERIAL","FQ2 2021","FQ2 2021","Currency=USD","Period=FQ","BEST_FPERIOD_OVERRIDE=FQ","FILING_STATUS=MR","SCALING_FORMAT=MLN","Sort=A","Dates=H","DateFormat=P","Fill=—","Direction=H","UseDPDF=Y")</f>
        <v>14.2</v>
      </c>
      <c r="N70" s="13">
        <f>_xll.BDH("NBIX US Equity","ARDR_RAW_MATERIAL","FQ3 2021","FQ3 2021","Currency=USD","Period=FQ","BEST_FPERIOD_OVERRIDE=FQ","FILING_STATUS=MR","SCALING_FORMAT=MLN","Sort=A","Dates=H","DateFormat=P","Fill=—","Direction=H","UseDPDF=Y")</f>
        <v>13</v>
      </c>
      <c r="O70" s="13">
        <f>_xll.BDH("NBIX US Equity","ARDR_RAW_MATERIAL","FQ4 2021","FQ4 2021","Currency=USD","Period=FQ","BEST_FPERIOD_OVERRIDE=FQ","FILING_STATUS=MR","SCALING_FORMAT=MLN","Sort=A","Dates=H","DateFormat=P","Fill=—","Direction=H","UseDPDF=Y")</f>
        <v>11.2</v>
      </c>
      <c r="P70" s="13">
        <f>_xll.BDH("NBIX US Equity","ARDR_RAW_MATERIAL","FQ1 2022","FQ1 2022","Currency=USD","Period=FQ","BEST_FPERIOD_OVERRIDE=FQ","FILING_STATUS=MR","SCALING_FORMAT=MLN","Sort=A","Dates=H","DateFormat=P","Fill=—","Direction=H","UseDPDF=Y")</f>
        <v>9.1999999999999993</v>
      </c>
      <c r="Q70" s="13">
        <f>_xll.BDH("NBIX US Equity","ARDR_RAW_MATERIAL","FQ2 2022","FQ2 2022","Currency=USD","Period=FQ","BEST_FPERIOD_OVERRIDE=FQ","FILING_STATUS=MR","SCALING_FORMAT=MLN","Sort=A","Dates=H","DateFormat=P","Fill=—","Direction=H","UseDPDF=Y")</f>
        <v>8</v>
      </c>
      <c r="R70" s="13">
        <f>_xll.BDH("NBIX US Equity","ARDR_RAW_MATERIAL","FQ3 2022","FQ3 2022","Currency=USD","Period=FQ","BEST_FPERIOD_OVERRIDE=FQ","FILING_STATUS=MR","SCALING_FORMAT=MLN","Sort=A","Dates=H","DateFormat=P","Fill=—","Direction=H","UseDPDF=Y")</f>
        <v>15</v>
      </c>
      <c r="S70" s="13">
        <f>_xll.BDH("NBIX US Equity","ARDR_RAW_MATERIAL","FQ4 2022","FQ4 2022","Currency=USD","Period=FQ","BEST_FPERIOD_OVERRIDE=FQ","FILING_STATUS=MR","SCALING_FORMAT=MLN","Sort=A","Dates=H","DateFormat=P","Fill=—","Direction=H","UseDPDF=Y")</f>
        <v>12</v>
      </c>
      <c r="T70" s="13">
        <f>_xll.BDH("NBIX US Equity","ARDR_RAW_MATERIAL","FQ1 2023","FQ1 2023","Currency=USD","Period=FQ","BEST_FPERIOD_OVERRIDE=FQ","FILING_STATUS=MR","SCALING_FORMAT=MLN","Sort=A","Dates=H","DateFormat=P","Fill=—","Direction=H","UseDPDF=Y")</f>
        <v>6.7</v>
      </c>
      <c r="U70" s="13">
        <f>_xll.BDH("NBIX US Equity","ARDR_RAW_MATERIAL","FQ2 2023","FQ2 2023","Currency=USD","Period=FQ","BEST_FPERIOD_OVERRIDE=FQ","FILING_STATUS=MR","SCALING_FORMAT=MLN","Sort=A","Dates=H","DateFormat=P","Fill=—","Direction=H","UseDPDF=Y")</f>
        <v>10.4</v>
      </c>
      <c r="V70" s="13">
        <f>_xll.BDH("NBIX US Equity","ARDR_RAW_MATERIAL","FQ3 2023","FQ3 2023","Currency=USD","Period=FQ","BEST_FPERIOD_OVERRIDE=FQ","FILING_STATUS=MR","SCALING_FORMAT=MLN","Sort=A","Dates=H","DateFormat=P","Fill=—","Direction=H","UseDPDF=Y")</f>
        <v>9.1</v>
      </c>
      <c r="W70" s="13">
        <f>_xll.BDH("NBIX US Equity","ARDR_RAW_MATERIAL","FQ4 2023","FQ4 2023","Currency=USD","Period=FQ","BEST_FPERIOD_OVERRIDE=FQ","FILING_STATUS=MR","SCALING_FORMAT=MLN","Sort=A","Dates=H","DateFormat=P","Fill=—","Direction=H","UseDPDF=Y")</f>
        <v>21.5</v>
      </c>
      <c r="X70" s="13">
        <f>_xll.BDH("NBIX US Equity","ARDR_RAW_MATERIAL","FQ1 2024","FQ1 2024","Currency=USD","Period=FQ","BEST_FPERIOD_OVERRIDE=FQ","FILING_STATUS=MR","SCALING_FORMAT=MLN","Sort=A","Dates=H","DateFormat=P","Fill=—","Direction=H","UseDPDF=Y")</f>
        <v>18.100000000000001</v>
      </c>
      <c r="Y70" s="13">
        <f>_xll.BDH("NBIX US Equity","ARDR_RAW_MATERIAL","FQ2 2024","FQ2 2024","Currency=USD","Period=FQ","BEST_FPERIOD_OVERRIDE=FQ","FILING_STATUS=MR","SCALING_FORMAT=MLN","Sort=A","Dates=H","DateFormat=P","Fill=—","Direction=H","UseDPDF=Y")</f>
        <v>21.3</v>
      </c>
      <c r="Z70" s="13">
        <f>_xll.BDH("NBIX US Equity","ARDR_RAW_MATERIAL","FQ3 2024","FQ3 2024","Currency=USD","Period=FQ","BEST_FPERIOD_OVERRIDE=FQ","FILING_STATUS=MR","SCALING_FORMAT=MLN","Sort=A","Dates=H","DateFormat=P","Fill=—","Direction=H","UseDPDF=Y")</f>
        <v>23.7</v>
      </c>
      <c r="AA70" s="13">
        <f>_xll.BDH("NBIX US Equity","ARDR_RAW_MATERIAL","FQ4 2024","FQ4 2024","Currency=USD","Period=FQ","BEST_FPERIOD_OVERRIDE=FQ","FILING_STATUS=MR","SCALING_FORMAT=MLN","Sort=A","Dates=H","DateFormat=P","Fill=—","Direction=H","UseDPDF=Y")</f>
        <v>33.700000000000003</v>
      </c>
    </row>
    <row r="71" spans="1:27" x14ac:dyDescent="0.25">
      <c r="A71" s="10" t="s">
        <v>921</v>
      </c>
      <c r="B71" s="10" t="s">
        <v>922</v>
      </c>
      <c r="C71" s="13">
        <f>_xll.BDH("NBIX US Equity","ARDR_WORK_IN_PROGRESS","FQ4 2018","FQ4 2018","Currency=USD","Period=FQ","BEST_FPERIOD_OVERRIDE=FQ","FILING_STATUS=MR","SCALING_FORMAT=MLN","Sort=A","Dates=H","DateFormat=P","Fill=—","Direction=H","UseDPDF=Y")</f>
        <v>2.2080000000000002</v>
      </c>
      <c r="D71" s="13">
        <f>_xll.BDH("NBIX US Equity","ARDR_WORK_IN_PROGRESS","FQ1 2019","FQ1 2019","Currency=USD","Period=FQ","BEST_FPERIOD_OVERRIDE=FQ","FILING_STATUS=MR","SCALING_FORMAT=MLN","Sort=A","Dates=H","DateFormat=P","Fill=—","Direction=H","UseDPDF=Y")</f>
        <v>4.4580000000000002</v>
      </c>
      <c r="E71" s="13">
        <f>_xll.BDH("NBIX US Equity","ARDR_WORK_IN_PROGRESS","FQ2 2019","FQ2 2019","Currency=USD","Period=FQ","BEST_FPERIOD_OVERRIDE=FQ","FILING_STATUS=MR","SCALING_FORMAT=MLN","Sort=A","Dates=H","DateFormat=P","Fill=—","Direction=H","UseDPDF=Y")</f>
        <v>3.4510000000000001</v>
      </c>
      <c r="F71" s="13">
        <f>_xll.BDH("NBIX US Equity","ARDR_WORK_IN_PROGRESS","FQ3 2019","FQ3 2019","Currency=USD","Period=FQ","BEST_FPERIOD_OVERRIDE=FQ","FILING_STATUS=MR","SCALING_FORMAT=MLN","Sort=A","Dates=H","DateFormat=P","Fill=—","Direction=H","UseDPDF=Y")</f>
        <v>2.2490000000000001</v>
      </c>
      <c r="G71" s="13">
        <f>_xll.BDH("NBIX US Equity","ARDR_WORK_IN_PROGRESS","FQ4 2019","FQ4 2019","Currency=USD","Period=FQ","BEST_FPERIOD_OVERRIDE=FQ","FILING_STATUS=MR","SCALING_FORMAT=MLN","Sort=A","Dates=H","DateFormat=P","Fill=—","Direction=H","UseDPDF=Y")</f>
        <v>1.5</v>
      </c>
      <c r="H71" s="13">
        <f>_xll.BDH("NBIX US Equity","ARDR_WORK_IN_PROGRESS","FQ1 2020","FQ1 2020","Currency=USD","Period=FQ","BEST_FPERIOD_OVERRIDE=FQ","FILING_STATUS=MR","SCALING_FORMAT=MLN","Sort=A","Dates=H","DateFormat=P","Fill=—","Direction=H","UseDPDF=Y")</f>
        <v>1.1000000000000001</v>
      </c>
      <c r="I71" s="13">
        <f>_xll.BDH("NBIX US Equity","ARDR_WORK_IN_PROGRESS","FQ2 2020","FQ2 2020","Currency=USD","Period=FQ","BEST_FPERIOD_OVERRIDE=FQ","FILING_STATUS=MR","SCALING_FORMAT=MLN","Sort=A","Dates=H","DateFormat=P","Fill=—","Direction=H","UseDPDF=Y")</f>
        <v>1.8</v>
      </c>
      <c r="J71" s="13">
        <f>_xll.BDH("NBIX US Equity","ARDR_WORK_IN_PROGRESS","FQ3 2020","FQ3 2020","Currency=USD","Period=FQ","BEST_FPERIOD_OVERRIDE=FQ","FILING_STATUS=MR","SCALING_FORMAT=MLN","Sort=A","Dates=H","DateFormat=P","Fill=—","Direction=H","UseDPDF=Y")</f>
        <v>1</v>
      </c>
      <c r="K71" s="13">
        <f>_xll.BDH("NBIX US Equity","ARDR_WORK_IN_PROGRESS","FQ4 2020","FQ4 2020","Currency=USD","Period=FQ","BEST_FPERIOD_OVERRIDE=FQ","FILING_STATUS=MR","SCALING_FORMAT=MLN","Sort=A","Dates=H","DateFormat=P","Fill=—","Direction=H","UseDPDF=Y")</f>
        <v>2.4</v>
      </c>
      <c r="L71" s="13">
        <f>_xll.BDH("NBIX US Equity","ARDR_WORK_IN_PROGRESS","FQ1 2021","FQ1 2021","Currency=USD","Period=FQ","BEST_FPERIOD_OVERRIDE=FQ","FILING_STATUS=MR","SCALING_FORMAT=MLN","Sort=A","Dates=H","DateFormat=P","Fill=—","Direction=H","UseDPDF=Y")</f>
        <v>2.5</v>
      </c>
      <c r="M71" s="13">
        <f>_xll.BDH("NBIX US Equity","ARDR_WORK_IN_PROGRESS","FQ2 2021","FQ2 2021","Currency=USD","Period=FQ","BEST_FPERIOD_OVERRIDE=FQ","FILING_STATUS=MR","SCALING_FORMAT=MLN","Sort=A","Dates=H","DateFormat=P","Fill=—","Direction=H","UseDPDF=Y")</f>
        <v>2.6</v>
      </c>
      <c r="N71" s="13">
        <f>_xll.BDH("NBIX US Equity","ARDR_WORK_IN_PROGRESS","FQ3 2021","FQ3 2021","Currency=USD","Period=FQ","BEST_FPERIOD_OVERRIDE=FQ","FILING_STATUS=MR","SCALING_FORMAT=MLN","Sort=A","Dates=H","DateFormat=P","Fill=—","Direction=H","UseDPDF=Y")</f>
        <v>1.3</v>
      </c>
      <c r="O71" s="13">
        <f>_xll.BDH("NBIX US Equity","ARDR_WORK_IN_PROGRESS","FQ4 2021","FQ4 2021","Currency=USD","Period=FQ","BEST_FPERIOD_OVERRIDE=FQ","FILING_STATUS=MR","SCALING_FORMAT=MLN","Sort=A","Dates=H","DateFormat=P","Fill=—","Direction=H","UseDPDF=Y")</f>
        <v>3.6</v>
      </c>
      <c r="P71" s="13">
        <f>_xll.BDH("NBIX US Equity","ARDR_WORK_IN_PROGRESS","FQ1 2022","FQ1 2022","Currency=USD","Period=FQ","BEST_FPERIOD_OVERRIDE=FQ","FILING_STATUS=MR","SCALING_FORMAT=MLN","Sort=A","Dates=H","DateFormat=P","Fill=—","Direction=H","UseDPDF=Y")</f>
        <v>4.4000000000000004</v>
      </c>
      <c r="Q71" s="13">
        <f>_xll.BDH("NBIX US Equity","ARDR_WORK_IN_PROGRESS","FQ2 2022","FQ2 2022","Currency=USD","Period=FQ","BEST_FPERIOD_OVERRIDE=FQ","FILING_STATUS=MR","SCALING_FORMAT=MLN","Sort=A","Dates=H","DateFormat=P","Fill=—","Direction=H","UseDPDF=Y")</f>
        <v>3.4</v>
      </c>
      <c r="R71" s="13">
        <f>_xll.BDH("NBIX US Equity","ARDR_WORK_IN_PROGRESS","FQ3 2022","FQ3 2022","Currency=USD","Period=FQ","BEST_FPERIOD_OVERRIDE=FQ","FILING_STATUS=MR","SCALING_FORMAT=MLN","Sort=A","Dates=H","DateFormat=P","Fill=—","Direction=H","UseDPDF=Y")</f>
        <v>5</v>
      </c>
      <c r="S71" s="13">
        <f>_xll.BDH("NBIX US Equity","ARDR_WORK_IN_PROGRESS","FQ4 2022","FQ4 2022","Currency=USD","Period=FQ","BEST_FPERIOD_OVERRIDE=FQ","FILING_STATUS=MR","SCALING_FORMAT=MLN","Sort=A","Dates=H","DateFormat=P","Fill=—","Direction=H","UseDPDF=Y")</f>
        <v>5.6</v>
      </c>
      <c r="T71" s="13">
        <f>_xll.BDH("NBIX US Equity","ARDR_WORK_IN_PROGRESS","FQ1 2023","FQ1 2023","Currency=USD","Period=FQ","BEST_FPERIOD_OVERRIDE=FQ","FILING_STATUS=MR","SCALING_FORMAT=MLN","Sort=A","Dates=H","DateFormat=P","Fill=—","Direction=H","UseDPDF=Y")</f>
        <v>8.6999999999999993</v>
      </c>
      <c r="U71" s="13">
        <f>_xll.BDH("NBIX US Equity","ARDR_WORK_IN_PROGRESS","FQ2 2023","FQ2 2023","Currency=USD","Period=FQ","BEST_FPERIOD_OVERRIDE=FQ","FILING_STATUS=MR","SCALING_FORMAT=MLN","Sort=A","Dates=H","DateFormat=P","Fill=—","Direction=H","UseDPDF=Y")</f>
        <v>6.3</v>
      </c>
      <c r="V71" s="13">
        <f>_xll.BDH("NBIX US Equity","ARDR_WORK_IN_PROGRESS","FQ3 2023","FQ3 2023","Currency=USD","Period=FQ","BEST_FPERIOD_OVERRIDE=FQ","FILING_STATUS=MR","SCALING_FORMAT=MLN","Sort=A","Dates=H","DateFormat=P","Fill=—","Direction=H","UseDPDF=Y")</f>
        <v>9.3000000000000007</v>
      </c>
      <c r="W71" s="13">
        <f>_xll.BDH("NBIX US Equity","ARDR_WORK_IN_PROGRESS","FQ4 2023","FQ4 2023","Currency=USD","Period=FQ","BEST_FPERIOD_OVERRIDE=FQ","FILING_STATUS=MR","SCALING_FORMAT=MLN","Sort=A","Dates=H","DateFormat=P","Fill=—","Direction=H","UseDPDF=Y")</f>
        <v>9.6999999999999993</v>
      </c>
      <c r="X71" s="13">
        <f>_xll.BDH("NBIX US Equity","ARDR_WORK_IN_PROGRESS","FQ1 2024","FQ1 2024","Currency=USD","Period=FQ","BEST_FPERIOD_OVERRIDE=FQ","FILING_STATUS=MR","SCALING_FORMAT=MLN","Sort=A","Dates=H","DateFormat=P","Fill=—","Direction=H","UseDPDF=Y")</f>
        <v>12</v>
      </c>
      <c r="Y71" s="13">
        <f>_xll.BDH("NBIX US Equity","ARDR_WORK_IN_PROGRESS","FQ2 2024","FQ2 2024","Currency=USD","Period=FQ","BEST_FPERIOD_OVERRIDE=FQ","FILING_STATUS=MR","SCALING_FORMAT=MLN","Sort=A","Dates=H","DateFormat=P","Fill=—","Direction=H","UseDPDF=Y")</f>
        <v>12</v>
      </c>
      <c r="Z71" s="13">
        <f>_xll.BDH("NBIX US Equity","ARDR_WORK_IN_PROGRESS","FQ3 2024","FQ3 2024","Currency=USD","Period=FQ","BEST_FPERIOD_OVERRIDE=FQ","FILING_STATUS=MR","SCALING_FORMAT=MLN","Sort=A","Dates=H","DateFormat=P","Fill=—","Direction=H","UseDPDF=Y")</f>
        <v>10.6</v>
      </c>
      <c r="AA71" s="13">
        <f>_xll.BDH("NBIX US Equity","ARDR_WORK_IN_PROGRESS","FQ4 2024","FQ4 2024","Currency=USD","Period=FQ","BEST_FPERIOD_OVERRIDE=FQ","FILING_STATUS=MR","SCALING_FORMAT=MLN","Sort=A","Dates=H","DateFormat=P","Fill=—","Direction=H","UseDPDF=Y")</f>
        <v>10.9</v>
      </c>
    </row>
    <row r="72" spans="1:27" x14ac:dyDescent="0.25">
      <c r="A72" s="10" t="s">
        <v>923</v>
      </c>
      <c r="B72" s="10" t="s">
        <v>924</v>
      </c>
      <c r="C72" s="13">
        <f>_xll.BDH("NBIX US Equity","ARDR_FINISHED_GOOD","FQ4 2018","FQ4 2018","Currency=USD","Period=FQ","BEST_FPERIOD_OVERRIDE=FQ","FILING_STATUS=MR","SCALING_FORMAT=MLN","Sort=A","Dates=H","DateFormat=P","Fill=—","Direction=H","UseDPDF=Y")</f>
        <v>0.80100000000000005</v>
      </c>
      <c r="D72" s="13">
        <f>_xll.BDH("NBIX US Equity","ARDR_FINISHED_GOOD","FQ1 2019","FQ1 2019","Currency=USD","Period=FQ","BEST_FPERIOD_OVERRIDE=FQ","FILING_STATUS=MR","SCALING_FORMAT=MLN","Sort=A","Dates=H","DateFormat=P","Fill=—","Direction=H","UseDPDF=Y")</f>
        <v>0.81899999999999995</v>
      </c>
      <c r="E72" s="13">
        <f>_xll.BDH("NBIX US Equity","ARDR_FINISHED_GOOD","FQ2 2019","FQ2 2019","Currency=USD","Period=FQ","BEST_FPERIOD_OVERRIDE=FQ","FILING_STATUS=MR","SCALING_FORMAT=MLN","Sort=A","Dates=H","DateFormat=P","Fill=—","Direction=H","UseDPDF=Y")</f>
        <v>1.895</v>
      </c>
      <c r="F72" s="13">
        <f>_xll.BDH("NBIX US Equity","ARDR_FINISHED_GOOD","FQ3 2019","FQ3 2019","Currency=USD","Period=FQ","BEST_FPERIOD_OVERRIDE=FQ","FILING_STATUS=MR","SCALING_FORMAT=MLN","Sort=A","Dates=H","DateFormat=P","Fill=—","Direction=H","UseDPDF=Y")</f>
        <v>2.0880000000000001</v>
      </c>
      <c r="G72" s="13">
        <f>_xll.BDH("NBIX US Equity","ARDR_FINISHED_GOOD","FQ4 2019","FQ4 2019","Currency=USD","Period=FQ","BEST_FPERIOD_OVERRIDE=FQ","FILING_STATUS=MR","SCALING_FORMAT=MLN","Sort=A","Dates=H","DateFormat=P","Fill=—","Direction=H","UseDPDF=Y")</f>
        <v>1.7</v>
      </c>
      <c r="H72" s="13">
        <f>_xll.BDH("NBIX US Equity","ARDR_FINISHED_GOOD","FQ1 2020","FQ1 2020","Currency=USD","Period=FQ","BEST_FPERIOD_OVERRIDE=FQ","FILING_STATUS=MR","SCALING_FORMAT=MLN","Sort=A","Dates=H","DateFormat=P","Fill=—","Direction=H","UseDPDF=Y")</f>
        <v>2.2999999999999998</v>
      </c>
      <c r="I72" s="13">
        <f>_xll.BDH("NBIX US Equity","ARDR_FINISHED_GOOD","FQ2 2020","FQ2 2020","Currency=USD","Period=FQ","BEST_FPERIOD_OVERRIDE=FQ","FILING_STATUS=MR","SCALING_FORMAT=MLN","Sort=A","Dates=H","DateFormat=P","Fill=—","Direction=H","UseDPDF=Y")</f>
        <v>4.4000000000000004</v>
      </c>
      <c r="J72" s="13">
        <f>_xll.BDH("NBIX US Equity","ARDR_FINISHED_GOOD","FQ3 2020","FQ3 2020","Currency=USD","Period=FQ","BEST_FPERIOD_OVERRIDE=FQ","FILING_STATUS=MR","SCALING_FORMAT=MLN","Sort=A","Dates=H","DateFormat=P","Fill=—","Direction=H","UseDPDF=Y")</f>
        <v>4.8</v>
      </c>
      <c r="K72" s="13">
        <f>_xll.BDH("NBIX US Equity","ARDR_FINISHED_GOOD","FQ4 2020","FQ4 2020","Currency=USD","Period=FQ","BEST_FPERIOD_OVERRIDE=FQ","FILING_STATUS=MR","SCALING_FORMAT=MLN","Sort=A","Dates=H","DateFormat=P","Fill=—","Direction=H","UseDPDF=Y")</f>
        <v>9</v>
      </c>
      <c r="L72" s="13">
        <f>_xll.BDH("NBIX US Equity","ARDR_FINISHED_GOOD","FQ1 2021","FQ1 2021","Currency=USD","Period=FQ","BEST_FPERIOD_OVERRIDE=FQ","FILING_STATUS=MR","SCALING_FORMAT=MLN","Sort=A","Dates=H","DateFormat=P","Fill=—","Direction=H","UseDPDF=Y")</f>
        <v>12.8</v>
      </c>
      <c r="M72" s="13">
        <f>_xll.BDH("NBIX US Equity","ARDR_FINISHED_GOOD","FQ2 2021","FQ2 2021","Currency=USD","Period=FQ","BEST_FPERIOD_OVERRIDE=FQ","FILING_STATUS=MR","SCALING_FORMAT=MLN","Sort=A","Dates=H","DateFormat=P","Fill=—","Direction=H","UseDPDF=Y")</f>
        <v>11.5</v>
      </c>
      <c r="N72" s="13">
        <f>_xll.BDH("NBIX US Equity","ARDR_FINISHED_GOOD","FQ3 2021","FQ3 2021","Currency=USD","Period=FQ","BEST_FPERIOD_OVERRIDE=FQ","FILING_STATUS=MR","SCALING_FORMAT=MLN","Sort=A","Dates=H","DateFormat=P","Fill=—","Direction=H","UseDPDF=Y")</f>
        <v>11.2</v>
      </c>
      <c r="O72" s="13">
        <f>_xll.BDH("NBIX US Equity","ARDR_FINISHED_GOOD","FQ4 2021","FQ4 2021","Currency=USD","Period=FQ","BEST_FPERIOD_OVERRIDE=FQ","FILING_STATUS=MR","SCALING_FORMAT=MLN","Sort=A","Dates=H","DateFormat=P","Fill=—","Direction=H","UseDPDF=Y")</f>
        <v>15.7</v>
      </c>
      <c r="P72" s="13">
        <f>_xll.BDH("NBIX US Equity","ARDR_FINISHED_GOOD","FQ1 2022","FQ1 2022","Currency=USD","Period=FQ","BEST_FPERIOD_OVERRIDE=FQ","FILING_STATUS=MR","SCALING_FORMAT=MLN","Sort=A","Dates=H","DateFormat=P","Fill=—","Direction=H","UseDPDF=Y")</f>
        <v>15.4</v>
      </c>
      <c r="Q72" s="13">
        <f>_xll.BDH("NBIX US Equity","ARDR_FINISHED_GOOD","FQ2 2022","FQ2 2022","Currency=USD","Period=FQ","BEST_FPERIOD_OVERRIDE=FQ","FILING_STATUS=MR","SCALING_FORMAT=MLN","Sort=A","Dates=H","DateFormat=P","Fill=—","Direction=H","UseDPDF=Y")</f>
        <v>17.899999999999999</v>
      </c>
      <c r="R72" s="13">
        <f>_xll.BDH("NBIX US Equity","ARDR_FINISHED_GOOD","FQ3 2022","FQ3 2022","Currency=USD","Period=FQ","BEST_FPERIOD_OVERRIDE=FQ","FILING_STATUS=MR","SCALING_FORMAT=MLN","Sort=A","Dates=H","DateFormat=P","Fill=—","Direction=H","UseDPDF=Y")</f>
        <v>17</v>
      </c>
      <c r="S72" s="13">
        <f>_xll.BDH("NBIX US Equity","ARDR_FINISHED_GOOD","FQ4 2022","FQ4 2022","Currency=USD","Period=FQ","BEST_FPERIOD_OVERRIDE=FQ","FILING_STATUS=MR","SCALING_FORMAT=MLN","Sort=A","Dates=H","DateFormat=P","Fill=—","Direction=H","UseDPDF=Y")</f>
        <v>17.5</v>
      </c>
      <c r="T72" s="13">
        <f>_xll.BDH("NBIX US Equity","ARDR_FINISHED_GOOD","FQ1 2023","FQ1 2023","Currency=USD","Period=FQ","BEST_FPERIOD_OVERRIDE=FQ","FILING_STATUS=MR","SCALING_FORMAT=MLN","Sort=A","Dates=H","DateFormat=P","Fill=—","Direction=H","UseDPDF=Y")</f>
        <v>18</v>
      </c>
      <c r="U72" s="13">
        <f>_xll.BDH("NBIX US Equity","ARDR_FINISHED_GOOD","FQ2 2023","FQ2 2023","Currency=USD","Period=FQ","BEST_FPERIOD_OVERRIDE=FQ","FILING_STATUS=MR","SCALING_FORMAT=MLN","Sort=A","Dates=H","DateFormat=P","Fill=—","Direction=H","UseDPDF=Y")</f>
        <v>15</v>
      </c>
      <c r="V72" s="13">
        <f>_xll.BDH("NBIX US Equity","ARDR_FINISHED_GOOD","FQ3 2023","FQ3 2023","Currency=USD","Period=FQ","BEST_FPERIOD_OVERRIDE=FQ","FILING_STATUS=MR","SCALING_FORMAT=MLN","Sort=A","Dates=H","DateFormat=P","Fill=—","Direction=H","UseDPDF=Y")</f>
        <v>10.4</v>
      </c>
      <c r="W72" s="13">
        <f>_xll.BDH("NBIX US Equity","ARDR_FINISHED_GOOD","FQ4 2023","FQ4 2023","Currency=USD","Period=FQ","BEST_FPERIOD_OVERRIDE=FQ","FILING_STATUS=MR","SCALING_FORMAT=MLN","Sort=A","Dates=H","DateFormat=P","Fill=—","Direction=H","UseDPDF=Y")</f>
        <v>12.3</v>
      </c>
      <c r="X72" s="13">
        <f>_xll.BDH("NBIX US Equity","ARDR_FINISHED_GOOD","FQ1 2024","FQ1 2024","Currency=USD","Period=FQ","BEST_FPERIOD_OVERRIDE=FQ","FILING_STATUS=MR","SCALING_FORMAT=MLN","Sort=A","Dates=H","DateFormat=P","Fill=—","Direction=H","UseDPDF=Y")</f>
        <v>7.5</v>
      </c>
      <c r="Y72" s="13">
        <f>_xll.BDH("NBIX US Equity","ARDR_FINISHED_GOOD","FQ2 2024","FQ2 2024","Currency=USD","Period=FQ","BEST_FPERIOD_OVERRIDE=FQ","FILING_STATUS=MR","SCALING_FORMAT=MLN","Sort=A","Dates=H","DateFormat=P","Fill=—","Direction=H","UseDPDF=Y")</f>
        <v>10.4</v>
      </c>
      <c r="Z72" s="13">
        <f>_xll.BDH("NBIX US Equity","ARDR_FINISHED_GOOD","FQ3 2024","FQ3 2024","Currency=USD","Period=FQ","BEST_FPERIOD_OVERRIDE=FQ","FILING_STATUS=MR","SCALING_FORMAT=MLN","Sort=A","Dates=H","DateFormat=P","Fill=—","Direction=H","UseDPDF=Y")</f>
        <v>11.5</v>
      </c>
      <c r="AA72" s="13">
        <f>_xll.BDH("NBIX US Equity","ARDR_FINISHED_GOOD","FQ4 2024","FQ4 2024","Currency=USD","Period=FQ","BEST_FPERIOD_OVERRIDE=FQ","FILING_STATUS=MR","SCALING_FORMAT=MLN","Sort=A","Dates=H","DateFormat=P","Fill=—","Direction=H","UseDPDF=Y")</f>
        <v>12.8</v>
      </c>
    </row>
    <row r="73" spans="1:27" x14ac:dyDescent="0.25">
      <c r="A73" s="10" t="s">
        <v>884</v>
      </c>
      <c r="B73" s="10" t="s">
        <v>925</v>
      </c>
      <c r="C73" s="13" t="str">
        <f>_xll.BDH("NBIX US Equity","ARDR_SHARES_ISSUED","FQ4 2018","FQ4 2018","Currency=USD","Period=FQ","BEST_FPERIOD_OVERRIDE=FQ","FILING_STATUS=MR","Sort=A","Dates=H","DateFormat=P","Fill=—","Direction=H","UseDPDF=Y")</f>
        <v>—</v>
      </c>
      <c r="D73" s="13" t="str">
        <f>_xll.BDH("NBIX US Equity","ARDR_SHARES_ISSUED","FQ1 2019","FQ1 2019","Currency=USD","Period=FQ","BEST_FPERIOD_OVERRIDE=FQ","FILING_STATUS=MR","Sort=A","Dates=H","DateFormat=P","Fill=—","Direction=H","UseDPDF=Y")</f>
        <v>—</v>
      </c>
      <c r="E73" s="13" t="str">
        <f>_xll.BDH("NBIX US Equity","ARDR_SHARES_ISSUED","FQ2 2019","FQ2 2019","Currency=USD","Period=FQ","BEST_FPERIOD_OVERRIDE=FQ","FILING_STATUS=MR","Sort=A","Dates=H","DateFormat=P","Fill=—","Direction=H","UseDPDF=Y")</f>
        <v>—</v>
      </c>
      <c r="F73" s="13" t="str">
        <f>_xll.BDH("NBIX US Equity","ARDR_SHARES_ISSUED","FQ3 2019","FQ3 2019","Currency=USD","Period=FQ","BEST_FPERIOD_OVERRIDE=FQ","FILING_STATUS=MR","Sort=A","Dates=H","DateFormat=P","Fill=—","Direction=H","UseDPDF=Y")</f>
        <v>—</v>
      </c>
      <c r="G73" s="13" t="str">
        <f>_xll.BDH("NBIX US Equity","ARDR_SHARES_ISSUED","FQ4 2019","FQ4 2019","Currency=USD","Period=FQ","BEST_FPERIOD_OVERRIDE=FQ","FILING_STATUS=MR","Sort=A","Dates=H","DateFormat=P","Fill=—","Direction=H","UseDPDF=Y")</f>
        <v>—</v>
      </c>
      <c r="H73" s="13" t="str">
        <f>_xll.BDH("NBIX US Equity","ARDR_SHARES_ISSUED","FQ1 2020","FQ1 2020","Currency=USD","Period=FQ","BEST_FPERIOD_OVERRIDE=FQ","FILING_STATUS=MR","Sort=A","Dates=H","DateFormat=P","Fill=—","Direction=H","UseDPDF=Y")</f>
        <v>—</v>
      </c>
      <c r="I73" s="13" t="str">
        <f>_xll.BDH("NBIX US Equity","ARDR_SHARES_ISSUED","FQ2 2020","FQ2 2020","Currency=USD","Period=FQ","BEST_FPERIOD_OVERRIDE=FQ","FILING_STATUS=MR","Sort=A","Dates=H","DateFormat=P","Fill=—","Direction=H","UseDPDF=Y")</f>
        <v>—</v>
      </c>
      <c r="J73" s="13" t="str">
        <f>_xll.BDH("NBIX US Equity","ARDR_SHARES_ISSUED","FQ3 2020","FQ3 2020","Currency=USD","Period=FQ","BEST_FPERIOD_OVERRIDE=FQ","FILING_STATUS=MR","Sort=A","Dates=H","DateFormat=P","Fill=—","Direction=H","UseDPDF=Y")</f>
        <v>—</v>
      </c>
      <c r="K73" s="13" t="str">
        <f>_xll.BDH("NBIX US Equity","ARDR_SHARES_ISSUED","FQ4 2020","FQ4 2020","Currency=USD","Period=FQ","BEST_FPERIOD_OVERRIDE=FQ","FILING_STATUS=MR","Sort=A","Dates=H","DateFormat=P","Fill=—","Direction=H","UseDPDF=Y")</f>
        <v>—</v>
      </c>
      <c r="L73" s="13" t="str">
        <f>_xll.BDH("NBIX US Equity","ARDR_SHARES_ISSUED","FQ1 2021","FQ1 2021","Currency=USD","Period=FQ","BEST_FPERIOD_OVERRIDE=FQ","FILING_STATUS=MR","Sort=A","Dates=H","DateFormat=P","Fill=—","Direction=H","UseDPDF=Y")</f>
        <v>—</v>
      </c>
      <c r="M73" s="13" t="str">
        <f>_xll.BDH("NBIX US Equity","ARDR_SHARES_ISSUED","FQ2 2021","FQ2 2021","Currency=USD","Period=FQ","BEST_FPERIOD_OVERRIDE=FQ","FILING_STATUS=MR","Sort=A","Dates=H","DateFormat=P","Fill=—","Direction=H","UseDPDF=Y")</f>
        <v>—</v>
      </c>
      <c r="N73" s="13" t="str">
        <f>_xll.BDH("NBIX US Equity","ARDR_SHARES_ISSUED","FQ3 2021","FQ3 2021","Currency=USD","Period=FQ","BEST_FPERIOD_OVERRIDE=FQ","FILING_STATUS=MR","Sort=A","Dates=H","DateFormat=P","Fill=—","Direction=H","UseDPDF=Y")</f>
        <v>—</v>
      </c>
      <c r="O73" s="13" t="str">
        <f>_xll.BDH("NBIX US Equity","ARDR_SHARES_ISSUED","FQ4 2021","FQ4 2021","Currency=USD","Period=FQ","BEST_FPERIOD_OVERRIDE=FQ","FILING_STATUS=MR","Sort=A","Dates=H","DateFormat=P","Fill=—","Direction=H","UseDPDF=Y")</f>
        <v>—</v>
      </c>
      <c r="P73" s="13" t="str">
        <f>_xll.BDH("NBIX US Equity","ARDR_SHARES_ISSUED","FQ1 2022","FQ1 2022","Currency=USD","Period=FQ","BEST_FPERIOD_OVERRIDE=FQ","FILING_STATUS=MR","Sort=A","Dates=H","DateFormat=P","Fill=—","Direction=H","UseDPDF=Y")</f>
        <v>—</v>
      </c>
      <c r="Q73" s="13" t="str">
        <f>_xll.BDH("NBIX US Equity","ARDR_SHARES_ISSUED","FQ2 2022","FQ2 2022","Currency=USD","Period=FQ","BEST_FPERIOD_OVERRIDE=FQ","FILING_STATUS=MR","Sort=A","Dates=H","DateFormat=P","Fill=—","Direction=H","UseDPDF=Y")</f>
        <v>—</v>
      </c>
      <c r="R73" s="13" t="str">
        <f>_xll.BDH("NBIX US Equity","ARDR_SHARES_ISSUED","FQ3 2022","FQ3 2022","Currency=USD","Period=FQ","BEST_FPERIOD_OVERRIDE=FQ","FILING_STATUS=MR","Sort=A","Dates=H","DateFormat=P","Fill=—","Direction=H","UseDPDF=Y")</f>
        <v>—</v>
      </c>
      <c r="S73" s="13" t="str">
        <f>_xll.BDH("NBIX US Equity","ARDR_SHARES_ISSUED","FQ4 2022","FQ4 2022","Currency=USD","Period=FQ","BEST_FPERIOD_OVERRIDE=FQ","FILING_STATUS=MR","Sort=A","Dates=H","DateFormat=P","Fill=—","Direction=H","UseDPDF=Y")</f>
        <v>—</v>
      </c>
      <c r="T73" s="13" t="str">
        <f>_xll.BDH("NBIX US Equity","ARDR_SHARES_ISSUED","FQ1 2023","FQ1 2023","Currency=USD","Period=FQ","BEST_FPERIOD_OVERRIDE=FQ","FILING_STATUS=MR","Sort=A","Dates=H","DateFormat=P","Fill=—","Direction=H","UseDPDF=Y")</f>
        <v>—</v>
      </c>
      <c r="U73" s="13" t="str">
        <f>_xll.BDH("NBIX US Equity","ARDR_SHARES_ISSUED","FQ2 2023","FQ2 2023","Currency=USD","Period=FQ","BEST_FPERIOD_OVERRIDE=FQ","FILING_STATUS=MR","Sort=A","Dates=H","DateFormat=P","Fill=—","Direction=H","UseDPDF=Y")</f>
        <v>—</v>
      </c>
      <c r="V73" s="13" t="str">
        <f>_xll.BDH("NBIX US Equity","ARDR_SHARES_ISSUED","FQ3 2023","FQ3 2023","Currency=USD","Period=FQ","BEST_FPERIOD_OVERRIDE=FQ","FILING_STATUS=MR","Sort=A","Dates=H","DateFormat=P","Fill=—","Direction=H","UseDPDF=Y")</f>
        <v>—</v>
      </c>
      <c r="W73" s="13">
        <f>_xll.BDH("NBIX US Equity","ARDR_SHARES_ISSUED","FQ4 2023","FQ4 2023","Currency=USD","Period=FQ","BEST_FPERIOD_OVERRIDE=FQ","FILING_STATUS=MR","Sort=A","Dates=H","DateFormat=P","Fill=—","Direction=H","UseDPDF=Y")</f>
        <v>98.7</v>
      </c>
      <c r="X73" s="13">
        <f>_xll.BDH("NBIX US Equity","ARDR_SHARES_ISSUED","FQ1 2024","FQ1 2024","Currency=USD","Period=FQ","BEST_FPERIOD_OVERRIDE=FQ","FILING_STATUS=MR","Sort=A","Dates=H","DateFormat=P","Fill=—","Direction=H","UseDPDF=Y")</f>
        <v>100.6</v>
      </c>
      <c r="Y73" s="13" t="str">
        <f>_xll.BDH("NBIX US Equity","ARDR_SHARES_ISSUED","FQ2 2024","FQ2 2024","Currency=USD","Period=FQ","BEST_FPERIOD_OVERRIDE=FQ","FILING_STATUS=MR","Sort=A","Dates=H","DateFormat=P","Fill=—","Direction=H","UseDPDF=Y")</f>
        <v>—</v>
      </c>
      <c r="Z73" s="13">
        <f>_xll.BDH("NBIX US Equity","ARDR_SHARES_ISSUED","FQ3 2024","FQ3 2024","Currency=USD","Period=FQ","BEST_FPERIOD_OVERRIDE=FQ","FILING_STATUS=MR","Sort=A","Dates=H","DateFormat=P","Fill=—","Direction=H","UseDPDF=Y")</f>
        <v>101.2</v>
      </c>
      <c r="AA73" s="13">
        <f>_xll.BDH("NBIX US Equity","ARDR_SHARES_ISSUED","FQ4 2024","FQ4 2024","Currency=USD","Period=FQ","BEST_FPERIOD_OVERRIDE=FQ","FILING_STATUS=MR","Sort=A","Dates=H","DateFormat=P","Fill=—","Direction=H","UseDPDF=Y")</f>
        <v>99.4</v>
      </c>
    </row>
    <row r="74" spans="1:27" x14ac:dyDescent="0.25">
      <c r="A74" s="10" t="s">
        <v>795</v>
      </c>
      <c r="B74" s="10" t="s">
        <v>926</v>
      </c>
      <c r="C74" s="13">
        <f>_xll.BDH("NBIX US Equity","ARDR_FUT_MIN_OPER_LEASE_OBLIG","FQ4 2018","FQ4 2018","Currency=USD","Period=FQ","BEST_FPERIOD_OVERRIDE=FQ","FILING_STATUS=MR","SCALING_FORMAT=MLN","Sort=A","Dates=H","DateFormat=P","Fill=—","Direction=H","UseDPDF=Y")</f>
        <v>101.9</v>
      </c>
      <c r="D74" s="13">
        <f>_xll.BDH("NBIX US Equity","ARDR_FUT_MIN_OPER_LEASE_OBLIG","FQ1 2019","FQ1 2019","Currency=USD","Period=FQ","BEST_FPERIOD_OVERRIDE=FQ","FILING_STATUS=MR","SCALING_FORMAT=MLN","Sort=A","Dates=H","DateFormat=P","Fill=—","Direction=H","UseDPDF=Y")</f>
        <v>100.31</v>
      </c>
      <c r="E74" s="13">
        <f>_xll.BDH("NBIX US Equity","ARDR_FUT_MIN_OPER_LEASE_OBLIG","FQ2 2019","FQ2 2019","Currency=USD","Period=FQ","BEST_FPERIOD_OVERRIDE=FQ","FILING_STATUS=MR","SCALING_FORMAT=MLN","Sort=A","Dates=H","DateFormat=P","Fill=—","Direction=H","UseDPDF=Y")</f>
        <v>98.662000000000006</v>
      </c>
      <c r="F74" s="13">
        <f>_xll.BDH("NBIX US Equity","ARDR_FUT_MIN_OPER_LEASE_OBLIG","FQ3 2019","FQ3 2019","Currency=USD","Period=FQ","BEST_FPERIOD_OVERRIDE=FQ","FILING_STATUS=MR","SCALING_FORMAT=MLN","Sort=A","Dates=H","DateFormat=P","Fill=—","Direction=H","UseDPDF=Y")</f>
        <v>115.55500000000001</v>
      </c>
      <c r="G74" s="13">
        <f>_xll.BDH("NBIX US Equity","ARDR_FUT_MIN_OPER_LEASE_OBLIG","FQ4 2019","FQ4 2019","Currency=USD","Period=FQ","BEST_FPERIOD_OVERRIDE=FQ","FILING_STATUS=MR","SCALING_FORMAT=MLN","Sort=A","Dates=H","DateFormat=P","Fill=—","Direction=H","UseDPDF=Y")</f>
        <v>134.68100000000001</v>
      </c>
      <c r="H74" s="13">
        <f>_xll.BDH("NBIX US Equity","ARDR_FUT_MIN_OPER_LEASE_OBLIG","FQ1 2020","FQ1 2020","Currency=USD","Period=FQ","BEST_FPERIOD_OVERRIDE=FQ","FILING_STATUS=MR","SCALING_FORMAT=MLN","Sort=A","Dates=H","DateFormat=P","Fill=—","Direction=H","UseDPDF=Y")</f>
        <v>130.5</v>
      </c>
      <c r="I74" s="13">
        <f>_xll.BDH("NBIX US Equity","ARDR_FUT_MIN_OPER_LEASE_OBLIG","FQ2 2020","FQ2 2020","Currency=USD","Period=FQ","BEST_FPERIOD_OVERRIDE=FQ","FILING_STATUS=MR","SCALING_FORMAT=MLN","Sort=A","Dates=H","DateFormat=P","Fill=—","Direction=H","UseDPDF=Y")</f>
        <v>128.30000000000001</v>
      </c>
      <c r="J74" s="13">
        <f>_xll.BDH("NBIX US Equity","ARDR_FUT_MIN_OPER_LEASE_OBLIG","FQ3 2020","FQ3 2020","Currency=USD","Period=FQ","BEST_FPERIOD_OVERRIDE=FQ","FILING_STATUS=MR","SCALING_FORMAT=MLN","Sort=A","Dates=H","DateFormat=P","Fill=—","Direction=H","UseDPDF=Y")</f>
        <v>126.1</v>
      </c>
      <c r="K74" s="13">
        <f>_xll.BDH("NBIX US Equity","ARDR_FUT_MIN_OPER_LEASE_OBLIG","FQ4 2020","FQ4 2020","Currency=USD","Period=FQ","BEST_FPERIOD_OVERRIDE=FQ","FILING_STATUS=MR","SCALING_FORMAT=MLN","Sort=A","Dates=H","DateFormat=P","Fill=—","Direction=H","UseDPDF=Y")</f>
        <v>139.9</v>
      </c>
      <c r="L74" s="13">
        <f>_xll.BDH("NBIX US Equity","ARDR_FUT_MIN_OPER_LEASE_OBLIG","FQ1 2021","FQ1 2021","Currency=USD","Period=FQ","BEST_FPERIOD_OVERRIDE=FQ","FILING_STATUS=MR","SCALING_FORMAT=MLN","Sort=A","Dates=H","DateFormat=P","Fill=—","Direction=H","UseDPDF=Y")</f>
        <v>156.4</v>
      </c>
      <c r="M74" s="13">
        <f>_xll.BDH("NBIX US Equity","ARDR_FUT_MIN_OPER_LEASE_OBLIG","FQ2 2021","FQ2 2021","Currency=USD","Period=FQ","BEST_FPERIOD_OVERRIDE=FQ","FILING_STATUS=MR","SCALING_FORMAT=MLN","Sort=A","Dates=H","DateFormat=P","Fill=—","Direction=H","UseDPDF=Y")</f>
        <v>159.30000000000001</v>
      </c>
      <c r="N74" s="13">
        <f>_xll.BDH("NBIX US Equity","ARDR_FUT_MIN_OPER_LEASE_OBLIG","FQ3 2021","FQ3 2021","Currency=USD","Period=FQ","BEST_FPERIOD_OVERRIDE=FQ","FILING_STATUS=MR","SCALING_FORMAT=MLN","Sort=A","Dates=H","DateFormat=P","Fill=—","Direction=H","UseDPDF=Y")</f>
        <v>155.69999999999999</v>
      </c>
      <c r="O74" s="13">
        <f>_xll.BDH("NBIX US Equity","ARDR_FUT_MIN_OPER_LEASE_OBLIG","FQ4 2021","FQ4 2021","Currency=USD","Period=FQ","BEST_FPERIOD_OVERRIDE=FQ","FILING_STATUS=MR","SCALING_FORMAT=MLN","Sort=A","Dates=H","DateFormat=P","Fill=—","Direction=H","UseDPDF=Y")</f>
        <v>154.30000000000001</v>
      </c>
      <c r="P74" s="13">
        <f>_xll.BDH("NBIX US Equity","ARDR_FUT_MIN_OPER_LEASE_OBLIG","FQ1 2022","FQ1 2022","Currency=USD","Period=FQ","BEST_FPERIOD_OVERRIDE=FQ","FILING_STATUS=MR","SCALING_FORMAT=MLN","Sort=A","Dates=H","DateFormat=P","Fill=—","Direction=H","UseDPDF=Y")</f>
        <v>150.30000000000001</v>
      </c>
      <c r="Q74" s="13">
        <f>_xll.BDH("NBIX US Equity","ARDR_FUT_MIN_OPER_LEASE_OBLIG","FQ2 2022","FQ2 2022","Currency=USD","Period=FQ","BEST_FPERIOD_OVERRIDE=FQ","FILING_STATUS=MR","SCALING_FORMAT=MLN","Sort=A","Dates=H","DateFormat=P","Fill=—","Direction=H","UseDPDF=Y")</f>
        <v>146</v>
      </c>
      <c r="R74" s="13">
        <f>_xll.BDH("NBIX US Equity","ARDR_FUT_MIN_OPER_LEASE_OBLIG","FQ3 2022","FQ3 2022","Currency=USD","Period=FQ","BEST_FPERIOD_OVERRIDE=FQ","FILING_STATUS=MR","SCALING_FORMAT=MLN","Sort=A","Dates=H","DateFormat=P","Fill=—","Direction=H","UseDPDF=Y")</f>
        <v>141.69999999999999</v>
      </c>
      <c r="S74" s="13">
        <f>_xll.BDH("NBIX US Equity","ARDR_FUT_MIN_OPER_LEASE_OBLIG","FQ4 2022","FQ4 2022","Currency=USD","Period=FQ","BEST_FPERIOD_OVERRIDE=FQ","FILING_STATUS=MR","SCALING_FORMAT=MLN","Sort=A","Dates=H","DateFormat=P","Fill=—","Direction=H","UseDPDF=Y")</f>
        <v>137.30000000000001</v>
      </c>
      <c r="T74" s="13">
        <f>_xll.BDH("NBIX US Equity","ARDR_FUT_MIN_OPER_LEASE_OBLIG","FQ1 2023","FQ1 2023","Currency=USD","Period=FQ","BEST_FPERIOD_OVERRIDE=FQ","FILING_STATUS=MR","SCALING_FORMAT=MLN","Sort=A","Dates=H","DateFormat=P","Fill=—","Direction=H","UseDPDF=Y")</f>
        <v>132.9</v>
      </c>
      <c r="U74" s="13">
        <f>_xll.BDH("NBIX US Equity","ARDR_FUT_MIN_OPER_LEASE_OBLIG","FQ2 2023","FQ2 2023","Currency=USD","Period=FQ","BEST_FPERIOD_OVERRIDE=FQ","FILING_STATUS=MR","SCALING_FORMAT=MLN","Sort=A","Dates=H","DateFormat=P","Fill=—","Direction=H","UseDPDF=Y")</f>
        <v>130.69999999999999</v>
      </c>
      <c r="V74" s="13">
        <f>_xll.BDH("NBIX US Equity","ARDR_FUT_MIN_OPER_LEASE_OBLIG","FQ3 2023","FQ3 2023","Currency=USD","Period=FQ","BEST_FPERIOD_OVERRIDE=FQ","FILING_STATUS=MR","SCALING_FORMAT=MLN","Sort=A","Dates=H","DateFormat=P","Fill=—","Direction=H","UseDPDF=Y")</f>
        <v>126.1</v>
      </c>
      <c r="W74" s="13">
        <f>_xll.BDH("NBIX US Equity","ARDR_FUT_MIN_OPER_LEASE_OBLIG","FQ4 2023","FQ4 2023","Currency=USD","Period=FQ","BEST_FPERIOD_OVERRIDE=FQ","FILING_STATUS=MR","SCALING_FORMAT=MLN","Sort=A","Dates=H","DateFormat=P","Fill=—","Direction=H","UseDPDF=Y")</f>
        <v>383.5</v>
      </c>
      <c r="X74" s="13">
        <f>_xll.BDH("NBIX US Equity","ARDR_FUT_MIN_OPER_LEASE_OBLIG","FQ1 2024","FQ1 2024","Currency=USD","Period=FQ","BEST_FPERIOD_OVERRIDE=FQ","FILING_STATUS=MR","SCALING_FORMAT=MLN","Sort=A","Dates=H","DateFormat=P","Fill=—","Direction=H","UseDPDF=Y")</f>
        <v>377.4</v>
      </c>
      <c r="Y74" s="13">
        <f>_xll.BDH("NBIX US Equity","ARDR_FUT_MIN_OPER_LEASE_OBLIG","FQ2 2024","FQ2 2024","Currency=USD","Period=FQ","BEST_FPERIOD_OVERRIDE=FQ","FILING_STATUS=MR","SCALING_FORMAT=MLN","Sort=A","Dates=H","DateFormat=P","Fill=—","Direction=H","UseDPDF=Y")</f>
        <v>381</v>
      </c>
      <c r="Z74" s="13">
        <f>_xll.BDH("NBIX US Equity","ARDR_FUT_MIN_OPER_LEASE_OBLIG","FQ3 2024","FQ3 2024","Currency=USD","Period=FQ","BEST_FPERIOD_OVERRIDE=FQ","FILING_STATUS=MR","SCALING_FORMAT=MLN","Sort=A","Dates=H","DateFormat=P","Fill=—","Direction=H","UseDPDF=Y")</f>
        <v>372.1</v>
      </c>
      <c r="AA74" s="13">
        <f>_xll.BDH("NBIX US Equity","ARDR_FUT_MIN_OPER_LEASE_OBLIG","FQ4 2024","FQ4 2024","Currency=USD","Period=FQ","BEST_FPERIOD_OVERRIDE=FQ","FILING_STATUS=MR","SCALING_FORMAT=MLN","Sort=A","Dates=H","DateFormat=P","Fill=—","Direction=H","UseDPDF=Y")</f>
        <v>654.29999999999995</v>
      </c>
    </row>
    <row r="75" spans="1:27" x14ac:dyDescent="0.25">
      <c r="A75" s="10" t="s">
        <v>514</v>
      </c>
      <c r="B75" s="10" t="s">
        <v>515</v>
      </c>
      <c r="C75" s="13" t="str">
        <f>_xll.BDH("NBIX US Equity","ARDR_CURRENT_RENTAL_EXP","FQ4 2018","FQ4 2018","Currency=USD","Period=FQ","BEST_FPERIOD_OVERRIDE=FQ","FILING_STATUS=MR","SCALING_FORMAT=MLN","Sort=A","Dates=H","DateFormat=P","Fill=—","Direction=H","UseDPDF=Y")</f>
        <v>—</v>
      </c>
      <c r="D75" s="13">
        <f>_xll.BDH("NBIX US Equity","ARDR_CURRENT_RENTAL_EXP","FQ1 2019","FQ1 2019","Currency=USD","Period=FQ","BEST_FPERIOD_OVERRIDE=FQ","FILING_STATUS=MR","SCALING_FORMAT=MLN","Sort=A","Dates=H","DateFormat=P","Fill=—","Direction=H","UseDPDF=Y")</f>
        <v>1.9</v>
      </c>
      <c r="E75" s="13">
        <f>_xll.BDH("NBIX US Equity","ARDR_CURRENT_RENTAL_EXP","FQ2 2019","FQ2 2019","Currency=USD","Period=FQ","BEST_FPERIOD_OVERRIDE=FQ","FILING_STATUS=MR","SCALING_FORMAT=MLN","Sort=A","Dates=H","DateFormat=P","Fill=—","Direction=H","UseDPDF=Y")</f>
        <v>2</v>
      </c>
      <c r="F75" s="13">
        <f>_xll.BDH("NBIX US Equity","ARDR_CURRENT_RENTAL_EXP","FQ3 2019","FQ3 2019","Currency=USD","Period=FQ","BEST_FPERIOD_OVERRIDE=FQ","FILING_STATUS=MR","SCALING_FORMAT=MLN","Sort=A","Dates=H","DateFormat=P","Fill=—","Direction=H","UseDPDF=Y")</f>
        <v>2</v>
      </c>
      <c r="G75" s="13">
        <f>_xll.BDH("NBIX US Equity","ARDR_CURRENT_RENTAL_EXP","FQ4 2019","FQ4 2019","Currency=USD","Period=FQ","BEST_FPERIOD_OVERRIDE=FQ","FILING_STATUS=MR","SCALING_FORMAT=MLN","Sort=A","Dates=H","DateFormat=P","Fill=—","Direction=H","UseDPDF=Y")</f>
        <v>2.2000000000000002</v>
      </c>
      <c r="H75" s="13">
        <f>_xll.BDH("NBIX US Equity","ARDR_CURRENT_RENTAL_EXP","FQ1 2020","FQ1 2020","Currency=USD","Period=FQ","BEST_FPERIOD_OVERRIDE=FQ","FILING_STATUS=MR","SCALING_FORMAT=MLN","Sort=A","Dates=H","DateFormat=P","Fill=—","Direction=H","UseDPDF=Y")</f>
        <v>2.5</v>
      </c>
      <c r="I75" s="13">
        <f>_xll.BDH("NBIX US Equity","ARDR_CURRENT_RENTAL_EXP","FQ2 2020","FQ2 2020","Currency=USD","Period=FQ","BEST_FPERIOD_OVERRIDE=FQ","FILING_STATUS=MR","SCALING_FORMAT=MLN","Sort=A","Dates=H","DateFormat=P","Fill=—","Direction=H","UseDPDF=Y")</f>
        <v>2.5</v>
      </c>
      <c r="J75" s="13">
        <f>_xll.BDH("NBIX US Equity","ARDR_CURRENT_RENTAL_EXP","FQ3 2020","FQ3 2020","Currency=USD","Period=FQ","BEST_FPERIOD_OVERRIDE=FQ","FILING_STATUS=MR","SCALING_FORMAT=MLN","Sort=A","Dates=H","DateFormat=P","Fill=—","Direction=H","UseDPDF=Y")</f>
        <v>2.4</v>
      </c>
      <c r="K75" s="13">
        <f>_xll.BDH("NBIX US Equity","ARDR_CURRENT_RENTAL_EXP","FQ4 2020","FQ4 2020","Currency=USD","Period=FQ","BEST_FPERIOD_OVERRIDE=FQ","FILING_STATUS=MR","SCALING_FORMAT=MLN","Sort=A","Dates=H","DateFormat=P","Fill=—","Direction=H","UseDPDF=Y")</f>
        <v>2.7</v>
      </c>
      <c r="L75" s="13">
        <f>_xll.BDH("NBIX US Equity","ARDR_CURRENT_RENTAL_EXP","FQ1 2021","FQ1 2021","Currency=USD","Period=FQ","BEST_FPERIOD_OVERRIDE=FQ","FILING_STATUS=MR","SCALING_FORMAT=MLN","Sort=A","Dates=H","DateFormat=P","Fill=—","Direction=H","UseDPDF=Y")</f>
        <v>3.4</v>
      </c>
      <c r="M75" s="13">
        <f>_xll.BDH("NBIX US Equity","ARDR_CURRENT_RENTAL_EXP","FQ2 2021","FQ2 2021","Currency=USD","Period=FQ","BEST_FPERIOD_OVERRIDE=FQ","FILING_STATUS=MR","SCALING_FORMAT=MLN","Sort=A","Dates=H","DateFormat=P","Fill=—","Direction=H","UseDPDF=Y")</f>
        <v>3.9</v>
      </c>
      <c r="N75" s="13">
        <f>_xll.BDH("NBIX US Equity","ARDR_CURRENT_RENTAL_EXP","FQ3 2021","FQ3 2021","Currency=USD","Period=FQ","BEST_FPERIOD_OVERRIDE=FQ","FILING_STATUS=MR","SCALING_FORMAT=MLN","Sort=A","Dates=H","DateFormat=P","Fill=—","Direction=H","UseDPDF=Y")</f>
        <v>3.9</v>
      </c>
      <c r="O75" s="13">
        <f>_xll.BDH("NBIX US Equity","ARDR_CURRENT_RENTAL_EXP","FQ4 2021","FQ4 2021","Currency=USD","Period=FQ","BEST_FPERIOD_OVERRIDE=FQ","FILING_STATUS=MR","SCALING_FORMAT=MLN","Sort=A","Dates=H","DateFormat=P","Fill=—","Direction=H","UseDPDF=Y")</f>
        <v>4.0999999999999996</v>
      </c>
      <c r="P75" s="13">
        <f>_xll.BDH("NBIX US Equity","ARDR_CURRENT_RENTAL_EXP","FQ1 2022","FQ1 2022","Currency=USD","Period=FQ","BEST_FPERIOD_OVERRIDE=FQ","FILING_STATUS=MR","SCALING_FORMAT=MLN","Sort=A","Dates=H","DateFormat=P","Fill=—","Direction=H","UseDPDF=Y")</f>
        <v>4.0999999999999996</v>
      </c>
      <c r="Q75" s="13">
        <f>_xll.BDH("NBIX US Equity","ARDR_CURRENT_RENTAL_EXP","FQ2 2022","FQ2 2022","Currency=USD","Period=FQ","BEST_FPERIOD_OVERRIDE=FQ","FILING_STATUS=MR","SCALING_FORMAT=MLN","Sort=A","Dates=H","DateFormat=P","Fill=—","Direction=H","UseDPDF=Y")</f>
        <v>4.0999999999999996</v>
      </c>
      <c r="R75" s="13">
        <f>_xll.BDH("NBIX US Equity","ARDR_CURRENT_RENTAL_EXP","FQ3 2022","FQ3 2022","Currency=USD","Period=FQ","BEST_FPERIOD_OVERRIDE=FQ","FILING_STATUS=MR","SCALING_FORMAT=MLN","Sort=A","Dates=H","DateFormat=P","Fill=—","Direction=H","UseDPDF=Y")</f>
        <v>4.3</v>
      </c>
      <c r="S75" s="13">
        <f>_xll.BDH("NBIX US Equity","ARDR_CURRENT_RENTAL_EXP","FQ4 2022","FQ4 2022","Currency=USD","Period=FQ","BEST_FPERIOD_OVERRIDE=FQ","FILING_STATUS=MR","SCALING_FORMAT=MLN","Sort=A","Dates=H","DateFormat=P","Fill=—","Direction=H","UseDPDF=Y")</f>
        <v>3.8</v>
      </c>
      <c r="T75" s="13">
        <f>_xll.BDH("NBIX US Equity","ARDR_CURRENT_RENTAL_EXP","FQ1 2023","FQ1 2023","Currency=USD","Period=FQ","BEST_FPERIOD_OVERRIDE=FQ","FILING_STATUS=MR","SCALING_FORMAT=MLN","Sort=A","Dates=H","DateFormat=P","Fill=—","Direction=H","UseDPDF=Y")</f>
        <v>4.0999999999999996</v>
      </c>
      <c r="U75" s="13">
        <f>_xll.BDH("NBIX US Equity","ARDR_CURRENT_RENTAL_EXP","FQ2 2023","FQ2 2023","Currency=USD","Period=FQ","BEST_FPERIOD_OVERRIDE=FQ","FILING_STATUS=MR","SCALING_FORMAT=MLN","Sort=A","Dates=H","DateFormat=P","Fill=—","Direction=H","UseDPDF=Y")</f>
        <v>4.0999999999999996</v>
      </c>
      <c r="V75" s="13">
        <f>_xll.BDH("NBIX US Equity","ARDR_CURRENT_RENTAL_EXP","FQ3 2023","FQ3 2023","Currency=USD","Period=FQ","BEST_FPERIOD_OVERRIDE=FQ","FILING_STATUS=MR","SCALING_FORMAT=MLN","Sort=A","Dates=H","DateFormat=P","Fill=—","Direction=H","UseDPDF=Y")</f>
        <v>3.8</v>
      </c>
      <c r="W75" s="13">
        <f>_xll.BDH("NBIX US Equity","ARDR_CURRENT_RENTAL_EXP","FQ4 2023","FQ4 2023","Currency=USD","Period=FQ","BEST_FPERIOD_OVERRIDE=FQ","FILING_STATUS=MR","SCALING_FORMAT=MLN","Sort=A","Dates=H","DateFormat=P","Fill=—","Direction=H","UseDPDF=Y")</f>
        <v>4.4000000000000004</v>
      </c>
      <c r="X75" s="13">
        <f>_xll.BDH("NBIX US Equity","ARDR_CURRENT_RENTAL_EXP","FQ1 2024","FQ1 2024","Currency=USD","Period=FQ","BEST_FPERIOD_OVERRIDE=FQ","FILING_STATUS=MR","SCALING_FORMAT=MLN","Sort=A","Dates=H","DateFormat=P","Fill=—","Direction=H","UseDPDF=Y")</f>
        <v>9</v>
      </c>
      <c r="Y75" s="13">
        <f>_xll.BDH("NBIX US Equity","ARDR_CURRENT_RENTAL_EXP","FQ2 2024","FQ2 2024","Currency=USD","Period=FQ","BEST_FPERIOD_OVERRIDE=FQ","FILING_STATUS=MR","SCALING_FORMAT=MLN","Sort=A","Dates=H","DateFormat=P","Fill=—","Direction=H","UseDPDF=Y")</f>
        <v>9.1999999999999993</v>
      </c>
      <c r="Z75" s="13">
        <f>_xll.BDH("NBIX US Equity","ARDR_CURRENT_RENTAL_EXP","FQ3 2024","FQ3 2024","Currency=USD","Period=FQ","BEST_FPERIOD_OVERRIDE=FQ","FILING_STATUS=MR","SCALING_FORMAT=MLN","Sort=A","Dates=H","DateFormat=P","Fill=—","Direction=H","UseDPDF=Y")</f>
        <v>8.8000000000000007</v>
      </c>
      <c r="AA75" s="13">
        <f>_xll.BDH("NBIX US Equity","ARDR_CURRENT_RENTAL_EXP","FQ4 2024","FQ4 2024","Currency=USD","Period=FQ","BEST_FPERIOD_OVERRIDE=FQ","FILING_STATUS=MR","SCALING_FORMAT=MLN","Sort=A","Dates=H","DateFormat=P","Fill=—","Direction=H","UseDPDF=Y")</f>
        <v>15</v>
      </c>
    </row>
    <row r="76" spans="1:27" x14ac:dyDescent="0.25">
      <c r="A76" s="10" t="s">
        <v>927</v>
      </c>
      <c r="B76" s="10" t="s">
        <v>928</v>
      </c>
      <c r="C76" s="13">
        <f>_xll.BDH("NBIX US Equity","ARDR_RENTAL_EXP_YR1","FQ4 2018","FQ4 2018","Currency=USD","Period=FQ","BEST_FPERIOD_OVERRIDE=FQ","FILING_STATUS=MR","SCALING_FORMAT=MLN","Sort=A","Dates=H","DateFormat=P","Fill=—","Direction=H","UseDPDF=Y")</f>
        <v>7.4</v>
      </c>
      <c r="D76" s="13">
        <f>_xll.BDH("NBIX US Equity","ARDR_RENTAL_EXP_YR1","FQ1 2019","FQ1 2019","Currency=USD","Period=FQ","BEST_FPERIOD_OVERRIDE=FQ","FILING_STATUS=MR","SCALING_FORMAT=MLN","Sort=A","Dates=H","DateFormat=P","Fill=—","Direction=H","UseDPDF=Y")</f>
        <v>5.7770000000000001</v>
      </c>
      <c r="E76" s="13">
        <f>_xll.BDH("NBIX US Equity","ARDR_RENTAL_EXP_YR1","FQ2 2019","FQ2 2019","Currency=USD","Period=FQ","BEST_FPERIOD_OVERRIDE=FQ","FILING_STATUS=MR","SCALING_FORMAT=MLN","Sort=A","Dates=H","DateFormat=P","Fill=—","Direction=H","UseDPDF=Y")</f>
        <v>4.1289999999999996</v>
      </c>
      <c r="F76" s="13">
        <f>_xll.BDH("NBIX US Equity","ARDR_RENTAL_EXP_YR1","FQ3 2019","FQ3 2019","Currency=USD","Period=FQ","BEST_FPERIOD_OVERRIDE=FQ","FILING_STATUS=MR","SCALING_FORMAT=MLN","Sort=A","Dates=H","DateFormat=P","Fill=—","Direction=H","UseDPDF=Y")</f>
        <v>2.1419999999999999</v>
      </c>
      <c r="G76" s="13">
        <f>_xll.BDH("NBIX US Equity","ARDR_RENTAL_EXP_YR1","FQ4 2019","FQ4 2019","Currency=USD","Period=FQ","BEST_FPERIOD_OVERRIDE=FQ","FILING_STATUS=MR","SCALING_FORMAT=MLN","Sort=A","Dates=H","DateFormat=P","Fill=—","Direction=H","UseDPDF=Y")</f>
        <v>8.5579999999999998</v>
      </c>
      <c r="H76" s="13">
        <f>_xll.BDH("NBIX US Equity","ARDR_RENTAL_EXP_YR1","FQ1 2020","FQ1 2020","Currency=USD","Period=FQ","BEST_FPERIOD_OVERRIDE=FQ","FILING_STATUS=MR","SCALING_FORMAT=MLN","Sort=A","Dates=H","DateFormat=P","Fill=—","Direction=H","UseDPDF=Y")</f>
        <v>6.5</v>
      </c>
      <c r="I76" s="13">
        <f>_xll.BDH("NBIX US Equity","ARDR_RENTAL_EXP_YR1","FQ2 2020","FQ2 2020","Currency=USD","Period=FQ","BEST_FPERIOD_OVERRIDE=FQ","FILING_STATUS=MR","SCALING_FORMAT=MLN","Sort=A","Dates=H","DateFormat=P","Fill=—","Direction=H","UseDPDF=Y")</f>
        <v>4.3</v>
      </c>
      <c r="J76" s="13">
        <f>_xll.BDH("NBIX US Equity","ARDR_RENTAL_EXP_YR1","FQ3 2020","FQ3 2020","Currency=USD","Period=FQ","BEST_FPERIOD_OVERRIDE=FQ","FILING_STATUS=MR","SCALING_FORMAT=MLN","Sort=A","Dates=H","DateFormat=P","Fill=—","Direction=H","UseDPDF=Y")</f>
        <v>2.1</v>
      </c>
      <c r="K76" s="13">
        <f>_xll.BDH("NBIX US Equity","ARDR_RENTAL_EXP_YR1","FQ4 2020","FQ4 2020","Currency=USD","Period=FQ","BEST_FPERIOD_OVERRIDE=FQ","FILING_STATUS=MR","SCALING_FORMAT=MLN","Sort=A","Dates=H","DateFormat=P","Fill=—","Direction=H","UseDPDF=Y")</f>
        <v>10.7</v>
      </c>
      <c r="L76" s="13">
        <f>_xll.BDH("NBIX US Equity","ARDR_RENTAL_EXP_YR1","FQ1 2021","FQ1 2021","Currency=USD","Period=FQ","BEST_FPERIOD_OVERRIDE=FQ","FILING_STATUS=MR","SCALING_FORMAT=MLN","Sort=A","Dates=H","DateFormat=P","Fill=—","Direction=H","UseDPDF=Y")</f>
        <v>9.1</v>
      </c>
      <c r="M76" s="13">
        <f>_xll.BDH("NBIX US Equity","ARDR_RENTAL_EXP_YR1","FQ2 2021","FQ2 2021","Currency=USD","Period=FQ","BEST_FPERIOD_OVERRIDE=FQ","FILING_STATUS=MR","SCALING_FORMAT=MLN","Sort=A","Dates=H","DateFormat=P","Fill=—","Direction=H","UseDPDF=Y")</f>
        <v>7.1</v>
      </c>
      <c r="N76" s="13">
        <f>_xll.BDH("NBIX US Equity","ARDR_RENTAL_EXP_YR1","FQ3 2021","FQ3 2021","Currency=USD","Period=FQ","BEST_FPERIOD_OVERRIDE=FQ","FILING_STATUS=MR","SCALING_FORMAT=MLN","Sort=A","Dates=H","DateFormat=P","Fill=—","Direction=H","UseDPDF=Y")</f>
        <v>3.5</v>
      </c>
      <c r="O76" s="13">
        <f>_xll.BDH("NBIX US Equity","ARDR_RENTAL_EXP_YR1","FQ4 2021","FQ4 2021","Currency=USD","Period=FQ","BEST_FPERIOD_OVERRIDE=FQ","FILING_STATUS=MR","SCALING_FORMAT=MLN","Sort=A","Dates=H","DateFormat=P","Fill=—","Direction=H","UseDPDF=Y")</f>
        <v>17</v>
      </c>
      <c r="P76" s="13">
        <f>_xll.BDH("NBIX US Equity","ARDR_RENTAL_EXP_YR1","FQ1 2022","FQ1 2022","Currency=USD","Period=FQ","BEST_FPERIOD_OVERRIDE=FQ","FILING_STATUS=MR","SCALING_FORMAT=MLN","Sort=A","Dates=H","DateFormat=P","Fill=—","Direction=H","UseDPDF=Y")</f>
        <v>13</v>
      </c>
      <c r="Q76" s="13">
        <f>_xll.BDH("NBIX US Equity","ARDR_RENTAL_EXP_YR1","FQ2 2022","FQ2 2022","Currency=USD","Period=FQ","BEST_FPERIOD_OVERRIDE=FQ","FILING_STATUS=MR","SCALING_FORMAT=MLN","Sort=A","Dates=H","DateFormat=P","Fill=—","Direction=H","UseDPDF=Y")</f>
        <v>8.6999999999999993</v>
      </c>
      <c r="R76" s="13">
        <f>_xll.BDH("NBIX US Equity","ARDR_RENTAL_EXP_YR1","FQ3 2022","FQ3 2022","Currency=USD","Period=FQ","BEST_FPERIOD_OVERRIDE=FQ","FILING_STATUS=MR","SCALING_FORMAT=MLN","Sort=A","Dates=H","DateFormat=P","Fill=—","Direction=H","UseDPDF=Y")</f>
        <v>4.4000000000000004</v>
      </c>
      <c r="S76" s="13">
        <f>_xll.BDH("NBIX US Equity","ARDR_RENTAL_EXP_YR1","FQ4 2022","FQ4 2022","Currency=USD","Period=FQ","BEST_FPERIOD_OVERRIDE=FQ","FILING_STATUS=MR","SCALING_FORMAT=MLN","Sort=A","Dates=H","DateFormat=P","Fill=—","Direction=H","UseDPDF=Y")</f>
        <v>17.899999999999999</v>
      </c>
      <c r="T76" s="13">
        <f>_xll.BDH("NBIX US Equity","ARDR_RENTAL_EXP_YR1","FQ1 2023","FQ1 2023","Currency=USD","Period=FQ","BEST_FPERIOD_OVERRIDE=FQ","FILING_STATUS=MR","SCALING_FORMAT=MLN","Sort=A","Dates=H","DateFormat=P","Fill=—","Direction=H","UseDPDF=Y")</f>
        <v>13.5</v>
      </c>
      <c r="U76" s="13">
        <f>_xll.BDH("NBIX US Equity","ARDR_RENTAL_EXP_YR1","FQ2 2023","FQ2 2023","Currency=USD","Period=FQ","BEST_FPERIOD_OVERRIDE=FQ","FILING_STATUS=MR","SCALING_FORMAT=MLN","Sort=A","Dates=H","DateFormat=P","Fill=—","Direction=H","UseDPDF=Y")</f>
        <v>9.1</v>
      </c>
      <c r="V76" s="13">
        <f>_xll.BDH("NBIX US Equity","ARDR_RENTAL_EXP_YR1","FQ3 2023","FQ3 2023","Currency=USD","Period=FQ","BEST_FPERIOD_OVERRIDE=FQ","FILING_STATUS=MR","SCALING_FORMAT=MLN","Sort=A","Dates=H","DateFormat=P","Fill=—","Direction=H","UseDPDF=Y")</f>
        <v>4.5</v>
      </c>
      <c r="W76" s="13">
        <f>_xll.BDH("NBIX US Equity","ARDR_RENTAL_EXP_YR1","FQ4 2023","FQ4 2023","Currency=USD","Period=FQ","BEST_FPERIOD_OVERRIDE=FQ","FILING_STATUS=MR","SCALING_FORMAT=MLN","Sort=A","Dates=H","DateFormat=P","Fill=—","Direction=H","UseDPDF=Y")</f>
        <v>33</v>
      </c>
      <c r="X76" s="13">
        <f>_xll.BDH("NBIX US Equity","ARDR_RENTAL_EXP_YR1","FQ1 2024","FQ1 2024","Currency=USD","Period=FQ","BEST_FPERIOD_OVERRIDE=FQ","FILING_STATUS=MR","SCALING_FORMAT=MLN","Sort=A","Dates=H","DateFormat=P","Fill=—","Direction=H","UseDPDF=Y")</f>
        <v>26.9</v>
      </c>
      <c r="Y76" s="13">
        <f>_xll.BDH("NBIX US Equity","ARDR_RENTAL_EXP_YR1","FQ2 2024","FQ2 2024","Currency=USD","Period=FQ","BEST_FPERIOD_OVERRIDE=FQ","FILING_STATUS=MR","SCALING_FORMAT=MLN","Sort=A","Dates=H","DateFormat=P","Fill=—","Direction=H","UseDPDF=Y")</f>
        <v>18</v>
      </c>
      <c r="Z76" s="13">
        <f>_xll.BDH("NBIX US Equity","ARDR_RENTAL_EXP_YR1","FQ3 2024","FQ3 2024","Currency=USD","Period=FQ","BEST_FPERIOD_OVERRIDE=FQ","FILING_STATUS=MR","SCALING_FORMAT=MLN","Sort=A","Dates=H","DateFormat=P","Fill=—","Direction=H","UseDPDF=Y")</f>
        <v>9</v>
      </c>
      <c r="AA76" s="13">
        <f>_xll.BDH("NBIX US Equity","ARDR_RENTAL_EXP_YR1","FQ4 2024","FQ4 2024","Currency=USD","Period=FQ","BEST_FPERIOD_OVERRIDE=FQ","FILING_STATUS=MR","SCALING_FORMAT=MLN","Sort=A","Dates=H","DateFormat=P","Fill=—","Direction=H","UseDPDF=Y")</f>
        <v>41.8</v>
      </c>
    </row>
    <row r="77" spans="1:27" x14ac:dyDescent="0.25">
      <c r="A77" s="10" t="s">
        <v>929</v>
      </c>
      <c r="B77" s="10" t="s">
        <v>930</v>
      </c>
      <c r="C77" s="13">
        <f>_xll.BDH("NBIX US Equity","ARDR_RENTAL_EXP_YR2","FQ4 2018","FQ4 2018","Currency=USD","Period=FQ","BEST_FPERIOD_OVERRIDE=FQ","FILING_STATUS=MR","SCALING_FORMAT=MLN","Sort=A","Dates=H","DateFormat=P","Fill=—","Direction=H","UseDPDF=Y")</f>
        <v>8.4</v>
      </c>
      <c r="D77" s="13">
        <f>_xll.BDH("NBIX US Equity","ARDR_RENTAL_EXP_YR2","FQ1 2019","FQ1 2019","Currency=USD","Period=FQ","BEST_FPERIOD_OVERRIDE=FQ","FILING_STATUS=MR","SCALING_FORMAT=MLN","Sort=A","Dates=H","DateFormat=P","Fill=—","Direction=H","UseDPDF=Y")</f>
        <v>8.3989999999999991</v>
      </c>
      <c r="E77" s="13">
        <f>_xll.BDH("NBIX US Equity","ARDR_RENTAL_EXP_YR2","FQ2 2019","FQ2 2019","Currency=USD","Period=FQ","BEST_FPERIOD_OVERRIDE=FQ","FILING_STATUS=MR","SCALING_FORMAT=MLN","Sort=A","Dates=H","DateFormat=P","Fill=—","Direction=H","UseDPDF=Y")</f>
        <v>8.3989999999999991</v>
      </c>
      <c r="F77" s="13">
        <f>_xll.BDH("NBIX US Equity","ARDR_RENTAL_EXP_YR2","FQ3 2019","FQ3 2019","Currency=USD","Period=FQ","BEST_FPERIOD_OVERRIDE=FQ","FILING_STATUS=MR","SCALING_FORMAT=MLN","Sort=A","Dates=H","DateFormat=P","Fill=—","Direction=H","UseDPDF=Y")</f>
        <v>8.4309999999999992</v>
      </c>
      <c r="G77" s="13">
        <f>_xll.BDH("NBIX US Equity","ARDR_RENTAL_EXP_YR2","FQ4 2019","FQ4 2019","Currency=USD","Period=FQ","BEST_FPERIOD_OVERRIDE=FQ","FILING_STATUS=MR","SCALING_FORMAT=MLN","Sort=A","Dates=H","DateFormat=P","Fill=—","Direction=H","UseDPDF=Y")</f>
        <v>10.577999999999999</v>
      </c>
      <c r="H77" s="13">
        <f>_xll.BDH("NBIX US Equity","ARDR_RENTAL_EXP_YR2","FQ1 2020","FQ1 2020","Currency=USD","Period=FQ","BEST_FPERIOD_OVERRIDE=FQ","FILING_STATUS=MR","SCALING_FORMAT=MLN","Sort=A","Dates=H","DateFormat=P","Fill=—","Direction=H","UseDPDF=Y")</f>
        <v>10.6</v>
      </c>
      <c r="I77" s="13">
        <f>_xll.BDH("NBIX US Equity","ARDR_RENTAL_EXP_YR2","FQ2 2020","FQ2 2020","Currency=USD","Period=FQ","BEST_FPERIOD_OVERRIDE=FQ","FILING_STATUS=MR","SCALING_FORMAT=MLN","Sort=A","Dates=H","DateFormat=P","Fill=—","Direction=H","UseDPDF=Y")</f>
        <v>10.6</v>
      </c>
      <c r="J77" s="13">
        <f>_xll.BDH("NBIX US Equity","ARDR_RENTAL_EXP_YR2","FQ3 2020","FQ3 2020","Currency=USD","Period=FQ","BEST_FPERIOD_OVERRIDE=FQ","FILING_STATUS=MR","SCALING_FORMAT=MLN","Sort=A","Dates=H","DateFormat=P","Fill=—","Direction=H","UseDPDF=Y")</f>
        <v>10.6</v>
      </c>
      <c r="K77" s="13">
        <f>_xll.BDH("NBIX US Equity","ARDR_RENTAL_EXP_YR2","FQ4 2020","FQ4 2020","Currency=USD","Period=FQ","BEST_FPERIOD_OVERRIDE=FQ","FILING_STATUS=MR","SCALING_FORMAT=MLN","Sort=A","Dates=H","DateFormat=P","Fill=—","Direction=H","UseDPDF=Y")</f>
        <v>12.4</v>
      </c>
      <c r="L77" s="13">
        <f>_xll.BDH("NBIX US Equity","ARDR_RENTAL_EXP_YR2","FQ1 2021","FQ1 2021","Currency=USD","Period=FQ","BEST_FPERIOD_OVERRIDE=FQ","FILING_STATUS=MR","SCALING_FORMAT=MLN","Sort=A","Dates=H","DateFormat=P","Fill=—","Direction=H","UseDPDF=Y")</f>
        <v>14.9</v>
      </c>
      <c r="M77" s="13">
        <f>_xll.BDH("NBIX US Equity","ARDR_RENTAL_EXP_YR2","FQ2 2021","FQ2 2021","Currency=USD","Period=FQ","BEST_FPERIOD_OVERRIDE=FQ","FILING_STATUS=MR","SCALING_FORMAT=MLN","Sort=A","Dates=H","DateFormat=P","Fill=—","Direction=H","UseDPDF=Y")</f>
        <v>16.8</v>
      </c>
      <c r="N77" s="13">
        <f>_xll.BDH("NBIX US Equity","ARDR_RENTAL_EXP_YR2","FQ3 2021","FQ3 2021","Currency=USD","Period=FQ","BEST_FPERIOD_OVERRIDE=FQ","FILING_STATUS=MR","SCALING_FORMAT=MLN","Sort=A","Dates=H","DateFormat=P","Fill=—","Direction=H","UseDPDF=Y")</f>
        <v>16.8</v>
      </c>
      <c r="O77" s="13">
        <f>_xll.BDH("NBIX US Equity","ARDR_RENTAL_EXP_YR2","FQ4 2021","FQ4 2021","Currency=USD","Period=FQ","BEST_FPERIOD_OVERRIDE=FQ","FILING_STATUS=MR","SCALING_FORMAT=MLN","Sort=A","Dates=H","DateFormat=P","Fill=—","Direction=H","UseDPDF=Y")</f>
        <v>17.899999999999999</v>
      </c>
      <c r="P77" s="13">
        <f>_xll.BDH("NBIX US Equity","ARDR_RENTAL_EXP_YR2","FQ1 2022","FQ1 2022","Currency=USD","Period=FQ","BEST_FPERIOD_OVERRIDE=FQ","FILING_STATUS=MR","SCALING_FORMAT=MLN","Sort=A","Dates=H","DateFormat=P","Fill=—","Direction=H","UseDPDF=Y")</f>
        <v>17.899999999999999</v>
      </c>
      <c r="Q77" s="13">
        <f>_xll.BDH("NBIX US Equity","ARDR_RENTAL_EXP_YR2","FQ2 2022","FQ2 2022","Currency=USD","Period=FQ","BEST_FPERIOD_OVERRIDE=FQ","FILING_STATUS=MR","SCALING_FORMAT=MLN","Sort=A","Dates=H","DateFormat=P","Fill=—","Direction=H","UseDPDF=Y")</f>
        <v>17.899999999999999</v>
      </c>
      <c r="R77" s="13">
        <f>_xll.BDH("NBIX US Equity","ARDR_RENTAL_EXP_YR2","FQ3 2022","FQ3 2022","Currency=USD","Period=FQ","BEST_FPERIOD_OVERRIDE=FQ","FILING_STATUS=MR","SCALING_FORMAT=MLN","Sort=A","Dates=H","DateFormat=P","Fill=—","Direction=H","UseDPDF=Y")</f>
        <v>17.899999999999999</v>
      </c>
      <c r="S77" s="13">
        <f>_xll.BDH("NBIX US Equity","ARDR_RENTAL_EXP_YR2","FQ4 2022","FQ4 2022","Currency=USD","Period=FQ","BEST_FPERIOD_OVERRIDE=FQ","FILING_STATUS=MR","SCALING_FORMAT=MLN","Sort=A","Dates=H","DateFormat=P","Fill=—","Direction=H","UseDPDF=Y")</f>
        <v>17.399999999999999</v>
      </c>
      <c r="T77" s="13">
        <f>_xll.BDH("NBIX US Equity","ARDR_RENTAL_EXP_YR2","FQ1 2023","FQ1 2023","Currency=USD","Period=FQ","BEST_FPERIOD_OVERRIDE=FQ","FILING_STATUS=MR","SCALING_FORMAT=MLN","Sort=A","Dates=H","DateFormat=P","Fill=—","Direction=H","UseDPDF=Y")</f>
        <v>17.399999999999999</v>
      </c>
      <c r="U77" s="13">
        <f>_xll.BDH("NBIX US Equity","ARDR_RENTAL_EXP_YR2","FQ2 2023","FQ2 2023","Currency=USD","Period=FQ","BEST_FPERIOD_OVERRIDE=FQ","FILING_STATUS=MR","SCALING_FORMAT=MLN","Sort=A","Dates=H","DateFormat=P","Fill=—","Direction=H","UseDPDF=Y")</f>
        <v>18.5</v>
      </c>
      <c r="V77" s="13">
        <f>_xll.BDH("NBIX US Equity","ARDR_RENTAL_EXP_YR2","FQ3 2023","FQ3 2023","Currency=USD","Period=FQ","BEST_FPERIOD_OVERRIDE=FQ","FILING_STATUS=MR","SCALING_FORMAT=MLN","Sort=A","Dates=H","DateFormat=P","Fill=—","Direction=H","UseDPDF=Y")</f>
        <v>18.5</v>
      </c>
      <c r="W77" s="13">
        <f>_xll.BDH("NBIX US Equity","ARDR_RENTAL_EXP_YR2","FQ4 2023","FQ4 2023","Currency=USD","Period=FQ","BEST_FPERIOD_OVERRIDE=FQ","FILING_STATUS=MR","SCALING_FORMAT=MLN","Sort=A","Dates=H","DateFormat=P","Fill=—","Direction=H","UseDPDF=Y")</f>
        <v>34.700000000000003</v>
      </c>
      <c r="X77" s="13">
        <f>_xll.BDH("NBIX US Equity","ARDR_RENTAL_EXP_YR2","FQ1 2024","FQ1 2024","Currency=USD","Period=FQ","BEST_FPERIOD_OVERRIDE=FQ","FILING_STATUS=MR","SCALING_FORMAT=MLN","Sort=A","Dates=H","DateFormat=P","Fill=—","Direction=H","UseDPDF=Y")</f>
        <v>34.700000000000003</v>
      </c>
      <c r="Y77" s="13">
        <f>_xll.BDH("NBIX US Equity","ARDR_RENTAL_EXP_YR2","FQ2 2024","FQ2 2024","Currency=USD","Period=FQ","BEST_FPERIOD_OVERRIDE=FQ","FILING_STATUS=MR","SCALING_FORMAT=MLN","Sort=A","Dates=H","DateFormat=P","Fill=—","Direction=H","UseDPDF=Y")</f>
        <v>35.4</v>
      </c>
      <c r="Z77" s="13">
        <f>_xll.BDH("NBIX US Equity","ARDR_RENTAL_EXP_YR2","FQ3 2024","FQ3 2024","Currency=USD","Period=FQ","BEST_FPERIOD_OVERRIDE=FQ","FILING_STATUS=MR","SCALING_FORMAT=MLN","Sort=A","Dates=H","DateFormat=P","Fill=—","Direction=H","UseDPDF=Y")</f>
        <v>35.4</v>
      </c>
      <c r="AA77" s="13">
        <f>_xll.BDH("NBIX US Equity","ARDR_RENTAL_EXP_YR2","FQ4 2024","FQ4 2024","Currency=USD","Period=FQ","BEST_FPERIOD_OVERRIDE=FQ","FILING_STATUS=MR","SCALING_FORMAT=MLN","Sort=A","Dates=H","DateFormat=P","Fill=—","Direction=H","UseDPDF=Y")</f>
        <v>58.2</v>
      </c>
    </row>
    <row r="78" spans="1:27" x14ac:dyDescent="0.25">
      <c r="A78" s="10" t="s">
        <v>931</v>
      </c>
      <c r="B78" s="10" t="s">
        <v>932</v>
      </c>
      <c r="C78" s="13">
        <f>_xll.BDH("NBIX US Equity","ARDR_RENTAL_EXP_YR3","FQ4 2018","FQ4 2018","Currency=USD","Period=FQ","BEST_FPERIOD_OVERRIDE=FQ","FILING_STATUS=MR","SCALING_FORMAT=MLN","Sort=A","Dates=H","DateFormat=P","Fill=—","Direction=H","UseDPDF=Y")</f>
        <v>8.6</v>
      </c>
      <c r="D78" s="13">
        <f>_xll.BDH("NBIX US Equity","ARDR_RENTAL_EXP_YR3","FQ1 2019","FQ1 2019","Currency=USD","Period=FQ","BEST_FPERIOD_OVERRIDE=FQ","FILING_STATUS=MR","SCALING_FORMAT=MLN","Sort=A","Dates=H","DateFormat=P","Fill=—","Direction=H","UseDPDF=Y")</f>
        <v>8.6240000000000006</v>
      </c>
      <c r="E78" s="13">
        <f>_xll.BDH("NBIX US Equity","ARDR_RENTAL_EXP_YR3","FQ2 2019","FQ2 2019","Currency=USD","Period=FQ","BEST_FPERIOD_OVERRIDE=FQ","FILING_STATUS=MR","SCALING_FORMAT=MLN","Sort=A","Dates=H","DateFormat=P","Fill=—","Direction=H","UseDPDF=Y")</f>
        <v>8.6240000000000006</v>
      </c>
      <c r="F78" s="13">
        <f>_xll.BDH("NBIX US Equity","ARDR_RENTAL_EXP_YR3","FQ3 2019","FQ3 2019","Currency=USD","Period=FQ","BEST_FPERIOD_OVERRIDE=FQ","FILING_STATUS=MR","SCALING_FORMAT=MLN","Sort=A","Dates=H","DateFormat=P","Fill=—","Direction=H","UseDPDF=Y")</f>
        <v>9.0259999999999998</v>
      </c>
      <c r="G78" s="13">
        <f>_xll.BDH("NBIX US Equity","ARDR_RENTAL_EXP_YR3","FQ4 2019","FQ4 2019","Currency=USD","Period=FQ","BEST_FPERIOD_OVERRIDE=FQ","FILING_STATUS=MR","SCALING_FORMAT=MLN","Sort=A","Dates=H","DateFormat=P","Fill=—","Direction=H","UseDPDF=Y")</f>
        <v>10.9</v>
      </c>
      <c r="H78" s="13">
        <f>_xll.BDH("NBIX US Equity","ARDR_RENTAL_EXP_YR3","FQ1 2020","FQ1 2020","Currency=USD","Period=FQ","BEST_FPERIOD_OVERRIDE=FQ","FILING_STATUS=MR","SCALING_FORMAT=MLN","Sort=A","Dates=H","DateFormat=P","Fill=—","Direction=H","UseDPDF=Y")</f>
        <v>10.9</v>
      </c>
      <c r="I78" s="13">
        <f>_xll.BDH("NBIX US Equity","ARDR_RENTAL_EXP_YR3","FQ2 2020","FQ2 2020","Currency=USD","Period=FQ","BEST_FPERIOD_OVERRIDE=FQ","FILING_STATUS=MR","SCALING_FORMAT=MLN","Sort=A","Dates=H","DateFormat=P","Fill=—","Direction=H","UseDPDF=Y")</f>
        <v>10.9</v>
      </c>
      <c r="J78" s="13">
        <f>_xll.BDH("NBIX US Equity","ARDR_RENTAL_EXP_YR3","FQ3 2020","FQ3 2020","Currency=USD","Period=FQ","BEST_FPERIOD_OVERRIDE=FQ","FILING_STATUS=MR","SCALING_FORMAT=MLN","Sort=A","Dates=H","DateFormat=P","Fill=—","Direction=H","UseDPDF=Y")</f>
        <v>10.9</v>
      </c>
      <c r="K78" s="13">
        <f>_xll.BDH("NBIX US Equity","ARDR_RENTAL_EXP_YR3","FQ4 2020","FQ4 2020","Currency=USD","Period=FQ","BEST_FPERIOD_OVERRIDE=FQ","FILING_STATUS=MR","SCALING_FORMAT=MLN","Sort=A","Dates=H","DateFormat=P","Fill=—","Direction=H","UseDPDF=Y")</f>
        <v>12.7</v>
      </c>
      <c r="L78" s="13">
        <f>_xll.BDH("NBIX US Equity","ARDR_RENTAL_EXP_YR3","FQ1 2021","FQ1 2021","Currency=USD","Period=FQ","BEST_FPERIOD_OVERRIDE=FQ","FILING_STATUS=MR","SCALING_FORMAT=MLN","Sort=A","Dates=H","DateFormat=P","Fill=—","Direction=H","UseDPDF=Y")</f>
        <v>15.5</v>
      </c>
      <c r="M78" s="13">
        <f>_xll.BDH("NBIX US Equity","ARDR_RENTAL_EXP_YR3","FQ2 2021","FQ2 2021","Currency=USD","Period=FQ","BEST_FPERIOD_OVERRIDE=FQ","FILING_STATUS=MR","SCALING_FORMAT=MLN","Sort=A","Dates=H","DateFormat=P","Fill=—","Direction=H","UseDPDF=Y")</f>
        <v>17.5</v>
      </c>
      <c r="N78" s="13">
        <f>_xll.BDH("NBIX US Equity","ARDR_RENTAL_EXP_YR3","FQ3 2021","FQ3 2021","Currency=USD","Period=FQ","BEST_FPERIOD_OVERRIDE=FQ","FILING_STATUS=MR","SCALING_FORMAT=MLN","Sort=A","Dates=H","DateFormat=P","Fill=—","Direction=H","UseDPDF=Y")</f>
        <v>17.5</v>
      </c>
      <c r="O78" s="13">
        <f>_xll.BDH("NBIX US Equity","ARDR_RENTAL_EXP_YR3","FQ4 2021","FQ4 2021","Currency=USD","Period=FQ","BEST_FPERIOD_OVERRIDE=FQ","FILING_STATUS=MR","SCALING_FORMAT=MLN","Sort=A","Dates=H","DateFormat=P","Fill=—","Direction=H","UseDPDF=Y")</f>
        <v>17.399999999999999</v>
      </c>
      <c r="P78" s="13">
        <f>_xll.BDH("NBIX US Equity","ARDR_RENTAL_EXP_YR3","FQ1 2022","FQ1 2022","Currency=USD","Period=FQ","BEST_FPERIOD_OVERRIDE=FQ","FILING_STATUS=MR","SCALING_FORMAT=MLN","Sort=A","Dates=H","DateFormat=P","Fill=—","Direction=H","UseDPDF=Y")</f>
        <v>17.399999999999999</v>
      </c>
      <c r="Q78" s="13">
        <f>_xll.BDH("NBIX US Equity","ARDR_RENTAL_EXP_YR3","FQ2 2022","FQ2 2022","Currency=USD","Period=FQ","BEST_FPERIOD_OVERRIDE=FQ","FILING_STATUS=MR","SCALING_FORMAT=MLN","Sort=A","Dates=H","DateFormat=P","Fill=—","Direction=H","UseDPDF=Y")</f>
        <v>17.399999999999999</v>
      </c>
      <c r="R78" s="13">
        <f>_xll.BDH("NBIX US Equity","ARDR_RENTAL_EXP_YR3","FQ3 2022","FQ3 2022","Currency=USD","Period=FQ","BEST_FPERIOD_OVERRIDE=FQ","FILING_STATUS=MR","SCALING_FORMAT=MLN","Sort=A","Dates=H","DateFormat=P","Fill=—","Direction=H","UseDPDF=Y")</f>
        <v>17.399999999999999</v>
      </c>
      <c r="S78" s="13">
        <f>_xll.BDH("NBIX US Equity","ARDR_RENTAL_EXP_YR3","FQ4 2022","FQ4 2022","Currency=USD","Period=FQ","BEST_FPERIOD_OVERRIDE=FQ","FILING_STATUS=MR","SCALING_FORMAT=MLN","Sort=A","Dates=H","DateFormat=P","Fill=—","Direction=H","UseDPDF=Y")</f>
        <v>15.9</v>
      </c>
      <c r="T78" s="13">
        <f>_xll.BDH("NBIX US Equity","ARDR_RENTAL_EXP_YR3","FQ1 2023","FQ1 2023","Currency=USD","Period=FQ","BEST_FPERIOD_OVERRIDE=FQ","FILING_STATUS=MR","SCALING_FORMAT=MLN","Sort=A","Dates=H","DateFormat=P","Fill=—","Direction=H","UseDPDF=Y")</f>
        <v>15.9</v>
      </c>
      <c r="U78" s="13">
        <f>_xll.BDH("NBIX US Equity","ARDR_RENTAL_EXP_YR3","FQ2 2023","FQ2 2023","Currency=USD","Period=FQ","BEST_FPERIOD_OVERRIDE=FQ","FILING_STATUS=MR","SCALING_FORMAT=MLN","Sort=A","Dates=H","DateFormat=P","Fill=—","Direction=H","UseDPDF=Y")</f>
        <v>17</v>
      </c>
      <c r="V78" s="13">
        <f>_xll.BDH("NBIX US Equity","ARDR_RENTAL_EXP_YR3","FQ3 2023","FQ3 2023","Currency=USD","Period=FQ","BEST_FPERIOD_OVERRIDE=FQ","FILING_STATUS=MR","SCALING_FORMAT=MLN","Sort=A","Dates=H","DateFormat=P","Fill=—","Direction=H","UseDPDF=Y")</f>
        <v>17</v>
      </c>
      <c r="W78" s="13">
        <f>_xll.BDH("NBIX US Equity","ARDR_RENTAL_EXP_YR3","FQ4 2023","FQ4 2023","Currency=USD","Period=FQ","BEST_FPERIOD_OVERRIDE=FQ","FILING_STATUS=MR","SCALING_FORMAT=MLN","Sort=A","Dates=H","DateFormat=P","Fill=—","Direction=H","UseDPDF=Y")</f>
        <v>34</v>
      </c>
      <c r="X78" s="13">
        <f>_xll.BDH("NBIX US Equity","ARDR_RENTAL_EXP_YR3","FQ1 2024","FQ1 2024","Currency=USD","Period=FQ","BEST_FPERIOD_OVERRIDE=FQ","FILING_STATUS=MR","SCALING_FORMAT=MLN","Sort=A","Dates=H","DateFormat=P","Fill=—","Direction=H","UseDPDF=Y")</f>
        <v>34</v>
      </c>
      <c r="Y78" s="13">
        <f>_xll.BDH("NBIX US Equity","ARDR_RENTAL_EXP_YR3","FQ2 2024","FQ2 2024","Currency=USD","Period=FQ","BEST_FPERIOD_OVERRIDE=FQ","FILING_STATUS=MR","SCALING_FORMAT=MLN","Sort=A","Dates=H","DateFormat=P","Fill=—","Direction=H","UseDPDF=Y")</f>
        <v>34.9</v>
      </c>
      <c r="Z78" s="13">
        <f>_xll.BDH("NBIX US Equity","ARDR_RENTAL_EXP_YR3","FQ3 2024","FQ3 2024","Currency=USD","Period=FQ","BEST_FPERIOD_OVERRIDE=FQ","FILING_STATUS=MR","SCALING_FORMAT=MLN","Sort=A","Dates=H","DateFormat=P","Fill=—","Direction=H","UseDPDF=Y")</f>
        <v>34.9</v>
      </c>
      <c r="AA78" s="13">
        <f>_xll.BDH("NBIX US Equity","ARDR_RENTAL_EXP_YR3","FQ4 2024","FQ4 2024","Currency=USD","Period=FQ","BEST_FPERIOD_OVERRIDE=FQ","FILING_STATUS=MR","SCALING_FORMAT=MLN","Sort=A","Dates=H","DateFormat=P","Fill=—","Direction=H","UseDPDF=Y")</f>
        <v>59.1</v>
      </c>
    </row>
    <row r="79" spans="1:27" x14ac:dyDescent="0.25">
      <c r="A79" s="10" t="s">
        <v>933</v>
      </c>
      <c r="B79" s="10" t="s">
        <v>934</v>
      </c>
      <c r="C79" s="13">
        <f>_xll.BDH("NBIX US Equity","ARDR_RENTAL_EXP_YR4","FQ4 2018","FQ4 2018","Currency=USD","Period=FQ","BEST_FPERIOD_OVERRIDE=FQ","FILING_STATUS=MR","SCALING_FORMAT=MLN","Sort=A","Dates=H","DateFormat=P","Fill=—","Direction=H","UseDPDF=Y")</f>
        <v>8.9</v>
      </c>
      <c r="D79" s="13">
        <f>_xll.BDH("NBIX US Equity","ARDR_RENTAL_EXP_YR4","FQ1 2019","FQ1 2019","Currency=USD","Period=FQ","BEST_FPERIOD_OVERRIDE=FQ","FILING_STATUS=MR","SCALING_FORMAT=MLN","Sort=A","Dates=H","DateFormat=P","Fill=—","Direction=H","UseDPDF=Y")</f>
        <v>8.8879999999999999</v>
      </c>
      <c r="E79" s="13">
        <f>_xll.BDH("NBIX US Equity","ARDR_RENTAL_EXP_YR4","FQ2 2019","FQ2 2019","Currency=USD","Period=FQ","BEST_FPERIOD_OVERRIDE=FQ","FILING_STATUS=MR","SCALING_FORMAT=MLN","Sort=A","Dates=H","DateFormat=P","Fill=—","Direction=H","UseDPDF=Y")</f>
        <v>8.8879999999999999</v>
      </c>
      <c r="F79" s="13">
        <f>_xll.BDH("NBIX US Equity","ARDR_RENTAL_EXP_YR4","FQ3 2019","FQ3 2019","Currency=USD","Period=FQ","BEST_FPERIOD_OVERRIDE=FQ","FILING_STATUS=MR","SCALING_FORMAT=MLN","Sort=A","Dates=H","DateFormat=P","Fill=—","Direction=H","UseDPDF=Y")</f>
        <v>9.3019999999999996</v>
      </c>
      <c r="G79" s="13">
        <f>_xll.BDH("NBIX US Equity","ARDR_RENTAL_EXP_YR4","FQ4 2019","FQ4 2019","Currency=USD","Period=FQ","BEST_FPERIOD_OVERRIDE=FQ","FILING_STATUS=MR","SCALING_FORMAT=MLN","Sort=A","Dates=H","DateFormat=P","Fill=—","Direction=H","UseDPDF=Y")</f>
        <v>11.231999999999999</v>
      </c>
      <c r="H79" s="13">
        <f>_xll.BDH("NBIX US Equity","ARDR_RENTAL_EXP_YR4","FQ1 2020","FQ1 2020","Currency=USD","Period=FQ","BEST_FPERIOD_OVERRIDE=FQ","FILING_STATUS=MR","SCALING_FORMAT=MLN","Sort=A","Dates=H","DateFormat=P","Fill=—","Direction=H","UseDPDF=Y")</f>
        <v>11.2</v>
      </c>
      <c r="I79" s="13">
        <f>_xll.BDH("NBIX US Equity","ARDR_RENTAL_EXP_YR4","FQ2 2020","FQ2 2020","Currency=USD","Period=FQ","BEST_FPERIOD_OVERRIDE=FQ","FILING_STATUS=MR","SCALING_FORMAT=MLN","Sort=A","Dates=H","DateFormat=P","Fill=—","Direction=H","UseDPDF=Y")</f>
        <v>11.2</v>
      </c>
      <c r="J79" s="13">
        <f>_xll.BDH("NBIX US Equity","ARDR_RENTAL_EXP_YR4","FQ3 2020","FQ3 2020","Currency=USD","Period=FQ","BEST_FPERIOD_OVERRIDE=FQ","FILING_STATUS=MR","SCALING_FORMAT=MLN","Sort=A","Dates=H","DateFormat=P","Fill=—","Direction=H","UseDPDF=Y")</f>
        <v>11.2</v>
      </c>
      <c r="K79" s="13">
        <f>_xll.BDH("NBIX US Equity","ARDR_RENTAL_EXP_YR4","FQ4 2020","FQ4 2020","Currency=USD","Period=FQ","BEST_FPERIOD_OVERRIDE=FQ","FILING_STATUS=MR","SCALING_FORMAT=MLN","Sort=A","Dates=H","DateFormat=P","Fill=—","Direction=H","UseDPDF=Y")</f>
        <v>13.1</v>
      </c>
      <c r="L79" s="13">
        <f>_xll.BDH("NBIX US Equity","ARDR_RENTAL_EXP_YR4","FQ1 2021","FQ1 2021","Currency=USD","Period=FQ","BEST_FPERIOD_OVERRIDE=FQ","FILING_STATUS=MR","SCALING_FORMAT=MLN","Sort=A","Dates=H","DateFormat=P","Fill=—","Direction=H","UseDPDF=Y")</f>
        <v>16</v>
      </c>
      <c r="M79" s="13">
        <f>_xll.BDH("NBIX US Equity","ARDR_RENTAL_EXP_YR4","FQ2 2021","FQ2 2021","Currency=USD","Period=FQ","BEST_FPERIOD_OVERRIDE=FQ","FILING_STATUS=MR","SCALING_FORMAT=MLN","Sort=A","Dates=H","DateFormat=P","Fill=—","Direction=H","UseDPDF=Y")</f>
        <v>17</v>
      </c>
      <c r="N79" s="13">
        <f>_xll.BDH("NBIX US Equity","ARDR_RENTAL_EXP_YR4","FQ3 2021","FQ3 2021","Currency=USD","Period=FQ","BEST_FPERIOD_OVERRIDE=FQ","FILING_STATUS=MR","SCALING_FORMAT=MLN","Sort=A","Dates=H","DateFormat=P","Fill=—","Direction=H","UseDPDF=Y")</f>
        <v>17</v>
      </c>
      <c r="O79" s="13">
        <f>_xll.BDH("NBIX US Equity","ARDR_RENTAL_EXP_YR4","FQ4 2021","FQ4 2021","Currency=USD","Period=FQ","BEST_FPERIOD_OVERRIDE=FQ","FILING_STATUS=MR","SCALING_FORMAT=MLN","Sort=A","Dates=H","DateFormat=P","Fill=—","Direction=H","UseDPDF=Y")</f>
        <v>15.9</v>
      </c>
      <c r="P79" s="13">
        <f>_xll.BDH("NBIX US Equity","ARDR_RENTAL_EXP_YR4","FQ1 2022","FQ1 2022","Currency=USD","Period=FQ","BEST_FPERIOD_OVERRIDE=FQ","FILING_STATUS=MR","SCALING_FORMAT=MLN","Sort=A","Dates=H","DateFormat=P","Fill=—","Direction=H","UseDPDF=Y")</f>
        <v>15.9</v>
      </c>
      <c r="Q79" s="13">
        <f>_xll.BDH("NBIX US Equity","ARDR_RENTAL_EXP_YR4","FQ2 2022","FQ2 2022","Currency=USD","Period=FQ","BEST_FPERIOD_OVERRIDE=FQ","FILING_STATUS=MR","SCALING_FORMAT=MLN","Sort=A","Dates=H","DateFormat=P","Fill=—","Direction=H","UseDPDF=Y")</f>
        <v>15.9</v>
      </c>
      <c r="R79" s="13">
        <f>_xll.BDH("NBIX US Equity","ARDR_RENTAL_EXP_YR4","FQ3 2022","FQ3 2022","Currency=USD","Period=FQ","BEST_FPERIOD_OVERRIDE=FQ","FILING_STATUS=MR","SCALING_FORMAT=MLN","Sort=A","Dates=H","DateFormat=P","Fill=—","Direction=H","UseDPDF=Y")</f>
        <v>15.9</v>
      </c>
      <c r="S79" s="13">
        <f>_xll.BDH("NBIX US Equity","ARDR_RENTAL_EXP_YR4","FQ4 2022","FQ4 2022","Currency=USD","Period=FQ","BEST_FPERIOD_OVERRIDE=FQ","FILING_STATUS=MR","SCALING_FORMAT=MLN","Sort=A","Dates=H","DateFormat=P","Fill=—","Direction=H","UseDPDF=Y")</f>
        <v>15.7</v>
      </c>
      <c r="T79" s="13">
        <f>_xll.BDH("NBIX US Equity","ARDR_RENTAL_EXP_YR4","FQ1 2023","FQ1 2023","Currency=USD","Period=FQ","BEST_FPERIOD_OVERRIDE=FQ","FILING_STATUS=MR","SCALING_FORMAT=MLN","Sort=A","Dates=H","DateFormat=P","Fill=—","Direction=H","UseDPDF=Y")</f>
        <v>15.7</v>
      </c>
      <c r="U79" s="13">
        <f>_xll.BDH("NBIX US Equity","ARDR_RENTAL_EXP_YR4","FQ2 2023","FQ2 2023","Currency=USD","Period=FQ","BEST_FPERIOD_OVERRIDE=FQ","FILING_STATUS=MR","SCALING_FORMAT=MLN","Sort=A","Dates=H","DateFormat=P","Fill=—","Direction=H","UseDPDF=Y")</f>
        <v>15.7</v>
      </c>
      <c r="V79" s="13">
        <f>_xll.BDH("NBIX US Equity","ARDR_RENTAL_EXP_YR4","FQ3 2023","FQ3 2023","Currency=USD","Period=FQ","BEST_FPERIOD_OVERRIDE=FQ","FILING_STATUS=MR","SCALING_FORMAT=MLN","Sort=A","Dates=H","DateFormat=P","Fill=—","Direction=H","UseDPDF=Y")</f>
        <v>15.7</v>
      </c>
      <c r="W79" s="13">
        <f>_xll.BDH("NBIX US Equity","ARDR_RENTAL_EXP_YR4","FQ4 2023","FQ4 2023","Currency=USD","Period=FQ","BEST_FPERIOD_OVERRIDE=FQ","FILING_STATUS=MR","SCALING_FORMAT=MLN","Sort=A","Dates=H","DateFormat=P","Fill=—","Direction=H","UseDPDF=Y")</f>
        <v>34.799999999999997</v>
      </c>
      <c r="X79" s="13">
        <f>_xll.BDH("NBIX US Equity","ARDR_RENTAL_EXP_YR4","FQ1 2024","FQ1 2024","Currency=USD","Period=FQ","BEST_FPERIOD_OVERRIDE=FQ","FILING_STATUS=MR","SCALING_FORMAT=MLN","Sort=A","Dates=H","DateFormat=P","Fill=—","Direction=H","UseDPDF=Y")</f>
        <v>34.799999999999997</v>
      </c>
      <c r="Y79" s="13">
        <f>_xll.BDH("NBIX US Equity","ARDR_RENTAL_EXP_YR4","FQ2 2024","FQ2 2024","Currency=USD","Period=FQ","BEST_FPERIOD_OVERRIDE=FQ","FILING_STATUS=MR","SCALING_FORMAT=MLN","Sort=A","Dates=H","DateFormat=P","Fill=—","Direction=H","UseDPDF=Y")</f>
        <v>35.799999999999997</v>
      </c>
      <c r="Z79" s="13">
        <f>_xll.BDH("NBIX US Equity","ARDR_RENTAL_EXP_YR4","FQ3 2024","FQ3 2024","Currency=USD","Period=FQ","BEST_FPERIOD_OVERRIDE=FQ","FILING_STATUS=MR","SCALING_FORMAT=MLN","Sort=A","Dates=H","DateFormat=P","Fill=—","Direction=H","UseDPDF=Y")</f>
        <v>35.799999999999997</v>
      </c>
      <c r="AA79" s="13">
        <f>_xll.BDH("NBIX US Equity","ARDR_RENTAL_EXP_YR4","FQ4 2024","FQ4 2024","Currency=USD","Period=FQ","BEST_FPERIOD_OVERRIDE=FQ","FILING_STATUS=MR","SCALING_FORMAT=MLN","Sort=A","Dates=H","DateFormat=P","Fill=—","Direction=H","UseDPDF=Y")</f>
        <v>60.6</v>
      </c>
    </row>
    <row r="80" spans="1:27" x14ac:dyDescent="0.25">
      <c r="A80" s="10" t="s">
        <v>935</v>
      </c>
      <c r="B80" s="10" t="s">
        <v>936</v>
      </c>
      <c r="C80" s="13" t="str">
        <f>_xll.BDH("NBIX US Equity","ARDR_RENTAL_EXP_YR5","FQ4 2018","FQ4 2018","Currency=USD","Period=FQ","BEST_FPERIOD_OVERRIDE=FQ","FILING_STATUS=MR","SCALING_FORMAT=MLN","Sort=A","Dates=H","DateFormat=P","Fill=—","Direction=H","UseDPDF=Y")</f>
        <v>—</v>
      </c>
      <c r="D80" s="13">
        <f>_xll.BDH("NBIX US Equity","ARDR_RENTAL_EXP_YR5","FQ1 2019","FQ1 2019","Currency=USD","Period=FQ","BEST_FPERIOD_OVERRIDE=FQ","FILING_STATUS=MR","SCALING_FORMAT=MLN","Sort=A","Dates=H","DateFormat=P","Fill=—","Direction=H","UseDPDF=Y")</f>
        <v>9.16</v>
      </c>
      <c r="E80" s="13">
        <f>_xll.BDH("NBIX US Equity","ARDR_RENTAL_EXP_YR5","FQ2 2019","FQ2 2019","Currency=USD","Period=FQ","BEST_FPERIOD_OVERRIDE=FQ","FILING_STATUS=MR","SCALING_FORMAT=MLN","Sort=A","Dates=H","DateFormat=P","Fill=—","Direction=H","UseDPDF=Y")</f>
        <v>9.16</v>
      </c>
      <c r="F80" s="13">
        <f>_xll.BDH("NBIX US Equity","ARDR_RENTAL_EXP_YR5","FQ3 2019","FQ3 2019","Currency=USD","Period=FQ","BEST_FPERIOD_OVERRIDE=FQ","FILING_STATUS=MR","SCALING_FORMAT=MLN","Sort=A","Dates=H","DateFormat=P","Fill=—","Direction=H","UseDPDF=Y")</f>
        <v>9.5860000000000003</v>
      </c>
      <c r="G80" s="13">
        <f>_xll.BDH("NBIX US Equity","ARDR_RENTAL_EXP_YR5","FQ4 2019","FQ4 2019","Currency=USD","Period=FQ","BEST_FPERIOD_OVERRIDE=FQ","FILING_STATUS=MR","SCALING_FORMAT=MLN","Sort=A","Dates=H","DateFormat=P","Fill=—","Direction=H","UseDPDF=Y")</f>
        <v>11.574</v>
      </c>
      <c r="H80" s="13">
        <f>_xll.BDH("NBIX US Equity","ARDR_RENTAL_EXP_YR5","FQ1 2020","FQ1 2020","Currency=USD","Period=FQ","BEST_FPERIOD_OVERRIDE=FQ","FILING_STATUS=MR","SCALING_FORMAT=MLN","Sort=A","Dates=H","DateFormat=P","Fill=—","Direction=H","UseDPDF=Y")</f>
        <v>11.6</v>
      </c>
      <c r="I80" s="13">
        <f>_xll.BDH("NBIX US Equity","ARDR_RENTAL_EXP_YR5","FQ2 2020","FQ2 2020","Currency=USD","Period=FQ","BEST_FPERIOD_OVERRIDE=FQ","FILING_STATUS=MR","SCALING_FORMAT=MLN","Sort=A","Dates=H","DateFormat=P","Fill=—","Direction=H","UseDPDF=Y")</f>
        <v>11.6</v>
      </c>
      <c r="J80" s="13">
        <f>_xll.BDH("NBIX US Equity","ARDR_RENTAL_EXP_YR5","FQ3 2020","FQ3 2020","Currency=USD","Period=FQ","BEST_FPERIOD_OVERRIDE=FQ","FILING_STATUS=MR","SCALING_FORMAT=MLN","Sort=A","Dates=H","DateFormat=P","Fill=—","Direction=H","UseDPDF=Y")</f>
        <v>11.6</v>
      </c>
      <c r="K80" s="13">
        <f>_xll.BDH("NBIX US Equity","ARDR_RENTAL_EXP_YR5","FQ4 2020","FQ4 2020","Currency=USD","Period=FQ","BEST_FPERIOD_OVERRIDE=FQ","FILING_STATUS=MR","SCALING_FORMAT=MLN","Sort=A","Dates=H","DateFormat=P","Fill=—","Direction=H","UseDPDF=Y")</f>
        <v>13.5</v>
      </c>
      <c r="L80" s="13">
        <f>_xll.BDH("NBIX US Equity","ARDR_RENTAL_EXP_YR5","FQ1 2021","FQ1 2021","Currency=USD","Period=FQ","BEST_FPERIOD_OVERRIDE=FQ","FILING_STATUS=MR","SCALING_FORMAT=MLN","Sort=A","Dates=H","DateFormat=P","Fill=—","Direction=H","UseDPDF=Y")</f>
        <v>15.5</v>
      </c>
      <c r="M80" s="13">
        <f>_xll.BDH("NBIX US Equity","ARDR_RENTAL_EXP_YR5","FQ2 2021","FQ2 2021","Currency=USD","Period=FQ","BEST_FPERIOD_OVERRIDE=FQ","FILING_STATUS=MR","SCALING_FORMAT=MLN","Sort=A","Dates=H","DateFormat=P","Fill=—","Direction=H","UseDPDF=Y")</f>
        <v>15.5</v>
      </c>
      <c r="N80" s="13">
        <f>_xll.BDH("NBIX US Equity","ARDR_RENTAL_EXP_YR5","FQ3 2021","FQ3 2021","Currency=USD","Period=FQ","BEST_FPERIOD_OVERRIDE=FQ","FILING_STATUS=MR","SCALING_FORMAT=MLN","Sort=A","Dates=H","DateFormat=P","Fill=—","Direction=H","UseDPDF=Y")</f>
        <v>15.5</v>
      </c>
      <c r="O80" s="13">
        <f>_xll.BDH("NBIX US Equity","ARDR_RENTAL_EXP_YR5","FQ4 2021","FQ4 2021","Currency=USD","Period=FQ","BEST_FPERIOD_OVERRIDE=FQ","FILING_STATUS=MR","SCALING_FORMAT=MLN","Sort=A","Dates=H","DateFormat=P","Fill=—","Direction=H","UseDPDF=Y")</f>
        <v>15.7</v>
      </c>
      <c r="P80" s="13">
        <f>_xll.BDH("NBIX US Equity","ARDR_RENTAL_EXP_YR5","FQ1 2022","FQ1 2022","Currency=USD","Period=FQ","BEST_FPERIOD_OVERRIDE=FQ","FILING_STATUS=MR","SCALING_FORMAT=MLN","Sort=A","Dates=H","DateFormat=P","Fill=—","Direction=H","UseDPDF=Y")</f>
        <v>15.7</v>
      </c>
      <c r="Q80" s="13">
        <f>_xll.BDH("NBIX US Equity","ARDR_RENTAL_EXP_YR5","FQ2 2022","FQ2 2022","Currency=USD","Period=FQ","BEST_FPERIOD_OVERRIDE=FQ","FILING_STATUS=MR","SCALING_FORMAT=MLN","Sort=A","Dates=H","DateFormat=P","Fill=—","Direction=H","UseDPDF=Y")</f>
        <v>15.7</v>
      </c>
      <c r="R80" s="13">
        <f>_xll.BDH("NBIX US Equity","ARDR_RENTAL_EXP_YR5","FQ3 2022","FQ3 2022","Currency=USD","Period=FQ","BEST_FPERIOD_OVERRIDE=FQ","FILING_STATUS=MR","SCALING_FORMAT=MLN","Sort=A","Dates=H","DateFormat=P","Fill=—","Direction=H","UseDPDF=Y")</f>
        <v>15.7</v>
      </c>
      <c r="S80" s="13">
        <f>_xll.BDH("NBIX US Equity","ARDR_RENTAL_EXP_YR5","FQ4 2022","FQ4 2022","Currency=USD","Period=FQ","BEST_FPERIOD_OVERRIDE=FQ","FILING_STATUS=MR","SCALING_FORMAT=MLN","Sort=A","Dates=H","DateFormat=P","Fill=—","Direction=H","UseDPDF=Y")</f>
        <v>16</v>
      </c>
      <c r="T80" s="13">
        <f>_xll.BDH("NBIX US Equity","ARDR_RENTAL_EXP_YR5","FQ1 2023","FQ1 2023","Currency=USD","Period=FQ","BEST_FPERIOD_OVERRIDE=FQ","FILING_STATUS=MR","SCALING_FORMAT=MLN","Sort=A","Dates=H","DateFormat=P","Fill=—","Direction=H","UseDPDF=Y")</f>
        <v>16</v>
      </c>
      <c r="U80" s="13">
        <f>_xll.BDH("NBIX US Equity","ARDR_RENTAL_EXP_YR5","FQ2 2023","FQ2 2023","Currency=USD","Period=FQ","BEST_FPERIOD_OVERRIDE=FQ","FILING_STATUS=MR","SCALING_FORMAT=MLN","Sort=A","Dates=H","DateFormat=P","Fill=—","Direction=H","UseDPDF=Y")</f>
        <v>16</v>
      </c>
      <c r="V80" s="13">
        <f>_xll.BDH("NBIX US Equity","ARDR_RENTAL_EXP_YR5","FQ3 2023","FQ3 2023","Currency=USD","Period=FQ","BEST_FPERIOD_OVERRIDE=FQ","FILING_STATUS=MR","SCALING_FORMAT=MLN","Sort=A","Dates=H","DateFormat=P","Fill=—","Direction=H","UseDPDF=Y")</f>
        <v>16</v>
      </c>
      <c r="W80" s="13">
        <f>_xll.BDH("NBIX US Equity","ARDR_RENTAL_EXP_YR5","FQ4 2023","FQ4 2023","Currency=USD","Period=FQ","BEST_FPERIOD_OVERRIDE=FQ","FILING_STATUS=MR","SCALING_FORMAT=MLN","Sort=A","Dates=H","DateFormat=P","Fill=—","Direction=H","UseDPDF=Y")</f>
        <v>35.6</v>
      </c>
      <c r="X80" s="13">
        <f>_xll.BDH("NBIX US Equity","ARDR_RENTAL_EXP_YR5","FQ1 2024","FQ1 2024","Currency=USD","Period=FQ","BEST_FPERIOD_OVERRIDE=FQ","FILING_STATUS=MR","SCALING_FORMAT=MLN","Sort=A","Dates=H","DateFormat=P","Fill=—","Direction=H","UseDPDF=Y")</f>
        <v>35.6</v>
      </c>
      <c r="Y80" s="13">
        <f>_xll.BDH("NBIX US Equity","ARDR_RENTAL_EXP_YR5","FQ2 2024","FQ2 2024","Currency=USD","Period=FQ","BEST_FPERIOD_OVERRIDE=FQ","FILING_STATUS=MR","SCALING_FORMAT=MLN","Sort=A","Dates=H","DateFormat=P","Fill=—","Direction=H","UseDPDF=Y")</f>
        <v>36.6</v>
      </c>
      <c r="Z80" s="13">
        <f>_xll.BDH("NBIX US Equity","ARDR_RENTAL_EXP_YR5","FQ3 2024","FQ3 2024","Currency=USD","Period=FQ","BEST_FPERIOD_OVERRIDE=FQ","FILING_STATUS=MR","SCALING_FORMAT=MLN","Sort=A","Dates=H","DateFormat=P","Fill=—","Direction=H","UseDPDF=Y")</f>
        <v>36.6</v>
      </c>
      <c r="AA80" s="13">
        <f>_xll.BDH("NBIX US Equity","ARDR_RENTAL_EXP_YR5","FQ4 2024","FQ4 2024","Currency=USD","Period=FQ","BEST_FPERIOD_OVERRIDE=FQ","FILING_STATUS=MR","SCALING_FORMAT=MLN","Sort=A","Dates=H","DateFormat=P","Fill=—","Direction=H","UseDPDF=Y")</f>
        <v>60.7</v>
      </c>
    </row>
    <row r="81" spans="1:27" x14ac:dyDescent="0.25">
      <c r="A81" s="10" t="s">
        <v>937</v>
      </c>
      <c r="B81" s="10" t="s">
        <v>938</v>
      </c>
      <c r="C81" s="13">
        <f>_xll.BDH("NBIX US Equity","ARDR_RENTAL_EXP_BEYOND_YR5","FQ4 2018","FQ4 2018","Currency=USD","Period=FQ","BEST_FPERIOD_OVERRIDE=FQ","FILING_STATUS=MR","SCALING_FORMAT=MLN","Sort=A","Dates=H","DateFormat=P","Fill=—","Direction=H","UseDPDF=Y")</f>
        <v>68.599999999999994</v>
      </c>
      <c r="D81" s="13">
        <f>_xll.BDH("NBIX US Equity","ARDR_RENTAL_EXP_BEYOND_YR5","FQ1 2019","FQ1 2019","Currency=USD","Period=FQ","BEST_FPERIOD_OVERRIDE=FQ","FILING_STATUS=MR","SCALING_FORMAT=MLN","Sort=A","Dates=H","DateFormat=P","Fill=—","Direction=H","UseDPDF=Y")</f>
        <v>59.462000000000003</v>
      </c>
      <c r="E81" s="13">
        <f>_xll.BDH("NBIX US Equity","ARDR_RENTAL_EXP_BEYOND_YR5","FQ2 2019","FQ2 2019","Currency=USD","Period=FQ","BEST_FPERIOD_OVERRIDE=FQ","FILING_STATUS=MR","SCALING_FORMAT=MLN","Sort=A","Dates=H","DateFormat=P","Fill=—","Direction=H","UseDPDF=Y")</f>
        <v>59.462000000000003</v>
      </c>
      <c r="F81" s="13">
        <f>_xll.BDH("NBIX US Equity","ARDR_RENTAL_EXP_BEYOND_YR5","FQ3 2019","FQ3 2019","Currency=USD","Period=FQ","BEST_FPERIOD_OVERRIDE=FQ","FILING_STATUS=MR","SCALING_FORMAT=MLN","Sort=A","Dates=H","DateFormat=P","Fill=—","Direction=H","UseDPDF=Y")</f>
        <v>77.067999999999998</v>
      </c>
      <c r="G81" s="13">
        <f>_xll.BDH("NBIX US Equity","ARDR_RENTAL_EXP_BEYOND_YR5","FQ4 2019","FQ4 2019","Currency=USD","Period=FQ","BEST_FPERIOD_OVERRIDE=FQ","FILING_STATUS=MR","SCALING_FORMAT=MLN","Sort=A","Dates=H","DateFormat=P","Fill=—","Direction=H","UseDPDF=Y")</f>
        <v>81.838999999999999</v>
      </c>
      <c r="H81" s="13">
        <f>_xll.BDH("NBIX US Equity","ARDR_RENTAL_EXP_BEYOND_YR5","FQ1 2020","FQ1 2020","Currency=USD","Period=FQ","BEST_FPERIOD_OVERRIDE=FQ","FILING_STATUS=MR","SCALING_FORMAT=MLN","Sort=A","Dates=H","DateFormat=P","Fill=—","Direction=H","UseDPDF=Y")</f>
        <v>79.7</v>
      </c>
      <c r="I81" s="13">
        <f>_xll.BDH("NBIX US Equity","ARDR_RENTAL_EXP_BEYOND_YR5","FQ2 2020","FQ2 2020","Currency=USD","Period=FQ","BEST_FPERIOD_OVERRIDE=FQ","FILING_STATUS=MR","SCALING_FORMAT=MLN","Sort=A","Dates=H","DateFormat=P","Fill=—","Direction=H","UseDPDF=Y")</f>
        <v>79.7</v>
      </c>
      <c r="J81" s="13">
        <f>_xll.BDH("NBIX US Equity","ARDR_RENTAL_EXP_BEYOND_YR5","FQ3 2020","FQ3 2020","Currency=USD","Period=FQ","BEST_FPERIOD_OVERRIDE=FQ","FILING_STATUS=MR","SCALING_FORMAT=MLN","Sort=A","Dates=H","DateFormat=P","Fill=—","Direction=H","UseDPDF=Y")</f>
        <v>79.7</v>
      </c>
      <c r="K81" s="13">
        <f>_xll.BDH("NBIX US Equity","ARDR_RENTAL_EXP_BEYOND_YR5","FQ4 2020","FQ4 2020","Currency=USD","Period=FQ","BEST_FPERIOD_OVERRIDE=FQ","FILING_STATUS=MR","SCALING_FORMAT=MLN","Sort=A","Dates=H","DateFormat=P","Fill=—","Direction=H","UseDPDF=Y")</f>
        <v>77.5</v>
      </c>
      <c r="L81" s="13">
        <f>_xll.BDH("NBIX US Equity","ARDR_RENTAL_EXP_BEYOND_YR5","FQ1 2021","FQ1 2021","Currency=USD","Period=FQ","BEST_FPERIOD_OVERRIDE=FQ","FILING_STATUS=MR","SCALING_FORMAT=MLN","Sort=A","Dates=H","DateFormat=P","Fill=—","Direction=H","UseDPDF=Y")</f>
        <v>85.4</v>
      </c>
      <c r="M81" s="13">
        <f>_xll.BDH("NBIX US Equity","ARDR_RENTAL_EXP_BEYOND_YR5","FQ2 2021","FQ2 2021","Currency=USD","Period=FQ","BEST_FPERIOD_OVERRIDE=FQ","FILING_STATUS=MR","SCALING_FORMAT=MLN","Sort=A","Dates=H","DateFormat=P","Fill=—","Direction=H","UseDPDF=Y")</f>
        <v>85.4</v>
      </c>
      <c r="N81" s="13">
        <f>_xll.BDH("NBIX US Equity","ARDR_RENTAL_EXP_BEYOND_YR5","FQ3 2021","FQ3 2021","Currency=USD","Period=FQ","BEST_FPERIOD_OVERRIDE=FQ","FILING_STATUS=MR","SCALING_FORMAT=MLN","Sort=A","Dates=H","DateFormat=P","Fill=—","Direction=H","UseDPDF=Y")</f>
        <v>85.4</v>
      </c>
      <c r="O81" s="13">
        <f>_xll.BDH("NBIX US Equity","ARDR_RENTAL_EXP_BEYOND_YR5","FQ4 2021","FQ4 2021","Currency=USD","Period=FQ","BEST_FPERIOD_OVERRIDE=FQ","FILING_STATUS=MR","SCALING_FORMAT=MLN","Sort=A","Dates=H","DateFormat=P","Fill=—","Direction=H","UseDPDF=Y")</f>
        <v>70.400000000000006</v>
      </c>
      <c r="P81" s="13">
        <f>_xll.BDH("NBIX US Equity","ARDR_RENTAL_EXP_BEYOND_YR5","FQ1 2022","FQ1 2022","Currency=USD","Period=FQ","BEST_FPERIOD_OVERRIDE=FQ","FILING_STATUS=MR","SCALING_FORMAT=MLN","Sort=A","Dates=H","DateFormat=P","Fill=—","Direction=H","UseDPDF=Y")</f>
        <v>70.400000000000006</v>
      </c>
      <c r="Q81" s="13">
        <f>_xll.BDH("NBIX US Equity","ARDR_RENTAL_EXP_BEYOND_YR5","FQ2 2022","FQ2 2022","Currency=USD","Period=FQ","BEST_FPERIOD_OVERRIDE=FQ","FILING_STATUS=MR","SCALING_FORMAT=MLN","Sort=A","Dates=H","DateFormat=P","Fill=—","Direction=H","UseDPDF=Y")</f>
        <v>70.400000000000006</v>
      </c>
      <c r="R81" s="13">
        <f>_xll.BDH("NBIX US Equity","ARDR_RENTAL_EXP_BEYOND_YR5","FQ3 2022","FQ3 2022","Currency=USD","Period=FQ","BEST_FPERIOD_OVERRIDE=FQ","FILING_STATUS=MR","SCALING_FORMAT=MLN","Sort=A","Dates=H","DateFormat=P","Fill=—","Direction=H","UseDPDF=Y")</f>
        <v>70.400000000000006</v>
      </c>
      <c r="S81" s="13">
        <f>_xll.BDH("NBIX US Equity","ARDR_RENTAL_EXP_BEYOND_YR5","FQ4 2022","FQ4 2022","Currency=USD","Period=FQ","BEST_FPERIOD_OVERRIDE=FQ","FILING_STATUS=MR","SCALING_FORMAT=MLN","Sort=A","Dates=H","DateFormat=P","Fill=—","Direction=H","UseDPDF=Y")</f>
        <v>54.4</v>
      </c>
      <c r="T81" s="13">
        <f>_xll.BDH("NBIX US Equity","ARDR_RENTAL_EXP_BEYOND_YR5","FQ1 2023","FQ1 2023","Currency=USD","Period=FQ","BEST_FPERIOD_OVERRIDE=FQ","FILING_STATUS=MR","SCALING_FORMAT=MLN","Sort=A","Dates=H","DateFormat=P","Fill=—","Direction=H","UseDPDF=Y")</f>
        <v>54.4</v>
      </c>
      <c r="U81" s="13">
        <f>_xll.BDH("NBIX US Equity","ARDR_RENTAL_EXP_BEYOND_YR5","FQ2 2023","FQ2 2023","Currency=USD","Period=FQ","BEST_FPERIOD_OVERRIDE=FQ","FILING_STATUS=MR","SCALING_FORMAT=MLN","Sort=A","Dates=H","DateFormat=P","Fill=—","Direction=H","UseDPDF=Y")</f>
        <v>54.4</v>
      </c>
      <c r="V81" s="13">
        <f>_xll.BDH("NBIX US Equity","ARDR_RENTAL_EXP_BEYOND_YR5","FQ3 2023","FQ3 2023","Currency=USD","Period=FQ","BEST_FPERIOD_OVERRIDE=FQ","FILING_STATUS=MR","SCALING_FORMAT=MLN","Sort=A","Dates=H","DateFormat=P","Fill=—","Direction=H","UseDPDF=Y")</f>
        <v>54.4</v>
      </c>
      <c r="W81" s="13">
        <f>_xll.BDH("NBIX US Equity","ARDR_RENTAL_EXP_BEYOND_YR5","FQ4 2023","FQ4 2023","Currency=USD","Period=FQ","BEST_FPERIOD_OVERRIDE=FQ","FILING_STATUS=MR","SCALING_FORMAT=MLN","Sort=A","Dates=H","DateFormat=P","Fill=—","Direction=H","UseDPDF=Y")</f>
        <v>211.4</v>
      </c>
      <c r="X81" s="13">
        <f>_xll.BDH("NBIX US Equity","ARDR_RENTAL_EXP_BEYOND_YR5","FQ1 2024","FQ1 2024","Currency=USD","Period=FQ","BEST_FPERIOD_OVERRIDE=FQ","FILING_STATUS=MR","SCALING_FORMAT=MLN","Sort=A","Dates=H","DateFormat=P","Fill=—","Direction=H","UseDPDF=Y")</f>
        <v>211.4</v>
      </c>
      <c r="Y81" s="13">
        <f>_xll.BDH("NBIX US Equity","ARDR_RENTAL_EXP_BEYOND_YR5","FQ2 2024","FQ2 2024","Currency=USD","Period=FQ","BEST_FPERIOD_OVERRIDE=FQ","FILING_STATUS=MR","SCALING_FORMAT=MLN","Sort=A","Dates=H","DateFormat=P","Fill=—","Direction=H","UseDPDF=Y")</f>
        <v>220.3</v>
      </c>
      <c r="Z81" s="13">
        <f>_xll.BDH("NBIX US Equity","ARDR_RENTAL_EXP_BEYOND_YR5","FQ3 2024","FQ3 2024","Currency=USD","Period=FQ","BEST_FPERIOD_OVERRIDE=FQ","FILING_STATUS=MR","SCALING_FORMAT=MLN","Sort=A","Dates=H","DateFormat=P","Fill=—","Direction=H","UseDPDF=Y")</f>
        <v>220.4</v>
      </c>
      <c r="AA81" s="13">
        <f>_xll.BDH("NBIX US Equity","ARDR_RENTAL_EXP_BEYOND_YR5","FQ4 2024","FQ4 2024","Currency=USD","Period=FQ","BEST_FPERIOD_OVERRIDE=FQ","FILING_STATUS=MR","SCALING_FORMAT=MLN","Sort=A","Dates=H","DateFormat=P","Fill=—","Direction=H","UseDPDF=Y")</f>
        <v>373.9</v>
      </c>
    </row>
    <row r="82" spans="1:27" x14ac:dyDescent="0.25">
      <c r="A82" s="10" t="s">
        <v>939</v>
      </c>
      <c r="B82" s="10" t="s">
        <v>940</v>
      </c>
      <c r="C82" s="13" t="str">
        <f>_xll.BDH("NBIX US Equity","ARDR_OTHER_INVENTORY_RESERVES","FQ4 2018","FQ4 2018","Currency=USD","Period=FQ","BEST_FPERIOD_OVERRIDE=FQ","FILING_STATUS=MR","SCALING_FORMAT=MLN","Sort=A","Dates=H","DateFormat=P","Fill=—","Direction=H","UseDPDF=Y")</f>
        <v>—</v>
      </c>
      <c r="D82" s="13" t="str">
        <f>_xll.BDH("NBIX US Equity","ARDR_OTHER_INVENTORY_RESERVES","FQ1 2019","FQ1 2019","Currency=USD","Period=FQ","BEST_FPERIOD_OVERRIDE=FQ","FILING_STATUS=MR","SCALING_FORMAT=MLN","Sort=A","Dates=H","DateFormat=P","Fill=—","Direction=H","UseDPDF=Y")</f>
        <v>—</v>
      </c>
      <c r="E82" s="13" t="str">
        <f>_xll.BDH("NBIX US Equity","ARDR_OTHER_INVENTORY_RESERVES","FQ2 2019","FQ2 2019","Currency=USD","Period=FQ","BEST_FPERIOD_OVERRIDE=FQ","FILING_STATUS=MR","SCALING_FORMAT=MLN","Sort=A","Dates=H","DateFormat=P","Fill=—","Direction=H","UseDPDF=Y")</f>
        <v>—</v>
      </c>
      <c r="F82" s="13" t="str">
        <f>_xll.BDH("NBIX US Equity","ARDR_OTHER_INVENTORY_RESERVES","FQ3 2019","FQ3 2019","Currency=USD","Period=FQ","BEST_FPERIOD_OVERRIDE=FQ","FILING_STATUS=MR","SCALING_FORMAT=MLN","Sort=A","Dates=H","DateFormat=P","Fill=—","Direction=H","UseDPDF=Y")</f>
        <v>—</v>
      </c>
      <c r="G82" s="13" t="str">
        <f>_xll.BDH("NBIX US Equity","ARDR_OTHER_INVENTORY_RESERVES","FQ4 2019","FQ4 2019","Currency=USD","Period=FQ","BEST_FPERIOD_OVERRIDE=FQ","FILING_STATUS=MR","SCALING_FORMAT=MLN","Sort=A","Dates=H","DateFormat=P","Fill=—","Direction=H","UseDPDF=Y")</f>
        <v>—</v>
      </c>
      <c r="H82" s="13" t="str">
        <f>_xll.BDH("NBIX US Equity","ARDR_OTHER_INVENTORY_RESERVES","FQ1 2020","FQ1 2020","Currency=USD","Period=FQ","BEST_FPERIOD_OVERRIDE=FQ","FILING_STATUS=MR","SCALING_FORMAT=MLN","Sort=A","Dates=H","DateFormat=P","Fill=—","Direction=H","UseDPDF=Y")</f>
        <v>—</v>
      </c>
      <c r="I82" s="13" t="str">
        <f>_xll.BDH("NBIX US Equity","ARDR_OTHER_INVENTORY_RESERVES","FQ2 2020","FQ2 2020","Currency=USD","Period=FQ","BEST_FPERIOD_OVERRIDE=FQ","FILING_STATUS=MR","SCALING_FORMAT=MLN","Sort=A","Dates=H","DateFormat=P","Fill=—","Direction=H","UseDPDF=Y")</f>
        <v>—</v>
      </c>
      <c r="J82" s="13" t="str">
        <f>_xll.BDH("NBIX US Equity","ARDR_OTHER_INVENTORY_RESERVES","FQ3 2020","FQ3 2020","Currency=USD","Period=FQ","BEST_FPERIOD_OVERRIDE=FQ","FILING_STATUS=MR","SCALING_FORMAT=MLN","Sort=A","Dates=H","DateFormat=P","Fill=—","Direction=H","UseDPDF=Y")</f>
        <v>—</v>
      </c>
      <c r="K82" s="13" t="str">
        <f>_xll.BDH("NBIX US Equity","ARDR_OTHER_INVENTORY_RESERVES","FQ4 2020","FQ4 2020","Currency=USD","Period=FQ","BEST_FPERIOD_OVERRIDE=FQ","FILING_STATUS=MR","SCALING_FORMAT=MLN","Sort=A","Dates=H","DateFormat=P","Fill=—","Direction=H","UseDPDF=Y")</f>
        <v>—</v>
      </c>
      <c r="L82" s="13" t="str">
        <f>_xll.BDH("NBIX US Equity","ARDR_OTHER_INVENTORY_RESERVES","FQ1 2021","FQ1 2021","Currency=USD","Period=FQ","BEST_FPERIOD_OVERRIDE=FQ","FILING_STATUS=MR","SCALING_FORMAT=MLN","Sort=A","Dates=H","DateFormat=P","Fill=—","Direction=H","UseDPDF=Y")</f>
        <v>—</v>
      </c>
      <c r="M82" s="13" t="str">
        <f>_xll.BDH("NBIX US Equity","ARDR_OTHER_INVENTORY_RESERVES","FQ2 2021","FQ2 2021","Currency=USD","Period=FQ","BEST_FPERIOD_OVERRIDE=FQ","FILING_STATUS=MR","SCALING_FORMAT=MLN","Sort=A","Dates=H","DateFormat=P","Fill=—","Direction=H","UseDPDF=Y")</f>
        <v>—</v>
      </c>
      <c r="N82" s="13" t="str">
        <f>_xll.BDH("NBIX US Equity","ARDR_OTHER_INVENTORY_RESERVES","FQ3 2021","FQ3 2021","Currency=USD","Period=FQ","BEST_FPERIOD_OVERRIDE=FQ","FILING_STATUS=MR","SCALING_FORMAT=MLN","Sort=A","Dates=H","DateFormat=P","Fill=—","Direction=H","UseDPDF=Y")</f>
        <v>—</v>
      </c>
      <c r="O82" s="13" t="str">
        <f>_xll.BDH("NBIX US Equity","ARDR_OTHER_INVENTORY_RESERVES","FQ4 2021","FQ4 2021","Currency=USD","Period=FQ","BEST_FPERIOD_OVERRIDE=FQ","FILING_STATUS=MR","SCALING_FORMAT=MLN","Sort=A","Dates=H","DateFormat=P","Fill=—","Direction=H","UseDPDF=Y")</f>
        <v>—</v>
      </c>
      <c r="P82" s="13" t="str">
        <f>_xll.BDH("NBIX US Equity","ARDR_OTHER_INVENTORY_RESERVES","FQ1 2022","FQ1 2022","Currency=USD","Period=FQ","BEST_FPERIOD_OVERRIDE=FQ","FILING_STATUS=MR","SCALING_FORMAT=MLN","Sort=A","Dates=H","DateFormat=P","Fill=—","Direction=H","UseDPDF=Y")</f>
        <v>—</v>
      </c>
      <c r="Q82" s="13" t="str">
        <f>_xll.BDH("NBIX US Equity","ARDR_OTHER_INVENTORY_RESERVES","FQ2 2022","FQ2 2022","Currency=USD","Period=FQ","BEST_FPERIOD_OVERRIDE=FQ","FILING_STATUS=MR","SCALING_FORMAT=MLN","Sort=A","Dates=H","DateFormat=P","Fill=—","Direction=H","UseDPDF=Y")</f>
        <v>—</v>
      </c>
      <c r="R82" s="13" t="str">
        <f>_xll.BDH("NBIX US Equity","ARDR_OTHER_INVENTORY_RESERVES","FQ3 2022","FQ3 2022","Currency=USD","Period=FQ","BEST_FPERIOD_OVERRIDE=FQ","FILING_STATUS=MR","SCALING_FORMAT=MLN","Sort=A","Dates=H","DateFormat=P","Fill=—","Direction=H","UseDPDF=Y")</f>
        <v>—</v>
      </c>
      <c r="S82" s="13" t="str">
        <f>_xll.BDH("NBIX US Equity","ARDR_OTHER_INVENTORY_RESERVES","FQ4 2022","FQ4 2022","Currency=USD","Period=FQ","BEST_FPERIOD_OVERRIDE=FQ","FILING_STATUS=MR","SCALING_FORMAT=MLN","Sort=A","Dates=H","DateFormat=P","Fill=—","Direction=H","UseDPDF=Y")</f>
        <v>—</v>
      </c>
      <c r="T82" s="13" t="str">
        <f>_xll.BDH("NBIX US Equity","ARDR_OTHER_INVENTORY_RESERVES","FQ1 2023","FQ1 2023","Currency=USD","Period=FQ","BEST_FPERIOD_OVERRIDE=FQ","FILING_STATUS=MR","SCALING_FORMAT=MLN","Sort=A","Dates=H","DateFormat=P","Fill=—","Direction=H","UseDPDF=Y")</f>
        <v>—</v>
      </c>
      <c r="U82" s="13" t="str">
        <f>_xll.BDH("NBIX US Equity","ARDR_OTHER_INVENTORY_RESERVES","FQ2 2023","FQ2 2023","Currency=USD","Period=FQ","BEST_FPERIOD_OVERRIDE=FQ","FILING_STATUS=MR","SCALING_FORMAT=MLN","Sort=A","Dates=H","DateFormat=P","Fill=—","Direction=H","UseDPDF=Y")</f>
        <v>—</v>
      </c>
      <c r="V82" s="13" t="str">
        <f>_xll.BDH("NBIX US Equity","ARDR_OTHER_INVENTORY_RESERVES","FQ3 2023","FQ3 2023","Currency=USD","Period=FQ","BEST_FPERIOD_OVERRIDE=FQ","FILING_STATUS=MR","SCALING_FORMAT=MLN","Sort=A","Dates=H","DateFormat=P","Fill=—","Direction=H","UseDPDF=Y")</f>
        <v>—</v>
      </c>
      <c r="W82" s="13">
        <f>_xll.BDH("NBIX US Equity","ARDR_OTHER_INVENTORY_RESERVES","FQ4 2023","FQ4 2023","Currency=USD","Period=FQ","BEST_FPERIOD_OVERRIDE=FQ","FILING_STATUS=MR","SCALING_FORMAT=MLN","Sort=A","Dates=H","DateFormat=P","Fill=—","Direction=H","UseDPDF=Y")</f>
        <v>-5.2</v>
      </c>
      <c r="X82" s="13">
        <f>_xll.BDH("NBIX US Equity","ARDR_OTHER_INVENTORY_RESERVES","FQ1 2024","FQ1 2024","Currency=USD","Period=FQ","BEST_FPERIOD_OVERRIDE=FQ","FILING_STATUS=MR","SCALING_FORMAT=MLN","Sort=A","Dates=H","DateFormat=P","Fill=—","Direction=H","UseDPDF=Y")</f>
        <v>-0.4</v>
      </c>
      <c r="Y82" s="13">
        <f>_xll.BDH("NBIX US Equity","ARDR_OTHER_INVENTORY_RESERVES","FQ2 2024","FQ2 2024","Currency=USD","Period=FQ","BEST_FPERIOD_OVERRIDE=FQ","FILING_STATUS=MR","SCALING_FORMAT=MLN","Sort=A","Dates=H","DateFormat=P","Fill=—","Direction=H","UseDPDF=Y")</f>
        <v>-1.2</v>
      </c>
      <c r="Z82" s="13">
        <f>_xll.BDH("NBIX US Equity","ARDR_OTHER_INVENTORY_RESERVES","FQ3 2024","FQ3 2024","Currency=USD","Period=FQ","BEST_FPERIOD_OVERRIDE=FQ","FILING_STATUS=MR","SCALING_FORMAT=MLN","Sort=A","Dates=H","DateFormat=P","Fill=—","Direction=H","UseDPDF=Y")</f>
        <v>0</v>
      </c>
      <c r="AA82" s="13">
        <f>_xll.BDH("NBIX US Equity","ARDR_OTHER_INVENTORY_RESERVES","FQ4 2024","FQ4 2024","Currency=USD","Period=FQ","BEST_FPERIOD_OVERRIDE=FQ","FILING_STATUS=MR","SCALING_FORMAT=MLN","Sort=A","Dates=H","DateFormat=P","Fill=—","Direction=H","UseDPDF=Y")</f>
        <v>0</v>
      </c>
    </row>
    <row r="83" spans="1:27" x14ac:dyDescent="0.25">
      <c r="A83" s="10" t="s">
        <v>886</v>
      </c>
      <c r="B83" s="10" t="s">
        <v>941</v>
      </c>
      <c r="C83" s="13">
        <f>_xll.BDH("NBIX US Equity","ARDR_TOTAL_SHAREHOLDERS_EQUITY","FQ4 2018","FQ4 2018","Currency=USD","Period=FQ","BEST_FPERIOD_OVERRIDE=FQ","FILING_STATUS=MR","SCALING_FORMAT=MLN","Sort=A","Dates=H","DateFormat=P","Fill=—","Direction=H","UseDPDF=Y")</f>
        <v>480.76499999999999</v>
      </c>
      <c r="D83" s="13">
        <f>_xll.BDH("NBIX US Equity","ARDR_TOTAL_SHAREHOLDERS_EQUITY","FQ1 2019","FQ1 2019","Currency=USD","Period=FQ","BEST_FPERIOD_OVERRIDE=FQ","FILING_STATUS=MR","SCALING_FORMAT=MLN","Sort=A","Dates=H","DateFormat=P","Fill=—","Direction=H","UseDPDF=Y")</f>
        <v>409.27499999999998</v>
      </c>
      <c r="E83" s="13">
        <f>_xll.BDH("NBIX US Equity","ARDR_TOTAL_SHAREHOLDERS_EQUITY","FQ2 2019","FQ2 2019","Currency=USD","Period=FQ","BEST_FPERIOD_OVERRIDE=FQ","FILING_STATUS=MR","SCALING_FORMAT=MLN","Sort=A","Dates=H","DateFormat=P","Fill=—","Direction=H","UseDPDF=Y")</f>
        <v>483.70600000000002</v>
      </c>
      <c r="F83" s="13">
        <f>_xll.BDH("NBIX US Equity","ARDR_TOTAL_SHAREHOLDERS_EQUITY","FQ3 2019","FQ3 2019","Currency=USD","Period=FQ","BEST_FPERIOD_OVERRIDE=FQ","FILING_STATUS=MR","SCALING_FORMAT=MLN","Sort=A","Dates=H","DateFormat=P","Fill=—","Direction=H","UseDPDF=Y")</f>
        <v>574.51499999999999</v>
      </c>
      <c r="G83" s="13">
        <f>_xll.BDH("NBIX US Equity","ARDR_TOTAL_SHAREHOLDERS_EQUITY","FQ4 2019","FQ4 2019","Currency=USD","Period=FQ","BEST_FPERIOD_OVERRIDE=FQ","FILING_STATUS=MR","SCALING_FORMAT=MLN","Sort=A","Dates=H","DateFormat=P","Fill=—","Direction=H","UseDPDF=Y")</f>
        <v>636.9</v>
      </c>
      <c r="H83" s="13">
        <f>_xll.BDH("NBIX US Equity","ARDR_TOTAL_SHAREHOLDERS_EQUITY","FQ1 2020","FQ1 2020","Currency=USD","Period=FQ","BEST_FPERIOD_OVERRIDE=FQ","FILING_STATUS=MR","SCALING_FORMAT=MLN","Sort=A","Dates=H","DateFormat=P","Fill=—","Direction=H","UseDPDF=Y")</f>
        <v>700.3</v>
      </c>
      <c r="I83" s="13">
        <f>_xll.BDH("NBIX US Equity","ARDR_TOTAL_SHAREHOLDERS_EQUITY","FQ2 2020","FQ2 2020","Currency=USD","Period=FQ","BEST_FPERIOD_OVERRIDE=FQ","FILING_STATUS=MR","SCALING_FORMAT=MLN","Sort=A","Dates=H","DateFormat=P","Fill=—","Direction=H","UseDPDF=Y")</f>
        <v>831.2</v>
      </c>
      <c r="J83" s="13">
        <f>_xll.BDH("NBIX US Equity","ARDR_TOTAL_SHAREHOLDERS_EQUITY","FQ3 2020","FQ3 2020","Currency=USD","Period=FQ","BEST_FPERIOD_OVERRIDE=FQ","FILING_STATUS=MR","SCALING_FORMAT=MLN","Sort=A","Dates=H","DateFormat=P","Fill=—","Direction=H","UseDPDF=Y")</f>
        <v>804.3</v>
      </c>
      <c r="K83" s="13">
        <f>_xll.BDH("NBIX US Equity","ARDR_TOTAL_SHAREHOLDERS_EQUITY","FQ4 2020","FQ4 2020","Currency=USD","Period=FQ","BEST_FPERIOD_OVERRIDE=FQ","FILING_STATUS=MR","SCALING_FORMAT=MLN","Sort=A","Dates=H","DateFormat=P","Fill=—","Direction=H","UseDPDF=Y")</f>
        <v>1126.2</v>
      </c>
      <c r="L83" s="13">
        <f>_xll.BDH("NBIX US Equity","ARDR_TOTAL_SHAREHOLDERS_EQUITY","FQ1 2021","FQ1 2021","Currency=USD","Period=FQ","BEST_FPERIOD_OVERRIDE=FQ","FILING_STATUS=MR","SCALING_FORMAT=MLN","Sort=A","Dates=H","DateFormat=P","Fill=—","Direction=H","UseDPDF=Y")</f>
        <v>1205.5999999999999</v>
      </c>
      <c r="M83" s="13">
        <f>_xll.BDH("NBIX US Equity","ARDR_TOTAL_SHAREHOLDERS_EQUITY","FQ2 2021","FQ2 2021","Currency=USD","Period=FQ","BEST_FPERIOD_OVERRIDE=FQ","FILING_STATUS=MR","SCALING_FORMAT=MLN","Sort=A","Dates=H","DateFormat=P","Fill=—","Direction=H","UseDPDF=Y")</f>
        <v>1279.2</v>
      </c>
      <c r="N83" s="13">
        <f>_xll.BDH("NBIX US Equity","ARDR_TOTAL_SHAREHOLDERS_EQUITY","FQ3 2021","FQ3 2021","Currency=USD","Period=FQ","BEST_FPERIOD_OVERRIDE=FQ","FILING_STATUS=MR","SCALING_FORMAT=MLN","Sort=A","Dates=H","DateFormat=P","Fill=—","Direction=H","UseDPDF=Y")</f>
        <v>1346</v>
      </c>
      <c r="O83" s="13">
        <f>_xll.BDH("NBIX US Equity","ARDR_TOTAL_SHAREHOLDERS_EQUITY","FQ4 2021","FQ4 2021","Currency=USD","Period=FQ","BEST_FPERIOD_OVERRIDE=FQ","FILING_STATUS=MR","SCALING_FORMAT=MLN","Sort=A","Dates=H","DateFormat=P","Fill=—","Direction=H","UseDPDF=Y")</f>
        <v>1374</v>
      </c>
      <c r="P83" s="13">
        <f>_xll.BDH("NBIX US Equity","ARDR_TOTAL_SHAREHOLDERS_EQUITY","FQ1 2022","FQ1 2022","Currency=USD","Period=FQ","BEST_FPERIOD_OVERRIDE=FQ","FILING_STATUS=MR","SCALING_FORMAT=MLN","Sort=A","Dates=H","DateFormat=P","Fill=—","Direction=H","UseDPDF=Y")</f>
        <v>1391.1</v>
      </c>
      <c r="Q83" s="13">
        <f>_xll.BDH("NBIX US Equity","ARDR_TOTAL_SHAREHOLDERS_EQUITY","FQ2 2022","FQ2 2022","Currency=USD","Period=FQ","BEST_FPERIOD_OVERRIDE=FQ","FILING_STATUS=MR","SCALING_FORMAT=MLN","Sort=A","Dates=H","DateFormat=P","Fill=—","Direction=H","UseDPDF=Y")</f>
        <v>1423.4</v>
      </c>
      <c r="R83" s="13">
        <f>_xll.BDH("NBIX US Equity","ARDR_TOTAL_SHAREHOLDERS_EQUITY","FQ3 2022","FQ3 2022","Currency=USD","Period=FQ","BEST_FPERIOD_OVERRIDE=FQ","FILING_STATUS=MR","SCALING_FORMAT=MLN","Sort=A","Dates=H","DateFormat=P","Fill=—","Direction=H","UseDPDF=Y")</f>
        <v>1544.6</v>
      </c>
      <c r="S83" s="13">
        <f>_xll.BDH("NBIX US Equity","ARDR_TOTAL_SHAREHOLDERS_EQUITY","FQ4 2022","FQ4 2022","Currency=USD","Period=FQ","BEST_FPERIOD_OVERRIDE=FQ","FILING_STATUS=MR","SCALING_FORMAT=MLN","Sort=A","Dates=H","DateFormat=P","Fill=—","Direction=H","UseDPDF=Y")</f>
        <v>1707.8</v>
      </c>
      <c r="T83" s="13">
        <f>_xll.BDH("NBIX US Equity","ARDR_TOTAL_SHAREHOLDERS_EQUITY","FQ1 2023","FQ1 2023","Currency=USD","Period=FQ","BEST_FPERIOD_OVERRIDE=FQ","FILING_STATUS=MR","SCALING_FORMAT=MLN","Sort=A","Dates=H","DateFormat=P","Fill=—","Direction=H","UseDPDF=Y")</f>
        <v>1684.5</v>
      </c>
      <c r="U83" s="13">
        <f>_xll.BDH("NBIX US Equity","ARDR_TOTAL_SHAREHOLDERS_EQUITY","FQ2 2023","FQ2 2023","Currency=USD","Period=FQ","BEST_FPERIOD_OVERRIDE=FQ","FILING_STATUS=MR","SCALING_FORMAT=MLN","Sort=A","Dates=H","DateFormat=P","Fill=—","Direction=H","UseDPDF=Y")</f>
        <v>1853</v>
      </c>
      <c r="V83" s="13">
        <f>_xll.BDH("NBIX US Equity","ARDR_TOTAL_SHAREHOLDERS_EQUITY","FQ3 2023","FQ3 2023","Currency=USD","Period=FQ","BEST_FPERIOD_OVERRIDE=FQ","FILING_STATUS=MR","SCALING_FORMAT=MLN","Sort=A","Dates=H","DateFormat=P","Fill=—","Direction=H","UseDPDF=Y")</f>
        <v>2002.1</v>
      </c>
      <c r="W83" s="13">
        <f>_xll.BDH("NBIX US Equity","ARDR_TOTAL_SHAREHOLDERS_EQUITY","FQ4 2023","FQ4 2023","Currency=USD","Period=FQ","BEST_FPERIOD_OVERRIDE=FQ","FILING_STATUS=MR","SCALING_FORMAT=MLN","Sort=A","Dates=H","DateFormat=P","Fill=—","Direction=H","UseDPDF=Y")</f>
        <v>2232</v>
      </c>
      <c r="X83" s="13">
        <f>_xll.BDH("NBIX US Equity","ARDR_TOTAL_SHAREHOLDERS_EQUITY","FQ1 2024","FQ1 2024","Currency=USD","Period=FQ","BEST_FPERIOD_OVERRIDE=FQ","FILING_STATUS=MR","SCALING_FORMAT=MLN","Sort=A","Dates=H","DateFormat=P","Fill=—","Direction=H","UseDPDF=Y")</f>
        <v>2386.1</v>
      </c>
      <c r="Y83" s="13">
        <f>_xll.BDH("NBIX US Equity","ARDR_TOTAL_SHAREHOLDERS_EQUITY","FQ2 2024","FQ2 2024","Currency=USD","Period=FQ","BEST_FPERIOD_OVERRIDE=FQ","FILING_STATUS=MR","SCALING_FORMAT=MLN","Sort=A","Dates=H","DateFormat=P","Fill=—","Direction=H","UseDPDF=Y")</f>
        <v>2509.1999999999998</v>
      </c>
      <c r="Z83" s="13">
        <f>_xll.BDH("NBIX US Equity","ARDR_TOTAL_SHAREHOLDERS_EQUITY","FQ3 2024","FQ3 2024","Currency=USD","Period=FQ","BEST_FPERIOD_OVERRIDE=FQ","FILING_STATUS=MR","SCALING_FORMAT=MLN","Sort=A","Dates=H","DateFormat=P","Fill=—","Direction=H","UseDPDF=Y")</f>
        <v>2718.9</v>
      </c>
      <c r="AA83" s="13">
        <f>_xll.BDH("NBIX US Equity","ARDR_TOTAL_SHAREHOLDERS_EQUITY","FQ4 2024","FQ4 2024","Currency=USD","Period=FQ","BEST_FPERIOD_OVERRIDE=FQ","FILING_STATUS=MR","SCALING_FORMAT=MLN","Sort=A","Dates=H","DateFormat=P","Fill=—","Direction=H","UseDPDF=Y")</f>
        <v>2589.6999999999998</v>
      </c>
    </row>
    <row r="84" spans="1:27" x14ac:dyDescent="0.25">
      <c r="A84" s="10" t="s">
        <v>942</v>
      </c>
      <c r="B84" s="10" t="s">
        <v>943</v>
      </c>
      <c r="C84" s="13">
        <f>_xll.BDH("NBIX US Equity","ARDR_OTHER_ACCRUALS","FQ4 2018","FQ4 2018","Currency=USD","Period=FQ","BEST_FPERIOD_OVERRIDE=FQ","FILING_STATUS=MR","SCALING_FORMAT=MLN","Sort=A","Dates=H","DateFormat=P","Fill=—","Direction=H","UseDPDF=Y")</f>
        <v>34.409999999999997</v>
      </c>
      <c r="D84" s="13" t="str">
        <f>_xll.BDH("NBIX US Equity","ARDR_OTHER_ACCRUALS","FQ1 2019","FQ1 2019","Currency=USD","Period=FQ","BEST_FPERIOD_OVERRIDE=FQ","FILING_STATUS=MR","SCALING_FORMAT=MLN","Sort=A","Dates=H","DateFormat=P","Fill=—","Direction=H","UseDPDF=Y")</f>
        <v>—</v>
      </c>
      <c r="E84" s="13" t="str">
        <f>_xll.BDH("NBIX US Equity","ARDR_OTHER_ACCRUALS","FQ2 2019","FQ2 2019","Currency=USD","Period=FQ","BEST_FPERIOD_OVERRIDE=FQ","FILING_STATUS=MR","SCALING_FORMAT=MLN","Sort=A","Dates=H","DateFormat=P","Fill=—","Direction=H","UseDPDF=Y")</f>
        <v>—</v>
      </c>
      <c r="F84" s="13" t="str">
        <f>_xll.BDH("NBIX US Equity","ARDR_OTHER_ACCRUALS","FQ3 2019","FQ3 2019","Currency=USD","Period=FQ","BEST_FPERIOD_OVERRIDE=FQ","FILING_STATUS=MR","SCALING_FORMAT=MLN","Sort=A","Dates=H","DateFormat=P","Fill=—","Direction=H","UseDPDF=Y")</f>
        <v>—</v>
      </c>
      <c r="G84" s="13">
        <f>_xll.BDH("NBIX US Equity","ARDR_OTHER_ACCRUALS","FQ4 2019","FQ4 2019","Currency=USD","Period=FQ","BEST_FPERIOD_OVERRIDE=FQ","FILING_STATUS=MR","SCALING_FORMAT=MLN","Sort=A","Dates=H","DateFormat=P","Fill=—","Direction=H","UseDPDF=Y")</f>
        <v>69.3</v>
      </c>
      <c r="H84" s="13" t="str">
        <f>_xll.BDH("NBIX US Equity","ARDR_OTHER_ACCRUALS","FQ1 2020","FQ1 2020","Currency=USD","Period=FQ","BEST_FPERIOD_OVERRIDE=FQ","FILING_STATUS=MR","SCALING_FORMAT=MLN","Sort=A","Dates=H","DateFormat=P","Fill=—","Direction=H","UseDPDF=Y")</f>
        <v>—</v>
      </c>
      <c r="I84" s="13" t="str">
        <f>_xll.BDH("NBIX US Equity","ARDR_OTHER_ACCRUALS","FQ2 2020","FQ2 2020","Currency=USD","Period=FQ","BEST_FPERIOD_OVERRIDE=FQ","FILING_STATUS=MR","SCALING_FORMAT=MLN","Sort=A","Dates=H","DateFormat=P","Fill=—","Direction=H","UseDPDF=Y")</f>
        <v>—</v>
      </c>
      <c r="J84" s="13" t="str">
        <f>_xll.BDH("NBIX US Equity","ARDR_OTHER_ACCRUALS","FQ3 2020","FQ3 2020","Currency=USD","Period=FQ","BEST_FPERIOD_OVERRIDE=FQ","FILING_STATUS=MR","SCALING_FORMAT=MLN","Sort=A","Dates=H","DateFormat=P","Fill=—","Direction=H","UseDPDF=Y")</f>
        <v>—</v>
      </c>
      <c r="K84" s="13">
        <f>_xll.BDH("NBIX US Equity","ARDR_OTHER_ACCRUALS","FQ4 2020","FQ4 2020","Currency=USD","Period=FQ","BEST_FPERIOD_OVERRIDE=FQ","FILING_STATUS=MR","SCALING_FORMAT=MLN","Sort=A","Dates=H","DateFormat=P","Fill=—","Direction=H","UseDPDF=Y")</f>
        <v>94.7</v>
      </c>
      <c r="L84" s="13" t="str">
        <f>_xll.BDH("NBIX US Equity","ARDR_OTHER_ACCRUALS","FQ1 2021","FQ1 2021","Currency=USD","Period=FQ","BEST_FPERIOD_OVERRIDE=FQ","FILING_STATUS=MR","SCALING_FORMAT=MLN","Sort=A","Dates=H","DateFormat=P","Fill=—","Direction=H","UseDPDF=Y")</f>
        <v>—</v>
      </c>
      <c r="M84" s="13" t="str">
        <f>_xll.BDH("NBIX US Equity","ARDR_OTHER_ACCRUALS","FQ2 2021","FQ2 2021","Currency=USD","Period=FQ","BEST_FPERIOD_OVERRIDE=FQ","FILING_STATUS=MR","SCALING_FORMAT=MLN","Sort=A","Dates=H","DateFormat=P","Fill=—","Direction=H","UseDPDF=Y")</f>
        <v>—</v>
      </c>
      <c r="N84" s="13" t="str">
        <f>_xll.BDH("NBIX US Equity","ARDR_OTHER_ACCRUALS","FQ3 2021","FQ3 2021","Currency=USD","Period=FQ","BEST_FPERIOD_OVERRIDE=FQ","FILING_STATUS=MR","SCALING_FORMAT=MLN","Sort=A","Dates=H","DateFormat=P","Fill=—","Direction=H","UseDPDF=Y")</f>
        <v>—</v>
      </c>
      <c r="O84" s="13">
        <f>_xll.BDH("NBIX US Equity","ARDR_OTHER_ACCRUALS","FQ4 2021","FQ4 2021","Currency=USD","Period=FQ","BEST_FPERIOD_OVERRIDE=FQ","FILING_STATUS=MR","SCALING_FORMAT=MLN","Sort=A","Dates=H","DateFormat=P","Fill=—","Direction=H","UseDPDF=Y")</f>
        <v>111.6</v>
      </c>
      <c r="P84" s="13" t="str">
        <f>_xll.BDH("NBIX US Equity","ARDR_OTHER_ACCRUALS","FQ1 2022","FQ1 2022","Currency=USD","Period=FQ","BEST_FPERIOD_OVERRIDE=FQ","FILING_STATUS=MR","SCALING_FORMAT=MLN","Sort=A","Dates=H","DateFormat=P","Fill=—","Direction=H","UseDPDF=Y")</f>
        <v>—</v>
      </c>
      <c r="Q84" s="13" t="str">
        <f>_xll.BDH("NBIX US Equity","ARDR_OTHER_ACCRUALS","FQ2 2022","FQ2 2022","Currency=USD","Period=FQ","BEST_FPERIOD_OVERRIDE=FQ","FILING_STATUS=MR","SCALING_FORMAT=MLN","Sort=A","Dates=H","DateFormat=P","Fill=—","Direction=H","UseDPDF=Y")</f>
        <v>—</v>
      </c>
      <c r="R84" s="13" t="str">
        <f>_xll.BDH("NBIX US Equity","ARDR_OTHER_ACCRUALS","FQ3 2022","FQ3 2022","Currency=USD","Period=FQ","BEST_FPERIOD_OVERRIDE=FQ","FILING_STATUS=MR","SCALING_FORMAT=MLN","Sort=A","Dates=H","DateFormat=P","Fill=—","Direction=H","UseDPDF=Y")</f>
        <v>—</v>
      </c>
      <c r="S84" s="13">
        <f>_xll.BDH("NBIX US Equity","ARDR_OTHER_ACCRUALS","FQ4 2022","FQ4 2022","Currency=USD","Period=FQ","BEST_FPERIOD_OVERRIDE=FQ","FILING_STATUS=MR","SCALING_FORMAT=MLN","Sort=A","Dates=H","DateFormat=P","Fill=—","Direction=H","UseDPDF=Y")</f>
        <v>139.4</v>
      </c>
      <c r="T84" s="13" t="str">
        <f>_xll.BDH("NBIX US Equity","ARDR_OTHER_ACCRUALS","FQ1 2023","FQ1 2023","Currency=USD","Period=FQ","BEST_FPERIOD_OVERRIDE=FQ","FILING_STATUS=MR","SCALING_FORMAT=MLN","Sort=A","Dates=H","DateFormat=P","Fill=—","Direction=H","UseDPDF=Y")</f>
        <v>—</v>
      </c>
      <c r="U84" s="13" t="str">
        <f>_xll.BDH("NBIX US Equity","ARDR_OTHER_ACCRUALS","FQ2 2023","FQ2 2023","Currency=USD","Period=FQ","BEST_FPERIOD_OVERRIDE=FQ","FILING_STATUS=MR","SCALING_FORMAT=MLN","Sort=A","Dates=H","DateFormat=P","Fill=—","Direction=H","UseDPDF=Y")</f>
        <v>—</v>
      </c>
      <c r="V84" s="13" t="str">
        <f>_xll.BDH("NBIX US Equity","ARDR_OTHER_ACCRUALS","FQ3 2023","FQ3 2023","Currency=USD","Period=FQ","BEST_FPERIOD_OVERRIDE=FQ","FILING_STATUS=MR","SCALING_FORMAT=MLN","Sort=A","Dates=H","DateFormat=P","Fill=—","Direction=H","UseDPDF=Y")</f>
        <v>—</v>
      </c>
      <c r="W84" s="13">
        <f>_xll.BDH("NBIX US Equity","ARDR_OTHER_ACCRUALS","FQ4 2023","FQ4 2023","Currency=USD","Period=FQ","BEST_FPERIOD_OVERRIDE=FQ","FILING_STATUS=MR","SCALING_FORMAT=MLN","Sort=A","Dates=H","DateFormat=P","Fill=—","Direction=H","UseDPDF=Y")</f>
        <v>200.6</v>
      </c>
      <c r="X84" s="13" t="str">
        <f>_xll.BDH("NBIX US Equity","ARDR_OTHER_ACCRUALS","FQ1 2024","FQ1 2024","Currency=USD","Period=FQ","BEST_FPERIOD_OVERRIDE=FQ","FILING_STATUS=MR","SCALING_FORMAT=MLN","Sort=A","Dates=H","DateFormat=P","Fill=—","Direction=H","UseDPDF=Y")</f>
        <v>—</v>
      </c>
      <c r="Y84" s="13" t="str">
        <f>_xll.BDH("NBIX US Equity","ARDR_OTHER_ACCRUALS","FQ2 2024","FQ2 2024","Currency=USD","Period=FQ","BEST_FPERIOD_OVERRIDE=FQ","FILING_STATUS=MR","SCALING_FORMAT=MLN","Sort=A","Dates=H","DateFormat=P","Fill=—","Direction=H","UseDPDF=Y")</f>
        <v>—</v>
      </c>
      <c r="Z84" s="13" t="str">
        <f>_xll.BDH("NBIX US Equity","ARDR_OTHER_ACCRUALS","FQ3 2024","FQ3 2024","Currency=USD","Period=FQ","BEST_FPERIOD_OVERRIDE=FQ","FILING_STATUS=MR","SCALING_FORMAT=MLN","Sort=A","Dates=H","DateFormat=P","Fill=—","Direction=H","UseDPDF=Y")</f>
        <v>—</v>
      </c>
      <c r="AA84" s="13">
        <f>_xll.BDH("NBIX US Equity","ARDR_OTHER_ACCRUALS","FQ4 2024","FQ4 2024","Currency=USD","Period=FQ","BEST_FPERIOD_OVERRIDE=FQ","FILING_STATUS=MR","SCALING_FORMAT=MLN","Sort=A","Dates=H","DateFormat=P","Fill=—","Direction=H","UseDPDF=Y")</f>
        <v>317.39999999999998</v>
      </c>
    </row>
    <row r="85" spans="1:27" x14ac:dyDescent="0.25">
      <c r="A85" s="10" t="s">
        <v>813</v>
      </c>
      <c r="B85" s="10" t="s">
        <v>944</v>
      </c>
      <c r="C85" s="14">
        <f>_xll.BDH("NBIX US Equity","ARDR_NUMBER_EMPLOYEES","FQ4 2018","FQ4 2018","Currency=USD","Period=FQ","BEST_FPERIOD_OVERRIDE=FQ","FILING_STATUS=MR","Sort=A","Dates=H","DateFormat=P","Fill=—","Direction=H","UseDPDF=Y")</f>
        <v>585</v>
      </c>
      <c r="D85" s="14" t="str">
        <f>_xll.BDH("NBIX US Equity","ARDR_NUMBER_EMPLOYEES","FQ1 2019","FQ1 2019","Currency=USD","Period=FQ","BEST_FPERIOD_OVERRIDE=FQ","FILING_STATUS=MR","Sort=A","Dates=H","DateFormat=P","Fill=—","Direction=H","UseDPDF=Y")</f>
        <v>—</v>
      </c>
      <c r="E85" s="14" t="str">
        <f>_xll.BDH("NBIX US Equity","ARDR_NUMBER_EMPLOYEES","FQ2 2019","FQ2 2019","Currency=USD","Period=FQ","BEST_FPERIOD_OVERRIDE=FQ","FILING_STATUS=MR","Sort=A","Dates=H","DateFormat=P","Fill=—","Direction=H","UseDPDF=Y")</f>
        <v>—</v>
      </c>
      <c r="F85" s="14" t="str">
        <f>_xll.BDH("NBIX US Equity","ARDR_NUMBER_EMPLOYEES","FQ3 2019","FQ3 2019","Currency=USD","Period=FQ","BEST_FPERIOD_OVERRIDE=FQ","FILING_STATUS=MR","Sort=A","Dates=H","DateFormat=P","Fill=—","Direction=H","UseDPDF=Y")</f>
        <v>—</v>
      </c>
      <c r="G85" s="14">
        <f>_xll.BDH("NBIX US Equity","ARDR_NUMBER_EMPLOYEES","FQ4 2019","FQ4 2019","Currency=USD","Period=FQ","BEST_FPERIOD_OVERRIDE=FQ","FILING_STATUS=MR","Sort=A","Dates=H","DateFormat=P","Fill=—","Direction=H","UseDPDF=Y")</f>
        <v>700</v>
      </c>
      <c r="H85" s="14" t="str">
        <f>_xll.BDH("NBIX US Equity","ARDR_NUMBER_EMPLOYEES","FQ1 2020","FQ1 2020","Currency=USD","Period=FQ","BEST_FPERIOD_OVERRIDE=FQ","FILING_STATUS=MR","Sort=A","Dates=H","DateFormat=P","Fill=—","Direction=H","UseDPDF=Y")</f>
        <v>—</v>
      </c>
      <c r="I85" s="14" t="str">
        <f>_xll.BDH("NBIX US Equity","ARDR_NUMBER_EMPLOYEES","FQ2 2020","FQ2 2020","Currency=USD","Period=FQ","BEST_FPERIOD_OVERRIDE=FQ","FILING_STATUS=MR","Sort=A","Dates=H","DateFormat=P","Fill=—","Direction=H","UseDPDF=Y")</f>
        <v>—</v>
      </c>
      <c r="J85" s="14" t="str">
        <f>_xll.BDH("NBIX US Equity","ARDR_NUMBER_EMPLOYEES","FQ3 2020","FQ3 2020","Currency=USD","Period=FQ","BEST_FPERIOD_OVERRIDE=FQ","FILING_STATUS=MR","Sort=A","Dates=H","DateFormat=P","Fill=—","Direction=H","UseDPDF=Y")</f>
        <v>—</v>
      </c>
      <c r="K85" s="14">
        <f>_xll.BDH("NBIX US Equity","ARDR_NUMBER_EMPLOYEES","FQ4 2020","FQ4 2020","Currency=USD","Period=FQ","BEST_FPERIOD_OVERRIDE=FQ","FILING_STATUS=MR","Sort=A","Dates=H","DateFormat=P","Fill=—","Direction=H","UseDPDF=Y")</f>
        <v>845</v>
      </c>
      <c r="L85" s="14" t="str">
        <f>_xll.BDH("NBIX US Equity","ARDR_NUMBER_EMPLOYEES","FQ1 2021","FQ1 2021","Currency=USD","Period=FQ","BEST_FPERIOD_OVERRIDE=FQ","FILING_STATUS=MR","Sort=A","Dates=H","DateFormat=P","Fill=—","Direction=H","UseDPDF=Y")</f>
        <v>—</v>
      </c>
      <c r="M85" s="14" t="str">
        <f>_xll.BDH("NBIX US Equity","ARDR_NUMBER_EMPLOYEES","FQ2 2021","FQ2 2021","Currency=USD","Period=FQ","BEST_FPERIOD_OVERRIDE=FQ","FILING_STATUS=MR","Sort=A","Dates=H","DateFormat=P","Fill=—","Direction=H","UseDPDF=Y")</f>
        <v>—</v>
      </c>
      <c r="N85" s="14" t="str">
        <f>_xll.BDH("NBIX US Equity","ARDR_NUMBER_EMPLOYEES","FQ3 2021","FQ3 2021","Currency=USD","Period=FQ","BEST_FPERIOD_OVERRIDE=FQ","FILING_STATUS=MR","Sort=A","Dates=H","DateFormat=P","Fill=—","Direction=H","UseDPDF=Y")</f>
        <v>—</v>
      </c>
      <c r="O85" s="14">
        <f>_xll.BDH("NBIX US Equity","ARDR_NUMBER_EMPLOYEES","FQ4 2021","FQ4 2021","Currency=USD","Period=FQ","BEST_FPERIOD_OVERRIDE=FQ","FILING_STATUS=MR","Sort=A","Dates=H","DateFormat=P","Fill=—","Direction=H","UseDPDF=Y")</f>
        <v>900</v>
      </c>
      <c r="P85" s="14" t="str">
        <f>_xll.BDH("NBIX US Equity","ARDR_NUMBER_EMPLOYEES","FQ1 2022","FQ1 2022","Currency=USD","Period=FQ","BEST_FPERIOD_OVERRIDE=FQ","FILING_STATUS=MR","Sort=A","Dates=H","DateFormat=P","Fill=—","Direction=H","UseDPDF=Y")</f>
        <v>—</v>
      </c>
      <c r="Q85" s="14" t="str">
        <f>_xll.BDH("NBIX US Equity","ARDR_NUMBER_EMPLOYEES","FQ2 2022","FQ2 2022","Currency=USD","Period=FQ","BEST_FPERIOD_OVERRIDE=FQ","FILING_STATUS=MR","Sort=A","Dates=H","DateFormat=P","Fill=—","Direction=H","UseDPDF=Y")</f>
        <v>—</v>
      </c>
      <c r="R85" s="14" t="str">
        <f>_xll.BDH("NBIX US Equity","ARDR_NUMBER_EMPLOYEES","FQ3 2022","FQ3 2022","Currency=USD","Period=FQ","BEST_FPERIOD_OVERRIDE=FQ","FILING_STATUS=MR","Sort=A","Dates=H","DateFormat=P","Fill=—","Direction=H","UseDPDF=Y")</f>
        <v>—</v>
      </c>
      <c r="S85" s="14">
        <f>_xll.BDH("NBIX US Equity","ARDR_NUMBER_EMPLOYEES","FQ4 2022","FQ4 2022","Currency=USD","Period=FQ","BEST_FPERIOD_OVERRIDE=FQ","FILING_STATUS=MR","Sort=A","Dates=H","DateFormat=P","Fill=—","Direction=H","UseDPDF=Y")</f>
        <v>1200</v>
      </c>
      <c r="T85" s="14" t="str">
        <f>_xll.BDH("NBIX US Equity","ARDR_NUMBER_EMPLOYEES","FQ1 2023","FQ1 2023","Currency=USD","Period=FQ","BEST_FPERIOD_OVERRIDE=FQ","FILING_STATUS=MR","Sort=A","Dates=H","DateFormat=P","Fill=—","Direction=H","UseDPDF=Y")</f>
        <v>—</v>
      </c>
      <c r="U85" s="14" t="str">
        <f>_xll.BDH("NBIX US Equity","ARDR_NUMBER_EMPLOYEES","FQ2 2023","FQ2 2023","Currency=USD","Period=FQ","BEST_FPERIOD_OVERRIDE=FQ","FILING_STATUS=MR","Sort=A","Dates=H","DateFormat=P","Fill=—","Direction=H","UseDPDF=Y")</f>
        <v>—</v>
      </c>
      <c r="V85" s="14" t="str">
        <f>_xll.BDH("NBIX US Equity","ARDR_NUMBER_EMPLOYEES","FQ3 2023","FQ3 2023","Currency=USD","Period=FQ","BEST_FPERIOD_OVERRIDE=FQ","FILING_STATUS=MR","Sort=A","Dates=H","DateFormat=P","Fill=—","Direction=H","UseDPDF=Y")</f>
        <v>—</v>
      </c>
      <c r="W85" s="14">
        <f>_xll.BDH("NBIX US Equity","ARDR_NUMBER_EMPLOYEES","FQ4 2023","FQ4 2023","Currency=USD","Period=FQ","BEST_FPERIOD_OVERRIDE=FQ","FILING_STATUS=MR","Sort=A","Dates=H","DateFormat=P","Fill=—","Direction=H","UseDPDF=Y")</f>
        <v>1400</v>
      </c>
      <c r="X85" s="14" t="str">
        <f>_xll.BDH("NBIX US Equity","ARDR_NUMBER_EMPLOYEES","FQ1 2024","FQ1 2024","Currency=USD","Period=FQ","BEST_FPERIOD_OVERRIDE=FQ","FILING_STATUS=MR","Sort=A","Dates=H","DateFormat=P","Fill=—","Direction=H","UseDPDF=Y")</f>
        <v>—</v>
      </c>
      <c r="Y85" s="14" t="str">
        <f>_xll.BDH("NBIX US Equity","ARDR_NUMBER_EMPLOYEES","FQ2 2024","FQ2 2024","Currency=USD","Period=FQ","BEST_FPERIOD_OVERRIDE=FQ","FILING_STATUS=MR","Sort=A","Dates=H","DateFormat=P","Fill=—","Direction=H","UseDPDF=Y")</f>
        <v>—</v>
      </c>
      <c r="Z85" s="14" t="str">
        <f>_xll.BDH("NBIX US Equity","ARDR_NUMBER_EMPLOYEES","FQ3 2024","FQ3 2024","Currency=USD","Period=FQ","BEST_FPERIOD_OVERRIDE=FQ","FILING_STATUS=MR","Sort=A","Dates=H","DateFormat=P","Fill=—","Direction=H","UseDPDF=Y")</f>
        <v>—</v>
      </c>
      <c r="AA85" s="14">
        <f>_xll.BDH("NBIX US Equity","ARDR_NUMBER_EMPLOYEES","FQ4 2024","FQ4 2024","Currency=USD","Period=FQ","BEST_FPERIOD_OVERRIDE=FQ","FILING_STATUS=MR","Sort=A","Dates=H","DateFormat=P","Fill=—","Direction=H","UseDPDF=Y")</f>
        <v>1800</v>
      </c>
    </row>
    <row r="86" spans="1:27" x14ac:dyDescent="0.25">
      <c r="A86" s="10" t="s">
        <v>945</v>
      </c>
      <c r="B86" s="10" t="s">
        <v>946</v>
      </c>
      <c r="C86" s="13" t="str">
        <f>_xll.BDH("NBIX US Equity","ARDR_TOT_INVEST_CASH_CASH_EQUIV","FQ4 2018","FQ4 2018","Currency=USD","Period=FQ","BEST_FPERIOD_OVERRIDE=FQ","FILING_STATUS=MR","SCALING_FORMAT=MLN","Sort=A","Dates=H","DateFormat=P","Fill=—","Direction=H","UseDPDF=Y")</f>
        <v>—</v>
      </c>
      <c r="D86" s="13" t="str">
        <f>_xll.BDH("NBIX US Equity","ARDR_TOT_INVEST_CASH_CASH_EQUIV","FQ1 2019","FQ1 2019","Currency=USD","Period=FQ","BEST_FPERIOD_OVERRIDE=FQ","FILING_STATUS=MR","SCALING_FORMAT=MLN","Sort=A","Dates=H","DateFormat=P","Fill=—","Direction=H","UseDPDF=Y")</f>
        <v>—</v>
      </c>
      <c r="E86" s="13" t="str">
        <f>_xll.BDH("NBIX US Equity","ARDR_TOT_INVEST_CASH_CASH_EQUIV","FQ2 2019","FQ2 2019","Currency=USD","Period=FQ","BEST_FPERIOD_OVERRIDE=FQ","FILING_STATUS=MR","SCALING_FORMAT=MLN","Sort=A","Dates=H","DateFormat=P","Fill=—","Direction=H","UseDPDF=Y")</f>
        <v>—</v>
      </c>
      <c r="F86" s="13" t="str">
        <f>_xll.BDH("NBIX US Equity","ARDR_TOT_INVEST_CASH_CASH_EQUIV","FQ3 2019","FQ3 2019","Currency=USD","Period=FQ","BEST_FPERIOD_OVERRIDE=FQ","FILING_STATUS=MR","SCALING_FORMAT=MLN","Sort=A","Dates=H","DateFormat=P","Fill=—","Direction=H","UseDPDF=Y")</f>
        <v>—</v>
      </c>
      <c r="G86" s="13" t="str">
        <f>_xll.BDH("NBIX US Equity","ARDR_TOT_INVEST_CASH_CASH_EQUIV","FQ4 2019","FQ4 2019","Currency=USD","Period=FQ","BEST_FPERIOD_OVERRIDE=FQ","FILING_STATUS=MR","SCALING_FORMAT=MLN","Sort=A","Dates=H","DateFormat=P","Fill=—","Direction=H","UseDPDF=Y")</f>
        <v>—</v>
      </c>
      <c r="H86" s="13" t="str">
        <f>_xll.BDH("NBIX US Equity","ARDR_TOT_INVEST_CASH_CASH_EQUIV","FQ1 2020","FQ1 2020","Currency=USD","Period=FQ","BEST_FPERIOD_OVERRIDE=FQ","FILING_STATUS=MR","SCALING_FORMAT=MLN","Sort=A","Dates=H","DateFormat=P","Fill=—","Direction=H","UseDPDF=Y")</f>
        <v>—</v>
      </c>
      <c r="I86" s="13" t="str">
        <f>_xll.BDH("NBIX US Equity","ARDR_TOT_INVEST_CASH_CASH_EQUIV","FQ2 2020","FQ2 2020","Currency=USD","Period=FQ","BEST_FPERIOD_OVERRIDE=FQ","FILING_STATUS=MR","SCALING_FORMAT=MLN","Sort=A","Dates=H","DateFormat=P","Fill=—","Direction=H","UseDPDF=Y")</f>
        <v>—</v>
      </c>
      <c r="J86" s="13" t="str">
        <f>_xll.BDH("NBIX US Equity","ARDR_TOT_INVEST_CASH_CASH_EQUIV","FQ3 2020","FQ3 2020","Currency=USD","Period=FQ","BEST_FPERIOD_OVERRIDE=FQ","FILING_STATUS=MR","SCALING_FORMAT=MLN","Sort=A","Dates=H","DateFormat=P","Fill=—","Direction=H","UseDPDF=Y")</f>
        <v>—</v>
      </c>
      <c r="K86" s="13" t="str">
        <f>_xll.BDH("NBIX US Equity","ARDR_TOT_INVEST_CASH_CASH_EQUIV","FQ4 2020","FQ4 2020","Currency=USD","Period=FQ","BEST_FPERIOD_OVERRIDE=FQ","FILING_STATUS=MR","SCALING_FORMAT=MLN","Sort=A","Dates=H","DateFormat=P","Fill=—","Direction=H","UseDPDF=Y")</f>
        <v>—</v>
      </c>
      <c r="L86" s="13" t="str">
        <f>_xll.BDH("NBIX US Equity","ARDR_TOT_INVEST_CASH_CASH_EQUIV","FQ1 2021","FQ1 2021","Currency=USD","Period=FQ","BEST_FPERIOD_OVERRIDE=FQ","FILING_STATUS=MR","SCALING_FORMAT=MLN","Sort=A","Dates=H","DateFormat=P","Fill=—","Direction=H","UseDPDF=Y")</f>
        <v>—</v>
      </c>
      <c r="M86" s="13">
        <f>_xll.BDH("NBIX US Equity","ARDR_TOT_INVEST_CASH_CASH_EQUIV","FQ2 2021","FQ2 2021","Currency=USD","Period=FQ","BEST_FPERIOD_OVERRIDE=FQ","FILING_STATUS=MR","SCALING_FORMAT=MLN","Sort=A","Dates=H","DateFormat=P","Fill=—","Direction=H","UseDPDF=Y")</f>
        <v>368</v>
      </c>
      <c r="N86" s="13">
        <f>_xll.BDH("NBIX US Equity","ARDR_TOT_INVEST_CASH_CASH_EQUIV","FQ3 2021","FQ3 2021","Currency=USD","Period=FQ","BEST_FPERIOD_OVERRIDE=FQ","FILING_STATUS=MR","SCALING_FORMAT=MLN","Sort=A","Dates=H","DateFormat=P","Fill=—","Direction=H","UseDPDF=Y")</f>
        <v>311.10000000000002</v>
      </c>
      <c r="O86" s="13" t="str">
        <f>_xll.BDH("NBIX US Equity","ARDR_TOT_INVEST_CASH_CASH_EQUIV","FQ4 2021","FQ4 2021","Currency=USD","Period=FQ","BEST_FPERIOD_OVERRIDE=FQ","FILING_STATUS=MR","SCALING_FORMAT=MLN","Sort=A","Dates=H","DateFormat=P","Fill=—","Direction=H","UseDPDF=Y")</f>
        <v>—</v>
      </c>
      <c r="P86" s="13">
        <f>_xll.BDH("NBIX US Equity","ARDR_TOT_INVEST_CASH_CASH_EQUIV","FQ1 2022","FQ1 2022","Currency=USD","Period=FQ","BEST_FPERIOD_OVERRIDE=FQ","FILING_STATUS=MR","SCALING_FORMAT=MLN","Sort=A","Dates=H","DateFormat=P","Fill=—","Direction=H","UseDPDF=Y")</f>
        <v>270.2</v>
      </c>
      <c r="Q86" s="13">
        <f>_xll.BDH("NBIX US Equity","ARDR_TOT_INVEST_CASH_CASH_EQUIV","FQ2 2022","FQ2 2022","Currency=USD","Period=FQ","BEST_FPERIOD_OVERRIDE=FQ","FILING_STATUS=MR","SCALING_FORMAT=MLN","Sort=A","Dates=H","DateFormat=P","Fill=—","Direction=H","UseDPDF=Y")</f>
        <v>163.30000000000001</v>
      </c>
      <c r="R86" s="13">
        <f>_xll.BDH("NBIX US Equity","ARDR_TOT_INVEST_CASH_CASH_EQUIV","FQ3 2022","FQ3 2022","Currency=USD","Period=FQ","BEST_FPERIOD_OVERRIDE=FQ","FILING_STATUS=MR","SCALING_FORMAT=MLN","Sort=A","Dates=H","DateFormat=P","Fill=—","Direction=H","UseDPDF=Y")</f>
        <v>212.2</v>
      </c>
      <c r="S86" s="13" t="str">
        <f>_xll.BDH("NBIX US Equity","ARDR_TOT_INVEST_CASH_CASH_EQUIV","FQ4 2022","FQ4 2022","Currency=USD","Period=FQ","BEST_FPERIOD_OVERRIDE=FQ","FILING_STATUS=MR","SCALING_FORMAT=MLN","Sort=A","Dates=H","DateFormat=P","Fill=—","Direction=H","UseDPDF=Y")</f>
        <v>—</v>
      </c>
      <c r="T86" s="13" t="str">
        <f>_xll.BDH("NBIX US Equity","ARDR_TOT_INVEST_CASH_CASH_EQUIV","FQ1 2023","FQ1 2023","Currency=USD","Period=FQ","BEST_FPERIOD_OVERRIDE=FQ","FILING_STATUS=MR","SCALING_FORMAT=MLN","Sort=A","Dates=H","DateFormat=P","Fill=—","Direction=H","UseDPDF=Y")</f>
        <v>—</v>
      </c>
      <c r="U86" s="13">
        <f>_xll.BDH("NBIX US Equity","ARDR_TOT_INVEST_CASH_CASH_EQUIV","FQ2 2023","FQ2 2023","Currency=USD","Period=FQ","BEST_FPERIOD_OVERRIDE=FQ","FILING_STATUS=MR","SCALING_FORMAT=MLN","Sort=A","Dates=H","DateFormat=P","Fill=—","Direction=H","UseDPDF=Y")</f>
        <v>160.19999999999999</v>
      </c>
      <c r="V86" s="13">
        <f>_xll.BDH("NBIX US Equity","ARDR_TOT_INVEST_CASH_CASH_EQUIV","FQ3 2023","FQ3 2023","Currency=USD","Period=FQ","BEST_FPERIOD_OVERRIDE=FQ","FILING_STATUS=MR","SCALING_FORMAT=MLN","Sort=A","Dates=H","DateFormat=P","Fill=—","Direction=H","UseDPDF=Y")</f>
        <v>293.7</v>
      </c>
      <c r="W86" s="13" t="str">
        <f>_xll.BDH("NBIX US Equity","ARDR_TOT_INVEST_CASH_CASH_EQUIV","FQ4 2023","FQ4 2023","Currency=USD","Period=FQ","BEST_FPERIOD_OVERRIDE=FQ","FILING_STATUS=MR","SCALING_FORMAT=MLN","Sort=A","Dates=H","DateFormat=P","Fill=—","Direction=H","UseDPDF=Y")</f>
        <v>—</v>
      </c>
      <c r="X86" s="13" t="str">
        <f>_xll.BDH("NBIX US Equity","ARDR_TOT_INVEST_CASH_CASH_EQUIV","FQ1 2024","FQ1 2024","Currency=USD","Period=FQ","BEST_FPERIOD_OVERRIDE=FQ","FILING_STATUS=MR","SCALING_FORMAT=MLN","Sort=A","Dates=H","DateFormat=P","Fill=—","Direction=H","UseDPDF=Y")</f>
        <v>—</v>
      </c>
      <c r="Y86" s="13" t="str">
        <f>_xll.BDH("NBIX US Equity","ARDR_TOT_INVEST_CASH_CASH_EQUIV","FQ2 2024","FQ2 2024","Currency=USD","Period=FQ","BEST_FPERIOD_OVERRIDE=FQ","FILING_STATUS=MR","SCALING_FORMAT=MLN","Sort=A","Dates=H","DateFormat=P","Fill=—","Direction=H","UseDPDF=Y")</f>
        <v>—</v>
      </c>
      <c r="Z86" s="13">
        <f>_xll.BDH("NBIX US Equity","ARDR_TOT_INVEST_CASH_CASH_EQUIV","FQ3 2024","FQ3 2024","Currency=USD","Period=FQ","BEST_FPERIOD_OVERRIDE=FQ","FILING_STATUS=MR","SCALING_FORMAT=MLN","Sort=A","Dates=H","DateFormat=P","Fill=—","Direction=H","UseDPDF=Y")</f>
        <v>349.1</v>
      </c>
      <c r="AA86" s="13" t="str">
        <f>_xll.BDH("NBIX US Equity","ARDR_TOT_INVEST_CASH_CASH_EQUIV","FQ4 2024","FQ4 2024","Currency=USD","Period=FQ","BEST_FPERIOD_OVERRIDE=FQ","FILING_STATUS=MR","SCALING_FORMAT=MLN","Sort=A","Dates=H","DateFormat=P","Fill=—","Direction=H","UseDPDF=Y")</f>
        <v>—</v>
      </c>
    </row>
    <row r="87" spans="1:27" x14ac:dyDescent="0.25">
      <c r="A87" s="10" t="s">
        <v>947</v>
      </c>
      <c r="B87" s="10" t="s">
        <v>948</v>
      </c>
      <c r="C87" s="13">
        <f>_xll.BDH("NBIX US Equity","ARDR_SHARE_OUT_FROM_FRONT_COVER","FQ4 2018","FQ4 2018","Currency=USD","Period=FQ","BEST_FPERIOD_OVERRIDE=FQ","FILING_STATUS=MR","Sort=A","Dates=H","DateFormat=P","Fill=—","Direction=H","UseDPDF=Y")</f>
        <v>90.821299999999994</v>
      </c>
      <c r="D87" s="13">
        <f>_xll.BDH("NBIX US Equity","ARDR_SHARE_OUT_FROM_FRONT_COVER","FQ1 2019","FQ1 2019","Currency=USD","Period=FQ","BEST_FPERIOD_OVERRIDE=FQ","FILING_STATUS=MR","Sort=A","Dates=H","DateFormat=P","Fill=—","Direction=H","UseDPDF=Y")</f>
        <v>91.286900000000003</v>
      </c>
      <c r="E87" s="13">
        <f>_xll.BDH("NBIX US Equity","ARDR_SHARE_OUT_FROM_FRONT_COVER","FQ2 2019","FQ2 2019","Currency=USD","Period=FQ","BEST_FPERIOD_OVERRIDE=FQ","FILING_STATUS=MR","Sort=A","Dates=H","DateFormat=P","Fill=—","Direction=H","UseDPDF=Y")</f>
        <v>91.579400000000007</v>
      </c>
      <c r="F87" s="13">
        <f>_xll.BDH("NBIX US Equity","ARDR_SHARE_OUT_FROM_FRONT_COVER","FQ3 2019","FQ3 2019","Currency=USD","Period=FQ","BEST_FPERIOD_OVERRIDE=FQ","FILING_STATUS=MR","Sort=A","Dates=H","DateFormat=P","Fill=—","Direction=H","UseDPDF=Y")</f>
        <v>92.093500000000006</v>
      </c>
      <c r="G87" s="13">
        <f>_xll.BDH("NBIX US Equity","ARDR_SHARE_OUT_FROM_FRONT_COVER","FQ4 2019","FQ4 2019","Currency=USD","Period=FQ","BEST_FPERIOD_OVERRIDE=FQ","FILING_STATUS=MR","Sort=A","Dates=H","DateFormat=P","Fill=—","Direction=H","UseDPDF=Y")</f>
        <v>92.3</v>
      </c>
      <c r="H87" s="13">
        <f>_xll.BDH("NBIX US Equity","ARDR_SHARE_OUT_FROM_FRONT_COVER","FQ1 2020","FQ1 2020","Currency=USD","Period=FQ","BEST_FPERIOD_OVERRIDE=FQ","FILING_STATUS=MR","Sort=A","Dates=H","DateFormat=P","Fill=—","Direction=H","UseDPDF=Y")</f>
        <v>92.865099999999998</v>
      </c>
      <c r="I87" s="13">
        <f>_xll.BDH("NBIX US Equity","ARDR_SHARE_OUT_FROM_FRONT_COVER","FQ2 2020","FQ2 2020","Currency=USD","Period=FQ","BEST_FPERIOD_OVERRIDE=FQ","FILING_STATUS=MR","Sort=A","Dates=H","DateFormat=P","Fill=—","Direction=H","UseDPDF=Y")</f>
        <v>93.2</v>
      </c>
      <c r="J87" s="13">
        <f>_xll.BDH("NBIX US Equity","ARDR_SHARE_OUT_FROM_FRONT_COVER","FQ3 2020","FQ3 2020","Currency=USD","Period=FQ","BEST_FPERIOD_OVERRIDE=FQ","FILING_STATUS=MR","Sort=A","Dates=H","DateFormat=P","Fill=—","Direction=H","UseDPDF=Y")</f>
        <v>93.429199999999994</v>
      </c>
      <c r="K87" s="13">
        <f>_xll.BDH("NBIX US Equity","ARDR_SHARE_OUT_FROM_FRONT_COVER","FQ4 2020","FQ4 2020","Currency=USD","Period=FQ","BEST_FPERIOD_OVERRIDE=FQ","FILING_STATUS=MR","Sort=A","Dates=H","DateFormat=P","Fill=—","Direction=H","UseDPDF=Y")</f>
        <v>93.943600000000004</v>
      </c>
      <c r="L87" s="13">
        <f>_xll.BDH("NBIX US Equity","ARDR_SHARE_OUT_FROM_FRONT_COVER","FQ1 2021","FQ1 2021","Currency=USD","Period=FQ","BEST_FPERIOD_OVERRIDE=FQ","FILING_STATUS=MR","Sort=A","Dates=H","DateFormat=P","Fill=—","Direction=H","UseDPDF=Y")</f>
        <v>94.546000000000006</v>
      </c>
      <c r="M87" s="13">
        <f>_xll.BDH("NBIX US Equity","ARDR_SHARE_OUT_FROM_FRONT_COVER","FQ2 2021","FQ2 2021","Currency=USD","Period=FQ","BEST_FPERIOD_OVERRIDE=FQ","FILING_STATUS=MR","Sort=A","Dates=H","DateFormat=P","Fill=—","Direction=H","UseDPDF=Y")</f>
        <v>94.6464</v>
      </c>
      <c r="N87" s="13">
        <f>_xll.BDH("NBIX US Equity","ARDR_SHARE_OUT_FROM_FRONT_COVER","FQ3 2021","FQ3 2021","Currency=USD","Period=FQ","BEST_FPERIOD_OVERRIDE=FQ","FILING_STATUS=MR","Sort=A","Dates=H","DateFormat=P","Fill=—","Direction=H","UseDPDF=Y")</f>
        <v>94.866699999999994</v>
      </c>
      <c r="O87" s="13">
        <f>_xll.BDH("NBIX US Equity","ARDR_SHARE_OUT_FROM_FRONT_COVER","FQ4 2021","FQ4 2021","Currency=USD","Period=FQ","BEST_FPERIOD_OVERRIDE=FQ","FILING_STATUS=MR","Sort=A","Dates=H","DateFormat=P","Fill=—","Direction=H","UseDPDF=Y")</f>
        <v>95.242699999999999</v>
      </c>
      <c r="P87" s="13">
        <f>_xll.BDH("NBIX US Equity","ARDR_SHARE_OUT_FROM_FRONT_COVER","FQ1 2022","FQ1 2022","Currency=USD","Period=FQ","BEST_FPERIOD_OVERRIDE=FQ","FILING_STATUS=MR","Sort=A","Dates=H","DateFormat=P","Fill=—","Direction=H","UseDPDF=Y")</f>
        <v>95.576700000000002</v>
      </c>
      <c r="Q87" s="13">
        <f>_xll.BDH("NBIX US Equity","ARDR_SHARE_OUT_FROM_FRONT_COVER","FQ2 2022","FQ2 2022","Currency=USD","Period=FQ","BEST_FPERIOD_OVERRIDE=FQ","FILING_STATUS=MR","Sort=A","Dates=H","DateFormat=P","Fill=—","Direction=H","UseDPDF=Y")</f>
        <v>95.639300000000006</v>
      </c>
      <c r="R87" s="13">
        <f>_xll.BDH("NBIX US Equity","ARDR_SHARE_OUT_FROM_FRONT_COVER","FQ3 2022","FQ3 2022","Currency=USD","Period=FQ","BEST_FPERIOD_OVERRIDE=FQ","FILING_STATUS=MR","Sort=A","Dates=H","DateFormat=P","Fill=—","Direction=H","UseDPDF=Y")</f>
        <v>96.134399999999999</v>
      </c>
      <c r="S87" s="13">
        <f>_xll.BDH("NBIX US Equity","ARDR_SHARE_OUT_FROM_FRONT_COVER","FQ4 2022","FQ4 2022","Currency=USD","Period=FQ","BEST_FPERIOD_OVERRIDE=FQ","FILING_STATUS=MR","Sort=A","Dates=H","DateFormat=P","Fill=—","Direction=H","UseDPDF=Y")</f>
        <v>96.587900000000005</v>
      </c>
      <c r="T87" s="13">
        <f>_xll.BDH("NBIX US Equity","ARDR_SHARE_OUT_FROM_FRONT_COVER","FQ1 2023","FQ1 2023","Currency=USD","Period=FQ","BEST_FPERIOD_OVERRIDE=FQ","FILING_STATUS=MR","Sort=A","Dates=H","DateFormat=P","Fill=—","Direction=H","UseDPDF=Y")</f>
        <v>97.574799999999996</v>
      </c>
      <c r="U87" s="13">
        <f>_xll.BDH("NBIX US Equity","ARDR_SHARE_OUT_FROM_FRONT_COVER","FQ2 2023","FQ2 2023","Currency=USD","Period=FQ","BEST_FPERIOD_OVERRIDE=FQ","FILING_STATUS=MR","Sort=A","Dates=H","DateFormat=P","Fill=—","Direction=H","UseDPDF=Y")</f>
        <v>97.652500000000003</v>
      </c>
      <c r="V87" s="13">
        <f>_xll.BDH("NBIX US Equity","ARDR_SHARE_OUT_FROM_FRONT_COVER","FQ3 2023","FQ3 2023","Currency=USD","Period=FQ","BEST_FPERIOD_OVERRIDE=FQ","FILING_STATUS=MR","Sort=A","Dates=H","DateFormat=P","Fill=—","Direction=H","UseDPDF=Y")</f>
        <v>98.251900000000006</v>
      </c>
      <c r="W87" s="13">
        <f>_xll.BDH("NBIX US Equity","ARDR_SHARE_OUT_FROM_FRONT_COVER","FQ4 2023","FQ4 2023","Currency=USD","Period=FQ","BEST_FPERIOD_OVERRIDE=FQ","FILING_STATUS=MR","Sort=A","Dates=H","DateFormat=P","Fill=—","Direction=H","UseDPDF=Y")</f>
        <v>99.507499999999993</v>
      </c>
      <c r="X87" s="13">
        <f>_xll.BDH("NBIX US Equity","ARDR_SHARE_OUT_FROM_FRONT_COVER","FQ1 2024","FQ1 2024","Currency=USD","Period=FQ","BEST_FPERIOD_OVERRIDE=FQ","FILING_STATUS=MR","Sort=A","Dates=H","DateFormat=P","Fill=—","Direction=H","UseDPDF=Y")</f>
        <v>100.63720000000001</v>
      </c>
      <c r="Y87" s="13">
        <f>_xll.BDH("NBIX US Equity","ARDR_SHARE_OUT_FROM_FRONT_COVER","FQ2 2024","FQ2 2024","Currency=USD","Period=FQ","BEST_FPERIOD_OVERRIDE=FQ","FILING_STATUS=MR","Sort=A","Dates=H","DateFormat=P","Fill=—","Direction=H","UseDPDF=Y")</f>
        <v>100.97620000000001</v>
      </c>
      <c r="Z87" s="13">
        <f>_xll.BDH("NBIX US Equity","ARDR_SHARE_OUT_FROM_FRONT_COVER","FQ3 2024","FQ3 2024","Currency=USD","Period=FQ","BEST_FPERIOD_OVERRIDE=FQ","FILING_STATUS=MR","Sort=A","Dates=H","DateFormat=P","Fill=—","Direction=H","UseDPDF=Y")</f>
        <v>101.2469</v>
      </c>
      <c r="AA87" s="13">
        <f>_xll.BDH("NBIX US Equity","ARDR_SHARE_OUT_FROM_FRONT_COVER","FQ4 2024","FQ4 2024","Currency=USD","Period=FQ","BEST_FPERIOD_OVERRIDE=FQ","FILING_STATUS=MR","Sort=A","Dates=H","DateFormat=P","Fill=—","Direction=H","UseDPDF=Y")</f>
        <v>99.703500000000005</v>
      </c>
    </row>
    <row r="88" spans="1:27" x14ac:dyDescent="0.25">
      <c r="A88" s="10" t="s">
        <v>949</v>
      </c>
      <c r="B88" s="10" t="s">
        <v>950</v>
      </c>
      <c r="C88" s="14" t="str">
        <f>_xll.BDH("NBIX US Equity","ARDR_NUM_OF_EMPLOYEES_PERIOD_END","FQ4 2018","FQ4 2018","Currency=USD","Period=FQ","BEST_FPERIOD_OVERRIDE=FQ","FILING_STATUS=MR","Sort=A","Dates=H","DateFormat=P","Fill=—","Direction=H","UseDPDF=Y")</f>
        <v>—</v>
      </c>
      <c r="D88" s="14" t="str">
        <f>_xll.BDH("NBIX US Equity","ARDR_NUM_OF_EMPLOYEES_PERIOD_END","FQ1 2019","FQ1 2019","Currency=USD","Period=FQ","BEST_FPERIOD_OVERRIDE=FQ","FILING_STATUS=MR","Sort=A","Dates=H","DateFormat=P","Fill=—","Direction=H","UseDPDF=Y")</f>
        <v>—</v>
      </c>
      <c r="E88" s="14" t="str">
        <f>_xll.BDH("NBIX US Equity","ARDR_NUM_OF_EMPLOYEES_PERIOD_END","FQ2 2019","FQ2 2019","Currency=USD","Period=FQ","BEST_FPERIOD_OVERRIDE=FQ","FILING_STATUS=MR","Sort=A","Dates=H","DateFormat=P","Fill=—","Direction=H","UseDPDF=Y")</f>
        <v>—</v>
      </c>
      <c r="F88" s="14" t="str">
        <f>_xll.BDH("NBIX US Equity","ARDR_NUM_OF_EMPLOYEES_PERIOD_END","FQ3 2019","FQ3 2019","Currency=USD","Period=FQ","BEST_FPERIOD_OVERRIDE=FQ","FILING_STATUS=MR","Sort=A","Dates=H","DateFormat=P","Fill=—","Direction=H","UseDPDF=Y")</f>
        <v>—</v>
      </c>
      <c r="G88" s="14" t="str">
        <f>_xll.BDH("NBIX US Equity","ARDR_NUM_OF_EMPLOYEES_PERIOD_END","FQ4 2019","FQ4 2019","Currency=USD","Period=FQ","BEST_FPERIOD_OVERRIDE=FQ","FILING_STATUS=MR","Sort=A","Dates=H","DateFormat=P","Fill=—","Direction=H","UseDPDF=Y")</f>
        <v>—</v>
      </c>
      <c r="H88" s="14" t="str">
        <f>_xll.BDH("NBIX US Equity","ARDR_NUM_OF_EMPLOYEES_PERIOD_END","FQ1 2020","FQ1 2020","Currency=USD","Period=FQ","BEST_FPERIOD_OVERRIDE=FQ","FILING_STATUS=MR","Sort=A","Dates=H","DateFormat=P","Fill=—","Direction=H","UseDPDF=Y")</f>
        <v>—</v>
      </c>
      <c r="I88" s="14" t="str">
        <f>_xll.BDH("NBIX US Equity","ARDR_NUM_OF_EMPLOYEES_PERIOD_END","FQ2 2020","FQ2 2020","Currency=USD","Period=FQ","BEST_FPERIOD_OVERRIDE=FQ","FILING_STATUS=MR","Sort=A","Dates=H","DateFormat=P","Fill=—","Direction=H","UseDPDF=Y")</f>
        <v>—</v>
      </c>
      <c r="J88" s="14" t="str">
        <f>_xll.BDH("NBIX US Equity","ARDR_NUM_OF_EMPLOYEES_PERIOD_END","FQ3 2020","FQ3 2020","Currency=USD","Period=FQ","BEST_FPERIOD_OVERRIDE=FQ","FILING_STATUS=MR","Sort=A","Dates=H","DateFormat=P","Fill=—","Direction=H","UseDPDF=Y")</f>
        <v>—</v>
      </c>
      <c r="K88" s="14" t="str">
        <f>_xll.BDH("NBIX US Equity","ARDR_NUM_OF_EMPLOYEES_PERIOD_END","FQ4 2020","FQ4 2020","Currency=USD","Period=FQ","BEST_FPERIOD_OVERRIDE=FQ","FILING_STATUS=MR","Sort=A","Dates=H","DateFormat=P","Fill=—","Direction=H","UseDPDF=Y")</f>
        <v>—</v>
      </c>
      <c r="L88" s="14" t="str">
        <f>_xll.BDH("NBIX US Equity","ARDR_NUM_OF_EMPLOYEES_PERIOD_END","FQ1 2021","FQ1 2021","Currency=USD","Period=FQ","BEST_FPERIOD_OVERRIDE=FQ","FILING_STATUS=MR","Sort=A","Dates=H","DateFormat=P","Fill=—","Direction=H","UseDPDF=Y")</f>
        <v>—</v>
      </c>
      <c r="M88" s="14" t="str">
        <f>_xll.BDH("NBIX US Equity","ARDR_NUM_OF_EMPLOYEES_PERIOD_END","FQ2 2021","FQ2 2021","Currency=USD","Period=FQ","BEST_FPERIOD_OVERRIDE=FQ","FILING_STATUS=MR","Sort=A","Dates=H","DateFormat=P","Fill=—","Direction=H","UseDPDF=Y")</f>
        <v>—</v>
      </c>
      <c r="N88" s="14" t="str">
        <f>_xll.BDH("NBIX US Equity","ARDR_NUM_OF_EMPLOYEES_PERIOD_END","FQ3 2021","FQ3 2021","Currency=USD","Period=FQ","BEST_FPERIOD_OVERRIDE=FQ","FILING_STATUS=MR","Sort=A","Dates=H","DateFormat=P","Fill=—","Direction=H","UseDPDF=Y")</f>
        <v>—</v>
      </c>
      <c r="O88" s="14" t="str">
        <f>_xll.BDH("NBIX US Equity","ARDR_NUM_OF_EMPLOYEES_PERIOD_END","FQ4 2021","FQ4 2021","Currency=USD","Period=FQ","BEST_FPERIOD_OVERRIDE=FQ","FILING_STATUS=MR","Sort=A","Dates=H","DateFormat=P","Fill=—","Direction=H","UseDPDF=Y")</f>
        <v>—</v>
      </c>
      <c r="P88" s="14" t="str">
        <f>_xll.BDH("NBIX US Equity","ARDR_NUM_OF_EMPLOYEES_PERIOD_END","FQ1 2022","FQ1 2022","Currency=USD","Period=FQ","BEST_FPERIOD_OVERRIDE=FQ","FILING_STATUS=MR","Sort=A","Dates=H","DateFormat=P","Fill=—","Direction=H","UseDPDF=Y")</f>
        <v>—</v>
      </c>
      <c r="Q88" s="14" t="str">
        <f>_xll.BDH("NBIX US Equity","ARDR_NUM_OF_EMPLOYEES_PERIOD_END","FQ2 2022","FQ2 2022","Currency=USD","Period=FQ","BEST_FPERIOD_OVERRIDE=FQ","FILING_STATUS=MR","Sort=A","Dates=H","DateFormat=P","Fill=—","Direction=H","UseDPDF=Y")</f>
        <v>—</v>
      </c>
      <c r="R88" s="14" t="str">
        <f>_xll.BDH("NBIX US Equity","ARDR_NUM_OF_EMPLOYEES_PERIOD_END","FQ3 2022","FQ3 2022","Currency=USD","Period=FQ","BEST_FPERIOD_OVERRIDE=FQ","FILING_STATUS=MR","Sort=A","Dates=H","DateFormat=P","Fill=—","Direction=H","UseDPDF=Y")</f>
        <v>—</v>
      </c>
      <c r="S88" s="14" t="str">
        <f>_xll.BDH("NBIX US Equity","ARDR_NUM_OF_EMPLOYEES_PERIOD_END","FQ4 2022","FQ4 2022","Currency=USD","Period=FQ","BEST_FPERIOD_OVERRIDE=FQ","FILING_STATUS=MR","Sort=A","Dates=H","DateFormat=P","Fill=—","Direction=H","UseDPDF=Y")</f>
        <v>—</v>
      </c>
      <c r="T88" s="14" t="str">
        <f>_xll.BDH("NBIX US Equity","ARDR_NUM_OF_EMPLOYEES_PERIOD_END","FQ1 2023","FQ1 2023","Currency=USD","Period=FQ","BEST_FPERIOD_OVERRIDE=FQ","FILING_STATUS=MR","Sort=A","Dates=H","DateFormat=P","Fill=—","Direction=H","UseDPDF=Y")</f>
        <v>—</v>
      </c>
      <c r="U88" s="14" t="str">
        <f>_xll.BDH("NBIX US Equity","ARDR_NUM_OF_EMPLOYEES_PERIOD_END","FQ2 2023","FQ2 2023","Currency=USD","Period=FQ","BEST_FPERIOD_OVERRIDE=FQ","FILING_STATUS=MR","Sort=A","Dates=H","DateFormat=P","Fill=—","Direction=H","UseDPDF=Y")</f>
        <v>—</v>
      </c>
      <c r="V88" s="14" t="str">
        <f>_xll.BDH("NBIX US Equity","ARDR_NUM_OF_EMPLOYEES_PERIOD_END","FQ3 2023","FQ3 2023","Currency=USD","Period=FQ","BEST_FPERIOD_OVERRIDE=FQ","FILING_STATUS=MR","Sort=A","Dates=H","DateFormat=P","Fill=—","Direction=H","UseDPDF=Y")</f>
        <v>—</v>
      </c>
      <c r="W88" s="14">
        <f>_xll.BDH("NBIX US Equity","ARDR_NUM_OF_EMPLOYEES_PERIOD_END","FQ4 2023","FQ4 2023","Currency=USD","Period=FQ","BEST_FPERIOD_OVERRIDE=FQ","FILING_STATUS=MR","Sort=A","Dates=H","DateFormat=P","Fill=—","Direction=H","UseDPDF=Y")</f>
        <v>1400</v>
      </c>
      <c r="X88" s="14" t="str">
        <f>_xll.BDH("NBIX US Equity","ARDR_NUM_OF_EMPLOYEES_PERIOD_END","FQ1 2024","FQ1 2024","Currency=USD","Period=FQ","BEST_FPERIOD_OVERRIDE=FQ","FILING_STATUS=MR","Sort=A","Dates=H","DateFormat=P","Fill=—","Direction=H","UseDPDF=Y")</f>
        <v>—</v>
      </c>
      <c r="Y88" s="14" t="str">
        <f>_xll.BDH("NBIX US Equity","ARDR_NUM_OF_EMPLOYEES_PERIOD_END","FQ2 2024","FQ2 2024","Currency=USD","Period=FQ","BEST_FPERIOD_OVERRIDE=FQ","FILING_STATUS=MR","Sort=A","Dates=H","DateFormat=P","Fill=—","Direction=H","UseDPDF=Y")</f>
        <v>—</v>
      </c>
      <c r="Z88" s="14" t="str">
        <f>_xll.BDH("NBIX US Equity","ARDR_NUM_OF_EMPLOYEES_PERIOD_END","FQ3 2024","FQ3 2024","Currency=USD","Period=FQ","BEST_FPERIOD_OVERRIDE=FQ","FILING_STATUS=MR","Sort=A","Dates=H","DateFormat=P","Fill=—","Direction=H","UseDPDF=Y")</f>
        <v>—</v>
      </c>
      <c r="AA88" s="14">
        <f>_xll.BDH("NBIX US Equity","ARDR_NUM_OF_EMPLOYEES_PERIOD_END","FQ4 2024","FQ4 2024","Currency=USD","Period=FQ","BEST_FPERIOD_OVERRIDE=FQ","FILING_STATUS=MR","Sort=A","Dates=H","DateFormat=P","Fill=—","Direction=H","UseDPDF=Y")</f>
        <v>1800</v>
      </c>
    </row>
    <row r="89" spans="1:27" x14ac:dyDescent="0.25">
      <c r="A89" s="10" t="s">
        <v>951</v>
      </c>
      <c r="B89" s="10" t="s">
        <v>952</v>
      </c>
      <c r="C89" s="13" t="str">
        <f>_xll.BDH("NBIX US Equity","ARDR_RESEARCH_DEVELOPMENT_NET","FQ4 2018","FQ4 2018","Currency=USD","Period=FQ","BEST_FPERIOD_OVERRIDE=FQ","FILING_STATUS=MR","SCALING_FORMAT=MLN","Sort=A","Dates=H","DateFormat=P","Fill=—","Direction=H","UseDPDF=Y")</f>
        <v>—</v>
      </c>
      <c r="D89" s="13" t="str">
        <f>_xll.BDH("NBIX US Equity","ARDR_RESEARCH_DEVELOPMENT_NET","FQ1 2019","FQ1 2019","Currency=USD","Period=FQ","BEST_FPERIOD_OVERRIDE=FQ","FILING_STATUS=MR","SCALING_FORMAT=MLN","Sort=A","Dates=H","DateFormat=P","Fill=—","Direction=H","UseDPDF=Y")</f>
        <v>—</v>
      </c>
      <c r="E89" s="13" t="str">
        <f>_xll.BDH("NBIX US Equity","ARDR_RESEARCH_DEVELOPMENT_NET","FQ2 2019","FQ2 2019","Currency=USD","Period=FQ","BEST_FPERIOD_OVERRIDE=FQ","FILING_STATUS=MR","SCALING_FORMAT=MLN","Sort=A","Dates=H","DateFormat=P","Fill=—","Direction=H","UseDPDF=Y")</f>
        <v>—</v>
      </c>
      <c r="F89" s="13" t="str">
        <f>_xll.BDH("NBIX US Equity","ARDR_RESEARCH_DEVELOPMENT_NET","FQ3 2019","FQ3 2019","Currency=USD","Period=FQ","BEST_FPERIOD_OVERRIDE=FQ","FILING_STATUS=MR","SCALING_FORMAT=MLN","Sort=A","Dates=H","DateFormat=P","Fill=—","Direction=H","UseDPDF=Y")</f>
        <v>—</v>
      </c>
      <c r="G89" s="13" t="str">
        <f>_xll.BDH("NBIX US Equity","ARDR_RESEARCH_DEVELOPMENT_NET","FQ4 2019","FQ4 2019","Currency=USD","Period=FQ","BEST_FPERIOD_OVERRIDE=FQ","FILING_STATUS=MR","SCALING_FORMAT=MLN","Sort=A","Dates=H","DateFormat=P","Fill=—","Direction=H","UseDPDF=Y")</f>
        <v>—</v>
      </c>
      <c r="H89" s="13" t="str">
        <f>_xll.BDH("NBIX US Equity","ARDR_RESEARCH_DEVELOPMENT_NET","FQ1 2020","FQ1 2020","Currency=USD","Period=FQ","BEST_FPERIOD_OVERRIDE=FQ","FILING_STATUS=MR","SCALING_FORMAT=MLN","Sort=A","Dates=H","DateFormat=P","Fill=—","Direction=H","UseDPDF=Y")</f>
        <v>—</v>
      </c>
      <c r="I89" s="13" t="str">
        <f>_xll.BDH("NBIX US Equity","ARDR_RESEARCH_DEVELOPMENT_NET","FQ2 2020","FQ2 2020","Currency=USD","Period=FQ","BEST_FPERIOD_OVERRIDE=FQ","FILING_STATUS=MR","SCALING_FORMAT=MLN","Sort=A","Dates=H","DateFormat=P","Fill=—","Direction=H","UseDPDF=Y")</f>
        <v>—</v>
      </c>
      <c r="J89" s="13" t="str">
        <f>_xll.BDH("NBIX US Equity","ARDR_RESEARCH_DEVELOPMENT_NET","FQ3 2020","FQ3 2020","Currency=USD","Period=FQ","BEST_FPERIOD_OVERRIDE=FQ","FILING_STATUS=MR","SCALING_FORMAT=MLN","Sort=A","Dates=H","DateFormat=P","Fill=—","Direction=H","UseDPDF=Y")</f>
        <v>—</v>
      </c>
      <c r="K89" s="13" t="str">
        <f>_xll.BDH("NBIX US Equity","ARDR_RESEARCH_DEVELOPMENT_NET","FQ4 2020","FQ4 2020","Currency=USD","Period=FQ","BEST_FPERIOD_OVERRIDE=FQ","FILING_STATUS=MR","SCALING_FORMAT=MLN","Sort=A","Dates=H","DateFormat=P","Fill=—","Direction=H","UseDPDF=Y")</f>
        <v>—</v>
      </c>
      <c r="L89" s="13" t="str">
        <f>_xll.BDH("NBIX US Equity","ARDR_RESEARCH_DEVELOPMENT_NET","FQ1 2021","FQ1 2021","Currency=USD","Period=FQ","BEST_FPERIOD_OVERRIDE=FQ","FILING_STATUS=MR","SCALING_FORMAT=MLN","Sort=A","Dates=H","DateFormat=P","Fill=—","Direction=H","UseDPDF=Y")</f>
        <v>—</v>
      </c>
      <c r="M89" s="13" t="str">
        <f>_xll.BDH("NBIX US Equity","ARDR_RESEARCH_DEVELOPMENT_NET","FQ2 2021","FQ2 2021","Currency=USD","Period=FQ","BEST_FPERIOD_OVERRIDE=FQ","FILING_STATUS=MR","SCALING_FORMAT=MLN","Sort=A","Dates=H","DateFormat=P","Fill=—","Direction=H","UseDPDF=Y")</f>
        <v>—</v>
      </c>
      <c r="N89" s="13" t="str">
        <f>_xll.BDH("NBIX US Equity","ARDR_RESEARCH_DEVELOPMENT_NET","FQ3 2021","FQ3 2021","Currency=USD","Period=FQ","BEST_FPERIOD_OVERRIDE=FQ","FILING_STATUS=MR","SCALING_FORMAT=MLN","Sort=A","Dates=H","DateFormat=P","Fill=—","Direction=H","UseDPDF=Y")</f>
        <v>—</v>
      </c>
      <c r="O89" s="13" t="str">
        <f>_xll.BDH("NBIX US Equity","ARDR_RESEARCH_DEVELOPMENT_NET","FQ4 2021","FQ4 2021","Currency=USD","Period=FQ","BEST_FPERIOD_OVERRIDE=FQ","FILING_STATUS=MR","SCALING_FORMAT=MLN","Sort=A","Dates=H","DateFormat=P","Fill=—","Direction=H","UseDPDF=Y")</f>
        <v>—</v>
      </c>
      <c r="P89" s="13" t="str">
        <f>_xll.BDH("NBIX US Equity","ARDR_RESEARCH_DEVELOPMENT_NET","FQ1 2022","FQ1 2022","Currency=USD","Period=FQ","BEST_FPERIOD_OVERRIDE=FQ","FILING_STATUS=MR","SCALING_FORMAT=MLN","Sort=A","Dates=H","DateFormat=P","Fill=—","Direction=H","UseDPDF=Y")</f>
        <v>—</v>
      </c>
      <c r="Q89" s="13" t="str">
        <f>_xll.BDH("NBIX US Equity","ARDR_RESEARCH_DEVELOPMENT_NET","FQ2 2022","FQ2 2022","Currency=USD","Period=FQ","BEST_FPERIOD_OVERRIDE=FQ","FILING_STATUS=MR","SCALING_FORMAT=MLN","Sort=A","Dates=H","DateFormat=P","Fill=—","Direction=H","UseDPDF=Y")</f>
        <v>—</v>
      </c>
      <c r="R89" s="13" t="str">
        <f>_xll.BDH("NBIX US Equity","ARDR_RESEARCH_DEVELOPMENT_NET","FQ3 2022","FQ3 2022","Currency=USD","Period=FQ","BEST_FPERIOD_OVERRIDE=FQ","FILING_STATUS=MR","SCALING_FORMAT=MLN","Sort=A","Dates=H","DateFormat=P","Fill=—","Direction=H","UseDPDF=Y")</f>
        <v>—</v>
      </c>
      <c r="S89" s="13" t="str">
        <f>_xll.BDH("NBIX US Equity","ARDR_RESEARCH_DEVELOPMENT_NET","FQ4 2022","FQ4 2022","Currency=USD","Period=FQ","BEST_FPERIOD_OVERRIDE=FQ","FILING_STATUS=MR","SCALING_FORMAT=MLN","Sort=A","Dates=H","DateFormat=P","Fill=—","Direction=H","UseDPDF=Y")</f>
        <v>—</v>
      </c>
      <c r="T89" s="13" t="str">
        <f>_xll.BDH("NBIX US Equity","ARDR_RESEARCH_DEVELOPMENT_NET","FQ1 2023","FQ1 2023","Currency=USD","Period=FQ","BEST_FPERIOD_OVERRIDE=FQ","FILING_STATUS=MR","SCALING_FORMAT=MLN","Sort=A","Dates=H","DateFormat=P","Fill=—","Direction=H","UseDPDF=Y")</f>
        <v>—</v>
      </c>
      <c r="U89" s="13" t="str">
        <f>_xll.BDH("NBIX US Equity","ARDR_RESEARCH_DEVELOPMENT_NET","FQ2 2023","FQ2 2023","Currency=USD","Period=FQ","BEST_FPERIOD_OVERRIDE=FQ","FILING_STATUS=MR","SCALING_FORMAT=MLN","Sort=A","Dates=H","DateFormat=P","Fill=—","Direction=H","UseDPDF=Y")</f>
        <v>—</v>
      </c>
      <c r="V89" s="13" t="str">
        <f>_xll.BDH("NBIX US Equity","ARDR_RESEARCH_DEVELOPMENT_NET","FQ3 2023","FQ3 2023","Currency=USD","Period=FQ","BEST_FPERIOD_OVERRIDE=FQ","FILING_STATUS=MR","SCALING_FORMAT=MLN","Sort=A","Dates=H","DateFormat=P","Fill=—","Direction=H","UseDPDF=Y")</f>
        <v>—</v>
      </c>
      <c r="W89" s="13" t="str">
        <f>_xll.BDH("NBIX US Equity","ARDR_RESEARCH_DEVELOPMENT_NET","FQ4 2023","FQ4 2023","Currency=USD","Period=FQ","BEST_FPERIOD_OVERRIDE=FQ","FILING_STATUS=MR","SCALING_FORMAT=MLN","Sort=A","Dates=H","DateFormat=P","Fill=—","Direction=H","UseDPDF=Y")</f>
        <v>—</v>
      </c>
      <c r="X89" s="13" t="str">
        <f>_xll.BDH("NBIX US Equity","ARDR_RESEARCH_DEVELOPMENT_NET","FQ1 2024","FQ1 2024","Currency=USD","Period=FQ","BEST_FPERIOD_OVERRIDE=FQ","FILING_STATUS=MR","SCALING_FORMAT=MLN","Sort=A","Dates=H","DateFormat=P","Fill=—","Direction=H","UseDPDF=Y")</f>
        <v>—</v>
      </c>
      <c r="Y89" s="13" t="str">
        <f>_xll.BDH("NBIX US Equity","ARDR_RESEARCH_DEVELOPMENT_NET","FQ2 2024","FQ2 2024","Currency=USD","Period=FQ","BEST_FPERIOD_OVERRIDE=FQ","FILING_STATUS=MR","SCALING_FORMAT=MLN","Sort=A","Dates=H","DateFormat=P","Fill=—","Direction=H","UseDPDF=Y")</f>
        <v>—</v>
      </c>
      <c r="Z89" s="13" t="str">
        <f>_xll.BDH("NBIX US Equity","ARDR_RESEARCH_DEVELOPMENT_NET","FQ3 2024","FQ3 2024","Currency=USD","Period=FQ","BEST_FPERIOD_OVERRIDE=FQ","FILING_STATUS=MR","SCALING_FORMAT=MLN","Sort=A","Dates=H","DateFormat=P","Fill=—","Direction=H","UseDPDF=Y")</f>
        <v>—</v>
      </c>
      <c r="AA89" s="13">
        <f>_xll.BDH("NBIX US Equity","ARDR_RESEARCH_DEVELOPMENT_NET","FQ4 2024","FQ4 2024","Currency=USD","Period=FQ","BEST_FPERIOD_OVERRIDE=FQ","FILING_STATUS=MR","SCALING_FORMAT=MLN","Sort=A","Dates=H","DateFormat=P","Fill=—","Direction=H","UseDPDF=Y")</f>
        <v>32.799999999999997</v>
      </c>
    </row>
    <row r="90" spans="1:27" x14ac:dyDescent="0.25">
      <c r="A90" s="10" t="s">
        <v>799</v>
      </c>
      <c r="B90" s="10" t="s">
        <v>953</v>
      </c>
      <c r="C90" s="13" t="str">
        <f>_xll.BDH("NBIX US Equity","ARDR_OPTIONS_GRANTED_DURING_PER","FQ4 2018","FQ4 2018","Currency=USD","Period=FQ","BEST_FPERIOD_OVERRIDE=FQ","FILING_STATUS=MR","SCALING_FORMAT=MLN","Sort=A","Dates=H","DateFormat=P","Fill=—","Direction=H","UseDPDF=Y")</f>
        <v>—</v>
      </c>
      <c r="D90" s="13" t="str">
        <f>_xll.BDH("NBIX US Equity","ARDR_OPTIONS_GRANTED_DURING_PER","FQ1 2019","FQ1 2019","Currency=USD","Period=FQ","BEST_FPERIOD_OVERRIDE=FQ","FILING_STATUS=MR","SCALING_FORMAT=MLN","Sort=A","Dates=H","DateFormat=P","Fill=—","Direction=H","UseDPDF=Y")</f>
        <v>—</v>
      </c>
      <c r="E90" s="13" t="str">
        <f>_xll.BDH("NBIX US Equity","ARDR_OPTIONS_GRANTED_DURING_PER","FQ2 2019","FQ2 2019","Currency=USD","Period=FQ","BEST_FPERIOD_OVERRIDE=FQ","FILING_STATUS=MR","SCALING_FORMAT=MLN","Sort=A","Dates=H","DateFormat=P","Fill=—","Direction=H","UseDPDF=Y")</f>
        <v>—</v>
      </c>
      <c r="F90" s="13" t="str">
        <f>_xll.BDH("NBIX US Equity","ARDR_OPTIONS_GRANTED_DURING_PER","FQ3 2019","FQ3 2019","Currency=USD","Period=FQ","BEST_FPERIOD_OVERRIDE=FQ","FILING_STATUS=MR","SCALING_FORMAT=MLN","Sort=A","Dates=H","DateFormat=P","Fill=—","Direction=H","UseDPDF=Y")</f>
        <v>—</v>
      </c>
      <c r="G90" s="13" t="str">
        <f>_xll.BDH("NBIX US Equity","ARDR_OPTIONS_GRANTED_DURING_PER","FQ4 2019","FQ4 2019","Currency=USD","Period=FQ","BEST_FPERIOD_OVERRIDE=FQ","FILING_STATUS=MR","SCALING_FORMAT=MLN","Sort=A","Dates=H","DateFormat=P","Fill=—","Direction=H","UseDPDF=Y")</f>
        <v>—</v>
      </c>
      <c r="H90" s="13" t="str">
        <f>_xll.BDH("NBIX US Equity","ARDR_OPTIONS_GRANTED_DURING_PER","FQ1 2020","FQ1 2020","Currency=USD","Period=FQ","BEST_FPERIOD_OVERRIDE=FQ","FILING_STATUS=MR","SCALING_FORMAT=MLN","Sort=A","Dates=H","DateFormat=P","Fill=—","Direction=H","UseDPDF=Y")</f>
        <v>—</v>
      </c>
      <c r="I90" s="13" t="str">
        <f>_xll.BDH("NBIX US Equity","ARDR_OPTIONS_GRANTED_DURING_PER","FQ2 2020","FQ2 2020","Currency=USD","Period=FQ","BEST_FPERIOD_OVERRIDE=FQ","FILING_STATUS=MR","SCALING_FORMAT=MLN","Sort=A","Dates=H","DateFormat=P","Fill=—","Direction=H","UseDPDF=Y")</f>
        <v>—</v>
      </c>
      <c r="J90" s="13" t="str">
        <f>_xll.BDH("NBIX US Equity","ARDR_OPTIONS_GRANTED_DURING_PER","FQ3 2020","FQ3 2020","Currency=USD","Period=FQ","BEST_FPERIOD_OVERRIDE=FQ","FILING_STATUS=MR","SCALING_FORMAT=MLN","Sort=A","Dates=H","DateFormat=P","Fill=—","Direction=H","UseDPDF=Y")</f>
        <v>—</v>
      </c>
      <c r="K90" s="13" t="str">
        <f>_xll.BDH("NBIX US Equity","ARDR_OPTIONS_GRANTED_DURING_PER","FQ4 2020","FQ4 2020","Currency=USD","Period=FQ","BEST_FPERIOD_OVERRIDE=FQ","FILING_STATUS=MR","SCALING_FORMAT=MLN","Sort=A","Dates=H","DateFormat=P","Fill=—","Direction=H","UseDPDF=Y")</f>
        <v>—</v>
      </c>
      <c r="L90" s="13" t="str">
        <f>_xll.BDH("NBIX US Equity","ARDR_OPTIONS_GRANTED_DURING_PER","FQ1 2021","FQ1 2021","Currency=USD","Period=FQ","BEST_FPERIOD_OVERRIDE=FQ","FILING_STATUS=MR","SCALING_FORMAT=MLN","Sort=A","Dates=H","DateFormat=P","Fill=—","Direction=H","UseDPDF=Y")</f>
        <v>—</v>
      </c>
      <c r="M90" s="13" t="str">
        <f>_xll.BDH("NBIX US Equity","ARDR_OPTIONS_GRANTED_DURING_PER","FQ2 2021","FQ2 2021","Currency=USD","Period=FQ","BEST_FPERIOD_OVERRIDE=FQ","FILING_STATUS=MR","SCALING_FORMAT=MLN","Sort=A","Dates=H","DateFormat=P","Fill=—","Direction=H","UseDPDF=Y")</f>
        <v>—</v>
      </c>
      <c r="N90" s="13" t="str">
        <f>_xll.BDH("NBIX US Equity","ARDR_OPTIONS_GRANTED_DURING_PER","FQ3 2021","FQ3 2021","Currency=USD","Period=FQ","BEST_FPERIOD_OVERRIDE=FQ","FILING_STATUS=MR","SCALING_FORMAT=MLN","Sort=A","Dates=H","DateFormat=P","Fill=—","Direction=H","UseDPDF=Y")</f>
        <v>—</v>
      </c>
      <c r="O90" s="13">
        <f>_xll.BDH("NBIX US Equity","ARDR_OPTIONS_GRANTED_DURING_PER","FQ4 2021","FQ4 2021","Currency=USD","Period=FQ","BEST_FPERIOD_OVERRIDE=FQ","FILING_STATUS=MR","SCALING_FORMAT=MLN","Sort=A","Dates=H","DateFormat=P","Fill=—","Direction=H","UseDPDF=Y")</f>
        <v>1.8</v>
      </c>
      <c r="P90" s="13" t="str">
        <f>_xll.BDH("NBIX US Equity","ARDR_OPTIONS_GRANTED_DURING_PER","FQ1 2022","FQ1 2022","Currency=USD","Period=FQ","BEST_FPERIOD_OVERRIDE=FQ","FILING_STATUS=MR","SCALING_FORMAT=MLN","Sort=A","Dates=H","DateFormat=P","Fill=—","Direction=H","UseDPDF=Y")</f>
        <v>—</v>
      </c>
      <c r="Q90" s="13" t="str">
        <f>_xll.BDH("NBIX US Equity","ARDR_OPTIONS_GRANTED_DURING_PER","FQ2 2022","FQ2 2022","Currency=USD","Period=FQ","BEST_FPERIOD_OVERRIDE=FQ","FILING_STATUS=MR","SCALING_FORMAT=MLN","Sort=A","Dates=H","DateFormat=P","Fill=—","Direction=H","UseDPDF=Y")</f>
        <v>—</v>
      </c>
      <c r="R90" s="13" t="str">
        <f>_xll.BDH("NBIX US Equity","ARDR_OPTIONS_GRANTED_DURING_PER","FQ3 2022","FQ3 2022","Currency=USD","Period=FQ","BEST_FPERIOD_OVERRIDE=FQ","FILING_STATUS=MR","SCALING_FORMAT=MLN","Sort=A","Dates=H","DateFormat=P","Fill=—","Direction=H","UseDPDF=Y")</f>
        <v>—</v>
      </c>
      <c r="S90" s="13">
        <f>_xll.BDH("NBIX US Equity","ARDR_OPTIONS_GRANTED_DURING_PER","FQ4 2022","FQ4 2022","Currency=USD","Period=FQ","BEST_FPERIOD_OVERRIDE=FQ","FILING_STATUS=MR","SCALING_FORMAT=MLN","Sort=A","Dates=H","DateFormat=P","Fill=—","Direction=H","UseDPDF=Y")</f>
        <v>2.2000000000000002</v>
      </c>
      <c r="T90" s="13" t="str">
        <f>_xll.BDH("NBIX US Equity","ARDR_OPTIONS_GRANTED_DURING_PER","FQ1 2023","FQ1 2023","Currency=USD","Period=FQ","BEST_FPERIOD_OVERRIDE=FQ","FILING_STATUS=MR","SCALING_FORMAT=MLN","Sort=A","Dates=H","DateFormat=P","Fill=—","Direction=H","UseDPDF=Y")</f>
        <v>—</v>
      </c>
      <c r="U90" s="13" t="str">
        <f>_xll.BDH("NBIX US Equity","ARDR_OPTIONS_GRANTED_DURING_PER","FQ2 2023","FQ2 2023","Currency=USD","Period=FQ","BEST_FPERIOD_OVERRIDE=FQ","FILING_STATUS=MR","SCALING_FORMAT=MLN","Sort=A","Dates=H","DateFormat=P","Fill=—","Direction=H","UseDPDF=Y")</f>
        <v>—</v>
      </c>
      <c r="V90" s="13" t="str">
        <f>_xll.BDH("NBIX US Equity","ARDR_OPTIONS_GRANTED_DURING_PER","FQ3 2023","FQ3 2023","Currency=USD","Period=FQ","BEST_FPERIOD_OVERRIDE=FQ","FILING_STATUS=MR","SCALING_FORMAT=MLN","Sort=A","Dates=H","DateFormat=P","Fill=—","Direction=H","UseDPDF=Y")</f>
        <v>—</v>
      </c>
      <c r="W90" s="13" t="str">
        <f>_xll.BDH("NBIX US Equity","ARDR_OPTIONS_GRANTED_DURING_PER","FQ4 2023","FQ4 2023","Currency=USD","Period=FQ","BEST_FPERIOD_OVERRIDE=FQ","FILING_STATUS=MR","SCALING_FORMAT=MLN","Sort=A","Dates=H","DateFormat=P","Fill=—","Direction=H","UseDPDF=Y")</f>
        <v>—</v>
      </c>
      <c r="X90" s="13" t="str">
        <f>_xll.BDH("NBIX US Equity","ARDR_OPTIONS_GRANTED_DURING_PER","FQ1 2024","FQ1 2024","Currency=USD","Period=FQ","BEST_FPERIOD_OVERRIDE=FQ","FILING_STATUS=MR","SCALING_FORMAT=MLN","Sort=A","Dates=H","DateFormat=P","Fill=—","Direction=H","UseDPDF=Y")</f>
        <v>—</v>
      </c>
      <c r="Y90" s="13" t="str">
        <f>_xll.BDH("NBIX US Equity","ARDR_OPTIONS_GRANTED_DURING_PER","FQ2 2024","FQ2 2024","Currency=USD","Period=FQ","BEST_FPERIOD_OVERRIDE=FQ","FILING_STATUS=MR","SCALING_FORMAT=MLN","Sort=A","Dates=H","DateFormat=P","Fill=—","Direction=H","UseDPDF=Y")</f>
        <v>—</v>
      </c>
      <c r="Z90" s="13" t="str">
        <f>_xll.BDH("NBIX US Equity","ARDR_OPTIONS_GRANTED_DURING_PER","FQ3 2024","FQ3 2024","Currency=USD","Period=FQ","BEST_FPERIOD_OVERRIDE=FQ","FILING_STATUS=MR","SCALING_FORMAT=MLN","Sort=A","Dates=H","DateFormat=P","Fill=—","Direction=H","UseDPDF=Y")</f>
        <v>—</v>
      </c>
      <c r="AA90" s="13" t="str">
        <f>_xll.BDH("NBIX US Equity","ARDR_OPTIONS_GRANTED_DURING_PER","FQ4 2024","FQ4 2024","Currency=USD","Period=FQ","BEST_FPERIOD_OVERRIDE=FQ","FILING_STATUS=MR","SCALING_FORMAT=MLN","Sort=A","Dates=H","DateFormat=P","Fill=—","Direction=H","UseDPDF=Y")</f>
        <v>—</v>
      </c>
    </row>
    <row r="91" spans="1:27" x14ac:dyDescent="0.25">
      <c r="A91" s="10" t="s">
        <v>954</v>
      </c>
      <c r="B91" s="10" t="s">
        <v>955</v>
      </c>
      <c r="C91" s="13">
        <f>_xll.BDH("NBIX US Equity","ARDR_OPTIONS_OUTSTANDING_END_PER","FQ4 2018","FQ4 2018","Currency=USD","Period=FQ","BEST_FPERIOD_OVERRIDE=FQ","FILING_STATUS=MR","Sort=A","Dates=H","DateFormat=P","Fill=—","Direction=H","UseDPDF=Y")</f>
        <v>5.7460000000000004</v>
      </c>
      <c r="D91" s="13" t="str">
        <f>_xll.BDH("NBIX US Equity","ARDR_OPTIONS_OUTSTANDING_END_PER","FQ1 2019","FQ1 2019","Currency=USD","Period=FQ","BEST_FPERIOD_OVERRIDE=FQ","FILING_STATUS=MR","Sort=A","Dates=H","DateFormat=P","Fill=—","Direction=H","UseDPDF=Y")</f>
        <v>—</v>
      </c>
      <c r="E91" s="13" t="str">
        <f>_xll.BDH("NBIX US Equity","ARDR_OPTIONS_OUTSTANDING_END_PER","FQ2 2019","FQ2 2019","Currency=USD","Period=FQ","BEST_FPERIOD_OVERRIDE=FQ","FILING_STATUS=MR","Sort=A","Dates=H","DateFormat=P","Fill=—","Direction=H","UseDPDF=Y")</f>
        <v>—</v>
      </c>
      <c r="F91" s="13" t="str">
        <f>_xll.BDH("NBIX US Equity","ARDR_OPTIONS_OUTSTANDING_END_PER","FQ3 2019","FQ3 2019","Currency=USD","Period=FQ","BEST_FPERIOD_OVERRIDE=FQ","FILING_STATUS=MR","Sort=A","Dates=H","DateFormat=P","Fill=—","Direction=H","UseDPDF=Y")</f>
        <v>—</v>
      </c>
      <c r="G91" s="13">
        <f>_xll.BDH("NBIX US Equity","ARDR_OPTIONS_OUTSTANDING_END_PER","FQ4 2019","FQ4 2019","Currency=USD","Period=FQ","BEST_FPERIOD_OVERRIDE=FQ","FILING_STATUS=MR","Sort=A","Dates=H","DateFormat=P","Fill=—","Direction=H","UseDPDF=Y")</f>
        <v>6.1070000000000002</v>
      </c>
      <c r="H91" s="13" t="str">
        <f>_xll.BDH("NBIX US Equity","ARDR_OPTIONS_OUTSTANDING_END_PER","FQ1 2020","FQ1 2020","Currency=USD","Period=FQ","BEST_FPERIOD_OVERRIDE=FQ","FILING_STATUS=MR","Sort=A","Dates=H","DateFormat=P","Fill=—","Direction=H","UseDPDF=Y")</f>
        <v>—</v>
      </c>
      <c r="I91" s="13" t="str">
        <f>_xll.BDH("NBIX US Equity","ARDR_OPTIONS_OUTSTANDING_END_PER","FQ2 2020","FQ2 2020","Currency=USD","Period=FQ","BEST_FPERIOD_OVERRIDE=FQ","FILING_STATUS=MR","Sort=A","Dates=H","DateFormat=P","Fill=—","Direction=H","UseDPDF=Y")</f>
        <v>—</v>
      </c>
      <c r="J91" s="13" t="str">
        <f>_xll.BDH("NBIX US Equity","ARDR_OPTIONS_OUTSTANDING_END_PER","FQ3 2020","FQ3 2020","Currency=USD","Period=FQ","BEST_FPERIOD_OVERRIDE=FQ","FILING_STATUS=MR","Sort=A","Dates=H","DateFormat=P","Fill=—","Direction=H","UseDPDF=Y")</f>
        <v>—</v>
      </c>
      <c r="K91" s="13">
        <f>_xll.BDH("NBIX US Equity","ARDR_OPTIONS_OUTSTANDING_END_PER","FQ4 2020","FQ4 2020","Currency=USD","Period=FQ","BEST_FPERIOD_OVERRIDE=FQ","FILING_STATUS=MR","Sort=A","Dates=H","DateFormat=P","Fill=—","Direction=H","UseDPDF=Y")</f>
        <v>6.8</v>
      </c>
      <c r="L91" s="13" t="str">
        <f>_xll.BDH("NBIX US Equity","ARDR_OPTIONS_OUTSTANDING_END_PER","FQ1 2021","FQ1 2021","Currency=USD","Period=FQ","BEST_FPERIOD_OVERRIDE=FQ","FILING_STATUS=MR","Sort=A","Dates=H","DateFormat=P","Fill=—","Direction=H","UseDPDF=Y")</f>
        <v>—</v>
      </c>
      <c r="M91" s="13" t="str">
        <f>_xll.BDH("NBIX US Equity","ARDR_OPTIONS_OUTSTANDING_END_PER","FQ2 2021","FQ2 2021","Currency=USD","Period=FQ","BEST_FPERIOD_OVERRIDE=FQ","FILING_STATUS=MR","Sort=A","Dates=H","DateFormat=P","Fill=—","Direction=H","UseDPDF=Y")</f>
        <v>—</v>
      </c>
      <c r="N91" s="13" t="str">
        <f>_xll.BDH("NBIX US Equity","ARDR_OPTIONS_OUTSTANDING_END_PER","FQ3 2021","FQ3 2021","Currency=USD","Period=FQ","BEST_FPERIOD_OVERRIDE=FQ","FILING_STATUS=MR","Sort=A","Dates=H","DateFormat=P","Fill=—","Direction=H","UseDPDF=Y")</f>
        <v>—</v>
      </c>
      <c r="O91" s="13">
        <f>_xll.BDH("NBIX US Equity","ARDR_OPTIONS_OUTSTANDING_END_PER","FQ4 2021","FQ4 2021","Currency=USD","Period=FQ","BEST_FPERIOD_OVERRIDE=FQ","FILING_STATUS=MR","Sort=A","Dates=H","DateFormat=P","Fill=—","Direction=H","UseDPDF=Y")</f>
        <v>7.7</v>
      </c>
      <c r="P91" s="13" t="str">
        <f>_xll.BDH("NBIX US Equity","ARDR_OPTIONS_OUTSTANDING_END_PER","FQ1 2022","FQ1 2022","Currency=USD","Period=FQ","BEST_FPERIOD_OVERRIDE=FQ","FILING_STATUS=MR","Sort=A","Dates=H","DateFormat=P","Fill=—","Direction=H","UseDPDF=Y")</f>
        <v>—</v>
      </c>
      <c r="Q91" s="13" t="str">
        <f>_xll.BDH("NBIX US Equity","ARDR_OPTIONS_OUTSTANDING_END_PER","FQ2 2022","FQ2 2022","Currency=USD","Period=FQ","BEST_FPERIOD_OVERRIDE=FQ","FILING_STATUS=MR","Sort=A","Dates=H","DateFormat=P","Fill=—","Direction=H","UseDPDF=Y")</f>
        <v>—</v>
      </c>
      <c r="R91" s="13" t="str">
        <f>_xll.BDH("NBIX US Equity","ARDR_OPTIONS_OUTSTANDING_END_PER","FQ3 2022","FQ3 2022","Currency=USD","Period=FQ","BEST_FPERIOD_OVERRIDE=FQ","FILING_STATUS=MR","Sort=A","Dates=H","DateFormat=P","Fill=—","Direction=H","UseDPDF=Y")</f>
        <v>—</v>
      </c>
      <c r="S91" s="13">
        <f>_xll.BDH("NBIX US Equity","ARDR_OPTIONS_OUTSTANDING_END_PER","FQ4 2022","FQ4 2022","Currency=USD","Period=FQ","BEST_FPERIOD_OVERRIDE=FQ","FILING_STATUS=MR","Sort=A","Dates=H","DateFormat=P","Fill=—","Direction=H","UseDPDF=Y")</f>
        <v>9</v>
      </c>
      <c r="T91" s="13" t="str">
        <f>_xll.BDH("NBIX US Equity","ARDR_OPTIONS_OUTSTANDING_END_PER","FQ1 2023","FQ1 2023","Currency=USD","Period=FQ","BEST_FPERIOD_OVERRIDE=FQ","FILING_STATUS=MR","Sort=A","Dates=H","DateFormat=P","Fill=—","Direction=H","UseDPDF=Y")</f>
        <v>—</v>
      </c>
      <c r="U91" s="13" t="str">
        <f>_xll.BDH("NBIX US Equity","ARDR_OPTIONS_OUTSTANDING_END_PER","FQ2 2023","FQ2 2023","Currency=USD","Period=FQ","BEST_FPERIOD_OVERRIDE=FQ","FILING_STATUS=MR","Sort=A","Dates=H","DateFormat=P","Fill=—","Direction=H","UseDPDF=Y")</f>
        <v>—</v>
      </c>
      <c r="V91" s="13" t="str">
        <f>_xll.BDH("NBIX US Equity","ARDR_OPTIONS_OUTSTANDING_END_PER","FQ3 2023","FQ3 2023","Currency=USD","Period=FQ","BEST_FPERIOD_OVERRIDE=FQ","FILING_STATUS=MR","Sort=A","Dates=H","DateFormat=P","Fill=—","Direction=H","UseDPDF=Y")</f>
        <v>—</v>
      </c>
      <c r="W91" s="13">
        <f>_xll.BDH("NBIX US Equity","ARDR_OPTIONS_OUTSTANDING_END_PER","FQ4 2023","FQ4 2023","Currency=USD","Period=FQ","BEST_FPERIOD_OVERRIDE=FQ","FILING_STATUS=MR","Sort=A","Dates=H","DateFormat=P","Fill=—","Direction=H","UseDPDF=Y")</f>
        <v>10</v>
      </c>
      <c r="X91" s="13" t="str">
        <f>_xll.BDH("NBIX US Equity","ARDR_OPTIONS_OUTSTANDING_END_PER","FQ1 2024","FQ1 2024","Currency=USD","Period=FQ","BEST_FPERIOD_OVERRIDE=FQ","FILING_STATUS=MR","Sort=A","Dates=H","DateFormat=P","Fill=—","Direction=H","UseDPDF=Y")</f>
        <v>—</v>
      </c>
      <c r="Y91" s="13" t="str">
        <f>_xll.BDH("NBIX US Equity","ARDR_OPTIONS_OUTSTANDING_END_PER","FQ2 2024","FQ2 2024","Currency=USD","Period=FQ","BEST_FPERIOD_OVERRIDE=FQ","FILING_STATUS=MR","Sort=A","Dates=H","DateFormat=P","Fill=—","Direction=H","UseDPDF=Y")</f>
        <v>—</v>
      </c>
      <c r="Z91" s="13" t="str">
        <f>_xll.BDH("NBIX US Equity","ARDR_OPTIONS_OUTSTANDING_END_PER","FQ3 2024","FQ3 2024","Currency=USD","Period=FQ","BEST_FPERIOD_OVERRIDE=FQ","FILING_STATUS=MR","Sort=A","Dates=H","DateFormat=P","Fill=—","Direction=H","UseDPDF=Y")</f>
        <v>—</v>
      </c>
      <c r="AA91" s="13">
        <f>_xll.BDH("NBIX US Equity","ARDR_OPTIONS_OUTSTANDING_END_PER","FQ4 2024","FQ4 2024","Currency=USD","Period=FQ","BEST_FPERIOD_OVERRIDE=FQ","FILING_STATUS=MR","Sort=A","Dates=H","DateFormat=P","Fill=—","Direction=H","UseDPDF=Y")</f>
        <v>9.6</v>
      </c>
    </row>
    <row r="92" spans="1:27" x14ac:dyDescent="0.25">
      <c r="A92" s="10" t="s">
        <v>956</v>
      </c>
      <c r="B92" s="10" t="s">
        <v>957</v>
      </c>
      <c r="C92" s="13" t="str">
        <f>_xll.BDH("NBIX US Equity","ARDR_TOT_SHARE_EQY_EXCL_MINORITY","FQ4 2018","FQ4 2018","Currency=USD","Period=FQ","BEST_FPERIOD_OVERRIDE=FQ","FILING_STATUS=MR","SCALING_FORMAT=MLN","Sort=A","Dates=H","DateFormat=P","Fill=—","Direction=H","UseDPDF=Y")</f>
        <v>—</v>
      </c>
      <c r="D92" s="13" t="str">
        <f>_xll.BDH("NBIX US Equity","ARDR_TOT_SHARE_EQY_EXCL_MINORITY","FQ1 2019","FQ1 2019","Currency=USD","Period=FQ","BEST_FPERIOD_OVERRIDE=FQ","FILING_STATUS=MR","SCALING_FORMAT=MLN","Sort=A","Dates=H","DateFormat=P","Fill=—","Direction=H","UseDPDF=Y")</f>
        <v>—</v>
      </c>
      <c r="E92" s="13" t="str">
        <f>_xll.BDH("NBIX US Equity","ARDR_TOT_SHARE_EQY_EXCL_MINORITY","FQ2 2019","FQ2 2019","Currency=USD","Period=FQ","BEST_FPERIOD_OVERRIDE=FQ","FILING_STATUS=MR","SCALING_FORMAT=MLN","Sort=A","Dates=H","DateFormat=P","Fill=—","Direction=H","UseDPDF=Y")</f>
        <v>—</v>
      </c>
      <c r="F92" s="13" t="str">
        <f>_xll.BDH("NBIX US Equity","ARDR_TOT_SHARE_EQY_EXCL_MINORITY","FQ3 2019","FQ3 2019","Currency=USD","Period=FQ","BEST_FPERIOD_OVERRIDE=FQ","FILING_STATUS=MR","SCALING_FORMAT=MLN","Sort=A","Dates=H","DateFormat=P","Fill=—","Direction=H","UseDPDF=Y")</f>
        <v>—</v>
      </c>
      <c r="G92" s="13" t="str">
        <f>_xll.BDH("NBIX US Equity","ARDR_TOT_SHARE_EQY_EXCL_MINORITY","FQ4 2019","FQ4 2019","Currency=USD","Period=FQ","BEST_FPERIOD_OVERRIDE=FQ","FILING_STATUS=MR","SCALING_FORMAT=MLN","Sort=A","Dates=H","DateFormat=P","Fill=—","Direction=H","UseDPDF=Y")</f>
        <v>—</v>
      </c>
      <c r="H92" s="13" t="str">
        <f>_xll.BDH("NBIX US Equity","ARDR_TOT_SHARE_EQY_EXCL_MINORITY","FQ1 2020","FQ1 2020","Currency=USD","Period=FQ","BEST_FPERIOD_OVERRIDE=FQ","FILING_STATUS=MR","SCALING_FORMAT=MLN","Sort=A","Dates=H","DateFormat=P","Fill=—","Direction=H","UseDPDF=Y")</f>
        <v>—</v>
      </c>
      <c r="I92" s="13" t="str">
        <f>_xll.BDH("NBIX US Equity","ARDR_TOT_SHARE_EQY_EXCL_MINORITY","FQ2 2020","FQ2 2020","Currency=USD","Period=FQ","BEST_FPERIOD_OVERRIDE=FQ","FILING_STATUS=MR","SCALING_FORMAT=MLN","Sort=A","Dates=H","DateFormat=P","Fill=—","Direction=H","UseDPDF=Y")</f>
        <v>—</v>
      </c>
      <c r="J92" s="13" t="str">
        <f>_xll.BDH("NBIX US Equity","ARDR_TOT_SHARE_EQY_EXCL_MINORITY","FQ3 2020","FQ3 2020","Currency=USD","Period=FQ","BEST_FPERIOD_OVERRIDE=FQ","FILING_STATUS=MR","SCALING_FORMAT=MLN","Sort=A","Dates=H","DateFormat=P","Fill=—","Direction=H","UseDPDF=Y")</f>
        <v>—</v>
      </c>
      <c r="K92" s="13" t="str">
        <f>_xll.BDH("NBIX US Equity","ARDR_TOT_SHARE_EQY_EXCL_MINORITY","FQ4 2020","FQ4 2020","Currency=USD","Period=FQ","BEST_FPERIOD_OVERRIDE=FQ","FILING_STATUS=MR","SCALING_FORMAT=MLN","Sort=A","Dates=H","DateFormat=P","Fill=—","Direction=H","UseDPDF=Y")</f>
        <v>—</v>
      </c>
      <c r="L92" s="13" t="str">
        <f>_xll.BDH("NBIX US Equity","ARDR_TOT_SHARE_EQY_EXCL_MINORITY","FQ1 2021","FQ1 2021","Currency=USD","Period=FQ","BEST_FPERIOD_OVERRIDE=FQ","FILING_STATUS=MR","SCALING_FORMAT=MLN","Sort=A","Dates=H","DateFormat=P","Fill=—","Direction=H","UseDPDF=Y")</f>
        <v>—</v>
      </c>
      <c r="M92" s="13" t="str">
        <f>_xll.BDH("NBIX US Equity","ARDR_TOT_SHARE_EQY_EXCL_MINORITY","FQ2 2021","FQ2 2021","Currency=USD","Period=FQ","BEST_FPERIOD_OVERRIDE=FQ","FILING_STATUS=MR","SCALING_FORMAT=MLN","Sort=A","Dates=H","DateFormat=P","Fill=—","Direction=H","UseDPDF=Y")</f>
        <v>—</v>
      </c>
      <c r="N92" s="13" t="str">
        <f>_xll.BDH("NBIX US Equity","ARDR_TOT_SHARE_EQY_EXCL_MINORITY","FQ3 2021","FQ3 2021","Currency=USD","Period=FQ","BEST_FPERIOD_OVERRIDE=FQ","FILING_STATUS=MR","SCALING_FORMAT=MLN","Sort=A","Dates=H","DateFormat=P","Fill=—","Direction=H","UseDPDF=Y")</f>
        <v>—</v>
      </c>
      <c r="O92" s="13" t="str">
        <f>_xll.BDH("NBIX US Equity","ARDR_TOT_SHARE_EQY_EXCL_MINORITY","FQ4 2021","FQ4 2021","Currency=USD","Period=FQ","BEST_FPERIOD_OVERRIDE=FQ","FILING_STATUS=MR","SCALING_FORMAT=MLN","Sort=A","Dates=H","DateFormat=P","Fill=—","Direction=H","UseDPDF=Y")</f>
        <v>—</v>
      </c>
      <c r="P92" s="13">
        <f>_xll.BDH("NBIX US Equity","ARDR_TOT_SHARE_EQY_EXCL_MINORITY","FQ1 2022","FQ1 2022","Currency=USD","Period=FQ","BEST_FPERIOD_OVERRIDE=FQ","FILING_STATUS=MR","SCALING_FORMAT=MLN","Sort=A","Dates=H","DateFormat=P","Fill=—","Direction=H","UseDPDF=Y")</f>
        <v>1391.1</v>
      </c>
      <c r="Q92" s="13" t="str">
        <f>_xll.BDH("NBIX US Equity","ARDR_TOT_SHARE_EQY_EXCL_MINORITY","FQ2 2022","FQ2 2022","Currency=USD","Period=FQ","BEST_FPERIOD_OVERRIDE=FQ","FILING_STATUS=MR","SCALING_FORMAT=MLN","Sort=A","Dates=H","DateFormat=P","Fill=—","Direction=H","UseDPDF=Y")</f>
        <v>—</v>
      </c>
      <c r="R92" s="13" t="str">
        <f>_xll.BDH("NBIX US Equity","ARDR_TOT_SHARE_EQY_EXCL_MINORITY","FQ3 2022","FQ3 2022","Currency=USD","Period=FQ","BEST_FPERIOD_OVERRIDE=FQ","FILING_STATUS=MR","SCALING_FORMAT=MLN","Sort=A","Dates=H","DateFormat=P","Fill=—","Direction=H","UseDPDF=Y")</f>
        <v>—</v>
      </c>
      <c r="S92" s="13" t="str">
        <f>_xll.BDH("NBIX US Equity","ARDR_TOT_SHARE_EQY_EXCL_MINORITY","FQ4 2022","FQ4 2022","Currency=USD","Period=FQ","BEST_FPERIOD_OVERRIDE=FQ","FILING_STATUS=MR","SCALING_FORMAT=MLN","Sort=A","Dates=H","DateFormat=P","Fill=—","Direction=H","UseDPDF=Y")</f>
        <v>—</v>
      </c>
      <c r="T92" s="13" t="str">
        <f>_xll.BDH("NBIX US Equity","ARDR_TOT_SHARE_EQY_EXCL_MINORITY","FQ1 2023","FQ1 2023","Currency=USD","Period=FQ","BEST_FPERIOD_OVERRIDE=FQ","FILING_STATUS=MR","SCALING_FORMAT=MLN","Sort=A","Dates=H","DateFormat=P","Fill=—","Direction=H","UseDPDF=Y")</f>
        <v>—</v>
      </c>
      <c r="U92" s="13" t="str">
        <f>_xll.BDH("NBIX US Equity","ARDR_TOT_SHARE_EQY_EXCL_MINORITY","FQ2 2023","FQ2 2023","Currency=USD","Period=FQ","BEST_FPERIOD_OVERRIDE=FQ","FILING_STATUS=MR","SCALING_FORMAT=MLN","Sort=A","Dates=H","DateFormat=P","Fill=—","Direction=H","UseDPDF=Y")</f>
        <v>—</v>
      </c>
      <c r="V92" s="13" t="str">
        <f>_xll.BDH("NBIX US Equity","ARDR_TOT_SHARE_EQY_EXCL_MINORITY","FQ3 2023","FQ3 2023","Currency=USD","Period=FQ","BEST_FPERIOD_OVERRIDE=FQ","FILING_STATUS=MR","SCALING_FORMAT=MLN","Sort=A","Dates=H","DateFormat=P","Fill=—","Direction=H","UseDPDF=Y")</f>
        <v>—</v>
      </c>
      <c r="W92" s="13">
        <f>_xll.BDH("NBIX US Equity","ARDR_TOT_SHARE_EQY_EXCL_MINORITY","FQ4 2023","FQ4 2023","Currency=USD","Period=FQ","BEST_FPERIOD_OVERRIDE=FQ","FILING_STATUS=MR","SCALING_FORMAT=MLN","Sort=A","Dates=H","DateFormat=P","Fill=—","Direction=H","UseDPDF=Y")</f>
        <v>2232</v>
      </c>
      <c r="X92" s="13">
        <f>_xll.BDH("NBIX US Equity","ARDR_TOT_SHARE_EQY_EXCL_MINORITY","FQ1 2024","FQ1 2024","Currency=USD","Period=FQ","BEST_FPERIOD_OVERRIDE=FQ","FILING_STATUS=MR","SCALING_FORMAT=MLN","Sort=A","Dates=H","DateFormat=P","Fill=—","Direction=H","UseDPDF=Y")</f>
        <v>2386.1</v>
      </c>
      <c r="Y92" s="13" t="str">
        <f>_xll.BDH("NBIX US Equity","ARDR_TOT_SHARE_EQY_EXCL_MINORITY","FQ2 2024","FQ2 2024","Currency=USD","Period=FQ","BEST_FPERIOD_OVERRIDE=FQ","FILING_STATUS=MR","SCALING_FORMAT=MLN","Sort=A","Dates=H","DateFormat=P","Fill=—","Direction=H","UseDPDF=Y")</f>
        <v>—</v>
      </c>
      <c r="Z92" s="13">
        <f>_xll.BDH("NBIX US Equity","ARDR_TOT_SHARE_EQY_EXCL_MINORITY","FQ3 2024","FQ3 2024","Currency=USD","Period=FQ","BEST_FPERIOD_OVERRIDE=FQ","FILING_STATUS=MR","SCALING_FORMAT=MLN","Sort=A","Dates=H","DateFormat=P","Fill=—","Direction=H","UseDPDF=Y")</f>
        <v>2718.9</v>
      </c>
      <c r="AA92" s="13">
        <f>_xll.BDH("NBIX US Equity","ARDR_TOT_SHARE_EQY_EXCL_MINORITY","FQ4 2024","FQ4 2024","Currency=USD","Period=FQ","BEST_FPERIOD_OVERRIDE=FQ","FILING_STATUS=MR","SCALING_FORMAT=MLN","Sort=A","Dates=H","DateFormat=P","Fill=—","Direction=H","UseDPDF=Y")</f>
        <v>2589.6999999999998</v>
      </c>
    </row>
    <row r="93" spans="1:27" x14ac:dyDescent="0.25">
      <c r="A93" s="10" t="s">
        <v>958</v>
      </c>
      <c r="B93" s="10" t="s">
        <v>959</v>
      </c>
      <c r="C93" s="13" t="str">
        <f>_xll.BDH("NBIX US Equity","ARDR_OPTIONS_EXERCISED_DUR_PER","FQ4 2018","FQ4 2018","Currency=USD","Period=FQ","BEST_FPERIOD_OVERRIDE=FQ","FILING_STATUS=MR","SCALING_FORMAT=MLN","Sort=A","Dates=H","DateFormat=P","Fill=—","Direction=H","UseDPDF=Y")</f>
        <v>—</v>
      </c>
      <c r="D93" s="13" t="str">
        <f>_xll.BDH("NBIX US Equity","ARDR_OPTIONS_EXERCISED_DUR_PER","FQ1 2019","FQ1 2019","Currency=USD","Period=FQ","BEST_FPERIOD_OVERRIDE=FQ","FILING_STATUS=MR","SCALING_FORMAT=MLN","Sort=A","Dates=H","DateFormat=P","Fill=—","Direction=H","UseDPDF=Y")</f>
        <v>—</v>
      </c>
      <c r="E93" s="13" t="str">
        <f>_xll.BDH("NBIX US Equity","ARDR_OPTIONS_EXERCISED_DUR_PER","FQ2 2019","FQ2 2019","Currency=USD","Period=FQ","BEST_FPERIOD_OVERRIDE=FQ","FILING_STATUS=MR","SCALING_FORMAT=MLN","Sort=A","Dates=H","DateFormat=P","Fill=—","Direction=H","UseDPDF=Y")</f>
        <v>—</v>
      </c>
      <c r="F93" s="13" t="str">
        <f>_xll.BDH("NBIX US Equity","ARDR_OPTIONS_EXERCISED_DUR_PER","FQ3 2019","FQ3 2019","Currency=USD","Period=FQ","BEST_FPERIOD_OVERRIDE=FQ","FILING_STATUS=MR","SCALING_FORMAT=MLN","Sort=A","Dates=H","DateFormat=P","Fill=—","Direction=H","UseDPDF=Y")</f>
        <v>—</v>
      </c>
      <c r="G93" s="13" t="str">
        <f>_xll.BDH("NBIX US Equity","ARDR_OPTIONS_EXERCISED_DUR_PER","FQ4 2019","FQ4 2019","Currency=USD","Period=FQ","BEST_FPERIOD_OVERRIDE=FQ","FILING_STATUS=MR","SCALING_FORMAT=MLN","Sort=A","Dates=H","DateFormat=P","Fill=—","Direction=H","UseDPDF=Y")</f>
        <v>—</v>
      </c>
      <c r="H93" s="13" t="str">
        <f>_xll.BDH("NBIX US Equity","ARDR_OPTIONS_EXERCISED_DUR_PER","FQ1 2020","FQ1 2020","Currency=USD","Period=FQ","BEST_FPERIOD_OVERRIDE=FQ","FILING_STATUS=MR","SCALING_FORMAT=MLN","Sort=A","Dates=H","DateFormat=P","Fill=—","Direction=H","UseDPDF=Y")</f>
        <v>—</v>
      </c>
      <c r="I93" s="13" t="str">
        <f>_xll.BDH("NBIX US Equity","ARDR_OPTIONS_EXERCISED_DUR_PER","FQ2 2020","FQ2 2020","Currency=USD","Period=FQ","BEST_FPERIOD_OVERRIDE=FQ","FILING_STATUS=MR","SCALING_FORMAT=MLN","Sort=A","Dates=H","DateFormat=P","Fill=—","Direction=H","UseDPDF=Y")</f>
        <v>—</v>
      </c>
      <c r="J93" s="13" t="str">
        <f>_xll.BDH("NBIX US Equity","ARDR_OPTIONS_EXERCISED_DUR_PER","FQ3 2020","FQ3 2020","Currency=USD","Period=FQ","BEST_FPERIOD_OVERRIDE=FQ","FILING_STATUS=MR","SCALING_FORMAT=MLN","Sort=A","Dates=H","DateFormat=P","Fill=—","Direction=H","UseDPDF=Y")</f>
        <v>—</v>
      </c>
      <c r="K93" s="13" t="str">
        <f>_xll.BDH("NBIX US Equity","ARDR_OPTIONS_EXERCISED_DUR_PER","FQ4 2020","FQ4 2020","Currency=USD","Period=FQ","BEST_FPERIOD_OVERRIDE=FQ","FILING_STATUS=MR","SCALING_FORMAT=MLN","Sort=A","Dates=H","DateFormat=P","Fill=—","Direction=H","UseDPDF=Y")</f>
        <v>—</v>
      </c>
      <c r="L93" s="13" t="str">
        <f>_xll.BDH("NBIX US Equity","ARDR_OPTIONS_EXERCISED_DUR_PER","FQ1 2021","FQ1 2021","Currency=USD","Period=FQ","BEST_FPERIOD_OVERRIDE=FQ","FILING_STATUS=MR","SCALING_FORMAT=MLN","Sort=A","Dates=H","DateFormat=P","Fill=—","Direction=H","UseDPDF=Y")</f>
        <v>—</v>
      </c>
      <c r="M93" s="13" t="str">
        <f>_xll.BDH("NBIX US Equity","ARDR_OPTIONS_EXERCISED_DUR_PER","FQ2 2021","FQ2 2021","Currency=USD","Period=FQ","BEST_FPERIOD_OVERRIDE=FQ","FILING_STATUS=MR","SCALING_FORMAT=MLN","Sort=A","Dates=H","DateFormat=P","Fill=—","Direction=H","UseDPDF=Y")</f>
        <v>—</v>
      </c>
      <c r="N93" s="13" t="str">
        <f>_xll.BDH("NBIX US Equity","ARDR_OPTIONS_EXERCISED_DUR_PER","FQ3 2021","FQ3 2021","Currency=USD","Period=FQ","BEST_FPERIOD_OVERRIDE=FQ","FILING_STATUS=MR","SCALING_FORMAT=MLN","Sort=A","Dates=H","DateFormat=P","Fill=—","Direction=H","UseDPDF=Y")</f>
        <v>—</v>
      </c>
      <c r="O93" s="13">
        <f>_xll.BDH("NBIX US Equity","ARDR_OPTIONS_EXERCISED_DUR_PER","FQ4 2021","FQ4 2021","Currency=USD","Period=FQ","BEST_FPERIOD_OVERRIDE=FQ","FILING_STATUS=MR","SCALING_FORMAT=MLN","Sort=A","Dates=H","DateFormat=P","Fill=—","Direction=H","UseDPDF=Y")</f>
        <v>0.7</v>
      </c>
      <c r="P93" s="13" t="str">
        <f>_xll.BDH("NBIX US Equity","ARDR_OPTIONS_EXERCISED_DUR_PER","FQ1 2022","FQ1 2022","Currency=USD","Period=FQ","BEST_FPERIOD_OVERRIDE=FQ","FILING_STATUS=MR","SCALING_FORMAT=MLN","Sort=A","Dates=H","DateFormat=P","Fill=—","Direction=H","UseDPDF=Y")</f>
        <v>—</v>
      </c>
      <c r="Q93" s="13" t="str">
        <f>_xll.BDH("NBIX US Equity","ARDR_OPTIONS_EXERCISED_DUR_PER","FQ2 2022","FQ2 2022","Currency=USD","Period=FQ","BEST_FPERIOD_OVERRIDE=FQ","FILING_STATUS=MR","SCALING_FORMAT=MLN","Sort=A","Dates=H","DateFormat=P","Fill=—","Direction=H","UseDPDF=Y")</f>
        <v>—</v>
      </c>
      <c r="R93" s="13" t="str">
        <f>_xll.BDH("NBIX US Equity","ARDR_OPTIONS_EXERCISED_DUR_PER","FQ3 2022","FQ3 2022","Currency=USD","Period=FQ","BEST_FPERIOD_OVERRIDE=FQ","FILING_STATUS=MR","SCALING_FORMAT=MLN","Sort=A","Dates=H","DateFormat=P","Fill=—","Direction=H","UseDPDF=Y")</f>
        <v>—</v>
      </c>
      <c r="S93" s="13">
        <f>_xll.BDH("NBIX US Equity","ARDR_OPTIONS_EXERCISED_DUR_PER","FQ4 2022","FQ4 2022","Currency=USD","Period=FQ","BEST_FPERIOD_OVERRIDE=FQ","FILING_STATUS=MR","SCALING_FORMAT=MLN","Sort=A","Dates=H","DateFormat=P","Fill=—","Direction=H","UseDPDF=Y")</f>
        <v>0.7</v>
      </c>
      <c r="T93" s="13" t="str">
        <f>_xll.BDH("NBIX US Equity","ARDR_OPTIONS_EXERCISED_DUR_PER","FQ1 2023","FQ1 2023","Currency=USD","Period=FQ","BEST_FPERIOD_OVERRIDE=FQ","FILING_STATUS=MR","SCALING_FORMAT=MLN","Sort=A","Dates=H","DateFormat=P","Fill=—","Direction=H","UseDPDF=Y")</f>
        <v>—</v>
      </c>
      <c r="U93" s="13" t="str">
        <f>_xll.BDH("NBIX US Equity","ARDR_OPTIONS_EXERCISED_DUR_PER","FQ2 2023","FQ2 2023","Currency=USD","Period=FQ","BEST_FPERIOD_OVERRIDE=FQ","FILING_STATUS=MR","SCALING_FORMAT=MLN","Sort=A","Dates=H","DateFormat=P","Fill=—","Direction=H","UseDPDF=Y")</f>
        <v>—</v>
      </c>
      <c r="V93" s="13" t="str">
        <f>_xll.BDH("NBIX US Equity","ARDR_OPTIONS_EXERCISED_DUR_PER","FQ3 2023","FQ3 2023","Currency=USD","Period=FQ","BEST_FPERIOD_OVERRIDE=FQ","FILING_STATUS=MR","SCALING_FORMAT=MLN","Sort=A","Dates=H","DateFormat=P","Fill=—","Direction=H","UseDPDF=Y")</f>
        <v>—</v>
      </c>
      <c r="W93" s="13" t="str">
        <f>_xll.BDH("NBIX US Equity","ARDR_OPTIONS_EXERCISED_DUR_PER","FQ4 2023","FQ4 2023","Currency=USD","Period=FQ","BEST_FPERIOD_OVERRIDE=FQ","FILING_STATUS=MR","SCALING_FORMAT=MLN","Sort=A","Dates=H","DateFormat=P","Fill=—","Direction=H","UseDPDF=Y")</f>
        <v>—</v>
      </c>
      <c r="X93" s="13" t="str">
        <f>_xll.BDH("NBIX US Equity","ARDR_OPTIONS_EXERCISED_DUR_PER","FQ1 2024","FQ1 2024","Currency=USD","Period=FQ","BEST_FPERIOD_OVERRIDE=FQ","FILING_STATUS=MR","SCALING_FORMAT=MLN","Sort=A","Dates=H","DateFormat=P","Fill=—","Direction=H","UseDPDF=Y")</f>
        <v>—</v>
      </c>
      <c r="Y93" s="13" t="str">
        <f>_xll.BDH("NBIX US Equity","ARDR_OPTIONS_EXERCISED_DUR_PER","FQ2 2024","FQ2 2024","Currency=USD","Period=FQ","BEST_FPERIOD_OVERRIDE=FQ","FILING_STATUS=MR","SCALING_FORMAT=MLN","Sort=A","Dates=H","DateFormat=P","Fill=—","Direction=H","UseDPDF=Y")</f>
        <v>—</v>
      </c>
      <c r="Z93" s="13" t="str">
        <f>_xll.BDH("NBIX US Equity","ARDR_OPTIONS_EXERCISED_DUR_PER","FQ3 2024","FQ3 2024","Currency=USD","Period=FQ","BEST_FPERIOD_OVERRIDE=FQ","FILING_STATUS=MR","SCALING_FORMAT=MLN","Sort=A","Dates=H","DateFormat=P","Fill=—","Direction=H","UseDPDF=Y")</f>
        <v>—</v>
      </c>
      <c r="AA93" s="13" t="str">
        <f>_xll.BDH("NBIX US Equity","ARDR_OPTIONS_EXERCISED_DUR_PER","FQ4 2024","FQ4 2024","Currency=USD","Period=FQ","BEST_FPERIOD_OVERRIDE=FQ","FILING_STATUS=MR","SCALING_FORMAT=MLN","Sort=A","Dates=H","DateFormat=P","Fill=—","Direction=H","UseDPDF=Y")</f>
        <v>—</v>
      </c>
    </row>
    <row r="94" spans="1:27" x14ac:dyDescent="0.25">
      <c r="A94" s="10" t="s">
        <v>960</v>
      </c>
      <c r="B94" s="10" t="s">
        <v>961</v>
      </c>
      <c r="C94" s="13">
        <f>_xll.BDH("NBIX US Equity","ARDR_ACCRUED_EXP_OTHER_ST","FQ4 2018","FQ4 2018","Currency=USD","Period=FQ","BEST_FPERIOD_OVERRIDE=FQ","FILING_STATUS=MR","SCALING_FORMAT=MLN","Sort=A","Dates=H","DateFormat=P","Fill=—","Direction=H","UseDPDF=Y")</f>
        <v>86.376999999999995</v>
      </c>
      <c r="D94" s="13" t="str">
        <f>_xll.BDH("NBIX US Equity","ARDR_ACCRUED_EXP_OTHER_ST","FQ1 2019","FQ1 2019","Currency=USD","Period=FQ","BEST_FPERIOD_OVERRIDE=FQ","FILING_STATUS=MR","SCALING_FORMAT=MLN","Sort=A","Dates=H","DateFormat=P","Fill=—","Direction=H","UseDPDF=Y")</f>
        <v>—</v>
      </c>
      <c r="E94" s="13" t="str">
        <f>_xll.BDH("NBIX US Equity","ARDR_ACCRUED_EXP_OTHER_ST","FQ2 2019","FQ2 2019","Currency=USD","Period=FQ","BEST_FPERIOD_OVERRIDE=FQ","FILING_STATUS=MR","SCALING_FORMAT=MLN","Sort=A","Dates=H","DateFormat=P","Fill=—","Direction=H","UseDPDF=Y")</f>
        <v>—</v>
      </c>
      <c r="F94" s="13" t="str">
        <f>_xll.BDH("NBIX US Equity","ARDR_ACCRUED_EXP_OTHER_ST","FQ3 2019","FQ3 2019","Currency=USD","Period=FQ","BEST_FPERIOD_OVERRIDE=FQ","FILING_STATUS=MR","SCALING_FORMAT=MLN","Sort=A","Dates=H","DateFormat=P","Fill=—","Direction=H","UseDPDF=Y")</f>
        <v>—</v>
      </c>
      <c r="G94" s="13">
        <f>_xll.BDH("NBIX US Equity","ARDR_ACCRUED_EXP_OTHER_ST","FQ4 2019","FQ4 2019","Currency=USD","Period=FQ","BEST_FPERIOD_OVERRIDE=FQ","FILING_STATUS=MR","SCALING_FORMAT=MLN","Sort=A","Dates=H","DateFormat=P","Fill=—","Direction=H","UseDPDF=Y")</f>
        <v>141.30000000000001</v>
      </c>
      <c r="H94" s="13" t="str">
        <f>_xll.BDH("NBIX US Equity","ARDR_ACCRUED_EXP_OTHER_ST","FQ1 2020","FQ1 2020","Currency=USD","Period=FQ","BEST_FPERIOD_OVERRIDE=FQ","FILING_STATUS=MR","SCALING_FORMAT=MLN","Sort=A","Dates=H","DateFormat=P","Fill=—","Direction=H","UseDPDF=Y")</f>
        <v>—</v>
      </c>
      <c r="I94" s="13" t="str">
        <f>_xll.BDH("NBIX US Equity","ARDR_ACCRUED_EXP_OTHER_ST","FQ2 2020","FQ2 2020","Currency=USD","Period=FQ","BEST_FPERIOD_OVERRIDE=FQ","FILING_STATUS=MR","SCALING_FORMAT=MLN","Sort=A","Dates=H","DateFormat=P","Fill=—","Direction=H","UseDPDF=Y")</f>
        <v>—</v>
      </c>
      <c r="J94" s="13" t="str">
        <f>_xll.BDH("NBIX US Equity","ARDR_ACCRUED_EXP_OTHER_ST","FQ3 2020","FQ3 2020","Currency=USD","Period=FQ","BEST_FPERIOD_OVERRIDE=FQ","FILING_STATUS=MR","SCALING_FORMAT=MLN","Sort=A","Dates=H","DateFormat=P","Fill=—","Direction=H","UseDPDF=Y")</f>
        <v>—</v>
      </c>
      <c r="K94" s="13">
        <f>_xll.BDH("NBIX US Equity","ARDR_ACCRUED_EXP_OTHER_ST","FQ4 2020","FQ4 2020","Currency=USD","Period=FQ","BEST_FPERIOD_OVERRIDE=FQ","FILING_STATUS=MR","SCALING_FORMAT=MLN","Sort=A","Dates=H","DateFormat=P","Fill=—","Direction=H","UseDPDF=Y")</f>
        <v>168.7</v>
      </c>
      <c r="L94" s="13" t="str">
        <f>_xll.BDH("NBIX US Equity","ARDR_ACCRUED_EXP_OTHER_ST","FQ1 2021","FQ1 2021","Currency=USD","Period=FQ","BEST_FPERIOD_OVERRIDE=FQ","FILING_STATUS=MR","SCALING_FORMAT=MLN","Sort=A","Dates=H","DateFormat=P","Fill=—","Direction=H","UseDPDF=Y")</f>
        <v>—</v>
      </c>
      <c r="M94" s="13" t="str">
        <f>_xll.BDH("NBIX US Equity","ARDR_ACCRUED_EXP_OTHER_ST","FQ2 2021","FQ2 2021","Currency=USD","Period=FQ","BEST_FPERIOD_OVERRIDE=FQ","FILING_STATUS=MR","SCALING_FORMAT=MLN","Sort=A","Dates=H","DateFormat=P","Fill=—","Direction=H","UseDPDF=Y")</f>
        <v>—</v>
      </c>
      <c r="N94" s="13" t="str">
        <f>_xll.BDH("NBIX US Equity","ARDR_ACCRUED_EXP_OTHER_ST","FQ3 2021","FQ3 2021","Currency=USD","Period=FQ","BEST_FPERIOD_OVERRIDE=FQ","FILING_STATUS=MR","SCALING_FORMAT=MLN","Sort=A","Dates=H","DateFormat=P","Fill=—","Direction=H","UseDPDF=Y")</f>
        <v>—</v>
      </c>
      <c r="O94" s="13">
        <f>_xll.BDH("NBIX US Equity","ARDR_ACCRUED_EXP_OTHER_ST","FQ4 2021","FQ4 2021","Currency=USD","Period=FQ","BEST_FPERIOD_OVERRIDE=FQ","FILING_STATUS=MR","SCALING_FORMAT=MLN","Sort=A","Dates=H","DateFormat=P","Fill=—","Direction=H","UseDPDF=Y")</f>
        <v>225.8</v>
      </c>
      <c r="P94" s="13" t="str">
        <f>_xll.BDH("NBIX US Equity","ARDR_ACCRUED_EXP_OTHER_ST","FQ1 2022","FQ1 2022","Currency=USD","Period=FQ","BEST_FPERIOD_OVERRIDE=FQ","FILING_STATUS=MR","SCALING_FORMAT=MLN","Sort=A","Dates=H","DateFormat=P","Fill=—","Direction=H","UseDPDF=Y")</f>
        <v>—</v>
      </c>
      <c r="Q94" s="13" t="str">
        <f>_xll.BDH("NBIX US Equity","ARDR_ACCRUED_EXP_OTHER_ST","FQ2 2022","FQ2 2022","Currency=USD","Period=FQ","BEST_FPERIOD_OVERRIDE=FQ","FILING_STATUS=MR","SCALING_FORMAT=MLN","Sort=A","Dates=H","DateFormat=P","Fill=—","Direction=H","UseDPDF=Y")</f>
        <v>—</v>
      </c>
      <c r="R94" s="13" t="str">
        <f>_xll.BDH("NBIX US Equity","ARDR_ACCRUED_EXP_OTHER_ST","FQ3 2022","FQ3 2022","Currency=USD","Period=FQ","BEST_FPERIOD_OVERRIDE=FQ","FILING_STATUS=MR","SCALING_FORMAT=MLN","Sort=A","Dates=H","DateFormat=P","Fill=—","Direction=H","UseDPDF=Y")</f>
        <v>—</v>
      </c>
      <c r="S94" s="13">
        <f>_xll.BDH("NBIX US Equity","ARDR_ACCRUED_EXP_OTHER_ST","FQ4 2022","FQ4 2022","Currency=USD","Period=FQ","BEST_FPERIOD_OVERRIDE=FQ","FILING_STATUS=MR","SCALING_FORMAT=MLN","Sort=A","Dates=H","DateFormat=P","Fill=—","Direction=H","UseDPDF=Y")</f>
        <v>347.6</v>
      </c>
      <c r="T94" s="13" t="str">
        <f>_xll.BDH("NBIX US Equity","ARDR_ACCRUED_EXP_OTHER_ST","FQ1 2023","FQ1 2023","Currency=USD","Period=FQ","BEST_FPERIOD_OVERRIDE=FQ","FILING_STATUS=MR","SCALING_FORMAT=MLN","Sort=A","Dates=H","DateFormat=P","Fill=—","Direction=H","UseDPDF=Y")</f>
        <v>—</v>
      </c>
      <c r="U94" s="13" t="str">
        <f>_xll.BDH("NBIX US Equity","ARDR_ACCRUED_EXP_OTHER_ST","FQ2 2023","FQ2 2023","Currency=USD","Period=FQ","BEST_FPERIOD_OVERRIDE=FQ","FILING_STATUS=MR","SCALING_FORMAT=MLN","Sort=A","Dates=H","DateFormat=P","Fill=—","Direction=H","UseDPDF=Y")</f>
        <v>—</v>
      </c>
      <c r="V94" s="13" t="str">
        <f>_xll.BDH("NBIX US Equity","ARDR_ACCRUED_EXP_OTHER_ST","FQ3 2023","FQ3 2023","Currency=USD","Period=FQ","BEST_FPERIOD_OVERRIDE=FQ","FILING_STATUS=MR","SCALING_FORMAT=MLN","Sort=A","Dates=H","DateFormat=P","Fill=—","Direction=H","UseDPDF=Y")</f>
        <v>—</v>
      </c>
      <c r="W94" s="13">
        <f>_xll.BDH("NBIX US Equity","ARDR_ACCRUED_EXP_OTHER_ST","FQ4 2023","FQ4 2023","Currency=USD","Period=FQ","BEST_FPERIOD_OVERRIDE=FQ","FILING_STATUS=MR","SCALING_FORMAT=MLN","Sort=A","Dates=H","DateFormat=P","Fill=—","Direction=H","UseDPDF=Y")</f>
        <v>448.8</v>
      </c>
      <c r="X94" s="13" t="str">
        <f>_xll.BDH("NBIX US Equity","ARDR_ACCRUED_EXP_OTHER_ST","FQ1 2024","FQ1 2024","Currency=USD","Period=FQ","BEST_FPERIOD_OVERRIDE=FQ","FILING_STATUS=MR","SCALING_FORMAT=MLN","Sort=A","Dates=H","DateFormat=P","Fill=—","Direction=H","UseDPDF=Y")</f>
        <v>—</v>
      </c>
      <c r="Y94" s="13" t="str">
        <f>_xll.BDH("NBIX US Equity","ARDR_ACCRUED_EXP_OTHER_ST","FQ2 2024","FQ2 2024","Currency=USD","Period=FQ","BEST_FPERIOD_OVERRIDE=FQ","FILING_STATUS=MR","SCALING_FORMAT=MLN","Sort=A","Dates=H","DateFormat=P","Fill=—","Direction=H","UseDPDF=Y")</f>
        <v>—</v>
      </c>
      <c r="Z94" s="13" t="str">
        <f>_xll.BDH("NBIX US Equity","ARDR_ACCRUED_EXP_OTHER_ST","FQ3 2024","FQ3 2024","Currency=USD","Period=FQ","BEST_FPERIOD_OVERRIDE=FQ","FILING_STATUS=MR","SCALING_FORMAT=MLN","Sort=A","Dates=H","DateFormat=P","Fill=—","Direction=H","UseDPDF=Y")</f>
        <v>—</v>
      </c>
      <c r="AA94" s="13">
        <f>_xll.BDH("NBIX US Equity","ARDR_ACCRUED_EXP_OTHER_ST","FQ4 2024","FQ4 2024","Currency=USD","Period=FQ","BEST_FPERIOD_OVERRIDE=FQ","FILING_STATUS=MR","SCALING_FORMAT=MLN","Sort=A","Dates=H","DateFormat=P","Fill=—","Direction=H","UseDPDF=Y")</f>
        <v>461.5</v>
      </c>
    </row>
    <row r="95" spans="1:27" x14ac:dyDescent="0.25">
      <c r="A95" s="10" t="s">
        <v>962</v>
      </c>
      <c r="B95" s="10" t="s">
        <v>963</v>
      </c>
      <c r="C95" s="13">
        <f>_xll.BDH("NBIX US Equity","ARDR_OTHER_MISC_CURRENT_LIABS","FQ4 2018","FQ4 2018","Currency=USD","Period=FQ","BEST_FPERIOD_OVERRIDE=FQ","FILING_STATUS=MR","SCALING_FORMAT=MLN","Sort=A","Dates=H","DateFormat=P","Fill=—","Direction=H","UseDPDF=Y")</f>
        <v>38.165999999999997</v>
      </c>
      <c r="D95" s="13" t="str">
        <f>_xll.BDH("NBIX US Equity","ARDR_OTHER_MISC_CURRENT_LIABS","FQ1 2019","FQ1 2019","Currency=USD","Period=FQ","BEST_FPERIOD_OVERRIDE=FQ","FILING_STATUS=MR","SCALING_FORMAT=MLN","Sort=A","Dates=H","DateFormat=P","Fill=—","Direction=H","UseDPDF=Y")</f>
        <v>—</v>
      </c>
      <c r="E95" s="13" t="str">
        <f>_xll.BDH("NBIX US Equity","ARDR_OTHER_MISC_CURRENT_LIABS","FQ2 2019","FQ2 2019","Currency=USD","Period=FQ","BEST_FPERIOD_OVERRIDE=FQ","FILING_STATUS=MR","SCALING_FORMAT=MLN","Sort=A","Dates=H","DateFormat=P","Fill=—","Direction=H","UseDPDF=Y")</f>
        <v>—</v>
      </c>
      <c r="F95" s="13" t="str">
        <f>_xll.BDH("NBIX US Equity","ARDR_OTHER_MISC_CURRENT_LIABS","FQ3 2019","FQ3 2019","Currency=USD","Period=FQ","BEST_FPERIOD_OVERRIDE=FQ","FILING_STATUS=MR","SCALING_FORMAT=MLN","Sort=A","Dates=H","DateFormat=P","Fill=—","Direction=H","UseDPDF=Y")</f>
        <v>—</v>
      </c>
      <c r="G95" s="13">
        <f>_xll.BDH("NBIX US Equity","ARDR_OTHER_MISC_CURRENT_LIABS","FQ4 2019","FQ4 2019","Currency=USD","Period=FQ","BEST_FPERIOD_OVERRIDE=FQ","FILING_STATUS=MR","SCALING_FORMAT=MLN","Sort=A","Dates=H","DateFormat=P","Fill=—","Direction=H","UseDPDF=Y")</f>
        <v>41.4</v>
      </c>
      <c r="H95" s="13" t="str">
        <f>_xll.BDH("NBIX US Equity","ARDR_OTHER_MISC_CURRENT_LIABS","FQ1 2020","FQ1 2020","Currency=USD","Period=FQ","BEST_FPERIOD_OVERRIDE=FQ","FILING_STATUS=MR","SCALING_FORMAT=MLN","Sort=A","Dates=H","DateFormat=P","Fill=—","Direction=H","UseDPDF=Y")</f>
        <v>—</v>
      </c>
      <c r="I95" s="13" t="str">
        <f>_xll.BDH("NBIX US Equity","ARDR_OTHER_MISC_CURRENT_LIABS","FQ2 2020","FQ2 2020","Currency=USD","Period=FQ","BEST_FPERIOD_OVERRIDE=FQ","FILING_STATUS=MR","SCALING_FORMAT=MLN","Sort=A","Dates=H","DateFormat=P","Fill=—","Direction=H","UseDPDF=Y")</f>
        <v>—</v>
      </c>
      <c r="J95" s="13" t="str">
        <f>_xll.BDH("NBIX US Equity","ARDR_OTHER_MISC_CURRENT_LIABS","FQ3 2020","FQ3 2020","Currency=USD","Period=FQ","BEST_FPERIOD_OVERRIDE=FQ","FILING_STATUS=MR","SCALING_FORMAT=MLN","Sort=A","Dates=H","DateFormat=P","Fill=—","Direction=H","UseDPDF=Y")</f>
        <v>—</v>
      </c>
      <c r="K95" s="13">
        <f>_xll.BDH("NBIX US Equity","ARDR_OTHER_MISC_CURRENT_LIABS","FQ4 2020","FQ4 2020","Currency=USD","Period=FQ","BEST_FPERIOD_OVERRIDE=FQ","FILING_STATUS=MR","SCALING_FORMAT=MLN","Sort=A","Dates=H","DateFormat=P","Fill=—","Direction=H","UseDPDF=Y")</f>
        <v>39.4</v>
      </c>
      <c r="L95" s="13" t="str">
        <f>_xll.BDH("NBIX US Equity","ARDR_OTHER_MISC_CURRENT_LIABS","FQ1 2021","FQ1 2021","Currency=USD","Period=FQ","BEST_FPERIOD_OVERRIDE=FQ","FILING_STATUS=MR","SCALING_FORMAT=MLN","Sort=A","Dates=H","DateFormat=P","Fill=—","Direction=H","UseDPDF=Y")</f>
        <v>—</v>
      </c>
      <c r="M95" s="13" t="str">
        <f>_xll.BDH("NBIX US Equity","ARDR_OTHER_MISC_CURRENT_LIABS","FQ2 2021","FQ2 2021","Currency=USD","Period=FQ","BEST_FPERIOD_OVERRIDE=FQ","FILING_STATUS=MR","SCALING_FORMAT=MLN","Sort=A","Dates=H","DateFormat=P","Fill=—","Direction=H","UseDPDF=Y")</f>
        <v>—</v>
      </c>
      <c r="N95" s="13" t="str">
        <f>_xll.BDH("NBIX US Equity","ARDR_OTHER_MISC_CURRENT_LIABS","FQ3 2021","FQ3 2021","Currency=USD","Period=FQ","BEST_FPERIOD_OVERRIDE=FQ","FILING_STATUS=MR","SCALING_FORMAT=MLN","Sort=A","Dates=H","DateFormat=P","Fill=—","Direction=H","UseDPDF=Y")</f>
        <v>—</v>
      </c>
      <c r="O95" s="13">
        <f>_xll.BDH("NBIX US Equity","ARDR_OTHER_MISC_CURRENT_LIABS","FQ4 2021","FQ4 2021","Currency=USD","Period=FQ","BEST_FPERIOD_OVERRIDE=FQ","FILING_STATUS=MR","SCALING_FORMAT=MLN","Sort=A","Dates=H","DateFormat=P","Fill=—","Direction=H","UseDPDF=Y")</f>
        <v>51.5</v>
      </c>
      <c r="P95" s="13" t="str">
        <f>_xll.BDH("NBIX US Equity","ARDR_OTHER_MISC_CURRENT_LIABS","FQ1 2022","FQ1 2022","Currency=USD","Period=FQ","BEST_FPERIOD_OVERRIDE=FQ","FILING_STATUS=MR","SCALING_FORMAT=MLN","Sort=A","Dates=H","DateFormat=P","Fill=—","Direction=H","UseDPDF=Y")</f>
        <v>—</v>
      </c>
      <c r="Q95" s="13" t="str">
        <f>_xll.BDH("NBIX US Equity","ARDR_OTHER_MISC_CURRENT_LIABS","FQ2 2022","FQ2 2022","Currency=USD","Period=FQ","BEST_FPERIOD_OVERRIDE=FQ","FILING_STATUS=MR","SCALING_FORMAT=MLN","Sort=A","Dates=H","DateFormat=P","Fill=—","Direction=H","UseDPDF=Y")</f>
        <v>—</v>
      </c>
      <c r="R95" s="13" t="str">
        <f>_xll.BDH("NBIX US Equity","ARDR_OTHER_MISC_CURRENT_LIABS","FQ3 2022","FQ3 2022","Currency=USD","Period=FQ","BEST_FPERIOD_OVERRIDE=FQ","FILING_STATUS=MR","SCALING_FORMAT=MLN","Sort=A","Dates=H","DateFormat=P","Fill=—","Direction=H","UseDPDF=Y")</f>
        <v>—</v>
      </c>
      <c r="S95" s="13">
        <f>_xll.BDH("NBIX US Equity","ARDR_OTHER_MISC_CURRENT_LIABS","FQ4 2022","FQ4 2022","Currency=USD","Period=FQ","BEST_FPERIOD_OVERRIDE=FQ","FILING_STATUS=MR","SCALING_FORMAT=MLN","Sort=A","Dates=H","DateFormat=P","Fill=—","Direction=H","UseDPDF=Y")</f>
        <v>76.3</v>
      </c>
      <c r="T95" s="13" t="str">
        <f>_xll.BDH("NBIX US Equity","ARDR_OTHER_MISC_CURRENT_LIABS","FQ1 2023","FQ1 2023","Currency=USD","Period=FQ","BEST_FPERIOD_OVERRIDE=FQ","FILING_STATUS=MR","SCALING_FORMAT=MLN","Sort=A","Dates=H","DateFormat=P","Fill=—","Direction=H","UseDPDF=Y")</f>
        <v>—</v>
      </c>
      <c r="U95" s="13" t="str">
        <f>_xll.BDH("NBIX US Equity","ARDR_OTHER_MISC_CURRENT_LIABS","FQ2 2023","FQ2 2023","Currency=USD","Period=FQ","BEST_FPERIOD_OVERRIDE=FQ","FILING_STATUS=MR","SCALING_FORMAT=MLN","Sort=A","Dates=H","DateFormat=P","Fill=—","Direction=H","UseDPDF=Y")</f>
        <v>—</v>
      </c>
      <c r="V95" s="13" t="str">
        <f>_xll.BDH("NBIX US Equity","ARDR_OTHER_MISC_CURRENT_LIABS","FQ3 2023","FQ3 2023","Currency=USD","Period=FQ","BEST_FPERIOD_OVERRIDE=FQ","FILING_STATUS=MR","SCALING_FORMAT=MLN","Sort=A","Dates=H","DateFormat=P","Fill=—","Direction=H","UseDPDF=Y")</f>
        <v>—</v>
      </c>
      <c r="W95" s="13">
        <f>_xll.BDH("NBIX US Equity","ARDR_OTHER_MISC_CURRENT_LIABS","FQ4 2023","FQ4 2023","Currency=USD","Period=FQ","BEST_FPERIOD_OVERRIDE=FQ","FILING_STATUS=MR","SCALING_FORMAT=MLN","Sort=A","Dates=H","DateFormat=P","Fill=—","Direction=H","UseDPDF=Y")</f>
        <v>108.9</v>
      </c>
      <c r="X95" s="13" t="str">
        <f>_xll.BDH("NBIX US Equity","ARDR_OTHER_MISC_CURRENT_LIABS","FQ1 2024","FQ1 2024","Currency=USD","Period=FQ","BEST_FPERIOD_OVERRIDE=FQ","FILING_STATUS=MR","SCALING_FORMAT=MLN","Sort=A","Dates=H","DateFormat=P","Fill=—","Direction=H","UseDPDF=Y")</f>
        <v>—</v>
      </c>
      <c r="Y95" s="13" t="str">
        <f>_xll.BDH("NBIX US Equity","ARDR_OTHER_MISC_CURRENT_LIABS","FQ2 2024","FQ2 2024","Currency=USD","Period=FQ","BEST_FPERIOD_OVERRIDE=FQ","FILING_STATUS=MR","SCALING_FORMAT=MLN","Sort=A","Dates=H","DateFormat=P","Fill=—","Direction=H","UseDPDF=Y")</f>
        <v>—</v>
      </c>
      <c r="Z95" s="13" t="str">
        <f>_xll.BDH("NBIX US Equity","ARDR_OTHER_MISC_CURRENT_LIABS","FQ3 2024","FQ3 2024","Currency=USD","Period=FQ","BEST_FPERIOD_OVERRIDE=FQ","FILING_STATUS=MR","SCALING_FORMAT=MLN","Sort=A","Dates=H","DateFormat=P","Fill=—","Direction=H","UseDPDF=Y")</f>
        <v>—</v>
      </c>
      <c r="AA95" s="13" t="str">
        <f>_xll.BDH("NBIX US Equity","ARDR_OTHER_MISC_CURRENT_LIABS","FQ4 2024","FQ4 2024","Currency=USD","Period=FQ","BEST_FPERIOD_OVERRIDE=FQ","FILING_STATUS=MR","SCALING_FORMAT=MLN","Sort=A","Dates=H","DateFormat=P","Fill=—","Direction=H","UseDPDF=Y")</f>
        <v>—</v>
      </c>
    </row>
    <row r="96" spans="1:27" x14ac:dyDescent="0.25">
      <c r="A96" s="10" t="s">
        <v>964</v>
      </c>
      <c r="B96" s="10" t="s">
        <v>965</v>
      </c>
      <c r="C96" s="13" t="str">
        <f>_xll.BDH("NBIX US Equity","ARDR_TOTAL_OPERATING_LIABILITIES","FQ4 2018","FQ4 2018","Currency=USD","Period=FQ","BEST_FPERIOD_OVERRIDE=FQ","FILING_STATUS=MR","Sort=A","Dates=H","DateFormat=P","Fill=—","Direction=H","UseDPDF=Y")</f>
        <v>—</v>
      </c>
      <c r="D96" s="13">
        <f>_xll.BDH("NBIX US Equity","ARDR_TOTAL_OPERATING_LIABILITIES","FQ1 2019","FQ1 2019","Currency=USD","Period=FQ","BEST_FPERIOD_OVERRIDE=FQ","FILING_STATUS=MR","Sort=A","Dates=H","DateFormat=P","Fill=—","Direction=H","UseDPDF=Y")</f>
        <v>70.414000000000001</v>
      </c>
      <c r="E96" s="13">
        <f>_xll.BDH("NBIX US Equity","ARDR_TOTAL_OPERATING_LIABILITIES","FQ2 2019","FQ2 2019","Currency=USD","Period=FQ","BEST_FPERIOD_OVERRIDE=FQ","FILING_STATUS=MR","Sort=A","Dates=H","DateFormat=P","Fill=—","Direction=H","UseDPDF=Y")</f>
        <v>69.933999999999997</v>
      </c>
      <c r="F96" s="13">
        <f>_xll.BDH("NBIX US Equity","ARDR_TOTAL_OPERATING_LIABILITIES","FQ3 2019","FQ3 2019","Currency=USD","Period=FQ","BEST_FPERIOD_OVERRIDE=FQ","FILING_STATUS=MR","Sort=A","Dates=H","DateFormat=P","Fill=—","Direction=H","UseDPDF=Y")</f>
        <v>82.641000000000005</v>
      </c>
      <c r="G96" s="13">
        <f>_xll.BDH("NBIX US Equity","ARDR_TOTAL_OPERATING_LIABILITIES","FQ4 2019","FQ4 2019","Currency=USD","Period=FQ","BEST_FPERIOD_OVERRIDE=FQ","FILING_STATUS=MR","Sort=A","Dates=H","DateFormat=P","Fill=—","Direction=H","UseDPDF=Y")</f>
        <v>94.981999999999999</v>
      </c>
      <c r="H96" s="13">
        <f>_xll.BDH("NBIX US Equity","ARDR_TOTAL_OPERATING_LIABILITIES","FQ1 2020","FQ1 2020","Currency=USD","Period=FQ","BEST_FPERIOD_OVERRIDE=FQ","FILING_STATUS=MR","Sort=A","Dates=H","DateFormat=P","Fill=—","Direction=H","UseDPDF=Y")</f>
        <v>94.4</v>
      </c>
      <c r="I96" s="13">
        <f>_xll.BDH("NBIX US Equity","ARDR_TOTAL_OPERATING_LIABILITIES","FQ2 2020","FQ2 2020","Currency=USD","Period=FQ","BEST_FPERIOD_OVERRIDE=FQ","FILING_STATUS=MR","Sort=A","Dates=H","DateFormat=P","Fill=—","Direction=H","UseDPDF=Y")</f>
        <v>93.5</v>
      </c>
      <c r="J96" s="13">
        <f>_xll.BDH("NBIX US Equity","ARDR_TOTAL_OPERATING_LIABILITIES","FQ3 2020","FQ3 2020","Currency=USD","Period=FQ","BEST_FPERIOD_OVERRIDE=FQ","FILING_STATUS=MR","Sort=A","Dates=H","DateFormat=P","Fill=—","Direction=H","UseDPDF=Y")</f>
        <v>92.7</v>
      </c>
      <c r="K96" s="13">
        <f>_xll.BDH("NBIX US Equity","ARDR_TOTAL_OPERATING_LIABILITIES","FQ4 2020","FQ4 2020","Currency=USD","Period=FQ","BEST_FPERIOD_OVERRIDE=FQ","FILING_STATUS=MR","Sort=A","Dates=H","DateFormat=P","Fill=—","Direction=H","UseDPDF=Y")</f>
        <v>104.7</v>
      </c>
      <c r="L96" s="13">
        <f>_xll.BDH("NBIX US Equity","ARDR_TOTAL_OPERATING_LIABILITIES","FQ1 2021","FQ1 2021","Currency=USD","Period=FQ","BEST_FPERIOD_OVERRIDE=FQ","FILING_STATUS=MR","Sort=A","Dates=H","DateFormat=P","Fill=—","Direction=H","UseDPDF=Y")</f>
        <v>119.7</v>
      </c>
      <c r="M96" s="13">
        <f>_xll.BDH("NBIX US Equity","ARDR_TOTAL_OPERATING_LIABILITIES","FQ2 2021","FQ2 2021","Currency=USD","Period=FQ","BEST_FPERIOD_OVERRIDE=FQ","FILING_STATUS=MR","Sort=A","Dates=H","DateFormat=P","Fill=—","Direction=H","UseDPDF=Y")</f>
        <v>124</v>
      </c>
      <c r="N96" s="13">
        <f>_xll.BDH("NBIX US Equity","ARDR_TOTAL_OPERATING_LIABILITIES","FQ3 2021","FQ3 2021","Currency=USD","Period=FQ","BEST_FPERIOD_OVERRIDE=FQ","FILING_STATUS=MR","Sort=A","Dates=H","DateFormat=P","Fill=—","Direction=H","UseDPDF=Y")</f>
        <v>121.9</v>
      </c>
      <c r="O96" s="13">
        <f>_xll.BDH("NBIX US Equity","ARDR_TOTAL_OPERATING_LIABILITIES","FQ4 2021","FQ4 2021","Currency=USD","Period=FQ","BEST_FPERIOD_OVERRIDE=FQ","FILING_STATUS=MR","Sort=A","Dates=H","DateFormat=P","Fill=—","Direction=H","UseDPDF=Y")</f>
        <v>121.8</v>
      </c>
      <c r="P96" s="13">
        <f>_xll.BDH("NBIX US Equity","ARDR_TOTAL_OPERATING_LIABILITIES","FQ1 2022","FQ1 2022","Currency=USD","Period=FQ","BEST_FPERIOD_OVERRIDE=FQ","FILING_STATUS=MR","Sort=A","Dates=H","DateFormat=P","Fill=—","Direction=H","UseDPDF=Y")</f>
        <v>119.4</v>
      </c>
      <c r="Q96" s="13">
        <f>_xll.BDH("NBIX US Equity","ARDR_TOTAL_OPERATING_LIABILITIES","FQ2 2022","FQ2 2022","Currency=USD","Period=FQ","BEST_FPERIOD_OVERRIDE=FQ","FILING_STATUS=MR","Sort=A","Dates=H","DateFormat=P","Fill=—","Direction=H","UseDPDF=Y")</f>
        <v>116.7</v>
      </c>
      <c r="R96" s="13">
        <f>_xll.BDH("NBIX US Equity","ARDR_TOTAL_OPERATING_LIABILITIES","FQ3 2022","FQ3 2022","Currency=USD","Period=FQ","BEST_FPERIOD_OVERRIDE=FQ","FILING_STATUS=MR","Sort=A","Dates=H","DateFormat=P","Fill=—","Direction=H","UseDPDF=Y")</f>
        <v>141.69999999999999</v>
      </c>
      <c r="S96" s="13">
        <f>_xll.BDH("NBIX US Equity","ARDR_TOTAL_OPERATING_LIABILITIES","FQ4 2022","FQ4 2022","Currency=USD","Period=FQ","BEST_FPERIOD_OVERRIDE=FQ","FILING_STATUS=MR","Sort=A","Dates=H","DateFormat=P","Fill=—","Direction=H","UseDPDF=Y")</f>
        <v>93.5</v>
      </c>
      <c r="T96" s="13">
        <f>_xll.BDH("NBIX US Equity","ARDR_TOTAL_OPERATING_LIABILITIES","FQ1 2023","FQ1 2023","Currency=USD","Period=FQ","BEST_FPERIOD_OVERRIDE=FQ","FILING_STATUS=MR","Sort=A","Dates=H","DateFormat=P","Fill=—","Direction=H","UseDPDF=Y")</f>
        <v>90.4</v>
      </c>
      <c r="U96" s="13">
        <f>_xll.BDH("NBIX US Equity","ARDR_TOTAL_OPERATING_LIABILITIES","FQ2 2023","FQ2 2023","Currency=USD","Period=FQ","BEST_FPERIOD_OVERRIDE=FQ","FILING_STATUS=MR","Sort=A","Dates=H","DateFormat=P","Fill=—","Direction=H","UseDPDF=Y")</f>
        <v>106.8</v>
      </c>
      <c r="V96" s="13">
        <f>_xll.BDH("NBIX US Equity","ARDR_TOTAL_OPERATING_LIABILITIES","FQ3 2023","FQ3 2023","Currency=USD","Period=FQ","BEST_FPERIOD_OVERRIDE=FQ","FILING_STATUS=MR","Sort=A","Dates=H","DateFormat=P","Fill=—","Direction=H","UseDPDF=Y")</f>
        <v>103.7</v>
      </c>
      <c r="W96" s="13">
        <f>_xll.BDH("NBIX US Equity","ARDR_TOTAL_OPERATING_LIABILITIES","FQ4 2023","FQ4 2023","Currency=USD","Period=FQ","BEST_FPERIOD_OVERRIDE=FQ","FILING_STATUS=MR","Sort=A","Dates=H","DateFormat=P","Fill=—","Direction=H","UseDPDF=Y")</f>
        <v>290.3</v>
      </c>
      <c r="X96" s="13">
        <f>_xll.BDH("NBIX US Equity","ARDR_TOTAL_OPERATING_LIABILITIES","FQ1 2024","FQ1 2024","Currency=USD","Period=FQ","BEST_FPERIOD_OVERRIDE=FQ","FILING_STATUS=MR","Sort=A","Dates=H","DateFormat=P","Fill=—","Direction=H","UseDPDF=Y")</f>
        <v>287.89999999999998</v>
      </c>
      <c r="Y96" s="13">
        <f>_xll.BDH("NBIX US Equity","ARDR_TOTAL_OPERATING_LIABILITIES","FQ2 2024","FQ2 2024","Currency=USD","Period=FQ","BEST_FPERIOD_OVERRIDE=FQ","FILING_STATUS=MR","Sort=A","Dates=H","DateFormat=P","Fill=—","Direction=H","UseDPDF=Y")</f>
        <v>291.60000000000002</v>
      </c>
      <c r="Z96" s="13">
        <f>_xll.BDH("NBIX US Equity","ARDR_TOTAL_OPERATING_LIABILITIES","FQ3 2024","FQ3 2024","Currency=USD","Period=FQ","BEST_FPERIOD_OVERRIDE=FQ","FILING_STATUS=MR","Sort=A","Dates=H","DateFormat=P","Fill=—","Direction=H","UseDPDF=Y")</f>
        <v>286.2</v>
      </c>
      <c r="AA96" s="13">
        <f>_xll.BDH("NBIX US Equity","ARDR_TOTAL_OPERATING_LIABILITIES","FQ4 2024","FQ4 2024","Currency=USD","Period=FQ","BEST_FPERIOD_OVERRIDE=FQ","FILING_STATUS=MR","Sort=A","Dates=H","DateFormat=P","Fill=—","Direction=H","UseDPDF=Y")</f>
        <v>495.7</v>
      </c>
    </row>
    <row r="97" spans="1:27" x14ac:dyDescent="0.25">
      <c r="A97" s="10" t="s">
        <v>966</v>
      </c>
      <c r="B97" s="10" t="s">
        <v>967</v>
      </c>
      <c r="C97" s="13">
        <f>_xll.BDH("NBIX US Equity","ARDR_FV_ASSETS_REC_LEVEL_1","FQ4 2018","FQ4 2018","Currency=USD","Period=FQ","BEST_FPERIOD_OVERRIDE=FQ","FILING_STATUS=MR","SCALING_FORMAT=MLN","Sort=A","Dates=H","DateFormat=P","Fill=—","Direction=H","UseDPDF=Y")</f>
        <v>0</v>
      </c>
      <c r="D97" s="13">
        <f>_xll.BDH("NBIX US Equity","ARDR_FV_ASSETS_REC_LEVEL_1","FQ1 2019","FQ1 2019","Currency=USD","Period=FQ","BEST_FPERIOD_OVERRIDE=FQ","FILING_STATUS=MR","SCALING_FORMAT=MLN","Sort=A","Dates=H","DateFormat=P","Fill=—","Direction=H","UseDPDF=Y")</f>
        <v>0</v>
      </c>
      <c r="E97" s="13">
        <f>_xll.BDH("NBIX US Equity","ARDR_FV_ASSETS_REC_LEVEL_1","FQ2 2019","FQ2 2019","Currency=USD","Period=FQ","BEST_FPERIOD_OVERRIDE=FQ","FILING_STATUS=MR","SCALING_FORMAT=MLN","Sort=A","Dates=H","DateFormat=P","Fill=—","Direction=H","UseDPDF=Y")</f>
        <v>0</v>
      </c>
      <c r="F97" s="13">
        <f>_xll.BDH("NBIX US Equity","ARDR_FV_ASSETS_REC_LEVEL_1","FQ3 2019","FQ3 2019","Currency=USD","Period=FQ","BEST_FPERIOD_OVERRIDE=FQ","FILING_STATUS=MR","SCALING_FORMAT=MLN","Sort=A","Dates=H","DateFormat=P","Fill=—","Direction=H","UseDPDF=Y")</f>
        <v>0</v>
      </c>
      <c r="G97" s="13">
        <f>_xll.BDH("NBIX US Equity","ARDR_FV_ASSETS_REC_LEVEL_1","FQ4 2019","FQ4 2019","Currency=USD","Period=FQ","BEST_FPERIOD_OVERRIDE=FQ","FILING_STATUS=MR","SCALING_FORMAT=MLN","Sort=A","Dates=H","DateFormat=P","Fill=—","Direction=H","UseDPDF=Y")</f>
        <v>115.5</v>
      </c>
      <c r="H97" s="13">
        <f>_xll.BDH("NBIX US Equity","ARDR_FV_ASSETS_REC_LEVEL_1","FQ1 2020","FQ1 2020","Currency=USD","Period=FQ","BEST_FPERIOD_OVERRIDE=FQ","FILING_STATUS=MR","SCALING_FORMAT=MLN","Sort=A","Dates=H","DateFormat=P","Fill=—","Direction=H","UseDPDF=Y")</f>
        <v>190.2</v>
      </c>
      <c r="I97" s="13">
        <f>_xll.BDH("NBIX US Equity","ARDR_FV_ASSETS_REC_LEVEL_1","FQ2 2020","FQ2 2020","Currency=USD","Period=FQ","BEST_FPERIOD_OVERRIDE=FQ","FILING_STATUS=MR","SCALING_FORMAT=MLN","Sort=A","Dates=H","DateFormat=P","Fill=—","Direction=H","UseDPDF=Y")</f>
        <v>418.3</v>
      </c>
      <c r="J97" s="13">
        <f>_xll.BDH("NBIX US Equity","ARDR_FV_ASSETS_REC_LEVEL_1","FQ3 2020","FQ3 2020","Currency=USD","Period=FQ","BEST_FPERIOD_OVERRIDE=FQ","FILING_STATUS=MR","SCALING_FORMAT=MLN","Sort=A","Dates=H","DateFormat=P","Fill=—","Direction=H","UseDPDF=Y")</f>
        <v>428.5</v>
      </c>
      <c r="K97" s="13">
        <f>_xll.BDH("NBIX US Equity","ARDR_FV_ASSETS_REC_LEVEL_1","FQ4 2020","FQ4 2020","Currency=USD","Period=FQ","BEST_FPERIOD_OVERRIDE=FQ","FILING_STATUS=MR","SCALING_FORMAT=MLN","Sort=A","Dates=H","DateFormat=P","Fill=—","Direction=H","UseDPDF=Y")</f>
        <v>190.3</v>
      </c>
      <c r="L97" s="13">
        <f>_xll.BDH("NBIX US Equity","ARDR_FV_ASSETS_REC_LEVEL_1","FQ1 2021","FQ1 2021","Currency=USD","Period=FQ","BEST_FPERIOD_OVERRIDE=FQ","FILING_STATUS=MR","SCALING_FORMAT=MLN","Sort=A","Dates=H","DateFormat=P","Fill=—","Direction=H","UseDPDF=Y")</f>
        <v>355.8</v>
      </c>
      <c r="M97" s="13">
        <f>_xll.BDH("NBIX US Equity","ARDR_FV_ASSETS_REC_LEVEL_1","FQ2 2021","FQ2 2021","Currency=USD","Period=FQ","BEST_FPERIOD_OVERRIDE=FQ","FILING_STATUS=MR","SCALING_FORMAT=MLN","Sort=A","Dates=H","DateFormat=P","Fill=—","Direction=H","UseDPDF=Y")</f>
        <v>371.2</v>
      </c>
      <c r="N97" s="13">
        <f>_xll.BDH("NBIX US Equity","ARDR_FV_ASSETS_REC_LEVEL_1","FQ3 2021","FQ3 2021","Currency=USD","Period=FQ","BEST_FPERIOD_OVERRIDE=FQ","FILING_STATUS=MR","SCALING_FORMAT=MLN","Sort=A","Dates=H","DateFormat=P","Fill=—","Direction=H","UseDPDF=Y")</f>
        <v>314.3</v>
      </c>
      <c r="O97" s="13">
        <f>_xll.BDH("NBIX US Equity","ARDR_FV_ASSETS_REC_LEVEL_1","FQ4 2021","FQ4 2021","Currency=USD","Period=FQ","BEST_FPERIOD_OVERRIDE=FQ","FILING_STATUS=MR","SCALING_FORMAT=MLN","Sort=A","Dates=H","DateFormat=P","Fill=—","Direction=H","UseDPDF=Y")</f>
        <v>396.7</v>
      </c>
      <c r="P97" s="13">
        <f>_xll.BDH("NBIX US Equity","ARDR_FV_ASSETS_REC_LEVEL_1","FQ1 2022","FQ1 2022","Currency=USD","Period=FQ","BEST_FPERIOD_OVERRIDE=FQ","FILING_STATUS=MR","SCALING_FORMAT=MLN","Sort=A","Dates=H","DateFormat=P","Fill=—","Direction=H","UseDPDF=Y")</f>
        <v>369.3</v>
      </c>
      <c r="Q97" s="13">
        <f>_xll.BDH("NBIX US Equity","ARDR_FV_ASSETS_REC_LEVEL_1","FQ2 2022","FQ2 2022","Currency=USD","Period=FQ","BEST_FPERIOD_OVERRIDE=FQ","FILING_STATUS=MR","SCALING_FORMAT=MLN","Sort=A","Dates=H","DateFormat=P","Fill=—","Direction=H","UseDPDF=Y")</f>
        <v>254.9</v>
      </c>
      <c r="R97" s="13">
        <f>_xll.BDH("NBIX US Equity","ARDR_FV_ASSETS_REC_LEVEL_1","FQ3 2022","FQ3 2022","Currency=USD","Period=FQ","BEST_FPERIOD_OVERRIDE=FQ","FILING_STATUS=MR","SCALING_FORMAT=MLN","Sort=A","Dates=H","DateFormat=P","Fill=—","Direction=H","UseDPDF=Y")</f>
        <v>314.89999999999998</v>
      </c>
      <c r="S97" s="13">
        <f>_xll.BDH("NBIX US Equity","ARDR_FV_ASSETS_REC_LEVEL_1","FQ4 2022","FQ4 2022","Currency=USD","Period=FQ","BEST_FPERIOD_OVERRIDE=FQ","FILING_STATUS=MR","SCALING_FORMAT=MLN","Sort=A","Dates=H","DateFormat=P","Fill=—","Direction=H","UseDPDF=Y")</f>
        <v>372.8</v>
      </c>
      <c r="T97" s="13">
        <f>_xll.BDH("NBIX US Equity","ARDR_FV_ASSETS_REC_LEVEL_1","FQ1 2023","FQ1 2023","Currency=USD","Period=FQ","BEST_FPERIOD_OVERRIDE=FQ","FILING_STATUS=MR","SCALING_FORMAT=MLN","Sort=A","Dates=H","DateFormat=P","Fill=—","Direction=H","UseDPDF=Y")</f>
        <v>247.3</v>
      </c>
      <c r="U97" s="13">
        <f>_xll.BDH("NBIX US Equity","ARDR_FV_ASSETS_REC_LEVEL_1","FQ2 2023","FQ2 2023","Currency=USD","Period=FQ","BEST_FPERIOD_OVERRIDE=FQ","FILING_STATUS=MR","SCALING_FORMAT=MLN","Sort=A","Dates=H","DateFormat=P","Fill=—","Direction=H","UseDPDF=Y")</f>
        <v>341.2</v>
      </c>
      <c r="V97" s="13">
        <f>_xll.BDH("NBIX US Equity","ARDR_FV_ASSETS_REC_LEVEL_1","FQ3 2023","FQ3 2023","Currency=USD","Period=FQ","BEST_FPERIOD_OVERRIDE=FQ","FILING_STATUS=MR","SCALING_FORMAT=MLN","Sort=A","Dates=H","DateFormat=P","Fill=—","Direction=H","UseDPDF=Y")</f>
        <v>434.5</v>
      </c>
      <c r="W97" s="13">
        <f>_xll.BDH("NBIX US Equity","ARDR_FV_ASSETS_REC_LEVEL_1","FQ4 2023","FQ4 2023","Currency=USD","Period=FQ","BEST_FPERIOD_OVERRIDE=FQ","FILING_STATUS=MR","SCALING_FORMAT=MLN","Sort=A","Dates=H","DateFormat=P","Fill=—","Direction=H","UseDPDF=Y")</f>
        <v>421</v>
      </c>
      <c r="X97" s="13">
        <f>_xll.BDH("NBIX US Equity","ARDR_FV_ASSETS_REC_LEVEL_1","FQ1 2024","FQ1 2024","Currency=USD","Period=FQ","BEST_FPERIOD_OVERRIDE=FQ","FILING_STATUS=MR","SCALING_FORMAT=MLN","Sort=A","Dates=H","DateFormat=P","Fill=—","Direction=H","UseDPDF=Y")</f>
        <v>567.79999999999995</v>
      </c>
      <c r="Y97" s="13">
        <f>_xll.BDH("NBIX US Equity","ARDR_FV_ASSETS_REC_LEVEL_1","FQ2 2024","FQ2 2024","Currency=USD","Period=FQ","BEST_FPERIOD_OVERRIDE=FQ","FILING_STATUS=MR","SCALING_FORMAT=MLN","Sort=A","Dates=H","DateFormat=P","Fill=—","Direction=H","UseDPDF=Y")</f>
        <v>291.3</v>
      </c>
      <c r="Z97" s="13">
        <f>_xll.BDH("NBIX US Equity","ARDR_FV_ASSETS_REC_LEVEL_1","FQ3 2024","FQ3 2024","Currency=USD","Period=FQ","BEST_FPERIOD_OVERRIDE=FQ","FILING_STATUS=MR","SCALING_FORMAT=MLN","Sort=A","Dates=H","DateFormat=P","Fill=—","Direction=H","UseDPDF=Y")</f>
        <v>475.8</v>
      </c>
      <c r="AA97" s="13">
        <f>_xll.BDH("NBIX US Equity","ARDR_FV_ASSETS_REC_LEVEL_1","FQ4 2024","FQ4 2024","Currency=USD","Period=FQ","BEST_FPERIOD_OVERRIDE=FQ","FILING_STATUS=MR","SCALING_FORMAT=MLN","Sort=A","Dates=H","DateFormat=P","Fill=—","Direction=H","UseDPDF=Y")</f>
        <v>357.8</v>
      </c>
    </row>
    <row r="98" spans="1:27" x14ac:dyDescent="0.25">
      <c r="A98" s="10" t="s">
        <v>968</v>
      </c>
      <c r="B98" s="10" t="s">
        <v>969</v>
      </c>
      <c r="C98" s="13">
        <f>_xll.BDH("NBIX US Equity","ARDR_FV_ASSETS_REC_LEVEL_2","FQ4 2018","FQ4 2018","Currency=USD","Period=FQ","BEST_FPERIOD_OVERRIDE=FQ","FILING_STATUS=MR","SCALING_FORMAT=MLN","Sort=A","Dates=H","DateFormat=P","Fill=—","Direction=H","UseDPDF=Y")</f>
        <v>725.2</v>
      </c>
      <c r="D98" s="13">
        <f>_xll.BDH("NBIX US Equity","ARDR_FV_ASSETS_REC_LEVEL_2","FQ1 2019","FQ1 2019","Currency=USD","Period=FQ","BEST_FPERIOD_OVERRIDE=FQ","FILING_STATUS=MR","SCALING_FORMAT=MLN","Sort=A","Dates=H","DateFormat=P","Fill=—","Direction=H","UseDPDF=Y")</f>
        <v>0.628</v>
      </c>
      <c r="E98" s="13">
        <f>_xll.BDH("NBIX US Equity","ARDR_FV_ASSETS_REC_LEVEL_2","FQ2 2019","FQ2 2019","Currency=USD","Period=FQ","BEST_FPERIOD_OVERRIDE=FQ","FILING_STATUS=MR","SCALING_FORMAT=MLN","Sort=A","Dates=H","DateFormat=P","Fill=—","Direction=H","UseDPDF=Y")</f>
        <v>625.49599999999998</v>
      </c>
      <c r="F98" s="13">
        <f>_xll.BDH("NBIX US Equity","ARDR_FV_ASSETS_REC_LEVEL_2","FQ3 2019","FQ3 2019","Currency=USD","Period=FQ","BEST_FPERIOD_OVERRIDE=FQ","FILING_STATUS=MR","SCALING_FORMAT=MLN","Sort=A","Dates=H","DateFormat=P","Fill=—","Direction=H","UseDPDF=Y")</f>
        <v>708.31799999999998</v>
      </c>
      <c r="G98" s="13">
        <f>_xll.BDH("NBIX US Equity","ARDR_FV_ASSETS_REC_LEVEL_2","FQ4 2019","FQ4 2019","Currency=USD","Period=FQ","BEST_FPERIOD_OVERRIDE=FQ","FILING_STATUS=MR","SCALING_FORMAT=MLN","Sort=A","Dates=H","DateFormat=P","Fill=—","Direction=H","UseDPDF=Y")</f>
        <v>857.9</v>
      </c>
      <c r="H98" s="13">
        <f>_xll.BDH("NBIX US Equity","ARDR_FV_ASSETS_REC_LEVEL_2","FQ1 2020","FQ1 2020","Currency=USD","Period=FQ","BEST_FPERIOD_OVERRIDE=FQ","FILING_STATUS=MR","SCALING_FORMAT=MLN","Sort=A","Dates=H","DateFormat=P","Fill=—","Direction=H","UseDPDF=Y")</f>
        <v>820.6</v>
      </c>
      <c r="I98" s="13">
        <f>_xll.BDH("NBIX US Equity","ARDR_FV_ASSETS_REC_LEVEL_2","FQ2 2020","FQ2 2020","Currency=USD","Period=FQ","BEST_FPERIOD_OVERRIDE=FQ","FILING_STATUS=MR","SCALING_FORMAT=MLN","Sort=A","Dates=H","DateFormat=P","Fill=—","Direction=H","UseDPDF=Y")</f>
        <v>728.4</v>
      </c>
      <c r="J98" s="13">
        <f>_xll.BDH("NBIX US Equity","ARDR_FV_ASSETS_REC_LEVEL_2","FQ3 2020","FQ3 2020","Currency=USD","Period=FQ","BEST_FPERIOD_OVERRIDE=FQ","FILING_STATUS=MR","SCALING_FORMAT=MLN","Sort=A","Dates=H","DateFormat=P","Fill=—","Direction=H","UseDPDF=Y")</f>
        <v>700.8</v>
      </c>
      <c r="K98" s="13">
        <f>_xll.BDH("NBIX US Equity","ARDR_FV_ASSETS_REC_LEVEL_2","FQ4 2020","FQ4 2020","Currency=USD","Period=FQ","BEST_FPERIOD_OVERRIDE=FQ","FILING_STATUS=MR","SCALING_FORMAT=MLN","Sort=A","Dates=H","DateFormat=P","Fill=—","Direction=H","UseDPDF=Y")</f>
        <v>841</v>
      </c>
      <c r="L98" s="13">
        <f>_xll.BDH("NBIX US Equity","ARDR_FV_ASSETS_REC_LEVEL_2","FQ1 2021","FQ1 2021","Currency=USD","Period=FQ","BEST_FPERIOD_OVERRIDE=FQ","FILING_STATUS=MR","SCALING_FORMAT=MLN","Sort=A","Dates=H","DateFormat=P","Fill=—","Direction=H","UseDPDF=Y")</f>
        <v>770.7</v>
      </c>
      <c r="M98" s="13">
        <f>_xll.BDH("NBIX US Equity","ARDR_FV_ASSETS_REC_LEVEL_2","FQ2 2021","FQ2 2021","Currency=USD","Period=FQ","BEST_FPERIOD_OVERRIDE=FQ","FILING_STATUS=MR","SCALING_FORMAT=MLN","Sort=A","Dates=H","DateFormat=P","Fill=—","Direction=H","UseDPDF=Y")</f>
        <v>854.7</v>
      </c>
      <c r="N98" s="13">
        <f>_xll.BDH("NBIX US Equity","ARDR_FV_ASSETS_REC_LEVEL_2","FQ3 2021","FQ3 2021","Currency=USD","Period=FQ","BEST_FPERIOD_OVERRIDE=FQ","FILING_STATUS=MR","SCALING_FORMAT=MLN","Sort=A","Dates=H","DateFormat=P","Fill=—","Direction=H","UseDPDF=Y")</f>
        <v>968.5</v>
      </c>
      <c r="O98" s="13">
        <f>_xll.BDH("NBIX US Equity","ARDR_FV_ASSETS_REC_LEVEL_2","FQ4 2021","FQ4 2021","Currency=USD","Period=FQ","BEST_FPERIOD_OVERRIDE=FQ","FILING_STATUS=MR","SCALING_FORMAT=MLN","Sort=A","Dates=H","DateFormat=P","Fill=—","Direction=H","UseDPDF=Y")</f>
        <v>931.2</v>
      </c>
      <c r="P98" s="13">
        <f>_xll.BDH("NBIX US Equity","ARDR_FV_ASSETS_REC_LEVEL_2","FQ1 2022","FQ1 2022","Currency=USD","Period=FQ","BEST_FPERIOD_OVERRIDE=FQ","FILING_STATUS=MR","SCALING_FORMAT=MLN","Sort=A","Dates=H","DateFormat=P","Fill=—","Direction=H","UseDPDF=Y")</f>
        <v>935.7</v>
      </c>
      <c r="Q98" s="13">
        <f>_xll.BDH("NBIX US Equity","ARDR_FV_ASSETS_REC_LEVEL_2","FQ2 2022","FQ2 2022","Currency=USD","Period=FQ","BEST_FPERIOD_OVERRIDE=FQ","FILING_STATUS=MR","SCALING_FORMAT=MLN","Sort=A","Dates=H","DateFormat=P","Fill=—","Direction=H","UseDPDF=Y")</f>
        <v>890.2</v>
      </c>
      <c r="R98" s="13">
        <f>_xll.BDH("NBIX US Equity","ARDR_FV_ASSETS_REC_LEVEL_2","FQ3 2022","FQ3 2022","Currency=USD","Period=FQ","BEST_FPERIOD_OVERRIDE=FQ","FILING_STATUS=MR","SCALING_FORMAT=MLN","Sort=A","Dates=H","DateFormat=P","Fill=—","Direction=H","UseDPDF=Y")</f>
        <v>949.8</v>
      </c>
      <c r="S98" s="13">
        <f>_xll.BDH("NBIX US Equity","ARDR_FV_ASSETS_REC_LEVEL_2","FQ4 2022","FQ4 2022","Currency=USD","Period=FQ","BEST_FPERIOD_OVERRIDE=FQ","FILING_STATUS=MR","SCALING_FORMAT=MLN","Sort=A","Dates=H","DateFormat=P","Fill=—","Direction=H","UseDPDF=Y")</f>
        <v>1025.8</v>
      </c>
      <c r="T98" s="13">
        <f>_xll.BDH("NBIX US Equity","ARDR_FV_ASSETS_REC_LEVEL_2","FQ1 2023","FQ1 2023","Currency=USD","Period=FQ","BEST_FPERIOD_OVERRIDE=FQ","FILING_STATUS=MR","SCALING_FORMAT=MLN","Sort=A","Dates=H","DateFormat=P","Fill=—","Direction=H","UseDPDF=Y")</f>
        <v>1035.4000000000001</v>
      </c>
      <c r="U98" s="13">
        <f>_xll.BDH("NBIX US Equity","ARDR_FV_ASSETS_REC_LEVEL_2","FQ2 2023","FQ2 2023","Currency=USD","Period=FQ","BEST_FPERIOD_OVERRIDE=FQ","FILING_STATUS=MR","SCALING_FORMAT=MLN","Sort=A","Dates=H","DateFormat=P","Fill=—","Direction=H","UseDPDF=Y")</f>
        <v>1159.0999999999999</v>
      </c>
      <c r="V98" s="13">
        <f>_xll.BDH("NBIX US Equity","ARDR_FV_ASSETS_REC_LEVEL_2","FQ3 2023","FQ3 2023","Currency=USD","Period=FQ","BEST_FPERIOD_OVERRIDE=FQ","FILING_STATUS=MR","SCALING_FORMAT=MLN","Sort=A","Dates=H","DateFormat=P","Fill=—","Direction=H","UseDPDF=Y")</f>
        <v>1256.0999999999999</v>
      </c>
      <c r="W98" s="13">
        <f>_xll.BDH("NBIX US Equity","ARDR_FV_ASSETS_REC_LEVEL_2","FQ4 2023","FQ4 2023","Currency=USD","Period=FQ","BEST_FPERIOD_OVERRIDE=FQ","FILING_STATUS=MR","SCALING_FORMAT=MLN","Sort=A","Dates=H","DateFormat=P","Fill=—","Direction=H","UseDPDF=Y")</f>
        <v>1468</v>
      </c>
      <c r="X98" s="13">
        <f>_xll.BDH("NBIX US Equity","ARDR_FV_ASSETS_REC_LEVEL_2","FQ1 2024","FQ1 2024","Currency=USD","Period=FQ","BEST_FPERIOD_OVERRIDE=FQ","FILING_STATUS=MR","SCALING_FORMAT=MLN","Sort=A","Dates=H","DateFormat=P","Fill=—","Direction=H","UseDPDF=Y")</f>
        <v>1514.7</v>
      </c>
      <c r="Y98" s="13">
        <f>_xll.BDH("NBIX US Equity","ARDR_FV_ASSETS_REC_LEVEL_2","FQ2 2024","FQ2 2024","Currency=USD","Period=FQ","BEST_FPERIOD_OVERRIDE=FQ","FILING_STATUS=MR","SCALING_FORMAT=MLN","Sort=A","Dates=H","DateFormat=P","Fill=—","Direction=H","UseDPDF=Y")</f>
        <v>1537</v>
      </c>
      <c r="Z98" s="13">
        <f>_xll.BDH("NBIX US Equity","ARDR_FV_ASSETS_REC_LEVEL_2","FQ3 2024","FQ3 2024","Currency=USD","Period=FQ","BEST_FPERIOD_OVERRIDE=FQ","FILING_STATUS=MR","SCALING_FORMAT=MLN","Sort=A","Dates=H","DateFormat=P","Fill=—","Direction=H","UseDPDF=Y")</f>
        <v>1522.8</v>
      </c>
      <c r="AA98" s="13">
        <f>_xll.BDH("NBIX US Equity","ARDR_FV_ASSETS_REC_LEVEL_2","FQ4 2024","FQ4 2024","Currency=USD","Period=FQ","BEST_FPERIOD_OVERRIDE=FQ","FILING_STATUS=MR","SCALING_FORMAT=MLN","Sort=A","Dates=H","DateFormat=P","Fill=—","Direction=H","UseDPDF=Y")</f>
        <v>1582.6</v>
      </c>
    </row>
    <row r="99" spans="1:27" x14ac:dyDescent="0.25">
      <c r="A99" s="10" t="s">
        <v>970</v>
      </c>
      <c r="B99" s="10" t="s">
        <v>971</v>
      </c>
      <c r="C99" s="13">
        <f>_xll.BDH("NBIX US Equity","ARDR_FV_ASSETS_REC_LEVEL_3","FQ4 2018","FQ4 2018","Currency=USD","Period=FQ","BEST_FPERIOD_OVERRIDE=FQ","FILING_STATUS=MR","SCALING_FORMAT=MLN","Sort=A","Dates=H","DateFormat=P","Fill=—","Direction=H","UseDPDF=Y")</f>
        <v>0</v>
      </c>
      <c r="D99" s="13">
        <f>_xll.BDH("NBIX US Equity","ARDR_FV_ASSETS_REC_LEVEL_3","FQ1 2019","FQ1 2019","Currency=USD","Period=FQ","BEST_FPERIOD_OVERRIDE=FQ","FILING_STATUS=MR","SCALING_FORMAT=MLN","Sort=A","Dates=H","DateFormat=P","Fill=—","Direction=H","UseDPDF=Y")</f>
        <v>5.6399999999999999E-2</v>
      </c>
      <c r="E99" s="13">
        <f>_xll.BDH("NBIX US Equity","ARDR_FV_ASSETS_REC_LEVEL_3","FQ2 2019","FQ2 2019","Currency=USD","Period=FQ","BEST_FPERIOD_OVERRIDE=FQ","FILING_STATUS=MR","SCALING_FORMAT=MLN","Sort=A","Dates=H","DateFormat=P","Fill=—","Direction=H","UseDPDF=Y")</f>
        <v>77.364999999999995</v>
      </c>
      <c r="F99" s="13">
        <f>_xll.BDH("NBIX US Equity","ARDR_FV_ASSETS_REC_LEVEL_3","FQ3 2019","FQ3 2019","Currency=USD","Period=FQ","BEST_FPERIOD_OVERRIDE=FQ","FILING_STATUS=MR","SCALING_FORMAT=MLN","Sort=A","Dates=H","DateFormat=P","Fill=—","Direction=H","UseDPDF=Y")</f>
        <v>48.914999999999999</v>
      </c>
      <c r="G99" s="13">
        <f>_xll.BDH("NBIX US Equity","ARDR_FV_ASSETS_REC_LEVEL_3","FQ4 2019","FQ4 2019","Currency=USD","Period=FQ","BEST_FPERIOD_OVERRIDE=FQ","FILING_STATUS=MR","SCALING_FORMAT=MLN","Sort=A","Dates=H","DateFormat=P","Fill=—","Direction=H","UseDPDF=Y")</f>
        <v>55.9</v>
      </c>
      <c r="H99" s="13">
        <f>_xll.BDH("NBIX US Equity","ARDR_FV_ASSETS_REC_LEVEL_3","FQ1 2020","FQ1 2020","Currency=USD","Period=FQ","BEST_FPERIOD_OVERRIDE=FQ","FILING_STATUS=MR","SCALING_FORMAT=MLN","Sort=A","Dates=H","DateFormat=P","Fill=—","Direction=H","UseDPDF=Y")</f>
        <v>39.4</v>
      </c>
      <c r="I99" s="13">
        <f>_xll.BDH("NBIX US Equity","ARDR_FV_ASSETS_REC_LEVEL_3","FQ2 2020","FQ2 2020","Currency=USD","Period=FQ","BEST_FPERIOD_OVERRIDE=FQ","FILING_STATUS=MR","SCALING_FORMAT=MLN","Sort=A","Dates=H","DateFormat=P","Fill=—","Direction=H","UseDPDF=Y")</f>
        <v>50.7</v>
      </c>
      <c r="J99" s="13">
        <f>_xll.BDH("NBIX US Equity","ARDR_FV_ASSETS_REC_LEVEL_3","FQ3 2020","FQ3 2020","Currency=USD","Period=FQ","BEST_FPERIOD_OVERRIDE=FQ","FILING_STATUS=MR","SCALING_FORMAT=MLN","Sort=A","Dates=H","DateFormat=P","Fill=—","Direction=H","UseDPDF=Y")</f>
        <v>43.7</v>
      </c>
      <c r="K99" s="13">
        <f>_xll.BDH("NBIX US Equity","ARDR_FV_ASSETS_REC_LEVEL_3","FQ4 2020","FQ4 2020","Currency=USD","Period=FQ","BEST_FPERIOD_OVERRIDE=FQ","FILING_STATUS=MR","SCALING_FORMAT=MLN","Sort=A","Dates=H","DateFormat=P","Fill=—","Direction=H","UseDPDF=Y")</f>
        <v>38.200000000000003</v>
      </c>
      <c r="L99" s="13">
        <f>_xll.BDH("NBIX US Equity","ARDR_FV_ASSETS_REC_LEVEL_3","FQ1 2021","FQ1 2021","Currency=USD","Period=FQ","BEST_FPERIOD_OVERRIDE=FQ","FILING_STATUS=MR","SCALING_FORMAT=MLN","Sort=A","Dates=H","DateFormat=P","Fill=—","Direction=H","UseDPDF=Y")</f>
        <v>38.9</v>
      </c>
      <c r="M99" s="13">
        <f>_xll.BDH("NBIX US Equity","ARDR_FV_ASSETS_REC_LEVEL_3","FQ2 2021","FQ2 2021","Currency=USD","Period=FQ","BEST_FPERIOD_OVERRIDE=FQ","FILING_STATUS=MR","SCALING_FORMAT=MLN","Sort=A","Dates=H","DateFormat=P","Fill=—","Direction=H","UseDPDF=Y")</f>
        <v>38.9</v>
      </c>
      <c r="N99" s="13">
        <f>_xll.BDH("NBIX US Equity","ARDR_FV_ASSETS_REC_LEVEL_3","FQ3 2021","FQ3 2021","Currency=USD","Period=FQ","BEST_FPERIOD_OVERRIDE=FQ","FILING_STATUS=MR","SCALING_FORMAT=MLN","Sort=A","Dates=H","DateFormat=P","Fill=—","Direction=H","UseDPDF=Y")</f>
        <v>35.299999999999997</v>
      </c>
      <c r="O99" s="13">
        <f>_xll.BDH("NBIX US Equity","ARDR_FV_ASSETS_REC_LEVEL_3","FQ4 2021","FQ4 2021","Currency=USD","Period=FQ","BEST_FPERIOD_OVERRIDE=FQ","FILING_STATUS=MR","SCALING_FORMAT=MLN","Sort=A","Dates=H","DateFormat=P","Fill=—","Direction=H","UseDPDF=Y")</f>
        <v>11</v>
      </c>
      <c r="P99" s="13">
        <f>_xll.BDH("NBIX US Equity","ARDR_FV_ASSETS_REC_LEVEL_3","FQ1 2022","FQ1 2022","Currency=USD","Period=FQ","BEST_FPERIOD_OVERRIDE=FQ","FILING_STATUS=MR","SCALING_FORMAT=MLN","Sort=A","Dates=H","DateFormat=P","Fill=—","Direction=H","UseDPDF=Y")</f>
        <v>0</v>
      </c>
      <c r="Q99" s="13">
        <f>_xll.BDH("NBIX US Equity","ARDR_FV_ASSETS_REC_LEVEL_3","FQ2 2022","FQ2 2022","Currency=USD","Period=FQ","BEST_FPERIOD_OVERRIDE=FQ","FILING_STATUS=MR","SCALING_FORMAT=MLN","Sort=A","Dates=H","DateFormat=P","Fill=—","Direction=H","UseDPDF=Y")</f>
        <v>0</v>
      </c>
      <c r="R99" s="13">
        <f>_xll.BDH("NBIX US Equity","ARDR_FV_ASSETS_REC_LEVEL_3","FQ3 2022","FQ3 2022","Currency=USD","Period=FQ","BEST_FPERIOD_OVERRIDE=FQ","FILING_STATUS=MR","SCALING_FORMAT=MLN","Sort=A","Dates=H","DateFormat=P","Fill=—","Direction=H","UseDPDF=Y")</f>
        <v>0</v>
      </c>
      <c r="S99" s="13">
        <f>_xll.BDH("NBIX US Equity","ARDR_FV_ASSETS_REC_LEVEL_3","FQ4 2022","FQ4 2022","Currency=USD","Period=FQ","BEST_FPERIOD_OVERRIDE=FQ","FILING_STATUS=MR","SCALING_FORMAT=MLN","Sort=A","Dates=H","DateFormat=P","Fill=—","Direction=H","UseDPDF=Y")</f>
        <v>0</v>
      </c>
      <c r="T99" s="13">
        <f>_xll.BDH("NBIX US Equity","ARDR_FV_ASSETS_REC_LEVEL_3","FQ1 2023","FQ1 2023","Currency=USD","Period=FQ","BEST_FPERIOD_OVERRIDE=FQ","FILING_STATUS=MR","SCALING_FORMAT=MLN","Sort=A","Dates=H","DateFormat=P","Fill=—","Direction=H","UseDPDF=Y")</f>
        <v>0</v>
      </c>
      <c r="U99" s="13">
        <f>_xll.BDH("NBIX US Equity","ARDR_FV_ASSETS_REC_LEVEL_3","FQ2 2023","FQ2 2023","Currency=USD","Period=FQ","BEST_FPERIOD_OVERRIDE=FQ","FILING_STATUS=MR","SCALING_FORMAT=MLN","Sort=A","Dates=H","DateFormat=P","Fill=—","Direction=H","UseDPDF=Y")</f>
        <v>0</v>
      </c>
      <c r="V99" s="13" t="str">
        <f>_xll.BDH("NBIX US Equity","ARDR_FV_ASSETS_REC_LEVEL_3","FQ3 2023","FQ3 2023","Currency=USD","Period=FQ","BEST_FPERIOD_OVERRIDE=FQ","FILING_STATUS=MR","SCALING_FORMAT=MLN","Sort=A","Dates=H","DateFormat=P","Fill=—","Direction=H","UseDPDF=Y")</f>
        <v>—</v>
      </c>
      <c r="W99" s="13" t="str">
        <f>_xll.BDH("NBIX US Equity","ARDR_FV_ASSETS_REC_LEVEL_3","FQ4 2023","FQ4 2023","Currency=USD","Period=FQ","BEST_FPERIOD_OVERRIDE=FQ","FILING_STATUS=MR","SCALING_FORMAT=MLN","Sort=A","Dates=H","DateFormat=P","Fill=—","Direction=H","UseDPDF=Y")</f>
        <v>—</v>
      </c>
      <c r="X99" s="13" t="str">
        <f>_xll.BDH("NBIX US Equity","ARDR_FV_ASSETS_REC_LEVEL_3","FQ1 2024","FQ1 2024","Currency=USD","Period=FQ","BEST_FPERIOD_OVERRIDE=FQ","FILING_STATUS=MR","SCALING_FORMAT=MLN","Sort=A","Dates=H","DateFormat=P","Fill=—","Direction=H","UseDPDF=Y")</f>
        <v>—</v>
      </c>
      <c r="Y99" s="13">
        <f>_xll.BDH("NBIX US Equity","ARDR_FV_ASSETS_REC_LEVEL_3","FQ2 2024","FQ2 2024","Currency=USD","Period=FQ","BEST_FPERIOD_OVERRIDE=FQ","FILING_STATUS=MR","SCALING_FORMAT=MLN","Sort=A","Dates=H","DateFormat=P","Fill=—","Direction=H","UseDPDF=Y")</f>
        <v>0</v>
      </c>
      <c r="Z99" s="13" t="str">
        <f>_xll.BDH("NBIX US Equity","ARDR_FV_ASSETS_REC_LEVEL_3","FQ3 2024","FQ3 2024","Currency=USD","Period=FQ","BEST_FPERIOD_OVERRIDE=FQ","FILING_STATUS=MR","SCALING_FORMAT=MLN","Sort=A","Dates=H","DateFormat=P","Fill=—","Direction=H","UseDPDF=Y")</f>
        <v>—</v>
      </c>
      <c r="AA99" s="13" t="str">
        <f>_xll.BDH("NBIX US Equity","ARDR_FV_ASSETS_REC_LEVEL_3","FQ4 2024","FQ4 2024","Currency=USD","Period=FQ","BEST_FPERIOD_OVERRIDE=FQ","FILING_STATUS=MR","SCALING_FORMAT=MLN","Sort=A","Dates=H","DateFormat=P","Fill=—","Direction=H","UseDPDF=Y")</f>
        <v>—</v>
      </c>
    </row>
    <row r="100" spans="1:27" x14ac:dyDescent="0.25">
      <c r="A100" s="10" t="s">
        <v>972</v>
      </c>
      <c r="B100" s="10" t="s">
        <v>973</v>
      </c>
      <c r="C100" s="13">
        <f>_xll.BDH("NBIX US Equity","ARDR_FV_ASSETS_REC_TOTAL","FQ4 2018","FQ4 2018","Currency=USD","Period=FQ","BEST_FPERIOD_OVERRIDE=FQ","FILING_STATUS=MR","SCALING_FORMAT=MLN","Sort=A","Dates=H","DateFormat=P","Fill=—","Direction=H","UseDPDF=Y")</f>
        <v>725.2</v>
      </c>
      <c r="D100" s="13">
        <f>_xll.BDH("NBIX US Equity","ARDR_FV_ASSETS_REC_TOTAL","FQ1 2019","FQ1 2019","Currency=USD","Period=FQ","BEST_FPERIOD_OVERRIDE=FQ","FILING_STATUS=MR","SCALING_FORMAT=MLN","Sort=A","Dates=H","DateFormat=P","Fill=—","Direction=H","UseDPDF=Y")</f>
        <v>0.68440000000000001</v>
      </c>
      <c r="E100" s="13">
        <f>_xll.BDH("NBIX US Equity","ARDR_FV_ASSETS_REC_TOTAL","FQ2 2019","FQ2 2019","Currency=USD","Period=FQ","BEST_FPERIOD_OVERRIDE=FQ","FILING_STATUS=MR","SCALING_FORMAT=MLN","Sort=A","Dates=H","DateFormat=P","Fill=—","Direction=H","UseDPDF=Y")</f>
        <v>702.86099999999999</v>
      </c>
      <c r="F100" s="13">
        <f>_xll.BDH("NBIX US Equity","ARDR_FV_ASSETS_REC_TOTAL","FQ3 2019","FQ3 2019","Currency=USD","Period=FQ","BEST_FPERIOD_OVERRIDE=FQ","FILING_STATUS=MR","SCALING_FORMAT=MLN","Sort=A","Dates=H","DateFormat=P","Fill=—","Direction=H","UseDPDF=Y")</f>
        <v>757.23299999999995</v>
      </c>
      <c r="G100" s="13">
        <f>_xll.BDH("NBIX US Equity","ARDR_FV_ASSETS_REC_TOTAL","FQ4 2019","FQ4 2019","Currency=USD","Period=FQ","BEST_FPERIOD_OVERRIDE=FQ","FILING_STATUS=MR","SCALING_FORMAT=MLN","Sort=A","Dates=H","DateFormat=P","Fill=—","Direction=H","UseDPDF=Y")</f>
        <v>1029.3</v>
      </c>
      <c r="H100" s="13">
        <f>_xll.BDH("NBIX US Equity","ARDR_FV_ASSETS_REC_TOTAL","FQ1 2020","FQ1 2020","Currency=USD","Period=FQ","BEST_FPERIOD_OVERRIDE=FQ","FILING_STATUS=MR","SCALING_FORMAT=MLN","Sort=A","Dates=H","DateFormat=P","Fill=—","Direction=H","UseDPDF=Y")</f>
        <v>1050.2</v>
      </c>
      <c r="I100" s="13">
        <f>_xll.BDH("NBIX US Equity","ARDR_FV_ASSETS_REC_TOTAL","FQ2 2020","FQ2 2020","Currency=USD","Period=FQ","BEST_FPERIOD_OVERRIDE=FQ","FILING_STATUS=MR","SCALING_FORMAT=MLN","Sort=A","Dates=H","DateFormat=P","Fill=—","Direction=H","UseDPDF=Y")</f>
        <v>1197.4000000000001</v>
      </c>
      <c r="J100" s="13">
        <f>_xll.BDH("NBIX US Equity","ARDR_FV_ASSETS_REC_TOTAL","FQ3 2020","FQ3 2020","Currency=USD","Period=FQ","BEST_FPERIOD_OVERRIDE=FQ","FILING_STATUS=MR","SCALING_FORMAT=MLN","Sort=A","Dates=H","DateFormat=P","Fill=—","Direction=H","UseDPDF=Y")</f>
        <v>1173</v>
      </c>
      <c r="K100" s="13">
        <f>_xll.BDH("NBIX US Equity","ARDR_FV_ASSETS_REC_TOTAL","FQ4 2020","FQ4 2020","Currency=USD","Period=FQ","BEST_FPERIOD_OVERRIDE=FQ","FILING_STATUS=MR","SCALING_FORMAT=MLN","Sort=A","Dates=H","DateFormat=P","Fill=—","Direction=H","UseDPDF=Y")</f>
        <v>1069.5</v>
      </c>
      <c r="L100" s="13">
        <f>_xll.BDH("NBIX US Equity","ARDR_FV_ASSETS_REC_TOTAL","FQ1 2021","FQ1 2021","Currency=USD","Period=FQ","BEST_FPERIOD_OVERRIDE=FQ","FILING_STATUS=MR","SCALING_FORMAT=MLN","Sort=A","Dates=H","DateFormat=P","Fill=—","Direction=H","UseDPDF=Y")</f>
        <v>1165.4000000000001</v>
      </c>
      <c r="M100" s="13">
        <f>_xll.BDH("NBIX US Equity","ARDR_FV_ASSETS_REC_TOTAL","FQ2 2021","FQ2 2021","Currency=USD","Period=FQ","BEST_FPERIOD_OVERRIDE=FQ","FILING_STATUS=MR","SCALING_FORMAT=MLN","Sort=A","Dates=H","DateFormat=P","Fill=—","Direction=H","UseDPDF=Y")</f>
        <v>1264.8</v>
      </c>
      <c r="N100" s="13">
        <f>_xll.BDH("NBIX US Equity","ARDR_FV_ASSETS_REC_TOTAL","FQ3 2021","FQ3 2021","Currency=USD","Period=FQ","BEST_FPERIOD_OVERRIDE=FQ","FILING_STATUS=MR","SCALING_FORMAT=MLN","Sort=A","Dates=H","DateFormat=P","Fill=—","Direction=H","UseDPDF=Y")</f>
        <v>1318.1</v>
      </c>
      <c r="O100" s="13">
        <f>_xll.BDH("NBIX US Equity","ARDR_FV_ASSETS_REC_TOTAL","FQ4 2021","FQ4 2021","Currency=USD","Period=FQ","BEST_FPERIOD_OVERRIDE=FQ","FILING_STATUS=MR","SCALING_FORMAT=MLN","Sort=A","Dates=H","DateFormat=P","Fill=—","Direction=H","UseDPDF=Y")</f>
        <v>1338.9</v>
      </c>
      <c r="P100" s="13">
        <f>_xll.BDH("NBIX US Equity","ARDR_FV_ASSETS_REC_TOTAL","FQ1 2022","FQ1 2022","Currency=USD","Period=FQ","BEST_FPERIOD_OVERRIDE=FQ","FILING_STATUS=MR","SCALING_FORMAT=MLN","Sort=A","Dates=H","DateFormat=P","Fill=—","Direction=H","UseDPDF=Y")</f>
        <v>1305</v>
      </c>
      <c r="Q100" s="13">
        <f>_xll.BDH("NBIX US Equity","ARDR_FV_ASSETS_REC_TOTAL","FQ2 2022","FQ2 2022","Currency=USD","Period=FQ","BEST_FPERIOD_OVERRIDE=FQ","FILING_STATUS=MR","SCALING_FORMAT=MLN","Sort=A","Dates=H","DateFormat=P","Fill=—","Direction=H","UseDPDF=Y")</f>
        <v>1145.0999999999999</v>
      </c>
      <c r="R100" s="13">
        <f>_xll.BDH("NBIX US Equity","ARDR_FV_ASSETS_REC_TOTAL","FQ3 2022","FQ3 2022","Currency=USD","Period=FQ","BEST_FPERIOD_OVERRIDE=FQ","FILING_STATUS=MR","SCALING_FORMAT=MLN","Sort=A","Dates=H","DateFormat=P","Fill=—","Direction=H","UseDPDF=Y")</f>
        <v>722.1</v>
      </c>
      <c r="S100" s="13">
        <f>_xll.BDH("NBIX US Equity","ARDR_FV_ASSETS_REC_TOTAL","FQ4 2022","FQ4 2022","Currency=USD","Period=FQ","BEST_FPERIOD_OVERRIDE=FQ","FILING_STATUS=MR","SCALING_FORMAT=MLN","Sort=A","Dates=H","DateFormat=P","Fill=—","Direction=H","UseDPDF=Y")</f>
        <v>1398.6</v>
      </c>
      <c r="T100" s="13">
        <f>_xll.BDH("NBIX US Equity","ARDR_FV_ASSETS_REC_TOTAL","FQ1 2023","FQ1 2023","Currency=USD","Period=FQ","BEST_FPERIOD_OVERRIDE=FQ","FILING_STATUS=MR","SCALING_FORMAT=MLN","Sort=A","Dates=H","DateFormat=P","Fill=—","Direction=H","UseDPDF=Y")</f>
        <v>1282.7</v>
      </c>
      <c r="U100" s="13">
        <f>_xll.BDH("NBIX US Equity","ARDR_FV_ASSETS_REC_TOTAL","FQ2 2023","FQ2 2023","Currency=USD","Period=FQ","BEST_FPERIOD_OVERRIDE=FQ","FILING_STATUS=MR","SCALING_FORMAT=MLN","Sort=A","Dates=H","DateFormat=P","Fill=—","Direction=H","UseDPDF=Y")</f>
        <v>1500.3</v>
      </c>
      <c r="V100" s="13">
        <f>_xll.BDH("NBIX US Equity","ARDR_FV_ASSETS_REC_TOTAL","FQ3 2023","FQ3 2023","Currency=USD","Period=FQ","BEST_FPERIOD_OVERRIDE=FQ","FILING_STATUS=MR","SCALING_FORMAT=MLN","Sort=A","Dates=H","DateFormat=P","Fill=—","Direction=H","UseDPDF=Y")</f>
        <v>1690.6</v>
      </c>
      <c r="W100" s="13">
        <f>_xll.BDH("NBIX US Equity","ARDR_FV_ASSETS_REC_TOTAL","FQ4 2023","FQ4 2023","Currency=USD","Period=FQ","BEST_FPERIOD_OVERRIDE=FQ","FILING_STATUS=MR","SCALING_FORMAT=MLN","Sort=A","Dates=H","DateFormat=P","Fill=—","Direction=H","UseDPDF=Y")</f>
        <v>1889</v>
      </c>
      <c r="X100" s="13">
        <f>_xll.BDH("NBIX US Equity","ARDR_FV_ASSETS_REC_TOTAL","FQ1 2024","FQ1 2024","Currency=USD","Period=FQ","BEST_FPERIOD_OVERRIDE=FQ","FILING_STATUS=MR","SCALING_FORMAT=MLN","Sort=A","Dates=H","DateFormat=P","Fill=—","Direction=H","UseDPDF=Y")</f>
        <v>2082.5</v>
      </c>
      <c r="Y100" s="13">
        <f>_xll.BDH("NBIX US Equity","ARDR_FV_ASSETS_REC_TOTAL","FQ2 2024","FQ2 2024","Currency=USD","Period=FQ","BEST_FPERIOD_OVERRIDE=FQ","FILING_STATUS=MR","SCALING_FORMAT=MLN","Sort=A","Dates=H","DateFormat=P","Fill=—","Direction=H","UseDPDF=Y")</f>
        <v>1828.3</v>
      </c>
      <c r="Z100" s="13">
        <f>_xll.BDH("NBIX US Equity","ARDR_FV_ASSETS_REC_TOTAL","FQ3 2024","FQ3 2024","Currency=USD","Period=FQ","BEST_FPERIOD_OVERRIDE=FQ","FILING_STATUS=MR","SCALING_FORMAT=MLN","Sort=A","Dates=H","DateFormat=P","Fill=—","Direction=H","UseDPDF=Y")</f>
        <v>1998.6</v>
      </c>
      <c r="AA100" s="13">
        <f>_xll.BDH("NBIX US Equity","ARDR_FV_ASSETS_REC_TOTAL","FQ4 2024","FQ4 2024","Currency=USD","Period=FQ","BEST_FPERIOD_OVERRIDE=FQ","FILING_STATUS=MR","SCALING_FORMAT=MLN","Sort=A","Dates=H","DateFormat=P","Fill=—","Direction=H","UseDPDF=Y")</f>
        <v>1940.4</v>
      </c>
    </row>
    <row r="101" spans="1:27" x14ac:dyDescent="0.25">
      <c r="A101" s="10" t="s">
        <v>974</v>
      </c>
      <c r="B101" s="10" t="s">
        <v>975</v>
      </c>
      <c r="C101" s="13" t="str">
        <f>_xll.BDH("NBIX US Equity","ARDR_OPTIONS_CANCELLED_FORFEITED","FQ4 2018","FQ4 2018","Currency=USD","Period=FQ","BEST_FPERIOD_OVERRIDE=FQ","FILING_STATUS=MR","SCALING_FORMAT=MLN","Sort=A","Dates=H","DateFormat=P","Fill=—","Direction=H","UseDPDF=Y")</f>
        <v>—</v>
      </c>
      <c r="D101" s="13" t="str">
        <f>_xll.BDH("NBIX US Equity","ARDR_OPTIONS_CANCELLED_FORFEITED","FQ1 2019","FQ1 2019","Currency=USD","Period=FQ","BEST_FPERIOD_OVERRIDE=FQ","FILING_STATUS=MR","SCALING_FORMAT=MLN","Sort=A","Dates=H","DateFormat=P","Fill=—","Direction=H","UseDPDF=Y")</f>
        <v>—</v>
      </c>
      <c r="E101" s="13" t="str">
        <f>_xll.BDH("NBIX US Equity","ARDR_OPTIONS_CANCELLED_FORFEITED","FQ2 2019","FQ2 2019","Currency=USD","Period=FQ","BEST_FPERIOD_OVERRIDE=FQ","FILING_STATUS=MR","SCALING_FORMAT=MLN","Sort=A","Dates=H","DateFormat=P","Fill=—","Direction=H","UseDPDF=Y")</f>
        <v>—</v>
      </c>
      <c r="F101" s="13" t="str">
        <f>_xll.BDH("NBIX US Equity","ARDR_OPTIONS_CANCELLED_FORFEITED","FQ3 2019","FQ3 2019","Currency=USD","Period=FQ","BEST_FPERIOD_OVERRIDE=FQ","FILING_STATUS=MR","SCALING_FORMAT=MLN","Sort=A","Dates=H","DateFormat=P","Fill=—","Direction=H","UseDPDF=Y")</f>
        <v>—</v>
      </c>
      <c r="G101" s="13" t="str">
        <f>_xll.BDH("NBIX US Equity","ARDR_OPTIONS_CANCELLED_FORFEITED","FQ4 2019","FQ4 2019","Currency=USD","Period=FQ","BEST_FPERIOD_OVERRIDE=FQ","FILING_STATUS=MR","SCALING_FORMAT=MLN","Sort=A","Dates=H","DateFormat=P","Fill=—","Direction=H","UseDPDF=Y")</f>
        <v>—</v>
      </c>
      <c r="H101" s="13" t="str">
        <f>_xll.BDH("NBIX US Equity","ARDR_OPTIONS_CANCELLED_FORFEITED","FQ1 2020","FQ1 2020","Currency=USD","Period=FQ","BEST_FPERIOD_OVERRIDE=FQ","FILING_STATUS=MR","SCALING_FORMAT=MLN","Sort=A","Dates=H","DateFormat=P","Fill=—","Direction=H","UseDPDF=Y")</f>
        <v>—</v>
      </c>
      <c r="I101" s="13" t="str">
        <f>_xll.BDH("NBIX US Equity","ARDR_OPTIONS_CANCELLED_FORFEITED","FQ2 2020","FQ2 2020","Currency=USD","Period=FQ","BEST_FPERIOD_OVERRIDE=FQ","FILING_STATUS=MR","SCALING_FORMAT=MLN","Sort=A","Dates=H","DateFormat=P","Fill=—","Direction=H","UseDPDF=Y")</f>
        <v>—</v>
      </c>
      <c r="J101" s="13" t="str">
        <f>_xll.BDH("NBIX US Equity","ARDR_OPTIONS_CANCELLED_FORFEITED","FQ3 2020","FQ3 2020","Currency=USD","Period=FQ","BEST_FPERIOD_OVERRIDE=FQ","FILING_STATUS=MR","SCALING_FORMAT=MLN","Sort=A","Dates=H","DateFormat=P","Fill=—","Direction=H","UseDPDF=Y")</f>
        <v>—</v>
      </c>
      <c r="K101" s="13" t="str">
        <f>_xll.BDH("NBIX US Equity","ARDR_OPTIONS_CANCELLED_FORFEITED","FQ4 2020","FQ4 2020","Currency=USD","Period=FQ","BEST_FPERIOD_OVERRIDE=FQ","FILING_STATUS=MR","SCALING_FORMAT=MLN","Sort=A","Dates=H","DateFormat=P","Fill=—","Direction=H","UseDPDF=Y")</f>
        <v>—</v>
      </c>
      <c r="L101" s="13" t="str">
        <f>_xll.BDH("NBIX US Equity","ARDR_OPTIONS_CANCELLED_FORFEITED","FQ1 2021","FQ1 2021","Currency=USD","Period=FQ","BEST_FPERIOD_OVERRIDE=FQ","FILING_STATUS=MR","SCALING_FORMAT=MLN","Sort=A","Dates=H","DateFormat=P","Fill=—","Direction=H","UseDPDF=Y")</f>
        <v>—</v>
      </c>
      <c r="M101" s="13" t="str">
        <f>_xll.BDH("NBIX US Equity","ARDR_OPTIONS_CANCELLED_FORFEITED","FQ2 2021","FQ2 2021","Currency=USD","Period=FQ","BEST_FPERIOD_OVERRIDE=FQ","FILING_STATUS=MR","SCALING_FORMAT=MLN","Sort=A","Dates=H","DateFormat=P","Fill=—","Direction=H","UseDPDF=Y")</f>
        <v>—</v>
      </c>
      <c r="N101" s="13" t="str">
        <f>_xll.BDH("NBIX US Equity","ARDR_OPTIONS_CANCELLED_FORFEITED","FQ3 2021","FQ3 2021","Currency=USD","Period=FQ","BEST_FPERIOD_OVERRIDE=FQ","FILING_STATUS=MR","SCALING_FORMAT=MLN","Sort=A","Dates=H","DateFormat=P","Fill=—","Direction=H","UseDPDF=Y")</f>
        <v>—</v>
      </c>
      <c r="O101" s="13">
        <f>_xll.BDH("NBIX US Equity","ARDR_OPTIONS_CANCELLED_FORFEITED","FQ4 2021","FQ4 2021","Currency=USD","Period=FQ","BEST_FPERIOD_OVERRIDE=FQ","FILING_STATUS=MR","SCALING_FORMAT=MLN","Sort=A","Dates=H","DateFormat=P","Fill=—","Direction=H","UseDPDF=Y")</f>
        <v>0.2</v>
      </c>
      <c r="P101" s="13" t="str">
        <f>_xll.BDH("NBIX US Equity","ARDR_OPTIONS_CANCELLED_FORFEITED","FQ1 2022","FQ1 2022","Currency=USD","Period=FQ","BEST_FPERIOD_OVERRIDE=FQ","FILING_STATUS=MR","SCALING_FORMAT=MLN","Sort=A","Dates=H","DateFormat=P","Fill=—","Direction=H","UseDPDF=Y")</f>
        <v>—</v>
      </c>
      <c r="Q101" s="13" t="str">
        <f>_xll.BDH("NBIX US Equity","ARDR_OPTIONS_CANCELLED_FORFEITED","FQ2 2022","FQ2 2022","Currency=USD","Period=FQ","BEST_FPERIOD_OVERRIDE=FQ","FILING_STATUS=MR","SCALING_FORMAT=MLN","Sort=A","Dates=H","DateFormat=P","Fill=—","Direction=H","UseDPDF=Y")</f>
        <v>—</v>
      </c>
      <c r="R101" s="13" t="str">
        <f>_xll.BDH("NBIX US Equity","ARDR_OPTIONS_CANCELLED_FORFEITED","FQ3 2022","FQ3 2022","Currency=USD","Period=FQ","BEST_FPERIOD_OVERRIDE=FQ","FILING_STATUS=MR","SCALING_FORMAT=MLN","Sort=A","Dates=H","DateFormat=P","Fill=—","Direction=H","UseDPDF=Y")</f>
        <v>—</v>
      </c>
      <c r="S101" s="13">
        <f>_xll.BDH("NBIX US Equity","ARDR_OPTIONS_CANCELLED_FORFEITED","FQ4 2022","FQ4 2022","Currency=USD","Period=FQ","BEST_FPERIOD_OVERRIDE=FQ","FILING_STATUS=MR","SCALING_FORMAT=MLN","Sort=A","Dates=H","DateFormat=P","Fill=—","Direction=H","UseDPDF=Y")</f>
        <v>0.2</v>
      </c>
      <c r="T101" s="13" t="str">
        <f>_xll.BDH("NBIX US Equity","ARDR_OPTIONS_CANCELLED_FORFEITED","FQ1 2023","FQ1 2023","Currency=USD","Period=FQ","BEST_FPERIOD_OVERRIDE=FQ","FILING_STATUS=MR","SCALING_FORMAT=MLN","Sort=A","Dates=H","DateFormat=P","Fill=—","Direction=H","UseDPDF=Y")</f>
        <v>—</v>
      </c>
      <c r="U101" s="13" t="str">
        <f>_xll.BDH("NBIX US Equity","ARDR_OPTIONS_CANCELLED_FORFEITED","FQ2 2023","FQ2 2023","Currency=USD","Period=FQ","BEST_FPERIOD_OVERRIDE=FQ","FILING_STATUS=MR","SCALING_FORMAT=MLN","Sort=A","Dates=H","DateFormat=P","Fill=—","Direction=H","UseDPDF=Y")</f>
        <v>—</v>
      </c>
      <c r="V101" s="13" t="str">
        <f>_xll.BDH("NBIX US Equity","ARDR_OPTIONS_CANCELLED_FORFEITED","FQ3 2023","FQ3 2023","Currency=USD","Period=FQ","BEST_FPERIOD_OVERRIDE=FQ","FILING_STATUS=MR","SCALING_FORMAT=MLN","Sort=A","Dates=H","DateFormat=P","Fill=—","Direction=H","UseDPDF=Y")</f>
        <v>—</v>
      </c>
      <c r="W101" s="13" t="str">
        <f>_xll.BDH("NBIX US Equity","ARDR_OPTIONS_CANCELLED_FORFEITED","FQ4 2023","FQ4 2023","Currency=USD","Period=FQ","BEST_FPERIOD_OVERRIDE=FQ","FILING_STATUS=MR","SCALING_FORMAT=MLN","Sort=A","Dates=H","DateFormat=P","Fill=—","Direction=H","UseDPDF=Y")</f>
        <v>—</v>
      </c>
      <c r="X101" s="13" t="str">
        <f>_xll.BDH("NBIX US Equity","ARDR_OPTIONS_CANCELLED_FORFEITED","FQ1 2024","FQ1 2024","Currency=USD","Period=FQ","BEST_FPERIOD_OVERRIDE=FQ","FILING_STATUS=MR","SCALING_FORMAT=MLN","Sort=A","Dates=H","DateFormat=P","Fill=—","Direction=H","UseDPDF=Y")</f>
        <v>—</v>
      </c>
      <c r="Y101" s="13" t="str">
        <f>_xll.BDH("NBIX US Equity","ARDR_OPTIONS_CANCELLED_FORFEITED","FQ2 2024","FQ2 2024","Currency=USD","Period=FQ","BEST_FPERIOD_OVERRIDE=FQ","FILING_STATUS=MR","SCALING_FORMAT=MLN","Sort=A","Dates=H","DateFormat=P","Fill=—","Direction=H","UseDPDF=Y")</f>
        <v>—</v>
      </c>
      <c r="Z101" s="13" t="str">
        <f>_xll.BDH("NBIX US Equity","ARDR_OPTIONS_CANCELLED_FORFEITED","FQ3 2024","FQ3 2024","Currency=USD","Period=FQ","BEST_FPERIOD_OVERRIDE=FQ","FILING_STATUS=MR","SCALING_FORMAT=MLN","Sort=A","Dates=H","DateFormat=P","Fill=—","Direction=H","UseDPDF=Y")</f>
        <v>—</v>
      </c>
      <c r="AA101" s="13" t="str">
        <f>_xll.BDH("NBIX US Equity","ARDR_OPTIONS_CANCELLED_FORFEITED","FQ4 2024","FQ4 2024","Currency=USD","Period=FQ","BEST_FPERIOD_OVERRIDE=FQ","FILING_STATUS=MR","SCALING_FORMAT=MLN","Sort=A","Dates=H","DateFormat=P","Fill=—","Direction=H","UseDPDF=Y")</f>
        <v>—</v>
      </c>
    </row>
    <row r="102" spans="1:27" x14ac:dyDescent="0.25">
      <c r="A102" s="10" t="s">
        <v>976</v>
      </c>
      <c r="B102" s="10" t="s">
        <v>977</v>
      </c>
      <c r="C102" s="13" t="str">
        <f>_xll.BDH("NBIX US Equity","ARDR_PV_FUTURE_MIN_OP_LEASE_OBL","FQ4 2018","FQ4 2018","Currency=USD","Period=FQ","BEST_FPERIOD_OVERRIDE=FQ","FILING_STATUS=MR","SCALING_FORMAT=MLN","Sort=A","Dates=H","DateFormat=P","Fill=—","Direction=H","UseDPDF=Y")</f>
        <v>—</v>
      </c>
      <c r="D102" s="13">
        <f>_xll.BDH("NBIX US Equity","ARDR_PV_FUTURE_MIN_OP_LEASE_OBL","FQ1 2019","FQ1 2019","Currency=USD","Period=FQ","BEST_FPERIOD_OVERRIDE=FQ","FILING_STATUS=MR","SCALING_FORMAT=MLN","Sort=A","Dates=H","DateFormat=P","Fill=—","Direction=H","UseDPDF=Y")</f>
        <v>70.414000000000001</v>
      </c>
      <c r="E102" s="13">
        <f>_xll.BDH("NBIX US Equity","ARDR_PV_FUTURE_MIN_OP_LEASE_OBL","FQ2 2019","FQ2 2019","Currency=USD","Period=FQ","BEST_FPERIOD_OVERRIDE=FQ","FILING_STATUS=MR","SCALING_FORMAT=MLN","Sort=A","Dates=H","DateFormat=P","Fill=—","Direction=H","UseDPDF=Y")</f>
        <v>69.933999999999997</v>
      </c>
      <c r="F102" s="13">
        <f>_xll.BDH("NBIX US Equity","ARDR_PV_FUTURE_MIN_OP_LEASE_OBL","FQ3 2019","FQ3 2019","Currency=USD","Period=FQ","BEST_FPERIOD_OVERRIDE=FQ","FILING_STATUS=MR","SCALING_FORMAT=MLN","Sort=A","Dates=H","DateFormat=P","Fill=—","Direction=H","UseDPDF=Y")</f>
        <v>82.641000000000005</v>
      </c>
      <c r="G102" s="13">
        <f>_xll.BDH("NBIX US Equity","ARDR_PV_FUTURE_MIN_OP_LEASE_OBL","FQ4 2019","FQ4 2019","Currency=USD","Period=FQ","BEST_FPERIOD_OVERRIDE=FQ","FILING_STATUS=MR","SCALING_FORMAT=MLN","Sort=A","Dates=H","DateFormat=P","Fill=—","Direction=H","UseDPDF=Y")</f>
        <v>95.037999999999997</v>
      </c>
      <c r="H102" s="13">
        <f>_xll.BDH("NBIX US Equity","ARDR_PV_FUTURE_MIN_OP_LEASE_OBL","FQ1 2020","FQ1 2020","Currency=USD","Period=FQ","BEST_FPERIOD_OVERRIDE=FQ","FILING_STATUS=MR","SCALING_FORMAT=MLN","Sort=A","Dates=H","DateFormat=P","Fill=—","Direction=H","UseDPDF=Y")</f>
        <v>94.4</v>
      </c>
      <c r="I102" s="13">
        <f>_xll.BDH("NBIX US Equity","ARDR_PV_FUTURE_MIN_OP_LEASE_OBL","FQ2 2020","FQ2 2020","Currency=USD","Period=FQ","BEST_FPERIOD_OVERRIDE=FQ","FILING_STATUS=MR","SCALING_FORMAT=MLN","Sort=A","Dates=H","DateFormat=P","Fill=—","Direction=H","UseDPDF=Y")</f>
        <v>93.5</v>
      </c>
      <c r="J102" s="13">
        <f>_xll.BDH("NBIX US Equity","ARDR_PV_FUTURE_MIN_OP_LEASE_OBL","FQ3 2020","FQ3 2020","Currency=USD","Period=FQ","BEST_FPERIOD_OVERRIDE=FQ","FILING_STATUS=MR","SCALING_FORMAT=MLN","Sort=A","Dates=H","DateFormat=P","Fill=—","Direction=H","UseDPDF=Y")</f>
        <v>92.7</v>
      </c>
      <c r="K102" s="13">
        <f>_xll.BDH("NBIX US Equity","ARDR_PV_FUTURE_MIN_OP_LEASE_OBL","FQ4 2020","FQ4 2020","Currency=USD","Period=FQ","BEST_FPERIOD_OVERRIDE=FQ","FILING_STATUS=MR","SCALING_FORMAT=MLN","Sort=A","Dates=H","DateFormat=P","Fill=—","Direction=H","UseDPDF=Y")</f>
        <v>104.7</v>
      </c>
      <c r="L102" s="13">
        <f>_xll.BDH("NBIX US Equity","ARDR_PV_FUTURE_MIN_OP_LEASE_OBL","FQ1 2021","FQ1 2021","Currency=USD","Period=FQ","BEST_FPERIOD_OVERRIDE=FQ","FILING_STATUS=MR","SCALING_FORMAT=MLN","Sort=A","Dates=H","DateFormat=P","Fill=—","Direction=H","UseDPDF=Y")</f>
        <v>119.7</v>
      </c>
      <c r="M102" s="13">
        <f>_xll.BDH("NBIX US Equity","ARDR_PV_FUTURE_MIN_OP_LEASE_OBL","FQ2 2021","FQ2 2021","Currency=USD","Period=FQ","BEST_FPERIOD_OVERRIDE=FQ","FILING_STATUS=MR","SCALING_FORMAT=MLN","Sort=A","Dates=H","DateFormat=P","Fill=—","Direction=H","UseDPDF=Y")</f>
        <v>124</v>
      </c>
      <c r="N102" s="13">
        <f>_xll.BDH("NBIX US Equity","ARDR_PV_FUTURE_MIN_OP_LEASE_OBL","FQ3 2021","FQ3 2021","Currency=USD","Period=FQ","BEST_FPERIOD_OVERRIDE=FQ","FILING_STATUS=MR","SCALING_FORMAT=MLN","Sort=A","Dates=H","DateFormat=P","Fill=—","Direction=H","UseDPDF=Y")</f>
        <v>121.9</v>
      </c>
      <c r="O102" s="13">
        <f>_xll.BDH("NBIX US Equity","ARDR_PV_FUTURE_MIN_OP_LEASE_OBL","FQ4 2021","FQ4 2021","Currency=USD","Period=FQ","BEST_FPERIOD_OVERRIDE=FQ","FILING_STATUS=MR","SCALING_FORMAT=MLN","Sort=A","Dates=H","DateFormat=P","Fill=—","Direction=H","UseDPDF=Y")</f>
        <v>121.8</v>
      </c>
      <c r="P102" s="13">
        <f>_xll.BDH("NBIX US Equity","ARDR_PV_FUTURE_MIN_OP_LEASE_OBL","FQ1 2022","FQ1 2022","Currency=USD","Period=FQ","BEST_FPERIOD_OVERRIDE=FQ","FILING_STATUS=MR","SCALING_FORMAT=MLN","Sort=A","Dates=H","DateFormat=P","Fill=—","Direction=H","UseDPDF=Y")</f>
        <v>119.4</v>
      </c>
      <c r="Q102" s="13">
        <f>_xll.BDH("NBIX US Equity","ARDR_PV_FUTURE_MIN_OP_LEASE_OBL","FQ2 2022","FQ2 2022","Currency=USD","Period=FQ","BEST_FPERIOD_OVERRIDE=FQ","FILING_STATUS=MR","SCALING_FORMAT=MLN","Sort=A","Dates=H","DateFormat=P","Fill=—","Direction=H","UseDPDF=Y")</f>
        <v>116.7</v>
      </c>
      <c r="R102" s="13">
        <f>_xll.BDH("NBIX US Equity","ARDR_PV_FUTURE_MIN_OP_LEASE_OBL","FQ3 2022","FQ3 2022","Currency=USD","Period=FQ","BEST_FPERIOD_OVERRIDE=FQ","FILING_STATUS=MR","SCALING_FORMAT=MLN","Sort=A","Dates=H","DateFormat=P","Fill=—","Direction=H","UseDPDF=Y")</f>
        <v>113.9</v>
      </c>
      <c r="S102" s="13">
        <f>_xll.BDH("NBIX US Equity","ARDR_PV_FUTURE_MIN_OP_LEASE_OBL","FQ4 2022","FQ4 2022","Currency=USD","Period=FQ","BEST_FPERIOD_OVERRIDE=FQ","FILING_STATUS=MR","SCALING_FORMAT=MLN","Sort=A","Dates=H","DateFormat=P","Fill=—","Direction=H","UseDPDF=Y")</f>
        <v>110.9</v>
      </c>
      <c r="T102" s="13">
        <f>_xll.BDH("NBIX US Equity","ARDR_PV_FUTURE_MIN_OP_LEASE_OBL","FQ1 2023","FQ1 2023","Currency=USD","Period=FQ","BEST_FPERIOD_OVERRIDE=FQ","FILING_STATUS=MR","SCALING_FORMAT=MLN","Sort=A","Dates=H","DateFormat=P","Fill=—","Direction=H","UseDPDF=Y")</f>
        <v>108</v>
      </c>
      <c r="U102" s="13">
        <f>_xll.BDH("NBIX US Equity","ARDR_PV_FUTURE_MIN_OP_LEASE_OBL","FQ2 2023","FQ2 2023","Currency=USD","Period=FQ","BEST_FPERIOD_OVERRIDE=FQ","FILING_STATUS=MR","SCALING_FORMAT=MLN","Sort=A","Dates=H","DateFormat=P","Fill=—","Direction=H","UseDPDF=Y")</f>
        <v>106.8</v>
      </c>
      <c r="V102" s="13">
        <f>_xll.BDH("NBIX US Equity","ARDR_PV_FUTURE_MIN_OP_LEASE_OBL","FQ3 2023","FQ3 2023","Currency=USD","Period=FQ","BEST_FPERIOD_OVERRIDE=FQ","FILING_STATUS=MR","SCALING_FORMAT=MLN","Sort=A","Dates=H","DateFormat=P","Fill=—","Direction=H","UseDPDF=Y")</f>
        <v>103.7</v>
      </c>
      <c r="W102" s="13">
        <f>_xll.BDH("NBIX US Equity","ARDR_PV_FUTURE_MIN_OP_LEASE_OBL","FQ4 2023","FQ4 2023","Currency=USD","Period=FQ","BEST_FPERIOD_OVERRIDE=FQ","FILING_STATUS=MR","SCALING_FORMAT=MLN","Sort=A","Dates=H","DateFormat=P","Fill=—","Direction=H","UseDPDF=Y")</f>
        <v>290.3</v>
      </c>
      <c r="X102" s="13">
        <f>_xll.BDH("NBIX US Equity","ARDR_PV_FUTURE_MIN_OP_LEASE_OBL","FQ1 2024","FQ1 2024","Currency=USD","Period=FQ","BEST_FPERIOD_OVERRIDE=FQ","FILING_STATUS=MR","SCALING_FORMAT=MLN","Sort=A","Dates=H","DateFormat=P","Fill=—","Direction=H","UseDPDF=Y")</f>
        <v>287.89999999999998</v>
      </c>
      <c r="Y102" s="13">
        <f>_xll.BDH("NBIX US Equity","ARDR_PV_FUTURE_MIN_OP_LEASE_OBL","FQ2 2024","FQ2 2024","Currency=USD","Period=FQ","BEST_FPERIOD_OVERRIDE=FQ","FILING_STATUS=MR","SCALING_FORMAT=MLN","Sort=A","Dates=H","DateFormat=P","Fill=—","Direction=H","UseDPDF=Y")</f>
        <v>291.60000000000002</v>
      </c>
      <c r="Z102" s="13">
        <f>_xll.BDH("NBIX US Equity","ARDR_PV_FUTURE_MIN_OP_LEASE_OBL","FQ3 2024","FQ3 2024","Currency=USD","Period=FQ","BEST_FPERIOD_OVERRIDE=FQ","FILING_STATUS=MR","SCALING_FORMAT=MLN","Sort=A","Dates=H","DateFormat=P","Fill=—","Direction=H","UseDPDF=Y")</f>
        <v>286.2</v>
      </c>
      <c r="AA102" s="13">
        <f>_xll.BDH("NBIX US Equity","ARDR_PV_FUTURE_MIN_OP_LEASE_OBL","FQ4 2024","FQ4 2024","Currency=USD","Period=FQ","BEST_FPERIOD_OVERRIDE=FQ","FILING_STATUS=MR","SCALING_FORMAT=MLN","Sort=A","Dates=H","DateFormat=P","Fill=—","Direction=H","UseDPDF=Y")</f>
        <v>495.7</v>
      </c>
    </row>
    <row r="103" spans="1:27" x14ac:dyDescent="0.25">
      <c r="A103" s="10" t="s">
        <v>978</v>
      </c>
      <c r="B103" s="10" t="s">
        <v>979</v>
      </c>
      <c r="C103" s="14">
        <f>_xll.BDH("NBIX US Equity","ARDR_WEI_AVG_COST_OPTIONS_GRANT","FQ4 2018","FQ4 2018","Currency=USD","Period=FQ","BEST_FPERIOD_OVERRIDE=FQ","FILING_STATUS=MR","Sort=A","Dates=H","DateFormat=P","Fill=—","Direction=H","UseDPDF=Y")</f>
        <v>43.42</v>
      </c>
      <c r="D103" s="14" t="str">
        <f>_xll.BDH("NBIX US Equity","ARDR_WEI_AVG_COST_OPTIONS_GRANT","FQ1 2019","FQ1 2019","Currency=USD","Period=FQ","BEST_FPERIOD_OVERRIDE=FQ","FILING_STATUS=MR","Sort=A","Dates=H","DateFormat=P","Fill=—","Direction=H","UseDPDF=Y")</f>
        <v>—</v>
      </c>
      <c r="E103" s="14" t="str">
        <f>_xll.BDH("NBIX US Equity","ARDR_WEI_AVG_COST_OPTIONS_GRANT","FQ2 2019","FQ2 2019","Currency=USD","Period=FQ","BEST_FPERIOD_OVERRIDE=FQ","FILING_STATUS=MR","Sort=A","Dates=H","DateFormat=P","Fill=—","Direction=H","UseDPDF=Y")</f>
        <v>—</v>
      </c>
      <c r="F103" s="14" t="str">
        <f>_xll.BDH("NBIX US Equity","ARDR_WEI_AVG_COST_OPTIONS_GRANT","FQ3 2019","FQ3 2019","Currency=USD","Period=FQ","BEST_FPERIOD_OVERRIDE=FQ","FILING_STATUS=MR","Sort=A","Dates=H","DateFormat=P","Fill=—","Direction=H","UseDPDF=Y")</f>
        <v>—</v>
      </c>
      <c r="G103" s="14">
        <f>_xll.BDH("NBIX US Equity","ARDR_WEI_AVG_COST_OPTIONS_GRANT","FQ4 2019","FQ4 2019","Currency=USD","Period=FQ","BEST_FPERIOD_OVERRIDE=FQ","FILING_STATUS=MR","Sort=A","Dates=H","DateFormat=P","Fill=—","Direction=H","UseDPDF=Y")</f>
        <v>41.74</v>
      </c>
      <c r="H103" s="14" t="str">
        <f>_xll.BDH("NBIX US Equity","ARDR_WEI_AVG_COST_OPTIONS_GRANT","FQ1 2020","FQ1 2020","Currency=USD","Period=FQ","BEST_FPERIOD_OVERRIDE=FQ","FILING_STATUS=MR","Sort=A","Dates=H","DateFormat=P","Fill=—","Direction=H","UseDPDF=Y")</f>
        <v>—</v>
      </c>
      <c r="I103" s="14" t="str">
        <f>_xll.BDH("NBIX US Equity","ARDR_WEI_AVG_COST_OPTIONS_GRANT","FQ2 2020","FQ2 2020","Currency=USD","Period=FQ","BEST_FPERIOD_OVERRIDE=FQ","FILING_STATUS=MR","Sort=A","Dates=H","DateFormat=P","Fill=—","Direction=H","UseDPDF=Y")</f>
        <v>—</v>
      </c>
      <c r="J103" s="14" t="str">
        <f>_xll.BDH("NBIX US Equity","ARDR_WEI_AVG_COST_OPTIONS_GRANT","FQ3 2020","FQ3 2020","Currency=USD","Period=FQ","BEST_FPERIOD_OVERRIDE=FQ","FILING_STATUS=MR","Sort=A","Dates=H","DateFormat=P","Fill=—","Direction=H","UseDPDF=Y")</f>
        <v>—</v>
      </c>
      <c r="K103" s="14">
        <f>_xll.BDH("NBIX US Equity","ARDR_WEI_AVG_COST_OPTIONS_GRANT","FQ4 2020","FQ4 2020","Currency=USD","Period=FQ","BEST_FPERIOD_OVERRIDE=FQ","FILING_STATUS=MR","Sort=A","Dates=H","DateFormat=P","Fill=—","Direction=H","UseDPDF=Y")</f>
        <v>4.7</v>
      </c>
      <c r="L103" s="14" t="str">
        <f>_xll.BDH("NBIX US Equity","ARDR_WEI_AVG_COST_OPTIONS_GRANT","FQ1 2021","FQ1 2021","Currency=USD","Period=FQ","BEST_FPERIOD_OVERRIDE=FQ","FILING_STATUS=MR","Sort=A","Dates=H","DateFormat=P","Fill=—","Direction=H","UseDPDF=Y")</f>
        <v>—</v>
      </c>
      <c r="M103" s="14" t="str">
        <f>_xll.BDH("NBIX US Equity","ARDR_WEI_AVG_COST_OPTIONS_GRANT","FQ2 2021","FQ2 2021","Currency=USD","Period=FQ","BEST_FPERIOD_OVERRIDE=FQ","FILING_STATUS=MR","Sort=A","Dates=H","DateFormat=P","Fill=—","Direction=H","UseDPDF=Y")</f>
        <v>—</v>
      </c>
      <c r="N103" s="14" t="str">
        <f>_xll.BDH("NBIX US Equity","ARDR_WEI_AVG_COST_OPTIONS_GRANT","FQ3 2021","FQ3 2021","Currency=USD","Period=FQ","BEST_FPERIOD_OVERRIDE=FQ","FILING_STATUS=MR","Sort=A","Dates=H","DateFormat=P","Fill=—","Direction=H","UseDPDF=Y")</f>
        <v>—</v>
      </c>
      <c r="O103" s="14" t="str">
        <f>_xll.BDH("NBIX US Equity","ARDR_WEI_AVG_COST_OPTIONS_GRANT","FQ4 2021","FQ4 2021","Currency=USD","Period=FQ","BEST_FPERIOD_OVERRIDE=FQ","FILING_STATUS=MR","Sort=A","Dates=H","DateFormat=P","Fill=—","Direction=H","UseDPDF=Y")</f>
        <v>—</v>
      </c>
      <c r="P103" s="14" t="str">
        <f>_xll.BDH("NBIX US Equity","ARDR_WEI_AVG_COST_OPTIONS_GRANT","FQ1 2022","FQ1 2022","Currency=USD","Period=FQ","BEST_FPERIOD_OVERRIDE=FQ","FILING_STATUS=MR","Sort=A","Dates=H","DateFormat=P","Fill=—","Direction=H","UseDPDF=Y")</f>
        <v>—</v>
      </c>
      <c r="Q103" s="14" t="str">
        <f>_xll.BDH("NBIX US Equity","ARDR_WEI_AVG_COST_OPTIONS_GRANT","FQ2 2022","FQ2 2022","Currency=USD","Period=FQ","BEST_FPERIOD_OVERRIDE=FQ","FILING_STATUS=MR","Sort=A","Dates=H","DateFormat=P","Fill=—","Direction=H","UseDPDF=Y")</f>
        <v>—</v>
      </c>
      <c r="R103" s="14" t="str">
        <f>_xll.BDH("NBIX US Equity","ARDR_WEI_AVG_COST_OPTIONS_GRANT","FQ3 2022","FQ3 2022","Currency=USD","Period=FQ","BEST_FPERIOD_OVERRIDE=FQ","FILING_STATUS=MR","Sort=A","Dates=H","DateFormat=P","Fill=—","Direction=H","UseDPDF=Y")</f>
        <v>—</v>
      </c>
      <c r="S103" s="14" t="str">
        <f>_xll.BDH("NBIX US Equity","ARDR_WEI_AVG_COST_OPTIONS_GRANT","FQ4 2022","FQ4 2022","Currency=USD","Period=FQ","BEST_FPERIOD_OVERRIDE=FQ","FILING_STATUS=MR","Sort=A","Dates=H","DateFormat=P","Fill=—","Direction=H","UseDPDF=Y")</f>
        <v>—</v>
      </c>
      <c r="T103" s="14" t="str">
        <f>_xll.BDH("NBIX US Equity","ARDR_WEI_AVG_COST_OPTIONS_GRANT","FQ1 2023","FQ1 2023","Currency=USD","Period=FQ","BEST_FPERIOD_OVERRIDE=FQ","FILING_STATUS=MR","Sort=A","Dates=H","DateFormat=P","Fill=—","Direction=H","UseDPDF=Y")</f>
        <v>—</v>
      </c>
      <c r="U103" s="14" t="str">
        <f>_xll.BDH("NBIX US Equity","ARDR_WEI_AVG_COST_OPTIONS_GRANT","FQ2 2023","FQ2 2023","Currency=USD","Period=FQ","BEST_FPERIOD_OVERRIDE=FQ","FILING_STATUS=MR","Sort=A","Dates=H","DateFormat=P","Fill=—","Direction=H","UseDPDF=Y")</f>
        <v>—</v>
      </c>
      <c r="V103" s="14" t="str">
        <f>_xll.BDH("NBIX US Equity","ARDR_WEI_AVG_COST_OPTIONS_GRANT","FQ3 2023","FQ3 2023","Currency=USD","Period=FQ","BEST_FPERIOD_OVERRIDE=FQ","FILING_STATUS=MR","Sort=A","Dates=H","DateFormat=P","Fill=—","Direction=H","UseDPDF=Y")</f>
        <v>—</v>
      </c>
      <c r="W103" s="14" t="str">
        <f>_xll.BDH("NBIX US Equity","ARDR_WEI_AVG_COST_OPTIONS_GRANT","FQ4 2023","FQ4 2023","Currency=USD","Period=FQ","BEST_FPERIOD_OVERRIDE=FQ","FILING_STATUS=MR","Sort=A","Dates=H","DateFormat=P","Fill=—","Direction=H","UseDPDF=Y")</f>
        <v>—</v>
      </c>
      <c r="X103" s="14" t="str">
        <f>_xll.BDH("NBIX US Equity","ARDR_WEI_AVG_COST_OPTIONS_GRANT","FQ1 2024","FQ1 2024","Currency=USD","Period=FQ","BEST_FPERIOD_OVERRIDE=FQ","FILING_STATUS=MR","Sort=A","Dates=H","DateFormat=P","Fill=—","Direction=H","UseDPDF=Y")</f>
        <v>—</v>
      </c>
      <c r="Y103" s="14" t="str">
        <f>_xll.BDH("NBIX US Equity","ARDR_WEI_AVG_COST_OPTIONS_GRANT","FQ2 2024","FQ2 2024","Currency=USD","Period=FQ","BEST_FPERIOD_OVERRIDE=FQ","FILING_STATUS=MR","Sort=A","Dates=H","DateFormat=P","Fill=—","Direction=H","UseDPDF=Y")</f>
        <v>—</v>
      </c>
      <c r="Z103" s="14" t="str">
        <f>_xll.BDH("NBIX US Equity","ARDR_WEI_AVG_COST_OPTIONS_GRANT","FQ3 2024","FQ3 2024","Currency=USD","Period=FQ","BEST_FPERIOD_OVERRIDE=FQ","FILING_STATUS=MR","Sort=A","Dates=H","DateFormat=P","Fill=—","Direction=H","UseDPDF=Y")</f>
        <v>—</v>
      </c>
      <c r="AA103" s="14" t="str">
        <f>_xll.BDH("NBIX US Equity","ARDR_WEI_AVG_COST_OPTIONS_GRANT","FQ4 2024","FQ4 2024","Currency=USD","Period=FQ","BEST_FPERIOD_OVERRIDE=FQ","FILING_STATUS=MR","Sort=A","Dates=H","DateFormat=P","Fill=—","Direction=H","UseDPDF=Y")</f>
        <v>—</v>
      </c>
    </row>
    <row r="104" spans="1:27" x14ac:dyDescent="0.25">
      <c r="A104" s="10" t="s">
        <v>980</v>
      </c>
      <c r="B104" s="10" t="s">
        <v>981</v>
      </c>
      <c r="C104" s="14">
        <f>_xll.BDH("NBIX US Equity","ARDR_STOCK_OPTION_VAL_RFR","FQ4 2018","FQ4 2018","Currency=USD","Period=FQ","BEST_FPERIOD_OVERRIDE=FQ","FILING_STATUS=MR","Sort=A","Dates=H","DateFormat=P","Fill=—","Direction=H","UseDPDF=Y")</f>
        <v>2.5</v>
      </c>
      <c r="D104" s="14" t="str">
        <f>_xll.BDH("NBIX US Equity","ARDR_STOCK_OPTION_VAL_RFR","FQ1 2019","FQ1 2019","Currency=USD","Period=FQ","BEST_FPERIOD_OVERRIDE=FQ","FILING_STATUS=MR","Sort=A","Dates=H","DateFormat=P","Fill=—","Direction=H","UseDPDF=Y")</f>
        <v>—</v>
      </c>
      <c r="E104" s="14" t="str">
        <f>_xll.BDH("NBIX US Equity","ARDR_STOCK_OPTION_VAL_RFR","FQ2 2019","FQ2 2019","Currency=USD","Period=FQ","BEST_FPERIOD_OVERRIDE=FQ","FILING_STATUS=MR","Sort=A","Dates=H","DateFormat=P","Fill=—","Direction=H","UseDPDF=Y")</f>
        <v>—</v>
      </c>
      <c r="F104" s="14" t="str">
        <f>_xll.BDH("NBIX US Equity","ARDR_STOCK_OPTION_VAL_RFR","FQ3 2019","FQ3 2019","Currency=USD","Period=FQ","BEST_FPERIOD_OVERRIDE=FQ","FILING_STATUS=MR","Sort=A","Dates=H","DateFormat=P","Fill=—","Direction=H","UseDPDF=Y")</f>
        <v>—</v>
      </c>
      <c r="G104" s="14">
        <f>_xll.BDH("NBIX US Equity","ARDR_STOCK_OPTION_VAL_RFR","FQ4 2019","FQ4 2019","Currency=USD","Period=FQ","BEST_FPERIOD_OVERRIDE=FQ","FILING_STATUS=MR","Sort=A","Dates=H","DateFormat=P","Fill=—","Direction=H","UseDPDF=Y")</f>
        <v>2.4</v>
      </c>
      <c r="H104" s="14" t="str">
        <f>_xll.BDH("NBIX US Equity","ARDR_STOCK_OPTION_VAL_RFR","FQ1 2020","FQ1 2020","Currency=USD","Period=FQ","BEST_FPERIOD_OVERRIDE=FQ","FILING_STATUS=MR","Sort=A","Dates=H","DateFormat=P","Fill=—","Direction=H","UseDPDF=Y")</f>
        <v>—</v>
      </c>
      <c r="I104" s="14" t="str">
        <f>_xll.BDH("NBIX US Equity","ARDR_STOCK_OPTION_VAL_RFR","FQ2 2020","FQ2 2020","Currency=USD","Period=FQ","BEST_FPERIOD_OVERRIDE=FQ","FILING_STATUS=MR","Sort=A","Dates=H","DateFormat=P","Fill=—","Direction=H","UseDPDF=Y")</f>
        <v>—</v>
      </c>
      <c r="J104" s="14" t="str">
        <f>_xll.BDH("NBIX US Equity","ARDR_STOCK_OPTION_VAL_RFR","FQ3 2020","FQ3 2020","Currency=USD","Period=FQ","BEST_FPERIOD_OVERRIDE=FQ","FILING_STATUS=MR","Sort=A","Dates=H","DateFormat=P","Fill=—","Direction=H","UseDPDF=Y")</f>
        <v>—</v>
      </c>
      <c r="K104" s="14">
        <f>_xll.BDH("NBIX US Equity","ARDR_STOCK_OPTION_VAL_RFR","FQ4 2020","FQ4 2020","Currency=USD","Period=FQ","BEST_FPERIOD_OVERRIDE=FQ","FILING_STATUS=MR","Sort=A","Dates=H","DateFormat=P","Fill=—","Direction=H","UseDPDF=Y")</f>
        <v>1.4</v>
      </c>
      <c r="L104" s="14" t="str">
        <f>_xll.BDH("NBIX US Equity","ARDR_STOCK_OPTION_VAL_RFR","FQ1 2021","FQ1 2021","Currency=USD","Period=FQ","BEST_FPERIOD_OVERRIDE=FQ","FILING_STATUS=MR","Sort=A","Dates=H","DateFormat=P","Fill=—","Direction=H","UseDPDF=Y")</f>
        <v>—</v>
      </c>
      <c r="M104" s="14" t="str">
        <f>_xll.BDH("NBIX US Equity","ARDR_STOCK_OPTION_VAL_RFR","FQ2 2021","FQ2 2021","Currency=USD","Period=FQ","BEST_FPERIOD_OVERRIDE=FQ","FILING_STATUS=MR","Sort=A","Dates=H","DateFormat=P","Fill=—","Direction=H","UseDPDF=Y")</f>
        <v>—</v>
      </c>
      <c r="N104" s="14" t="str">
        <f>_xll.BDH("NBIX US Equity","ARDR_STOCK_OPTION_VAL_RFR","FQ3 2021","FQ3 2021","Currency=USD","Period=FQ","BEST_FPERIOD_OVERRIDE=FQ","FILING_STATUS=MR","Sort=A","Dates=H","DateFormat=P","Fill=—","Direction=H","UseDPDF=Y")</f>
        <v>—</v>
      </c>
      <c r="O104" s="14">
        <f>_xll.BDH("NBIX US Equity","ARDR_STOCK_OPTION_VAL_RFR","FQ4 2021","FQ4 2021","Currency=USD","Period=FQ","BEST_FPERIOD_OVERRIDE=FQ","FILING_STATUS=MR","Sort=A","Dates=H","DateFormat=P","Fill=—","Direction=H","UseDPDF=Y")</f>
        <v>0.6</v>
      </c>
      <c r="P104" s="14" t="str">
        <f>_xll.BDH("NBIX US Equity","ARDR_STOCK_OPTION_VAL_RFR","FQ1 2022","FQ1 2022","Currency=USD","Period=FQ","BEST_FPERIOD_OVERRIDE=FQ","FILING_STATUS=MR","Sort=A","Dates=H","DateFormat=P","Fill=—","Direction=H","UseDPDF=Y")</f>
        <v>—</v>
      </c>
      <c r="Q104" s="14" t="str">
        <f>_xll.BDH("NBIX US Equity","ARDR_STOCK_OPTION_VAL_RFR","FQ2 2022","FQ2 2022","Currency=USD","Period=FQ","BEST_FPERIOD_OVERRIDE=FQ","FILING_STATUS=MR","Sort=A","Dates=H","DateFormat=P","Fill=—","Direction=H","UseDPDF=Y")</f>
        <v>—</v>
      </c>
      <c r="R104" s="14" t="str">
        <f>_xll.BDH("NBIX US Equity","ARDR_STOCK_OPTION_VAL_RFR","FQ3 2022","FQ3 2022","Currency=USD","Period=FQ","BEST_FPERIOD_OVERRIDE=FQ","FILING_STATUS=MR","Sort=A","Dates=H","DateFormat=P","Fill=—","Direction=H","UseDPDF=Y")</f>
        <v>—</v>
      </c>
      <c r="S104" s="14">
        <f>_xll.BDH("NBIX US Equity","ARDR_STOCK_OPTION_VAL_RFR","FQ4 2022","FQ4 2022","Currency=USD","Period=FQ","BEST_FPERIOD_OVERRIDE=FQ","FILING_STATUS=MR","Sort=A","Dates=H","DateFormat=P","Fill=—","Direction=H","UseDPDF=Y")</f>
        <v>1.8</v>
      </c>
      <c r="T104" s="14" t="str">
        <f>_xll.BDH("NBIX US Equity","ARDR_STOCK_OPTION_VAL_RFR","FQ1 2023","FQ1 2023","Currency=USD","Period=FQ","BEST_FPERIOD_OVERRIDE=FQ","FILING_STATUS=MR","Sort=A","Dates=H","DateFormat=P","Fill=—","Direction=H","UseDPDF=Y")</f>
        <v>—</v>
      </c>
      <c r="U104" s="14" t="str">
        <f>_xll.BDH("NBIX US Equity","ARDR_STOCK_OPTION_VAL_RFR","FQ2 2023","FQ2 2023","Currency=USD","Period=FQ","BEST_FPERIOD_OVERRIDE=FQ","FILING_STATUS=MR","Sort=A","Dates=H","DateFormat=P","Fill=—","Direction=H","UseDPDF=Y")</f>
        <v>—</v>
      </c>
      <c r="V104" s="14" t="str">
        <f>_xll.BDH("NBIX US Equity","ARDR_STOCK_OPTION_VAL_RFR","FQ3 2023","FQ3 2023","Currency=USD","Period=FQ","BEST_FPERIOD_OVERRIDE=FQ","FILING_STATUS=MR","Sort=A","Dates=H","DateFormat=P","Fill=—","Direction=H","UseDPDF=Y")</f>
        <v>—</v>
      </c>
      <c r="W104" s="14">
        <f>_xll.BDH("NBIX US Equity","ARDR_STOCK_OPTION_VAL_RFR","FQ4 2023","FQ4 2023","Currency=USD","Period=FQ","BEST_FPERIOD_OVERRIDE=FQ","FILING_STATUS=MR","Sort=A","Dates=H","DateFormat=P","Fill=—","Direction=H","UseDPDF=Y")</f>
        <v>3.9</v>
      </c>
      <c r="X104" s="14" t="str">
        <f>_xll.BDH("NBIX US Equity","ARDR_STOCK_OPTION_VAL_RFR","FQ1 2024","FQ1 2024","Currency=USD","Period=FQ","BEST_FPERIOD_OVERRIDE=FQ","FILING_STATUS=MR","Sort=A","Dates=H","DateFormat=P","Fill=—","Direction=H","UseDPDF=Y")</f>
        <v>—</v>
      </c>
      <c r="Y104" s="14" t="str">
        <f>_xll.BDH("NBIX US Equity","ARDR_STOCK_OPTION_VAL_RFR","FQ2 2024","FQ2 2024","Currency=USD","Period=FQ","BEST_FPERIOD_OVERRIDE=FQ","FILING_STATUS=MR","Sort=A","Dates=H","DateFormat=P","Fill=—","Direction=H","UseDPDF=Y")</f>
        <v>—</v>
      </c>
      <c r="Z104" s="14" t="str">
        <f>_xll.BDH("NBIX US Equity","ARDR_STOCK_OPTION_VAL_RFR","FQ3 2024","FQ3 2024","Currency=USD","Period=FQ","BEST_FPERIOD_OVERRIDE=FQ","FILING_STATUS=MR","Sort=A","Dates=H","DateFormat=P","Fill=—","Direction=H","UseDPDF=Y")</f>
        <v>—</v>
      </c>
      <c r="AA104" s="14">
        <f>_xll.BDH("NBIX US Equity","ARDR_STOCK_OPTION_VAL_RFR","FQ4 2024","FQ4 2024","Currency=USD","Period=FQ","BEST_FPERIOD_OVERRIDE=FQ","FILING_STATUS=MR","Sort=A","Dates=H","DateFormat=P","Fill=—","Direction=H","UseDPDF=Y")</f>
        <v>4.3</v>
      </c>
    </row>
    <row r="105" spans="1:27" x14ac:dyDescent="0.25">
      <c r="A105" s="10" t="s">
        <v>982</v>
      </c>
      <c r="B105" s="10" t="s">
        <v>983</v>
      </c>
      <c r="C105" s="14">
        <f>_xll.BDH("NBIX US Equity","ARDR_STOCK_OPTION_VAL_EXP_LIFE","FQ4 2018","FQ4 2018","Currency=USD","Period=FQ","BEST_FPERIOD_OVERRIDE=FQ","FILING_STATUS=MR","Sort=A","Dates=H","DateFormat=P","Fill=—","Direction=H","UseDPDF=Y")</f>
        <v>4.7</v>
      </c>
      <c r="D105" s="14" t="str">
        <f>_xll.BDH("NBIX US Equity","ARDR_STOCK_OPTION_VAL_EXP_LIFE","FQ1 2019","FQ1 2019","Currency=USD","Period=FQ","BEST_FPERIOD_OVERRIDE=FQ","FILING_STATUS=MR","Sort=A","Dates=H","DateFormat=P","Fill=—","Direction=H","UseDPDF=Y")</f>
        <v>—</v>
      </c>
      <c r="E105" s="14" t="str">
        <f>_xll.BDH("NBIX US Equity","ARDR_STOCK_OPTION_VAL_EXP_LIFE","FQ2 2019","FQ2 2019","Currency=USD","Period=FQ","BEST_FPERIOD_OVERRIDE=FQ","FILING_STATUS=MR","Sort=A","Dates=H","DateFormat=P","Fill=—","Direction=H","UseDPDF=Y")</f>
        <v>—</v>
      </c>
      <c r="F105" s="14" t="str">
        <f>_xll.BDH("NBIX US Equity","ARDR_STOCK_OPTION_VAL_EXP_LIFE","FQ3 2019","FQ3 2019","Currency=USD","Period=FQ","BEST_FPERIOD_OVERRIDE=FQ","FILING_STATUS=MR","Sort=A","Dates=H","DateFormat=P","Fill=—","Direction=H","UseDPDF=Y")</f>
        <v>—</v>
      </c>
      <c r="G105" s="14">
        <f>_xll.BDH("NBIX US Equity","ARDR_STOCK_OPTION_VAL_EXP_LIFE","FQ4 2019","FQ4 2019","Currency=USD","Period=FQ","BEST_FPERIOD_OVERRIDE=FQ","FILING_STATUS=MR","Sort=A","Dates=H","DateFormat=P","Fill=—","Direction=H","UseDPDF=Y")</f>
        <v>5.4</v>
      </c>
      <c r="H105" s="14" t="str">
        <f>_xll.BDH("NBIX US Equity","ARDR_STOCK_OPTION_VAL_EXP_LIFE","FQ1 2020","FQ1 2020","Currency=USD","Period=FQ","BEST_FPERIOD_OVERRIDE=FQ","FILING_STATUS=MR","Sort=A","Dates=H","DateFormat=P","Fill=—","Direction=H","UseDPDF=Y")</f>
        <v>—</v>
      </c>
      <c r="I105" s="14" t="str">
        <f>_xll.BDH("NBIX US Equity","ARDR_STOCK_OPTION_VAL_EXP_LIFE","FQ2 2020","FQ2 2020","Currency=USD","Period=FQ","BEST_FPERIOD_OVERRIDE=FQ","FILING_STATUS=MR","Sort=A","Dates=H","DateFormat=P","Fill=—","Direction=H","UseDPDF=Y")</f>
        <v>—</v>
      </c>
      <c r="J105" s="14" t="str">
        <f>_xll.BDH("NBIX US Equity","ARDR_STOCK_OPTION_VAL_EXP_LIFE","FQ3 2020","FQ3 2020","Currency=USD","Period=FQ","BEST_FPERIOD_OVERRIDE=FQ","FILING_STATUS=MR","Sort=A","Dates=H","DateFormat=P","Fill=—","Direction=H","UseDPDF=Y")</f>
        <v>—</v>
      </c>
      <c r="K105" s="14">
        <f>_xll.BDH("NBIX US Equity","ARDR_STOCK_OPTION_VAL_EXP_LIFE","FQ4 2020","FQ4 2020","Currency=USD","Period=FQ","BEST_FPERIOD_OVERRIDE=FQ","FILING_STATUS=MR","Sort=A","Dates=H","DateFormat=P","Fill=—","Direction=H","UseDPDF=Y")</f>
        <v>5.3</v>
      </c>
      <c r="L105" s="14" t="str">
        <f>_xll.BDH("NBIX US Equity","ARDR_STOCK_OPTION_VAL_EXP_LIFE","FQ1 2021","FQ1 2021","Currency=USD","Period=FQ","BEST_FPERIOD_OVERRIDE=FQ","FILING_STATUS=MR","Sort=A","Dates=H","DateFormat=P","Fill=—","Direction=H","UseDPDF=Y")</f>
        <v>—</v>
      </c>
      <c r="M105" s="14" t="str">
        <f>_xll.BDH("NBIX US Equity","ARDR_STOCK_OPTION_VAL_EXP_LIFE","FQ2 2021","FQ2 2021","Currency=USD","Period=FQ","BEST_FPERIOD_OVERRIDE=FQ","FILING_STATUS=MR","Sort=A","Dates=H","DateFormat=P","Fill=—","Direction=H","UseDPDF=Y")</f>
        <v>—</v>
      </c>
      <c r="N105" s="14" t="str">
        <f>_xll.BDH("NBIX US Equity","ARDR_STOCK_OPTION_VAL_EXP_LIFE","FQ3 2021","FQ3 2021","Currency=USD","Period=FQ","BEST_FPERIOD_OVERRIDE=FQ","FILING_STATUS=MR","Sort=A","Dates=H","DateFormat=P","Fill=—","Direction=H","UseDPDF=Y")</f>
        <v>—</v>
      </c>
      <c r="O105" s="14">
        <f>_xll.BDH("NBIX US Equity","ARDR_STOCK_OPTION_VAL_EXP_LIFE","FQ4 2021","FQ4 2021","Currency=USD","Period=FQ","BEST_FPERIOD_OVERRIDE=FQ","FILING_STATUS=MR","Sort=A","Dates=H","DateFormat=P","Fill=—","Direction=H","UseDPDF=Y")</f>
        <v>5.2</v>
      </c>
      <c r="P105" s="14" t="str">
        <f>_xll.BDH("NBIX US Equity","ARDR_STOCK_OPTION_VAL_EXP_LIFE","FQ1 2022","FQ1 2022","Currency=USD","Period=FQ","BEST_FPERIOD_OVERRIDE=FQ","FILING_STATUS=MR","Sort=A","Dates=H","DateFormat=P","Fill=—","Direction=H","UseDPDF=Y")</f>
        <v>—</v>
      </c>
      <c r="Q105" s="14" t="str">
        <f>_xll.BDH("NBIX US Equity","ARDR_STOCK_OPTION_VAL_EXP_LIFE","FQ2 2022","FQ2 2022","Currency=USD","Period=FQ","BEST_FPERIOD_OVERRIDE=FQ","FILING_STATUS=MR","Sort=A","Dates=H","DateFormat=P","Fill=—","Direction=H","UseDPDF=Y")</f>
        <v>—</v>
      </c>
      <c r="R105" s="14" t="str">
        <f>_xll.BDH("NBIX US Equity","ARDR_STOCK_OPTION_VAL_EXP_LIFE","FQ3 2022","FQ3 2022","Currency=USD","Period=FQ","BEST_FPERIOD_OVERRIDE=FQ","FILING_STATUS=MR","Sort=A","Dates=H","DateFormat=P","Fill=—","Direction=H","UseDPDF=Y")</f>
        <v>—</v>
      </c>
      <c r="S105" s="14">
        <f>_xll.BDH("NBIX US Equity","ARDR_STOCK_OPTION_VAL_EXP_LIFE","FQ4 2022","FQ4 2022","Currency=USD","Period=FQ","BEST_FPERIOD_OVERRIDE=FQ","FILING_STATUS=MR","Sort=A","Dates=H","DateFormat=P","Fill=—","Direction=H","UseDPDF=Y")</f>
        <v>5</v>
      </c>
      <c r="T105" s="14" t="str">
        <f>_xll.BDH("NBIX US Equity","ARDR_STOCK_OPTION_VAL_EXP_LIFE","FQ1 2023","FQ1 2023","Currency=USD","Period=FQ","BEST_FPERIOD_OVERRIDE=FQ","FILING_STATUS=MR","Sort=A","Dates=H","DateFormat=P","Fill=—","Direction=H","UseDPDF=Y")</f>
        <v>—</v>
      </c>
      <c r="U105" s="14" t="str">
        <f>_xll.BDH("NBIX US Equity","ARDR_STOCK_OPTION_VAL_EXP_LIFE","FQ2 2023","FQ2 2023","Currency=USD","Period=FQ","BEST_FPERIOD_OVERRIDE=FQ","FILING_STATUS=MR","Sort=A","Dates=H","DateFormat=P","Fill=—","Direction=H","UseDPDF=Y")</f>
        <v>—</v>
      </c>
      <c r="V105" s="14" t="str">
        <f>_xll.BDH("NBIX US Equity","ARDR_STOCK_OPTION_VAL_EXP_LIFE","FQ3 2023","FQ3 2023","Currency=USD","Period=FQ","BEST_FPERIOD_OVERRIDE=FQ","FILING_STATUS=MR","Sort=A","Dates=H","DateFormat=P","Fill=—","Direction=H","UseDPDF=Y")</f>
        <v>—</v>
      </c>
      <c r="W105" s="14">
        <f>_xll.BDH("NBIX US Equity","ARDR_STOCK_OPTION_VAL_EXP_LIFE","FQ4 2023","FQ4 2023","Currency=USD","Period=FQ","BEST_FPERIOD_OVERRIDE=FQ","FILING_STATUS=MR","Sort=A","Dates=H","DateFormat=P","Fill=—","Direction=H","UseDPDF=Y")</f>
        <v>5.5</v>
      </c>
      <c r="X105" s="14" t="str">
        <f>_xll.BDH("NBIX US Equity","ARDR_STOCK_OPTION_VAL_EXP_LIFE","FQ1 2024","FQ1 2024","Currency=USD","Period=FQ","BEST_FPERIOD_OVERRIDE=FQ","FILING_STATUS=MR","Sort=A","Dates=H","DateFormat=P","Fill=—","Direction=H","UseDPDF=Y")</f>
        <v>—</v>
      </c>
      <c r="Y105" s="14" t="str">
        <f>_xll.BDH("NBIX US Equity","ARDR_STOCK_OPTION_VAL_EXP_LIFE","FQ2 2024","FQ2 2024","Currency=USD","Period=FQ","BEST_FPERIOD_OVERRIDE=FQ","FILING_STATUS=MR","Sort=A","Dates=H","DateFormat=P","Fill=—","Direction=H","UseDPDF=Y")</f>
        <v>—</v>
      </c>
      <c r="Z105" s="14" t="str">
        <f>_xll.BDH("NBIX US Equity","ARDR_STOCK_OPTION_VAL_EXP_LIFE","FQ3 2024","FQ3 2024","Currency=USD","Period=FQ","BEST_FPERIOD_OVERRIDE=FQ","FILING_STATUS=MR","Sort=A","Dates=H","DateFormat=P","Fill=—","Direction=H","UseDPDF=Y")</f>
        <v>—</v>
      </c>
      <c r="AA105" s="14">
        <f>_xll.BDH("NBIX US Equity","ARDR_STOCK_OPTION_VAL_EXP_LIFE","FQ4 2024","FQ4 2024","Currency=USD","Period=FQ","BEST_FPERIOD_OVERRIDE=FQ","FILING_STATUS=MR","Sort=A","Dates=H","DateFormat=P","Fill=—","Direction=H","UseDPDF=Y")</f>
        <v>5.5</v>
      </c>
    </row>
    <row r="106" spans="1:27" x14ac:dyDescent="0.25">
      <c r="A106" s="10" t="s">
        <v>984</v>
      </c>
      <c r="B106" s="10" t="s">
        <v>985</v>
      </c>
      <c r="C106" s="14">
        <f>_xll.BDH("NBIX US Equity","ARDR_STOCK_OPTION_VAL_EXP_VOL","FQ4 2018","FQ4 2018","Currency=USD","Period=FQ","BEST_FPERIOD_OVERRIDE=FQ","FILING_STATUS=MR","Sort=A","Dates=H","DateFormat=P","Fill=—","Direction=H","UseDPDF=Y")</f>
        <v>59.5</v>
      </c>
      <c r="D106" s="14" t="str">
        <f>_xll.BDH("NBIX US Equity","ARDR_STOCK_OPTION_VAL_EXP_VOL","FQ1 2019","FQ1 2019","Currency=USD","Period=FQ","BEST_FPERIOD_OVERRIDE=FQ","FILING_STATUS=MR","Sort=A","Dates=H","DateFormat=P","Fill=—","Direction=H","UseDPDF=Y")</f>
        <v>—</v>
      </c>
      <c r="E106" s="14" t="str">
        <f>_xll.BDH("NBIX US Equity","ARDR_STOCK_OPTION_VAL_EXP_VOL","FQ2 2019","FQ2 2019","Currency=USD","Period=FQ","BEST_FPERIOD_OVERRIDE=FQ","FILING_STATUS=MR","Sort=A","Dates=H","DateFormat=P","Fill=—","Direction=H","UseDPDF=Y")</f>
        <v>—</v>
      </c>
      <c r="F106" s="14" t="str">
        <f>_xll.BDH("NBIX US Equity","ARDR_STOCK_OPTION_VAL_EXP_VOL","FQ3 2019","FQ3 2019","Currency=USD","Period=FQ","BEST_FPERIOD_OVERRIDE=FQ","FILING_STATUS=MR","Sort=A","Dates=H","DateFormat=P","Fill=—","Direction=H","UseDPDF=Y")</f>
        <v>—</v>
      </c>
      <c r="G106" s="14">
        <f>_xll.BDH("NBIX US Equity","ARDR_STOCK_OPTION_VAL_EXP_VOL","FQ4 2019","FQ4 2019","Currency=USD","Period=FQ","BEST_FPERIOD_OVERRIDE=FQ","FILING_STATUS=MR","Sort=A","Dates=H","DateFormat=P","Fill=—","Direction=H","UseDPDF=Y")</f>
        <v>54.8</v>
      </c>
      <c r="H106" s="14" t="str">
        <f>_xll.BDH("NBIX US Equity","ARDR_STOCK_OPTION_VAL_EXP_VOL","FQ1 2020","FQ1 2020","Currency=USD","Period=FQ","BEST_FPERIOD_OVERRIDE=FQ","FILING_STATUS=MR","Sort=A","Dates=H","DateFormat=P","Fill=—","Direction=H","UseDPDF=Y")</f>
        <v>—</v>
      </c>
      <c r="I106" s="14" t="str">
        <f>_xll.BDH("NBIX US Equity","ARDR_STOCK_OPTION_VAL_EXP_VOL","FQ2 2020","FQ2 2020","Currency=USD","Period=FQ","BEST_FPERIOD_OVERRIDE=FQ","FILING_STATUS=MR","Sort=A","Dates=H","DateFormat=P","Fill=—","Direction=H","UseDPDF=Y")</f>
        <v>—</v>
      </c>
      <c r="J106" s="14" t="str">
        <f>_xll.BDH("NBIX US Equity","ARDR_STOCK_OPTION_VAL_EXP_VOL","FQ3 2020","FQ3 2020","Currency=USD","Period=FQ","BEST_FPERIOD_OVERRIDE=FQ","FILING_STATUS=MR","Sort=A","Dates=H","DateFormat=P","Fill=—","Direction=H","UseDPDF=Y")</f>
        <v>—</v>
      </c>
      <c r="K106" s="14">
        <f>_xll.BDH("NBIX US Equity","ARDR_STOCK_OPTION_VAL_EXP_VOL","FQ4 2020","FQ4 2020","Currency=USD","Period=FQ","BEST_FPERIOD_OVERRIDE=FQ","FILING_STATUS=MR","Sort=A","Dates=H","DateFormat=P","Fill=—","Direction=H","UseDPDF=Y")</f>
        <v>48.5</v>
      </c>
      <c r="L106" s="14" t="str">
        <f>_xll.BDH("NBIX US Equity","ARDR_STOCK_OPTION_VAL_EXP_VOL","FQ1 2021","FQ1 2021","Currency=USD","Period=FQ","BEST_FPERIOD_OVERRIDE=FQ","FILING_STATUS=MR","Sort=A","Dates=H","DateFormat=P","Fill=—","Direction=H","UseDPDF=Y")</f>
        <v>—</v>
      </c>
      <c r="M106" s="14" t="str">
        <f>_xll.BDH("NBIX US Equity","ARDR_STOCK_OPTION_VAL_EXP_VOL","FQ2 2021","FQ2 2021","Currency=USD","Period=FQ","BEST_FPERIOD_OVERRIDE=FQ","FILING_STATUS=MR","Sort=A","Dates=H","DateFormat=P","Fill=—","Direction=H","UseDPDF=Y")</f>
        <v>—</v>
      </c>
      <c r="N106" s="14" t="str">
        <f>_xll.BDH("NBIX US Equity","ARDR_STOCK_OPTION_VAL_EXP_VOL","FQ3 2021","FQ3 2021","Currency=USD","Period=FQ","BEST_FPERIOD_OVERRIDE=FQ","FILING_STATUS=MR","Sort=A","Dates=H","DateFormat=P","Fill=—","Direction=H","UseDPDF=Y")</f>
        <v>—</v>
      </c>
      <c r="O106" s="14">
        <f>_xll.BDH("NBIX US Equity","ARDR_STOCK_OPTION_VAL_EXP_VOL","FQ4 2021","FQ4 2021","Currency=USD","Period=FQ","BEST_FPERIOD_OVERRIDE=FQ","FILING_STATUS=MR","Sort=A","Dates=H","DateFormat=P","Fill=—","Direction=H","UseDPDF=Y")</f>
        <v>45.9</v>
      </c>
      <c r="P106" s="14" t="str">
        <f>_xll.BDH("NBIX US Equity","ARDR_STOCK_OPTION_VAL_EXP_VOL","FQ1 2022","FQ1 2022","Currency=USD","Period=FQ","BEST_FPERIOD_OVERRIDE=FQ","FILING_STATUS=MR","Sort=A","Dates=H","DateFormat=P","Fill=—","Direction=H","UseDPDF=Y")</f>
        <v>—</v>
      </c>
      <c r="Q106" s="14" t="str">
        <f>_xll.BDH("NBIX US Equity","ARDR_STOCK_OPTION_VAL_EXP_VOL","FQ2 2022","FQ2 2022","Currency=USD","Period=FQ","BEST_FPERIOD_OVERRIDE=FQ","FILING_STATUS=MR","Sort=A","Dates=H","DateFormat=P","Fill=—","Direction=H","UseDPDF=Y")</f>
        <v>—</v>
      </c>
      <c r="R106" s="14" t="str">
        <f>_xll.BDH("NBIX US Equity","ARDR_STOCK_OPTION_VAL_EXP_VOL","FQ3 2022","FQ3 2022","Currency=USD","Period=FQ","BEST_FPERIOD_OVERRIDE=FQ","FILING_STATUS=MR","Sort=A","Dates=H","DateFormat=P","Fill=—","Direction=H","UseDPDF=Y")</f>
        <v>—</v>
      </c>
      <c r="S106" s="14">
        <f>_xll.BDH("NBIX US Equity","ARDR_STOCK_OPTION_VAL_EXP_VOL","FQ4 2022","FQ4 2022","Currency=USD","Period=FQ","BEST_FPERIOD_OVERRIDE=FQ","FILING_STATUS=MR","Sort=A","Dates=H","DateFormat=P","Fill=—","Direction=H","UseDPDF=Y")</f>
        <v>42.6</v>
      </c>
      <c r="T106" s="14" t="str">
        <f>_xll.BDH("NBIX US Equity","ARDR_STOCK_OPTION_VAL_EXP_VOL","FQ1 2023","FQ1 2023","Currency=USD","Period=FQ","BEST_FPERIOD_OVERRIDE=FQ","FILING_STATUS=MR","Sort=A","Dates=H","DateFormat=P","Fill=—","Direction=H","UseDPDF=Y")</f>
        <v>—</v>
      </c>
      <c r="U106" s="14" t="str">
        <f>_xll.BDH("NBIX US Equity","ARDR_STOCK_OPTION_VAL_EXP_VOL","FQ2 2023","FQ2 2023","Currency=USD","Period=FQ","BEST_FPERIOD_OVERRIDE=FQ","FILING_STATUS=MR","Sort=A","Dates=H","DateFormat=P","Fill=—","Direction=H","UseDPDF=Y")</f>
        <v>—</v>
      </c>
      <c r="V106" s="14" t="str">
        <f>_xll.BDH("NBIX US Equity","ARDR_STOCK_OPTION_VAL_EXP_VOL","FQ3 2023","FQ3 2023","Currency=USD","Period=FQ","BEST_FPERIOD_OVERRIDE=FQ","FILING_STATUS=MR","Sort=A","Dates=H","DateFormat=P","Fill=—","Direction=H","UseDPDF=Y")</f>
        <v>—</v>
      </c>
      <c r="W106" s="14">
        <f>_xll.BDH("NBIX US Equity","ARDR_STOCK_OPTION_VAL_EXP_VOL","FQ4 2023","FQ4 2023","Currency=USD","Period=FQ","BEST_FPERIOD_OVERRIDE=FQ","FILING_STATUS=MR","Sort=A","Dates=H","DateFormat=P","Fill=—","Direction=H","UseDPDF=Y")</f>
        <v>40.799999999999997</v>
      </c>
      <c r="X106" s="14" t="str">
        <f>_xll.BDH("NBIX US Equity","ARDR_STOCK_OPTION_VAL_EXP_VOL","FQ1 2024","FQ1 2024","Currency=USD","Period=FQ","BEST_FPERIOD_OVERRIDE=FQ","FILING_STATUS=MR","Sort=A","Dates=H","DateFormat=P","Fill=—","Direction=H","UseDPDF=Y")</f>
        <v>—</v>
      </c>
      <c r="Y106" s="14" t="str">
        <f>_xll.BDH("NBIX US Equity","ARDR_STOCK_OPTION_VAL_EXP_VOL","FQ2 2024","FQ2 2024","Currency=USD","Period=FQ","BEST_FPERIOD_OVERRIDE=FQ","FILING_STATUS=MR","Sort=A","Dates=H","DateFormat=P","Fill=—","Direction=H","UseDPDF=Y")</f>
        <v>—</v>
      </c>
      <c r="Z106" s="14" t="str">
        <f>_xll.BDH("NBIX US Equity","ARDR_STOCK_OPTION_VAL_EXP_VOL","FQ3 2024","FQ3 2024","Currency=USD","Period=FQ","BEST_FPERIOD_OVERRIDE=FQ","FILING_STATUS=MR","Sort=A","Dates=H","DateFormat=P","Fill=—","Direction=H","UseDPDF=Y")</f>
        <v>—</v>
      </c>
      <c r="AA106" s="14">
        <f>_xll.BDH("NBIX US Equity","ARDR_STOCK_OPTION_VAL_EXP_VOL","FQ4 2024","FQ4 2024","Currency=USD","Period=FQ","BEST_FPERIOD_OVERRIDE=FQ","FILING_STATUS=MR","Sort=A","Dates=H","DateFormat=P","Fill=—","Direction=H","UseDPDF=Y")</f>
        <v>37.200000000000003</v>
      </c>
    </row>
    <row r="107" spans="1:27" x14ac:dyDescent="0.25">
      <c r="A107" s="10" t="s">
        <v>986</v>
      </c>
      <c r="B107" s="10" t="s">
        <v>987</v>
      </c>
      <c r="C107" s="14">
        <f>_xll.BDH("NBIX US Equity","ARDR_STOCK_OPTION_VAL_DVD_YLD","FQ4 2018","FQ4 2018","Currency=USD","Period=FQ","BEST_FPERIOD_OVERRIDE=FQ","FILING_STATUS=MR","Sort=A","Dates=H","DateFormat=P","Fill=—","Direction=H","UseDPDF=Y")</f>
        <v>0</v>
      </c>
      <c r="D107" s="14" t="str">
        <f>_xll.BDH("NBIX US Equity","ARDR_STOCK_OPTION_VAL_DVD_YLD","FQ1 2019","FQ1 2019","Currency=USD","Period=FQ","BEST_FPERIOD_OVERRIDE=FQ","FILING_STATUS=MR","Sort=A","Dates=H","DateFormat=P","Fill=—","Direction=H","UseDPDF=Y")</f>
        <v>—</v>
      </c>
      <c r="E107" s="14" t="str">
        <f>_xll.BDH("NBIX US Equity","ARDR_STOCK_OPTION_VAL_DVD_YLD","FQ2 2019","FQ2 2019","Currency=USD","Period=FQ","BEST_FPERIOD_OVERRIDE=FQ","FILING_STATUS=MR","Sort=A","Dates=H","DateFormat=P","Fill=—","Direction=H","UseDPDF=Y")</f>
        <v>—</v>
      </c>
      <c r="F107" s="14" t="str">
        <f>_xll.BDH("NBIX US Equity","ARDR_STOCK_OPTION_VAL_DVD_YLD","FQ3 2019","FQ3 2019","Currency=USD","Period=FQ","BEST_FPERIOD_OVERRIDE=FQ","FILING_STATUS=MR","Sort=A","Dates=H","DateFormat=P","Fill=—","Direction=H","UseDPDF=Y")</f>
        <v>—</v>
      </c>
      <c r="G107" s="14">
        <f>_xll.BDH("NBIX US Equity","ARDR_STOCK_OPTION_VAL_DVD_YLD","FQ4 2019","FQ4 2019","Currency=USD","Period=FQ","BEST_FPERIOD_OVERRIDE=FQ","FILING_STATUS=MR","Sort=A","Dates=H","DateFormat=P","Fill=—","Direction=H","UseDPDF=Y")</f>
        <v>0</v>
      </c>
      <c r="H107" s="14" t="str">
        <f>_xll.BDH("NBIX US Equity","ARDR_STOCK_OPTION_VAL_DVD_YLD","FQ1 2020","FQ1 2020","Currency=USD","Period=FQ","BEST_FPERIOD_OVERRIDE=FQ","FILING_STATUS=MR","Sort=A","Dates=H","DateFormat=P","Fill=—","Direction=H","UseDPDF=Y")</f>
        <v>—</v>
      </c>
      <c r="I107" s="14" t="str">
        <f>_xll.BDH("NBIX US Equity","ARDR_STOCK_OPTION_VAL_DVD_YLD","FQ2 2020","FQ2 2020","Currency=USD","Period=FQ","BEST_FPERIOD_OVERRIDE=FQ","FILING_STATUS=MR","Sort=A","Dates=H","DateFormat=P","Fill=—","Direction=H","UseDPDF=Y")</f>
        <v>—</v>
      </c>
      <c r="J107" s="14" t="str">
        <f>_xll.BDH("NBIX US Equity","ARDR_STOCK_OPTION_VAL_DVD_YLD","FQ3 2020","FQ3 2020","Currency=USD","Period=FQ","BEST_FPERIOD_OVERRIDE=FQ","FILING_STATUS=MR","Sort=A","Dates=H","DateFormat=P","Fill=—","Direction=H","UseDPDF=Y")</f>
        <v>—</v>
      </c>
      <c r="K107" s="14">
        <f>_xll.BDH("NBIX US Equity","ARDR_STOCK_OPTION_VAL_DVD_YLD","FQ4 2020","FQ4 2020","Currency=USD","Period=FQ","BEST_FPERIOD_OVERRIDE=FQ","FILING_STATUS=MR","Sort=A","Dates=H","DateFormat=P","Fill=—","Direction=H","UseDPDF=Y")</f>
        <v>0</v>
      </c>
      <c r="L107" s="14" t="str">
        <f>_xll.BDH("NBIX US Equity","ARDR_STOCK_OPTION_VAL_DVD_YLD","FQ1 2021","FQ1 2021","Currency=USD","Period=FQ","BEST_FPERIOD_OVERRIDE=FQ","FILING_STATUS=MR","Sort=A","Dates=H","DateFormat=P","Fill=—","Direction=H","UseDPDF=Y")</f>
        <v>—</v>
      </c>
      <c r="M107" s="14" t="str">
        <f>_xll.BDH("NBIX US Equity","ARDR_STOCK_OPTION_VAL_DVD_YLD","FQ2 2021","FQ2 2021","Currency=USD","Period=FQ","BEST_FPERIOD_OVERRIDE=FQ","FILING_STATUS=MR","Sort=A","Dates=H","DateFormat=P","Fill=—","Direction=H","UseDPDF=Y")</f>
        <v>—</v>
      </c>
      <c r="N107" s="14" t="str">
        <f>_xll.BDH("NBIX US Equity","ARDR_STOCK_OPTION_VAL_DVD_YLD","FQ3 2021","FQ3 2021","Currency=USD","Period=FQ","BEST_FPERIOD_OVERRIDE=FQ","FILING_STATUS=MR","Sort=A","Dates=H","DateFormat=P","Fill=—","Direction=H","UseDPDF=Y")</f>
        <v>—</v>
      </c>
      <c r="O107" s="14">
        <f>_xll.BDH("NBIX US Equity","ARDR_STOCK_OPTION_VAL_DVD_YLD","FQ4 2021","FQ4 2021","Currency=USD","Period=FQ","BEST_FPERIOD_OVERRIDE=FQ","FILING_STATUS=MR","Sort=A","Dates=H","DateFormat=P","Fill=—","Direction=H","UseDPDF=Y")</f>
        <v>0</v>
      </c>
      <c r="P107" s="14" t="str">
        <f>_xll.BDH("NBIX US Equity","ARDR_STOCK_OPTION_VAL_DVD_YLD","FQ1 2022","FQ1 2022","Currency=USD","Period=FQ","BEST_FPERIOD_OVERRIDE=FQ","FILING_STATUS=MR","Sort=A","Dates=H","DateFormat=P","Fill=—","Direction=H","UseDPDF=Y")</f>
        <v>—</v>
      </c>
      <c r="Q107" s="14" t="str">
        <f>_xll.BDH("NBIX US Equity","ARDR_STOCK_OPTION_VAL_DVD_YLD","FQ2 2022","FQ2 2022","Currency=USD","Period=FQ","BEST_FPERIOD_OVERRIDE=FQ","FILING_STATUS=MR","Sort=A","Dates=H","DateFormat=P","Fill=—","Direction=H","UseDPDF=Y")</f>
        <v>—</v>
      </c>
      <c r="R107" s="14" t="str">
        <f>_xll.BDH("NBIX US Equity","ARDR_STOCK_OPTION_VAL_DVD_YLD","FQ3 2022","FQ3 2022","Currency=USD","Period=FQ","BEST_FPERIOD_OVERRIDE=FQ","FILING_STATUS=MR","Sort=A","Dates=H","DateFormat=P","Fill=—","Direction=H","UseDPDF=Y")</f>
        <v>—</v>
      </c>
      <c r="S107" s="14">
        <f>_xll.BDH("NBIX US Equity","ARDR_STOCK_OPTION_VAL_DVD_YLD","FQ4 2022","FQ4 2022","Currency=USD","Period=FQ","BEST_FPERIOD_OVERRIDE=FQ","FILING_STATUS=MR","Sort=A","Dates=H","DateFormat=P","Fill=—","Direction=H","UseDPDF=Y")</f>
        <v>0</v>
      </c>
      <c r="T107" s="14" t="str">
        <f>_xll.BDH("NBIX US Equity","ARDR_STOCK_OPTION_VAL_DVD_YLD","FQ1 2023","FQ1 2023","Currency=USD","Period=FQ","BEST_FPERIOD_OVERRIDE=FQ","FILING_STATUS=MR","Sort=A","Dates=H","DateFormat=P","Fill=—","Direction=H","UseDPDF=Y")</f>
        <v>—</v>
      </c>
      <c r="U107" s="14" t="str">
        <f>_xll.BDH("NBIX US Equity","ARDR_STOCK_OPTION_VAL_DVD_YLD","FQ2 2023","FQ2 2023","Currency=USD","Period=FQ","BEST_FPERIOD_OVERRIDE=FQ","FILING_STATUS=MR","Sort=A","Dates=H","DateFormat=P","Fill=—","Direction=H","UseDPDF=Y")</f>
        <v>—</v>
      </c>
      <c r="V107" s="14" t="str">
        <f>_xll.BDH("NBIX US Equity","ARDR_STOCK_OPTION_VAL_DVD_YLD","FQ3 2023","FQ3 2023","Currency=USD","Period=FQ","BEST_FPERIOD_OVERRIDE=FQ","FILING_STATUS=MR","Sort=A","Dates=H","DateFormat=P","Fill=—","Direction=H","UseDPDF=Y")</f>
        <v>—</v>
      </c>
      <c r="W107" s="14">
        <f>_xll.BDH("NBIX US Equity","ARDR_STOCK_OPTION_VAL_DVD_YLD","FQ4 2023","FQ4 2023","Currency=USD","Period=FQ","BEST_FPERIOD_OVERRIDE=FQ","FILING_STATUS=MR","Sort=A","Dates=H","DateFormat=P","Fill=—","Direction=H","UseDPDF=Y")</f>
        <v>0</v>
      </c>
      <c r="X107" s="14" t="str">
        <f>_xll.BDH("NBIX US Equity","ARDR_STOCK_OPTION_VAL_DVD_YLD","FQ1 2024","FQ1 2024","Currency=USD","Period=FQ","BEST_FPERIOD_OVERRIDE=FQ","FILING_STATUS=MR","Sort=A","Dates=H","DateFormat=P","Fill=—","Direction=H","UseDPDF=Y")</f>
        <v>—</v>
      </c>
      <c r="Y107" s="14" t="str">
        <f>_xll.BDH("NBIX US Equity","ARDR_STOCK_OPTION_VAL_DVD_YLD","FQ2 2024","FQ2 2024","Currency=USD","Period=FQ","BEST_FPERIOD_OVERRIDE=FQ","FILING_STATUS=MR","Sort=A","Dates=H","DateFormat=P","Fill=—","Direction=H","UseDPDF=Y")</f>
        <v>—</v>
      </c>
      <c r="Z107" s="14" t="str">
        <f>_xll.BDH("NBIX US Equity","ARDR_STOCK_OPTION_VAL_DVD_YLD","FQ3 2024","FQ3 2024","Currency=USD","Period=FQ","BEST_FPERIOD_OVERRIDE=FQ","FILING_STATUS=MR","Sort=A","Dates=H","DateFormat=P","Fill=—","Direction=H","UseDPDF=Y")</f>
        <v>—</v>
      </c>
      <c r="AA107" s="14">
        <f>_xll.BDH("NBIX US Equity","ARDR_STOCK_OPTION_VAL_DVD_YLD","FQ4 2024","FQ4 2024","Currency=USD","Period=FQ","BEST_FPERIOD_OVERRIDE=FQ","FILING_STATUS=MR","Sort=A","Dates=H","DateFormat=P","Fill=—","Direction=H","UseDPDF=Y")</f>
        <v>0</v>
      </c>
    </row>
    <row r="108" spans="1:27" x14ac:dyDescent="0.25">
      <c r="A108" s="10" t="s">
        <v>988</v>
      </c>
      <c r="B108" s="10" t="s">
        <v>989</v>
      </c>
      <c r="C108" s="14" t="str">
        <f>_xll.BDH("NBIX US Equity","ARDR_AVG_EXER_PX_OPT_EXERCISABLE","FQ4 2018","FQ4 2018","Currency=USD","Period=FQ","BEST_FPERIOD_OVERRIDE=FQ","FILING_STATUS=MR","Sort=A","Dates=H","DateFormat=P","Fill=—","Direction=H","UseDPDF=Y")</f>
        <v>—</v>
      </c>
      <c r="D108" s="14" t="str">
        <f>_xll.BDH("NBIX US Equity","ARDR_AVG_EXER_PX_OPT_EXERCISABLE","FQ1 2019","FQ1 2019","Currency=USD","Period=FQ","BEST_FPERIOD_OVERRIDE=FQ","FILING_STATUS=MR","Sort=A","Dates=H","DateFormat=P","Fill=—","Direction=H","UseDPDF=Y")</f>
        <v>—</v>
      </c>
      <c r="E108" s="14" t="str">
        <f>_xll.BDH("NBIX US Equity","ARDR_AVG_EXER_PX_OPT_EXERCISABLE","FQ2 2019","FQ2 2019","Currency=USD","Period=FQ","BEST_FPERIOD_OVERRIDE=FQ","FILING_STATUS=MR","Sort=A","Dates=H","DateFormat=P","Fill=—","Direction=H","UseDPDF=Y")</f>
        <v>—</v>
      </c>
      <c r="F108" s="14" t="str">
        <f>_xll.BDH("NBIX US Equity","ARDR_AVG_EXER_PX_OPT_EXERCISABLE","FQ3 2019","FQ3 2019","Currency=USD","Period=FQ","BEST_FPERIOD_OVERRIDE=FQ","FILING_STATUS=MR","Sort=A","Dates=H","DateFormat=P","Fill=—","Direction=H","UseDPDF=Y")</f>
        <v>—</v>
      </c>
      <c r="G108" s="14" t="str">
        <f>_xll.BDH("NBIX US Equity","ARDR_AVG_EXER_PX_OPT_EXERCISABLE","FQ4 2019","FQ4 2019","Currency=USD","Period=FQ","BEST_FPERIOD_OVERRIDE=FQ","FILING_STATUS=MR","Sort=A","Dates=H","DateFormat=P","Fill=—","Direction=H","UseDPDF=Y")</f>
        <v>—</v>
      </c>
      <c r="H108" s="14" t="str">
        <f>_xll.BDH("NBIX US Equity","ARDR_AVG_EXER_PX_OPT_EXERCISABLE","FQ1 2020","FQ1 2020","Currency=USD","Period=FQ","BEST_FPERIOD_OVERRIDE=FQ","FILING_STATUS=MR","Sort=A","Dates=H","DateFormat=P","Fill=—","Direction=H","UseDPDF=Y")</f>
        <v>—</v>
      </c>
      <c r="I108" s="14" t="str">
        <f>_xll.BDH("NBIX US Equity","ARDR_AVG_EXER_PX_OPT_EXERCISABLE","FQ2 2020","FQ2 2020","Currency=USD","Period=FQ","BEST_FPERIOD_OVERRIDE=FQ","FILING_STATUS=MR","Sort=A","Dates=H","DateFormat=P","Fill=—","Direction=H","UseDPDF=Y")</f>
        <v>—</v>
      </c>
      <c r="J108" s="14" t="str">
        <f>_xll.BDH("NBIX US Equity","ARDR_AVG_EXER_PX_OPT_EXERCISABLE","FQ3 2020","FQ3 2020","Currency=USD","Period=FQ","BEST_FPERIOD_OVERRIDE=FQ","FILING_STATUS=MR","Sort=A","Dates=H","DateFormat=P","Fill=—","Direction=H","UseDPDF=Y")</f>
        <v>—</v>
      </c>
      <c r="K108" s="14">
        <f>_xll.BDH("NBIX US Equity","ARDR_AVG_EXER_PX_OPT_EXERCISABLE","FQ4 2020","FQ4 2020","Currency=USD","Period=FQ","BEST_FPERIOD_OVERRIDE=FQ","FILING_STATUS=MR","Sort=A","Dates=H","DateFormat=P","Fill=—","Direction=H","UseDPDF=Y")</f>
        <v>49.8</v>
      </c>
      <c r="L108" s="14" t="str">
        <f>_xll.BDH("NBIX US Equity","ARDR_AVG_EXER_PX_OPT_EXERCISABLE","FQ1 2021","FQ1 2021","Currency=USD","Period=FQ","BEST_FPERIOD_OVERRIDE=FQ","FILING_STATUS=MR","Sort=A","Dates=H","DateFormat=P","Fill=—","Direction=H","UseDPDF=Y")</f>
        <v>—</v>
      </c>
      <c r="M108" s="14" t="str">
        <f>_xll.BDH("NBIX US Equity","ARDR_AVG_EXER_PX_OPT_EXERCISABLE","FQ2 2021","FQ2 2021","Currency=USD","Period=FQ","BEST_FPERIOD_OVERRIDE=FQ","FILING_STATUS=MR","Sort=A","Dates=H","DateFormat=P","Fill=—","Direction=H","UseDPDF=Y")</f>
        <v>—</v>
      </c>
      <c r="N108" s="14" t="str">
        <f>_xll.BDH("NBIX US Equity","ARDR_AVG_EXER_PX_OPT_EXERCISABLE","FQ3 2021","FQ3 2021","Currency=USD","Period=FQ","BEST_FPERIOD_OVERRIDE=FQ","FILING_STATUS=MR","Sort=A","Dates=H","DateFormat=P","Fill=—","Direction=H","UseDPDF=Y")</f>
        <v>—</v>
      </c>
      <c r="O108" s="14">
        <f>_xll.BDH("NBIX US Equity","ARDR_AVG_EXER_PX_OPT_EXERCISABLE","FQ4 2021","FQ4 2021","Currency=USD","Period=FQ","BEST_FPERIOD_OVERRIDE=FQ","FILING_STATUS=MR","Sort=A","Dates=H","DateFormat=P","Fill=—","Direction=H","UseDPDF=Y")</f>
        <v>63.53</v>
      </c>
      <c r="P108" s="14" t="str">
        <f>_xll.BDH("NBIX US Equity","ARDR_AVG_EXER_PX_OPT_EXERCISABLE","FQ1 2022","FQ1 2022","Currency=USD","Period=FQ","BEST_FPERIOD_OVERRIDE=FQ","FILING_STATUS=MR","Sort=A","Dates=H","DateFormat=P","Fill=—","Direction=H","UseDPDF=Y")</f>
        <v>—</v>
      </c>
      <c r="Q108" s="14" t="str">
        <f>_xll.BDH("NBIX US Equity","ARDR_AVG_EXER_PX_OPT_EXERCISABLE","FQ2 2022","FQ2 2022","Currency=USD","Period=FQ","BEST_FPERIOD_OVERRIDE=FQ","FILING_STATUS=MR","Sort=A","Dates=H","DateFormat=P","Fill=—","Direction=H","UseDPDF=Y")</f>
        <v>—</v>
      </c>
      <c r="R108" s="14" t="str">
        <f>_xll.BDH("NBIX US Equity","ARDR_AVG_EXER_PX_OPT_EXERCISABLE","FQ3 2022","FQ3 2022","Currency=USD","Period=FQ","BEST_FPERIOD_OVERRIDE=FQ","FILING_STATUS=MR","Sort=A","Dates=H","DateFormat=P","Fill=—","Direction=H","UseDPDF=Y")</f>
        <v>—</v>
      </c>
      <c r="S108" s="14">
        <f>_xll.BDH("NBIX US Equity","ARDR_AVG_EXER_PX_OPT_EXERCISABLE","FQ4 2022","FQ4 2022","Currency=USD","Period=FQ","BEST_FPERIOD_OVERRIDE=FQ","FILING_STATUS=MR","Sort=A","Dates=H","DateFormat=P","Fill=—","Direction=H","UseDPDF=Y")</f>
        <v>72.27</v>
      </c>
      <c r="T108" s="14" t="str">
        <f>_xll.BDH("NBIX US Equity","ARDR_AVG_EXER_PX_OPT_EXERCISABLE","FQ1 2023","FQ1 2023","Currency=USD","Period=FQ","BEST_FPERIOD_OVERRIDE=FQ","FILING_STATUS=MR","Sort=A","Dates=H","DateFormat=P","Fill=—","Direction=H","UseDPDF=Y")</f>
        <v>—</v>
      </c>
      <c r="U108" s="14" t="str">
        <f>_xll.BDH("NBIX US Equity","ARDR_AVG_EXER_PX_OPT_EXERCISABLE","FQ2 2023","FQ2 2023","Currency=USD","Period=FQ","BEST_FPERIOD_OVERRIDE=FQ","FILING_STATUS=MR","Sort=A","Dates=H","DateFormat=P","Fill=—","Direction=H","UseDPDF=Y")</f>
        <v>—</v>
      </c>
      <c r="V108" s="14" t="str">
        <f>_xll.BDH("NBIX US Equity","ARDR_AVG_EXER_PX_OPT_EXERCISABLE","FQ3 2023","FQ3 2023","Currency=USD","Period=FQ","BEST_FPERIOD_OVERRIDE=FQ","FILING_STATUS=MR","Sort=A","Dates=H","DateFormat=P","Fill=—","Direction=H","UseDPDF=Y")</f>
        <v>—</v>
      </c>
      <c r="W108" s="14">
        <f>_xll.BDH("NBIX US Equity","ARDR_AVG_EXER_PX_OPT_EXERCISABLE","FQ4 2023","FQ4 2023","Currency=USD","Period=FQ","BEST_FPERIOD_OVERRIDE=FQ","FILING_STATUS=MR","Sort=A","Dates=H","DateFormat=P","Fill=—","Direction=H","UseDPDF=Y")</f>
        <v>78.75</v>
      </c>
      <c r="X108" s="14" t="str">
        <f>_xll.BDH("NBIX US Equity","ARDR_AVG_EXER_PX_OPT_EXERCISABLE","FQ1 2024","FQ1 2024","Currency=USD","Period=FQ","BEST_FPERIOD_OVERRIDE=FQ","FILING_STATUS=MR","Sort=A","Dates=H","DateFormat=P","Fill=—","Direction=H","UseDPDF=Y")</f>
        <v>—</v>
      </c>
      <c r="Y108" s="14" t="str">
        <f>_xll.BDH("NBIX US Equity","ARDR_AVG_EXER_PX_OPT_EXERCISABLE","FQ2 2024","FQ2 2024","Currency=USD","Period=FQ","BEST_FPERIOD_OVERRIDE=FQ","FILING_STATUS=MR","Sort=A","Dates=H","DateFormat=P","Fill=—","Direction=H","UseDPDF=Y")</f>
        <v>—</v>
      </c>
      <c r="Z108" s="14" t="str">
        <f>_xll.BDH("NBIX US Equity","ARDR_AVG_EXER_PX_OPT_EXERCISABLE","FQ3 2024","FQ3 2024","Currency=USD","Period=FQ","BEST_FPERIOD_OVERRIDE=FQ","FILING_STATUS=MR","Sort=A","Dates=H","DateFormat=P","Fill=—","Direction=H","UseDPDF=Y")</f>
        <v>—</v>
      </c>
      <c r="AA108" s="14">
        <f>_xll.BDH("NBIX US Equity","ARDR_AVG_EXER_PX_OPT_EXERCISABLE","FQ4 2024","FQ4 2024","Currency=USD","Period=FQ","BEST_FPERIOD_OVERRIDE=FQ","FILING_STATUS=MR","Sort=A","Dates=H","DateFormat=P","Fill=—","Direction=H","UseDPDF=Y")</f>
        <v>88.4</v>
      </c>
    </row>
    <row r="109" spans="1:27" x14ac:dyDescent="0.25">
      <c r="A109" s="10" t="s">
        <v>990</v>
      </c>
      <c r="B109" s="10" t="s">
        <v>991</v>
      </c>
      <c r="C109" s="14">
        <f>_xll.BDH("NBIX US Equity","ARDR_AVG_EXER_PX_OPT_OUTSTANDING","FQ4 2018","FQ4 2018","Currency=USD","Period=FQ","BEST_FPERIOD_OVERRIDE=FQ","FILING_STATUS=MR","Sort=A","Dates=H","DateFormat=P","Fill=—","Direction=H","UseDPDF=Y")</f>
        <v>41.38</v>
      </c>
      <c r="D109" s="14" t="str">
        <f>_xll.BDH("NBIX US Equity","ARDR_AVG_EXER_PX_OPT_OUTSTANDING","FQ1 2019","FQ1 2019","Currency=USD","Period=FQ","BEST_FPERIOD_OVERRIDE=FQ","FILING_STATUS=MR","Sort=A","Dates=H","DateFormat=P","Fill=—","Direction=H","UseDPDF=Y")</f>
        <v>—</v>
      </c>
      <c r="E109" s="14" t="str">
        <f>_xll.BDH("NBIX US Equity","ARDR_AVG_EXER_PX_OPT_OUTSTANDING","FQ2 2019","FQ2 2019","Currency=USD","Period=FQ","BEST_FPERIOD_OVERRIDE=FQ","FILING_STATUS=MR","Sort=A","Dates=H","DateFormat=P","Fill=—","Direction=H","UseDPDF=Y")</f>
        <v>—</v>
      </c>
      <c r="F109" s="14" t="str">
        <f>_xll.BDH("NBIX US Equity","ARDR_AVG_EXER_PX_OPT_OUTSTANDING","FQ3 2019","FQ3 2019","Currency=USD","Period=FQ","BEST_FPERIOD_OVERRIDE=FQ","FILING_STATUS=MR","Sort=A","Dates=H","DateFormat=P","Fill=—","Direction=H","UseDPDF=Y")</f>
        <v>—</v>
      </c>
      <c r="G109" s="14">
        <f>_xll.BDH("NBIX US Equity","ARDR_AVG_EXER_PX_OPT_OUTSTANDING","FQ4 2019","FQ4 2019","Currency=USD","Period=FQ","BEST_FPERIOD_OVERRIDE=FQ","FILING_STATUS=MR","Sort=A","Dates=H","DateFormat=P","Fill=—","Direction=H","UseDPDF=Y")</f>
        <v>52.62</v>
      </c>
      <c r="H109" s="14" t="str">
        <f>_xll.BDH("NBIX US Equity","ARDR_AVG_EXER_PX_OPT_OUTSTANDING","FQ1 2020","FQ1 2020","Currency=USD","Period=FQ","BEST_FPERIOD_OVERRIDE=FQ","FILING_STATUS=MR","Sort=A","Dates=H","DateFormat=P","Fill=—","Direction=H","UseDPDF=Y")</f>
        <v>—</v>
      </c>
      <c r="I109" s="14" t="str">
        <f>_xll.BDH("NBIX US Equity","ARDR_AVG_EXER_PX_OPT_OUTSTANDING","FQ2 2020","FQ2 2020","Currency=USD","Period=FQ","BEST_FPERIOD_OVERRIDE=FQ","FILING_STATUS=MR","Sort=A","Dates=H","DateFormat=P","Fill=—","Direction=H","UseDPDF=Y")</f>
        <v>—</v>
      </c>
      <c r="J109" s="14" t="str">
        <f>_xll.BDH("NBIX US Equity","ARDR_AVG_EXER_PX_OPT_OUTSTANDING","FQ3 2020","FQ3 2020","Currency=USD","Period=FQ","BEST_FPERIOD_OVERRIDE=FQ","FILING_STATUS=MR","Sort=A","Dates=H","DateFormat=P","Fill=—","Direction=H","UseDPDF=Y")</f>
        <v>—</v>
      </c>
      <c r="K109" s="14">
        <f>_xll.BDH("NBIX US Equity","ARDR_AVG_EXER_PX_OPT_OUTSTANDING","FQ4 2020","FQ4 2020","Currency=USD","Period=FQ","BEST_FPERIOD_OVERRIDE=FQ","FILING_STATUS=MR","Sort=A","Dates=H","DateFormat=P","Fill=—","Direction=H","UseDPDF=Y")</f>
        <v>62.98</v>
      </c>
      <c r="L109" s="14" t="str">
        <f>_xll.BDH("NBIX US Equity","ARDR_AVG_EXER_PX_OPT_OUTSTANDING","FQ1 2021","FQ1 2021","Currency=USD","Period=FQ","BEST_FPERIOD_OVERRIDE=FQ","FILING_STATUS=MR","Sort=A","Dates=H","DateFormat=P","Fill=—","Direction=H","UseDPDF=Y")</f>
        <v>—</v>
      </c>
      <c r="M109" s="14" t="str">
        <f>_xll.BDH("NBIX US Equity","ARDR_AVG_EXER_PX_OPT_OUTSTANDING","FQ2 2021","FQ2 2021","Currency=USD","Period=FQ","BEST_FPERIOD_OVERRIDE=FQ","FILING_STATUS=MR","Sort=A","Dates=H","DateFormat=P","Fill=—","Direction=H","UseDPDF=Y")</f>
        <v>—</v>
      </c>
      <c r="N109" s="14" t="str">
        <f>_xll.BDH("NBIX US Equity","ARDR_AVG_EXER_PX_OPT_OUTSTANDING","FQ3 2021","FQ3 2021","Currency=USD","Period=FQ","BEST_FPERIOD_OVERRIDE=FQ","FILING_STATUS=MR","Sort=A","Dates=H","DateFormat=P","Fill=—","Direction=H","UseDPDF=Y")</f>
        <v>—</v>
      </c>
      <c r="O109" s="14">
        <f>_xll.BDH("NBIX US Equity","ARDR_AVG_EXER_PX_OPT_OUTSTANDING","FQ4 2021","FQ4 2021","Currency=USD","Period=FQ","BEST_FPERIOD_OVERRIDE=FQ","FILING_STATUS=MR","Sort=A","Dates=H","DateFormat=P","Fill=—","Direction=H","UseDPDF=Y")</f>
        <v>76.38</v>
      </c>
      <c r="P109" s="14" t="str">
        <f>_xll.BDH("NBIX US Equity","ARDR_AVG_EXER_PX_OPT_OUTSTANDING","FQ1 2022","FQ1 2022","Currency=USD","Period=FQ","BEST_FPERIOD_OVERRIDE=FQ","FILING_STATUS=MR","Sort=A","Dates=H","DateFormat=P","Fill=—","Direction=H","UseDPDF=Y")</f>
        <v>—</v>
      </c>
      <c r="Q109" s="14" t="str">
        <f>_xll.BDH("NBIX US Equity","ARDR_AVG_EXER_PX_OPT_OUTSTANDING","FQ2 2022","FQ2 2022","Currency=USD","Period=FQ","BEST_FPERIOD_OVERRIDE=FQ","FILING_STATUS=MR","Sort=A","Dates=H","DateFormat=P","Fill=—","Direction=H","UseDPDF=Y")</f>
        <v>—</v>
      </c>
      <c r="R109" s="14" t="str">
        <f>_xll.BDH("NBIX US Equity","ARDR_AVG_EXER_PX_OPT_OUTSTANDING","FQ3 2022","FQ3 2022","Currency=USD","Period=FQ","BEST_FPERIOD_OVERRIDE=FQ","FILING_STATUS=MR","Sort=A","Dates=H","DateFormat=P","Fill=—","Direction=H","UseDPDF=Y")</f>
        <v>—</v>
      </c>
      <c r="S109" s="14">
        <f>_xll.BDH("NBIX US Equity","ARDR_AVG_EXER_PX_OPT_OUTSTANDING","FQ4 2022","FQ4 2022","Currency=USD","Period=FQ","BEST_FPERIOD_OVERRIDE=FQ","FILING_STATUS=MR","Sort=A","Dates=H","DateFormat=P","Fill=—","Direction=H","UseDPDF=Y")</f>
        <v>79.099999999999994</v>
      </c>
      <c r="T109" s="14" t="str">
        <f>_xll.BDH("NBIX US Equity","ARDR_AVG_EXER_PX_OPT_OUTSTANDING","FQ1 2023","FQ1 2023","Currency=USD","Period=FQ","BEST_FPERIOD_OVERRIDE=FQ","FILING_STATUS=MR","Sort=A","Dates=H","DateFormat=P","Fill=—","Direction=H","UseDPDF=Y")</f>
        <v>—</v>
      </c>
      <c r="U109" s="14" t="str">
        <f>_xll.BDH("NBIX US Equity","ARDR_AVG_EXER_PX_OPT_OUTSTANDING","FQ2 2023","FQ2 2023","Currency=USD","Period=FQ","BEST_FPERIOD_OVERRIDE=FQ","FILING_STATUS=MR","Sort=A","Dates=H","DateFormat=P","Fill=—","Direction=H","UseDPDF=Y")</f>
        <v>—</v>
      </c>
      <c r="V109" s="14" t="str">
        <f>_xll.BDH("NBIX US Equity","ARDR_AVG_EXER_PX_OPT_OUTSTANDING","FQ3 2023","FQ3 2023","Currency=USD","Period=FQ","BEST_FPERIOD_OVERRIDE=FQ","FILING_STATUS=MR","Sort=A","Dates=H","DateFormat=P","Fill=—","Direction=H","UseDPDF=Y")</f>
        <v>—</v>
      </c>
      <c r="W109" s="14">
        <f>_xll.BDH("NBIX US Equity","ARDR_AVG_EXER_PX_OPT_OUTSTANDING","FQ4 2023","FQ4 2023","Currency=USD","Period=FQ","BEST_FPERIOD_OVERRIDE=FQ","FILING_STATUS=MR","Sort=A","Dates=H","DateFormat=P","Fill=—","Direction=H","UseDPDF=Y")</f>
        <v>84.46</v>
      </c>
      <c r="X109" s="14" t="str">
        <f>_xll.BDH("NBIX US Equity","ARDR_AVG_EXER_PX_OPT_OUTSTANDING","FQ1 2024","FQ1 2024","Currency=USD","Period=FQ","BEST_FPERIOD_OVERRIDE=FQ","FILING_STATUS=MR","Sort=A","Dates=H","DateFormat=P","Fill=—","Direction=H","UseDPDF=Y")</f>
        <v>—</v>
      </c>
      <c r="Y109" s="14" t="str">
        <f>_xll.BDH("NBIX US Equity","ARDR_AVG_EXER_PX_OPT_OUTSTANDING","FQ2 2024","FQ2 2024","Currency=USD","Period=FQ","BEST_FPERIOD_OVERRIDE=FQ","FILING_STATUS=MR","Sort=A","Dates=H","DateFormat=P","Fill=—","Direction=H","UseDPDF=Y")</f>
        <v>—</v>
      </c>
      <c r="Z109" s="14" t="str">
        <f>_xll.BDH("NBIX US Equity","ARDR_AVG_EXER_PX_OPT_OUTSTANDING","FQ3 2024","FQ3 2024","Currency=USD","Period=FQ","BEST_FPERIOD_OVERRIDE=FQ","FILING_STATUS=MR","Sort=A","Dates=H","DateFormat=P","Fill=—","Direction=H","UseDPDF=Y")</f>
        <v>—</v>
      </c>
      <c r="AA109" s="14">
        <f>_xll.BDH("NBIX US Equity","ARDR_AVG_EXER_PX_OPT_OUTSTANDING","FQ4 2024","FQ4 2024","Currency=USD","Period=FQ","BEST_FPERIOD_OVERRIDE=FQ","FILING_STATUS=MR","Sort=A","Dates=H","DateFormat=P","Fill=—","Direction=H","UseDPDF=Y")</f>
        <v>95.48</v>
      </c>
    </row>
    <row r="110" spans="1:27" x14ac:dyDescent="0.25">
      <c r="A110" s="10" t="s">
        <v>992</v>
      </c>
      <c r="B110" s="10" t="s">
        <v>993</v>
      </c>
      <c r="C110" s="13" t="str">
        <f>_xll.BDH("NBIX US Equity","ARDR_OPTIONS_EXERCISABLE","FQ4 2018","FQ4 2018","Currency=USD","Period=FQ","BEST_FPERIOD_OVERRIDE=FQ","FILING_STATUS=MR","Sort=A","Dates=H","DateFormat=P","Fill=—","Direction=H","UseDPDF=Y")</f>
        <v>—</v>
      </c>
      <c r="D110" s="13" t="str">
        <f>_xll.BDH("NBIX US Equity","ARDR_OPTIONS_EXERCISABLE","FQ1 2019","FQ1 2019","Currency=USD","Period=FQ","BEST_FPERIOD_OVERRIDE=FQ","FILING_STATUS=MR","Sort=A","Dates=H","DateFormat=P","Fill=—","Direction=H","UseDPDF=Y")</f>
        <v>—</v>
      </c>
      <c r="E110" s="13" t="str">
        <f>_xll.BDH("NBIX US Equity","ARDR_OPTIONS_EXERCISABLE","FQ2 2019","FQ2 2019","Currency=USD","Period=FQ","BEST_FPERIOD_OVERRIDE=FQ","FILING_STATUS=MR","Sort=A","Dates=H","DateFormat=P","Fill=—","Direction=H","UseDPDF=Y")</f>
        <v>—</v>
      </c>
      <c r="F110" s="13" t="str">
        <f>_xll.BDH("NBIX US Equity","ARDR_OPTIONS_EXERCISABLE","FQ3 2019","FQ3 2019","Currency=USD","Period=FQ","BEST_FPERIOD_OVERRIDE=FQ","FILING_STATUS=MR","Sort=A","Dates=H","DateFormat=P","Fill=—","Direction=H","UseDPDF=Y")</f>
        <v>—</v>
      </c>
      <c r="G110" s="13" t="str">
        <f>_xll.BDH("NBIX US Equity","ARDR_OPTIONS_EXERCISABLE","FQ4 2019","FQ4 2019","Currency=USD","Period=FQ","BEST_FPERIOD_OVERRIDE=FQ","FILING_STATUS=MR","Sort=A","Dates=H","DateFormat=P","Fill=—","Direction=H","UseDPDF=Y")</f>
        <v>—</v>
      </c>
      <c r="H110" s="13" t="str">
        <f>_xll.BDH("NBIX US Equity","ARDR_OPTIONS_EXERCISABLE","FQ1 2020","FQ1 2020","Currency=USD","Period=FQ","BEST_FPERIOD_OVERRIDE=FQ","FILING_STATUS=MR","Sort=A","Dates=H","DateFormat=P","Fill=—","Direction=H","UseDPDF=Y")</f>
        <v>—</v>
      </c>
      <c r="I110" s="13" t="str">
        <f>_xll.BDH("NBIX US Equity","ARDR_OPTIONS_EXERCISABLE","FQ2 2020","FQ2 2020","Currency=USD","Period=FQ","BEST_FPERIOD_OVERRIDE=FQ","FILING_STATUS=MR","Sort=A","Dates=H","DateFormat=P","Fill=—","Direction=H","UseDPDF=Y")</f>
        <v>—</v>
      </c>
      <c r="J110" s="13" t="str">
        <f>_xll.BDH("NBIX US Equity","ARDR_OPTIONS_EXERCISABLE","FQ3 2020","FQ3 2020","Currency=USD","Period=FQ","BEST_FPERIOD_OVERRIDE=FQ","FILING_STATUS=MR","Sort=A","Dates=H","DateFormat=P","Fill=—","Direction=H","UseDPDF=Y")</f>
        <v>—</v>
      </c>
      <c r="K110" s="13" t="str">
        <f>_xll.BDH("NBIX US Equity","ARDR_OPTIONS_EXERCISABLE","FQ4 2020","FQ4 2020","Currency=USD","Period=FQ","BEST_FPERIOD_OVERRIDE=FQ","FILING_STATUS=MR","Sort=A","Dates=H","DateFormat=P","Fill=—","Direction=H","UseDPDF=Y")</f>
        <v>—</v>
      </c>
      <c r="L110" s="13" t="str">
        <f>_xll.BDH("NBIX US Equity","ARDR_OPTIONS_EXERCISABLE","FQ1 2021","FQ1 2021","Currency=USD","Period=FQ","BEST_FPERIOD_OVERRIDE=FQ","FILING_STATUS=MR","Sort=A","Dates=H","DateFormat=P","Fill=—","Direction=H","UseDPDF=Y")</f>
        <v>—</v>
      </c>
      <c r="M110" s="13" t="str">
        <f>_xll.BDH("NBIX US Equity","ARDR_OPTIONS_EXERCISABLE","FQ2 2021","FQ2 2021","Currency=USD","Period=FQ","BEST_FPERIOD_OVERRIDE=FQ","FILING_STATUS=MR","Sort=A","Dates=H","DateFormat=P","Fill=—","Direction=H","UseDPDF=Y")</f>
        <v>—</v>
      </c>
      <c r="N110" s="13" t="str">
        <f>_xll.BDH("NBIX US Equity","ARDR_OPTIONS_EXERCISABLE","FQ3 2021","FQ3 2021","Currency=USD","Period=FQ","BEST_FPERIOD_OVERRIDE=FQ","FILING_STATUS=MR","Sort=A","Dates=H","DateFormat=P","Fill=—","Direction=H","UseDPDF=Y")</f>
        <v>—</v>
      </c>
      <c r="O110" s="13">
        <f>_xll.BDH("NBIX US Equity","ARDR_OPTIONS_EXERCISABLE","FQ4 2021","FQ4 2021","Currency=USD","Period=FQ","BEST_FPERIOD_OVERRIDE=FQ","FILING_STATUS=MR","Sort=A","Dates=H","DateFormat=P","Fill=—","Direction=H","UseDPDF=Y")</f>
        <v>5.2</v>
      </c>
      <c r="P110" s="13" t="str">
        <f>_xll.BDH("NBIX US Equity","ARDR_OPTIONS_EXERCISABLE","FQ1 2022","FQ1 2022","Currency=USD","Period=FQ","BEST_FPERIOD_OVERRIDE=FQ","FILING_STATUS=MR","Sort=A","Dates=H","DateFormat=P","Fill=—","Direction=H","UseDPDF=Y")</f>
        <v>—</v>
      </c>
      <c r="Q110" s="13" t="str">
        <f>_xll.BDH("NBIX US Equity","ARDR_OPTIONS_EXERCISABLE","FQ2 2022","FQ2 2022","Currency=USD","Period=FQ","BEST_FPERIOD_OVERRIDE=FQ","FILING_STATUS=MR","Sort=A","Dates=H","DateFormat=P","Fill=—","Direction=H","UseDPDF=Y")</f>
        <v>—</v>
      </c>
      <c r="R110" s="13" t="str">
        <f>_xll.BDH("NBIX US Equity","ARDR_OPTIONS_EXERCISABLE","FQ3 2022","FQ3 2022","Currency=USD","Period=FQ","BEST_FPERIOD_OVERRIDE=FQ","FILING_STATUS=MR","Sort=A","Dates=H","DateFormat=P","Fill=—","Direction=H","UseDPDF=Y")</f>
        <v>—</v>
      </c>
      <c r="S110" s="13">
        <f>_xll.BDH("NBIX US Equity","ARDR_OPTIONS_EXERCISABLE","FQ4 2022","FQ4 2022","Currency=USD","Period=FQ","BEST_FPERIOD_OVERRIDE=FQ","FILING_STATUS=MR","Sort=A","Dates=H","DateFormat=P","Fill=—","Direction=H","UseDPDF=Y")</f>
        <v>6</v>
      </c>
      <c r="T110" s="13" t="str">
        <f>_xll.BDH("NBIX US Equity","ARDR_OPTIONS_EXERCISABLE","FQ1 2023","FQ1 2023","Currency=USD","Period=FQ","BEST_FPERIOD_OVERRIDE=FQ","FILING_STATUS=MR","Sort=A","Dates=H","DateFormat=P","Fill=—","Direction=H","UseDPDF=Y")</f>
        <v>—</v>
      </c>
      <c r="U110" s="13" t="str">
        <f>_xll.BDH("NBIX US Equity","ARDR_OPTIONS_EXERCISABLE","FQ2 2023","FQ2 2023","Currency=USD","Period=FQ","BEST_FPERIOD_OVERRIDE=FQ","FILING_STATUS=MR","Sort=A","Dates=H","DateFormat=P","Fill=—","Direction=H","UseDPDF=Y")</f>
        <v>—</v>
      </c>
      <c r="V110" s="13" t="str">
        <f>_xll.BDH("NBIX US Equity","ARDR_OPTIONS_EXERCISABLE","FQ3 2023","FQ3 2023","Currency=USD","Period=FQ","BEST_FPERIOD_OVERRIDE=FQ","FILING_STATUS=MR","Sort=A","Dates=H","DateFormat=P","Fill=—","Direction=H","UseDPDF=Y")</f>
        <v>—</v>
      </c>
      <c r="W110" s="13">
        <f>_xll.BDH("NBIX US Equity","ARDR_OPTIONS_EXERCISABLE","FQ4 2023","FQ4 2023","Currency=USD","Period=FQ","BEST_FPERIOD_OVERRIDE=FQ","FILING_STATUS=MR","Sort=A","Dates=H","DateFormat=P","Fill=—","Direction=H","UseDPDF=Y")</f>
        <v>6.8</v>
      </c>
      <c r="X110" s="13" t="str">
        <f>_xll.BDH("NBIX US Equity","ARDR_OPTIONS_EXERCISABLE","FQ1 2024","FQ1 2024","Currency=USD","Period=FQ","BEST_FPERIOD_OVERRIDE=FQ","FILING_STATUS=MR","Sort=A","Dates=H","DateFormat=P","Fill=—","Direction=H","UseDPDF=Y")</f>
        <v>—</v>
      </c>
      <c r="Y110" s="13" t="str">
        <f>_xll.BDH("NBIX US Equity","ARDR_OPTIONS_EXERCISABLE","FQ2 2024","FQ2 2024","Currency=USD","Period=FQ","BEST_FPERIOD_OVERRIDE=FQ","FILING_STATUS=MR","Sort=A","Dates=H","DateFormat=P","Fill=—","Direction=H","UseDPDF=Y")</f>
        <v>—</v>
      </c>
      <c r="Z110" s="13" t="str">
        <f>_xll.BDH("NBIX US Equity","ARDR_OPTIONS_EXERCISABLE","FQ3 2024","FQ3 2024","Currency=USD","Period=FQ","BEST_FPERIOD_OVERRIDE=FQ","FILING_STATUS=MR","Sort=A","Dates=H","DateFormat=P","Fill=—","Direction=H","UseDPDF=Y")</f>
        <v>—</v>
      </c>
      <c r="AA110" s="13">
        <f>_xll.BDH("NBIX US Equity","ARDR_OPTIONS_EXERCISABLE","FQ4 2024","FQ4 2024","Currency=USD","Period=FQ","BEST_FPERIOD_OVERRIDE=FQ","FILING_STATUS=MR","Sort=A","Dates=H","DateFormat=P","Fill=—","Direction=H","UseDPDF=Y")</f>
        <v>6.8</v>
      </c>
    </row>
    <row r="111" spans="1:27" x14ac:dyDescent="0.25">
      <c r="A111" s="10" t="s">
        <v>994</v>
      </c>
      <c r="B111" s="10" t="s">
        <v>995</v>
      </c>
      <c r="C111" s="13">
        <f>_xll.BDH("NBIX US Equity","ARDR_DEFERRED_TAX_ALLOWANCE","FQ4 2018","FQ4 2018","Currency=USD","Period=FQ","BEST_FPERIOD_OVERRIDE=FQ","FILING_STATUS=MR","SCALING_FORMAT=MLN","Sort=A","Dates=H","DateFormat=P","Fill=—","Direction=H","UseDPDF=Y")</f>
        <v>335.2</v>
      </c>
      <c r="D111" s="13" t="str">
        <f>_xll.BDH("NBIX US Equity","ARDR_DEFERRED_TAX_ALLOWANCE","FQ1 2019","FQ1 2019","Currency=USD","Period=FQ","BEST_FPERIOD_OVERRIDE=FQ","FILING_STATUS=MR","SCALING_FORMAT=MLN","Sort=A","Dates=H","DateFormat=P","Fill=—","Direction=H","UseDPDF=Y")</f>
        <v>—</v>
      </c>
      <c r="E111" s="13" t="str">
        <f>_xll.BDH("NBIX US Equity","ARDR_DEFERRED_TAX_ALLOWANCE","FQ2 2019","FQ2 2019","Currency=USD","Period=FQ","BEST_FPERIOD_OVERRIDE=FQ","FILING_STATUS=MR","SCALING_FORMAT=MLN","Sort=A","Dates=H","DateFormat=P","Fill=—","Direction=H","UseDPDF=Y")</f>
        <v>—</v>
      </c>
      <c r="F111" s="13" t="str">
        <f>_xll.BDH("NBIX US Equity","ARDR_DEFERRED_TAX_ALLOWANCE","FQ3 2019","FQ3 2019","Currency=USD","Period=FQ","BEST_FPERIOD_OVERRIDE=FQ","FILING_STATUS=MR","SCALING_FORMAT=MLN","Sort=A","Dates=H","DateFormat=P","Fill=—","Direction=H","UseDPDF=Y")</f>
        <v>—</v>
      </c>
      <c r="G111" s="13">
        <f>_xll.BDH("NBIX US Equity","ARDR_DEFERRED_TAX_ALLOWANCE","FQ4 2019","FQ4 2019","Currency=USD","Period=FQ","BEST_FPERIOD_OVERRIDE=FQ","FILING_STATUS=MR","SCALING_FORMAT=MLN","Sort=A","Dates=H","DateFormat=P","Fill=—","Direction=H","UseDPDF=Y")</f>
        <v>346</v>
      </c>
      <c r="H111" s="13" t="str">
        <f>_xll.BDH("NBIX US Equity","ARDR_DEFERRED_TAX_ALLOWANCE","FQ1 2020","FQ1 2020","Currency=USD","Period=FQ","BEST_FPERIOD_OVERRIDE=FQ","FILING_STATUS=MR","SCALING_FORMAT=MLN","Sort=A","Dates=H","DateFormat=P","Fill=—","Direction=H","UseDPDF=Y")</f>
        <v>—</v>
      </c>
      <c r="I111" s="13" t="str">
        <f>_xll.BDH("NBIX US Equity","ARDR_DEFERRED_TAX_ALLOWANCE","FQ2 2020","FQ2 2020","Currency=USD","Period=FQ","BEST_FPERIOD_OVERRIDE=FQ","FILING_STATUS=MR","SCALING_FORMAT=MLN","Sort=A","Dates=H","DateFormat=P","Fill=—","Direction=H","UseDPDF=Y")</f>
        <v>—</v>
      </c>
      <c r="J111" s="13" t="str">
        <f>_xll.BDH("NBIX US Equity","ARDR_DEFERRED_TAX_ALLOWANCE","FQ3 2020","FQ3 2020","Currency=USD","Period=FQ","BEST_FPERIOD_OVERRIDE=FQ","FILING_STATUS=MR","SCALING_FORMAT=MLN","Sort=A","Dates=H","DateFormat=P","Fill=—","Direction=H","UseDPDF=Y")</f>
        <v>—</v>
      </c>
      <c r="K111" s="13">
        <f>_xll.BDH("NBIX US Equity","ARDR_DEFERRED_TAX_ALLOWANCE","FQ4 2020","FQ4 2020","Currency=USD","Period=FQ","BEST_FPERIOD_OVERRIDE=FQ","FILING_STATUS=MR","SCALING_FORMAT=MLN","Sort=A","Dates=H","DateFormat=P","Fill=—","Direction=H","UseDPDF=Y")</f>
        <v>49.8</v>
      </c>
      <c r="L111" s="13" t="str">
        <f>_xll.BDH("NBIX US Equity","ARDR_DEFERRED_TAX_ALLOWANCE","FQ1 2021","FQ1 2021","Currency=USD","Period=FQ","BEST_FPERIOD_OVERRIDE=FQ","FILING_STATUS=MR","SCALING_FORMAT=MLN","Sort=A","Dates=H","DateFormat=P","Fill=—","Direction=H","UseDPDF=Y")</f>
        <v>—</v>
      </c>
      <c r="M111" s="13" t="str">
        <f>_xll.BDH("NBIX US Equity","ARDR_DEFERRED_TAX_ALLOWANCE","FQ2 2021","FQ2 2021","Currency=USD","Period=FQ","BEST_FPERIOD_OVERRIDE=FQ","FILING_STATUS=MR","SCALING_FORMAT=MLN","Sort=A","Dates=H","DateFormat=P","Fill=—","Direction=H","UseDPDF=Y")</f>
        <v>—</v>
      </c>
      <c r="N111" s="13" t="str">
        <f>_xll.BDH("NBIX US Equity","ARDR_DEFERRED_TAX_ALLOWANCE","FQ3 2021","FQ3 2021","Currency=USD","Period=FQ","BEST_FPERIOD_OVERRIDE=FQ","FILING_STATUS=MR","SCALING_FORMAT=MLN","Sort=A","Dates=H","DateFormat=P","Fill=—","Direction=H","UseDPDF=Y")</f>
        <v>—</v>
      </c>
      <c r="O111" s="13">
        <f>_xll.BDH("NBIX US Equity","ARDR_DEFERRED_TAX_ALLOWANCE","FQ4 2021","FQ4 2021","Currency=USD","Period=FQ","BEST_FPERIOD_OVERRIDE=FQ","FILING_STATUS=MR","SCALING_FORMAT=MLN","Sort=A","Dates=H","DateFormat=P","Fill=—","Direction=H","UseDPDF=Y")</f>
        <v>54.8</v>
      </c>
      <c r="P111" s="13" t="str">
        <f>_xll.BDH("NBIX US Equity","ARDR_DEFERRED_TAX_ALLOWANCE","FQ1 2022","FQ1 2022","Currency=USD","Period=FQ","BEST_FPERIOD_OVERRIDE=FQ","FILING_STATUS=MR","SCALING_FORMAT=MLN","Sort=A","Dates=H","DateFormat=P","Fill=—","Direction=H","UseDPDF=Y")</f>
        <v>—</v>
      </c>
      <c r="Q111" s="13" t="str">
        <f>_xll.BDH("NBIX US Equity","ARDR_DEFERRED_TAX_ALLOWANCE","FQ2 2022","FQ2 2022","Currency=USD","Period=FQ","BEST_FPERIOD_OVERRIDE=FQ","FILING_STATUS=MR","SCALING_FORMAT=MLN","Sort=A","Dates=H","DateFormat=P","Fill=—","Direction=H","UseDPDF=Y")</f>
        <v>—</v>
      </c>
      <c r="R111" s="13" t="str">
        <f>_xll.BDH("NBIX US Equity","ARDR_DEFERRED_TAX_ALLOWANCE","FQ3 2022","FQ3 2022","Currency=USD","Period=FQ","BEST_FPERIOD_OVERRIDE=FQ","FILING_STATUS=MR","SCALING_FORMAT=MLN","Sort=A","Dates=H","DateFormat=P","Fill=—","Direction=H","UseDPDF=Y")</f>
        <v>—</v>
      </c>
      <c r="S111" s="13">
        <f>_xll.BDH("NBIX US Equity","ARDR_DEFERRED_TAX_ALLOWANCE","FQ4 2022","FQ4 2022","Currency=USD","Period=FQ","BEST_FPERIOD_OVERRIDE=FQ","FILING_STATUS=MR","SCALING_FORMAT=MLN","Sort=A","Dates=H","DateFormat=P","Fill=—","Direction=H","UseDPDF=Y")</f>
        <v>67</v>
      </c>
      <c r="T111" s="13" t="str">
        <f>_xll.BDH("NBIX US Equity","ARDR_DEFERRED_TAX_ALLOWANCE","FQ1 2023","FQ1 2023","Currency=USD","Period=FQ","BEST_FPERIOD_OVERRIDE=FQ","FILING_STATUS=MR","SCALING_FORMAT=MLN","Sort=A","Dates=H","DateFormat=P","Fill=—","Direction=H","UseDPDF=Y")</f>
        <v>—</v>
      </c>
      <c r="U111" s="13" t="str">
        <f>_xll.BDH("NBIX US Equity","ARDR_DEFERRED_TAX_ALLOWANCE","FQ2 2023","FQ2 2023","Currency=USD","Period=FQ","BEST_FPERIOD_OVERRIDE=FQ","FILING_STATUS=MR","SCALING_FORMAT=MLN","Sort=A","Dates=H","DateFormat=P","Fill=—","Direction=H","UseDPDF=Y")</f>
        <v>—</v>
      </c>
      <c r="V111" s="13" t="str">
        <f>_xll.BDH("NBIX US Equity","ARDR_DEFERRED_TAX_ALLOWANCE","FQ3 2023","FQ3 2023","Currency=USD","Period=FQ","BEST_FPERIOD_OVERRIDE=FQ","FILING_STATUS=MR","SCALING_FORMAT=MLN","Sort=A","Dates=H","DateFormat=P","Fill=—","Direction=H","UseDPDF=Y")</f>
        <v>—</v>
      </c>
      <c r="W111" s="13">
        <f>_xll.BDH("NBIX US Equity","ARDR_DEFERRED_TAX_ALLOWANCE","FQ4 2023","FQ4 2023","Currency=USD","Period=FQ","BEST_FPERIOD_OVERRIDE=FQ","FILING_STATUS=MR","SCALING_FORMAT=MLN","Sort=A","Dates=H","DateFormat=P","Fill=—","Direction=H","UseDPDF=Y")</f>
        <v>88.9</v>
      </c>
      <c r="X111" s="13" t="str">
        <f>_xll.BDH("NBIX US Equity","ARDR_DEFERRED_TAX_ALLOWANCE","FQ1 2024","FQ1 2024","Currency=USD","Period=FQ","BEST_FPERIOD_OVERRIDE=FQ","FILING_STATUS=MR","SCALING_FORMAT=MLN","Sort=A","Dates=H","DateFormat=P","Fill=—","Direction=H","UseDPDF=Y")</f>
        <v>—</v>
      </c>
      <c r="Y111" s="13" t="str">
        <f>_xll.BDH("NBIX US Equity","ARDR_DEFERRED_TAX_ALLOWANCE","FQ2 2024","FQ2 2024","Currency=USD","Period=FQ","BEST_FPERIOD_OVERRIDE=FQ","FILING_STATUS=MR","SCALING_FORMAT=MLN","Sort=A","Dates=H","DateFormat=P","Fill=—","Direction=H","UseDPDF=Y")</f>
        <v>—</v>
      </c>
      <c r="Z111" s="13" t="str">
        <f>_xll.BDH("NBIX US Equity","ARDR_DEFERRED_TAX_ALLOWANCE","FQ3 2024","FQ3 2024","Currency=USD","Period=FQ","BEST_FPERIOD_OVERRIDE=FQ","FILING_STATUS=MR","SCALING_FORMAT=MLN","Sort=A","Dates=H","DateFormat=P","Fill=—","Direction=H","UseDPDF=Y")</f>
        <v>—</v>
      </c>
      <c r="AA111" s="13">
        <f>_xll.BDH("NBIX US Equity","ARDR_DEFERRED_TAX_ALLOWANCE","FQ4 2024","FQ4 2024","Currency=USD","Period=FQ","BEST_FPERIOD_OVERRIDE=FQ","FILING_STATUS=MR","SCALING_FORMAT=MLN","Sort=A","Dates=H","DateFormat=P","Fill=—","Direction=H","UseDPDF=Y")</f>
        <v>112.2</v>
      </c>
    </row>
    <row r="112" spans="1:27" x14ac:dyDescent="0.25">
      <c r="A112" s="10" t="s">
        <v>996</v>
      </c>
      <c r="B112" s="10" t="s">
        <v>997</v>
      </c>
      <c r="C112" s="13">
        <f>_xll.BDH("NBIX US Equity","ARDR_FV_ASSETS_REC_L1_CASH_SECS","FQ4 2018","FQ4 2018","Currency=USD","Period=FQ","BEST_FPERIOD_OVERRIDE=FQ","FILING_STATUS=MR","SCALING_FORMAT=MLN","Sort=A","Dates=H","DateFormat=P","Fill=—","Direction=H","UseDPDF=Y")</f>
        <v>-5.5</v>
      </c>
      <c r="D112" s="13">
        <f>_xll.BDH("NBIX US Equity","ARDR_FV_ASSETS_REC_L1_CASH_SECS","FQ1 2019","FQ1 2019","Currency=USD","Period=FQ","BEST_FPERIOD_OVERRIDE=FQ","FILING_STATUS=MR","SCALING_FORMAT=MLN","Sort=A","Dates=H","DateFormat=P","Fill=—","Direction=H","UseDPDF=Y")</f>
        <v>-5.4999999999999997E-3</v>
      </c>
      <c r="E112" s="13">
        <f>_xll.BDH("NBIX US Equity","ARDR_FV_ASSETS_REC_L1_CASH_SECS","FQ2 2019","FQ2 2019","Currency=USD","Period=FQ","BEST_FPERIOD_OVERRIDE=FQ","FILING_STATUS=MR","SCALING_FORMAT=MLN","Sort=A","Dates=H","DateFormat=P","Fill=—","Direction=H","UseDPDF=Y")</f>
        <v>-5.4770000000000003</v>
      </c>
      <c r="F112" s="13">
        <f>_xll.BDH("NBIX US Equity","ARDR_FV_ASSETS_REC_L1_CASH_SECS","FQ3 2019","FQ3 2019","Currency=USD","Period=FQ","BEST_FPERIOD_OVERRIDE=FQ","FILING_STATUS=MR","SCALING_FORMAT=MLN","Sort=A","Dates=H","DateFormat=P","Fill=—","Direction=H","UseDPDF=Y")</f>
        <v>168.137</v>
      </c>
      <c r="G112" s="13">
        <f>_xll.BDH("NBIX US Equity","ARDR_FV_ASSETS_REC_L1_CASH_SECS","FQ4 2019","FQ4 2019","Currency=USD","Period=FQ","BEST_FPERIOD_OVERRIDE=FQ","FILING_STATUS=MR","SCALING_FORMAT=MLN","Sort=A","Dates=H","DateFormat=P","Fill=—","Direction=H","UseDPDF=Y")</f>
        <v>115.5</v>
      </c>
      <c r="H112" s="13">
        <f>_xll.BDH("NBIX US Equity","ARDR_FV_ASSETS_REC_L1_CASH_SECS","FQ1 2020","FQ1 2020","Currency=USD","Period=FQ","BEST_FPERIOD_OVERRIDE=FQ","FILING_STATUS=MR","SCALING_FORMAT=MLN","Sort=A","Dates=H","DateFormat=P","Fill=—","Direction=H","UseDPDF=Y")</f>
        <v>190.2</v>
      </c>
      <c r="I112" s="13">
        <f>_xll.BDH("NBIX US Equity","ARDR_FV_ASSETS_REC_L1_CASH_SECS","FQ2 2020","FQ2 2020","Currency=USD","Period=FQ","BEST_FPERIOD_OVERRIDE=FQ","FILING_STATUS=MR","SCALING_FORMAT=MLN","Sort=A","Dates=H","DateFormat=P","Fill=—","Direction=H","UseDPDF=Y")</f>
        <v>418.3</v>
      </c>
      <c r="J112" s="13">
        <f>_xll.BDH("NBIX US Equity","ARDR_FV_ASSETS_REC_L1_CASH_SECS","FQ3 2020","FQ3 2020","Currency=USD","Period=FQ","BEST_FPERIOD_OVERRIDE=FQ","FILING_STATUS=MR","SCALING_FORMAT=MLN","Sort=A","Dates=H","DateFormat=P","Fill=—","Direction=H","UseDPDF=Y")</f>
        <v>428.5</v>
      </c>
      <c r="K112" s="13">
        <f>_xll.BDH("NBIX US Equity","ARDR_FV_ASSETS_REC_L1_CASH_SECS","FQ4 2020","FQ4 2020","Currency=USD","Period=FQ","BEST_FPERIOD_OVERRIDE=FQ","FILING_STATUS=MR","SCALING_FORMAT=MLN","Sort=A","Dates=H","DateFormat=P","Fill=—","Direction=H","UseDPDF=Y")</f>
        <v>190.3</v>
      </c>
      <c r="L112" s="13">
        <f>_xll.BDH("NBIX US Equity","ARDR_FV_ASSETS_REC_L1_CASH_SECS","FQ1 2021","FQ1 2021","Currency=USD","Period=FQ","BEST_FPERIOD_OVERRIDE=FQ","FILING_STATUS=MR","SCALING_FORMAT=MLN","Sort=A","Dates=H","DateFormat=P","Fill=—","Direction=H","UseDPDF=Y")</f>
        <v>355.8</v>
      </c>
      <c r="M112" s="13">
        <f>_xll.BDH("NBIX US Equity","ARDR_FV_ASSETS_REC_L1_CASH_SECS","FQ2 2021","FQ2 2021","Currency=USD","Period=FQ","BEST_FPERIOD_OVERRIDE=FQ","FILING_STATUS=MR","SCALING_FORMAT=MLN","Sort=A","Dates=H","DateFormat=P","Fill=—","Direction=H","UseDPDF=Y")</f>
        <v>371.2</v>
      </c>
      <c r="N112" s="13">
        <f>_xll.BDH("NBIX US Equity","ARDR_FV_ASSETS_REC_L1_CASH_SECS","FQ3 2021","FQ3 2021","Currency=USD","Period=FQ","BEST_FPERIOD_OVERRIDE=FQ","FILING_STATUS=MR","SCALING_FORMAT=MLN","Sort=A","Dates=H","DateFormat=P","Fill=—","Direction=H","UseDPDF=Y")</f>
        <v>314.3</v>
      </c>
      <c r="O112" s="13">
        <f>_xll.BDH("NBIX US Equity","ARDR_FV_ASSETS_REC_L1_CASH_SECS","FQ4 2021","FQ4 2021","Currency=USD","Period=FQ","BEST_FPERIOD_OVERRIDE=FQ","FILING_STATUS=MR","SCALING_FORMAT=MLN","Sort=A","Dates=H","DateFormat=P","Fill=—","Direction=H","UseDPDF=Y")</f>
        <v>344</v>
      </c>
      <c r="P112" s="13">
        <f>_xll.BDH("NBIX US Equity","ARDR_FV_ASSETS_REC_L1_CASH_SECS","FQ1 2022","FQ1 2022","Currency=USD","Period=FQ","BEST_FPERIOD_OVERRIDE=FQ","FILING_STATUS=MR","SCALING_FORMAT=MLN","Sort=A","Dates=H","DateFormat=P","Fill=—","Direction=H","UseDPDF=Y")</f>
        <v>278</v>
      </c>
      <c r="Q112" s="13">
        <f>_xll.BDH("NBIX US Equity","ARDR_FV_ASSETS_REC_L1_CASH_SECS","FQ2 2022","FQ2 2022","Currency=USD","Period=FQ","BEST_FPERIOD_OVERRIDE=FQ","FILING_STATUS=MR","SCALING_FORMAT=MLN","Sort=A","Dates=H","DateFormat=P","Fill=—","Direction=H","UseDPDF=Y")</f>
        <v>171.1</v>
      </c>
      <c r="R112" s="13">
        <f>_xll.BDH("NBIX US Equity","ARDR_FV_ASSETS_REC_L1_CASH_SECS","FQ3 2022","FQ3 2022","Currency=USD","Period=FQ","BEST_FPERIOD_OVERRIDE=FQ","FILING_STATUS=MR","SCALING_FORMAT=MLN","Sort=A","Dates=H","DateFormat=P","Fill=—","Direction=H","UseDPDF=Y")</f>
        <v>220</v>
      </c>
      <c r="S112" s="13">
        <f>_xll.BDH("NBIX US Equity","ARDR_FV_ASSETS_REC_L1_CASH_SECS","FQ4 2022","FQ4 2022","Currency=USD","Period=FQ","BEST_FPERIOD_OVERRIDE=FQ","FILING_STATUS=MR","SCALING_FORMAT=MLN","Sort=A","Dates=H","DateFormat=P","Fill=—","Direction=H","UseDPDF=Y")</f>
        <v>270.7</v>
      </c>
      <c r="T112" s="13">
        <f>_xll.BDH("NBIX US Equity","ARDR_FV_ASSETS_REC_L1_CASH_SECS","FQ1 2023","FQ1 2023","Currency=USD","Period=FQ","BEST_FPERIOD_OVERRIDE=FQ","FILING_STATUS=MR","SCALING_FORMAT=MLN","Sort=A","Dates=H","DateFormat=P","Fill=—","Direction=H","UseDPDF=Y")</f>
        <v>111.6</v>
      </c>
      <c r="U112" s="13">
        <f>_xll.BDH("NBIX US Equity","ARDR_FV_ASSETS_REC_L1_CASH_SECS","FQ2 2023","FQ2 2023","Currency=USD","Period=FQ","BEST_FPERIOD_OVERRIDE=FQ","FILING_STATUS=MR","SCALING_FORMAT=MLN","Sort=A","Dates=H","DateFormat=P","Fill=—","Direction=H","UseDPDF=Y")</f>
        <v>168.2</v>
      </c>
      <c r="V112" s="13">
        <f>_xll.BDH("NBIX US Equity","ARDR_FV_ASSETS_REC_L1_CASH_SECS","FQ3 2023","FQ3 2023","Currency=USD","Period=FQ","BEST_FPERIOD_OVERRIDE=FQ","FILING_STATUS=MR","SCALING_FORMAT=MLN","Sort=A","Dates=H","DateFormat=P","Fill=—","Direction=H","UseDPDF=Y")</f>
        <v>301.7</v>
      </c>
      <c r="W112" s="13">
        <f>_xll.BDH("NBIX US Equity","ARDR_FV_ASSETS_REC_L1_CASH_SECS","FQ4 2023","FQ4 2023","Currency=USD","Period=FQ","BEST_FPERIOD_OVERRIDE=FQ","FILING_STATUS=MR","SCALING_FORMAT=MLN","Sort=A","Dates=H","DateFormat=P","Fill=—","Direction=H","UseDPDF=Y")</f>
        <v>259.10000000000002</v>
      </c>
      <c r="X112" s="13">
        <f>_xll.BDH("NBIX US Equity","ARDR_FV_ASSETS_REC_L1_CASH_SECS","FQ1 2024","FQ1 2024","Currency=USD","Period=FQ","BEST_FPERIOD_OVERRIDE=FQ","FILING_STATUS=MR","SCALING_FORMAT=MLN","Sort=A","Dates=H","DateFormat=P","Fill=—","Direction=H","UseDPDF=Y")</f>
        <v>404.3</v>
      </c>
      <c r="Y112" s="13">
        <f>_xll.BDH("NBIX US Equity","ARDR_FV_ASSETS_REC_L1_CASH_SECS","FQ2 2024","FQ2 2024","Currency=USD","Period=FQ","BEST_FPERIOD_OVERRIDE=FQ","FILING_STATUS=MR","SCALING_FORMAT=MLN","Sort=A","Dates=H","DateFormat=P","Fill=—","Direction=H","UseDPDF=Y")</f>
        <v>147.69999999999999</v>
      </c>
      <c r="Z112" s="13">
        <f>_xll.BDH("NBIX US Equity","ARDR_FV_ASSETS_REC_L1_CASH_SECS","FQ3 2024","FQ3 2024","Currency=USD","Period=FQ","BEST_FPERIOD_OVERRIDE=FQ","FILING_STATUS=MR","SCALING_FORMAT=MLN","Sort=A","Dates=H","DateFormat=P","Fill=—","Direction=H","UseDPDF=Y")</f>
        <v>349.1</v>
      </c>
      <c r="AA112" s="13">
        <f>_xll.BDH("NBIX US Equity","ARDR_FV_ASSETS_REC_L1_CASH_SECS","FQ4 2024","FQ4 2024","Currency=USD","Period=FQ","BEST_FPERIOD_OVERRIDE=FQ","FILING_STATUS=MR","SCALING_FORMAT=MLN","Sort=A","Dates=H","DateFormat=P","Fill=—","Direction=H","UseDPDF=Y")</f>
        <v>233</v>
      </c>
    </row>
    <row r="113" spans="1:27" x14ac:dyDescent="0.25">
      <c r="A113" s="10" t="s">
        <v>998</v>
      </c>
      <c r="B113" s="10" t="s">
        <v>999</v>
      </c>
      <c r="C113" s="13">
        <f>_xll.BDH("NBIX US Equity","ARDR_FV_ASSETS_REC_L1_TRAD_TREAS","FQ4 2018","FQ4 2018","Currency=USD","Period=FQ","BEST_FPERIOD_OVERRIDE=FQ","FILING_STATUS=MR","SCALING_FORMAT=MLN","Sort=A","Dates=H","DateFormat=P","Fill=—","Direction=H","UseDPDF=Y")</f>
        <v>0</v>
      </c>
      <c r="D113" s="13">
        <f>_xll.BDH("NBIX US Equity","ARDR_FV_ASSETS_REC_L1_TRAD_TREAS","FQ1 2019","FQ1 2019","Currency=USD","Period=FQ","BEST_FPERIOD_OVERRIDE=FQ","FILING_STATUS=MR","SCALING_FORMAT=MLN","Sort=A","Dates=H","DateFormat=P","Fill=—","Direction=H","UseDPDF=Y")</f>
        <v>0</v>
      </c>
      <c r="E113" s="13">
        <f>_xll.BDH("NBIX US Equity","ARDR_FV_ASSETS_REC_L1_TRAD_TREAS","FQ2 2019","FQ2 2019","Currency=USD","Period=FQ","BEST_FPERIOD_OVERRIDE=FQ","FILING_STATUS=MR","SCALING_FORMAT=MLN","Sort=A","Dates=H","DateFormat=P","Fill=—","Direction=H","UseDPDF=Y")</f>
        <v>0</v>
      </c>
      <c r="F113" s="13">
        <f>_xll.BDH("NBIX US Equity","ARDR_FV_ASSETS_REC_L1_TRAD_TREAS","FQ3 2019","FQ3 2019","Currency=USD","Period=FQ","BEST_FPERIOD_OVERRIDE=FQ","FILING_STATUS=MR","SCALING_FORMAT=MLN","Sort=A","Dates=H","DateFormat=P","Fill=—","Direction=H","UseDPDF=Y")</f>
        <v>-171.80600000000001</v>
      </c>
      <c r="G113" s="13">
        <f>_xll.BDH("NBIX US Equity","ARDR_FV_ASSETS_REC_L1_TRAD_TREAS","FQ4 2019","FQ4 2019","Currency=USD","Period=FQ","BEST_FPERIOD_OVERRIDE=FQ","FILING_STATUS=MR","SCALING_FORMAT=MLN","Sort=A","Dates=H","DateFormat=P","Fill=—","Direction=H","UseDPDF=Y")</f>
        <v>0</v>
      </c>
      <c r="H113" s="13">
        <f>_xll.BDH("NBIX US Equity","ARDR_FV_ASSETS_REC_L1_TRAD_TREAS","FQ1 2020","FQ1 2020","Currency=USD","Period=FQ","BEST_FPERIOD_OVERRIDE=FQ","FILING_STATUS=MR","SCALING_FORMAT=MLN","Sort=A","Dates=H","DateFormat=P","Fill=—","Direction=H","UseDPDF=Y")</f>
        <v>0</v>
      </c>
      <c r="I113" s="13">
        <f>_xll.BDH("NBIX US Equity","ARDR_FV_ASSETS_REC_L1_TRAD_TREAS","FQ2 2020","FQ2 2020","Currency=USD","Period=FQ","BEST_FPERIOD_OVERRIDE=FQ","FILING_STATUS=MR","SCALING_FORMAT=MLN","Sort=A","Dates=H","DateFormat=P","Fill=—","Direction=H","UseDPDF=Y")</f>
        <v>0</v>
      </c>
      <c r="J113" s="13">
        <f>_xll.BDH("NBIX US Equity","ARDR_FV_ASSETS_REC_L1_TRAD_TREAS","FQ3 2020","FQ3 2020","Currency=USD","Period=FQ","BEST_FPERIOD_OVERRIDE=FQ","FILING_STATUS=MR","SCALING_FORMAT=MLN","Sort=A","Dates=H","DateFormat=P","Fill=—","Direction=H","UseDPDF=Y")</f>
        <v>0</v>
      </c>
      <c r="K113" s="13">
        <f>_xll.BDH("NBIX US Equity","ARDR_FV_ASSETS_REC_L1_TRAD_TREAS","FQ4 2020","FQ4 2020","Currency=USD","Period=FQ","BEST_FPERIOD_OVERRIDE=FQ","FILING_STATUS=MR","SCALING_FORMAT=MLN","Sort=A","Dates=H","DateFormat=P","Fill=—","Direction=H","UseDPDF=Y")</f>
        <v>0</v>
      </c>
      <c r="L113" s="13">
        <f>_xll.BDH("NBIX US Equity","ARDR_FV_ASSETS_REC_L1_TRAD_TREAS","FQ1 2021","FQ1 2021","Currency=USD","Period=FQ","BEST_FPERIOD_OVERRIDE=FQ","FILING_STATUS=MR","SCALING_FORMAT=MLN","Sort=A","Dates=H","DateFormat=P","Fill=—","Direction=H","UseDPDF=Y")</f>
        <v>0</v>
      </c>
      <c r="M113" s="13">
        <f>_xll.BDH("NBIX US Equity","ARDR_FV_ASSETS_REC_L1_TRAD_TREAS","FQ2 2021","FQ2 2021","Currency=USD","Period=FQ","BEST_FPERIOD_OVERRIDE=FQ","FILING_STATUS=MR","SCALING_FORMAT=MLN","Sort=A","Dates=H","DateFormat=P","Fill=—","Direction=H","UseDPDF=Y")</f>
        <v>0</v>
      </c>
      <c r="N113" s="13">
        <f>_xll.BDH("NBIX US Equity","ARDR_FV_ASSETS_REC_L1_TRAD_TREAS","FQ3 2021","FQ3 2021","Currency=USD","Period=FQ","BEST_FPERIOD_OVERRIDE=FQ","FILING_STATUS=MR","SCALING_FORMAT=MLN","Sort=A","Dates=H","DateFormat=P","Fill=—","Direction=H","UseDPDF=Y")</f>
        <v>0</v>
      </c>
      <c r="O113" s="13">
        <f>_xll.BDH("NBIX US Equity","ARDR_FV_ASSETS_REC_L1_TRAD_TREAS","FQ4 2021","FQ4 2021","Currency=USD","Period=FQ","BEST_FPERIOD_OVERRIDE=FQ","FILING_STATUS=MR","SCALING_FORMAT=MLN","Sort=A","Dates=H","DateFormat=P","Fill=—","Direction=H","UseDPDF=Y")</f>
        <v>0</v>
      </c>
      <c r="P113" s="13">
        <f>_xll.BDH("NBIX US Equity","ARDR_FV_ASSETS_REC_L1_TRAD_TREAS","FQ1 2022","FQ1 2022","Currency=USD","Period=FQ","BEST_FPERIOD_OVERRIDE=FQ","FILING_STATUS=MR","SCALING_FORMAT=MLN","Sort=A","Dates=H","DateFormat=P","Fill=—","Direction=H","UseDPDF=Y")</f>
        <v>0</v>
      </c>
      <c r="Q113" s="13">
        <f>_xll.BDH("NBIX US Equity","ARDR_FV_ASSETS_REC_L1_TRAD_TREAS","FQ2 2022","FQ2 2022","Currency=USD","Period=FQ","BEST_FPERIOD_OVERRIDE=FQ","FILING_STATUS=MR","SCALING_FORMAT=MLN","Sort=A","Dates=H","DateFormat=P","Fill=—","Direction=H","UseDPDF=Y")</f>
        <v>0</v>
      </c>
      <c r="R113" s="13">
        <f>_xll.BDH("NBIX US Equity","ARDR_FV_ASSETS_REC_L1_TRAD_TREAS","FQ3 2022","FQ3 2022","Currency=USD","Period=FQ","BEST_FPERIOD_OVERRIDE=FQ","FILING_STATUS=MR","SCALING_FORMAT=MLN","Sort=A","Dates=H","DateFormat=P","Fill=—","Direction=H","UseDPDF=Y")</f>
        <v>0</v>
      </c>
      <c r="S113" s="13">
        <f>_xll.BDH("NBIX US Equity","ARDR_FV_ASSETS_REC_L1_TRAD_TREAS","FQ4 2022","FQ4 2022","Currency=USD","Period=FQ","BEST_FPERIOD_OVERRIDE=FQ","FILING_STATUS=MR","SCALING_FORMAT=MLN","Sort=A","Dates=H","DateFormat=P","Fill=—","Direction=H","UseDPDF=Y")</f>
        <v>0</v>
      </c>
      <c r="T113" s="13">
        <f>_xll.BDH("NBIX US Equity","ARDR_FV_ASSETS_REC_L1_TRAD_TREAS","FQ1 2023","FQ1 2023","Currency=USD","Period=FQ","BEST_FPERIOD_OVERRIDE=FQ","FILING_STATUS=MR","SCALING_FORMAT=MLN","Sort=A","Dates=H","DateFormat=P","Fill=—","Direction=H","UseDPDF=Y")</f>
        <v>0</v>
      </c>
      <c r="U113" s="13">
        <f>_xll.BDH("NBIX US Equity","ARDR_FV_ASSETS_REC_L1_TRAD_TREAS","FQ2 2023","FQ2 2023","Currency=USD","Period=FQ","BEST_FPERIOD_OVERRIDE=FQ","FILING_STATUS=MR","SCALING_FORMAT=MLN","Sort=A","Dates=H","DateFormat=P","Fill=—","Direction=H","UseDPDF=Y")</f>
        <v>0</v>
      </c>
      <c r="V113" s="13">
        <f>_xll.BDH("NBIX US Equity","ARDR_FV_ASSETS_REC_L1_TRAD_TREAS","FQ3 2023","FQ3 2023","Currency=USD","Period=FQ","BEST_FPERIOD_OVERRIDE=FQ","FILING_STATUS=MR","SCALING_FORMAT=MLN","Sort=A","Dates=H","DateFormat=P","Fill=—","Direction=H","UseDPDF=Y")</f>
        <v>0</v>
      </c>
      <c r="W113" s="13">
        <f>_xll.BDH("NBIX US Equity","ARDR_FV_ASSETS_REC_L1_TRAD_TREAS","FQ4 2023","FQ4 2023","Currency=USD","Period=FQ","BEST_FPERIOD_OVERRIDE=FQ","FILING_STATUS=MR","SCALING_FORMAT=MLN","Sort=A","Dates=H","DateFormat=P","Fill=—","Direction=H","UseDPDF=Y")</f>
        <v>0</v>
      </c>
      <c r="X113" s="13">
        <f>_xll.BDH("NBIX US Equity","ARDR_FV_ASSETS_REC_L1_TRAD_TREAS","FQ1 2024","FQ1 2024","Currency=USD","Period=FQ","BEST_FPERIOD_OVERRIDE=FQ","FILING_STATUS=MR","SCALING_FORMAT=MLN","Sort=A","Dates=H","DateFormat=P","Fill=—","Direction=H","UseDPDF=Y")</f>
        <v>0</v>
      </c>
      <c r="Y113" s="13">
        <f>_xll.BDH("NBIX US Equity","ARDR_FV_ASSETS_REC_L1_TRAD_TREAS","FQ2 2024","FQ2 2024","Currency=USD","Period=FQ","BEST_FPERIOD_OVERRIDE=FQ","FILING_STATUS=MR","SCALING_FORMAT=MLN","Sort=A","Dates=H","DateFormat=P","Fill=—","Direction=H","UseDPDF=Y")</f>
        <v>0</v>
      </c>
      <c r="Z113" s="13" t="str">
        <f>_xll.BDH("NBIX US Equity","ARDR_FV_ASSETS_REC_L1_TRAD_TREAS","FQ3 2024","FQ3 2024","Currency=USD","Period=FQ","BEST_FPERIOD_OVERRIDE=FQ","FILING_STATUS=MR","SCALING_FORMAT=MLN","Sort=A","Dates=H","DateFormat=P","Fill=—","Direction=H","UseDPDF=Y")</f>
        <v>—</v>
      </c>
      <c r="AA113" s="13" t="str">
        <f>_xll.BDH("NBIX US Equity","ARDR_FV_ASSETS_REC_L1_TRAD_TREAS","FQ4 2024","FQ4 2024","Currency=USD","Period=FQ","BEST_FPERIOD_OVERRIDE=FQ","FILING_STATUS=MR","SCALING_FORMAT=MLN","Sort=A","Dates=H","DateFormat=P","Fill=—","Direction=H","UseDPDF=Y")</f>
        <v>—</v>
      </c>
    </row>
    <row r="114" spans="1:27" x14ac:dyDescent="0.25">
      <c r="A114" s="10" t="s">
        <v>1000</v>
      </c>
      <c r="B114" s="10" t="s">
        <v>1001</v>
      </c>
      <c r="C114" s="13">
        <f>_xll.BDH("NBIX US Equity","ARDR_FV_ASTS_REC_L1_AFS_CORP_BDS","FQ4 2018","FQ4 2018","Currency=USD","Period=FQ","BEST_FPERIOD_OVERRIDE=FQ","FILING_STATUS=MR","SCALING_FORMAT=MLN","Sort=A","Dates=H","DateFormat=P","Fill=—","Direction=H","UseDPDF=Y")</f>
        <v>0</v>
      </c>
      <c r="D114" s="13">
        <f>_xll.BDH("NBIX US Equity","ARDR_FV_ASTS_REC_L1_AFS_CORP_BDS","FQ1 2019","FQ1 2019","Currency=USD","Period=FQ","BEST_FPERIOD_OVERRIDE=FQ","FILING_STATUS=MR","SCALING_FORMAT=MLN","Sort=A","Dates=H","DateFormat=P","Fill=—","Direction=H","UseDPDF=Y")</f>
        <v>0</v>
      </c>
      <c r="E114" s="13">
        <f>_xll.BDH("NBIX US Equity","ARDR_FV_ASTS_REC_L1_AFS_CORP_BDS","FQ2 2019","FQ2 2019","Currency=USD","Period=FQ","BEST_FPERIOD_OVERRIDE=FQ","FILING_STATUS=MR","SCALING_FORMAT=MLN","Sort=A","Dates=H","DateFormat=P","Fill=—","Direction=H","UseDPDF=Y")</f>
        <v>0</v>
      </c>
      <c r="F114" s="13">
        <f>_xll.BDH("NBIX US Equity","ARDR_FV_ASTS_REC_L1_AFS_CORP_BDS","FQ3 2019","FQ3 2019","Currency=USD","Period=FQ","BEST_FPERIOD_OVERRIDE=FQ","FILING_STATUS=MR","SCALING_FORMAT=MLN","Sort=A","Dates=H","DateFormat=P","Fill=—","Direction=H","UseDPDF=Y")</f>
        <v>0</v>
      </c>
      <c r="G114" s="13">
        <f>_xll.BDH("NBIX US Equity","ARDR_FV_ASTS_REC_L1_AFS_CORP_BDS","FQ4 2019","FQ4 2019","Currency=USD","Period=FQ","BEST_FPERIOD_OVERRIDE=FQ","FILING_STATUS=MR","SCALING_FORMAT=MLN","Sort=A","Dates=H","DateFormat=P","Fill=—","Direction=H","UseDPDF=Y")</f>
        <v>0</v>
      </c>
      <c r="H114" s="13">
        <f>_xll.BDH("NBIX US Equity","ARDR_FV_ASTS_REC_L1_AFS_CORP_BDS","FQ1 2020","FQ1 2020","Currency=USD","Period=FQ","BEST_FPERIOD_OVERRIDE=FQ","FILING_STATUS=MR","SCALING_FORMAT=MLN","Sort=A","Dates=H","DateFormat=P","Fill=—","Direction=H","UseDPDF=Y")</f>
        <v>0</v>
      </c>
      <c r="I114" s="13">
        <f>_xll.BDH("NBIX US Equity","ARDR_FV_ASTS_REC_L1_AFS_CORP_BDS","FQ2 2020","FQ2 2020","Currency=USD","Period=FQ","BEST_FPERIOD_OVERRIDE=FQ","FILING_STATUS=MR","SCALING_FORMAT=MLN","Sort=A","Dates=H","DateFormat=P","Fill=—","Direction=H","UseDPDF=Y")</f>
        <v>0</v>
      </c>
      <c r="J114" s="13">
        <f>_xll.BDH("NBIX US Equity","ARDR_FV_ASTS_REC_L1_AFS_CORP_BDS","FQ3 2020","FQ3 2020","Currency=USD","Period=FQ","BEST_FPERIOD_OVERRIDE=FQ","FILING_STATUS=MR","SCALING_FORMAT=MLN","Sort=A","Dates=H","DateFormat=P","Fill=—","Direction=H","UseDPDF=Y")</f>
        <v>0</v>
      </c>
      <c r="K114" s="13">
        <f>_xll.BDH("NBIX US Equity","ARDR_FV_ASTS_REC_L1_AFS_CORP_BDS","FQ4 2020","FQ4 2020","Currency=USD","Period=FQ","BEST_FPERIOD_OVERRIDE=FQ","FILING_STATUS=MR","SCALING_FORMAT=MLN","Sort=A","Dates=H","DateFormat=P","Fill=—","Direction=H","UseDPDF=Y")</f>
        <v>0</v>
      </c>
      <c r="L114" s="13">
        <f>_xll.BDH("NBIX US Equity","ARDR_FV_ASTS_REC_L1_AFS_CORP_BDS","FQ1 2021","FQ1 2021","Currency=USD","Period=FQ","BEST_FPERIOD_OVERRIDE=FQ","FILING_STATUS=MR","SCALING_FORMAT=MLN","Sort=A","Dates=H","DateFormat=P","Fill=—","Direction=H","UseDPDF=Y")</f>
        <v>0</v>
      </c>
      <c r="M114" s="13">
        <f>_xll.BDH("NBIX US Equity","ARDR_FV_ASTS_REC_L1_AFS_CORP_BDS","FQ2 2021","FQ2 2021","Currency=USD","Period=FQ","BEST_FPERIOD_OVERRIDE=FQ","FILING_STATUS=MR","SCALING_FORMAT=MLN","Sort=A","Dates=H","DateFormat=P","Fill=—","Direction=H","UseDPDF=Y")</f>
        <v>0</v>
      </c>
      <c r="N114" s="13">
        <f>_xll.BDH("NBIX US Equity","ARDR_FV_ASTS_REC_L1_AFS_CORP_BDS","FQ3 2021","FQ3 2021","Currency=USD","Period=FQ","BEST_FPERIOD_OVERRIDE=FQ","FILING_STATUS=MR","SCALING_FORMAT=MLN","Sort=A","Dates=H","DateFormat=P","Fill=—","Direction=H","UseDPDF=Y")</f>
        <v>0</v>
      </c>
      <c r="O114" s="13">
        <f>_xll.BDH("NBIX US Equity","ARDR_FV_ASTS_REC_L1_AFS_CORP_BDS","FQ4 2021","FQ4 2021","Currency=USD","Period=FQ","BEST_FPERIOD_OVERRIDE=FQ","FILING_STATUS=MR","SCALING_FORMAT=MLN","Sort=A","Dates=H","DateFormat=P","Fill=—","Direction=H","UseDPDF=Y")</f>
        <v>0</v>
      </c>
      <c r="P114" s="13">
        <f>_xll.BDH("NBIX US Equity","ARDR_FV_ASTS_REC_L1_AFS_CORP_BDS","FQ1 2022","FQ1 2022","Currency=USD","Period=FQ","BEST_FPERIOD_OVERRIDE=FQ","FILING_STATUS=MR","SCALING_FORMAT=MLN","Sort=A","Dates=H","DateFormat=P","Fill=—","Direction=H","UseDPDF=Y")</f>
        <v>0</v>
      </c>
      <c r="Q114" s="13">
        <f>_xll.BDH("NBIX US Equity","ARDR_FV_ASTS_REC_L1_AFS_CORP_BDS","FQ2 2022","FQ2 2022","Currency=USD","Period=FQ","BEST_FPERIOD_OVERRIDE=FQ","FILING_STATUS=MR","SCALING_FORMAT=MLN","Sort=A","Dates=H","DateFormat=P","Fill=—","Direction=H","UseDPDF=Y")</f>
        <v>0</v>
      </c>
      <c r="R114" s="13">
        <f>_xll.BDH("NBIX US Equity","ARDR_FV_ASTS_REC_L1_AFS_CORP_BDS","FQ3 2022","FQ3 2022","Currency=USD","Period=FQ","BEST_FPERIOD_OVERRIDE=FQ","FILING_STATUS=MR","SCALING_FORMAT=MLN","Sort=A","Dates=H","DateFormat=P","Fill=—","Direction=H","UseDPDF=Y")</f>
        <v>0</v>
      </c>
      <c r="S114" s="13">
        <f>_xll.BDH("NBIX US Equity","ARDR_FV_ASTS_REC_L1_AFS_CORP_BDS","FQ4 2022","FQ4 2022","Currency=USD","Period=FQ","BEST_FPERIOD_OVERRIDE=FQ","FILING_STATUS=MR","SCALING_FORMAT=MLN","Sort=A","Dates=H","DateFormat=P","Fill=—","Direction=H","UseDPDF=Y")</f>
        <v>0</v>
      </c>
      <c r="T114" s="13">
        <f>_xll.BDH("NBIX US Equity","ARDR_FV_ASTS_REC_L1_AFS_CORP_BDS","FQ1 2023","FQ1 2023","Currency=USD","Period=FQ","BEST_FPERIOD_OVERRIDE=FQ","FILING_STATUS=MR","SCALING_FORMAT=MLN","Sort=A","Dates=H","DateFormat=P","Fill=—","Direction=H","UseDPDF=Y")</f>
        <v>0</v>
      </c>
      <c r="U114" s="13">
        <f>_xll.BDH("NBIX US Equity","ARDR_FV_ASTS_REC_L1_AFS_CORP_BDS","FQ2 2023","FQ2 2023","Currency=USD","Period=FQ","BEST_FPERIOD_OVERRIDE=FQ","FILING_STATUS=MR","SCALING_FORMAT=MLN","Sort=A","Dates=H","DateFormat=P","Fill=—","Direction=H","UseDPDF=Y")</f>
        <v>0</v>
      </c>
      <c r="V114" s="13">
        <f>_xll.BDH("NBIX US Equity","ARDR_FV_ASTS_REC_L1_AFS_CORP_BDS","FQ3 2023","FQ3 2023","Currency=USD","Period=FQ","BEST_FPERIOD_OVERRIDE=FQ","FILING_STATUS=MR","SCALING_FORMAT=MLN","Sort=A","Dates=H","DateFormat=P","Fill=—","Direction=H","UseDPDF=Y")</f>
        <v>0</v>
      </c>
      <c r="W114" s="13">
        <f>_xll.BDH("NBIX US Equity","ARDR_FV_ASTS_REC_L1_AFS_CORP_BDS","FQ4 2023","FQ4 2023","Currency=USD","Period=FQ","BEST_FPERIOD_OVERRIDE=FQ","FILING_STATUS=MR","SCALING_FORMAT=MLN","Sort=A","Dates=H","DateFormat=P","Fill=—","Direction=H","UseDPDF=Y")</f>
        <v>0</v>
      </c>
      <c r="X114" s="13">
        <f>_xll.BDH("NBIX US Equity","ARDR_FV_ASTS_REC_L1_AFS_CORP_BDS","FQ1 2024","FQ1 2024","Currency=USD","Period=FQ","BEST_FPERIOD_OVERRIDE=FQ","FILING_STATUS=MR","SCALING_FORMAT=MLN","Sort=A","Dates=H","DateFormat=P","Fill=—","Direction=H","UseDPDF=Y")</f>
        <v>0</v>
      </c>
      <c r="Y114" s="13">
        <f>_xll.BDH("NBIX US Equity","ARDR_FV_ASTS_REC_L1_AFS_CORP_BDS","FQ2 2024","FQ2 2024","Currency=USD","Period=FQ","BEST_FPERIOD_OVERRIDE=FQ","FILING_STATUS=MR","SCALING_FORMAT=MLN","Sort=A","Dates=H","DateFormat=P","Fill=—","Direction=H","UseDPDF=Y")</f>
        <v>0</v>
      </c>
      <c r="Z114" s="13">
        <f>_xll.BDH("NBIX US Equity","ARDR_FV_ASTS_REC_L1_AFS_CORP_BDS","FQ3 2024","FQ3 2024","Currency=USD","Period=FQ","BEST_FPERIOD_OVERRIDE=FQ","FILING_STATUS=MR","SCALING_FORMAT=MLN","Sort=A","Dates=H","DateFormat=P","Fill=—","Direction=H","UseDPDF=Y")</f>
        <v>0</v>
      </c>
      <c r="AA114" s="13">
        <f>_xll.BDH("NBIX US Equity","ARDR_FV_ASTS_REC_L1_AFS_CORP_BDS","FQ4 2024","FQ4 2024","Currency=USD","Period=FQ","BEST_FPERIOD_OVERRIDE=FQ","FILING_STATUS=MR","SCALING_FORMAT=MLN","Sort=A","Dates=H","DateFormat=P","Fill=—","Direction=H","UseDPDF=Y")</f>
        <v>0</v>
      </c>
    </row>
    <row r="115" spans="1:27" x14ac:dyDescent="0.25">
      <c r="A115" s="10" t="s">
        <v>1002</v>
      </c>
      <c r="B115" s="10" t="s">
        <v>1003</v>
      </c>
      <c r="C115" s="13">
        <f>_xll.BDH("NBIX US Equity","ARDR_FV_ASSETS_REC_L1_OTHER","FQ4 2018","FQ4 2018","Currency=USD","Period=FQ","BEST_FPERIOD_OVERRIDE=FQ","FILING_STATUS=MR","SCALING_FORMAT=MLN","Sort=A","Dates=H","DateFormat=P","Fill=—","Direction=H","UseDPDF=Y")</f>
        <v>5.5</v>
      </c>
      <c r="D115" s="13">
        <f>_xll.BDH("NBIX US Equity","ARDR_FV_ASSETS_REC_L1_OTHER","FQ1 2019","FQ1 2019","Currency=USD","Period=FQ","BEST_FPERIOD_OVERRIDE=FQ","FILING_STATUS=MR","SCALING_FORMAT=MLN","Sort=A","Dates=H","DateFormat=P","Fill=—","Direction=H","UseDPDF=Y")</f>
        <v>5.4999999999999997E-3</v>
      </c>
      <c r="E115" s="13">
        <f>_xll.BDH("NBIX US Equity","ARDR_FV_ASSETS_REC_L1_OTHER","FQ2 2019","FQ2 2019","Currency=USD","Period=FQ","BEST_FPERIOD_OVERRIDE=FQ","FILING_STATUS=MR","SCALING_FORMAT=MLN","Sort=A","Dates=H","DateFormat=P","Fill=—","Direction=H","UseDPDF=Y")</f>
        <v>5.4770000000000003</v>
      </c>
      <c r="F115" s="13">
        <f>_xll.BDH("NBIX US Equity","ARDR_FV_ASSETS_REC_L1_OTHER","FQ3 2019","FQ3 2019","Currency=USD","Period=FQ","BEST_FPERIOD_OVERRIDE=FQ","FILING_STATUS=MR","SCALING_FORMAT=MLN","Sort=A","Dates=H","DateFormat=P","Fill=—","Direction=H","UseDPDF=Y")</f>
        <v>3.669</v>
      </c>
      <c r="G115" s="13">
        <f>_xll.BDH("NBIX US Equity","ARDR_FV_ASSETS_REC_L1_OTHER","FQ4 2019","FQ4 2019","Currency=USD","Period=FQ","BEST_FPERIOD_OVERRIDE=FQ","FILING_STATUS=MR","SCALING_FORMAT=MLN","Sort=A","Dates=H","DateFormat=P","Fill=—","Direction=H","UseDPDF=Y")</f>
        <v>0</v>
      </c>
      <c r="H115" s="13">
        <f>_xll.BDH("NBIX US Equity","ARDR_FV_ASSETS_REC_L1_OTHER","FQ1 2020","FQ1 2020","Currency=USD","Period=FQ","BEST_FPERIOD_OVERRIDE=FQ","FILING_STATUS=MR","SCALING_FORMAT=MLN","Sort=A","Dates=H","DateFormat=P","Fill=—","Direction=H","UseDPDF=Y")</f>
        <v>0</v>
      </c>
      <c r="I115" s="13" t="str">
        <f>_xll.BDH("NBIX US Equity","ARDR_FV_ASSETS_REC_L1_OTHER","FQ2 2020","FQ2 2020","Currency=USD","Period=FQ","BEST_FPERIOD_OVERRIDE=FQ","FILING_STATUS=MR","SCALING_FORMAT=MLN","Sort=A","Dates=H","DateFormat=P","Fill=—","Direction=H","UseDPDF=Y")</f>
        <v>—</v>
      </c>
      <c r="J115" s="13">
        <f>_xll.BDH("NBIX US Equity","ARDR_FV_ASSETS_REC_L1_OTHER","FQ3 2020","FQ3 2020","Currency=USD","Period=FQ","BEST_FPERIOD_OVERRIDE=FQ","FILING_STATUS=MR","SCALING_FORMAT=MLN","Sort=A","Dates=H","DateFormat=P","Fill=—","Direction=H","UseDPDF=Y")</f>
        <v>0</v>
      </c>
      <c r="K115" s="13">
        <f>_xll.BDH("NBIX US Equity","ARDR_FV_ASSETS_REC_L1_OTHER","FQ4 2020","FQ4 2020","Currency=USD","Period=FQ","BEST_FPERIOD_OVERRIDE=FQ","FILING_STATUS=MR","SCALING_FORMAT=MLN","Sort=A","Dates=H","DateFormat=P","Fill=—","Direction=H","UseDPDF=Y")</f>
        <v>0</v>
      </c>
      <c r="L115" s="13">
        <f>_xll.BDH("NBIX US Equity","ARDR_FV_ASSETS_REC_L1_OTHER","FQ1 2021","FQ1 2021","Currency=USD","Period=FQ","BEST_FPERIOD_OVERRIDE=FQ","FILING_STATUS=MR","SCALING_FORMAT=MLN","Sort=A","Dates=H","DateFormat=P","Fill=—","Direction=H","UseDPDF=Y")</f>
        <v>0</v>
      </c>
      <c r="M115" s="13" t="str">
        <f>_xll.BDH("NBIX US Equity","ARDR_FV_ASSETS_REC_L1_OTHER","FQ2 2021","FQ2 2021","Currency=USD","Period=FQ","BEST_FPERIOD_OVERRIDE=FQ","FILING_STATUS=MR","SCALING_FORMAT=MLN","Sort=A","Dates=H","DateFormat=P","Fill=—","Direction=H","UseDPDF=Y")</f>
        <v>—</v>
      </c>
      <c r="N115" s="13">
        <f>_xll.BDH("NBIX US Equity","ARDR_FV_ASSETS_REC_L1_OTHER","FQ3 2021","FQ3 2021","Currency=USD","Period=FQ","BEST_FPERIOD_OVERRIDE=FQ","FILING_STATUS=MR","SCALING_FORMAT=MLN","Sort=A","Dates=H","DateFormat=P","Fill=—","Direction=H","UseDPDF=Y")</f>
        <v>0</v>
      </c>
      <c r="O115" s="13">
        <f>_xll.BDH("NBIX US Equity","ARDR_FV_ASSETS_REC_L1_OTHER","FQ4 2021","FQ4 2021","Currency=USD","Period=FQ","BEST_FPERIOD_OVERRIDE=FQ","FILING_STATUS=MR","SCALING_FORMAT=MLN","Sort=A","Dates=H","DateFormat=P","Fill=—","Direction=H","UseDPDF=Y")</f>
        <v>52.7</v>
      </c>
      <c r="P115" s="13">
        <f>_xll.BDH("NBIX US Equity","ARDR_FV_ASSETS_REC_L1_OTHER","FQ1 2022","FQ1 2022","Currency=USD","Period=FQ","BEST_FPERIOD_OVERRIDE=FQ","FILING_STATUS=MR","SCALING_FORMAT=MLN","Sort=A","Dates=H","DateFormat=P","Fill=—","Direction=H","UseDPDF=Y")</f>
        <v>91.3</v>
      </c>
      <c r="Q115" s="13">
        <f>_xll.BDH("NBIX US Equity","ARDR_FV_ASSETS_REC_L1_OTHER","FQ2 2022","FQ2 2022","Currency=USD","Period=FQ","BEST_FPERIOD_OVERRIDE=FQ","FILING_STATUS=MR","SCALING_FORMAT=MLN","Sort=A","Dates=H","DateFormat=P","Fill=—","Direction=H","UseDPDF=Y")</f>
        <v>83.8</v>
      </c>
      <c r="R115" s="13">
        <f>_xll.BDH("NBIX US Equity","ARDR_FV_ASSETS_REC_L1_OTHER","FQ3 2022","FQ3 2022","Currency=USD","Period=FQ","BEST_FPERIOD_OVERRIDE=FQ","FILING_STATUS=MR","SCALING_FORMAT=MLN","Sort=A","Dates=H","DateFormat=P","Fill=—","Direction=H","UseDPDF=Y")</f>
        <v>94.9</v>
      </c>
      <c r="S115" s="13">
        <f>_xll.BDH("NBIX US Equity","ARDR_FV_ASSETS_REC_L1_OTHER","FQ4 2022","FQ4 2022","Currency=USD","Period=FQ","BEST_FPERIOD_OVERRIDE=FQ","FILING_STATUS=MR","SCALING_FORMAT=MLN","Sort=A","Dates=H","DateFormat=P","Fill=—","Direction=H","UseDPDF=Y")</f>
        <v>102.1</v>
      </c>
      <c r="T115" s="13">
        <f>_xll.BDH("NBIX US Equity","ARDR_FV_ASSETS_REC_L1_OTHER","FQ1 2023","FQ1 2023","Currency=USD","Period=FQ","BEST_FPERIOD_OVERRIDE=FQ","FILING_STATUS=MR","SCALING_FORMAT=MLN","Sort=A","Dates=H","DateFormat=P","Fill=—","Direction=H","UseDPDF=Y")</f>
        <v>135.69999999999999</v>
      </c>
      <c r="U115" s="13">
        <f>_xll.BDH("NBIX US Equity","ARDR_FV_ASSETS_REC_L1_OTHER","FQ2 2023","FQ2 2023","Currency=USD","Period=FQ","BEST_FPERIOD_OVERRIDE=FQ","FILING_STATUS=MR","SCALING_FORMAT=MLN","Sort=A","Dates=H","DateFormat=P","Fill=—","Direction=H","UseDPDF=Y")</f>
        <v>173</v>
      </c>
      <c r="V115" s="13">
        <f>_xll.BDH("NBIX US Equity","ARDR_FV_ASSETS_REC_L1_OTHER","FQ3 2023","FQ3 2023","Currency=USD","Period=FQ","BEST_FPERIOD_OVERRIDE=FQ","FILING_STATUS=MR","SCALING_FORMAT=MLN","Sort=A","Dates=H","DateFormat=P","Fill=—","Direction=H","UseDPDF=Y")</f>
        <v>132.80000000000001</v>
      </c>
      <c r="W115" s="13">
        <f>_xll.BDH("NBIX US Equity","ARDR_FV_ASSETS_REC_L1_OTHER","FQ4 2023","FQ4 2023","Currency=USD","Period=FQ","BEST_FPERIOD_OVERRIDE=FQ","FILING_STATUS=MR","SCALING_FORMAT=MLN","Sort=A","Dates=H","DateFormat=P","Fill=—","Direction=H","UseDPDF=Y")</f>
        <v>161.9</v>
      </c>
      <c r="X115" s="13">
        <f>_xll.BDH("NBIX US Equity","ARDR_FV_ASSETS_REC_L1_OTHER","FQ1 2024","FQ1 2024","Currency=USD","Period=FQ","BEST_FPERIOD_OVERRIDE=FQ","FILING_STATUS=MR","SCALING_FORMAT=MLN","Sort=A","Dates=H","DateFormat=P","Fill=—","Direction=H","UseDPDF=Y")</f>
        <v>163.5</v>
      </c>
      <c r="Y115" s="13">
        <f>_xll.BDH("NBIX US Equity","ARDR_FV_ASSETS_REC_L1_OTHER","FQ2 2024","FQ2 2024","Currency=USD","Period=FQ","BEST_FPERIOD_OVERRIDE=FQ","FILING_STATUS=MR","SCALING_FORMAT=MLN","Sort=A","Dates=H","DateFormat=P","Fill=—","Direction=H","UseDPDF=Y")</f>
        <v>143.6</v>
      </c>
      <c r="Z115" s="13">
        <f>_xll.BDH("NBIX US Equity","ARDR_FV_ASSETS_REC_L1_OTHER","FQ3 2024","FQ3 2024","Currency=USD","Period=FQ","BEST_FPERIOD_OVERRIDE=FQ","FILING_STATUS=MR","SCALING_FORMAT=MLN","Sort=A","Dates=H","DateFormat=P","Fill=—","Direction=H","UseDPDF=Y")</f>
        <v>126.7</v>
      </c>
      <c r="AA115" s="13">
        <f>_xll.BDH("NBIX US Equity","ARDR_FV_ASSETS_REC_L1_OTHER","FQ4 2024","FQ4 2024","Currency=USD","Period=FQ","BEST_FPERIOD_OVERRIDE=FQ","FILING_STATUS=MR","SCALING_FORMAT=MLN","Sort=A","Dates=H","DateFormat=P","Fill=—","Direction=H","UseDPDF=Y")</f>
        <v>124.8</v>
      </c>
    </row>
    <row r="116" spans="1:27" x14ac:dyDescent="0.25">
      <c r="A116" s="10" t="s">
        <v>1004</v>
      </c>
      <c r="B116" s="10" t="s">
        <v>1005</v>
      </c>
      <c r="C116" s="13">
        <f>_xll.BDH("NBIX US Equity","ARDR_FV_ASTS_REC_L2_CASH_SECS","FQ4 2018","FQ4 2018","Currency=USD","Period=FQ","BEST_FPERIOD_OVERRIDE=FQ","FILING_STATUS=MR","SCALING_FORMAT=MLN","Sort=A","Dates=H","DateFormat=P","Fill=—","Direction=H","UseDPDF=Y")</f>
        <v>0</v>
      </c>
      <c r="D116" s="13" t="str">
        <f>_xll.BDH("NBIX US Equity","ARDR_FV_ASTS_REC_L2_CASH_SECS","FQ1 2019","FQ1 2019","Currency=USD","Period=FQ","BEST_FPERIOD_OVERRIDE=FQ","FILING_STATUS=MR","SCALING_FORMAT=MLN","Sort=A","Dates=H","DateFormat=P","Fill=—","Direction=H","UseDPDF=Y")</f>
        <v>—</v>
      </c>
      <c r="E116" s="13" t="str">
        <f>_xll.BDH("NBIX US Equity","ARDR_FV_ASTS_REC_L2_CASH_SECS","FQ2 2019","FQ2 2019","Currency=USD","Period=FQ","BEST_FPERIOD_OVERRIDE=FQ","FILING_STATUS=MR","SCALING_FORMAT=MLN","Sort=A","Dates=H","DateFormat=P","Fill=—","Direction=H","UseDPDF=Y")</f>
        <v>—</v>
      </c>
      <c r="F116" s="13">
        <f>_xll.BDH("NBIX US Equity","ARDR_FV_ASTS_REC_L2_CASH_SECS","FQ3 2019","FQ3 2019","Currency=USD","Period=FQ","BEST_FPERIOD_OVERRIDE=FQ","FILING_STATUS=MR","SCALING_FORMAT=MLN","Sort=A","Dates=H","DateFormat=P","Fill=—","Direction=H","UseDPDF=Y")</f>
        <v>0</v>
      </c>
      <c r="G116" s="13">
        <f>_xll.BDH("NBIX US Equity","ARDR_FV_ASTS_REC_L2_CASH_SECS","FQ4 2019","FQ4 2019","Currency=USD","Period=FQ","BEST_FPERIOD_OVERRIDE=FQ","FILING_STATUS=MR","SCALING_FORMAT=MLN","Sort=A","Dates=H","DateFormat=P","Fill=—","Direction=H","UseDPDF=Y")</f>
        <v>0</v>
      </c>
      <c r="H116" s="13">
        <f>_xll.BDH("NBIX US Equity","ARDR_FV_ASTS_REC_L2_CASH_SECS","FQ1 2020","FQ1 2020","Currency=USD","Period=FQ","BEST_FPERIOD_OVERRIDE=FQ","FILING_STATUS=MR","SCALING_FORMAT=MLN","Sort=A","Dates=H","DateFormat=P","Fill=—","Direction=H","UseDPDF=Y")</f>
        <v>0</v>
      </c>
      <c r="I116" s="13">
        <f>_xll.BDH("NBIX US Equity","ARDR_FV_ASTS_REC_L2_CASH_SECS","FQ2 2020","FQ2 2020","Currency=USD","Period=FQ","BEST_FPERIOD_OVERRIDE=FQ","FILING_STATUS=MR","SCALING_FORMAT=MLN","Sort=A","Dates=H","DateFormat=P","Fill=—","Direction=H","UseDPDF=Y")</f>
        <v>0</v>
      </c>
      <c r="J116" s="13">
        <f>_xll.BDH("NBIX US Equity","ARDR_FV_ASTS_REC_L2_CASH_SECS","FQ3 2020","FQ3 2020","Currency=USD","Period=FQ","BEST_FPERIOD_OVERRIDE=FQ","FILING_STATUS=MR","SCALING_FORMAT=MLN","Sort=A","Dates=H","DateFormat=P","Fill=—","Direction=H","UseDPDF=Y")</f>
        <v>0</v>
      </c>
      <c r="K116" s="13">
        <f>_xll.BDH("NBIX US Equity","ARDR_FV_ASTS_REC_L2_CASH_SECS","FQ4 2020","FQ4 2020","Currency=USD","Period=FQ","BEST_FPERIOD_OVERRIDE=FQ","FILING_STATUS=MR","SCALING_FORMAT=MLN","Sort=A","Dates=H","DateFormat=P","Fill=—","Direction=H","UseDPDF=Y")</f>
        <v>0</v>
      </c>
      <c r="L116" s="13">
        <f>_xll.BDH("NBIX US Equity","ARDR_FV_ASTS_REC_L2_CASH_SECS","FQ1 2021","FQ1 2021","Currency=USD","Period=FQ","BEST_FPERIOD_OVERRIDE=FQ","FILING_STATUS=MR","SCALING_FORMAT=MLN","Sort=A","Dates=H","DateFormat=P","Fill=—","Direction=H","UseDPDF=Y")</f>
        <v>0</v>
      </c>
      <c r="M116" s="13">
        <f>_xll.BDH("NBIX US Equity","ARDR_FV_ASTS_REC_L2_CASH_SECS","FQ2 2021","FQ2 2021","Currency=USD","Period=FQ","BEST_FPERIOD_OVERRIDE=FQ","FILING_STATUS=MR","SCALING_FORMAT=MLN","Sort=A","Dates=H","DateFormat=P","Fill=—","Direction=H","UseDPDF=Y")</f>
        <v>0</v>
      </c>
      <c r="N116" s="13" t="str">
        <f>_xll.BDH("NBIX US Equity","ARDR_FV_ASTS_REC_L2_CASH_SECS","FQ3 2021","FQ3 2021","Currency=USD","Period=FQ","BEST_FPERIOD_OVERRIDE=FQ","FILING_STATUS=MR","SCALING_FORMAT=MLN","Sort=A","Dates=H","DateFormat=P","Fill=—","Direction=H","UseDPDF=Y")</f>
        <v>—</v>
      </c>
      <c r="O116" s="13">
        <f>_xll.BDH("NBIX US Equity","ARDR_FV_ASTS_REC_L2_CASH_SECS","FQ4 2021","FQ4 2021","Currency=USD","Period=FQ","BEST_FPERIOD_OVERRIDE=FQ","FILING_STATUS=MR","SCALING_FORMAT=MLN","Sort=A","Dates=H","DateFormat=P","Fill=—","Direction=H","UseDPDF=Y")</f>
        <v>0</v>
      </c>
      <c r="P116" s="13">
        <f>_xll.BDH("NBIX US Equity","ARDR_FV_ASTS_REC_L2_CASH_SECS","FQ1 2022","FQ1 2022","Currency=USD","Period=FQ","BEST_FPERIOD_OVERRIDE=FQ","FILING_STATUS=MR","SCALING_FORMAT=MLN","Sort=A","Dates=H","DateFormat=P","Fill=—","Direction=H","UseDPDF=Y")</f>
        <v>0</v>
      </c>
      <c r="Q116" s="13">
        <f>_xll.BDH("NBIX US Equity","ARDR_FV_ASTS_REC_L2_CASH_SECS","FQ2 2022","FQ2 2022","Currency=USD","Period=FQ","BEST_FPERIOD_OVERRIDE=FQ","FILING_STATUS=MR","SCALING_FORMAT=MLN","Sort=A","Dates=H","DateFormat=P","Fill=—","Direction=H","UseDPDF=Y")</f>
        <v>0</v>
      </c>
      <c r="R116" s="13">
        <f>_xll.BDH("NBIX US Equity","ARDR_FV_ASTS_REC_L2_CASH_SECS","FQ3 2022","FQ3 2022","Currency=USD","Period=FQ","BEST_FPERIOD_OVERRIDE=FQ","FILING_STATUS=MR","SCALING_FORMAT=MLN","Sort=A","Dates=H","DateFormat=P","Fill=—","Direction=H","UseDPDF=Y")</f>
        <v>0</v>
      </c>
      <c r="S116" s="13">
        <f>_xll.BDH("NBIX US Equity","ARDR_FV_ASTS_REC_L2_CASH_SECS","FQ4 2022","FQ4 2022","Currency=USD","Period=FQ","BEST_FPERIOD_OVERRIDE=FQ","FILING_STATUS=MR","SCALING_FORMAT=MLN","Sort=A","Dates=H","DateFormat=P","Fill=—","Direction=H","UseDPDF=Y")</f>
        <v>0</v>
      </c>
      <c r="T116" s="13">
        <f>_xll.BDH("NBIX US Equity","ARDR_FV_ASTS_REC_L2_CASH_SECS","FQ1 2023","FQ1 2023","Currency=USD","Period=FQ","BEST_FPERIOD_OVERRIDE=FQ","FILING_STATUS=MR","SCALING_FORMAT=MLN","Sort=A","Dates=H","DateFormat=P","Fill=—","Direction=H","UseDPDF=Y")</f>
        <v>0</v>
      </c>
      <c r="U116" s="13">
        <f>_xll.BDH("NBIX US Equity","ARDR_FV_ASTS_REC_L2_CASH_SECS","FQ2 2023","FQ2 2023","Currency=USD","Period=FQ","BEST_FPERIOD_OVERRIDE=FQ","FILING_STATUS=MR","SCALING_FORMAT=MLN","Sort=A","Dates=H","DateFormat=P","Fill=—","Direction=H","UseDPDF=Y")</f>
        <v>0</v>
      </c>
      <c r="V116" s="13">
        <f>_xll.BDH("NBIX US Equity","ARDR_FV_ASTS_REC_L2_CASH_SECS","FQ3 2023","FQ3 2023","Currency=USD","Period=FQ","BEST_FPERIOD_OVERRIDE=FQ","FILING_STATUS=MR","SCALING_FORMAT=MLN","Sort=A","Dates=H","DateFormat=P","Fill=—","Direction=H","UseDPDF=Y")</f>
        <v>0</v>
      </c>
      <c r="W116" s="13">
        <f>_xll.BDH("NBIX US Equity","ARDR_FV_ASTS_REC_L2_CASH_SECS","FQ4 2023","FQ4 2023","Currency=USD","Period=FQ","BEST_FPERIOD_OVERRIDE=FQ","FILING_STATUS=MR","SCALING_FORMAT=MLN","Sort=A","Dates=H","DateFormat=P","Fill=—","Direction=H","UseDPDF=Y")</f>
        <v>0</v>
      </c>
      <c r="X116" s="13">
        <f>_xll.BDH("NBIX US Equity","ARDR_FV_ASTS_REC_L2_CASH_SECS","FQ1 2024","FQ1 2024","Currency=USD","Period=FQ","BEST_FPERIOD_OVERRIDE=FQ","FILING_STATUS=MR","SCALING_FORMAT=MLN","Sort=A","Dates=H","DateFormat=P","Fill=—","Direction=H","UseDPDF=Y")</f>
        <v>0</v>
      </c>
      <c r="Y116" s="13">
        <f>_xll.BDH("NBIX US Equity","ARDR_FV_ASTS_REC_L2_CASH_SECS","FQ2 2024","FQ2 2024","Currency=USD","Period=FQ","BEST_FPERIOD_OVERRIDE=FQ","FILING_STATUS=MR","SCALING_FORMAT=MLN","Sort=A","Dates=H","DateFormat=P","Fill=—","Direction=H","UseDPDF=Y")</f>
        <v>0</v>
      </c>
      <c r="Z116" s="13">
        <f>_xll.BDH("NBIX US Equity","ARDR_FV_ASTS_REC_L2_CASH_SECS","FQ3 2024","FQ3 2024","Currency=USD","Period=FQ","BEST_FPERIOD_OVERRIDE=FQ","FILING_STATUS=MR","SCALING_FORMAT=MLN","Sort=A","Dates=H","DateFormat=P","Fill=—","Direction=H","UseDPDF=Y")</f>
        <v>0</v>
      </c>
      <c r="AA116" s="13">
        <f>_xll.BDH("NBIX US Equity","ARDR_FV_ASTS_REC_L2_CASH_SECS","FQ4 2024","FQ4 2024","Currency=USD","Period=FQ","BEST_FPERIOD_OVERRIDE=FQ","FILING_STATUS=MR","SCALING_FORMAT=MLN","Sort=A","Dates=H","DateFormat=P","Fill=—","Direction=H","UseDPDF=Y")</f>
        <v>0</v>
      </c>
    </row>
    <row r="117" spans="1:27" x14ac:dyDescent="0.25">
      <c r="A117" s="10" t="s">
        <v>1006</v>
      </c>
      <c r="B117" s="10" t="s">
        <v>1007</v>
      </c>
      <c r="C117" s="13" t="str">
        <f>_xll.BDH("NBIX US Equity","ARDR_FV_ASTS_REC_L2_TRAD_TREAS","FQ4 2018","FQ4 2018","Currency=USD","Period=FQ","BEST_FPERIOD_OVERRIDE=FQ","FILING_STATUS=MR","SCALING_FORMAT=MLN","Sort=A","Dates=H","DateFormat=P","Fill=—","Direction=H","UseDPDF=Y")</f>
        <v>—</v>
      </c>
      <c r="D117" s="13" t="str">
        <f>_xll.BDH("NBIX US Equity","ARDR_FV_ASTS_REC_L2_TRAD_TREAS","FQ1 2019","FQ1 2019","Currency=USD","Period=FQ","BEST_FPERIOD_OVERRIDE=FQ","FILING_STATUS=MR","SCALING_FORMAT=MLN","Sort=A","Dates=H","DateFormat=P","Fill=—","Direction=H","UseDPDF=Y")</f>
        <v>—</v>
      </c>
      <c r="E117" s="13" t="str">
        <f>_xll.BDH("NBIX US Equity","ARDR_FV_ASTS_REC_L2_TRAD_TREAS","FQ2 2019","FQ2 2019","Currency=USD","Period=FQ","BEST_FPERIOD_OVERRIDE=FQ","FILING_STATUS=MR","SCALING_FORMAT=MLN","Sort=A","Dates=H","DateFormat=P","Fill=—","Direction=H","UseDPDF=Y")</f>
        <v>—</v>
      </c>
      <c r="F117" s="13">
        <f>_xll.BDH("NBIX US Equity","ARDR_FV_ASTS_REC_L2_TRAD_TREAS","FQ3 2019","FQ3 2019","Currency=USD","Period=FQ","BEST_FPERIOD_OVERRIDE=FQ","FILING_STATUS=MR","SCALING_FORMAT=MLN","Sort=A","Dates=H","DateFormat=P","Fill=—","Direction=H","UseDPDF=Y")</f>
        <v>135.197</v>
      </c>
      <c r="G117" s="13" t="str">
        <f>_xll.BDH("NBIX US Equity","ARDR_FV_ASTS_REC_L2_TRAD_TREAS","FQ4 2019","FQ4 2019","Currency=USD","Period=FQ","BEST_FPERIOD_OVERRIDE=FQ","FILING_STATUS=MR","SCALING_FORMAT=MLN","Sort=A","Dates=H","DateFormat=P","Fill=—","Direction=H","UseDPDF=Y")</f>
        <v>—</v>
      </c>
      <c r="H117" s="13" t="str">
        <f>_xll.BDH("NBIX US Equity","ARDR_FV_ASTS_REC_L2_TRAD_TREAS","FQ1 2020","FQ1 2020","Currency=USD","Period=FQ","BEST_FPERIOD_OVERRIDE=FQ","FILING_STATUS=MR","SCALING_FORMAT=MLN","Sort=A","Dates=H","DateFormat=P","Fill=—","Direction=H","UseDPDF=Y")</f>
        <v>—</v>
      </c>
      <c r="I117" s="13" t="str">
        <f>_xll.BDH("NBIX US Equity","ARDR_FV_ASTS_REC_L2_TRAD_TREAS","FQ2 2020","FQ2 2020","Currency=USD","Period=FQ","BEST_FPERIOD_OVERRIDE=FQ","FILING_STATUS=MR","SCALING_FORMAT=MLN","Sort=A","Dates=H","DateFormat=P","Fill=—","Direction=H","UseDPDF=Y")</f>
        <v>—</v>
      </c>
      <c r="J117" s="13" t="str">
        <f>_xll.BDH("NBIX US Equity","ARDR_FV_ASTS_REC_L2_TRAD_TREAS","FQ3 2020","FQ3 2020","Currency=USD","Period=FQ","BEST_FPERIOD_OVERRIDE=FQ","FILING_STATUS=MR","SCALING_FORMAT=MLN","Sort=A","Dates=H","DateFormat=P","Fill=—","Direction=H","UseDPDF=Y")</f>
        <v>—</v>
      </c>
      <c r="K117" s="13" t="str">
        <f>_xll.BDH("NBIX US Equity","ARDR_FV_ASTS_REC_L2_TRAD_TREAS","FQ4 2020","FQ4 2020","Currency=USD","Period=FQ","BEST_FPERIOD_OVERRIDE=FQ","FILING_STATUS=MR","SCALING_FORMAT=MLN","Sort=A","Dates=H","DateFormat=P","Fill=—","Direction=H","UseDPDF=Y")</f>
        <v>—</v>
      </c>
      <c r="L117" s="13">
        <f>_xll.BDH("NBIX US Equity","ARDR_FV_ASTS_REC_L2_TRAD_TREAS","FQ1 2021","FQ1 2021","Currency=USD","Period=FQ","BEST_FPERIOD_OVERRIDE=FQ","FILING_STATUS=MR","SCALING_FORMAT=MLN","Sort=A","Dates=H","DateFormat=P","Fill=—","Direction=H","UseDPDF=Y")</f>
        <v>93.2</v>
      </c>
      <c r="M117" s="13" t="str">
        <f>_xll.BDH("NBIX US Equity","ARDR_FV_ASTS_REC_L2_TRAD_TREAS","FQ2 2021","FQ2 2021","Currency=USD","Period=FQ","BEST_FPERIOD_OVERRIDE=FQ","FILING_STATUS=MR","SCALING_FORMAT=MLN","Sort=A","Dates=H","DateFormat=P","Fill=—","Direction=H","UseDPDF=Y")</f>
        <v>—</v>
      </c>
      <c r="N117" s="13">
        <f>_xll.BDH("NBIX US Equity","ARDR_FV_ASTS_REC_L2_TRAD_TREAS","FQ3 2021","FQ3 2021","Currency=USD","Period=FQ","BEST_FPERIOD_OVERRIDE=FQ","FILING_STATUS=MR","SCALING_FORMAT=MLN","Sort=A","Dates=H","DateFormat=P","Fill=—","Direction=H","UseDPDF=Y")</f>
        <v>208.6</v>
      </c>
      <c r="O117" s="13" t="str">
        <f>_xll.BDH("NBIX US Equity","ARDR_FV_ASTS_REC_L2_TRAD_TREAS","FQ4 2021","FQ4 2021","Currency=USD","Period=FQ","BEST_FPERIOD_OVERRIDE=FQ","FILING_STATUS=MR","SCALING_FORMAT=MLN","Sort=A","Dates=H","DateFormat=P","Fill=—","Direction=H","UseDPDF=Y")</f>
        <v>—</v>
      </c>
      <c r="P117" s="13" t="str">
        <f>_xll.BDH("NBIX US Equity","ARDR_FV_ASTS_REC_L2_TRAD_TREAS","FQ1 2022","FQ1 2022","Currency=USD","Period=FQ","BEST_FPERIOD_OVERRIDE=FQ","FILING_STATUS=MR","SCALING_FORMAT=MLN","Sort=A","Dates=H","DateFormat=P","Fill=—","Direction=H","UseDPDF=Y")</f>
        <v>—</v>
      </c>
      <c r="Q117" s="13" t="str">
        <f>_xll.BDH("NBIX US Equity","ARDR_FV_ASTS_REC_L2_TRAD_TREAS","FQ2 2022","FQ2 2022","Currency=USD","Period=FQ","BEST_FPERIOD_OVERRIDE=FQ","FILING_STATUS=MR","SCALING_FORMAT=MLN","Sort=A","Dates=H","DateFormat=P","Fill=—","Direction=H","UseDPDF=Y")</f>
        <v>—</v>
      </c>
      <c r="R117" s="13" t="str">
        <f>_xll.BDH("NBIX US Equity","ARDR_FV_ASTS_REC_L2_TRAD_TREAS","FQ3 2022","FQ3 2022","Currency=USD","Period=FQ","BEST_FPERIOD_OVERRIDE=FQ","FILING_STATUS=MR","SCALING_FORMAT=MLN","Sort=A","Dates=H","DateFormat=P","Fill=—","Direction=H","UseDPDF=Y")</f>
        <v>—</v>
      </c>
      <c r="S117" s="13" t="str">
        <f>_xll.BDH("NBIX US Equity","ARDR_FV_ASTS_REC_L2_TRAD_TREAS","FQ4 2022","FQ4 2022","Currency=USD","Period=FQ","BEST_FPERIOD_OVERRIDE=FQ","FILING_STATUS=MR","SCALING_FORMAT=MLN","Sort=A","Dates=H","DateFormat=P","Fill=—","Direction=H","UseDPDF=Y")</f>
        <v>—</v>
      </c>
      <c r="T117" s="13" t="str">
        <f>_xll.BDH("NBIX US Equity","ARDR_FV_ASTS_REC_L2_TRAD_TREAS","FQ1 2023","FQ1 2023","Currency=USD","Period=FQ","BEST_FPERIOD_OVERRIDE=FQ","FILING_STATUS=MR","SCALING_FORMAT=MLN","Sort=A","Dates=H","DateFormat=P","Fill=—","Direction=H","UseDPDF=Y")</f>
        <v>—</v>
      </c>
      <c r="U117" s="13">
        <f>_xll.BDH("NBIX US Equity","ARDR_FV_ASTS_REC_L2_TRAD_TREAS","FQ2 2023","FQ2 2023","Currency=USD","Period=FQ","BEST_FPERIOD_OVERRIDE=FQ","FILING_STATUS=MR","SCALING_FORMAT=MLN","Sort=A","Dates=H","DateFormat=P","Fill=—","Direction=H","UseDPDF=Y")</f>
        <v>223.7</v>
      </c>
      <c r="V117" s="13">
        <f>_xll.BDH("NBIX US Equity","ARDR_FV_ASTS_REC_L2_TRAD_TREAS","FQ3 2023","FQ3 2023","Currency=USD","Period=FQ","BEST_FPERIOD_OVERRIDE=FQ","FILING_STATUS=MR","SCALING_FORMAT=MLN","Sort=A","Dates=H","DateFormat=P","Fill=—","Direction=H","UseDPDF=Y")</f>
        <v>137.4</v>
      </c>
      <c r="W117" s="13">
        <f>_xll.BDH("NBIX US Equity","ARDR_FV_ASTS_REC_L2_TRAD_TREAS","FQ4 2023","FQ4 2023","Currency=USD","Period=FQ","BEST_FPERIOD_OVERRIDE=FQ","FILING_STATUS=MR","SCALING_FORMAT=MLN","Sort=A","Dates=H","DateFormat=P","Fill=—","Direction=H","UseDPDF=Y")</f>
        <v>53.5</v>
      </c>
      <c r="X117" s="13">
        <f>_xll.BDH("NBIX US Equity","ARDR_FV_ASTS_REC_L2_TRAD_TREAS","FQ1 2024","FQ1 2024","Currency=USD","Period=FQ","BEST_FPERIOD_OVERRIDE=FQ","FILING_STATUS=MR","SCALING_FORMAT=MLN","Sort=A","Dates=H","DateFormat=P","Fill=—","Direction=H","UseDPDF=Y")</f>
        <v>58</v>
      </c>
      <c r="Y117" s="13">
        <f>_xll.BDH("NBIX US Equity","ARDR_FV_ASTS_REC_L2_TRAD_TREAS","FQ2 2024","FQ2 2024","Currency=USD","Period=FQ","BEST_FPERIOD_OVERRIDE=FQ","FILING_STATUS=MR","SCALING_FORMAT=MLN","Sort=A","Dates=H","DateFormat=P","Fill=—","Direction=H","UseDPDF=Y")</f>
        <v>57.2</v>
      </c>
      <c r="Z117" s="13" t="str">
        <f>_xll.BDH("NBIX US Equity","ARDR_FV_ASTS_REC_L2_TRAD_TREAS","FQ3 2024","FQ3 2024","Currency=USD","Period=FQ","BEST_FPERIOD_OVERRIDE=FQ","FILING_STATUS=MR","SCALING_FORMAT=MLN","Sort=A","Dates=H","DateFormat=P","Fill=—","Direction=H","UseDPDF=Y")</f>
        <v>—</v>
      </c>
      <c r="AA117" s="13" t="str">
        <f>_xll.BDH("NBIX US Equity","ARDR_FV_ASTS_REC_L2_TRAD_TREAS","FQ4 2024","FQ4 2024","Currency=USD","Period=FQ","BEST_FPERIOD_OVERRIDE=FQ","FILING_STATUS=MR","SCALING_FORMAT=MLN","Sort=A","Dates=H","DateFormat=P","Fill=—","Direction=H","UseDPDF=Y")</f>
        <v>—</v>
      </c>
    </row>
    <row r="118" spans="1:27" x14ac:dyDescent="0.25">
      <c r="A118" s="10" t="s">
        <v>1008</v>
      </c>
      <c r="B118" s="10" t="s">
        <v>1009</v>
      </c>
      <c r="C118" s="13">
        <f>_xll.BDH("NBIX US Equity","ARDR_FV_ASTS_REC_L2_TRAD_BONDS","FQ4 2018","FQ4 2018","Currency=USD","Period=FQ","BEST_FPERIOD_OVERRIDE=FQ","FILING_STATUS=MR","SCALING_FORMAT=MLN","Sort=A","Dates=H","DateFormat=P","Fill=—","Direction=H","UseDPDF=Y")</f>
        <v>94.6</v>
      </c>
      <c r="D118" s="13">
        <f>_xll.BDH("NBIX US Equity","ARDR_FV_ASTS_REC_L2_TRAD_BONDS","FQ1 2019","FQ1 2019","Currency=USD","Period=FQ","BEST_FPERIOD_OVERRIDE=FQ","FILING_STATUS=MR","SCALING_FORMAT=MLN","Sort=A","Dates=H","DateFormat=P","Fill=—","Direction=H","UseDPDF=Y")</f>
        <v>9.7500000000000003E-2</v>
      </c>
      <c r="E118" s="13">
        <f>_xll.BDH("NBIX US Equity","ARDR_FV_ASTS_REC_L2_TRAD_BONDS","FQ2 2019","FQ2 2019","Currency=USD","Period=FQ","BEST_FPERIOD_OVERRIDE=FQ","FILING_STATUS=MR","SCALING_FORMAT=MLN","Sort=A","Dates=H","DateFormat=P","Fill=—","Direction=H","UseDPDF=Y")</f>
        <v>0</v>
      </c>
      <c r="F118" s="13">
        <f>_xll.BDH("NBIX US Equity","ARDR_FV_ASTS_REC_L2_TRAD_BONDS","FQ3 2019","FQ3 2019","Currency=USD","Period=FQ","BEST_FPERIOD_OVERRIDE=FQ","FILING_STATUS=MR","SCALING_FORMAT=MLN","Sort=A","Dates=H","DateFormat=P","Fill=—","Direction=H","UseDPDF=Y")</f>
        <v>0</v>
      </c>
      <c r="G118" s="13">
        <f>_xll.BDH("NBIX US Equity","ARDR_FV_ASTS_REC_L2_TRAD_BONDS","FQ4 2019","FQ4 2019","Currency=USD","Period=FQ","BEST_FPERIOD_OVERRIDE=FQ","FILING_STATUS=MR","SCALING_FORMAT=MLN","Sort=A","Dates=H","DateFormat=P","Fill=—","Direction=H","UseDPDF=Y")</f>
        <v>144.5</v>
      </c>
      <c r="H118" s="13">
        <f>_xll.BDH("NBIX US Equity","ARDR_FV_ASTS_REC_L2_TRAD_BONDS","FQ1 2020","FQ1 2020","Currency=USD","Period=FQ","BEST_FPERIOD_OVERRIDE=FQ","FILING_STATUS=MR","SCALING_FORMAT=MLN","Sort=A","Dates=H","DateFormat=P","Fill=—","Direction=H","UseDPDF=Y")</f>
        <v>129.69999999999999</v>
      </c>
      <c r="I118" s="13">
        <f>_xll.BDH("NBIX US Equity","ARDR_FV_ASTS_REC_L2_TRAD_BONDS","FQ2 2020","FQ2 2020","Currency=USD","Period=FQ","BEST_FPERIOD_OVERRIDE=FQ","FILING_STATUS=MR","SCALING_FORMAT=MLN","Sort=A","Dates=H","DateFormat=P","Fill=—","Direction=H","UseDPDF=Y")</f>
        <v>140.1</v>
      </c>
      <c r="J118" s="13">
        <f>_xll.BDH("NBIX US Equity","ARDR_FV_ASTS_REC_L2_TRAD_BONDS","FQ3 2020","FQ3 2020","Currency=USD","Period=FQ","BEST_FPERIOD_OVERRIDE=FQ","FILING_STATUS=MR","SCALING_FORMAT=MLN","Sort=A","Dates=H","DateFormat=P","Fill=—","Direction=H","UseDPDF=Y")</f>
        <v>104.8</v>
      </c>
      <c r="K118" s="13">
        <f>_xll.BDH("NBIX US Equity","ARDR_FV_ASTS_REC_L2_TRAD_BONDS","FQ4 2020","FQ4 2020","Currency=USD","Period=FQ","BEST_FPERIOD_OVERRIDE=FQ","FILING_STATUS=MR","SCALING_FORMAT=MLN","Sort=A","Dates=H","DateFormat=P","Fill=—","Direction=H","UseDPDF=Y")</f>
        <v>82.2</v>
      </c>
      <c r="L118" s="13">
        <f>_xll.BDH("NBIX US Equity","ARDR_FV_ASTS_REC_L2_TRAD_BONDS","FQ1 2021","FQ1 2021","Currency=USD","Period=FQ","BEST_FPERIOD_OVERRIDE=FQ","FILING_STATUS=MR","SCALING_FORMAT=MLN","Sort=A","Dates=H","DateFormat=P","Fill=—","Direction=H","UseDPDF=Y")</f>
        <v>409.4</v>
      </c>
      <c r="M118" s="13">
        <f>_xll.BDH("NBIX US Equity","ARDR_FV_ASTS_REC_L2_TRAD_BONDS","FQ2 2021","FQ2 2021","Currency=USD","Period=FQ","BEST_FPERIOD_OVERRIDE=FQ","FILING_STATUS=MR","SCALING_FORMAT=MLN","Sort=A","Dates=H","DateFormat=P","Fill=—","Direction=H","UseDPDF=Y")</f>
        <v>168.6</v>
      </c>
      <c r="N118" s="13">
        <f>_xll.BDH("NBIX US Equity","ARDR_FV_ASTS_REC_L2_TRAD_BONDS","FQ3 2021","FQ3 2021","Currency=USD","Period=FQ","BEST_FPERIOD_OVERRIDE=FQ","FILING_STATUS=MR","SCALING_FORMAT=MLN","Sort=A","Dates=H","DateFormat=P","Fill=—","Direction=H","UseDPDF=Y")</f>
        <v>0</v>
      </c>
      <c r="O118" s="13">
        <f>_xll.BDH("NBIX US Equity","ARDR_FV_ASTS_REC_L2_TRAD_BONDS","FQ4 2021","FQ4 2021","Currency=USD","Period=FQ","BEST_FPERIOD_OVERRIDE=FQ","FILING_STATUS=MR","SCALING_FORMAT=MLN","Sort=A","Dates=H","DateFormat=P","Fill=—","Direction=H","UseDPDF=Y")</f>
        <v>204.8</v>
      </c>
      <c r="P118" s="13">
        <f>_xll.BDH("NBIX US Equity","ARDR_FV_ASTS_REC_L2_TRAD_BONDS","FQ1 2022","FQ1 2022","Currency=USD","Period=FQ","BEST_FPERIOD_OVERRIDE=FQ","FILING_STATUS=MR","SCALING_FORMAT=MLN","Sort=A","Dates=H","DateFormat=P","Fill=—","Direction=H","UseDPDF=Y")</f>
        <v>98.7</v>
      </c>
      <c r="Q118" s="13">
        <f>_xll.BDH("NBIX US Equity","ARDR_FV_ASTS_REC_L2_TRAD_BONDS","FQ2 2022","FQ2 2022","Currency=USD","Period=FQ","BEST_FPERIOD_OVERRIDE=FQ","FILING_STATUS=MR","SCALING_FORMAT=MLN","Sort=A","Dates=H","DateFormat=P","Fill=—","Direction=H","UseDPDF=Y")</f>
        <v>77.8</v>
      </c>
      <c r="R118" s="13">
        <f>_xll.BDH("NBIX US Equity","ARDR_FV_ASTS_REC_L2_TRAD_BONDS","FQ3 2022","FQ3 2022","Currency=USD","Period=FQ","BEST_FPERIOD_OVERRIDE=FQ","FILING_STATUS=MR","SCALING_FORMAT=MLN","Sort=A","Dates=H","DateFormat=P","Fill=—","Direction=H","UseDPDF=Y")</f>
        <v>97.5</v>
      </c>
      <c r="S118" s="13">
        <f>_xll.BDH("NBIX US Equity","ARDR_FV_ASTS_REC_L2_TRAD_BONDS","FQ4 2022","FQ4 2022","Currency=USD","Period=FQ","BEST_FPERIOD_OVERRIDE=FQ","FILING_STATUS=MR","SCALING_FORMAT=MLN","Sort=A","Dates=H","DateFormat=P","Fill=—","Direction=H","UseDPDF=Y")</f>
        <v>156</v>
      </c>
      <c r="T118" s="13">
        <f>_xll.BDH("NBIX US Equity","ARDR_FV_ASTS_REC_L2_TRAD_BONDS","FQ1 2023","FQ1 2023","Currency=USD","Period=FQ","BEST_FPERIOD_OVERRIDE=FQ","FILING_STATUS=MR","SCALING_FORMAT=MLN","Sort=A","Dates=H","DateFormat=P","Fill=—","Direction=H","UseDPDF=Y")</f>
        <v>211.2</v>
      </c>
      <c r="U118" s="13">
        <f>_xll.BDH("NBIX US Equity","ARDR_FV_ASTS_REC_L2_TRAD_BONDS","FQ2 2023","FQ2 2023","Currency=USD","Period=FQ","BEST_FPERIOD_OVERRIDE=FQ","FILING_STATUS=MR","SCALING_FORMAT=MLN","Sort=A","Dates=H","DateFormat=P","Fill=—","Direction=H","UseDPDF=Y")</f>
        <v>527</v>
      </c>
      <c r="V118" s="13">
        <f>_xll.BDH("NBIX US Equity","ARDR_FV_ASTS_REC_L2_TRAD_BONDS","FQ3 2023","FQ3 2023","Currency=USD","Period=FQ","BEST_FPERIOD_OVERRIDE=FQ","FILING_STATUS=MR","SCALING_FORMAT=MLN","Sort=A","Dates=H","DateFormat=P","Fill=—","Direction=H","UseDPDF=Y")</f>
        <v>643</v>
      </c>
      <c r="W118" s="13" t="str">
        <f>_xll.BDH("NBIX US Equity","ARDR_FV_ASTS_REC_L2_TRAD_BONDS","FQ4 2023","FQ4 2023","Currency=USD","Period=FQ","BEST_FPERIOD_OVERRIDE=FQ","FILING_STATUS=MR","SCALING_FORMAT=MLN","Sort=A","Dates=H","DateFormat=P","Fill=—","Direction=H","UseDPDF=Y")</f>
        <v>—</v>
      </c>
      <c r="X118" s="13" t="str">
        <f>_xll.BDH("NBIX US Equity","ARDR_FV_ASTS_REC_L2_TRAD_BONDS","FQ1 2024","FQ1 2024","Currency=USD","Period=FQ","BEST_FPERIOD_OVERRIDE=FQ","FILING_STATUS=MR","SCALING_FORMAT=MLN","Sort=A","Dates=H","DateFormat=P","Fill=—","Direction=H","UseDPDF=Y")</f>
        <v>—</v>
      </c>
      <c r="Y118" s="13" t="str">
        <f>_xll.BDH("NBIX US Equity","ARDR_FV_ASTS_REC_L2_TRAD_BONDS","FQ2 2024","FQ2 2024","Currency=USD","Period=FQ","BEST_FPERIOD_OVERRIDE=FQ","FILING_STATUS=MR","SCALING_FORMAT=MLN","Sort=A","Dates=H","DateFormat=P","Fill=—","Direction=H","UseDPDF=Y")</f>
        <v>—</v>
      </c>
      <c r="Z118" s="13" t="str">
        <f>_xll.BDH("NBIX US Equity","ARDR_FV_ASTS_REC_L2_TRAD_BONDS","FQ3 2024","FQ3 2024","Currency=USD","Period=FQ","BEST_FPERIOD_OVERRIDE=FQ","FILING_STATUS=MR","SCALING_FORMAT=MLN","Sort=A","Dates=H","DateFormat=P","Fill=—","Direction=H","UseDPDF=Y")</f>
        <v>—</v>
      </c>
      <c r="AA118" s="13" t="str">
        <f>_xll.BDH("NBIX US Equity","ARDR_FV_ASTS_REC_L2_TRAD_BONDS","FQ4 2024","FQ4 2024","Currency=USD","Period=FQ","BEST_FPERIOD_OVERRIDE=FQ","FILING_STATUS=MR","SCALING_FORMAT=MLN","Sort=A","Dates=H","DateFormat=P","Fill=—","Direction=H","UseDPDF=Y")</f>
        <v>—</v>
      </c>
    </row>
    <row r="119" spans="1:27" x14ac:dyDescent="0.25">
      <c r="A119" s="10" t="s">
        <v>1010</v>
      </c>
      <c r="B119" s="10" t="s">
        <v>1011</v>
      </c>
      <c r="C119" s="13">
        <f>_xll.BDH("NBIX US Equity","ARDR_FV_ASTS_REC_L2_AFS_CORP_BDS","FQ4 2018","FQ4 2018","Currency=USD","Period=FQ","BEST_FPERIOD_OVERRIDE=FQ","FILING_STATUS=MR","SCALING_FORMAT=MLN","Sort=A","Dates=H","DateFormat=P","Fill=—","Direction=H","UseDPDF=Y")</f>
        <v>545</v>
      </c>
      <c r="D119" s="13">
        <f>_xll.BDH("NBIX US Equity","ARDR_FV_ASTS_REC_L2_AFS_CORP_BDS","FQ1 2019","FQ1 2019","Currency=USD","Period=FQ","BEST_FPERIOD_OVERRIDE=FQ","FILING_STATUS=MR","SCALING_FORMAT=MLN","Sort=A","Dates=H","DateFormat=P","Fill=—","Direction=H","UseDPDF=Y")</f>
        <v>0.308</v>
      </c>
      <c r="E119" s="13">
        <f>_xll.BDH("NBIX US Equity","ARDR_FV_ASTS_REC_L2_AFS_CORP_BDS","FQ2 2019","FQ2 2019","Currency=USD","Period=FQ","BEST_FPERIOD_OVERRIDE=FQ","FILING_STATUS=MR","SCALING_FORMAT=MLN","Sort=A","Dates=H","DateFormat=P","Fill=—","Direction=H","UseDPDF=Y")</f>
        <v>175.91399999999999</v>
      </c>
      <c r="F119" s="13">
        <f>_xll.BDH("NBIX US Equity","ARDR_FV_ASTS_REC_L2_AFS_CORP_BDS","FQ3 2019","FQ3 2019","Currency=USD","Period=FQ","BEST_FPERIOD_OVERRIDE=FQ","FILING_STATUS=MR","SCALING_FORMAT=MLN","Sort=A","Dates=H","DateFormat=P","Fill=—","Direction=H","UseDPDF=Y")</f>
        <v>112.961</v>
      </c>
      <c r="G119" s="13">
        <f>_xll.BDH("NBIX US Equity","ARDR_FV_ASTS_REC_L2_AFS_CORP_BDS","FQ4 2019","FQ4 2019","Currency=USD","Period=FQ","BEST_FPERIOD_OVERRIDE=FQ","FILING_STATUS=MR","SCALING_FORMAT=MLN","Sort=A","Dates=H","DateFormat=P","Fill=—","Direction=H","UseDPDF=Y")</f>
        <v>713.4</v>
      </c>
      <c r="H119" s="13">
        <f>_xll.BDH("NBIX US Equity","ARDR_FV_ASTS_REC_L2_AFS_CORP_BDS","FQ1 2020","FQ1 2020","Currency=USD","Period=FQ","BEST_FPERIOD_OVERRIDE=FQ","FILING_STATUS=MR","SCALING_FORMAT=MLN","Sort=A","Dates=H","DateFormat=P","Fill=—","Direction=H","UseDPDF=Y")</f>
        <v>690.9</v>
      </c>
      <c r="I119" s="13">
        <f>_xll.BDH("NBIX US Equity","ARDR_FV_ASTS_REC_L2_AFS_CORP_BDS","FQ2 2020","FQ2 2020","Currency=USD","Period=FQ","BEST_FPERIOD_OVERRIDE=FQ","FILING_STATUS=MR","SCALING_FORMAT=MLN","Sort=A","Dates=H","DateFormat=P","Fill=—","Direction=H","UseDPDF=Y")</f>
        <v>588.29999999999995</v>
      </c>
      <c r="J119" s="13">
        <f>_xll.BDH("NBIX US Equity","ARDR_FV_ASTS_REC_L2_AFS_CORP_BDS","FQ3 2020","FQ3 2020","Currency=USD","Period=FQ","BEST_FPERIOD_OVERRIDE=FQ","FILING_STATUS=MR","SCALING_FORMAT=MLN","Sort=A","Dates=H","DateFormat=P","Fill=—","Direction=H","UseDPDF=Y")</f>
        <v>596</v>
      </c>
      <c r="K119" s="13">
        <f>_xll.BDH("NBIX US Equity","ARDR_FV_ASTS_REC_L2_AFS_CORP_BDS","FQ4 2020","FQ4 2020","Currency=USD","Period=FQ","BEST_FPERIOD_OVERRIDE=FQ","FILING_STATUS=MR","SCALING_FORMAT=MLN","Sort=A","Dates=H","DateFormat=P","Fill=—","Direction=H","UseDPDF=Y")</f>
        <v>758.8</v>
      </c>
      <c r="L119" s="13">
        <f>_xll.BDH("NBIX US Equity","ARDR_FV_ASTS_REC_L2_AFS_CORP_BDS","FQ1 2021","FQ1 2021","Currency=USD","Period=FQ","BEST_FPERIOD_OVERRIDE=FQ","FILING_STATUS=MR","SCALING_FORMAT=MLN","Sort=A","Dates=H","DateFormat=P","Fill=—","Direction=H","UseDPDF=Y")</f>
        <v>268.10000000000002</v>
      </c>
      <c r="M119" s="13">
        <f>_xll.BDH("NBIX US Equity","ARDR_FV_ASTS_REC_L2_AFS_CORP_BDS","FQ2 2021","FQ2 2021","Currency=USD","Period=FQ","BEST_FPERIOD_OVERRIDE=FQ","FILING_STATUS=MR","SCALING_FORMAT=MLN","Sort=A","Dates=H","DateFormat=P","Fill=—","Direction=H","UseDPDF=Y")</f>
        <v>686.1</v>
      </c>
      <c r="N119" s="13">
        <f>_xll.BDH("NBIX US Equity","ARDR_FV_ASTS_REC_L2_AFS_CORP_BDS","FQ3 2021","FQ3 2021","Currency=USD","Period=FQ","BEST_FPERIOD_OVERRIDE=FQ","FILING_STATUS=MR","SCALING_FORMAT=MLN","Sort=A","Dates=H","DateFormat=P","Fill=—","Direction=H","UseDPDF=Y")</f>
        <v>759.9</v>
      </c>
      <c r="O119" s="13">
        <f>_xll.BDH("NBIX US Equity","ARDR_FV_ASTS_REC_L2_AFS_CORP_BDS","FQ4 2021","FQ4 2021","Currency=USD","Period=FQ","BEST_FPERIOD_OVERRIDE=FQ","FILING_STATUS=MR","SCALING_FORMAT=MLN","Sort=A","Dates=H","DateFormat=P","Fill=—","Direction=H","UseDPDF=Y")</f>
        <v>726.4</v>
      </c>
      <c r="P119" s="13">
        <f>_xll.BDH("NBIX US Equity","ARDR_FV_ASTS_REC_L2_AFS_CORP_BDS","FQ1 2022","FQ1 2022","Currency=USD","Period=FQ","BEST_FPERIOD_OVERRIDE=FQ","FILING_STATUS=MR","SCALING_FORMAT=MLN","Sort=A","Dates=H","DateFormat=P","Fill=—","Direction=H","UseDPDF=Y")</f>
        <v>837</v>
      </c>
      <c r="Q119" s="13">
        <f>_xll.BDH("NBIX US Equity","ARDR_FV_ASTS_REC_L2_AFS_CORP_BDS","FQ2 2022","FQ2 2022","Currency=USD","Period=FQ","BEST_FPERIOD_OVERRIDE=FQ","FILING_STATUS=MR","SCALING_FORMAT=MLN","Sort=A","Dates=H","DateFormat=P","Fill=—","Direction=H","UseDPDF=Y")</f>
        <v>812.4</v>
      </c>
      <c r="R119" s="13">
        <f>_xll.BDH("NBIX US Equity","ARDR_FV_ASTS_REC_L2_AFS_CORP_BDS","FQ3 2022","FQ3 2022","Currency=USD","Period=FQ","BEST_FPERIOD_OVERRIDE=FQ","FILING_STATUS=MR","SCALING_FORMAT=MLN","Sort=A","Dates=H","DateFormat=P","Fill=—","Direction=H","UseDPDF=Y")</f>
        <v>852.3</v>
      </c>
      <c r="S119" s="13">
        <f>_xll.BDH("NBIX US Equity","ARDR_FV_ASTS_REC_L2_AFS_CORP_BDS","FQ4 2022","FQ4 2022","Currency=USD","Period=FQ","BEST_FPERIOD_OVERRIDE=FQ","FILING_STATUS=MR","SCALING_FORMAT=MLN","Sort=A","Dates=H","DateFormat=P","Fill=—","Direction=H","UseDPDF=Y")</f>
        <v>869.8</v>
      </c>
      <c r="T119" s="13">
        <f>_xll.BDH("NBIX US Equity","ARDR_FV_ASTS_REC_L2_AFS_CORP_BDS","FQ1 2023","FQ1 2023","Currency=USD","Period=FQ","BEST_FPERIOD_OVERRIDE=FQ","FILING_STATUS=MR","SCALING_FORMAT=MLN","Sort=A","Dates=H","DateFormat=P","Fill=—","Direction=H","UseDPDF=Y")</f>
        <v>824.2</v>
      </c>
      <c r="U119" s="13">
        <f>_xll.BDH("NBIX US Equity","ARDR_FV_ASTS_REC_L2_AFS_CORP_BDS","FQ2 2023","FQ2 2023","Currency=USD","Period=FQ","BEST_FPERIOD_OVERRIDE=FQ","FILING_STATUS=MR","SCALING_FORMAT=MLN","Sort=A","Dates=H","DateFormat=P","Fill=—","Direction=H","UseDPDF=Y")</f>
        <v>408.4</v>
      </c>
      <c r="V119" s="13">
        <f>_xll.BDH("NBIX US Equity","ARDR_FV_ASTS_REC_L2_AFS_CORP_BDS","FQ3 2023","FQ3 2023","Currency=USD","Period=FQ","BEST_FPERIOD_OVERRIDE=FQ","FILING_STATUS=MR","SCALING_FORMAT=MLN","Sort=A","Dates=H","DateFormat=P","Fill=—","Direction=H","UseDPDF=Y")</f>
        <v>475.7</v>
      </c>
      <c r="W119" s="13">
        <f>_xll.BDH("NBIX US Equity","ARDR_FV_ASTS_REC_L2_AFS_CORP_BDS","FQ4 2023","FQ4 2023","Currency=USD","Period=FQ","BEST_FPERIOD_OVERRIDE=FQ","FILING_STATUS=MR","SCALING_FORMAT=MLN","Sort=A","Dates=H","DateFormat=P","Fill=—","Direction=H","UseDPDF=Y")</f>
        <v>1414.5</v>
      </c>
      <c r="X119" s="13">
        <f>_xll.BDH("NBIX US Equity","ARDR_FV_ASTS_REC_L2_AFS_CORP_BDS","FQ1 2024","FQ1 2024","Currency=USD","Period=FQ","BEST_FPERIOD_OVERRIDE=FQ","FILING_STATUS=MR","SCALING_FORMAT=MLN","Sort=A","Dates=H","DateFormat=P","Fill=—","Direction=H","UseDPDF=Y")</f>
        <v>1456.7</v>
      </c>
      <c r="Y119" s="13">
        <f>_xll.BDH("NBIX US Equity","ARDR_FV_ASTS_REC_L2_AFS_CORP_BDS","FQ2 2024","FQ2 2024","Currency=USD","Period=FQ","BEST_FPERIOD_OVERRIDE=FQ","FILING_STATUS=MR","SCALING_FORMAT=MLN","Sort=A","Dates=H","DateFormat=P","Fill=—","Direction=H","UseDPDF=Y")</f>
        <v>1479.8</v>
      </c>
      <c r="Z119" s="13">
        <f>_xll.BDH("NBIX US Equity","ARDR_FV_ASTS_REC_L2_AFS_CORP_BDS","FQ3 2024","FQ3 2024","Currency=USD","Period=FQ","BEST_FPERIOD_OVERRIDE=FQ","FILING_STATUS=MR","SCALING_FORMAT=MLN","Sort=A","Dates=H","DateFormat=P","Fill=—","Direction=H","UseDPDF=Y")</f>
        <v>1522.8</v>
      </c>
      <c r="AA119" s="13">
        <f>_xll.BDH("NBIX US Equity","ARDR_FV_ASTS_REC_L2_AFS_CORP_BDS","FQ4 2024","FQ4 2024","Currency=USD","Period=FQ","BEST_FPERIOD_OVERRIDE=FQ","FILING_STATUS=MR","SCALING_FORMAT=MLN","Sort=A","Dates=H","DateFormat=P","Fill=—","Direction=H","UseDPDF=Y")</f>
        <v>1582.6</v>
      </c>
    </row>
    <row r="120" spans="1:27" x14ac:dyDescent="0.25">
      <c r="A120" s="10" t="s">
        <v>1012</v>
      </c>
      <c r="B120" s="10" t="s">
        <v>1013</v>
      </c>
      <c r="C120" s="13">
        <f>_xll.BDH("NBIX US Equity","ARDR_FV_ASSETS_REC_L2_OTH","FQ4 2018","FQ4 2018","Currency=USD","Period=FQ","BEST_FPERIOD_OVERRIDE=FQ","FILING_STATUS=MR","SCALING_FORMAT=MLN","Sort=A","Dates=H","DateFormat=P","Fill=—","Direction=H","UseDPDF=Y")</f>
        <v>85.6</v>
      </c>
      <c r="D120" s="13">
        <f>_xll.BDH("NBIX US Equity","ARDR_FV_ASSETS_REC_L2_OTH","FQ1 2019","FQ1 2019","Currency=USD","Period=FQ","BEST_FPERIOD_OVERRIDE=FQ","FILING_STATUS=MR","SCALING_FORMAT=MLN","Sort=A","Dates=H","DateFormat=P","Fill=—","Direction=H","UseDPDF=Y")</f>
        <v>8.8900000000000007E-2</v>
      </c>
      <c r="E120" s="13">
        <f>_xll.BDH("NBIX US Equity","ARDR_FV_ASSETS_REC_L2_OTH","FQ2 2019","FQ2 2019","Currency=USD","Period=FQ","BEST_FPERIOD_OVERRIDE=FQ","FILING_STATUS=MR","SCALING_FORMAT=MLN","Sort=A","Dates=H","DateFormat=P","Fill=—","Direction=H","UseDPDF=Y")</f>
        <v>449.58199999999999</v>
      </c>
      <c r="F120" s="13">
        <f>_xll.BDH("NBIX US Equity","ARDR_FV_ASSETS_REC_L2_OTH","FQ3 2019","FQ3 2019","Currency=USD","Period=FQ","BEST_FPERIOD_OVERRIDE=FQ","FILING_STATUS=MR","SCALING_FORMAT=MLN","Sort=A","Dates=H","DateFormat=P","Fill=—","Direction=H","UseDPDF=Y")</f>
        <v>460.16</v>
      </c>
      <c r="G120" s="13">
        <f>_xll.BDH("NBIX US Equity","ARDR_FV_ASSETS_REC_L2_OTH","FQ4 2019","FQ4 2019","Currency=USD","Period=FQ","BEST_FPERIOD_OVERRIDE=FQ","FILING_STATUS=MR","SCALING_FORMAT=MLN","Sort=A","Dates=H","DateFormat=P","Fill=—","Direction=H","UseDPDF=Y")</f>
        <v>0</v>
      </c>
      <c r="H120" s="13">
        <f>_xll.BDH("NBIX US Equity","ARDR_FV_ASSETS_REC_L2_OTH","FQ1 2020","FQ1 2020","Currency=USD","Period=FQ","BEST_FPERIOD_OVERRIDE=FQ","FILING_STATUS=MR","SCALING_FORMAT=MLN","Sort=A","Dates=H","DateFormat=P","Fill=—","Direction=H","UseDPDF=Y")</f>
        <v>0</v>
      </c>
      <c r="I120" s="13" t="str">
        <f>_xll.BDH("NBIX US Equity","ARDR_FV_ASSETS_REC_L2_OTH","FQ2 2020","FQ2 2020","Currency=USD","Period=FQ","BEST_FPERIOD_OVERRIDE=FQ","FILING_STATUS=MR","SCALING_FORMAT=MLN","Sort=A","Dates=H","DateFormat=P","Fill=—","Direction=H","UseDPDF=Y")</f>
        <v>—</v>
      </c>
      <c r="J120" s="13">
        <f>_xll.BDH("NBIX US Equity","ARDR_FV_ASSETS_REC_L2_OTH","FQ3 2020","FQ3 2020","Currency=USD","Period=FQ","BEST_FPERIOD_OVERRIDE=FQ","FILING_STATUS=MR","SCALING_FORMAT=MLN","Sort=A","Dates=H","DateFormat=P","Fill=—","Direction=H","UseDPDF=Y")</f>
        <v>0</v>
      </c>
      <c r="K120" s="13">
        <f>_xll.BDH("NBIX US Equity","ARDR_FV_ASSETS_REC_L2_OTH","FQ4 2020","FQ4 2020","Currency=USD","Period=FQ","BEST_FPERIOD_OVERRIDE=FQ","FILING_STATUS=MR","SCALING_FORMAT=MLN","Sort=A","Dates=H","DateFormat=P","Fill=—","Direction=H","UseDPDF=Y")</f>
        <v>0</v>
      </c>
      <c r="L120" s="13" t="str">
        <f>_xll.BDH("NBIX US Equity","ARDR_FV_ASSETS_REC_L2_OTH","FQ1 2021","FQ1 2021","Currency=USD","Period=FQ","BEST_FPERIOD_OVERRIDE=FQ","FILING_STATUS=MR","SCALING_FORMAT=MLN","Sort=A","Dates=H","DateFormat=P","Fill=—","Direction=H","UseDPDF=Y")</f>
        <v>—</v>
      </c>
      <c r="M120" s="13" t="str">
        <f>_xll.BDH("NBIX US Equity","ARDR_FV_ASSETS_REC_L2_OTH","FQ2 2021","FQ2 2021","Currency=USD","Period=FQ","BEST_FPERIOD_OVERRIDE=FQ","FILING_STATUS=MR","SCALING_FORMAT=MLN","Sort=A","Dates=H","DateFormat=P","Fill=—","Direction=H","UseDPDF=Y")</f>
        <v>—</v>
      </c>
      <c r="N120" s="13">
        <f>_xll.BDH("NBIX US Equity","ARDR_FV_ASSETS_REC_L2_OTH","FQ3 2021","FQ3 2021","Currency=USD","Period=FQ","BEST_FPERIOD_OVERRIDE=FQ","FILING_STATUS=MR","SCALING_FORMAT=MLN","Sort=A","Dates=H","DateFormat=P","Fill=—","Direction=H","UseDPDF=Y")</f>
        <v>0</v>
      </c>
      <c r="O120" s="13">
        <f>_xll.BDH("NBIX US Equity","ARDR_FV_ASSETS_REC_L2_OTH","FQ4 2021","FQ4 2021","Currency=USD","Period=FQ","BEST_FPERIOD_OVERRIDE=FQ","FILING_STATUS=MR","SCALING_FORMAT=MLN","Sort=A","Dates=H","DateFormat=P","Fill=—","Direction=H","UseDPDF=Y")</f>
        <v>0</v>
      </c>
      <c r="P120" s="13">
        <f>_xll.BDH("NBIX US Equity","ARDR_FV_ASSETS_REC_L2_OTH","FQ1 2022","FQ1 2022","Currency=USD","Period=FQ","BEST_FPERIOD_OVERRIDE=FQ","FILING_STATUS=MR","SCALING_FORMAT=MLN","Sort=A","Dates=H","DateFormat=P","Fill=—","Direction=H","UseDPDF=Y")</f>
        <v>0</v>
      </c>
      <c r="Q120" s="13">
        <f>_xll.BDH("NBIX US Equity","ARDR_FV_ASSETS_REC_L2_OTH","FQ2 2022","FQ2 2022","Currency=USD","Period=FQ","BEST_FPERIOD_OVERRIDE=FQ","FILING_STATUS=MR","SCALING_FORMAT=MLN","Sort=A","Dates=H","DateFormat=P","Fill=—","Direction=H","UseDPDF=Y")</f>
        <v>0</v>
      </c>
      <c r="R120" s="13">
        <f>_xll.BDH("NBIX US Equity","ARDR_FV_ASSETS_REC_L2_OTH","FQ3 2022","FQ3 2022","Currency=USD","Period=FQ","BEST_FPERIOD_OVERRIDE=FQ","FILING_STATUS=MR","SCALING_FORMAT=MLN","Sort=A","Dates=H","DateFormat=P","Fill=—","Direction=H","UseDPDF=Y")</f>
        <v>0</v>
      </c>
      <c r="S120" s="13">
        <f>_xll.BDH("NBIX US Equity","ARDR_FV_ASSETS_REC_L2_OTH","FQ4 2022","FQ4 2022","Currency=USD","Period=FQ","BEST_FPERIOD_OVERRIDE=FQ","FILING_STATUS=MR","SCALING_FORMAT=MLN","Sort=A","Dates=H","DateFormat=P","Fill=—","Direction=H","UseDPDF=Y")</f>
        <v>0</v>
      </c>
      <c r="T120" s="13">
        <f>_xll.BDH("NBIX US Equity","ARDR_FV_ASSETS_REC_L2_OTH","FQ1 2023","FQ1 2023","Currency=USD","Period=FQ","BEST_FPERIOD_OVERRIDE=FQ","FILING_STATUS=MR","SCALING_FORMAT=MLN","Sort=A","Dates=H","DateFormat=P","Fill=—","Direction=H","UseDPDF=Y")</f>
        <v>0</v>
      </c>
      <c r="U120" s="13">
        <f>_xll.BDH("NBIX US Equity","ARDR_FV_ASSETS_REC_L2_OTH","FQ2 2023","FQ2 2023","Currency=USD","Period=FQ","BEST_FPERIOD_OVERRIDE=FQ","FILING_STATUS=MR","SCALING_FORMAT=MLN","Sort=A","Dates=H","DateFormat=P","Fill=—","Direction=H","UseDPDF=Y")</f>
        <v>0</v>
      </c>
      <c r="V120" s="13">
        <f>_xll.BDH("NBIX US Equity","ARDR_FV_ASSETS_REC_L2_OTH","FQ3 2023","FQ3 2023","Currency=USD","Period=FQ","BEST_FPERIOD_OVERRIDE=FQ","FILING_STATUS=MR","SCALING_FORMAT=MLN","Sort=A","Dates=H","DateFormat=P","Fill=—","Direction=H","UseDPDF=Y")</f>
        <v>0</v>
      </c>
      <c r="W120" s="13">
        <f>_xll.BDH("NBIX US Equity","ARDR_FV_ASSETS_REC_L2_OTH","FQ4 2023","FQ4 2023","Currency=USD","Period=FQ","BEST_FPERIOD_OVERRIDE=FQ","FILING_STATUS=MR","SCALING_FORMAT=MLN","Sort=A","Dates=H","DateFormat=P","Fill=—","Direction=H","UseDPDF=Y")</f>
        <v>0</v>
      </c>
      <c r="X120" s="13">
        <f>_xll.BDH("NBIX US Equity","ARDR_FV_ASSETS_REC_L2_OTH","FQ1 2024","FQ1 2024","Currency=USD","Period=FQ","BEST_FPERIOD_OVERRIDE=FQ","FILING_STATUS=MR","SCALING_FORMAT=MLN","Sort=A","Dates=H","DateFormat=P","Fill=—","Direction=H","UseDPDF=Y")</f>
        <v>0</v>
      </c>
      <c r="Y120" s="13">
        <f>_xll.BDH("NBIX US Equity","ARDR_FV_ASSETS_REC_L2_OTH","FQ2 2024","FQ2 2024","Currency=USD","Period=FQ","BEST_FPERIOD_OVERRIDE=FQ","FILING_STATUS=MR","SCALING_FORMAT=MLN","Sort=A","Dates=H","DateFormat=P","Fill=—","Direction=H","UseDPDF=Y")</f>
        <v>0</v>
      </c>
      <c r="Z120" s="13">
        <f>_xll.BDH("NBIX US Equity","ARDR_FV_ASSETS_REC_L2_OTH","FQ3 2024","FQ3 2024","Currency=USD","Period=FQ","BEST_FPERIOD_OVERRIDE=FQ","FILING_STATUS=MR","SCALING_FORMAT=MLN","Sort=A","Dates=H","DateFormat=P","Fill=—","Direction=H","UseDPDF=Y")</f>
        <v>0</v>
      </c>
      <c r="AA120" s="13">
        <f>_xll.BDH("NBIX US Equity","ARDR_FV_ASSETS_REC_L2_OTH","FQ4 2024","FQ4 2024","Currency=USD","Period=FQ","BEST_FPERIOD_OVERRIDE=FQ","FILING_STATUS=MR","SCALING_FORMAT=MLN","Sort=A","Dates=H","DateFormat=P","Fill=—","Direction=H","UseDPDF=Y")</f>
        <v>0</v>
      </c>
    </row>
    <row r="121" spans="1:27" x14ac:dyDescent="0.25">
      <c r="A121" s="10" t="s">
        <v>1014</v>
      </c>
      <c r="B121" s="10" t="s">
        <v>1015</v>
      </c>
      <c r="C121" s="13">
        <f>_xll.BDH("NBIX US Equity","ARDR_FV_ASTS_REC_L3_CASH_SECS","FQ4 2018","FQ4 2018","Currency=USD","Period=FQ","BEST_FPERIOD_OVERRIDE=FQ","FILING_STATUS=MR","SCALING_FORMAT=MLN","Sort=A","Dates=H","DateFormat=P","Fill=—","Direction=H","UseDPDF=Y")</f>
        <v>0</v>
      </c>
      <c r="D121" s="13">
        <f>_xll.BDH("NBIX US Equity","ARDR_FV_ASTS_REC_L3_CASH_SECS","FQ1 2019","FQ1 2019","Currency=USD","Period=FQ","BEST_FPERIOD_OVERRIDE=FQ","FILING_STATUS=MR","SCALING_FORMAT=MLN","Sort=A","Dates=H","DateFormat=P","Fill=—","Direction=H","UseDPDF=Y")</f>
        <v>0</v>
      </c>
      <c r="E121" s="13">
        <f>_xll.BDH("NBIX US Equity","ARDR_FV_ASTS_REC_L3_CASH_SECS","FQ2 2019","FQ2 2019","Currency=USD","Period=FQ","BEST_FPERIOD_OVERRIDE=FQ","FILING_STATUS=MR","SCALING_FORMAT=MLN","Sort=A","Dates=H","DateFormat=P","Fill=—","Direction=H","UseDPDF=Y")</f>
        <v>0</v>
      </c>
      <c r="F121" s="13">
        <f>_xll.BDH("NBIX US Equity","ARDR_FV_ASTS_REC_L3_CASH_SECS","FQ3 2019","FQ3 2019","Currency=USD","Period=FQ","BEST_FPERIOD_OVERRIDE=FQ","FILING_STATUS=MR","SCALING_FORMAT=MLN","Sort=A","Dates=H","DateFormat=P","Fill=—","Direction=H","UseDPDF=Y")</f>
        <v>0</v>
      </c>
      <c r="G121" s="13">
        <f>_xll.BDH("NBIX US Equity","ARDR_FV_ASTS_REC_L3_CASH_SECS","FQ4 2019","FQ4 2019","Currency=USD","Period=FQ","BEST_FPERIOD_OVERRIDE=FQ","FILING_STATUS=MR","SCALING_FORMAT=MLN","Sort=A","Dates=H","DateFormat=P","Fill=—","Direction=H","UseDPDF=Y")</f>
        <v>0</v>
      </c>
      <c r="H121" s="13">
        <f>_xll.BDH("NBIX US Equity","ARDR_FV_ASTS_REC_L3_CASH_SECS","FQ1 2020","FQ1 2020","Currency=USD","Period=FQ","BEST_FPERIOD_OVERRIDE=FQ","FILING_STATUS=MR","SCALING_FORMAT=MLN","Sort=A","Dates=H","DateFormat=P","Fill=—","Direction=H","UseDPDF=Y")</f>
        <v>0</v>
      </c>
      <c r="I121" s="13">
        <f>_xll.BDH("NBIX US Equity","ARDR_FV_ASTS_REC_L3_CASH_SECS","FQ2 2020","FQ2 2020","Currency=USD","Period=FQ","BEST_FPERIOD_OVERRIDE=FQ","FILING_STATUS=MR","SCALING_FORMAT=MLN","Sort=A","Dates=H","DateFormat=P","Fill=—","Direction=H","UseDPDF=Y")</f>
        <v>0</v>
      </c>
      <c r="J121" s="13">
        <f>_xll.BDH("NBIX US Equity","ARDR_FV_ASTS_REC_L3_CASH_SECS","FQ3 2020","FQ3 2020","Currency=USD","Period=FQ","BEST_FPERIOD_OVERRIDE=FQ","FILING_STATUS=MR","SCALING_FORMAT=MLN","Sort=A","Dates=H","DateFormat=P","Fill=—","Direction=H","UseDPDF=Y")</f>
        <v>0</v>
      </c>
      <c r="K121" s="13">
        <f>_xll.BDH("NBIX US Equity","ARDR_FV_ASTS_REC_L3_CASH_SECS","FQ4 2020","FQ4 2020","Currency=USD","Period=FQ","BEST_FPERIOD_OVERRIDE=FQ","FILING_STATUS=MR","SCALING_FORMAT=MLN","Sort=A","Dates=H","DateFormat=P","Fill=—","Direction=H","UseDPDF=Y")</f>
        <v>0</v>
      </c>
      <c r="L121" s="13">
        <f>_xll.BDH("NBIX US Equity","ARDR_FV_ASTS_REC_L3_CASH_SECS","FQ1 2021","FQ1 2021","Currency=USD","Period=FQ","BEST_FPERIOD_OVERRIDE=FQ","FILING_STATUS=MR","SCALING_FORMAT=MLN","Sort=A","Dates=H","DateFormat=P","Fill=—","Direction=H","UseDPDF=Y")</f>
        <v>0</v>
      </c>
      <c r="M121" s="13">
        <f>_xll.BDH("NBIX US Equity","ARDR_FV_ASTS_REC_L3_CASH_SECS","FQ2 2021","FQ2 2021","Currency=USD","Period=FQ","BEST_FPERIOD_OVERRIDE=FQ","FILING_STATUS=MR","SCALING_FORMAT=MLN","Sort=A","Dates=H","DateFormat=P","Fill=—","Direction=H","UseDPDF=Y")</f>
        <v>0</v>
      </c>
      <c r="N121" s="13">
        <f>_xll.BDH("NBIX US Equity","ARDR_FV_ASTS_REC_L3_CASH_SECS","FQ3 2021","FQ3 2021","Currency=USD","Period=FQ","BEST_FPERIOD_OVERRIDE=FQ","FILING_STATUS=MR","SCALING_FORMAT=MLN","Sort=A","Dates=H","DateFormat=P","Fill=—","Direction=H","UseDPDF=Y")</f>
        <v>0</v>
      </c>
      <c r="O121" s="13">
        <f>_xll.BDH("NBIX US Equity","ARDR_FV_ASTS_REC_L3_CASH_SECS","FQ4 2021","FQ4 2021","Currency=USD","Period=FQ","BEST_FPERIOD_OVERRIDE=FQ","FILING_STATUS=MR","SCALING_FORMAT=MLN","Sort=A","Dates=H","DateFormat=P","Fill=—","Direction=H","UseDPDF=Y")</f>
        <v>0</v>
      </c>
      <c r="P121" s="13">
        <f>_xll.BDH("NBIX US Equity","ARDR_FV_ASTS_REC_L3_CASH_SECS","FQ1 2022","FQ1 2022","Currency=USD","Period=FQ","BEST_FPERIOD_OVERRIDE=FQ","FILING_STATUS=MR","SCALING_FORMAT=MLN","Sort=A","Dates=H","DateFormat=P","Fill=—","Direction=H","UseDPDF=Y")</f>
        <v>0</v>
      </c>
      <c r="Q121" s="13">
        <f>_xll.BDH("NBIX US Equity","ARDR_FV_ASTS_REC_L3_CASH_SECS","FQ2 2022","FQ2 2022","Currency=USD","Period=FQ","BEST_FPERIOD_OVERRIDE=FQ","FILING_STATUS=MR","SCALING_FORMAT=MLN","Sort=A","Dates=H","DateFormat=P","Fill=—","Direction=H","UseDPDF=Y")</f>
        <v>0</v>
      </c>
      <c r="R121" s="13">
        <f>_xll.BDH("NBIX US Equity","ARDR_FV_ASTS_REC_L3_CASH_SECS","FQ3 2022","FQ3 2022","Currency=USD","Period=FQ","BEST_FPERIOD_OVERRIDE=FQ","FILING_STATUS=MR","SCALING_FORMAT=MLN","Sort=A","Dates=H","DateFormat=P","Fill=—","Direction=H","UseDPDF=Y")</f>
        <v>0</v>
      </c>
      <c r="S121" s="13">
        <f>_xll.BDH("NBIX US Equity","ARDR_FV_ASTS_REC_L3_CASH_SECS","FQ4 2022","FQ4 2022","Currency=USD","Period=FQ","BEST_FPERIOD_OVERRIDE=FQ","FILING_STATUS=MR","SCALING_FORMAT=MLN","Sort=A","Dates=H","DateFormat=P","Fill=—","Direction=H","UseDPDF=Y")</f>
        <v>0</v>
      </c>
      <c r="T121" s="13">
        <f>_xll.BDH("NBIX US Equity","ARDR_FV_ASTS_REC_L3_CASH_SECS","FQ1 2023","FQ1 2023","Currency=USD","Period=FQ","BEST_FPERIOD_OVERRIDE=FQ","FILING_STATUS=MR","SCALING_FORMAT=MLN","Sort=A","Dates=H","DateFormat=P","Fill=—","Direction=H","UseDPDF=Y")</f>
        <v>0</v>
      </c>
      <c r="U121" s="13">
        <f>_xll.BDH("NBIX US Equity","ARDR_FV_ASTS_REC_L3_CASH_SECS","FQ2 2023","FQ2 2023","Currency=USD","Period=FQ","BEST_FPERIOD_OVERRIDE=FQ","FILING_STATUS=MR","SCALING_FORMAT=MLN","Sort=A","Dates=H","DateFormat=P","Fill=—","Direction=H","UseDPDF=Y")</f>
        <v>0</v>
      </c>
      <c r="V121" s="13" t="str">
        <f>_xll.BDH("NBIX US Equity","ARDR_FV_ASTS_REC_L3_CASH_SECS","FQ3 2023","FQ3 2023","Currency=USD","Period=FQ","BEST_FPERIOD_OVERRIDE=FQ","FILING_STATUS=MR","SCALING_FORMAT=MLN","Sort=A","Dates=H","DateFormat=P","Fill=—","Direction=H","UseDPDF=Y")</f>
        <v>—</v>
      </c>
      <c r="W121" s="13" t="str">
        <f>_xll.BDH("NBIX US Equity","ARDR_FV_ASTS_REC_L3_CASH_SECS","FQ4 2023","FQ4 2023","Currency=USD","Period=FQ","BEST_FPERIOD_OVERRIDE=FQ","FILING_STATUS=MR","SCALING_FORMAT=MLN","Sort=A","Dates=H","DateFormat=P","Fill=—","Direction=H","UseDPDF=Y")</f>
        <v>—</v>
      </c>
      <c r="X121" s="13" t="str">
        <f>_xll.BDH("NBIX US Equity","ARDR_FV_ASTS_REC_L3_CASH_SECS","FQ1 2024","FQ1 2024","Currency=USD","Period=FQ","BEST_FPERIOD_OVERRIDE=FQ","FILING_STATUS=MR","SCALING_FORMAT=MLN","Sort=A","Dates=H","DateFormat=P","Fill=—","Direction=H","UseDPDF=Y")</f>
        <v>—</v>
      </c>
      <c r="Y121" s="13" t="str">
        <f>_xll.BDH("NBIX US Equity","ARDR_FV_ASTS_REC_L3_CASH_SECS","FQ2 2024","FQ2 2024","Currency=USD","Period=FQ","BEST_FPERIOD_OVERRIDE=FQ","FILING_STATUS=MR","SCALING_FORMAT=MLN","Sort=A","Dates=H","DateFormat=P","Fill=—","Direction=H","UseDPDF=Y")</f>
        <v>—</v>
      </c>
      <c r="Z121" s="13" t="str">
        <f>_xll.BDH("NBIX US Equity","ARDR_FV_ASTS_REC_L3_CASH_SECS","FQ3 2024","FQ3 2024","Currency=USD","Period=FQ","BEST_FPERIOD_OVERRIDE=FQ","FILING_STATUS=MR","SCALING_FORMAT=MLN","Sort=A","Dates=H","DateFormat=P","Fill=—","Direction=H","UseDPDF=Y")</f>
        <v>—</v>
      </c>
      <c r="AA121" s="13" t="str">
        <f>_xll.BDH("NBIX US Equity","ARDR_FV_ASTS_REC_L3_CASH_SECS","FQ4 2024","FQ4 2024","Currency=USD","Period=FQ","BEST_FPERIOD_OVERRIDE=FQ","FILING_STATUS=MR","SCALING_FORMAT=MLN","Sort=A","Dates=H","DateFormat=P","Fill=—","Direction=H","UseDPDF=Y")</f>
        <v>—</v>
      </c>
    </row>
    <row r="122" spans="1:27" x14ac:dyDescent="0.25">
      <c r="A122" s="10" t="s">
        <v>1016</v>
      </c>
      <c r="B122" s="10" t="s">
        <v>1017</v>
      </c>
      <c r="C122" s="13" t="str">
        <f>_xll.BDH("NBIX US Equity","ARDR_FV_ASTS_REC_L3_TRAD_TREAS","FQ4 2018","FQ4 2018","Currency=USD","Period=FQ","BEST_FPERIOD_OVERRIDE=FQ","FILING_STATUS=MR","SCALING_FORMAT=MLN","Sort=A","Dates=H","DateFormat=P","Fill=—","Direction=H","UseDPDF=Y")</f>
        <v>—</v>
      </c>
      <c r="D122" s="13">
        <f>_xll.BDH("NBIX US Equity","ARDR_FV_ASTS_REC_L3_TRAD_TREAS","FQ1 2019","FQ1 2019","Currency=USD","Period=FQ","BEST_FPERIOD_OVERRIDE=FQ","FILING_STATUS=MR","SCALING_FORMAT=MLN","Sort=A","Dates=H","DateFormat=P","Fill=—","Direction=H","UseDPDF=Y")</f>
        <v>0</v>
      </c>
      <c r="E122" s="13">
        <f>_xll.BDH("NBIX US Equity","ARDR_FV_ASTS_REC_L3_TRAD_TREAS","FQ2 2019","FQ2 2019","Currency=USD","Period=FQ","BEST_FPERIOD_OVERRIDE=FQ","FILING_STATUS=MR","SCALING_FORMAT=MLN","Sort=A","Dates=H","DateFormat=P","Fill=—","Direction=H","UseDPDF=Y")</f>
        <v>0</v>
      </c>
      <c r="F122" s="13">
        <f>_xll.BDH("NBIX US Equity","ARDR_FV_ASTS_REC_L3_TRAD_TREAS","FQ3 2019","FQ3 2019","Currency=USD","Period=FQ","BEST_FPERIOD_OVERRIDE=FQ","FILING_STATUS=MR","SCALING_FORMAT=MLN","Sort=A","Dates=H","DateFormat=P","Fill=—","Direction=H","UseDPDF=Y")</f>
        <v>0</v>
      </c>
      <c r="G122" s="13">
        <f>_xll.BDH("NBIX US Equity","ARDR_FV_ASTS_REC_L3_TRAD_TREAS","FQ4 2019","FQ4 2019","Currency=USD","Period=FQ","BEST_FPERIOD_OVERRIDE=FQ","FILING_STATUS=MR","SCALING_FORMAT=MLN","Sort=A","Dates=H","DateFormat=P","Fill=—","Direction=H","UseDPDF=Y")</f>
        <v>0</v>
      </c>
      <c r="H122" s="13">
        <f>_xll.BDH("NBIX US Equity","ARDR_FV_ASTS_REC_L3_TRAD_TREAS","FQ1 2020","FQ1 2020","Currency=USD","Period=FQ","BEST_FPERIOD_OVERRIDE=FQ","FILING_STATUS=MR","SCALING_FORMAT=MLN","Sort=A","Dates=H","DateFormat=P","Fill=—","Direction=H","UseDPDF=Y")</f>
        <v>0</v>
      </c>
      <c r="I122" s="13">
        <f>_xll.BDH("NBIX US Equity","ARDR_FV_ASTS_REC_L3_TRAD_TREAS","FQ2 2020","FQ2 2020","Currency=USD","Period=FQ","BEST_FPERIOD_OVERRIDE=FQ","FILING_STATUS=MR","SCALING_FORMAT=MLN","Sort=A","Dates=H","DateFormat=P","Fill=—","Direction=H","UseDPDF=Y")</f>
        <v>0</v>
      </c>
      <c r="J122" s="13">
        <f>_xll.BDH("NBIX US Equity","ARDR_FV_ASTS_REC_L3_TRAD_TREAS","FQ3 2020","FQ3 2020","Currency=USD","Period=FQ","BEST_FPERIOD_OVERRIDE=FQ","FILING_STATUS=MR","SCALING_FORMAT=MLN","Sort=A","Dates=H","DateFormat=P","Fill=—","Direction=H","UseDPDF=Y")</f>
        <v>0</v>
      </c>
      <c r="K122" s="13">
        <f>_xll.BDH("NBIX US Equity","ARDR_FV_ASTS_REC_L3_TRAD_TREAS","FQ4 2020","FQ4 2020","Currency=USD","Period=FQ","BEST_FPERIOD_OVERRIDE=FQ","FILING_STATUS=MR","SCALING_FORMAT=MLN","Sort=A","Dates=H","DateFormat=P","Fill=—","Direction=H","UseDPDF=Y")</f>
        <v>0</v>
      </c>
      <c r="L122" s="13">
        <f>_xll.BDH("NBIX US Equity","ARDR_FV_ASTS_REC_L3_TRAD_TREAS","FQ1 2021","FQ1 2021","Currency=USD","Period=FQ","BEST_FPERIOD_OVERRIDE=FQ","FILING_STATUS=MR","SCALING_FORMAT=MLN","Sort=A","Dates=H","DateFormat=P","Fill=—","Direction=H","UseDPDF=Y")</f>
        <v>0</v>
      </c>
      <c r="M122" s="13">
        <f>_xll.BDH("NBIX US Equity","ARDR_FV_ASTS_REC_L3_TRAD_TREAS","FQ2 2021","FQ2 2021","Currency=USD","Period=FQ","BEST_FPERIOD_OVERRIDE=FQ","FILING_STATUS=MR","SCALING_FORMAT=MLN","Sort=A","Dates=H","DateFormat=P","Fill=—","Direction=H","UseDPDF=Y")</f>
        <v>0</v>
      </c>
      <c r="N122" s="13">
        <f>_xll.BDH("NBIX US Equity","ARDR_FV_ASTS_REC_L3_TRAD_TREAS","FQ3 2021","FQ3 2021","Currency=USD","Period=FQ","BEST_FPERIOD_OVERRIDE=FQ","FILING_STATUS=MR","SCALING_FORMAT=MLN","Sort=A","Dates=H","DateFormat=P","Fill=—","Direction=H","UseDPDF=Y")</f>
        <v>0</v>
      </c>
      <c r="O122" s="13">
        <f>_xll.BDH("NBIX US Equity","ARDR_FV_ASTS_REC_L3_TRAD_TREAS","FQ4 2021","FQ4 2021","Currency=USD","Period=FQ","BEST_FPERIOD_OVERRIDE=FQ","FILING_STATUS=MR","SCALING_FORMAT=MLN","Sort=A","Dates=H","DateFormat=P","Fill=—","Direction=H","UseDPDF=Y")</f>
        <v>0</v>
      </c>
      <c r="P122" s="13">
        <f>_xll.BDH("NBIX US Equity","ARDR_FV_ASTS_REC_L3_TRAD_TREAS","FQ1 2022","FQ1 2022","Currency=USD","Period=FQ","BEST_FPERIOD_OVERRIDE=FQ","FILING_STATUS=MR","SCALING_FORMAT=MLN","Sort=A","Dates=H","DateFormat=P","Fill=—","Direction=H","UseDPDF=Y")</f>
        <v>0</v>
      </c>
      <c r="Q122" s="13">
        <f>_xll.BDH("NBIX US Equity","ARDR_FV_ASTS_REC_L3_TRAD_TREAS","FQ2 2022","FQ2 2022","Currency=USD","Period=FQ","BEST_FPERIOD_OVERRIDE=FQ","FILING_STATUS=MR","SCALING_FORMAT=MLN","Sort=A","Dates=H","DateFormat=P","Fill=—","Direction=H","UseDPDF=Y")</f>
        <v>0</v>
      </c>
      <c r="R122" s="13">
        <f>_xll.BDH("NBIX US Equity","ARDR_FV_ASTS_REC_L3_TRAD_TREAS","FQ3 2022","FQ3 2022","Currency=USD","Period=FQ","BEST_FPERIOD_OVERRIDE=FQ","FILING_STATUS=MR","SCALING_FORMAT=MLN","Sort=A","Dates=H","DateFormat=P","Fill=—","Direction=H","UseDPDF=Y")</f>
        <v>0</v>
      </c>
      <c r="S122" s="13">
        <f>_xll.BDH("NBIX US Equity","ARDR_FV_ASTS_REC_L3_TRAD_TREAS","FQ4 2022","FQ4 2022","Currency=USD","Period=FQ","BEST_FPERIOD_OVERRIDE=FQ","FILING_STATUS=MR","SCALING_FORMAT=MLN","Sort=A","Dates=H","DateFormat=P","Fill=—","Direction=H","UseDPDF=Y")</f>
        <v>0</v>
      </c>
      <c r="T122" s="13">
        <f>_xll.BDH("NBIX US Equity","ARDR_FV_ASTS_REC_L3_TRAD_TREAS","FQ1 2023","FQ1 2023","Currency=USD","Period=FQ","BEST_FPERIOD_OVERRIDE=FQ","FILING_STATUS=MR","SCALING_FORMAT=MLN","Sort=A","Dates=H","DateFormat=P","Fill=—","Direction=H","UseDPDF=Y")</f>
        <v>0</v>
      </c>
      <c r="U122" s="13">
        <f>_xll.BDH("NBIX US Equity","ARDR_FV_ASTS_REC_L3_TRAD_TREAS","FQ2 2023","FQ2 2023","Currency=USD","Period=FQ","BEST_FPERIOD_OVERRIDE=FQ","FILING_STATUS=MR","SCALING_FORMAT=MLN","Sort=A","Dates=H","DateFormat=P","Fill=—","Direction=H","UseDPDF=Y")</f>
        <v>0</v>
      </c>
      <c r="V122" s="13" t="str">
        <f>_xll.BDH("NBIX US Equity","ARDR_FV_ASTS_REC_L3_TRAD_TREAS","FQ3 2023","FQ3 2023","Currency=USD","Period=FQ","BEST_FPERIOD_OVERRIDE=FQ","FILING_STATUS=MR","SCALING_FORMAT=MLN","Sort=A","Dates=H","DateFormat=P","Fill=—","Direction=H","UseDPDF=Y")</f>
        <v>—</v>
      </c>
      <c r="W122" s="13" t="str">
        <f>_xll.BDH("NBIX US Equity","ARDR_FV_ASTS_REC_L3_TRAD_TREAS","FQ4 2023","FQ4 2023","Currency=USD","Period=FQ","BEST_FPERIOD_OVERRIDE=FQ","FILING_STATUS=MR","SCALING_FORMAT=MLN","Sort=A","Dates=H","DateFormat=P","Fill=—","Direction=H","UseDPDF=Y")</f>
        <v>—</v>
      </c>
      <c r="X122" s="13" t="str">
        <f>_xll.BDH("NBIX US Equity","ARDR_FV_ASTS_REC_L3_TRAD_TREAS","FQ1 2024","FQ1 2024","Currency=USD","Period=FQ","BEST_FPERIOD_OVERRIDE=FQ","FILING_STATUS=MR","SCALING_FORMAT=MLN","Sort=A","Dates=H","DateFormat=P","Fill=—","Direction=H","UseDPDF=Y")</f>
        <v>—</v>
      </c>
      <c r="Y122" s="13" t="str">
        <f>_xll.BDH("NBIX US Equity","ARDR_FV_ASTS_REC_L3_TRAD_TREAS","FQ2 2024","FQ2 2024","Currency=USD","Period=FQ","BEST_FPERIOD_OVERRIDE=FQ","FILING_STATUS=MR","SCALING_FORMAT=MLN","Sort=A","Dates=H","DateFormat=P","Fill=—","Direction=H","UseDPDF=Y")</f>
        <v>—</v>
      </c>
      <c r="Z122" s="13" t="str">
        <f>_xll.BDH("NBIX US Equity","ARDR_FV_ASTS_REC_L3_TRAD_TREAS","FQ3 2024","FQ3 2024","Currency=USD","Period=FQ","BEST_FPERIOD_OVERRIDE=FQ","FILING_STATUS=MR","SCALING_FORMAT=MLN","Sort=A","Dates=H","DateFormat=P","Fill=—","Direction=H","UseDPDF=Y")</f>
        <v>—</v>
      </c>
      <c r="AA122" s="13" t="str">
        <f>_xll.BDH("NBIX US Equity","ARDR_FV_ASTS_REC_L3_TRAD_TREAS","FQ4 2024","FQ4 2024","Currency=USD","Period=FQ","BEST_FPERIOD_OVERRIDE=FQ","FILING_STATUS=MR","SCALING_FORMAT=MLN","Sort=A","Dates=H","DateFormat=P","Fill=—","Direction=H","UseDPDF=Y")</f>
        <v>—</v>
      </c>
    </row>
    <row r="123" spans="1:27" x14ac:dyDescent="0.25">
      <c r="A123" s="10" t="s">
        <v>1018</v>
      </c>
      <c r="B123" s="10" t="s">
        <v>1019</v>
      </c>
      <c r="C123" s="13">
        <f>_xll.BDH("NBIX US Equity","ARDR_FV_ASTS_REC_L3_AFS_CORP_BDS","FQ4 2018","FQ4 2018","Currency=USD","Period=FQ","BEST_FPERIOD_OVERRIDE=FQ","FILING_STATUS=MR","SCALING_FORMAT=MLN","Sort=A","Dates=H","DateFormat=P","Fill=—","Direction=H","UseDPDF=Y")</f>
        <v>0</v>
      </c>
      <c r="D123" s="13">
        <f>_xll.BDH("NBIX US Equity","ARDR_FV_ASTS_REC_L3_AFS_CORP_BDS","FQ1 2019","FQ1 2019","Currency=USD","Period=FQ","BEST_FPERIOD_OVERRIDE=FQ","FILING_STATUS=MR","SCALING_FORMAT=MLN","Sort=A","Dates=H","DateFormat=P","Fill=—","Direction=H","UseDPDF=Y")</f>
        <v>0</v>
      </c>
      <c r="E123" s="13">
        <f>_xll.BDH("NBIX US Equity","ARDR_FV_ASTS_REC_L3_AFS_CORP_BDS","FQ2 2019","FQ2 2019","Currency=USD","Period=FQ","BEST_FPERIOD_OVERRIDE=FQ","FILING_STATUS=MR","SCALING_FORMAT=MLN","Sort=A","Dates=H","DateFormat=P","Fill=—","Direction=H","UseDPDF=Y")</f>
        <v>0</v>
      </c>
      <c r="F123" s="13">
        <f>_xll.BDH("NBIX US Equity","ARDR_FV_ASTS_REC_L3_AFS_CORP_BDS","FQ3 2019","FQ3 2019","Currency=USD","Period=FQ","BEST_FPERIOD_OVERRIDE=FQ","FILING_STATUS=MR","SCALING_FORMAT=MLN","Sort=A","Dates=H","DateFormat=P","Fill=—","Direction=H","UseDPDF=Y")</f>
        <v>0</v>
      </c>
      <c r="G123" s="13">
        <f>_xll.BDH("NBIX US Equity","ARDR_FV_ASTS_REC_L3_AFS_CORP_BDS","FQ4 2019","FQ4 2019","Currency=USD","Period=FQ","BEST_FPERIOD_OVERRIDE=FQ","FILING_STATUS=MR","SCALING_FORMAT=MLN","Sort=A","Dates=H","DateFormat=P","Fill=—","Direction=H","UseDPDF=Y")</f>
        <v>0</v>
      </c>
      <c r="H123" s="13">
        <f>_xll.BDH("NBIX US Equity","ARDR_FV_ASTS_REC_L3_AFS_CORP_BDS","FQ1 2020","FQ1 2020","Currency=USD","Period=FQ","BEST_FPERIOD_OVERRIDE=FQ","FILING_STATUS=MR","SCALING_FORMAT=MLN","Sort=A","Dates=H","DateFormat=P","Fill=—","Direction=H","UseDPDF=Y")</f>
        <v>0</v>
      </c>
      <c r="I123" s="13">
        <f>_xll.BDH("NBIX US Equity","ARDR_FV_ASTS_REC_L3_AFS_CORP_BDS","FQ2 2020","FQ2 2020","Currency=USD","Period=FQ","BEST_FPERIOD_OVERRIDE=FQ","FILING_STATUS=MR","SCALING_FORMAT=MLN","Sort=A","Dates=H","DateFormat=P","Fill=—","Direction=H","UseDPDF=Y")</f>
        <v>0</v>
      </c>
      <c r="J123" s="13">
        <f>_xll.BDH("NBIX US Equity","ARDR_FV_ASTS_REC_L3_AFS_CORP_BDS","FQ3 2020","FQ3 2020","Currency=USD","Period=FQ","BEST_FPERIOD_OVERRIDE=FQ","FILING_STATUS=MR","SCALING_FORMAT=MLN","Sort=A","Dates=H","DateFormat=P","Fill=—","Direction=H","UseDPDF=Y")</f>
        <v>0</v>
      </c>
      <c r="K123" s="13">
        <f>_xll.BDH("NBIX US Equity","ARDR_FV_ASTS_REC_L3_AFS_CORP_BDS","FQ4 2020","FQ4 2020","Currency=USD","Period=FQ","BEST_FPERIOD_OVERRIDE=FQ","FILING_STATUS=MR","SCALING_FORMAT=MLN","Sort=A","Dates=H","DateFormat=P","Fill=—","Direction=H","UseDPDF=Y")</f>
        <v>0</v>
      </c>
      <c r="L123" s="13">
        <f>_xll.BDH("NBIX US Equity","ARDR_FV_ASTS_REC_L3_AFS_CORP_BDS","FQ1 2021","FQ1 2021","Currency=USD","Period=FQ","BEST_FPERIOD_OVERRIDE=FQ","FILING_STATUS=MR","SCALING_FORMAT=MLN","Sort=A","Dates=H","DateFormat=P","Fill=—","Direction=H","UseDPDF=Y")</f>
        <v>0</v>
      </c>
      <c r="M123" s="13">
        <f>_xll.BDH("NBIX US Equity","ARDR_FV_ASTS_REC_L3_AFS_CORP_BDS","FQ2 2021","FQ2 2021","Currency=USD","Period=FQ","BEST_FPERIOD_OVERRIDE=FQ","FILING_STATUS=MR","SCALING_FORMAT=MLN","Sort=A","Dates=H","DateFormat=P","Fill=—","Direction=H","UseDPDF=Y")</f>
        <v>0</v>
      </c>
      <c r="N123" s="13">
        <f>_xll.BDH("NBIX US Equity","ARDR_FV_ASTS_REC_L3_AFS_CORP_BDS","FQ3 2021","FQ3 2021","Currency=USD","Period=FQ","BEST_FPERIOD_OVERRIDE=FQ","FILING_STATUS=MR","SCALING_FORMAT=MLN","Sort=A","Dates=H","DateFormat=P","Fill=—","Direction=H","UseDPDF=Y")</f>
        <v>0</v>
      </c>
      <c r="O123" s="13">
        <f>_xll.BDH("NBIX US Equity","ARDR_FV_ASTS_REC_L3_AFS_CORP_BDS","FQ4 2021","FQ4 2021","Currency=USD","Period=FQ","BEST_FPERIOD_OVERRIDE=FQ","FILING_STATUS=MR","SCALING_FORMAT=MLN","Sort=A","Dates=H","DateFormat=P","Fill=—","Direction=H","UseDPDF=Y")</f>
        <v>0</v>
      </c>
      <c r="P123" s="13">
        <f>_xll.BDH("NBIX US Equity","ARDR_FV_ASTS_REC_L3_AFS_CORP_BDS","FQ1 2022","FQ1 2022","Currency=USD","Period=FQ","BEST_FPERIOD_OVERRIDE=FQ","FILING_STATUS=MR","SCALING_FORMAT=MLN","Sort=A","Dates=H","DateFormat=P","Fill=—","Direction=H","UseDPDF=Y")</f>
        <v>0</v>
      </c>
      <c r="Q123" s="13">
        <f>_xll.BDH("NBIX US Equity","ARDR_FV_ASTS_REC_L3_AFS_CORP_BDS","FQ2 2022","FQ2 2022","Currency=USD","Period=FQ","BEST_FPERIOD_OVERRIDE=FQ","FILING_STATUS=MR","SCALING_FORMAT=MLN","Sort=A","Dates=H","DateFormat=P","Fill=—","Direction=H","UseDPDF=Y")</f>
        <v>0</v>
      </c>
      <c r="R123" s="13">
        <f>_xll.BDH("NBIX US Equity","ARDR_FV_ASTS_REC_L3_AFS_CORP_BDS","FQ3 2022","FQ3 2022","Currency=USD","Period=FQ","BEST_FPERIOD_OVERRIDE=FQ","FILING_STATUS=MR","SCALING_FORMAT=MLN","Sort=A","Dates=H","DateFormat=P","Fill=—","Direction=H","UseDPDF=Y")</f>
        <v>0</v>
      </c>
      <c r="S123" s="13">
        <f>_xll.BDH("NBIX US Equity","ARDR_FV_ASTS_REC_L3_AFS_CORP_BDS","FQ4 2022","FQ4 2022","Currency=USD","Period=FQ","BEST_FPERIOD_OVERRIDE=FQ","FILING_STATUS=MR","SCALING_FORMAT=MLN","Sort=A","Dates=H","DateFormat=P","Fill=—","Direction=H","UseDPDF=Y")</f>
        <v>0</v>
      </c>
      <c r="T123" s="13">
        <f>_xll.BDH("NBIX US Equity","ARDR_FV_ASTS_REC_L3_AFS_CORP_BDS","FQ1 2023","FQ1 2023","Currency=USD","Period=FQ","BEST_FPERIOD_OVERRIDE=FQ","FILING_STATUS=MR","SCALING_FORMAT=MLN","Sort=A","Dates=H","DateFormat=P","Fill=—","Direction=H","UseDPDF=Y")</f>
        <v>0</v>
      </c>
      <c r="U123" s="13">
        <f>_xll.BDH("NBIX US Equity","ARDR_FV_ASTS_REC_L3_AFS_CORP_BDS","FQ2 2023","FQ2 2023","Currency=USD","Period=FQ","BEST_FPERIOD_OVERRIDE=FQ","FILING_STATUS=MR","SCALING_FORMAT=MLN","Sort=A","Dates=H","DateFormat=P","Fill=—","Direction=H","UseDPDF=Y")</f>
        <v>0</v>
      </c>
      <c r="V123" s="13" t="str">
        <f>_xll.BDH("NBIX US Equity","ARDR_FV_ASTS_REC_L3_AFS_CORP_BDS","FQ3 2023","FQ3 2023","Currency=USD","Period=FQ","BEST_FPERIOD_OVERRIDE=FQ","FILING_STATUS=MR","SCALING_FORMAT=MLN","Sort=A","Dates=H","DateFormat=P","Fill=—","Direction=H","UseDPDF=Y")</f>
        <v>—</v>
      </c>
      <c r="W123" s="13" t="str">
        <f>_xll.BDH("NBIX US Equity","ARDR_FV_ASTS_REC_L3_AFS_CORP_BDS","FQ4 2023","FQ4 2023","Currency=USD","Period=FQ","BEST_FPERIOD_OVERRIDE=FQ","FILING_STATUS=MR","SCALING_FORMAT=MLN","Sort=A","Dates=H","DateFormat=P","Fill=—","Direction=H","UseDPDF=Y")</f>
        <v>—</v>
      </c>
      <c r="X123" s="13" t="str">
        <f>_xll.BDH("NBIX US Equity","ARDR_FV_ASTS_REC_L3_AFS_CORP_BDS","FQ1 2024","FQ1 2024","Currency=USD","Period=FQ","BEST_FPERIOD_OVERRIDE=FQ","FILING_STATUS=MR","SCALING_FORMAT=MLN","Sort=A","Dates=H","DateFormat=P","Fill=—","Direction=H","UseDPDF=Y")</f>
        <v>—</v>
      </c>
      <c r="Y123" s="13" t="str">
        <f>_xll.BDH("NBIX US Equity","ARDR_FV_ASTS_REC_L3_AFS_CORP_BDS","FQ2 2024","FQ2 2024","Currency=USD","Period=FQ","BEST_FPERIOD_OVERRIDE=FQ","FILING_STATUS=MR","SCALING_FORMAT=MLN","Sort=A","Dates=H","DateFormat=P","Fill=—","Direction=H","UseDPDF=Y")</f>
        <v>—</v>
      </c>
      <c r="Z123" s="13" t="str">
        <f>_xll.BDH("NBIX US Equity","ARDR_FV_ASTS_REC_L3_AFS_CORP_BDS","FQ3 2024","FQ3 2024","Currency=USD","Period=FQ","BEST_FPERIOD_OVERRIDE=FQ","FILING_STATUS=MR","SCALING_FORMAT=MLN","Sort=A","Dates=H","DateFormat=P","Fill=—","Direction=H","UseDPDF=Y")</f>
        <v>—</v>
      </c>
      <c r="AA123" s="13" t="str">
        <f>_xll.BDH("NBIX US Equity","ARDR_FV_ASTS_REC_L3_AFS_CORP_BDS","FQ4 2024","FQ4 2024","Currency=USD","Period=FQ","BEST_FPERIOD_OVERRIDE=FQ","FILING_STATUS=MR","SCALING_FORMAT=MLN","Sort=A","Dates=H","DateFormat=P","Fill=—","Direction=H","UseDPDF=Y")</f>
        <v>—</v>
      </c>
    </row>
    <row r="124" spans="1:27" x14ac:dyDescent="0.25">
      <c r="A124" s="10" t="s">
        <v>1020</v>
      </c>
      <c r="B124" s="10" t="s">
        <v>1021</v>
      </c>
      <c r="C124" s="13">
        <f>_xll.BDH("NBIX US Equity","ARDR_FV_ASSETS_REC_L3_AFS_OTHER","FQ4 2018","FQ4 2018","Currency=USD","Period=FQ","BEST_FPERIOD_OVERRIDE=FQ","FILING_STATUS=MR","SCALING_FORMAT=MLN","Sort=A","Dates=H","DateFormat=P","Fill=—","Direction=H","UseDPDF=Y")</f>
        <v>0</v>
      </c>
      <c r="D124" s="13">
        <f>_xll.BDH("NBIX US Equity","ARDR_FV_ASSETS_REC_L3_AFS_OTHER","FQ1 2019","FQ1 2019","Currency=USD","Period=FQ","BEST_FPERIOD_OVERRIDE=FQ","FILING_STATUS=MR","SCALING_FORMAT=MLN","Sort=A","Dates=H","DateFormat=P","Fill=—","Direction=H","UseDPDF=Y")</f>
        <v>0</v>
      </c>
      <c r="E124" s="13">
        <f>_xll.BDH("NBIX US Equity","ARDR_FV_ASSETS_REC_L3_AFS_OTHER","FQ2 2019","FQ2 2019","Currency=USD","Period=FQ","BEST_FPERIOD_OVERRIDE=FQ","FILING_STATUS=MR","SCALING_FORMAT=MLN","Sort=A","Dates=H","DateFormat=P","Fill=—","Direction=H","UseDPDF=Y")</f>
        <v>77.364999999999995</v>
      </c>
      <c r="F124" s="13">
        <f>_xll.BDH("NBIX US Equity","ARDR_FV_ASSETS_REC_L3_AFS_OTHER","FQ3 2019","FQ3 2019","Currency=USD","Period=FQ","BEST_FPERIOD_OVERRIDE=FQ","FILING_STATUS=MR","SCALING_FORMAT=MLN","Sort=A","Dates=H","DateFormat=P","Fill=—","Direction=H","UseDPDF=Y")</f>
        <v>48.914999999999999</v>
      </c>
      <c r="G124" s="13" t="str">
        <f>_xll.BDH("NBIX US Equity","ARDR_FV_ASSETS_REC_L3_AFS_OTHER","FQ4 2019","FQ4 2019","Currency=USD","Period=FQ","BEST_FPERIOD_OVERRIDE=FQ","FILING_STATUS=MR","SCALING_FORMAT=MLN","Sort=A","Dates=H","DateFormat=P","Fill=—","Direction=H","UseDPDF=Y")</f>
        <v>—</v>
      </c>
      <c r="H124" s="13" t="str">
        <f>_xll.BDH("NBIX US Equity","ARDR_FV_ASSETS_REC_L3_AFS_OTHER","FQ1 2020","FQ1 2020","Currency=USD","Period=FQ","BEST_FPERIOD_OVERRIDE=FQ","FILING_STATUS=MR","SCALING_FORMAT=MLN","Sort=A","Dates=H","DateFormat=P","Fill=—","Direction=H","UseDPDF=Y")</f>
        <v>—</v>
      </c>
      <c r="I124" s="13" t="str">
        <f>_xll.BDH("NBIX US Equity","ARDR_FV_ASSETS_REC_L3_AFS_OTHER","FQ2 2020","FQ2 2020","Currency=USD","Period=FQ","BEST_FPERIOD_OVERRIDE=FQ","FILING_STATUS=MR","SCALING_FORMAT=MLN","Sort=A","Dates=H","DateFormat=P","Fill=—","Direction=H","UseDPDF=Y")</f>
        <v>—</v>
      </c>
      <c r="J124" s="13" t="str">
        <f>_xll.BDH("NBIX US Equity","ARDR_FV_ASSETS_REC_L3_AFS_OTHER","FQ3 2020","FQ3 2020","Currency=USD","Period=FQ","BEST_FPERIOD_OVERRIDE=FQ","FILING_STATUS=MR","SCALING_FORMAT=MLN","Sort=A","Dates=H","DateFormat=P","Fill=—","Direction=H","UseDPDF=Y")</f>
        <v>—</v>
      </c>
      <c r="K124" s="13" t="str">
        <f>_xll.BDH("NBIX US Equity","ARDR_FV_ASSETS_REC_L3_AFS_OTHER","FQ4 2020","FQ4 2020","Currency=USD","Period=FQ","BEST_FPERIOD_OVERRIDE=FQ","FILING_STATUS=MR","SCALING_FORMAT=MLN","Sort=A","Dates=H","DateFormat=P","Fill=—","Direction=H","UseDPDF=Y")</f>
        <v>—</v>
      </c>
      <c r="L124" s="13">
        <f>_xll.BDH("NBIX US Equity","ARDR_FV_ASSETS_REC_L3_AFS_OTHER","FQ1 2021","FQ1 2021","Currency=USD","Period=FQ","BEST_FPERIOD_OVERRIDE=FQ","FILING_STATUS=MR","SCALING_FORMAT=MLN","Sort=A","Dates=H","DateFormat=P","Fill=—","Direction=H","UseDPDF=Y")</f>
        <v>38.9</v>
      </c>
      <c r="M124" s="13">
        <f>_xll.BDH("NBIX US Equity","ARDR_FV_ASSETS_REC_L3_AFS_OTHER","FQ2 2021","FQ2 2021","Currency=USD","Period=FQ","BEST_FPERIOD_OVERRIDE=FQ","FILING_STATUS=MR","SCALING_FORMAT=MLN","Sort=A","Dates=H","DateFormat=P","Fill=—","Direction=H","UseDPDF=Y")</f>
        <v>38.9</v>
      </c>
      <c r="N124" s="13">
        <f>_xll.BDH("NBIX US Equity","ARDR_FV_ASSETS_REC_L3_AFS_OTHER","FQ3 2021","FQ3 2021","Currency=USD","Period=FQ","BEST_FPERIOD_OVERRIDE=FQ","FILING_STATUS=MR","SCALING_FORMAT=MLN","Sort=A","Dates=H","DateFormat=P","Fill=—","Direction=H","UseDPDF=Y")</f>
        <v>35.299999999999997</v>
      </c>
      <c r="O124" s="13" t="str">
        <f>_xll.BDH("NBIX US Equity","ARDR_FV_ASSETS_REC_L3_AFS_OTHER","FQ4 2021","FQ4 2021","Currency=USD","Period=FQ","BEST_FPERIOD_OVERRIDE=FQ","FILING_STATUS=MR","SCALING_FORMAT=MLN","Sort=A","Dates=H","DateFormat=P","Fill=—","Direction=H","UseDPDF=Y")</f>
        <v>—</v>
      </c>
      <c r="P124" s="13" t="str">
        <f>_xll.BDH("NBIX US Equity","ARDR_FV_ASSETS_REC_L3_AFS_OTHER","FQ1 2022","FQ1 2022","Currency=USD","Period=FQ","BEST_FPERIOD_OVERRIDE=FQ","FILING_STATUS=MR","SCALING_FORMAT=MLN","Sort=A","Dates=H","DateFormat=P","Fill=—","Direction=H","UseDPDF=Y")</f>
        <v>—</v>
      </c>
      <c r="Q124" s="13" t="str">
        <f>_xll.BDH("NBIX US Equity","ARDR_FV_ASSETS_REC_L3_AFS_OTHER","FQ2 2022","FQ2 2022","Currency=USD","Period=FQ","BEST_FPERIOD_OVERRIDE=FQ","FILING_STATUS=MR","SCALING_FORMAT=MLN","Sort=A","Dates=H","DateFormat=P","Fill=—","Direction=H","UseDPDF=Y")</f>
        <v>—</v>
      </c>
      <c r="R124" s="13" t="str">
        <f>_xll.BDH("NBIX US Equity","ARDR_FV_ASSETS_REC_L3_AFS_OTHER","FQ3 2022","FQ3 2022","Currency=USD","Period=FQ","BEST_FPERIOD_OVERRIDE=FQ","FILING_STATUS=MR","SCALING_FORMAT=MLN","Sort=A","Dates=H","DateFormat=P","Fill=—","Direction=H","UseDPDF=Y")</f>
        <v>—</v>
      </c>
      <c r="S124" s="13" t="str">
        <f>_xll.BDH("NBIX US Equity","ARDR_FV_ASSETS_REC_L3_AFS_OTHER","FQ4 2022","FQ4 2022","Currency=USD","Period=FQ","BEST_FPERIOD_OVERRIDE=FQ","FILING_STATUS=MR","SCALING_FORMAT=MLN","Sort=A","Dates=H","DateFormat=P","Fill=—","Direction=H","UseDPDF=Y")</f>
        <v>—</v>
      </c>
      <c r="T124" s="13" t="str">
        <f>_xll.BDH("NBIX US Equity","ARDR_FV_ASSETS_REC_L3_AFS_OTHER","FQ1 2023","FQ1 2023","Currency=USD","Period=FQ","BEST_FPERIOD_OVERRIDE=FQ","FILING_STATUS=MR","SCALING_FORMAT=MLN","Sort=A","Dates=H","DateFormat=P","Fill=—","Direction=H","UseDPDF=Y")</f>
        <v>—</v>
      </c>
      <c r="U124" s="13" t="str">
        <f>_xll.BDH("NBIX US Equity","ARDR_FV_ASSETS_REC_L3_AFS_OTHER","FQ2 2023","FQ2 2023","Currency=USD","Period=FQ","BEST_FPERIOD_OVERRIDE=FQ","FILING_STATUS=MR","SCALING_FORMAT=MLN","Sort=A","Dates=H","DateFormat=P","Fill=—","Direction=H","UseDPDF=Y")</f>
        <v>—</v>
      </c>
      <c r="V124" s="13" t="str">
        <f>_xll.BDH("NBIX US Equity","ARDR_FV_ASSETS_REC_L3_AFS_OTHER","FQ3 2023","FQ3 2023","Currency=USD","Period=FQ","BEST_FPERIOD_OVERRIDE=FQ","FILING_STATUS=MR","SCALING_FORMAT=MLN","Sort=A","Dates=H","DateFormat=P","Fill=—","Direction=H","UseDPDF=Y")</f>
        <v>—</v>
      </c>
      <c r="W124" s="13" t="str">
        <f>_xll.BDH("NBIX US Equity","ARDR_FV_ASSETS_REC_L3_AFS_OTHER","FQ4 2023","FQ4 2023","Currency=USD","Period=FQ","BEST_FPERIOD_OVERRIDE=FQ","FILING_STATUS=MR","SCALING_FORMAT=MLN","Sort=A","Dates=H","DateFormat=P","Fill=—","Direction=H","UseDPDF=Y")</f>
        <v>—</v>
      </c>
      <c r="X124" s="13" t="str">
        <f>_xll.BDH("NBIX US Equity","ARDR_FV_ASSETS_REC_L3_AFS_OTHER","FQ1 2024","FQ1 2024","Currency=USD","Period=FQ","BEST_FPERIOD_OVERRIDE=FQ","FILING_STATUS=MR","SCALING_FORMAT=MLN","Sort=A","Dates=H","DateFormat=P","Fill=—","Direction=H","UseDPDF=Y")</f>
        <v>—</v>
      </c>
      <c r="Y124" s="13" t="str">
        <f>_xll.BDH("NBIX US Equity","ARDR_FV_ASSETS_REC_L3_AFS_OTHER","FQ2 2024","FQ2 2024","Currency=USD","Period=FQ","BEST_FPERIOD_OVERRIDE=FQ","FILING_STATUS=MR","SCALING_FORMAT=MLN","Sort=A","Dates=H","DateFormat=P","Fill=—","Direction=H","UseDPDF=Y")</f>
        <v>—</v>
      </c>
      <c r="Z124" s="13" t="str">
        <f>_xll.BDH("NBIX US Equity","ARDR_FV_ASSETS_REC_L3_AFS_OTHER","FQ3 2024","FQ3 2024","Currency=USD","Period=FQ","BEST_FPERIOD_OVERRIDE=FQ","FILING_STATUS=MR","SCALING_FORMAT=MLN","Sort=A","Dates=H","DateFormat=P","Fill=—","Direction=H","UseDPDF=Y")</f>
        <v>—</v>
      </c>
      <c r="AA124" s="13" t="str">
        <f>_xll.BDH("NBIX US Equity","ARDR_FV_ASSETS_REC_L3_AFS_OTHER","FQ4 2024","FQ4 2024","Currency=USD","Period=FQ","BEST_FPERIOD_OVERRIDE=FQ","FILING_STATUS=MR","SCALING_FORMAT=MLN","Sort=A","Dates=H","DateFormat=P","Fill=—","Direction=H","UseDPDF=Y")</f>
        <v>—</v>
      </c>
    </row>
    <row r="125" spans="1:27" x14ac:dyDescent="0.25">
      <c r="A125" s="10" t="s">
        <v>1022</v>
      </c>
      <c r="B125" s="10" t="s">
        <v>1023</v>
      </c>
      <c r="C125" s="13">
        <f>_xll.BDH("NBIX US Equity","ARDR_FV_ASSETS_REC_L3_OTHER","FQ4 2018","FQ4 2018","Currency=USD","Period=FQ","BEST_FPERIOD_OVERRIDE=FQ","FILING_STATUS=MR","SCALING_FORMAT=MLN","Sort=A","Dates=H","DateFormat=P","Fill=—","Direction=H","UseDPDF=Y")</f>
        <v>0</v>
      </c>
      <c r="D125" s="13">
        <f>_xll.BDH("NBIX US Equity","ARDR_FV_ASSETS_REC_L3_OTHER","FQ1 2019","FQ1 2019","Currency=USD","Period=FQ","BEST_FPERIOD_OVERRIDE=FQ","FILING_STATUS=MR","SCALING_FORMAT=MLN","Sort=A","Dates=H","DateFormat=P","Fill=—","Direction=H","UseDPDF=Y")</f>
        <v>5.6399999999999999E-2</v>
      </c>
      <c r="E125" s="13">
        <f>_xll.BDH("NBIX US Equity","ARDR_FV_ASSETS_REC_L3_OTHER","FQ2 2019","FQ2 2019","Currency=USD","Period=FQ","BEST_FPERIOD_OVERRIDE=FQ","FILING_STATUS=MR","SCALING_FORMAT=MLN","Sort=A","Dates=H","DateFormat=P","Fill=—","Direction=H","UseDPDF=Y")</f>
        <v>0</v>
      </c>
      <c r="F125" s="13">
        <f>_xll.BDH("NBIX US Equity","ARDR_FV_ASSETS_REC_L3_OTHER","FQ3 2019","FQ3 2019","Currency=USD","Period=FQ","BEST_FPERIOD_OVERRIDE=FQ","FILING_STATUS=MR","SCALING_FORMAT=MLN","Sort=A","Dates=H","DateFormat=P","Fill=—","Direction=H","UseDPDF=Y")</f>
        <v>0</v>
      </c>
      <c r="G125" s="13">
        <f>_xll.BDH("NBIX US Equity","ARDR_FV_ASSETS_REC_L3_OTHER","FQ4 2019","FQ4 2019","Currency=USD","Period=FQ","BEST_FPERIOD_OVERRIDE=FQ","FILING_STATUS=MR","SCALING_FORMAT=MLN","Sort=A","Dates=H","DateFormat=P","Fill=—","Direction=H","UseDPDF=Y")</f>
        <v>55.9</v>
      </c>
      <c r="H125" s="13">
        <f>_xll.BDH("NBIX US Equity","ARDR_FV_ASSETS_REC_L3_OTHER","FQ1 2020","FQ1 2020","Currency=USD","Period=FQ","BEST_FPERIOD_OVERRIDE=FQ","FILING_STATUS=MR","SCALING_FORMAT=MLN","Sort=A","Dates=H","DateFormat=P","Fill=—","Direction=H","UseDPDF=Y")</f>
        <v>39.4</v>
      </c>
      <c r="I125" s="13">
        <f>_xll.BDH("NBIX US Equity","ARDR_FV_ASSETS_REC_L3_OTHER","FQ2 2020","FQ2 2020","Currency=USD","Period=FQ","BEST_FPERIOD_OVERRIDE=FQ","FILING_STATUS=MR","SCALING_FORMAT=MLN","Sort=A","Dates=H","DateFormat=P","Fill=—","Direction=H","UseDPDF=Y")</f>
        <v>50.7</v>
      </c>
      <c r="J125" s="13">
        <f>_xll.BDH("NBIX US Equity","ARDR_FV_ASSETS_REC_L3_OTHER","FQ3 2020","FQ3 2020","Currency=USD","Period=FQ","BEST_FPERIOD_OVERRIDE=FQ","FILING_STATUS=MR","SCALING_FORMAT=MLN","Sort=A","Dates=H","DateFormat=P","Fill=—","Direction=H","UseDPDF=Y")</f>
        <v>43.7</v>
      </c>
      <c r="K125" s="13">
        <f>_xll.BDH("NBIX US Equity","ARDR_FV_ASSETS_REC_L3_OTHER","FQ4 2020","FQ4 2020","Currency=USD","Period=FQ","BEST_FPERIOD_OVERRIDE=FQ","FILING_STATUS=MR","SCALING_FORMAT=MLN","Sort=A","Dates=H","DateFormat=P","Fill=—","Direction=H","UseDPDF=Y")</f>
        <v>38.200000000000003</v>
      </c>
      <c r="L125" s="13" t="str">
        <f>_xll.BDH("NBIX US Equity","ARDR_FV_ASSETS_REC_L3_OTHER","FQ1 2021","FQ1 2021","Currency=USD","Period=FQ","BEST_FPERIOD_OVERRIDE=FQ","FILING_STATUS=MR","SCALING_FORMAT=MLN","Sort=A","Dates=H","DateFormat=P","Fill=—","Direction=H","UseDPDF=Y")</f>
        <v>—</v>
      </c>
      <c r="M125" s="13" t="str">
        <f>_xll.BDH("NBIX US Equity","ARDR_FV_ASSETS_REC_L3_OTHER","FQ2 2021","FQ2 2021","Currency=USD","Period=FQ","BEST_FPERIOD_OVERRIDE=FQ","FILING_STATUS=MR","SCALING_FORMAT=MLN","Sort=A","Dates=H","DateFormat=P","Fill=—","Direction=H","UseDPDF=Y")</f>
        <v>—</v>
      </c>
      <c r="N125" s="13" t="str">
        <f>_xll.BDH("NBIX US Equity","ARDR_FV_ASSETS_REC_L3_OTHER","FQ3 2021","FQ3 2021","Currency=USD","Period=FQ","BEST_FPERIOD_OVERRIDE=FQ","FILING_STATUS=MR","SCALING_FORMAT=MLN","Sort=A","Dates=H","DateFormat=P","Fill=—","Direction=H","UseDPDF=Y")</f>
        <v>—</v>
      </c>
      <c r="O125" s="13">
        <f>_xll.BDH("NBIX US Equity","ARDR_FV_ASSETS_REC_L3_OTHER","FQ4 2021","FQ4 2021","Currency=USD","Period=FQ","BEST_FPERIOD_OVERRIDE=FQ","FILING_STATUS=MR","SCALING_FORMAT=MLN","Sort=A","Dates=H","DateFormat=P","Fill=—","Direction=H","UseDPDF=Y")</f>
        <v>11</v>
      </c>
      <c r="P125" s="13">
        <f>_xll.BDH("NBIX US Equity","ARDR_FV_ASSETS_REC_L3_OTHER","FQ1 2022","FQ1 2022","Currency=USD","Period=FQ","BEST_FPERIOD_OVERRIDE=FQ","FILING_STATUS=MR","SCALING_FORMAT=MLN","Sort=A","Dates=H","DateFormat=P","Fill=—","Direction=H","UseDPDF=Y")</f>
        <v>0</v>
      </c>
      <c r="Q125" s="13">
        <f>_xll.BDH("NBIX US Equity","ARDR_FV_ASSETS_REC_L3_OTHER","FQ2 2022","FQ2 2022","Currency=USD","Period=FQ","BEST_FPERIOD_OVERRIDE=FQ","FILING_STATUS=MR","SCALING_FORMAT=MLN","Sort=A","Dates=H","DateFormat=P","Fill=—","Direction=H","UseDPDF=Y")</f>
        <v>0</v>
      </c>
      <c r="R125" s="13">
        <f>_xll.BDH("NBIX US Equity","ARDR_FV_ASSETS_REC_L3_OTHER","FQ3 2022","FQ3 2022","Currency=USD","Period=FQ","BEST_FPERIOD_OVERRIDE=FQ","FILING_STATUS=MR","SCALING_FORMAT=MLN","Sort=A","Dates=H","DateFormat=P","Fill=—","Direction=H","UseDPDF=Y")</f>
        <v>0</v>
      </c>
      <c r="S125" s="13">
        <f>_xll.BDH("NBIX US Equity","ARDR_FV_ASSETS_REC_L3_OTHER","FQ4 2022","FQ4 2022","Currency=USD","Period=FQ","BEST_FPERIOD_OVERRIDE=FQ","FILING_STATUS=MR","SCALING_FORMAT=MLN","Sort=A","Dates=H","DateFormat=P","Fill=—","Direction=H","UseDPDF=Y")</f>
        <v>0</v>
      </c>
      <c r="T125" s="13">
        <f>_xll.BDH("NBIX US Equity","ARDR_FV_ASSETS_REC_L3_OTHER","FQ1 2023","FQ1 2023","Currency=USD","Period=FQ","BEST_FPERIOD_OVERRIDE=FQ","FILING_STATUS=MR","SCALING_FORMAT=MLN","Sort=A","Dates=H","DateFormat=P","Fill=—","Direction=H","UseDPDF=Y")</f>
        <v>0</v>
      </c>
      <c r="U125" s="13">
        <f>_xll.BDH("NBIX US Equity","ARDR_FV_ASSETS_REC_L3_OTHER","FQ2 2023","FQ2 2023","Currency=USD","Period=FQ","BEST_FPERIOD_OVERRIDE=FQ","FILING_STATUS=MR","SCALING_FORMAT=MLN","Sort=A","Dates=H","DateFormat=P","Fill=—","Direction=H","UseDPDF=Y")</f>
        <v>0</v>
      </c>
      <c r="V125" s="13" t="str">
        <f>_xll.BDH("NBIX US Equity","ARDR_FV_ASSETS_REC_L3_OTHER","FQ3 2023","FQ3 2023","Currency=USD","Period=FQ","BEST_FPERIOD_OVERRIDE=FQ","FILING_STATUS=MR","SCALING_FORMAT=MLN","Sort=A","Dates=H","DateFormat=P","Fill=—","Direction=H","UseDPDF=Y")</f>
        <v>—</v>
      </c>
      <c r="W125" s="13" t="str">
        <f>_xll.BDH("NBIX US Equity","ARDR_FV_ASSETS_REC_L3_OTHER","FQ4 2023","FQ4 2023","Currency=USD","Period=FQ","BEST_FPERIOD_OVERRIDE=FQ","FILING_STATUS=MR","SCALING_FORMAT=MLN","Sort=A","Dates=H","DateFormat=P","Fill=—","Direction=H","UseDPDF=Y")</f>
        <v>—</v>
      </c>
      <c r="X125" s="13" t="str">
        <f>_xll.BDH("NBIX US Equity","ARDR_FV_ASSETS_REC_L3_OTHER","FQ1 2024","FQ1 2024","Currency=USD","Period=FQ","BEST_FPERIOD_OVERRIDE=FQ","FILING_STATUS=MR","SCALING_FORMAT=MLN","Sort=A","Dates=H","DateFormat=P","Fill=—","Direction=H","UseDPDF=Y")</f>
        <v>—</v>
      </c>
      <c r="Y125" s="13" t="str">
        <f>_xll.BDH("NBIX US Equity","ARDR_FV_ASSETS_REC_L3_OTHER","FQ2 2024","FQ2 2024","Currency=USD","Period=FQ","BEST_FPERIOD_OVERRIDE=FQ","FILING_STATUS=MR","SCALING_FORMAT=MLN","Sort=A","Dates=H","DateFormat=P","Fill=—","Direction=H","UseDPDF=Y")</f>
        <v>—</v>
      </c>
      <c r="Z125" s="13" t="str">
        <f>_xll.BDH("NBIX US Equity","ARDR_FV_ASSETS_REC_L3_OTHER","FQ3 2024","FQ3 2024","Currency=USD","Period=FQ","BEST_FPERIOD_OVERRIDE=FQ","FILING_STATUS=MR","SCALING_FORMAT=MLN","Sort=A","Dates=H","DateFormat=P","Fill=—","Direction=H","UseDPDF=Y")</f>
        <v>—</v>
      </c>
      <c r="AA125" s="13" t="str">
        <f>_xll.BDH("NBIX US Equity","ARDR_FV_ASSETS_REC_L3_OTHER","FQ4 2024","FQ4 2024","Currency=USD","Period=FQ","BEST_FPERIOD_OVERRIDE=FQ","FILING_STATUS=MR","SCALING_FORMAT=MLN","Sort=A","Dates=H","DateFormat=P","Fill=—","Direction=H","UseDPDF=Y")</f>
        <v>—</v>
      </c>
    </row>
    <row r="126" spans="1:27" x14ac:dyDescent="0.25">
      <c r="A126" s="10" t="s">
        <v>1024</v>
      </c>
      <c r="B126" s="10" t="s">
        <v>1025</v>
      </c>
      <c r="C126" s="13" t="str">
        <f>_xll.BDH("NBIX US Equity","ARDR_FV_ASSETS_REC_TOT_CASH_SECS","FQ4 2018","FQ4 2018","Currency=USD","Period=FQ","BEST_FPERIOD_OVERRIDE=FQ","FILING_STATUS=MR","SCALING_FORMAT=MLN","Sort=A","Dates=H","DateFormat=P","Fill=—","Direction=H","UseDPDF=Y")</f>
        <v>—</v>
      </c>
      <c r="D126" s="13" t="str">
        <f>_xll.BDH("NBIX US Equity","ARDR_FV_ASSETS_REC_TOT_CASH_SECS","FQ1 2019","FQ1 2019","Currency=USD","Period=FQ","BEST_FPERIOD_OVERRIDE=FQ","FILING_STATUS=MR","SCALING_FORMAT=MLN","Sort=A","Dates=H","DateFormat=P","Fill=—","Direction=H","UseDPDF=Y")</f>
        <v>—</v>
      </c>
      <c r="E126" s="13" t="str">
        <f>_xll.BDH("NBIX US Equity","ARDR_FV_ASSETS_REC_TOT_CASH_SECS","FQ2 2019","FQ2 2019","Currency=USD","Period=FQ","BEST_FPERIOD_OVERRIDE=FQ","FILING_STATUS=MR","SCALING_FORMAT=MLN","Sort=A","Dates=H","DateFormat=P","Fill=—","Direction=H","UseDPDF=Y")</f>
        <v>—</v>
      </c>
      <c r="F126" s="13" t="str">
        <f>_xll.BDH("NBIX US Equity","ARDR_FV_ASSETS_REC_TOT_CASH_SECS","FQ3 2019","FQ3 2019","Currency=USD","Period=FQ","BEST_FPERIOD_OVERRIDE=FQ","FILING_STATUS=MR","SCALING_FORMAT=MLN","Sort=A","Dates=H","DateFormat=P","Fill=—","Direction=H","UseDPDF=Y")</f>
        <v>—</v>
      </c>
      <c r="G126" s="13">
        <f>_xll.BDH("NBIX US Equity","ARDR_FV_ASSETS_REC_TOT_CASH_SECS","FQ4 2019","FQ4 2019","Currency=USD","Period=FQ","BEST_FPERIOD_OVERRIDE=FQ","FILING_STATUS=MR","SCALING_FORMAT=MLN","Sort=A","Dates=H","DateFormat=P","Fill=—","Direction=H","UseDPDF=Y")</f>
        <v>115.5</v>
      </c>
      <c r="H126" s="13">
        <f>_xll.BDH("NBIX US Equity","ARDR_FV_ASSETS_REC_TOT_CASH_SECS","FQ1 2020","FQ1 2020","Currency=USD","Period=FQ","BEST_FPERIOD_OVERRIDE=FQ","FILING_STATUS=MR","SCALING_FORMAT=MLN","Sort=A","Dates=H","DateFormat=P","Fill=—","Direction=H","UseDPDF=Y")</f>
        <v>190.2</v>
      </c>
      <c r="I126" s="13">
        <f>_xll.BDH("NBIX US Equity","ARDR_FV_ASSETS_REC_TOT_CASH_SECS","FQ2 2020","FQ2 2020","Currency=USD","Period=FQ","BEST_FPERIOD_OVERRIDE=FQ","FILING_STATUS=MR","SCALING_FORMAT=MLN","Sort=A","Dates=H","DateFormat=P","Fill=—","Direction=H","UseDPDF=Y")</f>
        <v>418.3</v>
      </c>
      <c r="J126" s="13">
        <f>_xll.BDH("NBIX US Equity","ARDR_FV_ASSETS_REC_TOT_CASH_SECS","FQ3 2020","FQ3 2020","Currency=USD","Period=FQ","BEST_FPERIOD_OVERRIDE=FQ","FILING_STATUS=MR","SCALING_FORMAT=MLN","Sort=A","Dates=H","DateFormat=P","Fill=—","Direction=H","UseDPDF=Y")</f>
        <v>428.5</v>
      </c>
      <c r="K126" s="13">
        <f>_xll.BDH("NBIX US Equity","ARDR_FV_ASSETS_REC_TOT_CASH_SECS","FQ4 2020","FQ4 2020","Currency=USD","Period=FQ","BEST_FPERIOD_OVERRIDE=FQ","FILING_STATUS=MR","SCALING_FORMAT=MLN","Sort=A","Dates=H","DateFormat=P","Fill=—","Direction=H","UseDPDF=Y")</f>
        <v>190.3</v>
      </c>
      <c r="L126" s="13">
        <f>_xll.BDH("NBIX US Equity","ARDR_FV_ASSETS_REC_TOT_CASH_SECS","FQ1 2021","FQ1 2021","Currency=USD","Period=FQ","BEST_FPERIOD_OVERRIDE=FQ","FILING_STATUS=MR","SCALING_FORMAT=MLN","Sort=A","Dates=H","DateFormat=P","Fill=—","Direction=H","UseDPDF=Y")</f>
        <v>355.8</v>
      </c>
      <c r="M126" s="13">
        <f>_xll.BDH("NBIX US Equity","ARDR_FV_ASSETS_REC_TOT_CASH_SECS","FQ2 2021","FQ2 2021","Currency=USD","Period=FQ","BEST_FPERIOD_OVERRIDE=FQ","FILING_STATUS=MR","SCALING_FORMAT=MLN","Sort=A","Dates=H","DateFormat=P","Fill=—","Direction=H","UseDPDF=Y")</f>
        <v>371.2</v>
      </c>
      <c r="N126" s="13">
        <f>_xll.BDH("NBIX US Equity","ARDR_FV_ASSETS_REC_TOT_CASH_SECS","FQ3 2021","FQ3 2021","Currency=USD","Period=FQ","BEST_FPERIOD_OVERRIDE=FQ","FILING_STATUS=MR","SCALING_FORMAT=MLN","Sort=A","Dates=H","DateFormat=P","Fill=—","Direction=H","UseDPDF=Y")</f>
        <v>314.3</v>
      </c>
      <c r="O126" s="13">
        <f>_xll.BDH("NBIX US Equity","ARDR_FV_ASSETS_REC_TOT_CASH_SECS","FQ4 2021","FQ4 2021","Currency=USD","Period=FQ","BEST_FPERIOD_OVERRIDE=FQ","FILING_STATUS=MR","SCALING_FORMAT=MLN","Sort=A","Dates=H","DateFormat=P","Fill=—","Direction=H","UseDPDF=Y")</f>
        <v>344</v>
      </c>
      <c r="P126" s="13">
        <f>_xll.BDH("NBIX US Equity","ARDR_FV_ASSETS_REC_TOT_CASH_SECS","FQ1 2022","FQ1 2022","Currency=USD","Period=FQ","BEST_FPERIOD_OVERRIDE=FQ","FILING_STATUS=MR","SCALING_FORMAT=MLN","Sort=A","Dates=H","DateFormat=P","Fill=—","Direction=H","UseDPDF=Y")</f>
        <v>278</v>
      </c>
      <c r="Q126" s="13">
        <f>_xll.BDH("NBIX US Equity","ARDR_FV_ASSETS_REC_TOT_CASH_SECS","FQ2 2022","FQ2 2022","Currency=USD","Period=FQ","BEST_FPERIOD_OVERRIDE=FQ","FILING_STATUS=MR","SCALING_FORMAT=MLN","Sort=A","Dates=H","DateFormat=P","Fill=—","Direction=H","UseDPDF=Y")</f>
        <v>171.1</v>
      </c>
      <c r="R126" s="13">
        <f>_xll.BDH("NBIX US Equity","ARDR_FV_ASSETS_REC_TOT_CASH_SECS","FQ3 2022","FQ3 2022","Currency=USD","Period=FQ","BEST_FPERIOD_OVERRIDE=FQ","FILING_STATUS=MR","SCALING_FORMAT=MLN","Sort=A","Dates=H","DateFormat=P","Fill=—","Direction=H","UseDPDF=Y")</f>
        <v>220</v>
      </c>
      <c r="S126" s="13">
        <f>_xll.BDH("NBIX US Equity","ARDR_FV_ASSETS_REC_TOT_CASH_SECS","FQ4 2022","FQ4 2022","Currency=USD","Period=FQ","BEST_FPERIOD_OVERRIDE=FQ","FILING_STATUS=MR","SCALING_FORMAT=MLN","Sort=A","Dates=H","DateFormat=P","Fill=—","Direction=H","UseDPDF=Y")</f>
        <v>270.7</v>
      </c>
      <c r="T126" s="13">
        <f>_xll.BDH("NBIX US Equity","ARDR_FV_ASSETS_REC_TOT_CASH_SECS","FQ1 2023","FQ1 2023","Currency=USD","Period=FQ","BEST_FPERIOD_OVERRIDE=FQ","FILING_STATUS=MR","SCALING_FORMAT=MLN","Sort=A","Dates=H","DateFormat=P","Fill=—","Direction=H","UseDPDF=Y")</f>
        <v>111.6</v>
      </c>
      <c r="U126" s="13">
        <f>_xll.BDH("NBIX US Equity","ARDR_FV_ASSETS_REC_TOT_CASH_SECS","FQ2 2023","FQ2 2023","Currency=USD","Period=FQ","BEST_FPERIOD_OVERRIDE=FQ","FILING_STATUS=MR","SCALING_FORMAT=MLN","Sort=A","Dates=H","DateFormat=P","Fill=—","Direction=H","UseDPDF=Y")</f>
        <v>168.2</v>
      </c>
      <c r="V126" s="13">
        <f>_xll.BDH("NBIX US Equity","ARDR_FV_ASSETS_REC_TOT_CASH_SECS","FQ3 2023","FQ3 2023","Currency=USD","Period=FQ","BEST_FPERIOD_OVERRIDE=FQ","FILING_STATUS=MR","SCALING_FORMAT=MLN","Sort=A","Dates=H","DateFormat=P","Fill=—","Direction=H","UseDPDF=Y")</f>
        <v>301.7</v>
      </c>
      <c r="W126" s="13">
        <f>_xll.BDH("NBIX US Equity","ARDR_FV_ASSETS_REC_TOT_CASH_SECS","FQ4 2023","FQ4 2023","Currency=USD","Period=FQ","BEST_FPERIOD_OVERRIDE=FQ","FILING_STATUS=MR","SCALING_FORMAT=MLN","Sort=A","Dates=H","DateFormat=P","Fill=—","Direction=H","UseDPDF=Y")</f>
        <v>259.10000000000002</v>
      </c>
      <c r="X126" s="13">
        <f>_xll.BDH("NBIX US Equity","ARDR_FV_ASSETS_REC_TOT_CASH_SECS","FQ1 2024","FQ1 2024","Currency=USD","Period=FQ","BEST_FPERIOD_OVERRIDE=FQ","FILING_STATUS=MR","SCALING_FORMAT=MLN","Sort=A","Dates=H","DateFormat=P","Fill=—","Direction=H","UseDPDF=Y")</f>
        <v>404.3</v>
      </c>
      <c r="Y126" s="13">
        <f>_xll.BDH("NBIX US Equity","ARDR_FV_ASSETS_REC_TOT_CASH_SECS","FQ2 2024","FQ2 2024","Currency=USD","Period=FQ","BEST_FPERIOD_OVERRIDE=FQ","FILING_STATUS=MR","SCALING_FORMAT=MLN","Sort=A","Dates=H","DateFormat=P","Fill=—","Direction=H","UseDPDF=Y")</f>
        <v>147.69999999999999</v>
      </c>
      <c r="Z126" s="13">
        <f>_xll.BDH("NBIX US Equity","ARDR_FV_ASSETS_REC_TOT_CASH_SECS","FQ3 2024","FQ3 2024","Currency=USD","Period=FQ","BEST_FPERIOD_OVERRIDE=FQ","FILING_STATUS=MR","SCALING_FORMAT=MLN","Sort=A","Dates=H","DateFormat=P","Fill=—","Direction=H","UseDPDF=Y")</f>
        <v>349.1</v>
      </c>
      <c r="AA126" s="13">
        <f>_xll.BDH("NBIX US Equity","ARDR_FV_ASSETS_REC_TOT_CASH_SECS","FQ4 2024","FQ4 2024","Currency=USD","Period=FQ","BEST_FPERIOD_OVERRIDE=FQ","FILING_STATUS=MR","SCALING_FORMAT=MLN","Sort=A","Dates=H","DateFormat=P","Fill=—","Direction=H","UseDPDF=Y")</f>
        <v>233</v>
      </c>
    </row>
    <row r="127" spans="1:27" x14ac:dyDescent="0.25">
      <c r="A127" s="10" t="s">
        <v>1026</v>
      </c>
      <c r="B127" s="10" t="s">
        <v>1027</v>
      </c>
      <c r="C127" s="13" t="str">
        <f>_xll.BDH("NBIX US Equity","ARDR_FV_ASSETS_REC_TOT_AFS","FQ4 2018","FQ4 2018","Currency=USD","Period=FQ","BEST_FPERIOD_OVERRIDE=FQ","FILING_STATUS=MR","SCALING_FORMAT=MLN","Sort=A","Dates=H","DateFormat=P","Fill=—","Direction=H","UseDPDF=Y")</f>
        <v>—</v>
      </c>
      <c r="D127" s="13" t="str">
        <f>_xll.BDH("NBIX US Equity","ARDR_FV_ASSETS_REC_TOT_AFS","FQ1 2019","FQ1 2019","Currency=USD","Period=FQ","BEST_FPERIOD_OVERRIDE=FQ","FILING_STATUS=MR","SCALING_FORMAT=MLN","Sort=A","Dates=H","DateFormat=P","Fill=—","Direction=H","UseDPDF=Y")</f>
        <v>—</v>
      </c>
      <c r="E127" s="13" t="str">
        <f>_xll.BDH("NBIX US Equity","ARDR_FV_ASSETS_REC_TOT_AFS","FQ2 2019","FQ2 2019","Currency=USD","Period=FQ","BEST_FPERIOD_OVERRIDE=FQ","FILING_STATUS=MR","SCALING_FORMAT=MLN","Sort=A","Dates=H","DateFormat=P","Fill=—","Direction=H","UseDPDF=Y")</f>
        <v>—</v>
      </c>
      <c r="F127" s="13" t="str">
        <f>_xll.BDH("NBIX US Equity","ARDR_FV_ASSETS_REC_TOT_AFS","FQ3 2019","FQ3 2019","Currency=USD","Period=FQ","BEST_FPERIOD_OVERRIDE=FQ","FILING_STATUS=MR","SCALING_FORMAT=MLN","Sort=A","Dates=H","DateFormat=P","Fill=—","Direction=H","UseDPDF=Y")</f>
        <v>—</v>
      </c>
      <c r="G127" s="13" t="str">
        <f>_xll.BDH("NBIX US Equity","ARDR_FV_ASSETS_REC_TOT_AFS","FQ4 2019","FQ4 2019","Currency=USD","Period=FQ","BEST_FPERIOD_OVERRIDE=FQ","FILING_STATUS=MR","SCALING_FORMAT=MLN","Sort=A","Dates=H","DateFormat=P","Fill=—","Direction=H","UseDPDF=Y")</f>
        <v>—</v>
      </c>
      <c r="H127" s="13" t="str">
        <f>_xll.BDH("NBIX US Equity","ARDR_FV_ASSETS_REC_TOT_AFS","FQ1 2020","FQ1 2020","Currency=USD","Period=FQ","BEST_FPERIOD_OVERRIDE=FQ","FILING_STATUS=MR","SCALING_FORMAT=MLN","Sort=A","Dates=H","DateFormat=P","Fill=—","Direction=H","UseDPDF=Y")</f>
        <v>—</v>
      </c>
      <c r="I127" s="13" t="str">
        <f>_xll.BDH("NBIX US Equity","ARDR_FV_ASSETS_REC_TOT_AFS","FQ2 2020","FQ2 2020","Currency=USD","Period=FQ","BEST_FPERIOD_OVERRIDE=FQ","FILING_STATUS=MR","SCALING_FORMAT=MLN","Sort=A","Dates=H","DateFormat=P","Fill=—","Direction=H","UseDPDF=Y")</f>
        <v>—</v>
      </c>
      <c r="J127" s="13" t="str">
        <f>_xll.BDH("NBIX US Equity","ARDR_FV_ASSETS_REC_TOT_AFS","FQ3 2020","FQ3 2020","Currency=USD","Period=FQ","BEST_FPERIOD_OVERRIDE=FQ","FILING_STATUS=MR","SCALING_FORMAT=MLN","Sort=A","Dates=H","DateFormat=P","Fill=—","Direction=H","UseDPDF=Y")</f>
        <v>—</v>
      </c>
      <c r="K127" s="13" t="str">
        <f>_xll.BDH("NBIX US Equity","ARDR_FV_ASSETS_REC_TOT_AFS","FQ4 2020","FQ4 2020","Currency=USD","Period=FQ","BEST_FPERIOD_OVERRIDE=FQ","FILING_STATUS=MR","SCALING_FORMAT=MLN","Sort=A","Dates=H","DateFormat=P","Fill=—","Direction=H","UseDPDF=Y")</f>
        <v>—</v>
      </c>
      <c r="L127" s="13" t="str">
        <f>_xll.BDH("NBIX US Equity","ARDR_FV_ASSETS_REC_TOT_AFS","FQ1 2021","FQ1 2021","Currency=USD","Period=FQ","BEST_FPERIOD_OVERRIDE=FQ","FILING_STATUS=MR","SCALING_FORMAT=MLN","Sort=A","Dates=H","DateFormat=P","Fill=—","Direction=H","UseDPDF=Y")</f>
        <v>—</v>
      </c>
      <c r="M127" s="13">
        <f>_xll.BDH("NBIX US Equity","ARDR_FV_ASSETS_REC_TOT_AFS","FQ2 2021","FQ2 2021","Currency=USD","Period=FQ","BEST_FPERIOD_OVERRIDE=FQ","FILING_STATUS=MR","SCALING_FORMAT=MLN","Sort=A","Dates=H","DateFormat=P","Fill=—","Direction=H","UseDPDF=Y")</f>
        <v>38.9</v>
      </c>
      <c r="N127" s="13" t="str">
        <f>_xll.BDH("NBIX US Equity","ARDR_FV_ASSETS_REC_TOT_AFS","FQ3 2021","FQ3 2021","Currency=USD","Period=FQ","BEST_FPERIOD_OVERRIDE=FQ","FILING_STATUS=MR","SCALING_FORMAT=MLN","Sort=A","Dates=H","DateFormat=P","Fill=—","Direction=H","UseDPDF=Y")</f>
        <v>—</v>
      </c>
      <c r="O127" s="13" t="str">
        <f>_xll.BDH("NBIX US Equity","ARDR_FV_ASSETS_REC_TOT_AFS","FQ4 2021","FQ4 2021","Currency=USD","Period=FQ","BEST_FPERIOD_OVERRIDE=FQ","FILING_STATUS=MR","SCALING_FORMAT=MLN","Sort=A","Dates=H","DateFormat=P","Fill=—","Direction=H","UseDPDF=Y")</f>
        <v>—</v>
      </c>
      <c r="P127" s="13" t="str">
        <f>_xll.BDH("NBIX US Equity","ARDR_FV_ASSETS_REC_TOT_AFS","FQ1 2022","FQ1 2022","Currency=USD","Period=FQ","BEST_FPERIOD_OVERRIDE=FQ","FILING_STATUS=MR","SCALING_FORMAT=MLN","Sort=A","Dates=H","DateFormat=P","Fill=—","Direction=H","UseDPDF=Y")</f>
        <v>—</v>
      </c>
      <c r="Q127" s="13" t="str">
        <f>_xll.BDH("NBIX US Equity","ARDR_FV_ASSETS_REC_TOT_AFS","FQ2 2022","FQ2 2022","Currency=USD","Period=FQ","BEST_FPERIOD_OVERRIDE=FQ","FILING_STATUS=MR","SCALING_FORMAT=MLN","Sort=A","Dates=H","DateFormat=P","Fill=—","Direction=H","UseDPDF=Y")</f>
        <v>—</v>
      </c>
      <c r="R127" s="13" t="str">
        <f>_xll.BDH("NBIX US Equity","ARDR_FV_ASSETS_REC_TOT_AFS","FQ3 2022","FQ3 2022","Currency=USD","Period=FQ","BEST_FPERIOD_OVERRIDE=FQ","FILING_STATUS=MR","SCALING_FORMAT=MLN","Sort=A","Dates=H","DateFormat=P","Fill=—","Direction=H","UseDPDF=Y")</f>
        <v>—</v>
      </c>
      <c r="S127" s="13" t="str">
        <f>_xll.BDH("NBIX US Equity","ARDR_FV_ASSETS_REC_TOT_AFS","FQ4 2022","FQ4 2022","Currency=USD","Period=FQ","BEST_FPERIOD_OVERRIDE=FQ","FILING_STATUS=MR","SCALING_FORMAT=MLN","Sort=A","Dates=H","DateFormat=P","Fill=—","Direction=H","UseDPDF=Y")</f>
        <v>—</v>
      </c>
      <c r="T127" s="13" t="str">
        <f>_xll.BDH("NBIX US Equity","ARDR_FV_ASSETS_REC_TOT_AFS","FQ1 2023","FQ1 2023","Currency=USD","Period=FQ","BEST_FPERIOD_OVERRIDE=FQ","FILING_STATUS=MR","SCALING_FORMAT=MLN","Sort=A","Dates=H","DateFormat=P","Fill=—","Direction=H","UseDPDF=Y")</f>
        <v>—</v>
      </c>
      <c r="U127" s="13" t="str">
        <f>_xll.BDH("NBIX US Equity","ARDR_FV_ASSETS_REC_TOT_AFS","FQ2 2023","FQ2 2023","Currency=USD","Period=FQ","BEST_FPERIOD_OVERRIDE=FQ","FILING_STATUS=MR","SCALING_FORMAT=MLN","Sort=A","Dates=H","DateFormat=P","Fill=—","Direction=H","UseDPDF=Y")</f>
        <v>—</v>
      </c>
      <c r="V127" s="13" t="str">
        <f>_xll.BDH("NBIX US Equity","ARDR_FV_ASSETS_REC_TOT_AFS","FQ3 2023","FQ3 2023","Currency=USD","Period=FQ","BEST_FPERIOD_OVERRIDE=FQ","FILING_STATUS=MR","SCALING_FORMAT=MLN","Sort=A","Dates=H","DateFormat=P","Fill=—","Direction=H","UseDPDF=Y")</f>
        <v>—</v>
      </c>
      <c r="W127" s="13" t="str">
        <f>_xll.BDH("NBIX US Equity","ARDR_FV_ASSETS_REC_TOT_AFS","FQ4 2023","FQ4 2023","Currency=USD","Period=FQ","BEST_FPERIOD_OVERRIDE=FQ","FILING_STATUS=MR","SCALING_FORMAT=MLN","Sort=A","Dates=H","DateFormat=P","Fill=—","Direction=H","UseDPDF=Y")</f>
        <v>—</v>
      </c>
      <c r="X127" s="13" t="str">
        <f>_xll.BDH("NBIX US Equity","ARDR_FV_ASSETS_REC_TOT_AFS","FQ1 2024","FQ1 2024","Currency=USD","Period=FQ","BEST_FPERIOD_OVERRIDE=FQ","FILING_STATUS=MR","SCALING_FORMAT=MLN","Sort=A","Dates=H","DateFormat=P","Fill=—","Direction=H","UseDPDF=Y")</f>
        <v>—</v>
      </c>
      <c r="Y127" s="13" t="str">
        <f>_xll.BDH("NBIX US Equity","ARDR_FV_ASSETS_REC_TOT_AFS","FQ2 2024","FQ2 2024","Currency=USD","Period=FQ","BEST_FPERIOD_OVERRIDE=FQ","FILING_STATUS=MR","SCALING_FORMAT=MLN","Sort=A","Dates=H","DateFormat=P","Fill=—","Direction=H","UseDPDF=Y")</f>
        <v>—</v>
      </c>
      <c r="Z127" s="13">
        <f>_xll.BDH("NBIX US Equity","ARDR_FV_ASSETS_REC_TOT_AFS","FQ3 2024","FQ3 2024","Currency=USD","Period=FQ","BEST_FPERIOD_OVERRIDE=FQ","FILING_STATUS=MR","SCALING_FORMAT=MLN","Sort=A","Dates=H","DateFormat=P","Fill=—","Direction=H","UseDPDF=Y")</f>
        <v>1522.8</v>
      </c>
      <c r="AA127" s="13">
        <f>_xll.BDH("NBIX US Equity","ARDR_FV_ASSETS_REC_TOT_AFS","FQ4 2024","FQ4 2024","Currency=USD","Period=FQ","BEST_FPERIOD_OVERRIDE=FQ","FILING_STATUS=MR","SCALING_FORMAT=MLN","Sort=A","Dates=H","DateFormat=P","Fill=—","Direction=H","UseDPDF=Y")</f>
        <v>1582.6</v>
      </c>
    </row>
    <row r="128" spans="1:27" x14ac:dyDescent="0.25">
      <c r="A128" s="10" t="s">
        <v>1028</v>
      </c>
      <c r="B128" s="10" t="s">
        <v>1029</v>
      </c>
      <c r="C128" s="13" t="str">
        <f>_xll.BDH("NBIX US Equity","ARDR_FV_ASSETS_REC_TOT_CP","FQ4 2018","FQ4 2018","Currency=USD","Period=FQ","BEST_FPERIOD_OVERRIDE=FQ","FILING_STATUS=MR","SCALING_FORMAT=MLN","Sort=A","Dates=H","DateFormat=P","Fill=—","Direction=H","UseDPDF=Y")</f>
        <v>—</v>
      </c>
      <c r="D128" s="13" t="str">
        <f>_xll.BDH("NBIX US Equity","ARDR_FV_ASSETS_REC_TOT_CP","FQ1 2019","FQ1 2019","Currency=USD","Period=FQ","BEST_FPERIOD_OVERRIDE=FQ","FILING_STATUS=MR","SCALING_FORMAT=MLN","Sort=A","Dates=H","DateFormat=P","Fill=—","Direction=H","UseDPDF=Y")</f>
        <v>—</v>
      </c>
      <c r="E128" s="13" t="str">
        <f>_xll.BDH("NBIX US Equity","ARDR_FV_ASSETS_REC_TOT_CP","FQ2 2019","FQ2 2019","Currency=USD","Period=FQ","BEST_FPERIOD_OVERRIDE=FQ","FILING_STATUS=MR","SCALING_FORMAT=MLN","Sort=A","Dates=H","DateFormat=P","Fill=—","Direction=H","UseDPDF=Y")</f>
        <v>—</v>
      </c>
      <c r="F128" s="13" t="str">
        <f>_xll.BDH("NBIX US Equity","ARDR_FV_ASSETS_REC_TOT_CP","FQ3 2019","FQ3 2019","Currency=USD","Period=FQ","BEST_FPERIOD_OVERRIDE=FQ","FILING_STATUS=MR","SCALING_FORMAT=MLN","Sort=A","Dates=H","DateFormat=P","Fill=—","Direction=H","UseDPDF=Y")</f>
        <v>—</v>
      </c>
      <c r="G128" s="13">
        <f>_xll.BDH("NBIX US Equity","ARDR_FV_ASSETS_REC_TOT_CP","FQ4 2019","FQ4 2019","Currency=USD","Period=FQ","BEST_FPERIOD_OVERRIDE=FQ","FILING_STATUS=MR","SCALING_FORMAT=MLN","Sort=A","Dates=H","DateFormat=P","Fill=—","Direction=H","UseDPDF=Y")</f>
        <v>857.9</v>
      </c>
      <c r="H128" s="13">
        <f>_xll.BDH("NBIX US Equity","ARDR_FV_ASSETS_REC_TOT_CP","FQ1 2020","FQ1 2020","Currency=USD","Period=FQ","BEST_FPERIOD_OVERRIDE=FQ","FILING_STATUS=MR","SCALING_FORMAT=MLN","Sort=A","Dates=H","DateFormat=P","Fill=—","Direction=H","UseDPDF=Y")</f>
        <v>820.6</v>
      </c>
      <c r="I128" s="13">
        <f>_xll.BDH("NBIX US Equity","ARDR_FV_ASSETS_REC_TOT_CP","FQ2 2020","FQ2 2020","Currency=USD","Period=FQ","BEST_FPERIOD_OVERRIDE=FQ","FILING_STATUS=MR","SCALING_FORMAT=MLN","Sort=A","Dates=H","DateFormat=P","Fill=—","Direction=H","UseDPDF=Y")</f>
        <v>728.4</v>
      </c>
      <c r="J128" s="13">
        <f>_xll.BDH("NBIX US Equity","ARDR_FV_ASSETS_REC_TOT_CP","FQ3 2020","FQ3 2020","Currency=USD","Period=FQ","BEST_FPERIOD_OVERRIDE=FQ","FILING_STATUS=MR","SCALING_FORMAT=MLN","Sort=A","Dates=H","DateFormat=P","Fill=—","Direction=H","UseDPDF=Y")</f>
        <v>700.8</v>
      </c>
      <c r="K128" s="13">
        <f>_xll.BDH("NBIX US Equity","ARDR_FV_ASSETS_REC_TOT_CP","FQ4 2020","FQ4 2020","Currency=USD","Period=FQ","BEST_FPERIOD_OVERRIDE=FQ","FILING_STATUS=MR","SCALING_FORMAT=MLN","Sort=A","Dates=H","DateFormat=P","Fill=—","Direction=H","UseDPDF=Y")</f>
        <v>841</v>
      </c>
      <c r="L128" s="13">
        <f>_xll.BDH("NBIX US Equity","ARDR_FV_ASSETS_REC_TOT_CP","FQ1 2021","FQ1 2021","Currency=USD","Period=FQ","BEST_FPERIOD_OVERRIDE=FQ","FILING_STATUS=MR","SCALING_FORMAT=MLN","Sort=A","Dates=H","DateFormat=P","Fill=—","Direction=H","UseDPDF=Y")</f>
        <v>809.6</v>
      </c>
      <c r="M128" s="13">
        <f>_xll.BDH("NBIX US Equity","ARDR_FV_ASSETS_REC_TOT_CP","FQ2 2021","FQ2 2021","Currency=USD","Period=FQ","BEST_FPERIOD_OVERRIDE=FQ","FILING_STATUS=MR","SCALING_FORMAT=MLN","Sort=A","Dates=H","DateFormat=P","Fill=—","Direction=H","UseDPDF=Y")</f>
        <v>854.7</v>
      </c>
      <c r="N128" s="13">
        <f>_xll.BDH("NBIX US Equity","ARDR_FV_ASSETS_REC_TOT_CP","FQ3 2021","FQ3 2021","Currency=USD","Period=FQ","BEST_FPERIOD_OVERRIDE=FQ","FILING_STATUS=MR","SCALING_FORMAT=MLN","Sort=A","Dates=H","DateFormat=P","Fill=—","Direction=H","UseDPDF=Y")</f>
        <v>1003.8</v>
      </c>
      <c r="O128" s="13">
        <f>_xll.BDH("NBIX US Equity","ARDR_FV_ASSETS_REC_TOT_CP","FQ4 2021","FQ4 2021","Currency=USD","Period=FQ","BEST_FPERIOD_OVERRIDE=FQ","FILING_STATUS=MR","SCALING_FORMAT=MLN","Sort=A","Dates=H","DateFormat=P","Fill=—","Direction=H","UseDPDF=Y")</f>
        <v>931.2</v>
      </c>
      <c r="P128" s="13">
        <f>_xll.BDH("NBIX US Equity","ARDR_FV_ASSETS_REC_TOT_CP","FQ1 2022","FQ1 2022","Currency=USD","Period=FQ","BEST_FPERIOD_OVERRIDE=FQ","FILING_STATUS=MR","SCALING_FORMAT=MLN","Sort=A","Dates=H","DateFormat=P","Fill=—","Direction=H","UseDPDF=Y")</f>
        <v>935.7</v>
      </c>
      <c r="Q128" s="13">
        <f>_xll.BDH("NBIX US Equity","ARDR_FV_ASSETS_REC_TOT_CP","FQ2 2022","FQ2 2022","Currency=USD","Period=FQ","BEST_FPERIOD_OVERRIDE=FQ","FILING_STATUS=MR","SCALING_FORMAT=MLN","Sort=A","Dates=H","DateFormat=P","Fill=—","Direction=H","UseDPDF=Y")</f>
        <v>890.2</v>
      </c>
      <c r="R128" s="13">
        <f>_xll.BDH("NBIX US Equity","ARDR_FV_ASSETS_REC_TOT_CP","FQ3 2022","FQ3 2022","Currency=USD","Period=FQ","BEST_FPERIOD_OVERRIDE=FQ","FILING_STATUS=MR","SCALING_FORMAT=MLN","Sort=A","Dates=H","DateFormat=P","Fill=—","Direction=H","UseDPDF=Y")</f>
        <v>949.8</v>
      </c>
      <c r="S128" s="13">
        <f>_xll.BDH("NBIX US Equity","ARDR_FV_ASSETS_REC_TOT_CP","FQ4 2022","FQ4 2022","Currency=USD","Period=FQ","BEST_FPERIOD_OVERRIDE=FQ","FILING_STATUS=MR","SCALING_FORMAT=MLN","Sort=A","Dates=H","DateFormat=P","Fill=—","Direction=H","UseDPDF=Y")</f>
        <v>1025.8</v>
      </c>
      <c r="T128" s="13">
        <f>_xll.BDH("NBIX US Equity","ARDR_FV_ASSETS_REC_TOT_CP","FQ1 2023","FQ1 2023","Currency=USD","Period=FQ","BEST_FPERIOD_OVERRIDE=FQ","FILING_STATUS=MR","SCALING_FORMAT=MLN","Sort=A","Dates=H","DateFormat=P","Fill=—","Direction=H","UseDPDF=Y")</f>
        <v>1035.4000000000001</v>
      </c>
      <c r="U128" s="13">
        <f>_xll.BDH("NBIX US Equity","ARDR_FV_ASSETS_REC_TOT_CP","FQ2 2023","FQ2 2023","Currency=USD","Period=FQ","BEST_FPERIOD_OVERRIDE=FQ","FILING_STATUS=MR","SCALING_FORMAT=MLN","Sort=A","Dates=H","DateFormat=P","Fill=—","Direction=H","UseDPDF=Y")</f>
        <v>1159.0999999999999</v>
      </c>
      <c r="V128" s="13">
        <f>_xll.BDH("NBIX US Equity","ARDR_FV_ASSETS_REC_TOT_CP","FQ3 2023","FQ3 2023","Currency=USD","Period=FQ","BEST_FPERIOD_OVERRIDE=FQ","FILING_STATUS=MR","SCALING_FORMAT=MLN","Sort=A","Dates=H","DateFormat=P","Fill=—","Direction=H","UseDPDF=Y")</f>
        <v>1256.0999999999999</v>
      </c>
      <c r="W128" s="13">
        <f>_xll.BDH("NBIX US Equity","ARDR_FV_ASSETS_REC_TOT_CP","FQ4 2023","FQ4 2023","Currency=USD","Period=FQ","BEST_FPERIOD_OVERRIDE=FQ","FILING_STATUS=MR","SCALING_FORMAT=MLN","Sort=A","Dates=H","DateFormat=P","Fill=—","Direction=H","UseDPDF=Y")</f>
        <v>53.5</v>
      </c>
      <c r="X128" s="13">
        <f>_xll.BDH("NBIX US Equity","ARDR_FV_ASSETS_REC_TOT_CP","FQ1 2024","FQ1 2024","Currency=USD","Period=FQ","BEST_FPERIOD_OVERRIDE=FQ","FILING_STATUS=MR","SCALING_FORMAT=MLN","Sort=A","Dates=H","DateFormat=P","Fill=—","Direction=H","UseDPDF=Y")</f>
        <v>58</v>
      </c>
      <c r="Y128" s="13">
        <f>_xll.BDH("NBIX US Equity","ARDR_FV_ASSETS_REC_TOT_CP","FQ2 2024","FQ2 2024","Currency=USD","Period=FQ","BEST_FPERIOD_OVERRIDE=FQ","FILING_STATUS=MR","SCALING_FORMAT=MLN","Sort=A","Dates=H","DateFormat=P","Fill=—","Direction=H","UseDPDF=Y")</f>
        <v>57.2</v>
      </c>
      <c r="Z128" s="13" t="str">
        <f>_xll.BDH("NBIX US Equity","ARDR_FV_ASSETS_REC_TOT_CP","FQ3 2024","FQ3 2024","Currency=USD","Period=FQ","BEST_FPERIOD_OVERRIDE=FQ","FILING_STATUS=MR","SCALING_FORMAT=MLN","Sort=A","Dates=H","DateFormat=P","Fill=—","Direction=H","UseDPDF=Y")</f>
        <v>—</v>
      </c>
      <c r="AA128" s="13" t="str">
        <f>_xll.BDH("NBIX US Equity","ARDR_FV_ASSETS_REC_TOT_CP","FQ4 2024","FQ4 2024","Currency=USD","Period=FQ","BEST_FPERIOD_OVERRIDE=FQ","FILING_STATUS=MR","SCALING_FORMAT=MLN","Sort=A","Dates=H","DateFormat=P","Fill=—","Direction=H","UseDPDF=Y")</f>
        <v>—</v>
      </c>
    </row>
    <row r="129" spans="1:27" x14ac:dyDescent="0.25">
      <c r="A129" s="10" t="s">
        <v>1030</v>
      </c>
      <c r="B129" s="10" t="s">
        <v>1031</v>
      </c>
      <c r="C129" s="13" t="str">
        <f>_xll.BDH("NBIX US Equity","ARDR_FV_ASSETS_REC_TOT_OTHER","FQ4 2018","FQ4 2018","Currency=USD","Period=FQ","BEST_FPERIOD_OVERRIDE=FQ","FILING_STATUS=MR","SCALING_FORMAT=MLN","Sort=A","Dates=H","DateFormat=P","Fill=—","Direction=H","UseDPDF=Y")</f>
        <v>—</v>
      </c>
      <c r="D129" s="13" t="str">
        <f>_xll.BDH("NBIX US Equity","ARDR_FV_ASSETS_REC_TOT_OTHER","FQ1 2019","FQ1 2019","Currency=USD","Period=FQ","BEST_FPERIOD_OVERRIDE=FQ","FILING_STATUS=MR","SCALING_FORMAT=MLN","Sort=A","Dates=H","DateFormat=P","Fill=—","Direction=H","UseDPDF=Y")</f>
        <v>—</v>
      </c>
      <c r="E129" s="13" t="str">
        <f>_xll.BDH("NBIX US Equity","ARDR_FV_ASSETS_REC_TOT_OTHER","FQ2 2019","FQ2 2019","Currency=USD","Period=FQ","BEST_FPERIOD_OVERRIDE=FQ","FILING_STATUS=MR","SCALING_FORMAT=MLN","Sort=A","Dates=H","DateFormat=P","Fill=—","Direction=H","UseDPDF=Y")</f>
        <v>—</v>
      </c>
      <c r="F129" s="13" t="str">
        <f>_xll.BDH("NBIX US Equity","ARDR_FV_ASSETS_REC_TOT_OTHER","FQ3 2019","FQ3 2019","Currency=USD","Period=FQ","BEST_FPERIOD_OVERRIDE=FQ","FILING_STATUS=MR","SCALING_FORMAT=MLN","Sort=A","Dates=H","DateFormat=P","Fill=—","Direction=H","UseDPDF=Y")</f>
        <v>—</v>
      </c>
      <c r="G129" s="13">
        <f>_xll.BDH("NBIX US Equity","ARDR_FV_ASSETS_REC_TOT_OTHER","FQ4 2019","FQ4 2019","Currency=USD","Period=FQ","BEST_FPERIOD_OVERRIDE=FQ","FILING_STATUS=MR","SCALING_FORMAT=MLN","Sort=A","Dates=H","DateFormat=P","Fill=—","Direction=H","UseDPDF=Y")</f>
        <v>55.9</v>
      </c>
      <c r="H129" s="13">
        <f>_xll.BDH("NBIX US Equity","ARDR_FV_ASSETS_REC_TOT_OTHER","FQ1 2020","FQ1 2020","Currency=USD","Period=FQ","BEST_FPERIOD_OVERRIDE=FQ","FILING_STATUS=MR","SCALING_FORMAT=MLN","Sort=A","Dates=H","DateFormat=P","Fill=—","Direction=H","UseDPDF=Y")</f>
        <v>39.4</v>
      </c>
      <c r="I129" s="13">
        <f>_xll.BDH("NBIX US Equity","ARDR_FV_ASSETS_REC_TOT_OTHER","FQ2 2020","FQ2 2020","Currency=USD","Period=FQ","BEST_FPERIOD_OVERRIDE=FQ","FILING_STATUS=MR","SCALING_FORMAT=MLN","Sort=A","Dates=H","DateFormat=P","Fill=—","Direction=H","UseDPDF=Y")</f>
        <v>50.7</v>
      </c>
      <c r="J129" s="13">
        <f>_xll.BDH("NBIX US Equity","ARDR_FV_ASSETS_REC_TOT_OTHER","FQ3 2020","FQ3 2020","Currency=USD","Period=FQ","BEST_FPERIOD_OVERRIDE=FQ","FILING_STATUS=MR","SCALING_FORMAT=MLN","Sort=A","Dates=H","DateFormat=P","Fill=—","Direction=H","UseDPDF=Y")</f>
        <v>43.7</v>
      </c>
      <c r="K129" s="13">
        <f>_xll.BDH("NBIX US Equity","ARDR_FV_ASSETS_REC_TOT_OTHER","FQ4 2020","FQ4 2020","Currency=USD","Period=FQ","BEST_FPERIOD_OVERRIDE=FQ","FILING_STATUS=MR","SCALING_FORMAT=MLN","Sort=A","Dates=H","DateFormat=P","Fill=—","Direction=H","UseDPDF=Y")</f>
        <v>38.200000000000003</v>
      </c>
      <c r="L129" s="13" t="str">
        <f>_xll.BDH("NBIX US Equity","ARDR_FV_ASSETS_REC_TOT_OTHER","FQ1 2021","FQ1 2021","Currency=USD","Period=FQ","BEST_FPERIOD_OVERRIDE=FQ","FILING_STATUS=MR","SCALING_FORMAT=MLN","Sort=A","Dates=H","DateFormat=P","Fill=—","Direction=H","UseDPDF=Y")</f>
        <v>—</v>
      </c>
      <c r="M129" s="13" t="str">
        <f>_xll.BDH("NBIX US Equity","ARDR_FV_ASSETS_REC_TOT_OTHER","FQ2 2021","FQ2 2021","Currency=USD","Period=FQ","BEST_FPERIOD_OVERRIDE=FQ","FILING_STATUS=MR","SCALING_FORMAT=MLN","Sort=A","Dates=H","DateFormat=P","Fill=—","Direction=H","UseDPDF=Y")</f>
        <v>—</v>
      </c>
      <c r="N129" s="13" t="str">
        <f>_xll.BDH("NBIX US Equity","ARDR_FV_ASSETS_REC_TOT_OTHER","FQ3 2021","FQ3 2021","Currency=USD","Period=FQ","BEST_FPERIOD_OVERRIDE=FQ","FILING_STATUS=MR","SCALING_FORMAT=MLN","Sort=A","Dates=H","DateFormat=P","Fill=—","Direction=H","UseDPDF=Y")</f>
        <v>—</v>
      </c>
      <c r="O129" s="13">
        <f>_xll.BDH("NBIX US Equity","ARDR_FV_ASSETS_REC_TOT_OTHER","FQ4 2021","FQ4 2021","Currency=USD","Period=FQ","BEST_FPERIOD_OVERRIDE=FQ","FILING_STATUS=MR","SCALING_FORMAT=MLN","Sort=A","Dates=H","DateFormat=P","Fill=—","Direction=H","UseDPDF=Y")</f>
        <v>63.7</v>
      </c>
      <c r="P129" s="13">
        <f>_xll.BDH("NBIX US Equity","ARDR_FV_ASSETS_REC_TOT_OTHER","FQ1 2022","FQ1 2022","Currency=USD","Period=FQ","BEST_FPERIOD_OVERRIDE=FQ","FILING_STATUS=MR","SCALING_FORMAT=MLN","Sort=A","Dates=H","DateFormat=P","Fill=—","Direction=H","UseDPDF=Y")</f>
        <v>91.3</v>
      </c>
      <c r="Q129" s="13">
        <f>_xll.BDH("NBIX US Equity","ARDR_FV_ASSETS_REC_TOT_OTHER","FQ2 2022","FQ2 2022","Currency=USD","Period=FQ","BEST_FPERIOD_OVERRIDE=FQ","FILING_STATUS=MR","SCALING_FORMAT=MLN","Sort=A","Dates=H","DateFormat=P","Fill=—","Direction=H","UseDPDF=Y")</f>
        <v>83.8</v>
      </c>
      <c r="R129" s="13">
        <f>_xll.BDH("NBIX US Equity","ARDR_FV_ASSETS_REC_TOT_OTHER","FQ3 2022","FQ3 2022","Currency=USD","Period=FQ","BEST_FPERIOD_OVERRIDE=FQ","FILING_STATUS=MR","SCALING_FORMAT=MLN","Sort=A","Dates=H","DateFormat=P","Fill=—","Direction=H","UseDPDF=Y")</f>
        <v>307.10000000000002</v>
      </c>
      <c r="S129" s="13">
        <f>_xll.BDH("NBIX US Equity","ARDR_FV_ASSETS_REC_TOT_OTHER","FQ4 2022","FQ4 2022","Currency=USD","Period=FQ","BEST_FPERIOD_OVERRIDE=FQ","FILING_STATUS=MR","SCALING_FORMAT=MLN","Sort=A","Dates=H","DateFormat=P","Fill=—","Direction=H","UseDPDF=Y")</f>
        <v>102.1</v>
      </c>
      <c r="T129" s="13">
        <f>_xll.BDH("NBIX US Equity","ARDR_FV_ASSETS_REC_TOT_OTHER","FQ1 2023","FQ1 2023","Currency=USD","Period=FQ","BEST_FPERIOD_OVERRIDE=FQ","FILING_STATUS=MR","SCALING_FORMAT=MLN","Sort=A","Dates=H","DateFormat=P","Fill=—","Direction=H","UseDPDF=Y")</f>
        <v>135.69999999999999</v>
      </c>
      <c r="U129" s="13">
        <f>_xll.BDH("NBIX US Equity","ARDR_FV_ASSETS_REC_TOT_OTHER","FQ2 2023","FQ2 2023","Currency=USD","Period=FQ","BEST_FPERIOD_OVERRIDE=FQ","FILING_STATUS=MR","SCALING_FORMAT=MLN","Sort=A","Dates=H","DateFormat=P","Fill=—","Direction=H","UseDPDF=Y")</f>
        <v>173</v>
      </c>
      <c r="V129" s="13">
        <f>_xll.BDH("NBIX US Equity","ARDR_FV_ASSETS_REC_TOT_OTHER","FQ3 2023","FQ3 2023","Currency=USD","Period=FQ","BEST_FPERIOD_OVERRIDE=FQ","FILING_STATUS=MR","SCALING_FORMAT=MLN","Sort=A","Dates=H","DateFormat=P","Fill=—","Direction=H","UseDPDF=Y")</f>
        <v>132.80000000000001</v>
      </c>
      <c r="W129" s="13">
        <f>_xll.BDH("NBIX US Equity","ARDR_FV_ASSETS_REC_TOT_OTHER","FQ4 2023","FQ4 2023","Currency=USD","Period=FQ","BEST_FPERIOD_OVERRIDE=FQ","FILING_STATUS=MR","SCALING_FORMAT=MLN","Sort=A","Dates=H","DateFormat=P","Fill=—","Direction=H","UseDPDF=Y")</f>
        <v>161.9</v>
      </c>
      <c r="X129" s="13">
        <f>_xll.BDH("NBIX US Equity","ARDR_FV_ASSETS_REC_TOT_OTHER","FQ1 2024","FQ1 2024","Currency=USD","Period=FQ","BEST_FPERIOD_OVERRIDE=FQ","FILING_STATUS=MR","SCALING_FORMAT=MLN","Sort=A","Dates=H","DateFormat=P","Fill=—","Direction=H","UseDPDF=Y")</f>
        <v>163.5</v>
      </c>
      <c r="Y129" s="13">
        <f>_xll.BDH("NBIX US Equity","ARDR_FV_ASSETS_REC_TOT_OTHER","FQ2 2024","FQ2 2024","Currency=USD","Period=FQ","BEST_FPERIOD_OVERRIDE=FQ","FILING_STATUS=MR","SCALING_FORMAT=MLN","Sort=A","Dates=H","DateFormat=P","Fill=—","Direction=H","UseDPDF=Y")</f>
        <v>143.6</v>
      </c>
      <c r="Z129" s="13">
        <f>_xll.BDH("NBIX US Equity","ARDR_FV_ASSETS_REC_TOT_OTHER","FQ3 2024","FQ3 2024","Currency=USD","Period=FQ","BEST_FPERIOD_OVERRIDE=FQ","FILING_STATUS=MR","SCALING_FORMAT=MLN","Sort=A","Dates=H","DateFormat=P","Fill=—","Direction=H","UseDPDF=Y")</f>
        <v>126.7</v>
      </c>
      <c r="AA129" s="13">
        <f>_xll.BDH("NBIX US Equity","ARDR_FV_ASSETS_REC_TOT_OTHER","FQ4 2024","FQ4 2024","Currency=USD","Period=FQ","BEST_FPERIOD_OVERRIDE=FQ","FILING_STATUS=MR","SCALING_FORMAT=MLN","Sort=A","Dates=H","DateFormat=P","Fill=—","Direction=H","UseDPDF=Y")</f>
        <v>124.8</v>
      </c>
    </row>
    <row r="130" spans="1:27" x14ac:dyDescent="0.25">
      <c r="A130" s="10" t="s">
        <v>1032</v>
      </c>
      <c r="B130" s="10" t="s">
        <v>1033</v>
      </c>
      <c r="C130" s="14" t="str">
        <f>_xll.BDH("NBIX US Equity","ARDR_PERFORM_RIGHTS_OUTSTANDING","FQ4 2018","FQ4 2018","Currency=USD","Period=FQ","BEST_FPERIOD_OVERRIDE=FQ","FILING_STATUS=MR","Sort=A","Dates=H","DateFormat=P","Fill=—","Direction=H","UseDPDF=Y")</f>
        <v>—</v>
      </c>
      <c r="D130" s="14" t="str">
        <f>_xll.BDH("NBIX US Equity","ARDR_PERFORM_RIGHTS_OUTSTANDING","FQ1 2019","FQ1 2019","Currency=USD","Period=FQ","BEST_FPERIOD_OVERRIDE=FQ","FILING_STATUS=MR","Sort=A","Dates=H","DateFormat=P","Fill=—","Direction=H","UseDPDF=Y")</f>
        <v>—</v>
      </c>
      <c r="E130" s="14" t="str">
        <f>_xll.BDH("NBIX US Equity","ARDR_PERFORM_RIGHTS_OUTSTANDING","FQ2 2019","FQ2 2019","Currency=USD","Period=FQ","BEST_FPERIOD_OVERRIDE=FQ","FILING_STATUS=MR","Sort=A","Dates=H","DateFormat=P","Fill=—","Direction=H","UseDPDF=Y")</f>
        <v>—</v>
      </c>
      <c r="F130" s="14" t="str">
        <f>_xll.BDH("NBIX US Equity","ARDR_PERFORM_RIGHTS_OUTSTANDING","FQ3 2019","FQ3 2019","Currency=USD","Period=FQ","BEST_FPERIOD_OVERRIDE=FQ","FILING_STATUS=MR","Sort=A","Dates=H","DateFormat=P","Fill=—","Direction=H","UseDPDF=Y")</f>
        <v>—</v>
      </c>
      <c r="G130" s="14" t="str">
        <f>_xll.BDH("NBIX US Equity","ARDR_PERFORM_RIGHTS_OUTSTANDING","FQ4 2019","FQ4 2019","Currency=USD","Period=FQ","BEST_FPERIOD_OVERRIDE=FQ","FILING_STATUS=MR","Sort=A","Dates=H","DateFormat=P","Fill=—","Direction=H","UseDPDF=Y")</f>
        <v>—</v>
      </c>
      <c r="H130" s="14" t="str">
        <f>_xll.BDH("NBIX US Equity","ARDR_PERFORM_RIGHTS_OUTSTANDING","FQ1 2020","FQ1 2020","Currency=USD","Period=FQ","BEST_FPERIOD_OVERRIDE=FQ","FILING_STATUS=MR","Sort=A","Dates=H","DateFormat=P","Fill=—","Direction=H","UseDPDF=Y")</f>
        <v>—</v>
      </c>
      <c r="I130" s="14" t="str">
        <f>_xll.BDH("NBIX US Equity","ARDR_PERFORM_RIGHTS_OUTSTANDING","FQ2 2020","FQ2 2020","Currency=USD","Period=FQ","BEST_FPERIOD_OVERRIDE=FQ","FILING_STATUS=MR","Sort=A","Dates=H","DateFormat=P","Fill=—","Direction=H","UseDPDF=Y")</f>
        <v>—</v>
      </c>
      <c r="J130" s="14" t="str">
        <f>_xll.BDH("NBIX US Equity","ARDR_PERFORM_RIGHTS_OUTSTANDING","FQ3 2020","FQ3 2020","Currency=USD","Period=FQ","BEST_FPERIOD_OVERRIDE=FQ","FILING_STATUS=MR","Sort=A","Dates=H","DateFormat=P","Fill=—","Direction=H","UseDPDF=Y")</f>
        <v>—</v>
      </c>
      <c r="K130" s="14" t="str">
        <f>_xll.BDH("NBIX US Equity","ARDR_PERFORM_RIGHTS_OUTSTANDING","FQ4 2020","FQ4 2020","Currency=USD","Period=FQ","BEST_FPERIOD_OVERRIDE=FQ","FILING_STATUS=MR","Sort=A","Dates=H","DateFormat=P","Fill=—","Direction=H","UseDPDF=Y")</f>
        <v>—</v>
      </c>
      <c r="L130" s="14" t="str">
        <f>_xll.BDH("NBIX US Equity","ARDR_PERFORM_RIGHTS_OUTSTANDING","FQ1 2021","FQ1 2021","Currency=USD","Period=FQ","BEST_FPERIOD_OVERRIDE=FQ","FILING_STATUS=MR","Sort=A","Dates=H","DateFormat=P","Fill=—","Direction=H","UseDPDF=Y")</f>
        <v>—</v>
      </c>
      <c r="M130" s="14" t="str">
        <f>_xll.BDH("NBIX US Equity","ARDR_PERFORM_RIGHTS_OUTSTANDING","FQ2 2021","FQ2 2021","Currency=USD","Period=FQ","BEST_FPERIOD_OVERRIDE=FQ","FILING_STATUS=MR","Sort=A","Dates=H","DateFormat=P","Fill=—","Direction=H","UseDPDF=Y")</f>
        <v>—</v>
      </c>
      <c r="N130" s="14" t="str">
        <f>_xll.BDH("NBIX US Equity","ARDR_PERFORM_RIGHTS_OUTSTANDING","FQ3 2021","FQ3 2021","Currency=USD","Period=FQ","BEST_FPERIOD_OVERRIDE=FQ","FILING_STATUS=MR","Sort=A","Dates=H","DateFormat=P","Fill=—","Direction=H","UseDPDF=Y")</f>
        <v>—</v>
      </c>
      <c r="O130" s="14" t="str">
        <f>_xll.BDH("NBIX US Equity","ARDR_PERFORM_RIGHTS_OUTSTANDING","FQ4 2021","FQ4 2021","Currency=USD","Period=FQ","BEST_FPERIOD_OVERRIDE=FQ","FILING_STATUS=MR","Sort=A","Dates=H","DateFormat=P","Fill=—","Direction=H","UseDPDF=Y")</f>
        <v>—</v>
      </c>
      <c r="P130" s="14" t="str">
        <f>_xll.BDH("NBIX US Equity","ARDR_PERFORM_RIGHTS_OUTSTANDING","FQ1 2022","FQ1 2022","Currency=USD","Period=FQ","BEST_FPERIOD_OVERRIDE=FQ","FILING_STATUS=MR","Sort=A","Dates=H","DateFormat=P","Fill=—","Direction=H","UseDPDF=Y")</f>
        <v>—</v>
      </c>
      <c r="Q130" s="14" t="str">
        <f>_xll.BDH("NBIX US Equity","ARDR_PERFORM_RIGHTS_OUTSTANDING","FQ2 2022","FQ2 2022","Currency=USD","Period=FQ","BEST_FPERIOD_OVERRIDE=FQ","FILING_STATUS=MR","Sort=A","Dates=H","DateFormat=P","Fill=—","Direction=H","UseDPDF=Y")</f>
        <v>—</v>
      </c>
      <c r="R130" s="14" t="str">
        <f>_xll.BDH("NBIX US Equity","ARDR_PERFORM_RIGHTS_OUTSTANDING","FQ3 2022","FQ3 2022","Currency=USD","Period=FQ","BEST_FPERIOD_OVERRIDE=FQ","FILING_STATUS=MR","Sort=A","Dates=H","DateFormat=P","Fill=—","Direction=H","UseDPDF=Y")</f>
        <v>—</v>
      </c>
      <c r="S130" s="14" t="str">
        <f>_xll.BDH("NBIX US Equity","ARDR_PERFORM_RIGHTS_OUTSTANDING","FQ4 2022","FQ4 2022","Currency=USD","Period=FQ","BEST_FPERIOD_OVERRIDE=FQ","FILING_STATUS=MR","Sort=A","Dates=H","DateFormat=P","Fill=—","Direction=H","UseDPDF=Y")</f>
        <v>—</v>
      </c>
      <c r="T130" s="14" t="str">
        <f>_xll.BDH("NBIX US Equity","ARDR_PERFORM_RIGHTS_OUTSTANDING","FQ1 2023","FQ1 2023","Currency=USD","Period=FQ","BEST_FPERIOD_OVERRIDE=FQ","FILING_STATUS=MR","Sort=A","Dates=H","DateFormat=P","Fill=—","Direction=H","UseDPDF=Y")</f>
        <v>—</v>
      </c>
      <c r="U130" s="14" t="str">
        <f>_xll.BDH("NBIX US Equity","ARDR_PERFORM_RIGHTS_OUTSTANDING","FQ2 2023","FQ2 2023","Currency=USD","Period=FQ","BEST_FPERIOD_OVERRIDE=FQ","FILING_STATUS=MR","Sort=A","Dates=H","DateFormat=P","Fill=—","Direction=H","UseDPDF=Y")</f>
        <v>—</v>
      </c>
      <c r="V130" s="14" t="str">
        <f>_xll.BDH("NBIX US Equity","ARDR_PERFORM_RIGHTS_OUTSTANDING","FQ3 2023","FQ3 2023","Currency=USD","Period=FQ","BEST_FPERIOD_OVERRIDE=FQ","FILING_STATUS=MR","Sort=A","Dates=H","DateFormat=P","Fill=—","Direction=H","UseDPDF=Y")</f>
        <v>—</v>
      </c>
      <c r="W130" s="14" t="str">
        <f>_xll.BDH("NBIX US Equity","ARDR_PERFORM_RIGHTS_OUTSTANDING","FQ4 2023","FQ4 2023","Currency=USD","Period=FQ","BEST_FPERIOD_OVERRIDE=FQ","FILING_STATUS=MR","Sort=A","Dates=H","DateFormat=P","Fill=—","Direction=H","UseDPDF=Y")</f>
        <v>—</v>
      </c>
      <c r="X130" s="14" t="str">
        <f>_xll.BDH("NBIX US Equity","ARDR_PERFORM_RIGHTS_OUTSTANDING","FQ1 2024","FQ1 2024","Currency=USD","Period=FQ","BEST_FPERIOD_OVERRIDE=FQ","FILING_STATUS=MR","Sort=A","Dates=H","DateFormat=P","Fill=—","Direction=H","UseDPDF=Y")</f>
        <v>—</v>
      </c>
      <c r="Y130" s="14" t="str">
        <f>_xll.BDH("NBIX US Equity","ARDR_PERFORM_RIGHTS_OUTSTANDING","FQ2 2024","FQ2 2024","Currency=USD","Period=FQ","BEST_FPERIOD_OVERRIDE=FQ","FILING_STATUS=MR","Sort=A","Dates=H","DateFormat=P","Fill=—","Direction=H","UseDPDF=Y")</f>
        <v>—</v>
      </c>
      <c r="Z130" s="14" t="str">
        <f>_xll.BDH("NBIX US Equity","ARDR_PERFORM_RIGHTS_OUTSTANDING","FQ3 2024","FQ3 2024","Currency=USD","Period=FQ","BEST_FPERIOD_OVERRIDE=FQ","FILING_STATUS=MR","Sort=A","Dates=H","DateFormat=P","Fill=—","Direction=H","UseDPDF=Y")</f>
        <v>—</v>
      </c>
      <c r="AA130" s="14">
        <f>_xll.BDH("NBIX US Equity","ARDR_PERFORM_RIGHTS_OUTSTANDING","FQ4 2024","FQ4 2024","Currency=USD","Period=FQ","BEST_FPERIOD_OVERRIDE=FQ","FILING_STATUS=MR","Sort=A","Dates=H","DateFormat=P","Fill=—","Direction=H","UseDPDF=Y")</f>
        <v>400000</v>
      </c>
    </row>
    <row r="131" spans="1:27" x14ac:dyDescent="0.25">
      <c r="A131" s="10" t="s">
        <v>1034</v>
      </c>
      <c r="B131" s="10" t="s">
        <v>1035</v>
      </c>
      <c r="C131" s="13">
        <f>_xll.BDH("NBIX US Equity","ARDR_DTA_NOL_CARRYFORWARD","FQ4 2018","FQ4 2018","Currency=USD","Period=FQ","BEST_FPERIOD_OVERRIDE=FQ","FILING_STATUS=MR","SCALING_FORMAT=MLN","Sort=A","Dates=H","DateFormat=P","Fill=—","Direction=H","UseDPDF=Y")</f>
        <v>223.8</v>
      </c>
      <c r="D131" s="13" t="str">
        <f>_xll.BDH("NBIX US Equity","ARDR_DTA_NOL_CARRYFORWARD","FQ1 2019","FQ1 2019","Currency=USD","Period=FQ","BEST_FPERIOD_OVERRIDE=FQ","FILING_STATUS=MR","SCALING_FORMAT=MLN","Sort=A","Dates=H","DateFormat=P","Fill=—","Direction=H","UseDPDF=Y")</f>
        <v>—</v>
      </c>
      <c r="E131" s="13" t="str">
        <f>_xll.BDH("NBIX US Equity","ARDR_DTA_NOL_CARRYFORWARD","FQ2 2019","FQ2 2019","Currency=USD","Period=FQ","BEST_FPERIOD_OVERRIDE=FQ","FILING_STATUS=MR","SCALING_FORMAT=MLN","Sort=A","Dates=H","DateFormat=P","Fill=—","Direction=H","UseDPDF=Y")</f>
        <v>—</v>
      </c>
      <c r="F131" s="13" t="str">
        <f>_xll.BDH("NBIX US Equity","ARDR_DTA_NOL_CARRYFORWARD","FQ3 2019","FQ3 2019","Currency=USD","Period=FQ","BEST_FPERIOD_OVERRIDE=FQ","FILING_STATUS=MR","SCALING_FORMAT=MLN","Sort=A","Dates=H","DateFormat=P","Fill=—","Direction=H","UseDPDF=Y")</f>
        <v>—</v>
      </c>
      <c r="G131" s="13">
        <f>_xll.BDH("NBIX US Equity","ARDR_DTA_NOL_CARRYFORWARD","FQ4 2019","FQ4 2019","Currency=USD","Period=FQ","BEST_FPERIOD_OVERRIDE=FQ","FILING_STATUS=MR","SCALING_FORMAT=MLN","Sort=A","Dates=H","DateFormat=P","Fill=—","Direction=H","UseDPDF=Y")</f>
        <v>181.3</v>
      </c>
      <c r="H131" s="13" t="str">
        <f>_xll.BDH("NBIX US Equity","ARDR_DTA_NOL_CARRYFORWARD","FQ1 2020","FQ1 2020","Currency=USD","Period=FQ","BEST_FPERIOD_OVERRIDE=FQ","FILING_STATUS=MR","SCALING_FORMAT=MLN","Sort=A","Dates=H","DateFormat=P","Fill=—","Direction=H","UseDPDF=Y")</f>
        <v>—</v>
      </c>
      <c r="I131" s="13" t="str">
        <f>_xll.BDH("NBIX US Equity","ARDR_DTA_NOL_CARRYFORWARD","FQ2 2020","FQ2 2020","Currency=USD","Period=FQ","BEST_FPERIOD_OVERRIDE=FQ","FILING_STATUS=MR","SCALING_FORMAT=MLN","Sort=A","Dates=H","DateFormat=P","Fill=—","Direction=H","UseDPDF=Y")</f>
        <v>—</v>
      </c>
      <c r="J131" s="13" t="str">
        <f>_xll.BDH("NBIX US Equity","ARDR_DTA_NOL_CARRYFORWARD","FQ3 2020","FQ3 2020","Currency=USD","Period=FQ","BEST_FPERIOD_OVERRIDE=FQ","FILING_STATUS=MR","SCALING_FORMAT=MLN","Sort=A","Dates=H","DateFormat=P","Fill=—","Direction=H","UseDPDF=Y")</f>
        <v>—</v>
      </c>
      <c r="K131" s="13">
        <f>_xll.BDH("NBIX US Equity","ARDR_DTA_NOL_CARRYFORWARD","FQ4 2020","FQ4 2020","Currency=USD","Period=FQ","BEST_FPERIOD_OVERRIDE=FQ","FILING_STATUS=MR","SCALING_FORMAT=MLN","Sort=A","Dates=H","DateFormat=P","Fill=—","Direction=H","UseDPDF=Y")</f>
        <v>111.4</v>
      </c>
      <c r="L131" s="13" t="str">
        <f>_xll.BDH("NBIX US Equity","ARDR_DTA_NOL_CARRYFORWARD","FQ1 2021","FQ1 2021","Currency=USD","Period=FQ","BEST_FPERIOD_OVERRIDE=FQ","FILING_STATUS=MR","SCALING_FORMAT=MLN","Sort=A","Dates=H","DateFormat=P","Fill=—","Direction=H","UseDPDF=Y")</f>
        <v>—</v>
      </c>
      <c r="M131" s="13" t="str">
        <f>_xll.BDH("NBIX US Equity","ARDR_DTA_NOL_CARRYFORWARD","FQ2 2021","FQ2 2021","Currency=USD","Period=FQ","BEST_FPERIOD_OVERRIDE=FQ","FILING_STATUS=MR","SCALING_FORMAT=MLN","Sort=A","Dates=H","DateFormat=P","Fill=—","Direction=H","UseDPDF=Y")</f>
        <v>—</v>
      </c>
      <c r="N131" s="13" t="str">
        <f>_xll.BDH("NBIX US Equity","ARDR_DTA_NOL_CARRYFORWARD","FQ3 2021","FQ3 2021","Currency=USD","Period=FQ","BEST_FPERIOD_OVERRIDE=FQ","FILING_STATUS=MR","SCALING_FORMAT=MLN","Sort=A","Dates=H","DateFormat=P","Fill=—","Direction=H","UseDPDF=Y")</f>
        <v>—</v>
      </c>
      <c r="O131" s="13">
        <f>_xll.BDH("NBIX US Equity","ARDR_DTA_NOL_CARRYFORWARD","FQ4 2021","FQ4 2021","Currency=USD","Period=FQ","BEST_FPERIOD_OVERRIDE=FQ","FILING_STATUS=MR","SCALING_FORMAT=MLN","Sort=A","Dates=H","DateFormat=P","Fill=—","Direction=H","UseDPDF=Y")</f>
        <v>90.3</v>
      </c>
      <c r="P131" s="13" t="str">
        <f>_xll.BDH("NBIX US Equity","ARDR_DTA_NOL_CARRYFORWARD","FQ1 2022","FQ1 2022","Currency=USD","Period=FQ","BEST_FPERIOD_OVERRIDE=FQ","FILING_STATUS=MR","SCALING_FORMAT=MLN","Sort=A","Dates=H","DateFormat=P","Fill=—","Direction=H","UseDPDF=Y")</f>
        <v>—</v>
      </c>
      <c r="Q131" s="13" t="str">
        <f>_xll.BDH("NBIX US Equity","ARDR_DTA_NOL_CARRYFORWARD","FQ2 2022","FQ2 2022","Currency=USD","Period=FQ","BEST_FPERIOD_OVERRIDE=FQ","FILING_STATUS=MR","SCALING_FORMAT=MLN","Sort=A","Dates=H","DateFormat=P","Fill=—","Direction=H","UseDPDF=Y")</f>
        <v>—</v>
      </c>
      <c r="R131" s="13" t="str">
        <f>_xll.BDH("NBIX US Equity","ARDR_DTA_NOL_CARRYFORWARD","FQ3 2022","FQ3 2022","Currency=USD","Period=FQ","BEST_FPERIOD_OVERRIDE=FQ","FILING_STATUS=MR","SCALING_FORMAT=MLN","Sort=A","Dates=H","DateFormat=P","Fill=—","Direction=H","UseDPDF=Y")</f>
        <v>—</v>
      </c>
      <c r="S131" s="13">
        <f>_xll.BDH("NBIX US Equity","ARDR_DTA_NOL_CARRYFORWARD","FQ4 2022","FQ4 2022","Currency=USD","Period=FQ","BEST_FPERIOD_OVERRIDE=FQ","FILING_STATUS=MR","SCALING_FORMAT=MLN","Sort=A","Dates=H","DateFormat=P","Fill=—","Direction=H","UseDPDF=Y")</f>
        <v>27.4</v>
      </c>
      <c r="T131" s="13" t="str">
        <f>_xll.BDH("NBIX US Equity","ARDR_DTA_NOL_CARRYFORWARD","FQ1 2023","FQ1 2023","Currency=USD","Period=FQ","BEST_FPERIOD_OVERRIDE=FQ","FILING_STATUS=MR","SCALING_FORMAT=MLN","Sort=A","Dates=H","DateFormat=P","Fill=—","Direction=H","UseDPDF=Y")</f>
        <v>—</v>
      </c>
      <c r="U131" s="13" t="str">
        <f>_xll.BDH("NBIX US Equity","ARDR_DTA_NOL_CARRYFORWARD","FQ2 2023","FQ2 2023","Currency=USD","Period=FQ","BEST_FPERIOD_OVERRIDE=FQ","FILING_STATUS=MR","SCALING_FORMAT=MLN","Sort=A","Dates=H","DateFormat=P","Fill=—","Direction=H","UseDPDF=Y")</f>
        <v>—</v>
      </c>
      <c r="V131" s="13" t="str">
        <f>_xll.BDH("NBIX US Equity","ARDR_DTA_NOL_CARRYFORWARD","FQ3 2023","FQ3 2023","Currency=USD","Period=FQ","BEST_FPERIOD_OVERRIDE=FQ","FILING_STATUS=MR","SCALING_FORMAT=MLN","Sort=A","Dates=H","DateFormat=P","Fill=—","Direction=H","UseDPDF=Y")</f>
        <v>—</v>
      </c>
      <c r="W131" s="13">
        <f>_xll.BDH("NBIX US Equity","ARDR_DTA_NOL_CARRYFORWARD","FQ4 2023","FQ4 2023","Currency=USD","Period=FQ","BEST_FPERIOD_OVERRIDE=FQ","FILING_STATUS=MR","SCALING_FORMAT=MLN","Sort=A","Dates=H","DateFormat=P","Fill=—","Direction=H","UseDPDF=Y")</f>
        <v>36.4</v>
      </c>
      <c r="X131" s="13" t="str">
        <f>_xll.BDH("NBIX US Equity","ARDR_DTA_NOL_CARRYFORWARD","FQ1 2024","FQ1 2024","Currency=USD","Period=FQ","BEST_FPERIOD_OVERRIDE=FQ","FILING_STATUS=MR","SCALING_FORMAT=MLN","Sort=A","Dates=H","DateFormat=P","Fill=—","Direction=H","UseDPDF=Y")</f>
        <v>—</v>
      </c>
      <c r="Y131" s="13" t="str">
        <f>_xll.BDH("NBIX US Equity","ARDR_DTA_NOL_CARRYFORWARD","FQ2 2024","FQ2 2024","Currency=USD","Period=FQ","BEST_FPERIOD_OVERRIDE=FQ","FILING_STATUS=MR","SCALING_FORMAT=MLN","Sort=A","Dates=H","DateFormat=P","Fill=—","Direction=H","UseDPDF=Y")</f>
        <v>—</v>
      </c>
      <c r="Z131" s="13" t="str">
        <f>_xll.BDH("NBIX US Equity","ARDR_DTA_NOL_CARRYFORWARD","FQ3 2024","FQ3 2024","Currency=USD","Period=FQ","BEST_FPERIOD_OVERRIDE=FQ","FILING_STATUS=MR","SCALING_FORMAT=MLN","Sort=A","Dates=H","DateFormat=P","Fill=—","Direction=H","UseDPDF=Y")</f>
        <v>—</v>
      </c>
      <c r="AA131" s="13">
        <f>_xll.BDH("NBIX US Equity","ARDR_DTA_NOL_CARRYFORWARD","FQ4 2024","FQ4 2024","Currency=USD","Period=FQ","BEST_FPERIOD_OVERRIDE=FQ","FILING_STATUS=MR","SCALING_FORMAT=MLN","Sort=A","Dates=H","DateFormat=P","Fill=—","Direction=H","UseDPDF=Y")</f>
        <v>50.5</v>
      </c>
    </row>
    <row r="132" spans="1:27" x14ac:dyDescent="0.25">
      <c r="A132" s="10" t="s">
        <v>1036</v>
      </c>
      <c r="B132" s="10" t="s">
        <v>1037</v>
      </c>
      <c r="C132" s="13" t="str">
        <f>_xll.BDH("NBIX US Equity","ARDR_OPTIONS_BEGINNING_OF_PERIOD","FQ4 2018","FQ4 2018","Currency=USD","Period=FQ","BEST_FPERIOD_OVERRIDE=FQ","FILING_STATUS=MR","Sort=A","Dates=H","DateFormat=P","Fill=—","Direction=H","UseDPDF=Y")</f>
        <v>—</v>
      </c>
      <c r="D132" s="13" t="str">
        <f>_xll.BDH("NBIX US Equity","ARDR_OPTIONS_BEGINNING_OF_PERIOD","FQ1 2019","FQ1 2019","Currency=USD","Period=FQ","BEST_FPERIOD_OVERRIDE=FQ","FILING_STATUS=MR","Sort=A","Dates=H","DateFormat=P","Fill=—","Direction=H","UseDPDF=Y")</f>
        <v>—</v>
      </c>
      <c r="E132" s="13" t="str">
        <f>_xll.BDH("NBIX US Equity","ARDR_OPTIONS_BEGINNING_OF_PERIOD","FQ2 2019","FQ2 2019","Currency=USD","Period=FQ","BEST_FPERIOD_OVERRIDE=FQ","FILING_STATUS=MR","Sort=A","Dates=H","DateFormat=P","Fill=—","Direction=H","UseDPDF=Y")</f>
        <v>—</v>
      </c>
      <c r="F132" s="13" t="str">
        <f>_xll.BDH("NBIX US Equity","ARDR_OPTIONS_BEGINNING_OF_PERIOD","FQ3 2019","FQ3 2019","Currency=USD","Period=FQ","BEST_FPERIOD_OVERRIDE=FQ","FILING_STATUS=MR","Sort=A","Dates=H","DateFormat=P","Fill=—","Direction=H","UseDPDF=Y")</f>
        <v>—</v>
      </c>
      <c r="G132" s="13" t="str">
        <f>_xll.BDH("NBIX US Equity","ARDR_OPTIONS_BEGINNING_OF_PERIOD","FQ4 2019","FQ4 2019","Currency=USD","Period=FQ","BEST_FPERIOD_OVERRIDE=FQ","FILING_STATUS=MR","Sort=A","Dates=H","DateFormat=P","Fill=—","Direction=H","UseDPDF=Y")</f>
        <v>—</v>
      </c>
      <c r="H132" s="13" t="str">
        <f>_xll.BDH("NBIX US Equity","ARDR_OPTIONS_BEGINNING_OF_PERIOD","FQ1 2020","FQ1 2020","Currency=USD","Period=FQ","BEST_FPERIOD_OVERRIDE=FQ","FILING_STATUS=MR","Sort=A","Dates=H","DateFormat=P","Fill=—","Direction=H","UseDPDF=Y")</f>
        <v>—</v>
      </c>
      <c r="I132" s="13" t="str">
        <f>_xll.BDH("NBIX US Equity","ARDR_OPTIONS_BEGINNING_OF_PERIOD","FQ2 2020","FQ2 2020","Currency=USD","Period=FQ","BEST_FPERIOD_OVERRIDE=FQ","FILING_STATUS=MR","Sort=A","Dates=H","DateFormat=P","Fill=—","Direction=H","UseDPDF=Y")</f>
        <v>—</v>
      </c>
      <c r="J132" s="13" t="str">
        <f>_xll.BDH("NBIX US Equity","ARDR_OPTIONS_BEGINNING_OF_PERIOD","FQ3 2020","FQ3 2020","Currency=USD","Period=FQ","BEST_FPERIOD_OVERRIDE=FQ","FILING_STATUS=MR","Sort=A","Dates=H","DateFormat=P","Fill=—","Direction=H","UseDPDF=Y")</f>
        <v>—</v>
      </c>
      <c r="K132" s="13" t="str">
        <f>_xll.BDH("NBIX US Equity","ARDR_OPTIONS_BEGINNING_OF_PERIOD","FQ4 2020","FQ4 2020","Currency=USD","Period=FQ","BEST_FPERIOD_OVERRIDE=FQ","FILING_STATUS=MR","Sort=A","Dates=H","DateFormat=P","Fill=—","Direction=H","UseDPDF=Y")</f>
        <v>—</v>
      </c>
      <c r="L132" s="13" t="str">
        <f>_xll.BDH("NBIX US Equity","ARDR_OPTIONS_BEGINNING_OF_PERIOD","FQ1 2021","FQ1 2021","Currency=USD","Period=FQ","BEST_FPERIOD_OVERRIDE=FQ","FILING_STATUS=MR","Sort=A","Dates=H","DateFormat=P","Fill=—","Direction=H","UseDPDF=Y")</f>
        <v>—</v>
      </c>
      <c r="M132" s="13" t="str">
        <f>_xll.BDH("NBIX US Equity","ARDR_OPTIONS_BEGINNING_OF_PERIOD","FQ2 2021","FQ2 2021","Currency=USD","Period=FQ","BEST_FPERIOD_OVERRIDE=FQ","FILING_STATUS=MR","Sort=A","Dates=H","DateFormat=P","Fill=—","Direction=H","UseDPDF=Y")</f>
        <v>—</v>
      </c>
      <c r="N132" s="13" t="str">
        <f>_xll.BDH("NBIX US Equity","ARDR_OPTIONS_BEGINNING_OF_PERIOD","FQ3 2021","FQ3 2021","Currency=USD","Period=FQ","BEST_FPERIOD_OVERRIDE=FQ","FILING_STATUS=MR","Sort=A","Dates=H","DateFormat=P","Fill=—","Direction=H","UseDPDF=Y")</f>
        <v>—</v>
      </c>
      <c r="O132" s="13">
        <f>_xll.BDH("NBIX US Equity","ARDR_OPTIONS_BEGINNING_OF_PERIOD","FQ4 2021","FQ4 2021","Currency=USD","Period=FQ","BEST_FPERIOD_OVERRIDE=FQ","FILING_STATUS=MR","Sort=A","Dates=H","DateFormat=P","Fill=—","Direction=H","UseDPDF=Y")</f>
        <v>6.8</v>
      </c>
      <c r="P132" s="13" t="str">
        <f>_xll.BDH("NBIX US Equity","ARDR_OPTIONS_BEGINNING_OF_PERIOD","FQ1 2022","FQ1 2022","Currency=USD","Period=FQ","BEST_FPERIOD_OVERRIDE=FQ","FILING_STATUS=MR","Sort=A","Dates=H","DateFormat=P","Fill=—","Direction=H","UseDPDF=Y")</f>
        <v>—</v>
      </c>
      <c r="Q132" s="13" t="str">
        <f>_xll.BDH("NBIX US Equity","ARDR_OPTIONS_BEGINNING_OF_PERIOD","FQ2 2022","FQ2 2022","Currency=USD","Period=FQ","BEST_FPERIOD_OVERRIDE=FQ","FILING_STATUS=MR","Sort=A","Dates=H","DateFormat=P","Fill=—","Direction=H","UseDPDF=Y")</f>
        <v>—</v>
      </c>
      <c r="R132" s="13" t="str">
        <f>_xll.BDH("NBIX US Equity","ARDR_OPTIONS_BEGINNING_OF_PERIOD","FQ3 2022","FQ3 2022","Currency=USD","Period=FQ","BEST_FPERIOD_OVERRIDE=FQ","FILING_STATUS=MR","Sort=A","Dates=H","DateFormat=P","Fill=—","Direction=H","UseDPDF=Y")</f>
        <v>—</v>
      </c>
      <c r="S132" s="13">
        <f>_xll.BDH("NBIX US Equity","ARDR_OPTIONS_BEGINNING_OF_PERIOD","FQ4 2022","FQ4 2022","Currency=USD","Period=FQ","BEST_FPERIOD_OVERRIDE=FQ","FILING_STATUS=MR","Sort=A","Dates=H","DateFormat=P","Fill=—","Direction=H","UseDPDF=Y")</f>
        <v>7.7</v>
      </c>
      <c r="T132" s="13" t="str">
        <f>_xll.BDH("NBIX US Equity","ARDR_OPTIONS_BEGINNING_OF_PERIOD","FQ1 2023","FQ1 2023","Currency=USD","Period=FQ","BEST_FPERIOD_OVERRIDE=FQ","FILING_STATUS=MR","Sort=A","Dates=H","DateFormat=P","Fill=—","Direction=H","UseDPDF=Y")</f>
        <v>—</v>
      </c>
      <c r="U132" s="13" t="str">
        <f>_xll.BDH("NBIX US Equity","ARDR_OPTIONS_BEGINNING_OF_PERIOD","FQ2 2023","FQ2 2023","Currency=USD","Period=FQ","BEST_FPERIOD_OVERRIDE=FQ","FILING_STATUS=MR","Sort=A","Dates=H","DateFormat=P","Fill=—","Direction=H","UseDPDF=Y")</f>
        <v>—</v>
      </c>
      <c r="V132" s="13" t="str">
        <f>_xll.BDH("NBIX US Equity","ARDR_OPTIONS_BEGINNING_OF_PERIOD","FQ3 2023","FQ3 2023","Currency=USD","Period=FQ","BEST_FPERIOD_OVERRIDE=FQ","FILING_STATUS=MR","Sort=A","Dates=H","DateFormat=P","Fill=—","Direction=H","UseDPDF=Y")</f>
        <v>—</v>
      </c>
      <c r="W132" s="13" t="str">
        <f>_xll.BDH("NBIX US Equity","ARDR_OPTIONS_BEGINNING_OF_PERIOD","FQ4 2023","FQ4 2023","Currency=USD","Period=FQ","BEST_FPERIOD_OVERRIDE=FQ","FILING_STATUS=MR","Sort=A","Dates=H","DateFormat=P","Fill=—","Direction=H","UseDPDF=Y")</f>
        <v>—</v>
      </c>
      <c r="X132" s="13" t="str">
        <f>_xll.BDH("NBIX US Equity","ARDR_OPTIONS_BEGINNING_OF_PERIOD","FQ1 2024","FQ1 2024","Currency=USD","Period=FQ","BEST_FPERIOD_OVERRIDE=FQ","FILING_STATUS=MR","Sort=A","Dates=H","DateFormat=P","Fill=—","Direction=H","UseDPDF=Y")</f>
        <v>—</v>
      </c>
      <c r="Y132" s="13" t="str">
        <f>_xll.BDH("NBIX US Equity","ARDR_OPTIONS_BEGINNING_OF_PERIOD","FQ2 2024","FQ2 2024","Currency=USD","Period=FQ","BEST_FPERIOD_OVERRIDE=FQ","FILING_STATUS=MR","Sort=A","Dates=H","DateFormat=P","Fill=—","Direction=H","UseDPDF=Y")</f>
        <v>—</v>
      </c>
      <c r="Z132" s="13" t="str">
        <f>_xll.BDH("NBIX US Equity","ARDR_OPTIONS_BEGINNING_OF_PERIOD","FQ3 2024","FQ3 2024","Currency=USD","Period=FQ","BEST_FPERIOD_OVERRIDE=FQ","FILING_STATUS=MR","Sort=A","Dates=H","DateFormat=P","Fill=—","Direction=H","UseDPDF=Y")</f>
        <v>—</v>
      </c>
      <c r="AA132" s="13" t="str">
        <f>_xll.BDH("NBIX US Equity","ARDR_OPTIONS_BEGINNING_OF_PERIOD","FQ4 2024","FQ4 2024","Currency=USD","Period=FQ","BEST_FPERIOD_OVERRIDE=FQ","FILING_STATUS=MR","Sort=A","Dates=H","DateFormat=P","Fill=—","Direction=H","UseDPDF=Y")</f>
        <v>—</v>
      </c>
    </row>
    <row r="133" spans="1:27" x14ac:dyDescent="0.25">
      <c r="A133" s="10" t="s">
        <v>1038</v>
      </c>
      <c r="B133" s="10" t="s">
        <v>1039</v>
      </c>
      <c r="C133" s="13">
        <f>_xll.BDH("NBIX US Equity","ARDR_UTB_BALANCE_BEGIN_PERIOD","FQ4 2018","FQ4 2018","Currency=USD","Period=FQ","BEST_FPERIOD_OVERRIDE=FQ","FILING_STATUS=MR","SCALING_FORMAT=MLN","Sort=A","Dates=H","DateFormat=P","Fill=—","Direction=H","UseDPDF=Y")</f>
        <v>37.402999999999999</v>
      </c>
      <c r="D133" s="13" t="str">
        <f>_xll.BDH("NBIX US Equity","ARDR_UTB_BALANCE_BEGIN_PERIOD","FQ1 2019","FQ1 2019","Currency=USD","Period=FQ","BEST_FPERIOD_OVERRIDE=FQ","FILING_STATUS=MR","SCALING_FORMAT=MLN","Sort=A","Dates=H","DateFormat=P","Fill=—","Direction=H","UseDPDF=Y")</f>
        <v>—</v>
      </c>
      <c r="E133" s="13" t="str">
        <f>_xll.BDH("NBIX US Equity","ARDR_UTB_BALANCE_BEGIN_PERIOD","FQ2 2019","FQ2 2019","Currency=USD","Period=FQ","BEST_FPERIOD_OVERRIDE=FQ","FILING_STATUS=MR","SCALING_FORMAT=MLN","Sort=A","Dates=H","DateFormat=P","Fill=—","Direction=H","UseDPDF=Y")</f>
        <v>—</v>
      </c>
      <c r="F133" s="13" t="str">
        <f>_xll.BDH("NBIX US Equity","ARDR_UTB_BALANCE_BEGIN_PERIOD","FQ3 2019","FQ3 2019","Currency=USD","Period=FQ","BEST_FPERIOD_OVERRIDE=FQ","FILING_STATUS=MR","SCALING_FORMAT=MLN","Sort=A","Dates=H","DateFormat=P","Fill=—","Direction=H","UseDPDF=Y")</f>
        <v>—</v>
      </c>
      <c r="G133" s="13">
        <f>_xll.BDH("NBIX US Equity","ARDR_UTB_BALANCE_BEGIN_PERIOD","FQ4 2019","FQ4 2019","Currency=USD","Period=FQ","BEST_FPERIOD_OVERRIDE=FQ","FILING_STATUS=MR","SCALING_FORMAT=MLN","Sort=A","Dates=H","DateFormat=P","Fill=—","Direction=H","UseDPDF=Y")</f>
        <v>54.8</v>
      </c>
      <c r="H133" s="13" t="str">
        <f>_xll.BDH("NBIX US Equity","ARDR_UTB_BALANCE_BEGIN_PERIOD","FQ1 2020","FQ1 2020","Currency=USD","Period=FQ","BEST_FPERIOD_OVERRIDE=FQ","FILING_STATUS=MR","SCALING_FORMAT=MLN","Sort=A","Dates=H","DateFormat=P","Fill=—","Direction=H","UseDPDF=Y")</f>
        <v>—</v>
      </c>
      <c r="I133" s="13" t="str">
        <f>_xll.BDH("NBIX US Equity","ARDR_UTB_BALANCE_BEGIN_PERIOD","FQ2 2020","FQ2 2020","Currency=USD","Period=FQ","BEST_FPERIOD_OVERRIDE=FQ","FILING_STATUS=MR","SCALING_FORMAT=MLN","Sort=A","Dates=H","DateFormat=P","Fill=—","Direction=H","UseDPDF=Y")</f>
        <v>—</v>
      </c>
      <c r="J133" s="13" t="str">
        <f>_xll.BDH("NBIX US Equity","ARDR_UTB_BALANCE_BEGIN_PERIOD","FQ3 2020","FQ3 2020","Currency=USD","Period=FQ","BEST_FPERIOD_OVERRIDE=FQ","FILING_STATUS=MR","SCALING_FORMAT=MLN","Sort=A","Dates=H","DateFormat=P","Fill=—","Direction=H","UseDPDF=Y")</f>
        <v>—</v>
      </c>
      <c r="K133" s="13">
        <f>_xll.BDH("NBIX US Equity","ARDR_UTB_BALANCE_BEGIN_PERIOD","FQ4 2020","FQ4 2020","Currency=USD","Period=FQ","BEST_FPERIOD_OVERRIDE=FQ","FILING_STATUS=MR","SCALING_FORMAT=MLN","Sort=A","Dates=H","DateFormat=P","Fill=—","Direction=H","UseDPDF=Y")</f>
        <v>63.9</v>
      </c>
      <c r="L133" s="13" t="str">
        <f>_xll.BDH("NBIX US Equity","ARDR_UTB_BALANCE_BEGIN_PERIOD","FQ1 2021","FQ1 2021","Currency=USD","Period=FQ","BEST_FPERIOD_OVERRIDE=FQ","FILING_STATUS=MR","SCALING_FORMAT=MLN","Sort=A","Dates=H","DateFormat=P","Fill=—","Direction=H","UseDPDF=Y")</f>
        <v>—</v>
      </c>
      <c r="M133" s="13" t="str">
        <f>_xll.BDH("NBIX US Equity","ARDR_UTB_BALANCE_BEGIN_PERIOD","FQ2 2021","FQ2 2021","Currency=USD","Period=FQ","BEST_FPERIOD_OVERRIDE=FQ","FILING_STATUS=MR","SCALING_FORMAT=MLN","Sort=A","Dates=H","DateFormat=P","Fill=—","Direction=H","UseDPDF=Y")</f>
        <v>—</v>
      </c>
      <c r="N133" s="13" t="str">
        <f>_xll.BDH("NBIX US Equity","ARDR_UTB_BALANCE_BEGIN_PERIOD","FQ3 2021","FQ3 2021","Currency=USD","Period=FQ","BEST_FPERIOD_OVERRIDE=FQ","FILING_STATUS=MR","SCALING_FORMAT=MLN","Sort=A","Dates=H","DateFormat=P","Fill=—","Direction=H","UseDPDF=Y")</f>
        <v>—</v>
      </c>
      <c r="O133" s="13">
        <f>_xll.BDH("NBIX US Equity","ARDR_UTB_BALANCE_BEGIN_PERIOD","FQ4 2021","FQ4 2021","Currency=USD","Period=FQ","BEST_FPERIOD_OVERRIDE=FQ","FILING_STATUS=MR","SCALING_FORMAT=MLN","Sort=A","Dates=H","DateFormat=P","Fill=—","Direction=H","UseDPDF=Y")</f>
        <v>60.8</v>
      </c>
      <c r="P133" s="13" t="str">
        <f>_xll.BDH("NBIX US Equity","ARDR_UTB_BALANCE_BEGIN_PERIOD","FQ1 2022","FQ1 2022","Currency=USD","Period=FQ","BEST_FPERIOD_OVERRIDE=FQ","FILING_STATUS=MR","SCALING_FORMAT=MLN","Sort=A","Dates=H","DateFormat=P","Fill=—","Direction=H","UseDPDF=Y")</f>
        <v>—</v>
      </c>
      <c r="Q133" s="13" t="str">
        <f>_xll.BDH("NBIX US Equity","ARDR_UTB_BALANCE_BEGIN_PERIOD","FQ2 2022","FQ2 2022","Currency=USD","Period=FQ","BEST_FPERIOD_OVERRIDE=FQ","FILING_STATUS=MR","SCALING_FORMAT=MLN","Sort=A","Dates=H","DateFormat=P","Fill=—","Direction=H","UseDPDF=Y")</f>
        <v>—</v>
      </c>
      <c r="R133" s="13" t="str">
        <f>_xll.BDH("NBIX US Equity","ARDR_UTB_BALANCE_BEGIN_PERIOD","FQ3 2022","FQ3 2022","Currency=USD","Period=FQ","BEST_FPERIOD_OVERRIDE=FQ","FILING_STATUS=MR","SCALING_FORMAT=MLN","Sort=A","Dates=H","DateFormat=P","Fill=—","Direction=H","UseDPDF=Y")</f>
        <v>—</v>
      </c>
      <c r="S133" s="13">
        <f>_xll.BDH("NBIX US Equity","ARDR_UTB_BALANCE_BEGIN_PERIOD","FQ4 2022","FQ4 2022","Currency=USD","Period=FQ","BEST_FPERIOD_OVERRIDE=FQ","FILING_STATUS=MR","SCALING_FORMAT=MLN","Sort=A","Dates=H","DateFormat=P","Fill=—","Direction=H","UseDPDF=Y")</f>
        <v>64.599999999999994</v>
      </c>
      <c r="T133" s="13" t="str">
        <f>_xll.BDH("NBIX US Equity","ARDR_UTB_BALANCE_BEGIN_PERIOD","FQ1 2023","FQ1 2023","Currency=USD","Period=FQ","BEST_FPERIOD_OVERRIDE=FQ","FILING_STATUS=MR","SCALING_FORMAT=MLN","Sort=A","Dates=H","DateFormat=P","Fill=—","Direction=H","UseDPDF=Y")</f>
        <v>—</v>
      </c>
      <c r="U133" s="13" t="str">
        <f>_xll.BDH("NBIX US Equity","ARDR_UTB_BALANCE_BEGIN_PERIOD","FQ2 2023","FQ2 2023","Currency=USD","Period=FQ","BEST_FPERIOD_OVERRIDE=FQ","FILING_STATUS=MR","SCALING_FORMAT=MLN","Sort=A","Dates=H","DateFormat=P","Fill=—","Direction=H","UseDPDF=Y")</f>
        <v>—</v>
      </c>
      <c r="V133" s="13" t="str">
        <f>_xll.BDH("NBIX US Equity","ARDR_UTB_BALANCE_BEGIN_PERIOD","FQ3 2023","FQ3 2023","Currency=USD","Period=FQ","BEST_FPERIOD_OVERRIDE=FQ","FILING_STATUS=MR","SCALING_FORMAT=MLN","Sort=A","Dates=H","DateFormat=P","Fill=—","Direction=H","UseDPDF=Y")</f>
        <v>—</v>
      </c>
      <c r="W133" s="13">
        <f>_xll.BDH("NBIX US Equity","ARDR_UTB_BALANCE_BEGIN_PERIOD","FQ4 2023","FQ4 2023","Currency=USD","Period=FQ","BEST_FPERIOD_OVERRIDE=FQ","FILING_STATUS=MR","SCALING_FORMAT=MLN","Sort=A","Dates=H","DateFormat=P","Fill=—","Direction=H","UseDPDF=Y")</f>
        <v>84.5</v>
      </c>
      <c r="X133" s="13" t="str">
        <f>_xll.BDH("NBIX US Equity","ARDR_UTB_BALANCE_BEGIN_PERIOD","FQ1 2024","FQ1 2024","Currency=USD","Period=FQ","BEST_FPERIOD_OVERRIDE=FQ","FILING_STATUS=MR","SCALING_FORMAT=MLN","Sort=A","Dates=H","DateFormat=P","Fill=—","Direction=H","UseDPDF=Y")</f>
        <v>—</v>
      </c>
      <c r="Y133" s="13" t="str">
        <f>_xll.BDH("NBIX US Equity","ARDR_UTB_BALANCE_BEGIN_PERIOD","FQ2 2024","FQ2 2024","Currency=USD","Period=FQ","BEST_FPERIOD_OVERRIDE=FQ","FILING_STATUS=MR","SCALING_FORMAT=MLN","Sort=A","Dates=H","DateFormat=P","Fill=—","Direction=H","UseDPDF=Y")</f>
        <v>—</v>
      </c>
      <c r="Z133" s="13" t="str">
        <f>_xll.BDH("NBIX US Equity","ARDR_UTB_BALANCE_BEGIN_PERIOD","FQ3 2024","FQ3 2024","Currency=USD","Period=FQ","BEST_FPERIOD_OVERRIDE=FQ","FILING_STATUS=MR","SCALING_FORMAT=MLN","Sort=A","Dates=H","DateFormat=P","Fill=—","Direction=H","UseDPDF=Y")</f>
        <v>—</v>
      </c>
      <c r="AA133" s="13">
        <f>_xll.BDH("NBIX US Equity","ARDR_UTB_BALANCE_BEGIN_PERIOD","FQ4 2024","FQ4 2024","Currency=USD","Period=FQ","BEST_FPERIOD_OVERRIDE=FQ","FILING_STATUS=MR","SCALING_FORMAT=MLN","Sort=A","Dates=H","DateFormat=P","Fill=—","Direction=H","UseDPDF=Y")</f>
        <v>121</v>
      </c>
    </row>
    <row r="134" spans="1:27" x14ac:dyDescent="0.25">
      <c r="A134" s="10" t="s">
        <v>1040</v>
      </c>
      <c r="B134" s="10" t="s">
        <v>1041</v>
      </c>
      <c r="C134" s="13">
        <f>_xll.BDH("NBIX US Equity","ARDR_UTB_BALANCE_END_PERIOD","FQ4 2018","FQ4 2018","Currency=USD","Period=FQ","BEST_FPERIOD_OVERRIDE=FQ","FILING_STATUS=MR","SCALING_FORMAT=MLN","Sort=A","Dates=H","DateFormat=P","Fill=—","Direction=H","UseDPDF=Y")</f>
        <v>54.774999999999999</v>
      </c>
      <c r="D134" s="13" t="str">
        <f>_xll.BDH("NBIX US Equity","ARDR_UTB_BALANCE_END_PERIOD","FQ1 2019","FQ1 2019","Currency=USD","Period=FQ","BEST_FPERIOD_OVERRIDE=FQ","FILING_STATUS=MR","SCALING_FORMAT=MLN","Sort=A","Dates=H","DateFormat=P","Fill=—","Direction=H","UseDPDF=Y")</f>
        <v>—</v>
      </c>
      <c r="E134" s="13" t="str">
        <f>_xll.BDH("NBIX US Equity","ARDR_UTB_BALANCE_END_PERIOD","FQ2 2019","FQ2 2019","Currency=USD","Period=FQ","BEST_FPERIOD_OVERRIDE=FQ","FILING_STATUS=MR","SCALING_FORMAT=MLN","Sort=A","Dates=H","DateFormat=P","Fill=—","Direction=H","UseDPDF=Y")</f>
        <v>—</v>
      </c>
      <c r="F134" s="13" t="str">
        <f>_xll.BDH("NBIX US Equity","ARDR_UTB_BALANCE_END_PERIOD","FQ3 2019","FQ3 2019","Currency=USD","Period=FQ","BEST_FPERIOD_OVERRIDE=FQ","FILING_STATUS=MR","SCALING_FORMAT=MLN","Sort=A","Dates=H","DateFormat=P","Fill=—","Direction=H","UseDPDF=Y")</f>
        <v>—</v>
      </c>
      <c r="G134" s="13">
        <f>_xll.BDH("NBIX US Equity","ARDR_UTB_BALANCE_END_PERIOD","FQ4 2019","FQ4 2019","Currency=USD","Period=FQ","BEST_FPERIOD_OVERRIDE=FQ","FILING_STATUS=MR","SCALING_FORMAT=MLN","Sort=A","Dates=H","DateFormat=P","Fill=—","Direction=H","UseDPDF=Y")</f>
        <v>63.9</v>
      </c>
      <c r="H134" s="13" t="str">
        <f>_xll.BDH("NBIX US Equity","ARDR_UTB_BALANCE_END_PERIOD","FQ1 2020","FQ1 2020","Currency=USD","Period=FQ","BEST_FPERIOD_OVERRIDE=FQ","FILING_STATUS=MR","SCALING_FORMAT=MLN","Sort=A","Dates=H","DateFormat=P","Fill=—","Direction=H","UseDPDF=Y")</f>
        <v>—</v>
      </c>
      <c r="I134" s="13" t="str">
        <f>_xll.BDH("NBIX US Equity","ARDR_UTB_BALANCE_END_PERIOD","FQ2 2020","FQ2 2020","Currency=USD","Period=FQ","BEST_FPERIOD_OVERRIDE=FQ","FILING_STATUS=MR","SCALING_FORMAT=MLN","Sort=A","Dates=H","DateFormat=P","Fill=—","Direction=H","UseDPDF=Y")</f>
        <v>—</v>
      </c>
      <c r="J134" s="13" t="str">
        <f>_xll.BDH("NBIX US Equity","ARDR_UTB_BALANCE_END_PERIOD","FQ3 2020","FQ3 2020","Currency=USD","Period=FQ","BEST_FPERIOD_OVERRIDE=FQ","FILING_STATUS=MR","SCALING_FORMAT=MLN","Sort=A","Dates=H","DateFormat=P","Fill=—","Direction=H","UseDPDF=Y")</f>
        <v>—</v>
      </c>
      <c r="K134" s="13">
        <f>_xll.BDH("NBIX US Equity","ARDR_UTB_BALANCE_END_PERIOD","FQ4 2020","FQ4 2020","Currency=USD","Period=FQ","BEST_FPERIOD_OVERRIDE=FQ","FILING_STATUS=MR","SCALING_FORMAT=MLN","Sort=A","Dates=H","DateFormat=P","Fill=—","Direction=H","UseDPDF=Y")</f>
        <v>60.8</v>
      </c>
      <c r="L134" s="13" t="str">
        <f>_xll.BDH("NBIX US Equity","ARDR_UTB_BALANCE_END_PERIOD","FQ1 2021","FQ1 2021","Currency=USD","Period=FQ","BEST_FPERIOD_OVERRIDE=FQ","FILING_STATUS=MR","SCALING_FORMAT=MLN","Sort=A","Dates=H","DateFormat=P","Fill=—","Direction=H","UseDPDF=Y")</f>
        <v>—</v>
      </c>
      <c r="M134" s="13" t="str">
        <f>_xll.BDH("NBIX US Equity","ARDR_UTB_BALANCE_END_PERIOD","FQ2 2021","FQ2 2021","Currency=USD","Period=FQ","BEST_FPERIOD_OVERRIDE=FQ","FILING_STATUS=MR","SCALING_FORMAT=MLN","Sort=A","Dates=H","DateFormat=P","Fill=—","Direction=H","UseDPDF=Y")</f>
        <v>—</v>
      </c>
      <c r="N134" s="13" t="str">
        <f>_xll.BDH("NBIX US Equity","ARDR_UTB_BALANCE_END_PERIOD","FQ3 2021","FQ3 2021","Currency=USD","Period=FQ","BEST_FPERIOD_OVERRIDE=FQ","FILING_STATUS=MR","SCALING_FORMAT=MLN","Sort=A","Dates=H","DateFormat=P","Fill=—","Direction=H","UseDPDF=Y")</f>
        <v>—</v>
      </c>
      <c r="O134" s="13">
        <f>_xll.BDH("NBIX US Equity","ARDR_UTB_BALANCE_END_PERIOD","FQ4 2021","FQ4 2021","Currency=USD","Period=FQ","BEST_FPERIOD_OVERRIDE=FQ","FILING_STATUS=MR","SCALING_FORMAT=MLN","Sort=A","Dates=H","DateFormat=P","Fill=—","Direction=H","UseDPDF=Y")</f>
        <v>64.599999999999994</v>
      </c>
      <c r="P134" s="13" t="str">
        <f>_xll.BDH("NBIX US Equity","ARDR_UTB_BALANCE_END_PERIOD","FQ1 2022","FQ1 2022","Currency=USD","Period=FQ","BEST_FPERIOD_OVERRIDE=FQ","FILING_STATUS=MR","SCALING_FORMAT=MLN","Sort=A","Dates=H","DateFormat=P","Fill=—","Direction=H","UseDPDF=Y")</f>
        <v>—</v>
      </c>
      <c r="Q134" s="13" t="str">
        <f>_xll.BDH("NBIX US Equity","ARDR_UTB_BALANCE_END_PERIOD","FQ2 2022","FQ2 2022","Currency=USD","Period=FQ","BEST_FPERIOD_OVERRIDE=FQ","FILING_STATUS=MR","SCALING_FORMAT=MLN","Sort=A","Dates=H","DateFormat=P","Fill=—","Direction=H","UseDPDF=Y")</f>
        <v>—</v>
      </c>
      <c r="R134" s="13" t="str">
        <f>_xll.BDH("NBIX US Equity","ARDR_UTB_BALANCE_END_PERIOD","FQ3 2022","FQ3 2022","Currency=USD","Period=FQ","BEST_FPERIOD_OVERRIDE=FQ","FILING_STATUS=MR","SCALING_FORMAT=MLN","Sort=A","Dates=H","DateFormat=P","Fill=—","Direction=H","UseDPDF=Y")</f>
        <v>—</v>
      </c>
      <c r="S134" s="13">
        <f>_xll.BDH("NBIX US Equity","ARDR_UTB_BALANCE_END_PERIOD","FQ4 2022","FQ4 2022","Currency=USD","Period=FQ","BEST_FPERIOD_OVERRIDE=FQ","FILING_STATUS=MR","SCALING_FORMAT=MLN","Sort=A","Dates=H","DateFormat=P","Fill=—","Direction=H","UseDPDF=Y")</f>
        <v>84.5</v>
      </c>
      <c r="T134" s="13" t="str">
        <f>_xll.BDH("NBIX US Equity","ARDR_UTB_BALANCE_END_PERIOD","FQ1 2023","FQ1 2023","Currency=USD","Period=FQ","BEST_FPERIOD_OVERRIDE=FQ","FILING_STATUS=MR","SCALING_FORMAT=MLN","Sort=A","Dates=H","DateFormat=P","Fill=—","Direction=H","UseDPDF=Y")</f>
        <v>—</v>
      </c>
      <c r="U134" s="13" t="str">
        <f>_xll.BDH("NBIX US Equity","ARDR_UTB_BALANCE_END_PERIOD","FQ2 2023","FQ2 2023","Currency=USD","Period=FQ","BEST_FPERIOD_OVERRIDE=FQ","FILING_STATUS=MR","SCALING_FORMAT=MLN","Sort=A","Dates=H","DateFormat=P","Fill=—","Direction=H","UseDPDF=Y")</f>
        <v>—</v>
      </c>
      <c r="V134" s="13" t="str">
        <f>_xll.BDH("NBIX US Equity","ARDR_UTB_BALANCE_END_PERIOD","FQ3 2023","FQ3 2023","Currency=USD","Period=FQ","BEST_FPERIOD_OVERRIDE=FQ","FILING_STATUS=MR","SCALING_FORMAT=MLN","Sort=A","Dates=H","DateFormat=P","Fill=—","Direction=H","UseDPDF=Y")</f>
        <v>—</v>
      </c>
      <c r="W134" s="13">
        <f>_xll.BDH("NBIX US Equity","ARDR_UTB_BALANCE_END_PERIOD","FQ4 2023","FQ4 2023","Currency=USD","Period=FQ","BEST_FPERIOD_OVERRIDE=FQ","FILING_STATUS=MR","SCALING_FORMAT=MLN","Sort=A","Dates=H","DateFormat=P","Fill=—","Direction=H","UseDPDF=Y")</f>
        <v>121</v>
      </c>
      <c r="X134" s="13" t="str">
        <f>_xll.BDH("NBIX US Equity","ARDR_UTB_BALANCE_END_PERIOD","FQ1 2024","FQ1 2024","Currency=USD","Period=FQ","BEST_FPERIOD_OVERRIDE=FQ","FILING_STATUS=MR","SCALING_FORMAT=MLN","Sort=A","Dates=H","DateFormat=P","Fill=—","Direction=H","UseDPDF=Y")</f>
        <v>—</v>
      </c>
      <c r="Y134" s="13" t="str">
        <f>_xll.BDH("NBIX US Equity","ARDR_UTB_BALANCE_END_PERIOD","FQ2 2024","FQ2 2024","Currency=USD","Period=FQ","BEST_FPERIOD_OVERRIDE=FQ","FILING_STATUS=MR","SCALING_FORMAT=MLN","Sort=A","Dates=H","DateFormat=P","Fill=—","Direction=H","UseDPDF=Y")</f>
        <v>—</v>
      </c>
      <c r="Z134" s="13" t="str">
        <f>_xll.BDH("NBIX US Equity","ARDR_UTB_BALANCE_END_PERIOD","FQ3 2024","FQ3 2024","Currency=USD","Period=FQ","BEST_FPERIOD_OVERRIDE=FQ","FILING_STATUS=MR","SCALING_FORMAT=MLN","Sort=A","Dates=H","DateFormat=P","Fill=—","Direction=H","UseDPDF=Y")</f>
        <v>—</v>
      </c>
      <c r="AA134" s="13">
        <f>_xll.BDH("NBIX US Equity","ARDR_UTB_BALANCE_END_PERIOD","FQ4 2024","FQ4 2024","Currency=USD","Period=FQ","BEST_FPERIOD_OVERRIDE=FQ","FILING_STATUS=MR","SCALING_FORMAT=MLN","Sort=A","Dates=H","DateFormat=P","Fill=—","Direction=H","UseDPDF=Y")</f>
        <v>179.8</v>
      </c>
    </row>
    <row r="135" spans="1:27" x14ac:dyDescent="0.25">
      <c r="A135" s="10" t="s">
        <v>1042</v>
      </c>
      <c r="B135" s="10" t="s">
        <v>1043</v>
      </c>
      <c r="C135" s="13">
        <f>_xll.BDH("NBIX US Equity","ARDR_ADDITIONS_TAX_POS_CUR_YR","FQ4 2018","FQ4 2018","Currency=USD","Period=FQ","BEST_FPERIOD_OVERRIDE=FQ","FILING_STATUS=MR","SCALING_FORMAT=MLN","Sort=A","Dates=H","DateFormat=P","Fill=—","Direction=H","UseDPDF=Y")</f>
        <v>11.726000000000001</v>
      </c>
      <c r="D135" s="13" t="str">
        <f>_xll.BDH("NBIX US Equity","ARDR_ADDITIONS_TAX_POS_CUR_YR","FQ1 2019","FQ1 2019","Currency=USD","Period=FQ","BEST_FPERIOD_OVERRIDE=FQ","FILING_STATUS=MR","SCALING_FORMAT=MLN","Sort=A","Dates=H","DateFormat=P","Fill=—","Direction=H","UseDPDF=Y")</f>
        <v>—</v>
      </c>
      <c r="E135" s="13" t="str">
        <f>_xll.BDH("NBIX US Equity","ARDR_ADDITIONS_TAX_POS_CUR_YR","FQ2 2019","FQ2 2019","Currency=USD","Period=FQ","BEST_FPERIOD_OVERRIDE=FQ","FILING_STATUS=MR","SCALING_FORMAT=MLN","Sort=A","Dates=H","DateFormat=P","Fill=—","Direction=H","UseDPDF=Y")</f>
        <v>—</v>
      </c>
      <c r="F135" s="13" t="str">
        <f>_xll.BDH("NBIX US Equity","ARDR_ADDITIONS_TAX_POS_CUR_YR","FQ3 2019","FQ3 2019","Currency=USD","Period=FQ","BEST_FPERIOD_OVERRIDE=FQ","FILING_STATUS=MR","SCALING_FORMAT=MLN","Sort=A","Dates=H","DateFormat=P","Fill=—","Direction=H","UseDPDF=Y")</f>
        <v>—</v>
      </c>
      <c r="G135" s="13">
        <f>_xll.BDH("NBIX US Equity","ARDR_ADDITIONS_TAX_POS_CUR_YR","FQ4 2019","FQ4 2019","Currency=USD","Period=FQ","BEST_FPERIOD_OVERRIDE=FQ","FILING_STATUS=MR","SCALING_FORMAT=MLN","Sort=A","Dates=H","DateFormat=P","Fill=—","Direction=H","UseDPDF=Y")</f>
        <v>9.5</v>
      </c>
      <c r="H135" s="13" t="str">
        <f>_xll.BDH("NBIX US Equity","ARDR_ADDITIONS_TAX_POS_CUR_YR","FQ1 2020","FQ1 2020","Currency=USD","Period=FQ","BEST_FPERIOD_OVERRIDE=FQ","FILING_STATUS=MR","SCALING_FORMAT=MLN","Sort=A","Dates=H","DateFormat=P","Fill=—","Direction=H","UseDPDF=Y")</f>
        <v>—</v>
      </c>
      <c r="I135" s="13" t="str">
        <f>_xll.BDH("NBIX US Equity","ARDR_ADDITIONS_TAX_POS_CUR_YR","FQ2 2020","FQ2 2020","Currency=USD","Period=FQ","BEST_FPERIOD_OVERRIDE=FQ","FILING_STATUS=MR","SCALING_FORMAT=MLN","Sort=A","Dates=H","DateFormat=P","Fill=—","Direction=H","UseDPDF=Y")</f>
        <v>—</v>
      </c>
      <c r="J135" s="13" t="str">
        <f>_xll.BDH("NBIX US Equity","ARDR_ADDITIONS_TAX_POS_CUR_YR","FQ3 2020","FQ3 2020","Currency=USD","Period=FQ","BEST_FPERIOD_OVERRIDE=FQ","FILING_STATUS=MR","SCALING_FORMAT=MLN","Sort=A","Dates=H","DateFormat=P","Fill=—","Direction=H","UseDPDF=Y")</f>
        <v>—</v>
      </c>
      <c r="K135" s="13">
        <f>_xll.BDH("NBIX US Equity","ARDR_ADDITIONS_TAX_POS_CUR_YR","FQ4 2020","FQ4 2020","Currency=USD","Period=FQ","BEST_FPERIOD_OVERRIDE=FQ","FILING_STATUS=MR","SCALING_FORMAT=MLN","Sort=A","Dates=H","DateFormat=P","Fill=—","Direction=H","UseDPDF=Y")</f>
        <v>3.9</v>
      </c>
      <c r="L135" s="13" t="str">
        <f>_xll.BDH("NBIX US Equity","ARDR_ADDITIONS_TAX_POS_CUR_YR","FQ1 2021","FQ1 2021","Currency=USD","Period=FQ","BEST_FPERIOD_OVERRIDE=FQ","FILING_STATUS=MR","SCALING_FORMAT=MLN","Sort=A","Dates=H","DateFormat=P","Fill=—","Direction=H","UseDPDF=Y")</f>
        <v>—</v>
      </c>
      <c r="M135" s="13" t="str">
        <f>_xll.BDH("NBIX US Equity","ARDR_ADDITIONS_TAX_POS_CUR_YR","FQ2 2021","FQ2 2021","Currency=USD","Period=FQ","BEST_FPERIOD_OVERRIDE=FQ","FILING_STATUS=MR","SCALING_FORMAT=MLN","Sort=A","Dates=H","DateFormat=P","Fill=—","Direction=H","UseDPDF=Y")</f>
        <v>—</v>
      </c>
      <c r="N135" s="13" t="str">
        <f>_xll.BDH("NBIX US Equity","ARDR_ADDITIONS_TAX_POS_CUR_YR","FQ3 2021","FQ3 2021","Currency=USD","Period=FQ","BEST_FPERIOD_OVERRIDE=FQ","FILING_STATUS=MR","SCALING_FORMAT=MLN","Sort=A","Dates=H","DateFormat=P","Fill=—","Direction=H","UseDPDF=Y")</f>
        <v>—</v>
      </c>
      <c r="O135" s="13">
        <f>_xll.BDH("NBIX US Equity","ARDR_ADDITIONS_TAX_POS_CUR_YR","FQ4 2021","FQ4 2021","Currency=USD","Period=FQ","BEST_FPERIOD_OVERRIDE=FQ","FILING_STATUS=MR","SCALING_FORMAT=MLN","Sort=A","Dates=H","DateFormat=P","Fill=—","Direction=H","UseDPDF=Y")</f>
        <v>4.9000000000000004</v>
      </c>
      <c r="P135" s="13" t="str">
        <f>_xll.BDH("NBIX US Equity","ARDR_ADDITIONS_TAX_POS_CUR_YR","FQ1 2022","FQ1 2022","Currency=USD","Period=FQ","BEST_FPERIOD_OVERRIDE=FQ","FILING_STATUS=MR","SCALING_FORMAT=MLN","Sort=A","Dates=H","DateFormat=P","Fill=—","Direction=H","UseDPDF=Y")</f>
        <v>—</v>
      </c>
      <c r="Q135" s="13" t="str">
        <f>_xll.BDH("NBIX US Equity","ARDR_ADDITIONS_TAX_POS_CUR_YR","FQ2 2022","FQ2 2022","Currency=USD","Period=FQ","BEST_FPERIOD_OVERRIDE=FQ","FILING_STATUS=MR","SCALING_FORMAT=MLN","Sort=A","Dates=H","DateFormat=P","Fill=—","Direction=H","UseDPDF=Y")</f>
        <v>—</v>
      </c>
      <c r="R135" s="13" t="str">
        <f>_xll.BDH("NBIX US Equity","ARDR_ADDITIONS_TAX_POS_CUR_YR","FQ3 2022","FQ3 2022","Currency=USD","Period=FQ","BEST_FPERIOD_OVERRIDE=FQ","FILING_STATUS=MR","SCALING_FORMAT=MLN","Sort=A","Dates=H","DateFormat=P","Fill=—","Direction=H","UseDPDF=Y")</f>
        <v>—</v>
      </c>
      <c r="S135" s="13">
        <f>_xll.BDH("NBIX US Equity","ARDR_ADDITIONS_TAX_POS_CUR_YR","FQ4 2022","FQ4 2022","Currency=USD","Period=FQ","BEST_FPERIOD_OVERRIDE=FQ","FILING_STATUS=MR","SCALING_FORMAT=MLN","Sort=A","Dates=H","DateFormat=P","Fill=—","Direction=H","UseDPDF=Y")</f>
        <v>15.2</v>
      </c>
      <c r="T135" s="13" t="str">
        <f>_xll.BDH("NBIX US Equity","ARDR_ADDITIONS_TAX_POS_CUR_YR","FQ1 2023","FQ1 2023","Currency=USD","Period=FQ","BEST_FPERIOD_OVERRIDE=FQ","FILING_STATUS=MR","SCALING_FORMAT=MLN","Sort=A","Dates=H","DateFormat=P","Fill=—","Direction=H","UseDPDF=Y")</f>
        <v>—</v>
      </c>
      <c r="U135" s="13" t="str">
        <f>_xll.BDH("NBIX US Equity","ARDR_ADDITIONS_TAX_POS_CUR_YR","FQ2 2023","FQ2 2023","Currency=USD","Period=FQ","BEST_FPERIOD_OVERRIDE=FQ","FILING_STATUS=MR","SCALING_FORMAT=MLN","Sort=A","Dates=H","DateFormat=P","Fill=—","Direction=H","UseDPDF=Y")</f>
        <v>—</v>
      </c>
      <c r="V135" s="13" t="str">
        <f>_xll.BDH("NBIX US Equity","ARDR_ADDITIONS_TAX_POS_CUR_YR","FQ3 2023","FQ3 2023","Currency=USD","Period=FQ","BEST_FPERIOD_OVERRIDE=FQ","FILING_STATUS=MR","SCALING_FORMAT=MLN","Sort=A","Dates=H","DateFormat=P","Fill=—","Direction=H","UseDPDF=Y")</f>
        <v>—</v>
      </c>
      <c r="W135" s="13">
        <f>_xll.BDH("NBIX US Equity","ARDR_ADDITIONS_TAX_POS_CUR_YR","FQ4 2023","FQ4 2023","Currency=USD","Period=FQ","BEST_FPERIOD_OVERRIDE=FQ","FILING_STATUS=MR","SCALING_FORMAT=MLN","Sort=A","Dates=H","DateFormat=P","Fill=—","Direction=H","UseDPDF=Y")</f>
        <v>36.700000000000003</v>
      </c>
      <c r="X135" s="13" t="str">
        <f>_xll.BDH("NBIX US Equity","ARDR_ADDITIONS_TAX_POS_CUR_YR","FQ1 2024","FQ1 2024","Currency=USD","Period=FQ","BEST_FPERIOD_OVERRIDE=FQ","FILING_STATUS=MR","SCALING_FORMAT=MLN","Sort=A","Dates=H","DateFormat=P","Fill=—","Direction=H","UseDPDF=Y")</f>
        <v>—</v>
      </c>
      <c r="Y135" s="13" t="str">
        <f>_xll.BDH("NBIX US Equity","ARDR_ADDITIONS_TAX_POS_CUR_YR","FQ2 2024","FQ2 2024","Currency=USD","Period=FQ","BEST_FPERIOD_OVERRIDE=FQ","FILING_STATUS=MR","SCALING_FORMAT=MLN","Sort=A","Dates=H","DateFormat=P","Fill=—","Direction=H","UseDPDF=Y")</f>
        <v>—</v>
      </c>
      <c r="Z135" s="13" t="str">
        <f>_xll.BDH("NBIX US Equity","ARDR_ADDITIONS_TAX_POS_CUR_YR","FQ3 2024","FQ3 2024","Currency=USD","Period=FQ","BEST_FPERIOD_OVERRIDE=FQ","FILING_STATUS=MR","SCALING_FORMAT=MLN","Sort=A","Dates=H","DateFormat=P","Fill=—","Direction=H","UseDPDF=Y")</f>
        <v>—</v>
      </c>
      <c r="AA135" s="13">
        <f>_xll.BDH("NBIX US Equity","ARDR_ADDITIONS_TAX_POS_CUR_YR","FQ4 2024","FQ4 2024","Currency=USD","Period=FQ","BEST_FPERIOD_OVERRIDE=FQ","FILING_STATUS=MR","SCALING_FORMAT=MLN","Sort=A","Dates=H","DateFormat=P","Fill=—","Direction=H","UseDPDF=Y")</f>
        <v>54.8</v>
      </c>
    </row>
    <row r="136" spans="1:27" x14ac:dyDescent="0.25">
      <c r="A136" s="10" t="s">
        <v>1044</v>
      </c>
      <c r="B136" s="10" t="s">
        <v>1045</v>
      </c>
      <c r="C136" s="13">
        <f>_xll.BDH("NBIX US Equity","ARDR_ADDITIONS_TAX_POS_PR_YR","FQ4 2018","FQ4 2018","Currency=USD","Period=FQ","BEST_FPERIOD_OVERRIDE=FQ","FILING_STATUS=MR","SCALING_FORMAT=MLN","Sort=A","Dates=H","DateFormat=P","Fill=—","Direction=H","UseDPDF=Y")</f>
        <v>6.1029999999999998</v>
      </c>
      <c r="D136" s="13" t="str">
        <f>_xll.BDH("NBIX US Equity","ARDR_ADDITIONS_TAX_POS_PR_YR","FQ1 2019","FQ1 2019","Currency=USD","Period=FQ","BEST_FPERIOD_OVERRIDE=FQ","FILING_STATUS=MR","SCALING_FORMAT=MLN","Sort=A","Dates=H","DateFormat=P","Fill=—","Direction=H","UseDPDF=Y")</f>
        <v>—</v>
      </c>
      <c r="E136" s="13" t="str">
        <f>_xll.BDH("NBIX US Equity","ARDR_ADDITIONS_TAX_POS_PR_YR","FQ2 2019","FQ2 2019","Currency=USD","Period=FQ","BEST_FPERIOD_OVERRIDE=FQ","FILING_STATUS=MR","SCALING_FORMAT=MLN","Sort=A","Dates=H","DateFormat=P","Fill=—","Direction=H","UseDPDF=Y")</f>
        <v>—</v>
      </c>
      <c r="F136" s="13" t="str">
        <f>_xll.BDH("NBIX US Equity","ARDR_ADDITIONS_TAX_POS_PR_YR","FQ3 2019","FQ3 2019","Currency=USD","Period=FQ","BEST_FPERIOD_OVERRIDE=FQ","FILING_STATUS=MR","SCALING_FORMAT=MLN","Sort=A","Dates=H","DateFormat=P","Fill=—","Direction=H","UseDPDF=Y")</f>
        <v>—</v>
      </c>
      <c r="G136" s="13">
        <f>_xll.BDH("NBIX US Equity","ARDR_ADDITIONS_TAX_POS_PR_YR","FQ4 2019","FQ4 2019","Currency=USD","Period=FQ","BEST_FPERIOD_OVERRIDE=FQ","FILING_STATUS=MR","SCALING_FORMAT=MLN","Sort=A","Dates=H","DateFormat=P","Fill=—","Direction=H","UseDPDF=Y")</f>
        <v>0.3</v>
      </c>
      <c r="H136" s="13" t="str">
        <f>_xll.BDH("NBIX US Equity","ARDR_ADDITIONS_TAX_POS_PR_YR","FQ1 2020","FQ1 2020","Currency=USD","Period=FQ","BEST_FPERIOD_OVERRIDE=FQ","FILING_STATUS=MR","SCALING_FORMAT=MLN","Sort=A","Dates=H","DateFormat=P","Fill=—","Direction=H","UseDPDF=Y")</f>
        <v>—</v>
      </c>
      <c r="I136" s="13" t="str">
        <f>_xll.BDH("NBIX US Equity","ARDR_ADDITIONS_TAX_POS_PR_YR","FQ2 2020","FQ2 2020","Currency=USD","Period=FQ","BEST_FPERIOD_OVERRIDE=FQ","FILING_STATUS=MR","SCALING_FORMAT=MLN","Sort=A","Dates=H","DateFormat=P","Fill=—","Direction=H","UseDPDF=Y")</f>
        <v>—</v>
      </c>
      <c r="J136" s="13" t="str">
        <f>_xll.BDH("NBIX US Equity","ARDR_ADDITIONS_TAX_POS_PR_YR","FQ3 2020","FQ3 2020","Currency=USD","Period=FQ","BEST_FPERIOD_OVERRIDE=FQ","FILING_STATUS=MR","SCALING_FORMAT=MLN","Sort=A","Dates=H","DateFormat=P","Fill=—","Direction=H","UseDPDF=Y")</f>
        <v>—</v>
      </c>
      <c r="K136" s="13">
        <f>_xll.BDH("NBIX US Equity","ARDR_ADDITIONS_TAX_POS_PR_YR","FQ4 2020","FQ4 2020","Currency=USD","Period=FQ","BEST_FPERIOD_OVERRIDE=FQ","FILING_STATUS=MR","SCALING_FORMAT=MLN","Sort=A","Dates=H","DateFormat=P","Fill=—","Direction=H","UseDPDF=Y")</f>
        <v>-5.7</v>
      </c>
      <c r="L136" s="13" t="str">
        <f>_xll.BDH("NBIX US Equity","ARDR_ADDITIONS_TAX_POS_PR_YR","FQ1 2021","FQ1 2021","Currency=USD","Period=FQ","BEST_FPERIOD_OVERRIDE=FQ","FILING_STATUS=MR","SCALING_FORMAT=MLN","Sort=A","Dates=H","DateFormat=P","Fill=—","Direction=H","UseDPDF=Y")</f>
        <v>—</v>
      </c>
      <c r="M136" s="13" t="str">
        <f>_xll.BDH("NBIX US Equity","ARDR_ADDITIONS_TAX_POS_PR_YR","FQ2 2021","FQ2 2021","Currency=USD","Period=FQ","BEST_FPERIOD_OVERRIDE=FQ","FILING_STATUS=MR","SCALING_FORMAT=MLN","Sort=A","Dates=H","DateFormat=P","Fill=—","Direction=H","UseDPDF=Y")</f>
        <v>—</v>
      </c>
      <c r="N136" s="13" t="str">
        <f>_xll.BDH("NBIX US Equity","ARDR_ADDITIONS_TAX_POS_PR_YR","FQ3 2021","FQ3 2021","Currency=USD","Period=FQ","BEST_FPERIOD_OVERRIDE=FQ","FILING_STATUS=MR","SCALING_FORMAT=MLN","Sort=A","Dates=H","DateFormat=P","Fill=—","Direction=H","UseDPDF=Y")</f>
        <v>—</v>
      </c>
      <c r="O136" s="13">
        <f>_xll.BDH("NBIX US Equity","ARDR_ADDITIONS_TAX_POS_PR_YR","FQ4 2021","FQ4 2021","Currency=USD","Period=FQ","BEST_FPERIOD_OVERRIDE=FQ","FILING_STATUS=MR","SCALING_FORMAT=MLN","Sort=A","Dates=H","DateFormat=P","Fill=—","Direction=H","UseDPDF=Y")</f>
        <v>0.6</v>
      </c>
      <c r="P136" s="13" t="str">
        <f>_xll.BDH("NBIX US Equity","ARDR_ADDITIONS_TAX_POS_PR_YR","FQ1 2022","FQ1 2022","Currency=USD","Period=FQ","BEST_FPERIOD_OVERRIDE=FQ","FILING_STATUS=MR","SCALING_FORMAT=MLN","Sort=A","Dates=H","DateFormat=P","Fill=—","Direction=H","UseDPDF=Y")</f>
        <v>—</v>
      </c>
      <c r="Q136" s="13" t="str">
        <f>_xll.BDH("NBIX US Equity","ARDR_ADDITIONS_TAX_POS_PR_YR","FQ2 2022","FQ2 2022","Currency=USD","Period=FQ","BEST_FPERIOD_OVERRIDE=FQ","FILING_STATUS=MR","SCALING_FORMAT=MLN","Sort=A","Dates=H","DateFormat=P","Fill=—","Direction=H","UseDPDF=Y")</f>
        <v>—</v>
      </c>
      <c r="R136" s="13" t="str">
        <f>_xll.BDH("NBIX US Equity","ARDR_ADDITIONS_TAX_POS_PR_YR","FQ3 2022","FQ3 2022","Currency=USD","Period=FQ","BEST_FPERIOD_OVERRIDE=FQ","FILING_STATUS=MR","SCALING_FORMAT=MLN","Sort=A","Dates=H","DateFormat=P","Fill=—","Direction=H","UseDPDF=Y")</f>
        <v>—</v>
      </c>
      <c r="S136" s="13">
        <f>_xll.BDH("NBIX US Equity","ARDR_ADDITIONS_TAX_POS_PR_YR","FQ4 2022","FQ4 2022","Currency=USD","Period=FQ","BEST_FPERIOD_OVERRIDE=FQ","FILING_STATUS=MR","SCALING_FORMAT=MLN","Sort=A","Dates=H","DateFormat=P","Fill=—","Direction=H","UseDPDF=Y")</f>
        <v>4.7</v>
      </c>
      <c r="T136" s="13" t="str">
        <f>_xll.BDH("NBIX US Equity","ARDR_ADDITIONS_TAX_POS_PR_YR","FQ1 2023","FQ1 2023","Currency=USD","Period=FQ","BEST_FPERIOD_OVERRIDE=FQ","FILING_STATUS=MR","SCALING_FORMAT=MLN","Sort=A","Dates=H","DateFormat=P","Fill=—","Direction=H","UseDPDF=Y")</f>
        <v>—</v>
      </c>
      <c r="U136" s="13" t="str">
        <f>_xll.BDH("NBIX US Equity","ARDR_ADDITIONS_TAX_POS_PR_YR","FQ2 2023","FQ2 2023","Currency=USD","Period=FQ","BEST_FPERIOD_OVERRIDE=FQ","FILING_STATUS=MR","SCALING_FORMAT=MLN","Sort=A","Dates=H","DateFormat=P","Fill=—","Direction=H","UseDPDF=Y")</f>
        <v>—</v>
      </c>
      <c r="V136" s="13" t="str">
        <f>_xll.BDH("NBIX US Equity","ARDR_ADDITIONS_TAX_POS_PR_YR","FQ3 2023","FQ3 2023","Currency=USD","Period=FQ","BEST_FPERIOD_OVERRIDE=FQ","FILING_STATUS=MR","SCALING_FORMAT=MLN","Sort=A","Dates=H","DateFormat=P","Fill=—","Direction=H","UseDPDF=Y")</f>
        <v>—</v>
      </c>
      <c r="W136" s="13">
        <f>_xll.BDH("NBIX US Equity","ARDR_ADDITIONS_TAX_POS_PR_YR","FQ4 2023","FQ4 2023","Currency=USD","Period=FQ","BEST_FPERIOD_OVERRIDE=FQ","FILING_STATUS=MR","SCALING_FORMAT=MLN","Sort=A","Dates=H","DateFormat=P","Fill=—","Direction=H","UseDPDF=Y")</f>
        <v>3.4</v>
      </c>
      <c r="X136" s="13" t="str">
        <f>_xll.BDH("NBIX US Equity","ARDR_ADDITIONS_TAX_POS_PR_YR","FQ1 2024","FQ1 2024","Currency=USD","Period=FQ","BEST_FPERIOD_OVERRIDE=FQ","FILING_STATUS=MR","SCALING_FORMAT=MLN","Sort=A","Dates=H","DateFormat=P","Fill=—","Direction=H","UseDPDF=Y")</f>
        <v>—</v>
      </c>
      <c r="Y136" s="13" t="str">
        <f>_xll.BDH("NBIX US Equity","ARDR_ADDITIONS_TAX_POS_PR_YR","FQ2 2024","FQ2 2024","Currency=USD","Period=FQ","BEST_FPERIOD_OVERRIDE=FQ","FILING_STATUS=MR","SCALING_FORMAT=MLN","Sort=A","Dates=H","DateFormat=P","Fill=—","Direction=H","UseDPDF=Y")</f>
        <v>—</v>
      </c>
      <c r="Z136" s="13" t="str">
        <f>_xll.BDH("NBIX US Equity","ARDR_ADDITIONS_TAX_POS_PR_YR","FQ3 2024","FQ3 2024","Currency=USD","Period=FQ","BEST_FPERIOD_OVERRIDE=FQ","FILING_STATUS=MR","SCALING_FORMAT=MLN","Sort=A","Dates=H","DateFormat=P","Fill=—","Direction=H","UseDPDF=Y")</f>
        <v>—</v>
      </c>
      <c r="AA136" s="13">
        <f>_xll.BDH("NBIX US Equity","ARDR_ADDITIONS_TAX_POS_PR_YR","FQ4 2024","FQ4 2024","Currency=USD","Period=FQ","BEST_FPERIOD_OVERRIDE=FQ","FILING_STATUS=MR","SCALING_FORMAT=MLN","Sort=A","Dates=H","DateFormat=P","Fill=—","Direction=H","UseDPDF=Y")</f>
        <v>4</v>
      </c>
    </row>
    <row r="137" spans="1:27" x14ac:dyDescent="0.25">
      <c r="A137" s="10" t="s">
        <v>1046</v>
      </c>
      <c r="B137" s="10" t="s">
        <v>1047</v>
      </c>
      <c r="C137" s="13" t="str">
        <f>_xll.BDH("NBIX US Equity","ARDR_REDUCTIONS_TAX_POS_PR_YR","FQ4 2018","FQ4 2018","Currency=USD","Period=FQ","BEST_FPERIOD_OVERRIDE=FQ","FILING_STATUS=MR","SCALING_FORMAT=MLN","Sort=A","Dates=H","DateFormat=P","Fill=—","Direction=H","UseDPDF=Y")</f>
        <v>—</v>
      </c>
      <c r="D137" s="13" t="str">
        <f>_xll.BDH("NBIX US Equity","ARDR_REDUCTIONS_TAX_POS_PR_YR","FQ1 2019","FQ1 2019","Currency=USD","Period=FQ","BEST_FPERIOD_OVERRIDE=FQ","FILING_STATUS=MR","SCALING_FORMAT=MLN","Sort=A","Dates=H","DateFormat=P","Fill=—","Direction=H","UseDPDF=Y")</f>
        <v>—</v>
      </c>
      <c r="E137" s="13" t="str">
        <f>_xll.BDH("NBIX US Equity","ARDR_REDUCTIONS_TAX_POS_PR_YR","FQ2 2019","FQ2 2019","Currency=USD","Period=FQ","BEST_FPERIOD_OVERRIDE=FQ","FILING_STATUS=MR","SCALING_FORMAT=MLN","Sort=A","Dates=H","DateFormat=P","Fill=—","Direction=H","UseDPDF=Y")</f>
        <v>—</v>
      </c>
      <c r="F137" s="13" t="str">
        <f>_xll.BDH("NBIX US Equity","ARDR_REDUCTIONS_TAX_POS_PR_YR","FQ3 2019","FQ3 2019","Currency=USD","Period=FQ","BEST_FPERIOD_OVERRIDE=FQ","FILING_STATUS=MR","SCALING_FORMAT=MLN","Sort=A","Dates=H","DateFormat=P","Fill=—","Direction=H","UseDPDF=Y")</f>
        <v>—</v>
      </c>
      <c r="G137" s="13" t="str">
        <f>_xll.BDH("NBIX US Equity","ARDR_REDUCTIONS_TAX_POS_PR_YR","FQ4 2019","FQ4 2019","Currency=USD","Period=FQ","BEST_FPERIOD_OVERRIDE=FQ","FILING_STATUS=MR","SCALING_FORMAT=MLN","Sort=A","Dates=H","DateFormat=P","Fill=—","Direction=H","UseDPDF=Y")</f>
        <v>—</v>
      </c>
      <c r="H137" s="13" t="str">
        <f>_xll.BDH("NBIX US Equity","ARDR_REDUCTIONS_TAX_POS_PR_YR","FQ1 2020","FQ1 2020","Currency=USD","Period=FQ","BEST_FPERIOD_OVERRIDE=FQ","FILING_STATUS=MR","SCALING_FORMAT=MLN","Sort=A","Dates=H","DateFormat=P","Fill=—","Direction=H","UseDPDF=Y")</f>
        <v>—</v>
      </c>
      <c r="I137" s="13" t="str">
        <f>_xll.BDH("NBIX US Equity","ARDR_REDUCTIONS_TAX_POS_PR_YR","FQ2 2020","FQ2 2020","Currency=USD","Period=FQ","BEST_FPERIOD_OVERRIDE=FQ","FILING_STATUS=MR","SCALING_FORMAT=MLN","Sort=A","Dates=H","DateFormat=P","Fill=—","Direction=H","UseDPDF=Y")</f>
        <v>—</v>
      </c>
      <c r="J137" s="13" t="str">
        <f>_xll.BDH("NBIX US Equity","ARDR_REDUCTIONS_TAX_POS_PR_YR","FQ3 2020","FQ3 2020","Currency=USD","Period=FQ","BEST_FPERIOD_OVERRIDE=FQ","FILING_STATUS=MR","SCALING_FORMAT=MLN","Sort=A","Dates=H","DateFormat=P","Fill=—","Direction=H","UseDPDF=Y")</f>
        <v>—</v>
      </c>
      <c r="K137" s="13" t="str">
        <f>_xll.BDH("NBIX US Equity","ARDR_REDUCTIONS_TAX_POS_PR_YR","FQ4 2020","FQ4 2020","Currency=USD","Period=FQ","BEST_FPERIOD_OVERRIDE=FQ","FILING_STATUS=MR","SCALING_FORMAT=MLN","Sort=A","Dates=H","DateFormat=P","Fill=—","Direction=H","UseDPDF=Y")</f>
        <v>—</v>
      </c>
      <c r="L137" s="13" t="str">
        <f>_xll.BDH("NBIX US Equity","ARDR_REDUCTIONS_TAX_POS_PR_YR","FQ1 2021","FQ1 2021","Currency=USD","Period=FQ","BEST_FPERIOD_OVERRIDE=FQ","FILING_STATUS=MR","SCALING_FORMAT=MLN","Sort=A","Dates=H","DateFormat=P","Fill=—","Direction=H","UseDPDF=Y")</f>
        <v>—</v>
      </c>
      <c r="M137" s="13" t="str">
        <f>_xll.BDH("NBIX US Equity","ARDR_REDUCTIONS_TAX_POS_PR_YR","FQ2 2021","FQ2 2021","Currency=USD","Period=FQ","BEST_FPERIOD_OVERRIDE=FQ","FILING_STATUS=MR","SCALING_FORMAT=MLN","Sort=A","Dates=H","DateFormat=P","Fill=—","Direction=H","UseDPDF=Y")</f>
        <v>—</v>
      </c>
      <c r="N137" s="13" t="str">
        <f>_xll.BDH("NBIX US Equity","ARDR_REDUCTIONS_TAX_POS_PR_YR","FQ3 2021","FQ3 2021","Currency=USD","Period=FQ","BEST_FPERIOD_OVERRIDE=FQ","FILING_STATUS=MR","SCALING_FORMAT=MLN","Sort=A","Dates=H","DateFormat=P","Fill=—","Direction=H","UseDPDF=Y")</f>
        <v>—</v>
      </c>
      <c r="O137" s="13" t="str">
        <f>_xll.BDH("NBIX US Equity","ARDR_REDUCTIONS_TAX_POS_PR_YR","FQ4 2021","FQ4 2021","Currency=USD","Period=FQ","BEST_FPERIOD_OVERRIDE=FQ","FILING_STATUS=MR","SCALING_FORMAT=MLN","Sort=A","Dates=H","DateFormat=P","Fill=—","Direction=H","UseDPDF=Y")</f>
        <v>—</v>
      </c>
      <c r="P137" s="13" t="str">
        <f>_xll.BDH("NBIX US Equity","ARDR_REDUCTIONS_TAX_POS_PR_YR","FQ1 2022","FQ1 2022","Currency=USD","Period=FQ","BEST_FPERIOD_OVERRIDE=FQ","FILING_STATUS=MR","SCALING_FORMAT=MLN","Sort=A","Dates=H","DateFormat=P","Fill=—","Direction=H","UseDPDF=Y")</f>
        <v>—</v>
      </c>
      <c r="Q137" s="13" t="str">
        <f>_xll.BDH("NBIX US Equity","ARDR_REDUCTIONS_TAX_POS_PR_YR","FQ2 2022","FQ2 2022","Currency=USD","Period=FQ","BEST_FPERIOD_OVERRIDE=FQ","FILING_STATUS=MR","SCALING_FORMAT=MLN","Sort=A","Dates=H","DateFormat=P","Fill=—","Direction=H","UseDPDF=Y")</f>
        <v>—</v>
      </c>
      <c r="R137" s="13" t="str">
        <f>_xll.BDH("NBIX US Equity","ARDR_REDUCTIONS_TAX_POS_PR_YR","FQ3 2022","FQ3 2022","Currency=USD","Period=FQ","BEST_FPERIOD_OVERRIDE=FQ","FILING_STATUS=MR","SCALING_FORMAT=MLN","Sort=A","Dates=H","DateFormat=P","Fill=—","Direction=H","UseDPDF=Y")</f>
        <v>—</v>
      </c>
      <c r="S137" s="13" t="str">
        <f>_xll.BDH("NBIX US Equity","ARDR_REDUCTIONS_TAX_POS_PR_YR","FQ4 2022","FQ4 2022","Currency=USD","Period=FQ","BEST_FPERIOD_OVERRIDE=FQ","FILING_STATUS=MR","SCALING_FORMAT=MLN","Sort=A","Dates=H","DateFormat=P","Fill=—","Direction=H","UseDPDF=Y")</f>
        <v>—</v>
      </c>
      <c r="T137" s="13" t="str">
        <f>_xll.BDH("NBIX US Equity","ARDR_REDUCTIONS_TAX_POS_PR_YR","FQ1 2023","FQ1 2023","Currency=USD","Period=FQ","BEST_FPERIOD_OVERRIDE=FQ","FILING_STATUS=MR","SCALING_FORMAT=MLN","Sort=A","Dates=H","DateFormat=P","Fill=—","Direction=H","UseDPDF=Y")</f>
        <v>—</v>
      </c>
      <c r="U137" s="13" t="str">
        <f>_xll.BDH("NBIX US Equity","ARDR_REDUCTIONS_TAX_POS_PR_YR","FQ2 2023","FQ2 2023","Currency=USD","Period=FQ","BEST_FPERIOD_OVERRIDE=FQ","FILING_STATUS=MR","SCALING_FORMAT=MLN","Sort=A","Dates=H","DateFormat=P","Fill=—","Direction=H","UseDPDF=Y")</f>
        <v>—</v>
      </c>
      <c r="V137" s="13" t="str">
        <f>_xll.BDH("NBIX US Equity","ARDR_REDUCTIONS_TAX_POS_PR_YR","FQ3 2023","FQ3 2023","Currency=USD","Period=FQ","BEST_FPERIOD_OVERRIDE=FQ","FILING_STATUS=MR","SCALING_FORMAT=MLN","Sort=A","Dates=H","DateFormat=P","Fill=—","Direction=H","UseDPDF=Y")</f>
        <v>—</v>
      </c>
      <c r="W137" s="13">
        <f>_xll.BDH("NBIX US Equity","ARDR_REDUCTIONS_TAX_POS_PR_YR","FQ4 2023","FQ4 2023","Currency=USD","Period=FQ","BEST_FPERIOD_OVERRIDE=FQ","FILING_STATUS=MR","SCALING_FORMAT=MLN","Sort=A","Dates=H","DateFormat=P","Fill=—","Direction=H","UseDPDF=Y")</f>
        <v>-3.6</v>
      </c>
      <c r="X137" s="13" t="str">
        <f>_xll.BDH("NBIX US Equity","ARDR_REDUCTIONS_TAX_POS_PR_YR","FQ1 2024","FQ1 2024","Currency=USD","Period=FQ","BEST_FPERIOD_OVERRIDE=FQ","FILING_STATUS=MR","SCALING_FORMAT=MLN","Sort=A","Dates=H","DateFormat=P","Fill=—","Direction=H","UseDPDF=Y")</f>
        <v>—</v>
      </c>
      <c r="Y137" s="13" t="str">
        <f>_xll.BDH("NBIX US Equity","ARDR_REDUCTIONS_TAX_POS_PR_YR","FQ2 2024","FQ2 2024","Currency=USD","Period=FQ","BEST_FPERIOD_OVERRIDE=FQ","FILING_STATUS=MR","SCALING_FORMAT=MLN","Sort=A","Dates=H","DateFormat=P","Fill=—","Direction=H","UseDPDF=Y")</f>
        <v>—</v>
      </c>
      <c r="Z137" s="13" t="str">
        <f>_xll.BDH("NBIX US Equity","ARDR_REDUCTIONS_TAX_POS_PR_YR","FQ3 2024","FQ3 2024","Currency=USD","Period=FQ","BEST_FPERIOD_OVERRIDE=FQ","FILING_STATUS=MR","SCALING_FORMAT=MLN","Sort=A","Dates=H","DateFormat=P","Fill=—","Direction=H","UseDPDF=Y")</f>
        <v>—</v>
      </c>
      <c r="AA137" s="13">
        <f>_xll.BDH("NBIX US Equity","ARDR_REDUCTIONS_TAX_POS_PR_YR","FQ4 2024","FQ4 2024","Currency=USD","Period=FQ","BEST_FPERIOD_OVERRIDE=FQ","FILING_STATUS=MR","SCALING_FORMAT=MLN","Sort=A","Dates=H","DateFormat=P","Fill=—","Direction=H","UseDPDF=Y")</f>
        <v>0</v>
      </c>
    </row>
    <row r="138" spans="1:27" x14ac:dyDescent="0.25">
      <c r="A138" s="10" t="s">
        <v>1048</v>
      </c>
      <c r="B138" s="10" t="s">
        <v>1049</v>
      </c>
      <c r="C138" s="13" t="str">
        <f>_xll.BDH("NBIX US Equity","ARDR_SETTLEMENTS","FQ4 2018","FQ4 2018","Currency=USD","Period=FQ","BEST_FPERIOD_OVERRIDE=FQ","FILING_STATUS=MR","SCALING_FORMAT=MLN","Sort=A","Dates=H","DateFormat=P","Fill=—","Direction=H","UseDPDF=Y")</f>
        <v>—</v>
      </c>
      <c r="D138" s="13" t="str">
        <f>_xll.BDH("NBIX US Equity","ARDR_SETTLEMENTS","FQ1 2019","FQ1 2019","Currency=USD","Period=FQ","BEST_FPERIOD_OVERRIDE=FQ","FILING_STATUS=MR","SCALING_FORMAT=MLN","Sort=A","Dates=H","DateFormat=P","Fill=—","Direction=H","UseDPDF=Y")</f>
        <v>—</v>
      </c>
      <c r="E138" s="13" t="str">
        <f>_xll.BDH("NBIX US Equity","ARDR_SETTLEMENTS","FQ2 2019","FQ2 2019","Currency=USD","Period=FQ","BEST_FPERIOD_OVERRIDE=FQ","FILING_STATUS=MR","SCALING_FORMAT=MLN","Sort=A","Dates=H","DateFormat=P","Fill=—","Direction=H","UseDPDF=Y")</f>
        <v>—</v>
      </c>
      <c r="F138" s="13" t="str">
        <f>_xll.BDH("NBIX US Equity","ARDR_SETTLEMENTS","FQ3 2019","FQ3 2019","Currency=USD","Period=FQ","BEST_FPERIOD_OVERRIDE=FQ","FILING_STATUS=MR","SCALING_FORMAT=MLN","Sort=A","Dates=H","DateFormat=P","Fill=—","Direction=H","UseDPDF=Y")</f>
        <v>—</v>
      </c>
      <c r="G138" s="13">
        <f>_xll.BDH("NBIX US Equity","ARDR_SETTLEMENTS","FQ4 2019","FQ4 2019","Currency=USD","Period=FQ","BEST_FPERIOD_OVERRIDE=FQ","FILING_STATUS=MR","SCALING_FORMAT=MLN","Sort=A","Dates=H","DateFormat=P","Fill=—","Direction=H","UseDPDF=Y")</f>
        <v>0</v>
      </c>
      <c r="H138" s="13" t="str">
        <f>_xll.BDH("NBIX US Equity","ARDR_SETTLEMENTS","FQ1 2020","FQ1 2020","Currency=USD","Period=FQ","BEST_FPERIOD_OVERRIDE=FQ","FILING_STATUS=MR","SCALING_FORMAT=MLN","Sort=A","Dates=H","DateFormat=P","Fill=—","Direction=H","UseDPDF=Y")</f>
        <v>—</v>
      </c>
      <c r="I138" s="13" t="str">
        <f>_xll.BDH("NBIX US Equity","ARDR_SETTLEMENTS","FQ2 2020","FQ2 2020","Currency=USD","Period=FQ","BEST_FPERIOD_OVERRIDE=FQ","FILING_STATUS=MR","SCALING_FORMAT=MLN","Sort=A","Dates=H","DateFormat=P","Fill=—","Direction=H","UseDPDF=Y")</f>
        <v>—</v>
      </c>
      <c r="J138" s="13" t="str">
        <f>_xll.BDH("NBIX US Equity","ARDR_SETTLEMENTS","FQ3 2020","FQ3 2020","Currency=USD","Period=FQ","BEST_FPERIOD_OVERRIDE=FQ","FILING_STATUS=MR","SCALING_FORMAT=MLN","Sort=A","Dates=H","DateFormat=P","Fill=—","Direction=H","UseDPDF=Y")</f>
        <v>—</v>
      </c>
      <c r="K138" s="13">
        <f>_xll.BDH("NBIX US Equity","ARDR_SETTLEMENTS","FQ4 2020","FQ4 2020","Currency=USD","Period=FQ","BEST_FPERIOD_OVERRIDE=FQ","FILING_STATUS=MR","SCALING_FORMAT=MLN","Sort=A","Dates=H","DateFormat=P","Fill=—","Direction=H","UseDPDF=Y")</f>
        <v>-0.2</v>
      </c>
      <c r="L138" s="13" t="str">
        <f>_xll.BDH("NBIX US Equity","ARDR_SETTLEMENTS","FQ1 2021","FQ1 2021","Currency=USD","Period=FQ","BEST_FPERIOD_OVERRIDE=FQ","FILING_STATUS=MR","SCALING_FORMAT=MLN","Sort=A","Dates=H","DateFormat=P","Fill=—","Direction=H","UseDPDF=Y")</f>
        <v>—</v>
      </c>
      <c r="M138" s="13" t="str">
        <f>_xll.BDH("NBIX US Equity","ARDR_SETTLEMENTS","FQ2 2021","FQ2 2021","Currency=USD","Period=FQ","BEST_FPERIOD_OVERRIDE=FQ","FILING_STATUS=MR","SCALING_FORMAT=MLN","Sort=A","Dates=H","DateFormat=P","Fill=—","Direction=H","UseDPDF=Y")</f>
        <v>—</v>
      </c>
      <c r="N138" s="13" t="str">
        <f>_xll.BDH("NBIX US Equity","ARDR_SETTLEMENTS","FQ3 2021","FQ3 2021","Currency=USD","Period=FQ","BEST_FPERIOD_OVERRIDE=FQ","FILING_STATUS=MR","SCALING_FORMAT=MLN","Sort=A","Dates=H","DateFormat=P","Fill=—","Direction=H","UseDPDF=Y")</f>
        <v>—</v>
      </c>
      <c r="O138" s="13">
        <f>_xll.BDH("NBIX US Equity","ARDR_SETTLEMENTS","FQ4 2021","FQ4 2021","Currency=USD","Period=FQ","BEST_FPERIOD_OVERRIDE=FQ","FILING_STATUS=MR","SCALING_FORMAT=MLN","Sort=A","Dates=H","DateFormat=P","Fill=—","Direction=H","UseDPDF=Y")</f>
        <v>0</v>
      </c>
      <c r="P138" s="13" t="str">
        <f>_xll.BDH("NBIX US Equity","ARDR_SETTLEMENTS","FQ1 2022","FQ1 2022","Currency=USD","Period=FQ","BEST_FPERIOD_OVERRIDE=FQ","FILING_STATUS=MR","SCALING_FORMAT=MLN","Sort=A","Dates=H","DateFormat=P","Fill=—","Direction=H","UseDPDF=Y")</f>
        <v>—</v>
      </c>
      <c r="Q138" s="13" t="str">
        <f>_xll.BDH("NBIX US Equity","ARDR_SETTLEMENTS","FQ2 2022","FQ2 2022","Currency=USD","Period=FQ","BEST_FPERIOD_OVERRIDE=FQ","FILING_STATUS=MR","SCALING_FORMAT=MLN","Sort=A","Dates=H","DateFormat=P","Fill=—","Direction=H","UseDPDF=Y")</f>
        <v>—</v>
      </c>
      <c r="R138" s="13" t="str">
        <f>_xll.BDH("NBIX US Equity","ARDR_SETTLEMENTS","FQ3 2022","FQ3 2022","Currency=USD","Period=FQ","BEST_FPERIOD_OVERRIDE=FQ","FILING_STATUS=MR","SCALING_FORMAT=MLN","Sort=A","Dates=H","DateFormat=P","Fill=—","Direction=H","UseDPDF=Y")</f>
        <v>—</v>
      </c>
      <c r="S138" s="13">
        <f>_xll.BDH("NBIX US Equity","ARDR_SETTLEMENTS","FQ4 2022","FQ4 2022","Currency=USD","Period=FQ","BEST_FPERIOD_OVERRIDE=FQ","FILING_STATUS=MR","SCALING_FORMAT=MLN","Sort=A","Dates=H","DateFormat=P","Fill=—","Direction=H","UseDPDF=Y")</f>
        <v>0</v>
      </c>
      <c r="T138" s="13" t="str">
        <f>_xll.BDH("NBIX US Equity","ARDR_SETTLEMENTS","FQ1 2023","FQ1 2023","Currency=USD","Period=FQ","BEST_FPERIOD_OVERRIDE=FQ","FILING_STATUS=MR","SCALING_FORMAT=MLN","Sort=A","Dates=H","DateFormat=P","Fill=—","Direction=H","UseDPDF=Y")</f>
        <v>—</v>
      </c>
      <c r="U138" s="13" t="str">
        <f>_xll.BDH("NBIX US Equity","ARDR_SETTLEMENTS","FQ2 2023","FQ2 2023","Currency=USD","Period=FQ","BEST_FPERIOD_OVERRIDE=FQ","FILING_STATUS=MR","SCALING_FORMAT=MLN","Sort=A","Dates=H","DateFormat=P","Fill=—","Direction=H","UseDPDF=Y")</f>
        <v>—</v>
      </c>
      <c r="V138" s="13" t="str">
        <f>_xll.BDH("NBIX US Equity","ARDR_SETTLEMENTS","FQ3 2023","FQ3 2023","Currency=USD","Period=FQ","BEST_FPERIOD_OVERRIDE=FQ","FILING_STATUS=MR","SCALING_FORMAT=MLN","Sort=A","Dates=H","DateFormat=P","Fill=—","Direction=H","UseDPDF=Y")</f>
        <v>—</v>
      </c>
      <c r="W138" s="13" t="str">
        <f>_xll.BDH("NBIX US Equity","ARDR_SETTLEMENTS","FQ4 2023","FQ4 2023","Currency=USD","Period=FQ","BEST_FPERIOD_OVERRIDE=FQ","FILING_STATUS=MR","SCALING_FORMAT=MLN","Sort=A","Dates=H","DateFormat=P","Fill=—","Direction=H","UseDPDF=Y")</f>
        <v>—</v>
      </c>
      <c r="X138" s="13" t="str">
        <f>_xll.BDH("NBIX US Equity","ARDR_SETTLEMENTS","FQ1 2024","FQ1 2024","Currency=USD","Period=FQ","BEST_FPERIOD_OVERRIDE=FQ","FILING_STATUS=MR","SCALING_FORMAT=MLN","Sort=A","Dates=H","DateFormat=P","Fill=—","Direction=H","UseDPDF=Y")</f>
        <v>—</v>
      </c>
      <c r="Y138" s="13" t="str">
        <f>_xll.BDH("NBIX US Equity","ARDR_SETTLEMENTS","FQ2 2024","FQ2 2024","Currency=USD","Period=FQ","BEST_FPERIOD_OVERRIDE=FQ","FILING_STATUS=MR","SCALING_FORMAT=MLN","Sort=A","Dates=H","DateFormat=P","Fill=—","Direction=H","UseDPDF=Y")</f>
        <v>—</v>
      </c>
      <c r="Z138" s="13" t="str">
        <f>_xll.BDH("NBIX US Equity","ARDR_SETTLEMENTS","FQ3 2024","FQ3 2024","Currency=USD","Period=FQ","BEST_FPERIOD_OVERRIDE=FQ","FILING_STATUS=MR","SCALING_FORMAT=MLN","Sort=A","Dates=H","DateFormat=P","Fill=—","Direction=H","UseDPDF=Y")</f>
        <v>—</v>
      </c>
      <c r="AA138" s="13" t="str">
        <f>_xll.BDH("NBIX US Equity","ARDR_SETTLEMENTS","FQ4 2024","FQ4 2024","Currency=USD","Period=FQ","BEST_FPERIOD_OVERRIDE=FQ","FILING_STATUS=MR","SCALING_FORMAT=MLN","Sort=A","Dates=H","DateFormat=P","Fill=—","Direction=H","UseDPDF=Y")</f>
        <v>—</v>
      </c>
    </row>
    <row r="139" spans="1:27" x14ac:dyDescent="0.25">
      <c r="A139" s="10" t="s">
        <v>1050</v>
      </c>
      <c r="B139" s="10" t="s">
        <v>1051</v>
      </c>
      <c r="C139" s="13">
        <f>_xll.BDH("NBIX US Equity","ARDR_STATUTES_LIMITATIONS_UTB","FQ4 2018","FQ4 2018","Currency=USD","Period=FQ","BEST_FPERIOD_OVERRIDE=FQ","FILING_STATUS=MR","SCALING_FORMAT=MLN","Sort=A","Dates=H","DateFormat=P","Fill=—","Direction=H","UseDPDF=Y")</f>
        <v>-0.45700000000000002</v>
      </c>
      <c r="D139" s="13" t="str">
        <f>_xll.BDH("NBIX US Equity","ARDR_STATUTES_LIMITATIONS_UTB","FQ1 2019","FQ1 2019","Currency=USD","Period=FQ","BEST_FPERIOD_OVERRIDE=FQ","FILING_STATUS=MR","SCALING_FORMAT=MLN","Sort=A","Dates=H","DateFormat=P","Fill=—","Direction=H","UseDPDF=Y")</f>
        <v>—</v>
      </c>
      <c r="E139" s="13" t="str">
        <f>_xll.BDH("NBIX US Equity","ARDR_STATUTES_LIMITATIONS_UTB","FQ2 2019","FQ2 2019","Currency=USD","Period=FQ","BEST_FPERIOD_OVERRIDE=FQ","FILING_STATUS=MR","SCALING_FORMAT=MLN","Sort=A","Dates=H","DateFormat=P","Fill=—","Direction=H","UseDPDF=Y")</f>
        <v>—</v>
      </c>
      <c r="F139" s="13" t="str">
        <f>_xll.BDH("NBIX US Equity","ARDR_STATUTES_LIMITATIONS_UTB","FQ3 2019","FQ3 2019","Currency=USD","Period=FQ","BEST_FPERIOD_OVERRIDE=FQ","FILING_STATUS=MR","SCALING_FORMAT=MLN","Sort=A","Dates=H","DateFormat=P","Fill=—","Direction=H","UseDPDF=Y")</f>
        <v>—</v>
      </c>
      <c r="G139" s="13">
        <f>_xll.BDH("NBIX US Equity","ARDR_STATUTES_LIMITATIONS_UTB","FQ4 2019","FQ4 2019","Currency=USD","Period=FQ","BEST_FPERIOD_OVERRIDE=FQ","FILING_STATUS=MR","SCALING_FORMAT=MLN","Sort=A","Dates=H","DateFormat=P","Fill=—","Direction=H","UseDPDF=Y")</f>
        <v>-0.7</v>
      </c>
      <c r="H139" s="13" t="str">
        <f>_xll.BDH("NBIX US Equity","ARDR_STATUTES_LIMITATIONS_UTB","FQ1 2020","FQ1 2020","Currency=USD","Period=FQ","BEST_FPERIOD_OVERRIDE=FQ","FILING_STATUS=MR","SCALING_FORMAT=MLN","Sort=A","Dates=H","DateFormat=P","Fill=—","Direction=H","UseDPDF=Y")</f>
        <v>—</v>
      </c>
      <c r="I139" s="13" t="str">
        <f>_xll.BDH("NBIX US Equity","ARDR_STATUTES_LIMITATIONS_UTB","FQ2 2020","FQ2 2020","Currency=USD","Period=FQ","BEST_FPERIOD_OVERRIDE=FQ","FILING_STATUS=MR","SCALING_FORMAT=MLN","Sort=A","Dates=H","DateFormat=P","Fill=—","Direction=H","UseDPDF=Y")</f>
        <v>—</v>
      </c>
      <c r="J139" s="13" t="str">
        <f>_xll.BDH("NBIX US Equity","ARDR_STATUTES_LIMITATIONS_UTB","FQ3 2020","FQ3 2020","Currency=USD","Period=FQ","BEST_FPERIOD_OVERRIDE=FQ","FILING_STATUS=MR","SCALING_FORMAT=MLN","Sort=A","Dates=H","DateFormat=P","Fill=—","Direction=H","UseDPDF=Y")</f>
        <v>—</v>
      </c>
      <c r="K139" s="13">
        <f>_xll.BDH("NBIX US Equity","ARDR_STATUTES_LIMITATIONS_UTB","FQ4 2020","FQ4 2020","Currency=USD","Period=FQ","BEST_FPERIOD_OVERRIDE=FQ","FILING_STATUS=MR","SCALING_FORMAT=MLN","Sort=A","Dates=H","DateFormat=P","Fill=—","Direction=H","UseDPDF=Y")</f>
        <v>-1.1000000000000001</v>
      </c>
      <c r="L139" s="13" t="str">
        <f>_xll.BDH("NBIX US Equity","ARDR_STATUTES_LIMITATIONS_UTB","FQ1 2021","FQ1 2021","Currency=USD","Period=FQ","BEST_FPERIOD_OVERRIDE=FQ","FILING_STATUS=MR","SCALING_FORMAT=MLN","Sort=A","Dates=H","DateFormat=P","Fill=—","Direction=H","UseDPDF=Y")</f>
        <v>—</v>
      </c>
      <c r="M139" s="13" t="str">
        <f>_xll.BDH("NBIX US Equity","ARDR_STATUTES_LIMITATIONS_UTB","FQ2 2021","FQ2 2021","Currency=USD","Period=FQ","BEST_FPERIOD_OVERRIDE=FQ","FILING_STATUS=MR","SCALING_FORMAT=MLN","Sort=A","Dates=H","DateFormat=P","Fill=—","Direction=H","UseDPDF=Y")</f>
        <v>—</v>
      </c>
      <c r="N139" s="13" t="str">
        <f>_xll.BDH("NBIX US Equity","ARDR_STATUTES_LIMITATIONS_UTB","FQ3 2021","FQ3 2021","Currency=USD","Period=FQ","BEST_FPERIOD_OVERRIDE=FQ","FILING_STATUS=MR","SCALING_FORMAT=MLN","Sort=A","Dates=H","DateFormat=P","Fill=—","Direction=H","UseDPDF=Y")</f>
        <v>—</v>
      </c>
      <c r="O139" s="13">
        <f>_xll.BDH("NBIX US Equity","ARDR_STATUTES_LIMITATIONS_UTB","FQ4 2021","FQ4 2021","Currency=USD","Period=FQ","BEST_FPERIOD_OVERRIDE=FQ","FILING_STATUS=MR","SCALING_FORMAT=MLN","Sort=A","Dates=H","DateFormat=P","Fill=—","Direction=H","UseDPDF=Y")</f>
        <v>-1.7</v>
      </c>
      <c r="P139" s="13" t="str">
        <f>_xll.BDH("NBIX US Equity","ARDR_STATUTES_LIMITATIONS_UTB","FQ1 2022","FQ1 2022","Currency=USD","Period=FQ","BEST_FPERIOD_OVERRIDE=FQ","FILING_STATUS=MR","SCALING_FORMAT=MLN","Sort=A","Dates=H","DateFormat=P","Fill=—","Direction=H","UseDPDF=Y")</f>
        <v>—</v>
      </c>
      <c r="Q139" s="13" t="str">
        <f>_xll.BDH("NBIX US Equity","ARDR_STATUTES_LIMITATIONS_UTB","FQ2 2022","FQ2 2022","Currency=USD","Period=FQ","BEST_FPERIOD_OVERRIDE=FQ","FILING_STATUS=MR","SCALING_FORMAT=MLN","Sort=A","Dates=H","DateFormat=P","Fill=—","Direction=H","UseDPDF=Y")</f>
        <v>—</v>
      </c>
      <c r="R139" s="13" t="str">
        <f>_xll.BDH("NBIX US Equity","ARDR_STATUTES_LIMITATIONS_UTB","FQ3 2022","FQ3 2022","Currency=USD","Period=FQ","BEST_FPERIOD_OVERRIDE=FQ","FILING_STATUS=MR","SCALING_FORMAT=MLN","Sort=A","Dates=H","DateFormat=P","Fill=—","Direction=H","UseDPDF=Y")</f>
        <v>—</v>
      </c>
      <c r="S139" s="13">
        <f>_xll.BDH("NBIX US Equity","ARDR_STATUTES_LIMITATIONS_UTB","FQ4 2022","FQ4 2022","Currency=USD","Period=FQ","BEST_FPERIOD_OVERRIDE=FQ","FILING_STATUS=MR","SCALING_FORMAT=MLN","Sort=A","Dates=H","DateFormat=P","Fill=—","Direction=H","UseDPDF=Y")</f>
        <v>0</v>
      </c>
      <c r="T139" s="13" t="str">
        <f>_xll.BDH("NBIX US Equity","ARDR_STATUTES_LIMITATIONS_UTB","FQ1 2023","FQ1 2023","Currency=USD","Period=FQ","BEST_FPERIOD_OVERRIDE=FQ","FILING_STATUS=MR","SCALING_FORMAT=MLN","Sort=A","Dates=H","DateFormat=P","Fill=—","Direction=H","UseDPDF=Y")</f>
        <v>—</v>
      </c>
      <c r="U139" s="13" t="str">
        <f>_xll.BDH("NBIX US Equity","ARDR_STATUTES_LIMITATIONS_UTB","FQ2 2023","FQ2 2023","Currency=USD","Period=FQ","BEST_FPERIOD_OVERRIDE=FQ","FILING_STATUS=MR","SCALING_FORMAT=MLN","Sort=A","Dates=H","DateFormat=P","Fill=—","Direction=H","UseDPDF=Y")</f>
        <v>—</v>
      </c>
      <c r="V139" s="13" t="str">
        <f>_xll.BDH("NBIX US Equity","ARDR_STATUTES_LIMITATIONS_UTB","FQ3 2023","FQ3 2023","Currency=USD","Period=FQ","BEST_FPERIOD_OVERRIDE=FQ","FILING_STATUS=MR","SCALING_FORMAT=MLN","Sort=A","Dates=H","DateFormat=P","Fill=—","Direction=H","UseDPDF=Y")</f>
        <v>—</v>
      </c>
      <c r="W139" s="13">
        <f>_xll.BDH("NBIX US Equity","ARDR_STATUTES_LIMITATIONS_UTB","FQ4 2023","FQ4 2023","Currency=USD","Period=FQ","BEST_FPERIOD_OVERRIDE=FQ","FILING_STATUS=MR","SCALING_FORMAT=MLN","Sort=A","Dates=H","DateFormat=P","Fill=—","Direction=H","UseDPDF=Y")</f>
        <v>0</v>
      </c>
      <c r="X139" s="13" t="str">
        <f>_xll.BDH("NBIX US Equity","ARDR_STATUTES_LIMITATIONS_UTB","FQ1 2024","FQ1 2024","Currency=USD","Period=FQ","BEST_FPERIOD_OVERRIDE=FQ","FILING_STATUS=MR","SCALING_FORMAT=MLN","Sort=A","Dates=H","DateFormat=P","Fill=—","Direction=H","UseDPDF=Y")</f>
        <v>—</v>
      </c>
      <c r="Y139" s="13" t="str">
        <f>_xll.BDH("NBIX US Equity","ARDR_STATUTES_LIMITATIONS_UTB","FQ2 2024","FQ2 2024","Currency=USD","Period=FQ","BEST_FPERIOD_OVERRIDE=FQ","FILING_STATUS=MR","SCALING_FORMAT=MLN","Sort=A","Dates=H","DateFormat=P","Fill=—","Direction=H","UseDPDF=Y")</f>
        <v>—</v>
      </c>
      <c r="Z139" s="13" t="str">
        <f>_xll.BDH("NBIX US Equity","ARDR_STATUTES_LIMITATIONS_UTB","FQ3 2024","FQ3 2024","Currency=USD","Period=FQ","BEST_FPERIOD_OVERRIDE=FQ","FILING_STATUS=MR","SCALING_FORMAT=MLN","Sort=A","Dates=H","DateFormat=P","Fill=—","Direction=H","UseDPDF=Y")</f>
        <v>—</v>
      </c>
      <c r="AA139" s="13" t="str">
        <f>_xll.BDH("NBIX US Equity","ARDR_STATUTES_LIMITATIONS_UTB","FQ4 2024","FQ4 2024","Currency=USD","Period=FQ","BEST_FPERIOD_OVERRIDE=FQ","FILING_STATUS=MR","SCALING_FORMAT=MLN","Sort=A","Dates=H","DateFormat=P","Fill=—","Direction=H","UseDPDF=Y")</f>
        <v>—</v>
      </c>
    </row>
    <row r="140" spans="1:27" x14ac:dyDescent="0.25">
      <c r="A140" s="10" t="s">
        <v>1052</v>
      </c>
      <c r="B140" s="10" t="s">
        <v>1053</v>
      </c>
      <c r="C140" s="13">
        <f>_xll.BDH("NBIX US Equity","ARDR_RESTRICTED_STOCK_UNITS","FQ4 2018","FQ4 2018","Currency=USD","Period=FQ","BEST_FPERIOD_OVERRIDE=FQ","FILING_STATUS=MR","Sort=A","Dates=H","DateFormat=P","Fill=—","Direction=H","UseDPDF=Y")</f>
        <v>1.133</v>
      </c>
      <c r="D140" s="13" t="str">
        <f>_xll.BDH("NBIX US Equity","ARDR_RESTRICTED_STOCK_UNITS","FQ1 2019","FQ1 2019","Currency=USD","Period=FQ","BEST_FPERIOD_OVERRIDE=FQ","FILING_STATUS=MR","Sort=A","Dates=H","DateFormat=P","Fill=—","Direction=H","UseDPDF=Y")</f>
        <v>—</v>
      </c>
      <c r="E140" s="13" t="str">
        <f>_xll.BDH("NBIX US Equity","ARDR_RESTRICTED_STOCK_UNITS","FQ2 2019","FQ2 2019","Currency=USD","Period=FQ","BEST_FPERIOD_OVERRIDE=FQ","FILING_STATUS=MR","Sort=A","Dates=H","DateFormat=P","Fill=—","Direction=H","UseDPDF=Y")</f>
        <v>—</v>
      </c>
      <c r="F140" s="13" t="str">
        <f>_xll.BDH("NBIX US Equity","ARDR_RESTRICTED_STOCK_UNITS","FQ3 2019","FQ3 2019","Currency=USD","Period=FQ","BEST_FPERIOD_OVERRIDE=FQ","FILING_STATUS=MR","Sort=A","Dates=H","DateFormat=P","Fill=—","Direction=H","UseDPDF=Y")</f>
        <v>—</v>
      </c>
      <c r="G140" s="13">
        <f>_xll.BDH("NBIX US Equity","ARDR_RESTRICTED_STOCK_UNITS","FQ4 2019","FQ4 2019","Currency=USD","Period=FQ","BEST_FPERIOD_OVERRIDE=FQ","FILING_STATUS=MR","Sort=A","Dates=H","DateFormat=P","Fill=—","Direction=H","UseDPDF=Y")</f>
        <v>1.3680000000000001</v>
      </c>
      <c r="H140" s="13" t="str">
        <f>_xll.BDH("NBIX US Equity","ARDR_RESTRICTED_STOCK_UNITS","FQ1 2020","FQ1 2020","Currency=USD","Period=FQ","BEST_FPERIOD_OVERRIDE=FQ","FILING_STATUS=MR","Sort=A","Dates=H","DateFormat=P","Fill=—","Direction=H","UseDPDF=Y")</f>
        <v>—</v>
      </c>
      <c r="I140" s="13" t="str">
        <f>_xll.BDH("NBIX US Equity","ARDR_RESTRICTED_STOCK_UNITS","FQ2 2020","FQ2 2020","Currency=USD","Period=FQ","BEST_FPERIOD_OVERRIDE=FQ","FILING_STATUS=MR","Sort=A","Dates=H","DateFormat=P","Fill=—","Direction=H","UseDPDF=Y")</f>
        <v>—</v>
      </c>
      <c r="J140" s="13" t="str">
        <f>_xll.BDH("NBIX US Equity","ARDR_RESTRICTED_STOCK_UNITS","FQ3 2020","FQ3 2020","Currency=USD","Period=FQ","BEST_FPERIOD_OVERRIDE=FQ","FILING_STATUS=MR","Sort=A","Dates=H","DateFormat=P","Fill=—","Direction=H","UseDPDF=Y")</f>
        <v>—</v>
      </c>
      <c r="K140" s="13">
        <f>_xll.BDH("NBIX US Equity","ARDR_RESTRICTED_STOCK_UNITS","FQ4 2020","FQ4 2020","Currency=USD","Period=FQ","BEST_FPERIOD_OVERRIDE=FQ","FILING_STATUS=MR","Sort=A","Dates=H","DateFormat=P","Fill=—","Direction=H","UseDPDF=Y")</f>
        <v>1.5</v>
      </c>
      <c r="L140" s="13" t="str">
        <f>_xll.BDH("NBIX US Equity","ARDR_RESTRICTED_STOCK_UNITS","FQ1 2021","FQ1 2021","Currency=USD","Period=FQ","BEST_FPERIOD_OVERRIDE=FQ","FILING_STATUS=MR","Sort=A","Dates=H","DateFormat=P","Fill=—","Direction=H","UseDPDF=Y")</f>
        <v>—</v>
      </c>
      <c r="M140" s="13" t="str">
        <f>_xll.BDH("NBIX US Equity","ARDR_RESTRICTED_STOCK_UNITS","FQ2 2021","FQ2 2021","Currency=USD","Period=FQ","BEST_FPERIOD_OVERRIDE=FQ","FILING_STATUS=MR","Sort=A","Dates=H","DateFormat=P","Fill=—","Direction=H","UseDPDF=Y")</f>
        <v>—</v>
      </c>
      <c r="N140" s="13" t="str">
        <f>_xll.BDH("NBIX US Equity","ARDR_RESTRICTED_STOCK_UNITS","FQ3 2021","FQ3 2021","Currency=USD","Period=FQ","BEST_FPERIOD_OVERRIDE=FQ","FILING_STATUS=MR","Sort=A","Dates=H","DateFormat=P","Fill=—","Direction=H","UseDPDF=Y")</f>
        <v>—</v>
      </c>
      <c r="O140" s="13">
        <f>_xll.BDH("NBIX US Equity","ARDR_RESTRICTED_STOCK_UNITS","FQ4 2021","FQ4 2021","Currency=USD","Period=FQ","BEST_FPERIOD_OVERRIDE=FQ","FILING_STATUS=MR","Sort=A","Dates=H","DateFormat=P","Fill=—","Direction=H","UseDPDF=Y")</f>
        <v>2</v>
      </c>
      <c r="P140" s="13" t="str">
        <f>_xll.BDH("NBIX US Equity","ARDR_RESTRICTED_STOCK_UNITS","FQ1 2022","FQ1 2022","Currency=USD","Period=FQ","BEST_FPERIOD_OVERRIDE=FQ","FILING_STATUS=MR","Sort=A","Dates=H","DateFormat=P","Fill=—","Direction=H","UseDPDF=Y")</f>
        <v>—</v>
      </c>
      <c r="Q140" s="13" t="str">
        <f>_xll.BDH("NBIX US Equity","ARDR_RESTRICTED_STOCK_UNITS","FQ2 2022","FQ2 2022","Currency=USD","Period=FQ","BEST_FPERIOD_OVERRIDE=FQ","FILING_STATUS=MR","Sort=A","Dates=H","DateFormat=P","Fill=—","Direction=H","UseDPDF=Y")</f>
        <v>—</v>
      </c>
      <c r="R140" s="13" t="str">
        <f>_xll.BDH("NBIX US Equity","ARDR_RESTRICTED_STOCK_UNITS","FQ3 2022","FQ3 2022","Currency=USD","Period=FQ","BEST_FPERIOD_OVERRIDE=FQ","FILING_STATUS=MR","Sort=A","Dates=H","DateFormat=P","Fill=—","Direction=H","UseDPDF=Y")</f>
        <v>—</v>
      </c>
      <c r="S140" s="13" t="str">
        <f>_xll.BDH("NBIX US Equity","ARDR_RESTRICTED_STOCK_UNITS","FQ4 2022","FQ4 2022","Currency=USD","Period=FQ","BEST_FPERIOD_OVERRIDE=FQ","FILING_STATUS=MR","Sort=A","Dates=H","DateFormat=P","Fill=—","Direction=H","UseDPDF=Y")</f>
        <v>—</v>
      </c>
      <c r="T140" s="13" t="str">
        <f>_xll.BDH("NBIX US Equity","ARDR_RESTRICTED_STOCK_UNITS","FQ1 2023","FQ1 2023","Currency=USD","Period=FQ","BEST_FPERIOD_OVERRIDE=FQ","FILING_STATUS=MR","Sort=A","Dates=H","DateFormat=P","Fill=—","Direction=H","UseDPDF=Y")</f>
        <v>—</v>
      </c>
      <c r="U140" s="13" t="str">
        <f>_xll.BDH("NBIX US Equity","ARDR_RESTRICTED_STOCK_UNITS","FQ2 2023","FQ2 2023","Currency=USD","Period=FQ","BEST_FPERIOD_OVERRIDE=FQ","FILING_STATUS=MR","Sort=A","Dates=H","DateFormat=P","Fill=—","Direction=H","UseDPDF=Y")</f>
        <v>—</v>
      </c>
      <c r="V140" s="13" t="str">
        <f>_xll.BDH("NBIX US Equity","ARDR_RESTRICTED_STOCK_UNITS","FQ3 2023","FQ3 2023","Currency=USD","Period=FQ","BEST_FPERIOD_OVERRIDE=FQ","FILING_STATUS=MR","Sort=A","Dates=H","DateFormat=P","Fill=—","Direction=H","UseDPDF=Y")</f>
        <v>—</v>
      </c>
      <c r="W140" s="13">
        <f>_xll.BDH("NBIX US Equity","ARDR_RESTRICTED_STOCK_UNITS","FQ4 2023","FQ4 2023","Currency=USD","Period=FQ","BEST_FPERIOD_OVERRIDE=FQ","FILING_STATUS=MR","Sort=A","Dates=H","DateFormat=P","Fill=—","Direction=H","UseDPDF=Y")</f>
        <v>2.4</v>
      </c>
      <c r="X140" s="13" t="str">
        <f>_xll.BDH("NBIX US Equity","ARDR_RESTRICTED_STOCK_UNITS","FQ1 2024","FQ1 2024","Currency=USD","Period=FQ","BEST_FPERIOD_OVERRIDE=FQ","FILING_STATUS=MR","Sort=A","Dates=H","DateFormat=P","Fill=—","Direction=H","UseDPDF=Y")</f>
        <v>—</v>
      </c>
      <c r="Y140" s="13" t="str">
        <f>_xll.BDH("NBIX US Equity","ARDR_RESTRICTED_STOCK_UNITS","FQ2 2024","FQ2 2024","Currency=USD","Period=FQ","BEST_FPERIOD_OVERRIDE=FQ","FILING_STATUS=MR","Sort=A","Dates=H","DateFormat=P","Fill=—","Direction=H","UseDPDF=Y")</f>
        <v>—</v>
      </c>
      <c r="Z140" s="13" t="str">
        <f>_xll.BDH("NBIX US Equity","ARDR_RESTRICTED_STOCK_UNITS","FQ3 2024","FQ3 2024","Currency=USD","Period=FQ","BEST_FPERIOD_OVERRIDE=FQ","FILING_STATUS=MR","Sort=A","Dates=H","DateFormat=P","Fill=—","Direction=H","UseDPDF=Y")</f>
        <v>—</v>
      </c>
      <c r="AA140" s="13">
        <f>_xll.BDH("NBIX US Equity","ARDR_RESTRICTED_STOCK_UNITS","FQ4 2024","FQ4 2024","Currency=USD","Period=FQ","BEST_FPERIOD_OVERRIDE=FQ","FILING_STATUS=MR","Sort=A","Dates=H","DateFormat=P","Fill=—","Direction=H","UseDPDF=Y")</f>
        <v>2.4</v>
      </c>
    </row>
    <row r="141" spans="1:27" x14ac:dyDescent="0.25">
      <c r="A141" s="10" t="s">
        <v>1054</v>
      </c>
      <c r="B141" s="10" t="s">
        <v>1055</v>
      </c>
      <c r="C141" s="14">
        <f>_xll.BDH("NBIX US Equity","ARDR_RSTR_STK_UNIT_WAVG_FV_PS","FQ4 2018","FQ4 2018","Currency=USD","Period=FQ","BEST_FPERIOD_OVERRIDE=FQ","FILING_STATUS=MR","Sort=A","Dates=H","DateFormat=P","Fill=—","Direction=H","UseDPDF=Y")</f>
        <v>62.31</v>
      </c>
      <c r="D141" s="14" t="str">
        <f>_xll.BDH("NBIX US Equity","ARDR_RSTR_STK_UNIT_WAVG_FV_PS","FQ1 2019","FQ1 2019","Currency=USD","Period=FQ","BEST_FPERIOD_OVERRIDE=FQ","FILING_STATUS=MR","Sort=A","Dates=H","DateFormat=P","Fill=—","Direction=H","UseDPDF=Y")</f>
        <v>—</v>
      </c>
      <c r="E141" s="14" t="str">
        <f>_xll.BDH("NBIX US Equity","ARDR_RSTR_STK_UNIT_WAVG_FV_PS","FQ2 2019","FQ2 2019","Currency=USD","Period=FQ","BEST_FPERIOD_OVERRIDE=FQ","FILING_STATUS=MR","Sort=A","Dates=H","DateFormat=P","Fill=—","Direction=H","UseDPDF=Y")</f>
        <v>—</v>
      </c>
      <c r="F141" s="14" t="str">
        <f>_xll.BDH("NBIX US Equity","ARDR_RSTR_STK_UNIT_WAVG_FV_PS","FQ3 2019","FQ3 2019","Currency=USD","Period=FQ","BEST_FPERIOD_OVERRIDE=FQ","FILING_STATUS=MR","Sort=A","Dates=H","DateFormat=P","Fill=—","Direction=H","UseDPDF=Y")</f>
        <v>—</v>
      </c>
      <c r="G141" s="14">
        <f>_xll.BDH("NBIX US Equity","ARDR_RSTR_STK_UNIT_WAVG_FV_PS","FQ4 2019","FQ4 2019","Currency=USD","Period=FQ","BEST_FPERIOD_OVERRIDE=FQ","FILING_STATUS=MR","Sort=A","Dates=H","DateFormat=P","Fill=—","Direction=H","UseDPDF=Y")</f>
        <v>74.77</v>
      </c>
      <c r="H141" s="14" t="str">
        <f>_xll.BDH("NBIX US Equity","ARDR_RSTR_STK_UNIT_WAVG_FV_PS","FQ1 2020","FQ1 2020","Currency=USD","Period=FQ","BEST_FPERIOD_OVERRIDE=FQ","FILING_STATUS=MR","Sort=A","Dates=H","DateFormat=P","Fill=—","Direction=H","UseDPDF=Y")</f>
        <v>—</v>
      </c>
      <c r="I141" s="14" t="str">
        <f>_xll.BDH("NBIX US Equity","ARDR_RSTR_STK_UNIT_WAVG_FV_PS","FQ2 2020","FQ2 2020","Currency=USD","Period=FQ","BEST_FPERIOD_OVERRIDE=FQ","FILING_STATUS=MR","Sort=A","Dates=H","DateFormat=P","Fill=—","Direction=H","UseDPDF=Y")</f>
        <v>—</v>
      </c>
      <c r="J141" s="14" t="str">
        <f>_xll.BDH("NBIX US Equity","ARDR_RSTR_STK_UNIT_WAVG_FV_PS","FQ3 2020","FQ3 2020","Currency=USD","Period=FQ","BEST_FPERIOD_OVERRIDE=FQ","FILING_STATUS=MR","Sort=A","Dates=H","DateFormat=P","Fill=—","Direction=H","UseDPDF=Y")</f>
        <v>—</v>
      </c>
      <c r="K141" s="14">
        <f>_xll.BDH("NBIX US Equity","ARDR_RSTR_STK_UNIT_WAVG_FV_PS","FQ4 2020","FQ4 2020","Currency=USD","Period=FQ","BEST_FPERIOD_OVERRIDE=FQ","FILING_STATUS=MR","Sort=A","Dates=H","DateFormat=P","Fill=—","Direction=H","UseDPDF=Y")</f>
        <v>89.6</v>
      </c>
      <c r="L141" s="14" t="str">
        <f>_xll.BDH("NBIX US Equity","ARDR_RSTR_STK_UNIT_WAVG_FV_PS","FQ1 2021","FQ1 2021","Currency=USD","Period=FQ","BEST_FPERIOD_OVERRIDE=FQ","FILING_STATUS=MR","Sort=A","Dates=H","DateFormat=P","Fill=—","Direction=H","UseDPDF=Y")</f>
        <v>—</v>
      </c>
      <c r="M141" s="14" t="str">
        <f>_xll.BDH("NBIX US Equity","ARDR_RSTR_STK_UNIT_WAVG_FV_PS","FQ2 2021","FQ2 2021","Currency=USD","Period=FQ","BEST_FPERIOD_OVERRIDE=FQ","FILING_STATUS=MR","Sort=A","Dates=H","DateFormat=P","Fill=—","Direction=H","UseDPDF=Y")</f>
        <v>—</v>
      </c>
      <c r="N141" s="14" t="str">
        <f>_xll.BDH("NBIX US Equity","ARDR_RSTR_STK_UNIT_WAVG_FV_PS","FQ3 2021","FQ3 2021","Currency=USD","Period=FQ","BEST_FPERIOD_OVERRIDE=FQ","FILING_STATUS=MR","Sort=A","Dates=H","DateFormat=P","Fill=—","Direction=H","UseDPDF=Y")</f>
        <v>—</v>
      </c>
      <c r="O141" s="14">
        <f>_xll.BDH("NBIX US Equity","ARDR_RSTR_STK_UNIT_WAVG_FV_PS","FQ4 2021","FQ4 2021","Currency=USD","Period=FQ","BEST_FPERIOD_OVERRIDE=FQ","FILING_STATUS=MR","Sort=A","Dates=H","DateFormat=P","Fill=—","Direction=H","UseDPDF=Y")</f>
        <v>99.96</v>
      </c>
      <c r="P141" s="14" t="str">
        <f>_xll.BDH("NBIX US Equity","ARDR_RSTR_STK_UNIT_WAVG_FV_PS","FQ1 2022","FQ1 2022","Currency=USD","Period=FQ","BEST_FPERIOD_OVERRIDE=FQ","FILING_STATUS=MR","Sort=A","Dates=H","DateFormat=P","Fill=—","Direction=H","UseDPDF=Y")</f>
        <v>—</v>
      </c>
      <c r="Q141" s="14" t="str">
        <f>_xll.BDH("NBIX US Equity","ARDR_RSTR_STK_UNIT_WAVG_FV_PS","FQ2 2022","FQ2 2022","Currency=USD","Period=FQ","BEST_FPERIOD_OVERRIDE=FQ","FILING_STATUS=MR","Sort=A","Dates=H","DateFormat=P","Fill=—","Direction=H","UseDPDF=Y")</f>
        <v>—</v>
      </c>
      <c r="R141" s="14" t="str">
        <f>_xll.BDH("NBIX US Equity","ARDR_RSTR_STK_UNIT_WAVG_FV_PS","FQ3 2022","FQ3 2022","Currency=USD","Period=FQ","BEST_FPERIOD_OVERRIDE=FQ","FILING_STATUS=MR","Sort=A","Dates=H","DateFormat=P","Fill=—","Direction=H","UseDPDF=Y")</f>
        <v>—</v>
      </c>
      <c r="S141" s="14" t="str">
        <f>_xll.BDH("NBIX US Equity","ARDR_RSTR_STK_UNIT_WAVG_FV_PS","FQ4 2022","FQ4 2022","Currency=USD","Period=FQ","BEST_FPERIOD_OVERRIDE=FQ","FILING_STATUS=MR","Sort=A","Dates=H","DateFormat=P","Fill=—","Direction=H","UseDPDF=Y")</f>
        <v>—</v>
      </c>
      <c r="T141" s="14" t="str">
        <f>_xll.BDH("NBIX US Equity","ARDR_RSTR_STK_UNIT_WAVG_FV_PS","FQ1 2023","FQ1 2023","Currency=USD","Period=FQ","BEST_FPERIOD_OVERRIDE=FQ","FILING_STATUS=MR","Sort=A","Dates=H","DateFormat=P","Fill=—","Direction=H","UseDPDF=Y")</f>
        <v>—</v>
      </c>
      <c r="U141" s="14" t="str">
        <f>_xll.BDH("NBIX US Equity","ARDR_RSTR_STK_UNIT_WAVG_FV_PS","FQ2 2023","FQ2 2023","Currency=USD","Period=FQ","BEST_FPERIOD_OVERRIDE=FQ","FILING_STATUS=MR","Sort=A","Dates=H","DateFormat=P","Fill=—","Direction=H","UseDPDF=Y")</f>
        <v>—</v>
      </c>
      <c r="V141" s="14" t="str">
        <f>_xll.BDH("NBIX US Equity","ARDR_RSTR_STK_UNIT_WAVG_FV_PS","FQ3 2023","FQ3 2023","Currency=USD","Period=FQ","BEST_FPERIOD_OVERRIDE=FQ","FILING_STATUS=MR","Sort=A","Dates=H","DateFormat=P","Fill=—","Direction=H","UseDPDF=Y")</f>
        <v>—</v>
      </c>
      <c r="W141" s="14">
        <f>_xll.BDH("NBIX US Equity","ARDR_RSTR_STK_UNIT_WAVG_FV_PS","FQ4 2023","FQ4 2023","Currency=USD","Period=FQ","BEST_FPERIOD_OVERRIDE=FQ","FILING_STATUS=MR","Sort=A","Dates=H","DateFormat=P","Fill=—","Direction=H","UseDPDF=Y")</f>
        <v>97.32</v>
      </c>
      <c r="X141" s="14" t="str">
        <f>_xll.BDH("NBIX US Equity","ARDR_RSTR_STK_UNIT_WAVG_FV_PS","FQ1 2024","FQ1 2024","Currency=USD","Period=FQ","BEST_FPERIOD_OVERRIDE=FQ","FILING_STATUS=MR","Sort=A","Dates=H","DateFormat=P","Fill=—","Direction=H","UseDPDF=Y")</f>
        <v>—</v>
      </c>
      <c r="Y141" s="14" t="str">
        <f>_xll.BDH("NBIX US Equity","ARDR_RSTR_STK_UNIT_WAVG_FV_PS","FQ2 2024","FQ2 2024","Currency=USD","Period=FQ","BEST_FPERIOD_OVERRIDE=FQ","FILING_STATUS=MR","Sort=A","Dates=H","DateFormat=P","Fill=—","Direction=H","UseDPDF=Y")</f>
        <v>—</v>
      </c>
      <c r="Z141" s="14" t="str">
        <f>_xll.BDH("NBIX US Equity","ARDR_RSTR_STK_UNIT_WAVG_FV_PS","FQ3 2024","FQ3 2024","Currency=USD","Period=FQ","BEST_FPERIOD_OVERRIDE=FQ","FILING_STATUS=MR","Sort=A","Dates=H","DateFormat=P","Fill=—","Direction=H","UseDPDF=Y")</f>
        <v>—</v>
      </c>
      <c r="AA141" s="14">
        <f>_xll.BDH("NBIX US Equity","ARDR_RSTR_STK_UNIT_WAVG_FV_PS","FQ4 2024","FQ4 2024","Currency=USD","Period=FQ","BEST_FPERIOD_OVERRIDE=FQ","FILING_STATUS=MR","Sort=A","Dates=H","DateFormat=P","Fill=—","Direction=H","UseDPDF=Y")</f>
        <v>111.9</v>
      </c>
    </row>
    <row r="142" spans="1:27" x14ac:dyDescent="0.25">
      <c r="A142" s="10" t="s">
        <v>1056</v>
      </c>
      <c r="B142" s="10" t="s">
        <v>1057</v>
      </c>
      <c r="C142" s="14">
        <f>_xll.BDH("NBIX US Equity","ARDR_FULL_TIME_EMPLOYEES","FQ4 2018","FQ4 2018","Currency=USD","Period=FQ","BEST_FPERIOD_OVERRIDE=FQ","FILING_STATUS=MR","Sort=A","Dates=H","DateFormat=P","Fill=—","Direction=H","UseDPDF=Y")</f>
        <v>585</v>
      </c>
      <c r="D142" s="14" t="str">
        <f>_xll.BDH("NBIX US Equity","ARDR_FULL_TIME_EMPLOYEES","FQ1 2019","FQ1 2019","Currency=USD","Period=FQ","BEST_FPERIOD_OVERRIDE=FQ","FILING_STATUS=MR","Sort=A","Dates=H","DateFormat=P","Fill=—","Direction=H","UseDPDF=Y")</f>
        <v>—</v>
      </c>
      <c r="E142" s="14" t="str">
        <f>_xll.BDH("NBIX US Equity","ARDR_FULL_TIME_EMPLOYEES","FQ2 2019","FQ2 2019","Currency=USD","Period=FQ","BEST_FPERIOD_OVERRIDE=FQ","FILING_STATUS=MR","Sort=A","Dates=H","DateFormat=P","Fill=—","Direction=H","UseDPDF=Y")</f>
        <v>—</v>
      </c>
      <c r="F142" s="14" t="str">
        <f>_xll.BDH("NBIX US Equity","ARDR_FULL_TIME_EMPLOYEES","FQ3 2019","FQ3 2019","Currency=USD","Period=FQ","BEST_FPERIOD_OVERRIDE=FQ","FILING_STATUS=MR","Sort=A","Dates=H","DateFormat=P","Fill=—","Direction=H","UseDPDF=Y")</f>
        <v>—</v>
      </c>
      <c r="G142" s="14">
        <f>_xll.BDH("NBIX US Equity","ARDR_FULL_TIME_EMPLOYEES","FQ4 2019","FQ4 2019","Currency=USD","Period=FQ","BEST_FPERIOD_OVERRIDE=FQ","FILING_STATUS=MR","Sort=A","Dates=H","DateFormat=P","Fill=—","Direction=H","UseDPDF=Y")</f>
        <v>700</v>
      </c>
      <c r="H142" s="14" t="str">
        <f>_xll.BDH("NBIX US Equity","ARDR_FULL_TIME_EMPLOYEES","FQ1 2020","FQ1 2020","Currency=USD","Period=FQ","BEST_FPERIOD_OVERRIDE=FQ","FILING_STATUS=MR","Sort=A","Dates=H","DateFormat=P","Fill=—","Direction=H","UseDPDF=Y")</f>
        <v>—</v>
      </c>
      <c r="I142" s="14" t="str">
        <f>_xll.BDH("NBIX US Equity","ARDR_FULL_TIME_EMPLOYEES","FQ2 2020","FQ2 2020","Currency=USD","Period=FQ","BEST_FPERIOD_OVERRIDE=FQ","FILING_STATUS=MR","Sort=A","Dates=H","DateFormat=P","Fill=—","Direction=H","UseDPDF=Y")</f>
        <v>—</v>
      </c>
      <c r="J142" s="14" t="str">
        <f>_xll.BDH("NBIX US Equity","ARDR_FULL_TIME_EMPLOYEES","FQ3 2020","FQ3 2020","Currency=USD","Period=FQ","BEST_FPERIOD_OVERRIDE=FQ","FILING_STATUS=MR","Sort=A","Dates=H","DateFormat=P","Fill=—","Direction=H","UseDPDF=Y")</f>
        <v>—</v>
      </c>
      <c r="K142" s="14">
        <f>_xll.BDH("NBIX US Equity","ARDR_FULL_TIME_EMPLOYEES","FQ4 2020","FQ4 2020","Currency=USD","Period=FQ","BEST_FPERIOD_OVERRIDE=FQ","FILING_STATUS=MR","Sort=A","Dates=H","DateFormat=P","Fill=—","Direction=H","UseDPDF=Y")</f>
        <v>845</v>
      </c>
      <c r="L142" s="14" t="str">
        <f>_xll.BDH("NBIX US Equity","ARDR_FULL_TIME_EMPLOYEES","FQ1 2021","FQ1 2021","Currency=USD","Period=FQ","BEST_FPERIOD_OVERRIDE=FQ","FILING_STATUS=MR","Sort=A","Dates=H","DateFormat=P","Fill=—","Direction=H","UseDPDF=Y")</f>
        <v>—</v>
      </c>
      <c r="M142" s="14" t="str">
        <f>_xll.BDH("NBIX US Equity","ARDR_FULL_TIME_EMPLOYEES","FQ2 2021","FQ2 2021","Currency=USD","Period=FQ","BEST_FPERIOD_OVERRIDE=FQ","FILING_STATUS=MR","Sort=A","Dates=H","DateFormat=P","Fill=—","Direction=H","UseDPDF=Y")</f>
        <v>—</v>
      </c>
      <c r="N142" s="14" t="str">
        <f>_xll.BDH("NBIX US Equity","ARDR_FULL_TIME_EMPLOYEES","FQ3 2021","FQ3 2021","Currency=USD","Period=FQ","BEST_FPERIOD_OVERRIDE=FQ","FILING_STATUS=MR","Sort=A","Dates=H","DateFormat=P","Fill=—","Direction=H","UseDPDF=Y")</f>
        <v>—</v>
      </c>
      <c r="O142" s="14">
        <f>_xll.BDH("NBIX US Equity","ARDR_FULL_TIME_EMPLOYEES","FQ4 2021","FQ4 2021","Currency=USD","Period=FQ","BEST_FPERIOD_OVERRIDE=FQ","FILING_STATUS=MR","Sort=A","Dates=H","DateFormat=P","Fill=—","Direction=H","UseDPDF=Y")</f>
        <v>900</v>
      </c>
      <c r="P142" s="14" t="str">
        <f>_xll.BDH("NBIX US Equity","ARDR_FULL_TIME_EMPLOYEES","FQ1 2022","FQ1 2022","Currency=USD","Period=FQ","BEST_FPERIOD_OVERRIDE=FQ","FILING_STATUS=MR","Sort=A","Dates=H","DateFormat=P","Fill=—","Direction=H","UseDPDF=Y")</f>
        <v>—</v>
      </c>
      <c r="Q142" s="14" t="str">
        <f>_xll.BDH("NBIX US Equity","ARDR_FULL_TIME_EMPLOYEES","FQ2 2022","FQ2 2022","Currency=USD","Period=FQ","BEST_FPERIOD_OVERRIDE=FQ","FILING_STATUS=MR","Sort=A","Dates=H","DateFormat=P","Fill=—","Direction=H","UseDPDF=Y")</f>
        <v>—</v>
      </c>
      <c r="R142" s="14" t="str">
        <f>_xll.BDH("NBIX US Equity","ARDR_FULL_TIME_EMPLOYEES","FQ3 2022","FQ3 2022","Currency=USD","Period=FQ","BEST_FPERIOD_OVERRIDE=FQ","FILING_STATUS=MR","Sort=A","Dates=H","DateFormat=P","Fill=—","Direction=H","UseDPDF=Y")</f>
        <v>—</v>
      </c>
      <c r="S142" s="14">
        <f>_xll.BDH("NBIX US Equity","ARDR_FULL_TIME_EMPLOYEES","FQ4 2022","FQ4 2022","Currency=USD","Period=FQ","BEST_FPERIOD_OVERRIDE=FQ","FILING_STATUS=MR","Sort=A","Dates=H","DateFormat=P","Fill=—","Direction=H","UseDPDF=Y")</f>
        <v>1200</v>
      </c>
      <c r="T142" s="14" t="str">
        <f>_xll.BDH("NBIX US Equity","ARDR_FULL_TIME_EMPLOYEES","FQ1 2023","FQ1 2023","Currency=USD","Period=FQ","BEST_FPERIOD_OVERRIDE=FQ","FILING_STATUS=MR","Sort=A","Dates=H","DateFormat=P","Fill=—","Direction=H","UseDPDF=Y")</f>
        <v>—</v>
      </c>
      <c r="U142" s="14" t="str">
        <f>_xll.BDH("NBIX US Equity","ARDR_FULL_TIME_EMPLOYEES","FQ2 2023","FQ2 2023","Currency=USD","Period=FQ","BEST_FPERIOD_OVERRIDE=FQ","FILING_STATUS=MR","Sort=A","Dates=H","DateFormat=P","Fill=—","Direction=H","UseDPDF=Y")</f>
        <v>—</v>
      </c>
      <c r="V142" s="14" t="str">
        <f>_xll.BDH("NBIX US Equity","ARDR_FULL_TIME_EMPLOYEES","FQ3 2023","FQ3 2023","Currency=USD","Period=FQ","BEST_FPERIOD_OVERRIDE=FQ","FILING_STATUS=MR","Sort=A","Dates=H","DateFormat=P","Fill=—","Direction=H","UseDPDF=Y")</f>
        <v>—</v>
      </c>
      <c r="W142" s="14">
        <f>_xll.BDH("NBIX US Equity","ARDR_FULL_TIME_EMPLOYEES","FQ4 2023","FQ4 2023","Currency=USD","Period=FQ","BEST_FPERIOD_OVERRIDE=FQ","FILING_STATUS=MR","Sort=A","Dates=H","DateFormat=P","Fill=—","Direction=H","UseDPDF=Y")</f>
        <v>1400</v>
      </c>
      <c r="X142" s="14" t="str">
        <f>_xll.BDH("NBIX US Equity","ARDR_FULL_TIME_EMPLOYEES","FQ1 2024","FQ1 2024","Currency=USD","Period=FQ","BEST_FPERIOD_OVERRIDE=FQ","FILING_STATUS=MR","Sort=A","Dates=H","DateFormat=P","Fill=—","Direction=H","UseDPDF=Y")</f>
        <v>—</v>
      </c>
      <c r="Y142" s="14" t="str">
        <f>_xll.BDH("NBIX US Equity","ARDR_FULL_TIME_EMPLOYEES","FQ2 2024","FQ2 2024","Currency=USD","Period=FQ","BEST_FPERIOD_OVERRIDE=FQ","FILING_STATUS=MR","Sort=A","Dates=H","DateFormat=P","Fill=—","Direction=H","UseDPDF=Y")</f>
        <v>—</v>
      </c>
      <c r="Z142" s="14" t="str">
        <f>_xll.BDH("NBIX US Equity","ARDR_FULL_TIME_EMPLOYEES","FQ3 2024","FQ3 2024","Currency=USD","Period=FQ","BEST_FPERIOD_OVERRIDE=FQ","FILING_STATUS=MR","Sort=A","Dates=H","DateFormat=P","Fill=—","Direction=H","UseDPDF=Y")</f>
        <v>—</v>
      </c>
      <c r="AA142" s="14">
        <f>_xll.BDH("NBIX US Equity","ARDR_FULL_TIME_EMPLOYEES","FQ4 2024","FQ4 2024","Currency=USD","Period=FQ","BEST_FPERIOD_OVERRIDE=FQ","FILING_STATUS=MR","Sort=A","Dates=H","DateFormat=P","Fill=—","Direction=H","UseDPDF=Y")</f>
        <v>1800</v>
      </c>
    </row>
    <row r="143" spans="1:27" x14ac:dyDescent="0.25">
      <c r="A143" s="7" t="s">
        <v>90</v>
      </c>
      <c r="B143" s="7"/>
      <c r="C143" s="7" t="s">
        <v>5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1058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112</v>
      </c>
      <c r="B6" s="6" t="s">
        <v>113</v>
      </c>
      <c r="C6" s="19">
        <f>_xll.BDH("NBIX US Equity","BS_TOT_ASSET","FQ4 2018","FQ4 2018","Currency=USD","Period=FQ","BEST_FPERIOD_OVERRIDE=FQ","FILING_STATUS=MR","SCALING_FORMAT=MLN","Sort=A","Dates=H","DateFormat=P","Fill=—","Direction=H","UseDPDF=Y")</f>
        <v>993.15099999999995</v>
      </c>
      <c r="D6" s="19">
        <f>_xll.BDH("NBIX US Equity","BS_TOT_ASSET","FQ1 2019","FQ1 2019","Currency=USD","Period=FQ","BEST_FPERIOD_OVERRIDE=FQ","FILING_STATUS=MR","SCALING_FORMAT=MLN","Sort=A","Dates=H","DateFormat=P","Fill=—","Direction=H","UseDPDF=Y")</f>
        <v>957.72299999999996</v>
      </c>
      <c r="E6" s="19">
        <f>_xll.BDH("NBIX US Equity","BS_TOT_ASSET","FQ2 2019","FQ2 2019","Currency=USD","Period=FQ","BEST_FPERIOD_OVERRIDE=FQ","FILING_STATUS=MR","SCALING_FORMAT=MLN","Sort=A","Dates=H","DateFormat=P","Fill=—","Direction=H","UseDPDF=Y")</f>
        <v>1066.8610000000001</v>
      </c>
      <c r="F6" s="19">
        <f>_xll.BDH("NBIX US Equity","BS_TOT_ASSET","FQ3 2019","FQ3 2019","Currency=USD","Period=FQ","BEST_FPERIOD_OVERRIDE=FQ","FILING_STATUS=MR","SCALING_FORMAT=MLN","Sort=A","Dates=H","DateFormat=P","Fill=—","Direction=H","UseDPDF=Y")</f>
        <v>1179.9349999999999</v>
      </c>
      <c r="G6" s="19">
        <f>_xll.BDH("NBIX US Equity","BS_TOT_ASSET","FQ4 2019","FQ4 2019","Currency=USD","Period=FQ","BEST_FPERIOD_OVERRIDE=FQ","FILING_STATUS=MR","SCALING_FORMAT=MLN","Sort=A","Dates=H","DateFormat=P","Fill=—","Direction=H","UseDPDF=Y")</f>
        <v>1306</v>
      </c>
      <c r="H6" s="19">
        <f>_xll.BDH("NBIX US Equity","BS_TOT_ASSET","FQ1 2020","FQ1 2020","Currency=USD","Period=FQ","BEST_FPERIOD_OVERRIDE=FQ","FILING_STATUS=MR","SCALING_FORMAT=MLN","Sort=A","Dates=H","DateFormat=P","Fill=—","Direction=H","UseDPDF=Y")</f>
        <v>1361.9</v>
      </c>
      <c r="I6" s="19">
        <f>_xll.BDH("NBIX US Equity","BS_TOT_ASSET","FQ2 2020","FQ2 2020","Currency=USD","Period=FQ","BEST_FPERIOD_OVERRIDE=FQ","FILING_STATUS=MR","SCALING_FORMAT=MLN","Sort=A","Dates=H","DateFormat=P","Fill=—","Direction=H","UseDPDF=Y")</f>
        <v>1515.6</v>
      </c>
      <c r="J6" s="19">
        <f>_xll.BDH("NBIX US Equity","BS_TOT_ASSET","FQ3 2020","FQ3 2020","Currency=USD","Period=FQ","BEST_FPERIOD_OVERRIDE=FQ","FILING_STATUS=MR","SCALING_FORMAT=MLN","Sort=A","Dates=H","DateFormat=P","Fill=—","Direction=H","UseDPDF=Y")</f>
        <v>1502.6</v>
      </c>
      <c r="K6" s="19">
        <f>_xll.BDH("NBIX US Equity","BS_TOT_ASSET","FQ4 2020","FQ4 2020","Currency=USD","Period=FQ","BEST_FPERIOD_OVERRIDE=FQ","FILING_STATUS=MR","SCALING_FORMAT=MLN","Sort=A","Dates=H","DateFormat=P","Fill=—","Direction=H","UseDPDF=Y")</f>
        <v>1734.7</v>
      </c>
      <c r="L6" s="19">
        <f>_xll.BDH("NBIX US Equity","BS_TOT_ASSET","FQ1 2021","FQ1 2021","Currency=USD","Period=FQ","BEST_FPERIOD_OVERRIDE=FQ","FILING_STATUS=MR","SCALING_FORMAT=MLN","Sort=A","Dates=H","DateFormat=P","Fill=—","Direction=H","UseDPDF=Y")</f>
        <v>1846.4</v>
      </c>
      <c r="M6" s="19">
        <f>_xll.BDH("NBIX US Equity","BS_TOT_ASSET","FQ2 2021","FQ2 2021","Currency=USD","Period=FQ","BEST_FPERIOD_OVERRIDE=FQ","FILING_STATUS=MR","SCALING_FORMAT=MLN","Sort=A","Dates=H","DateFormat=P","Fill=—","Direction=H","UseDPDF=Y")</f>
        <v>1956.4</v>
      </c>
      <c r="N6" s="19">
        <f>_xll.BDH("NBIX US Equity","BS_TOT_ASSET","FQ3 2021","FQ3 2021","Currency=USD","Period=FQ","BEST_FPERIOD_OVERRIDE=FQ","FILING_STATUS=MR","SCALING_FORMAT=MLN","Sort=A","Dates=H","DateFormat=P","Fill=—","Direction=H","UseDPDF=Y")</f>
        <v>2017.3</v>
      </c>
      <c r="O6" s="19">
        <f>_xll.BDH("NBIX US Equity","BS_TOT_ASSET","FQ4 2021","FQ4 2021","Currency=USD","Period=FQ","BEST_FPERIOD_OVERRIDE=FQ","FILING_STATUS=MR","SCALING_FORMAT=MLN","Sort=A","Dates=H","DateFormat=P","Fill=—","Direction=H","UseDPDF=Y")</f>
        <v>2072.5</v>
      </c>
      <c r="P6" s="19">
        <f>_xll.BDH("NBIX US Equity","BS_TOT_ASSET","FQ1 2022","FQ1 2022","Currency=USD","Period=FQ","BEST_FPERIOD_OVERRIDE=FQ","FILING_STATUS=MR","SCALING_FORMAT=MLN","Sort=A","Dates=H","DateFormat=P","Fill=—","Direction=H","UseDPDF=Y")</f>
        <v>2144.5</v>
      </c>
      <c r="Q6" s="19">
        <f>_xll.BDH("NBIX US Equity","BS_TOT_ASSET","FQ2 2022","FQ2 2022","Currency=USD","Period=FQ","BEST_FPERIOD_OVERRIDE=FQ","FILING_STATUS=MR","SCALING_FORMAT=MLN","Sort=A","Dates=H","DateFormat=P","Fill=—","Direction=H","UseDPDF=Y")</f>
        <v>2005.7</v>
      </c>
      <c r="R6" s="19">
        <f>_xll.BDH("NBIX US Equity","BS_TOT_ASSET","FQ3 2022","FQ3 2022","Currency=USD","Period=FQ","BEST_FPERIOD_OVERRIDE=FQ","FILING_STATUS=MR","SCALING_FORMAT=MLN","Sort=A","Dates=H","DateFormat=P","Fill=—","Direction=H","UseDPDF=Y")</f>
        <v>2143.4</v>
      </c>
      <c r="S6" s="19">
        <f>_xll.BDH("NBIX US Equity","BS_TOT_ASSET","FQ4 2022","FQ4 2022","Currency=USD","Period=FQ","BEST_FPERIOD_OVERRIDE=FQ","FILING_STATUS=MR","SCALING_FORMAT=MLN","Sort=A","Dates=H","DateFormat=P","Fill=—","Direction=H","UseDPDF=Y")</f>
        <v>2368.6999999999998</v>
      </c>
      <c r="T6" s="19">
        <f>_xll.BDH("NBIX US Equity","BS_TOT_ASSET","FQ1 2023","FQ1 2023","Currency=USD","Period=FQ","BEST_FPERIOD_OVERRIDE=FQ","FILING_STATUS=MR","SCALING_FORMAT=MLN","Sort=A","Dates=H","DateFormat=P","Fill=—","Direction=H","UseDPDF=Y")</f>
        <v>2359.8000000000002</v>
      </c>
      <c r="U6" s="19">
        <f>_xll.BDH("NBIX US Equity","BS_TOT_ASSET","FQ2 2023","FQ2 2023","Currency=USD","Period=FQ","BEST_FPERIOD_OVERRIDE=FQ","FILING_STATUS=MR","SCALING_FORMAT=MLN","Sort=A","Dates=H","DateFormat=P","Fill=—","Direction=H","UseDPDF=Y")</f>
        <v>2613.1</v>
      </c>
      <c r="V6" s="19">
        <f>_xll.BDH("NBIX US Equity","BS_TOT_ASSET","FQ3 2023","FQ3 2023","Currency=USD","Period=FQ","BEST_FPERIOD_OVERRIDE=FQ","FILING_STATUS=MR","SCALING_FORMAT=MLN","Sort=A","Dates=H","DateFormat=P","Fill=—","Direction=H","UseDPDF=Y")</f>
        <v>2848.2</v>
      </c>
      <c r="W6" s="19">
        <f>_xll.BDH("NBIX US Equity","BS_TOT_ASSET","FQ4 2023","FQ4 2023","Currency=USD","Period=FQ","BEST_FPERIOD_OVERRIDE=FQ","FILING_STATUS=MR","SCALING_FORMAT=MLN","Sort=A","Dates=H","DateFormat=P","Fill=—","Direction=H","UseDPDF=Y")</f>
        <v>3251.4</v>
      </c>
      <c r="X6" s="19">
        <f>_xll.BDH("NBIX US Equity","BS_TOT_ASSET","FQ1 2024","FQ1 2024","Currency=USD","Period=FQ","BEST_FPERIOD_OVERRIDE=FQ","FILING_STATUS=MR","SCALING_FORMAT=MLN","Sort=A","Dates=H","DateFormat=P","Fill=—","Direction=H","UseDPDF=Y")</f>
        <v>3472.4</v>
      </c>
      <c r="Y6" s="19">
        <f>_xll.BDH("NBIX US Equity","BS_TOT_ASSET","FQ2 2024","FQ2 2024","Currency=USD","Period=FQ","BEST_FPERIOD_OVERRIDE=FQ","FILING_STATUS=MR","SCALING_FORMAT=MLN","Sort=A","Dates=H","DateFormat=P","Fill=—","Direction=H","UseDPDF=Y")</f>
        <v>3305</v>
      </c>
      <c r="Z6" s="19">
        <f>_xll.BDH("NBIX US Equity","BS_TOT_ASSET","FQ3 2024","FQ3 2024","Currency=USD","Period=FQ","BEST_FPERIOD_OVERRIDE=FQ","FILING_STATUS=MR","SCALING_FORMAT=MLN","Sort=A","Dates=H","DateFormat=P","Fill=—","Direction=H","UseDPDF=Y")</f>
        <v>3535</v>
      </c>
      <c r="AA6" s="19">
        <f>_xll.BDH("NBIX US Equity","BS_TOT_ASSET","FQ4 2024","FQ4 2024","Currency=USD","Period=FQ","BEST_FPERIOD_OVERRIDE=FQ","FILING_STATUS=MR","SCALING_FORMAT=MLN","Sort=A","Dates=H","DateFormat=P","Fill=—","Direction=H","UseDPDF=Y")</f>
        <v>3718.7</v>
      </c>
    </row>
    <row r="7" spans="1:27" x14ac:dyDescent="0.25">
      <c r="A7" s="6" t="s">
        <v>112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10" t="s">
        <v>666</v>
      </c>
      <c r="B8" s="10" t="s">
        <v>667</v>
      </c>
      <c r="C8" s="13">
        <v>65.540184725182797</v>
      </c>
      <c r="D8" s="13">
        <v>54.720206155642103</v>
      </c>
      <c r="E8" s="13">
        <v>58.112350156205899</v>
      </c>
      <c r="F8" s="13">
        <v>56.7965184522876</v>
      </c>
      <c r="G8" s="13">
        <v>51.3399693721286</v>
      </c>
      <c r="H8" s="13">
        <v>56.663484837359597</v>
      </c>
      <c r="I8" s="13">
        <v>62.569279493270002</v>
      </c>
      <c r="J8" s="13">
        <v>62.871023559164101</v>
      </c>
      <c r="K8" s="13">
        <v>46.175131146596001</v>
      </c>
      <c r="L8" s="13">
        <v>47.319107452339701</v>
      </c>
      <c r="M8" s="13">
        <v>45.231036597832798</v>
      </c>
      <c r="N8" s="13">
        <v>37.966589005105803</v>
      </c>
      <c r="O8" s="13">
        <v>34.320868516284698</v>
      </c>
      <c r="P8" s="13">
        <v>31.004896246211199</v>
      </c>
      <c r="Q8" s="13">
        <v>32.322879792591102</v>
      </c>
      <c r="R8" s="13">
        <v>37.2958850424559</v>
      </c>
      <c r="S8" s="13">
        <v>41.765525393675901</v>
      </c>
      <c r="T8" s="13">
        <v>37.909992372234903</v>
      </c>
      <c r="U8" s="13">
        <v>37.377061727450197</v>
      </c>
      <c r="V8" s="13">
        <v>38.448844884488402</v>
      </c>
      <c r="W8" s="13">
        <v>31.7278710709233</v>
      </c>
      <c r="X8" s="13">
        <v>34.863494989056598</v>
      </c>
      <c r="Y8" s="13">
        <v>31.4341906202723</v>
      </c>
      <c r="Z8" s="13">
        <v>34.738330975954703</v>
      </c>
      <c r="AA8" s="13">
        <v>28.9375319332025</v>
      </c>
    </row>
    <row r="9" spans="1:27" x14ac:dyDescent="0.25">
      <c r="A9" s="10" t="s">
        <v>668</v>
      </c>
      <c r="B9" s="10" t="s">
        <v>669</v>
      </c>
      <c r="C9" s="13">
        <v>14.2691292663452</v>
      </c>
      <c r="D9" s="13">
        <v>7.5990657006253404</v>
      </c>
      <c r="E9" s="13">
        <v>13.214936153819499</v>
      </c>
      <c r="F9" s="13">
        <v>14.122557598511801</v>
      </c>
      <c r="G9" s="13">
        <v>8.5987748851454793</v>
      </c>
      <c r="H9" s="13">
        <v>13.7308172406197</v>
      </c>
      <c r="I9" s="13">
        <v>27.388493006070199</v>
      </c>
      <c r="J9" s="13">
        <v>28.304272594170101</v>
      </c>
      <c r="K9" s="13">
        <v>10.7857266386119</v>
      </c>
      <c r="L9" s="13">
        <v>19.096620450606601</v>
      </c>
      <c r="M9" s="13">
        <v>18.810059292578199</v>
      </c>
      <c r="N9" s="13">
        <v>15.421603132900399</v>
      </c>
      <c r="O9" s="13">
        <v>16.4439083232811</v>
      </c>
      <c r="P9" s="13">
        <v>12.599673583585901</v>
      </c>
      <c r="Q9" s="13">
        <v>8.1417958817370497</v>
      </c>
      <c r="R9" s="13">
        <v>9.9001586264812893</v>
      </c>
      <c r="S9" s="13">
        <v>11.0989150166758</v>
      </c>
      <c r="T9" s="13">
        <v>4.3986778540554301</v>
      </c>
      <c r="U9" s="13">
        <v>6.13064942022885</v>
      </c>
      <c r="V9" s="13">
        <v>10.311775858436899</v>
      </c>
      <c r="W9" s="13">
        <v>7.7228270898689804</v>
      </c>
      <c r="X9" s="13">
        <v>11.4128556617901</v>
      </c>
      <c r="Y9" s="13">
        <v>4.2269288956127102</v>
      </c>
      <c r="Z9" s="13">
        <v>9.8755304101838792</v>
      </c>
      <c r="AA9" s="13">
        <v>6.2656304622583203</v>
      </c>
    </row>
    <row r="10" spans="1:27" x14ac:dyDescent="0.25">
      <c r="A10" s="10" t="s">
        <v>670</v>
      </c>
      <c r="B10" s="10" t="s">
        <v>671</v>
      </c>
      <c r="C10" s="13">
        <v>51.271055458837601</v>
      </c>
      <c r="D10" s="13">
        <v>47.1211404550168</v>
      </c>
      <c r="E10" s="13">
        <v>44.897414002386398</v>
      </c>
      <c r="F10" s="13">
        <v>42.673960853775803</v>
      </c>
      <c r="G10" s="13">
        <v>42.741194486983197</v>
      </c>
      <c r="H10" s="13">
        <v>42.932667596739797</v>
      </c>
      <c r="I10" s="13">
        <v>35.180786487199804</v>
      </c>
      <c r="J10" s="13">
        <v>34.566750964994</v>
      </c>
      <c r="K10" s="13">
        <v>35.389404507984104</v>
      </c>
      <c r="L10" s="13">
        <v>28.2224870017331</v>
      </c>
      <c r="M10" s="13">
        <v>26.4209773052545</v>
      </c>
      <c r="N10" s="13">
        <v>22.544985872205402</v>
      </c>
      <c r="O10" s="13">
        <v>17.876960193003601</v>
      </c>
      <c r="P10" s="13">
        <v>18.405222662625299</v>
      </c>
      <c r="Q10" s="13">
        <v>24.181083910854099</v>
      </c>
      <c r="R10" s="13">
        <v>27.3957264159746</v>
      </c>
      <c r="S10" s="13">
        <v>30.666610377000001</v>
      </c>
      <c r="T10" s="13">
        <v>33.511314518179503</v>
      </c>
      <c r="U10" s="13">
        <v>31.246412307221298</v>
      </c>
      <c r="V10" s="13">
        <v>28.137069026051499</v>
      </c>
      <c r="W10" s="13">
        <v>24.0050439810543</v>
      </c>
      <c r="X10" s="13">
        <v>23.450639327266401</v>
      </c>
      <c r="Y10" s="13">
        <v>27.207261724659599</v>
      </c>
      <c r="Z10" s="13">
        <v>24.8628005657709</v>
      </c>
      <c r="AA10" s="13">
        <v>22.6719014709441</v>
      </c>
    </row>
    <row r="11" spans="1:27" x14ac:dyDescent="0.25">
      <c r="A11" s="10" t="s">
        <v>672</v>
      </c>
      <c r="B11" s="10" t="s">
        <v>673</v>
      </c>
      <c r="C11" s="13">
        <v>5.6627844104270197</v>
      </c>
      <c r="D11" s="13">
        <v>7.5140724405699801</v>
      </c>
      <c r="E11" s="13">
        <v>8.9380903416658803</v>
      </c>
      <c r="F11" s="13">
        <v>9.7732502214104997</v>
      </c>
      <c r="G11" s="13">
        <v>9.6937212863706002</v>
      </c>
      <c r="H11" s="13">
        <v>10.911226962332</v>
      </c>
      <c r="I11" s="13">
        <v>9.7915017154922204</v>
      </c>
      <c r="J11" s="13">
        <v>10.441900705443899</v>
      </c>
      <c r="K11" s="13">
        <v>9.0563209776906692</v>
      </c>
      <c r="L11" s="13">
        <v>8.0047660311958406</v>
      </c>
      <c r="M11" s="13">
        <v>8.1016152116131703</v>
      </c>
      <c r="N11" s="13">
        <v>8.1197640410449594</v>
      </c>
      <c r="O11" s="13">
        <v>8.9505428226779191</v>
      </c>
      <c r="P11" s="13">
        <v>12.287246444392601</v>
      </c>
      <c r="Q11" s="13">
        <v>13.9103554868624</v>
      </c>
      <c r="R11" s="13">
        <v>14.052440048520999</v>
      </c>
      <c r="S11" s="13">
        <v>14.776037488918</v>
      </c>
      <c r="T11" s="13">
        <v>16.5946266632766</v>
      </c>
      <c r="U11" s="13">
        <v>14.8329570242241</v>
      </c>
      <c r="V11" s="13">
        <v>14.6689136998806</v>
      </c>
      <c r="W11" s="13">
        <v>13.5111029095159</v>
      </c>
      <c r="X11" s="13">
        <v>12.979495449832999</v>
      </c>
      <c r="Y11" s="13">
        <v>14.1664145234493</v>
      </c>
      <c r="Z11" s="13">
        <v>13.6096181046676</v>
      </c>
      <c r="AA11" s="13">
        <v>12.883534568531999</v>
      </c>
    </row>
    <row r="12" spans="1:27" x14ac:dyDescent="0.25">
      <c r="A12" s="10" t="s">
        <v>674</v>
      </c>
      <c r="B12" s="10" t="s">
        <v>675</v>
      </c>
      <c r="C12" s="13">
        <v>5.6627844104270197</v>
      </c>
      <c r="D12" s="13">
        <v>7.5140724405699801</v>
      </c>
      <c r="E12" s="13">
        <v>8.9380903416658803</v>
      </c>
      <c r="F12" s="13">
        <v>9.7732502214104997</v>
      </c>
      <c r="G12" s="13">
        <v>9.6937212863706002</v>
      </c>
      <c r="H12" s="13">
        <v>10.911226962332</v>
      </c>
      <c r="I12" s="13">
        <v>9.7915017154922204</v>
      </c>
      <c r="J12" s="13">
        <v>10.441900705443899</v>
      </c>
      <c r="K12" s="13">
        <v>9.0563209776906692</v>
      </c>
      <c r="L12" s="13">
        <v>8.0047660311958406</v>
      </c>
      <c r="M12" s="13">
        <v>8.1016152116131703</v>
      </c>
      <c r="N12" s="13">
        <v>8.1197640410449594</v>
      </c>
      <c r="O12" s="13">
        <v>8.9505428226779191</v>
      </c>
      <c r="P12" s="13">
        <v>12.287246444392601</v>
      </c>
      <c r="Q12" s="13">
        <v>13.9103554868624</v>
      </c>
      <c r="R12" s="13">
        <v>14.052440048520999</v>
      </c>
      <c r="S12" s="13">
        <v>14.776037488918</v>
      </c>
      <c r="T12" s="13">
        <v>16.5946266632766</v>
      </c>
      <c r="U12" s="13">
        <v>14.8329570242241</v>
      </c>
      <c r="V12" s="13">
        <v>14.6689136998806</v>
      </c>
      <c r="W12" s="13">
        <v>13.5111029095159</v>
      </c>
      <c r="X12" s="13">
        <v>12.979495449832999</v>
      </c>
      <c r="Y12" s="13">
        <v>14.1664145234493</v>
      </c>
      <c r="Z12" s="13">
        <v>13.6096181046676</v>
      </c>
      <c r="AA12" s="13">
        <v>12.883534568531999</v>
      </c>
    </row>
    <row r="13" spans="1:27" x14ac:dyDescent="0.25">
      <c r="A13" s="10" t="s">
        <v>676</v>
      </c>
      <c r="B13" s="10" t="s">
        <v>677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</row>
    <row r="14" spans="1:27" x14ac:dyDescent="0.25">
      <c r="A14" s="10" t="s">
        <v>678</v>
      </c>
      <c r="B14" s="10" t="s">
        <v>679</v>
      </c>
      <c r="C14" s="13">
        <v>1.0938920667652801</v>
      </c>
      <c r="D14" s="13">
        <v>1.35843036034427</v>
      </c>
      <c r="E14" s="13">
        <v>1.1264822690116101</v>
      </c>
      <c r="F14" s="13">
        <v>0.91513515575010496</v>
      </c>
      <c r="G14" s="13">
        <v>1.3246554364471701</v>
      </c>
      <c r="H14" s="13">
        <v>1.5566487994713301</v>
      </c>
      <c r="I14" s="13">
        <v>1.45157033518079</v>
      </c>
      <c r="J14" s="13">
        <v>1.37095700785305</v>
      </c>
      <c r="K14" s="13">
        <v>1.61411195019312</v>
      </c>
      <c r="L14" s="13">
        <v>1.6301993067591001</v>
      </c>
      <c r="M14" s="13">
        <v>1.44653445103251</v>
      </c>
      <c r="N14" s="13">
        <v>1.2640658305656101</v>
      </c>
      <c r="O14" s="13">
        <v>1.47165259348613</v>
      </c>
      <c r="P14" s="13">
        <v>1.3522965726276499</v>
      </c>
      <c r="Q14" s="13">
        <v>1.46083661564541</v>
      </c>
      <c r="R14" s="13">
        <v>1.7262293552300101</v>
      </c>
      <c r="S14" s="13">
        <v>1.4818254738886301</v>
      </c>
      <c r="T14" s="13">
        <v>1.4153741842529</v>
      </c>
      <c r="U14" s="13">
        <v>1.2131185182350499</v>
      </c>
      <c r="V14" s="13">
        <v>1.0111649462818599</v>
      </c>
      <c r="W14" s="13">
        <v>1.1779541120748001</v>
      </c>
      <c r="X14" s="13">
        <v>1.0713051491763601</v>
      </c>
      <c r="Y14" s="13">
        <v>1.28593040847201</v>
      </c>
      <c r="Z14" s="13">
        <v>1.2956152758132999</v>
      </c>
      <c r="AA14" s="13">
        <v>1.54355016538037</v>
      </c>
    </row>
    <row r="15" spans="1:27" x14ac:dyDescent="0.25">
      <c r="A15" s="10" t="s">
        <v>680</v>
      </c>
      <c r="B15" s="10" t="s">
        <v>681</v>
      </c>
      <c r="C15" s="13">
        <v>0.79091699046771302</v>
      </c>
      <c r="D15" s="13">
        <v>0.80743597052592497</v>
      </c>
      <c r="E15" s="13">
        <v>0.625386062476742</v>
      </c>
      <c r="F15" s="13">
        <v>0.54757253577527598</v>
      </c>
      <c r="G15" s="13">
        <v>1.07963246554364</v>
      </c>
      <c r="H15" s="13">
        <v>1.3069975769146001</v>
      </c>
      <c r="I15" s="13">
        <v>1.0424914225389299</v>
      </c>
      <c r="J15" s="13">
        <v>0.98495940370025303</v>
      </c>
      <c r="K15" s="13">
        <v>0.95693779904306198</v>
      </c>
      <c r="L15" s="13">
        <v>0.80155979202772998</v>
      </c>
      <c r="M15" s="13">
        <v>0.72582294009405002</v>
      </c>
      <c r="N15" s="13">
        <v>0.64442571754325095</v>
      </c>
      <c r="O15" s="13">
        <v>0.54041013268998805</v>
      </c>
      <c r="P15" s="13">
        <v>0.42900442993704802</v>
      </c>
      <c r="Q15" s="13">
        <v>0.39886323976666499</v>
      </c>
      <c r="R15" s="13">
        <v>0.69982271157973297</v>
      </c>
      <c r="S15" s="13">
        <v>0.50660699962004496</v>
      </c>
      <c r="T15" s="13">
        <v>0.283922366302229</v>
      </c>
      <c r="U15" s="13">
        <v>0.39799471891623001</v>
      </c>
      <c r="V15" s="13">
        <v>0.319500035109894</v>
      </c>
      <c r="W15" s="13">
        <v>0.66125361382788905</v>
      </c>
      <c r="X15" s="13">
        <v>0.521253311830434</v>
      </c>
      <c r="Y15" s="13">
        <v>0.64447806354009096</v>
      </c>
      <c r="Z15" s="13">
        <v>0.67043847241867005</v>
      </c>
      <c r="AA15" s="13">
        <v>0.90623067200903495</v>
      </c>
    </row>
    <row r="16" spans="1:27" x14ac:dyDescent="0.25">
      <c r="A16" s="10" t="s">
        <v>682</v>
      </c>
      <c r="B16" s="10" t="s">
        <v>683</v>
      </c>
      <c r="C16" s="13">
        <v>0.22232268809073299</v>
      </c>
      <c r="D16" s="13">
        <v>0.46547905814102802</v>
      </c>
      <c r="E16" s="13">
        <v>0.32347231738717602</v>
      </c>
      <c r="F16" s="13">
        <v>0.19060371969642401</v>
      </c>
      <c r="G16" s="13">
        <v>0.114854517611026</v>
      </c>
      <c r="H16" s="13">
        <v>8.0769513180116007E-2</v>
      </c>
      <c r="I16" s="13">
        <v>0.118764845605701</v>
      </c>
      <c r="J16" s="13">
        <v>6.65513110608279E-2</v>
      </c>
      <c r="K16" s="13">
        <v>0.13835245287369599</v>
      </c>
      <c r="L16" s="13">
        <v>0.13539861351819801</v>
      </c>
      <c r="M16" s="13">
        <v>0.13289715804538901</v>
      </c>
      <c r="N16" s="13">
        <v>6.4442571754325106E-2</v>
      </c>
      <c r="O16" s="13">
        <v>0.173703256936068</v>
      </c>
      <c r="P16" s="13">
        <v>0.20517603170902299</v>
      </c>
      <c r="Q16" s="13">
        <v>0.169516876900833</v>
      </c>
      <c r="R16" s="13">
        <v>0.233274237193244</v>
      </c>
      <c r="S16" s="13">
        <v>0.23641659982268801</v>
      </c>
      <c r="T16" s="13">
        <v>0.368675311467073</v>
      </c>
      <c r="U16" s="13">
        <v>0.24109295472810099</v>
      </c>
      <c r="V16" s="13">
        <v>0.32652201390351798</v>
      </c>
      <c r="W16" s="13">
        <v>0.29833302577351301</v>
      </c>
      <c r="X16" s="13">
        <v>0.345582306185923</v>
      </c>
      <c r="Y16" s="13">
        <v>0.36308623298033299</v>
      </c>
      <c r="Z16" s="13">
        <v>0.2998585572843</v>
      </c>
      <c r="AA16" s="13">
        <v>0.29311318471508901</v>
      </c>
    </row>
    <row r="17" spans="1:27" x14ac:dyDescent="0.25">
      <c r="A17" s="10" t="s">
        <v>684</v>
      </c>
      <c r="B17" s="10" t="s">
        <v>685</v>
      </c>
      <c r="C17" s="13">
        <v>8.0652388206828601E-2</v>
      </c>
      <c r="D17" s="13">
        <v>8.5515331677322101E-2</v>
      </c>
      <c r="E17" s="13">
        <v>0.177623889147696</v>
      </c>
      <c r="F17" s="13">
        <v>0.176958900278405</v>
      </c>
      <c r="G17" s="13">
        <v>0.13016845329249599</v>
      </c>
      <c r="H17" s="13">
        <v>0.16888170937660599</v>
      </c>
      <c r="I17" s="13">
        <v>0.29031406703615698</v>
      </c>
      <c r="J17" s="13">
        <v>0.31944629309197398</v>
      </c>
      <c r="K17" s="13">
        <v>0.51882169827635904</v>
      </c>
      <c r="L17" s="13">
        <v>0.69324090121317195</v>
      </c>
      <c r="M17" s="13">
        <v>0.58781435289306905</v>
      </c>
      <c r="N17" s="13">
        <v>0.555197541268032</v>
      </c>
      <c r="O17" s="13">
        <v>0.75753920386007201</v>
      </c>
      <c r="P17" s="13">
        <v>0.71811611098158101</v>
      </c>
      <c r="Q17" s="13">
        <v>0.89245649897791302</v>
      </c>
      <c r="R17" s="13">
        <v>0.79313240645703098</v>
      </c>
      <c r="S17" s="13">
        <v>0.73880187444589895</v>
      </c>
      <c r="T17" s="13">
        <v>0.76277650648359996</v>
      </c>
      <c r="U17" s="13">
        <v>0.57403084459071596</v>
      </c>
      <c r="V17" s="13">
        <v>0.36514289726845001</v>
      </c>
      <c r="W17" s="13">
        <v>0.37829857907363001</v>
      </c>
      <c r="X17" s="13">
        <v>0.215988941366202</v>
      </c>
      <c r="Y17" s="13">
        <v>0.31467473524962197</v>
      </c>
      <c r="Z17" s="13">
        <v>0.325318246110325</v>
      </c>
      <c r="AA17" s="13">
        <v>0.34420630865625101</v>
      </c>
    </row>
    <row r="18" spans="1:27" x14ac:dyDescent="0.25">
      <c r="A18" s="10" t="s">
        <v>686</v>
      </c>
      <c r="B18" s="10" t="s">
        <v>687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-0.15993110660023399</v>
      </c>
      <c r="X18" s="13">
        <v>-1.15194102061974E-2</v>
      </c>
      <c r="Y18" s="13">
        <v>-3.6308623298033298E-2</v>
      </c>
      <c r="Z18" s="13">
        <v>0</v>
      </c>
      <c r="AA18" s="13">
        <v>0</v>
      </c>
    </row>
    <row r="19" spans="1:27" x14ac:dyDescent="0.25">
      <c r="A19" s="10" t="s">
        <v>688</v>
      </c>
      <c r="B19" s="10" t="s">
        <v>689</v>
      </c>
      <c r="C19" s="13">
        <v>1.9896269550148999</v>
      </c>
      <c r="D19" s="13">
        <v>2.5216059340748802</v>
      </c>
      <c r="E19" s="13">
        <v>2.0110398636748399</v>
      </c>
      <c r="F19" s="13">
        <v>1.9453613970261101</v>
      </c>
      <c r="G19" s="13">
        <v>1.27105666156202</v>
      </c>
      <c r="H19" s="13">
        <v>1.9604963653719101</v>
      </c>
      <c r="I19" s="13">
        <v>1.81446291897598</v>
      </c>
      <c r="J19" s="13">
        <v>2.3093304938107302</v>
      </c>
      <c r="K19" s="13">
        <v>1.7351703464576</v>
      </c>
      <c r="L19" s="13">
        <v>1.8305892547660301</v>
      </c>
      <c r="M19" s="13">
        <v>1.96278879574729</v>
      </c>
      <c r="N19" s="13">
        <v>2.5033460566103201</v>
      </c>
      <c r="O19" s="13">
        <v>2.1954161640530798</v>
      </c>
      <c r="P19" s="13">
        <v>2.8351597108883202</v>
      </c>
      <c r="Q19" s="13">
        <v>3.1260906416712402</v>
      </c>
      <c r="R19" s="13">
        <v>3.1678641410842601</v>
      </c>
      <c r="S19" s="13">
        <v>3.33938447249546</v>
      </c>
      <c r="T19" s="13">
        <v>4.7970166963301999</v>
      </c>
      <c r="U19" s="13">
        <v>3.84983353105507</v>
      </c>
      <c r="V19" s="13">
        <v>3.7988905273506099</v>
      </c>
      <c r="W19" s="13">
        <v>3.0079350433659302</v>
      </c>
      <c r="X19" s="13">
        <v>2.8942518143071099</v>
      </c>
      <c r="Y19" s="13">
        <v>3.6369137670196698</v>
      </c>
      <c r="Z19" s="13">
        <v>3.4427157001414401</v>
      </c>
      <c r="AA19" s="13">
        <v>3.0144943125285701</v>
      </c>
    </row>
    <row r="20" spans="1:27" x14ac:dyDescent="0.25">
      <c r="A20" s="10" t="s">
        <v>690</v>
      </c>
      <c r="B20" s="10" t="s">
        <v>691</v>
      </c>
      <c r="C20" s="13">
        <v>0</v>
      </c>
      <c r="D20" s="13" t="s">
        <v>141</v>
      </c>
      <c r="E20" s="13" t="s">
        <v>141</v>
      </c>
      <c r="F20" s="13" t="s">
        <v>141</v>
      </c>
      <c r="G20" s="13" t="s">
        <v>141</v>
      </c>
      <c r="H20" s="13" t="s">
        <v>141</v>
      </c>
      <c r="I20" s="13" t="s">
        <v>141</v>
      </c>
      <c r="J20" s="13" t="s">
        <v>141</v>
      </c>
      <c r="K20" s="13">
        <v>0</v>
      </c>
      <c r="L20" s="13" t="s">
        <v>141</v>
      </c>
      <c r="M20" s="13" t="s">
        <v>141</v>
      </c>
      <c r="N20" s="13" t="s">
        <v>141</v>
      </c>
      <c r="O20" s="13">
        <v>0</v>
      </c>
      <c r="P20" s="13" t="s">
        <v>141</v>
      </c>
      <c r="Q20" s="13" t="s">
        <v>141</v>
      </c>
      <c r="R20" s="13" t="s">
        <v>141</v>
      </c>
      <c r="S20" s="13">
        <v>0</v>
      </c>
      <c r="T20" s="13" t="s">
        <v>141</v>
      </c>
      <c r="U20" s="13" t="s">
        <v>141</v>
      </c>
      <c r="V20" s="13" t="s">
        <v>141</v>
      </c>
      <c r="W20" s="13">
        <v>0</v>
      </c>
      <c r="X20" s="13" t="s">
        <v>141</v>
      </c>
      <c r="Y20" s="13" t="s">
        <v>141</v>
      </c>
      <c r="Z20" s="13" t="s">
        <v>141</v>
      </c>
      <c r="AA20" s="13">
        <v>0</v>
      </c>
    </row>
    <row r="21" spans="1:27" x14ac:dyDescent="0.25">
      <c r="A21" s="10" t="s">
        <v>692</v>
      </c>
      <c r="B21" s="10" t="s">
        <v>693</v>
      </c>
      <c r="C21" s="13">
        <v>1.9896269550148999</v>
      </c>
      <c r="D21" s="13">
        <v>2.5216059340748802</v>
      </c>
      <c r="E21" s="13">
        <v>2.0110398636748399</v>
      </c>
      <c r="F21" s="13">
        <v>1.9453613970261101</v>
      </c>
      <c r="G21" s="13">
        <v>1.27105666156202</v>
      </c>
      <c r="H21" s="13">
        <v>1.9604963653719101</v>
      </c>
      <c r="I21" s="13">
        <v>1.81446291897598</v>
      </c>
      <c r="J21" s="13">
        <v>2.3093304938107302</v>
      </c>
      <c r="K21" s="13">
        <v>1.7351703464576</v>
      </c>
      <c r="L21" s="13">
        <v>1.8305892547660301</v>
      </c>
      <c r="M21" s="13">
        <v>1.96278879574729</v>
      </c>
      <c r="N21" s="13">
        <v>2.5033460566103201</v>
      </c>
      <c r="O21" s="13">
        <v>2.1954161640530798</v>
      </c>
      <c r="P21" s="13">
        <v>2.8351597108883202</v>
      </c>
      <c r="Q21" s="13">
        <v>3.1260906416712402</v>
      </c>
      <c r="R21" s="13">
        <v>3.1678641410842601</v>
      </c>
      <c r="S21" s="13">
        <v>3.33938447249546</v>
      </c>
      <c r="T21" s="13">
        <v>4.7970166963301999</v>
      </c>
      <c r="U21" s="13">
        <v>3.84983353105507</v>
      </c>
      <c r="V21" s="13">
        <v>3.7988905273506099</v>
      </c>
      <c r="W21" s="13">
        <v>3.0079350433659302</v>
      </c>
      <c r="X21" s="13">
        <v>2.8942518143071099</v>
      </c>
      <c r="Y21" s="13">
        <v>3.6369137670196698</v>
      </c>
      <c r="Z21" s="13">
        <v>3.4427157001414401</v>
      </c>
      <c r="AA21" s="13">
        <v>3.0144943125285701</v>
      </c>
    </row>
    <row r="22" spans="1:27" x14ac:dyDescent="0.25">
      <c r="A22" s="6" t="s">
        <v>110</v>
      </c>
      <c r="B22" s="6" t="s">
        <v>111</v>
      </c>
      <c r="C22" s="19">
        <v>74.286488157389996</v>
      </c>
      <c r="D22" s="19">
        <v>66.114314890631206</v>
      </c>
      <c r="E22" s="19">
        <v>70.187962630558204</v>
      </c>
      <c r="F22" s="19">
        <v>69.430265226474305</v>
      </c>
      <c r="G22" s="19">
        <v>63.629402756508398</v>
      </c>
      <c r="H22" s="19">
        <v>71.091856964534799</v>
      </c>
      <c r="I22" s="19">
        <v>75.626814462919</v>
      </c>
      <c r="J22" s="19">
        <v>76.993211766271799</v>
      </c>
      <c r="K22" s="19">
        <v>58.580734420937297</v>
      </c>
      <c r="L22" s="19">
        <v>58.784662045060699</v>
      </c>
      <c r="M22" s="19">
        <v>56.741975056225698</v>
      </c>
      <c r="N22" s="19">
        <v>49.853764933326701</v>
      </c>
      <c r="O22" s="19">
        <v>46.938480096501799</v>
      </c>
      <c r="P22" s="19">
        <v>47.479598974119803</v>
      </c>
      <c r="Q22" s="19">
        <v>50.820162536770198</v>
      </c>
      <c r="R22" s="19">
        <v>56.242418587291198</v>
      </c>
      <c r="S22" s="19">
        <v>61.362772828977903</v>
      </c>
      <c r="T22" s="19">
        <v>60.717009916094597</v>
      </c>
      <c r="U22" s="19">
        <v>57.272970800964401</v>
      </c>
      <c r="V22" s="19">
        <v>57.927814058001502</v>
      </c>
      <c r="W22" s="19">
        <v>49.424863135879903</v>
      </c>
      <c r="X22" s="19">
        <v>51.808547402373001</v>
      </c>
      <c r="Y22" s="19">
        <v>50.523449319213299</v>
      </c>
      <c r="Z22" s="19">
        <v>53.086280056577102</v>
      </c>
      <c r="AA22" s="19">
        <v>46.3791109796434</v>
      </c>
    </row>
    <row r="23" spans="1:27" x14ac:dyDescent="0.25">
      <c r="A23" s="10" t="s">
        <v>694</v>
      </c>
      <c r="B23" s="10" t="s">
        <v>695</v>
      </c>
      <c r="C23" s="13">
        <v>3.4102568491599001</v>
      </c>
      <c r="D23" s="13">
        <v>8.9759773963870604</v>
      </c>
      <c r="E23" s="13">
        <v>8.3148601364189005</v>
      </c>
      <c r="F23" s="13">
        <v>8.6690368537249896</v>
      </c>
      <c r="G23" s="13">
        <v>8.8973966309341499</v>
      </c>
      <c r="H23" s="13">
        <v>8.4587708348630599</v>
      </c>
      <c r="I23" s="13">
        <v>7.6999208234362602</v>
      </c>
      <c r="J23" s="13">
        <v>7.5868494609343804</v>
      </c>
      <c r="K23" s="13">
        <v>7.3442093733786802</v>
      </c>
      <c r="L23" s="13">
        <v>7.7068890814558104</v>
      </c>
      <c r="M23" s="13">
        <v>7.6824780208546297</v>
      </c>
      <c r="N23" s="13">
        <v>7.3861101472264901</v>
      </c>
      <c r="O23" s="13">
        <v>7.5174909529553702</v>
      </c>
      <c r="P23" s="13">
        <v>7.39566332478433</v>
      </c>
      <c r="Q23" s="13">
        <v>7.9274068903624704</v>
      </c>
      <c r="R23" s="13">
        <v>7.0215545395166599</v>
      </c>
      <c r="S23" s="13">
        <v>6.1468315953898802</v>
      </c>
      <c r="T23" s="13">
        <v>6.2378167641325497</v>
      </c>
      <c r="U23" s="13">
        <v>5.7058665952317202</v>
      </c>
      <c r="V23" s="13">
        <v>5.2524401376307797</v>
      </c>
      <c r="W23" s="13">
        <v>10.6815525619733</v>
      </c>
      <c r="X23" s="13">
        <v>9.96716968091234</v>
      </c>
      <c r="Y23" s="13">
        <v>10.3782148260212</v>
      </c>
      <c r="Z23" s="13">
        <v>9.5417256011315406</v>
      </c>
      <c r="AA23" s="13">
        <v>15.9195417753516</v>
      </c>
    </row>
    <row r="24" spans="1:27" x14ac:dyDescent="0.25">
      <c r="A24" s="10" t="s">
        <v>696</v>
      </c>
      <c r="B24" s="10" t="s">
        <v>697</v>
      </c>
      <c r="C24" s="13">
        <v>6.2568531874810596</v>
      </c>
      <c r="D24" s="13" t="s">
        <v>141</v>
      </c>
      <c r="E24" s="13" t="s">
        <v>141</v>
      </c>
      <c r="F24" s="13" t="s">
        <v>141</v>
      </c>
      <c r="G24" s="13">
        <v>11.4701378254211</v>
      </c>
      <c r="H24" s="13" t="s">
        <v>141</v>
      </c>
      <c r="I24" s="13" t="s">
        <v>141</v>
      </c>
      <c r="J24" s="13" t="s">
        <v>141</v>
      </c>
      <c r="K24" s="13">
        <v>9.7480832420591508</v>
      </c>
      <c r="L24" s="13" t="s">
        <v>141</v>
      </c>
      <c r="M24" s="13" t="s">
        <v>141</v>
      </c>
      <c r="N24" s="13" t="s">
        <v>141</v>
      </c>
      <c r="O24" s="13">
        <v>10.021712907116999</v>
      </c>
      <c r="P24" s="13" t="s">
        <v>141</v>
      </c>
      <c r="Q24" s="13" t="s">
        <v>141</v>
      </c>
      <c r="R24" s="13" t="s">
        <v>141</v>
      </c>
      <c r="S24" s="13">
        <v>8.9458352682906295</v>
      </c>
      <c r="T24" s="13" t="s">
        <v>141</v>
      </c>
      <c r="U24" s="13" t="s">
        <v>141</v>
      </c>
      <c r="V24" s="13" t="s">
        <v>141</v>
      </c>
      <c r="W24" s="13">
        <v>13.2342990711693</v>
      </c>
      <c r="X24" s="13" t="s">
        <v>141</v>
      </c>
      <c r="Y24" s="13" t="s">
        <v>141</v>
      </c>
      <c r="Z24" s="13" t="s">
        <v>141</v>
      </c>
      <c r="AA24" s="13">
        <v>18.783445827843099</v>
      </c>
    </row>
    <row r="25" spans="1:27" x14ac:dyDescent="0.25">
      <c r="A25" s="10" t="s">
        <v>698</v>
      </c>
      <c r="B25" s="10" t="s">
        <v>699</v>
      </c>
      <c r="C25" s="13">
        <v>2.8465963383211599</v>
      </c>
      <c r="D25" s="13" t="s">
        <v>141</v>
      </c>
      <c r="E25" s="13" t="s">
        <v>141</v>
      </c>
      <c r="F25" s="13" t="s">
        <v>141</v>
      </c>
      <c r="G25" s="13">
        <v>2.57274119448698</v>
      </c>
      <c r="H25" s="13" t="s">
        <v>141</v>
      </c>
      <c r="I25" s="13" t="s">
        <v>141</v>
      </c>
      <c r="J25" s="13" t="s">
        <v>141</v>
      </c>
      <c r="K25" s="13">
        <v>2.4038738686804599</v>
      </c>
      <c r="L25" s="13" t="s">
        <v>141</v>
      </c>
      <c r="M25" s="13" t="s">
        <v>141</v>
      </c>
      <c r="N25" s="13" t="s">
        <v>141</v>
      </c>
      <c r="O25" s="13">
        <v>2.5042219541616402</v>
      </c>
      <c r="P25" s="13" t="s">
        <v>141</v>
      </c>
      <c r="Q25" s="13" t="s">
        <v>141</v>
      </c>
      <c r="R25" s="13" t="s">
        <v>141</v>
      </c>
      <c r="S25" s="13">
        <v>2.7990036729007501</v>
      </c>
      <c r="T25" s="13" t="s">
        <v>141</v>
      </c>
      <c r="U25" s="13" t="s">
        <v>141</v>
      </c>
      <c r="V25" s="13" t="s">
        <v>141</v>
      </c>
      <c r="W25" s="13">
        <v>2.55274650919604</v>
      </c>
      <c r="X25" s="13" t="s">
        <v>141</v>
      </c>
      <c r="Y25" s="13" t="s">
        <v>141</v>
      </c>
      <c r="Z25" s="13" t="s">
        <v>141</v>
      </c>
      <c r="AA25" s="13">
        <v>2.8639040524914599</v>
      </c>
    </row>
    <row r="26" spans="1:27" x14ac:dyDescent="0.25">
      <c r="A26" s="10" t="s">
        <v>700</v>
      </c>
      <c r="B26" s="10" t="s">
        <v>701</v>
      </c>
      <c r="C26" s="13">
        <v>21.7517779270222</v>
      </c>
      <c r="D26" s="13">
        <v>18.448862562557199</v>
      </c>
      <c r="E26" s="13">
        <v>13.732154423116</v>
      </c>
      <c r="F26" s="13">
        <v>17.3562950501511</v>
      </c>
      <c r="G26" s="13">
        <v>22.947932618683001</v>
      </c>
      <c r="H26" s="13">
        <v>17.3213892356267</v>
      </c>
      <c r="I26" s="13">
        <v>12.8793877012404</v>
      </c>
      <c r="J26" s="13">
        <v>12.072407826434199</v>
      </c>
      <c r="K26" s="13">
        <v>13.0916008531735</v>
      </c>
      <c r="L26" s="13">
        <v>13.518197573656799</v>
      </c>
      <c r="M26" s="13">
        <v>17.2664076875894</v>
      </c>
      <c r="N26" s="13">
        <v>25.464730084766799</v>
      </c>
      <c r="O26" s="13">
        <v>27.054282267792502</v>
      </c>
      <c r="P26" s="13">
        <v>25.2273257169503</v>
      </c>
      <c r="Q26" s="13">
        <v>20.202423094181601</v>
      </c>
      <c r="R26" s="13">
        <v>16.9170476812541</v>
      </c>
      <c r="S26" s="13">
        <v>12.639844640520099</v>
      </c>
      <c r="T26" s="13">
        <v>10.365285193660499</v>
      </c>
      <c r="U26" s="13">
        <v>13.110864490452</v>
      </c>
      <c r="V26" s="13">
        <v>15.9644687873043</v>
      </c>
      <c r="W26" s="13">
        <v>21.1447376514732</v>
      </c>
      <c r="X26" s="13">
        <v>20.170487271051702</v>
      </c>
      <c r="Y26" s="13">
        <v>19.298033282904701</v>
      </c>
      <c r="Z26" s="13">
        <v>18.214992927864198</v>
      </c>
      <c r="AA26" s="13">
        <v>19.885981660257599</v>
      </c>
    </row>
    <row r="27" spans="1:27" x14ac:dyDescent="0.25">
      <c r="A27" s="10" t="s">
        <v>702</v>
      </c>
      <c r="B27" s="10" t="s">
        <v>703</v>
      </c>
      <c r="C27" s="13">
        <v>21.7517779270222</v>
      </c>
      <c r="D27" s="13">
        <v>18.448862562557199</v>
      </c>
      <c r="E27" s="13">
        <v>13.732154423116</v>
      </c>
      <c r="F27" s="13">
        <v>17.3562950501511</v>
      </c>
      <c r="G27" s="13">
        <v>22.947932618683001</v>
      </c>
      <c r="H27" s="13">
        <v>17.3213892356267</v>
      </c>
      <c r="I27" s="13">
        <v>12.8793877012404</v>
      </c>
      <c r="J27" s="13">
        <v>12.072407826434199</v>
      </c>
      <c r="K27" s="13">
        <v>13.0916008531735</v>
      </c>
      <c r="L27" s="13">
        <v>13.518197573656799</v>
      </c>
      <c r="M27" s="13">
        <v>17.2664076875894</v>
      </c>
      <c r="N27" s="13">
        <v>25.464730084766799</v>
      </c>
      <c r="O27" s="13">
        <v>27.054282267792502</v>
      </c>
      <c r="P27" s="13">
        <v>25.2273257169503</v>
      </c>
      <c r="Q27" s="13">
        <v>20.202423094181601</v>
      </c>
      <c r="R27" s="13">
        <v>16.9170476812541</v>
      </c>
      <c r="S27" s="13">
        <v>12.639844640520099</v>
      </c>
      <c r="T27" s="13">
        <v>10.365285193660499</v>
      </c>
      <c r="U27" s="13">
        <v>13.110864490452</v>
      </c>
      <c r="V27" s="13">
        <v>15.9644687873043</v>
      </c>
      <c r="W27" s="13">
        <v>21.1447376514732</v>
      </c>
      <c r="X27" s="13">
        <v>20.170487271051702</v>
      </c>
      <c r="Y27" s="13">
        <v>19.298033282904701</v>
      </c>
      <c r="Z27" s="13">
        <v>18.214992927864198</v>
      </c>
      <c r="AA27" s="13">
        <v>19.885981660257599</v>
      </c>
    </row>
    <row r="28" spans="1:27" x14ac:dyDescent="0.25">
      <c r="A28" s="10" t="s">
        <v>704</v>
      </c>
      <c r="B28" s="10" t="s">
        <v>705</v>
      </c>
      <c r="C28" s="13">
        <v>0.55147706642796501</v>
      </c>
      <c r="D28" s="13">
        <v>6.4608451504245004</v>
      </c>
      <c r="E28" s="13">
        <v>7.7650228099068199</v>
      </c>
      <c r="F28" s="13">
        <v>4.5444028696496002</v>
      </c>
      <c r="G28" s="13">
        <v>4.5252679938744302</v>
      </c>
      <c r="H28" s="13">
        <v>3.1279829649753998</v>
      </c>
      <c r="I28" s="13">
        <v>3.7938770124043302</v>
      </c>
      <c r="J28" s="13">
        <v>3.3475309463596399</v>
      </c>
      <c r="K28" s="13">
        <v>20.9834553525105</v>
      </c>
      <c r="L28" s="13">
        <v>19.990251299826699</v>
      </c>
      <c r="M28" s="13">
        <v>18.3091392353302</v>
      </c>
      <c r="N28" s="13">
        <v>17.29539483468</v>
      </c>
      <c r="O28" s="13">
        <v>18.489746682750301</v>
      </c>
      <c r="P28" s="13">
        <v>19.897411984145499</v>
      </c>
      <c r="Q28" s="13">
        <v>21.0500074786857</v>
      </c>
      <c r="R28" s="13">
        <v>19.818979191937999</v>
      </c>
      <c r="S28" s="13">
        <v>19.8505509351121</v>
      </c>
      <c r="T28" s="13">
        <v>22.679888126112399</v>
      </c>
      <c r="U28" s="13">
        <v>23.910298113351999</v>
      </c>
      <c r="V28" s="13">
        <v>20.855277017063401</v>
      </c>
      <c r="W28" s="13">
        <v>18.748846650673599</v>
      </c>
      <c r="X28" s="13">
        <v>18.053795645662898</v>
      </c>
      <c r="Y28" s="13">
        <v>19.800302571860801</v>
      </c>
      <c r="Z28" s="13">
        <v>19.157001414427199</v>
      </c>
      <c r="AA28" s="13">
        <v>17.815365584747401</v>
      </c>
    </row>
    <row r="29" spans="1:27" x14ac:dyDescent="0.25">
      <c r="A29" s="10" t="s">
        <v>706</v>
      </c>
      <c r="B29" s="10" t="s">
        <v>707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 t="s">
        <v>141</v>
      </c>
      <c r="J29" s="13" t="s">
        <v>141</v>
      </c>
      <c r="K29" s="13">
        <v>0</v>
      </c>
      <c r="L29" s="13">
        <v>0</v>
      </c>
      <c r="M29" s="13" t="s">
        <v>141</v>
      </c>
      <c r="N29" s="13" t="s">
        <v>141</v>
      </c>
      <c r="O29" s="13">
        <v>0</v>
      </c>
      <c r="P29" s="13" t="s">
        <v>141</v>
      </c>
      <c r="Q29" s="13">
        <v>0</v>
      </c>
      <c r="R29" s="13" t="s">
        <v>141</v>
      </c>
      <c r="S29" s="13">
        <v>1.5704816988221399</v>
      </c>
      <c r="T29" s="13">
        <v>1.5764047800661101</v>
      </c>
      <c r="U29" s="13">
        <v>1.4121158776931599</v>
      </c>
      <c r="V29" s="13">
        <v>1.2253352994874001</v>
      </c>
      <c r="W29" s="13">
        <v>1.0918373623669799</v>
      </c>
      <c r="X29" s="13">
        <v>0.98778942518143098</v>
      </c>
      <c r="Y29" s="13">
        <v>1.0136157337367599</v>
      </c>
      <c r="Z29" s="13">
        <v>0.97595473833097601</v>
      </c>
      <c r="AA29" s="13">
        <v>0.98152580202758999</v>
      </c>
    </row>
    <row r="30" spans="1:27" x14ac:dyDescent="0.25">
      <c r="A30" s="11" t="s">
        <v>708</v>
      </c>
      <c r="B30" s="11" t="s">
        <v>709</v>
      </c>
      <c r="C30" s="25">
        <v>0</v>
      </c>
      <c r="D30" s="25">
        <v>0</v>
      </c>
      <c r="E30" s="25">
        <v>0</v>
      </c>
      <c r="F30" s="25" t="s">
        <v>141</v>
      </c>
      <c r="G30" s="25">
        <v>0</v>
      </c>
      <c r="H30" s="25" t="s">
        <v>141</v>
      </c>
      <c r="I30" s="25" t="s">
        <v>141</v>
      </c>
      <c r="J30" s="25" t="s">
        <v>141</v>
      </c>
      <c r="K30" s="25">
        <v>0</v>
      </c>
      <c r="L30" s="25" t="s">
        <v>141</v>
      </c>
      <c r="M30" s="25" t="s">
        <v>141</v>
      </c>
      <c r="N30" s="25" t="s">
        <v>141</v>
      </c>
      <c r="O30" s="25">
        <v>0</v>
      </c>
      <c r="P30" s="25" t="s">
        <v>141</v>
      </c>
      <c r="Q30" s="25" t="s">
        <v>141</v>
      </c>
      <c r="R30" s="25" t="s">
        <v>141</v>
      </c>
      <c r="S30" s="25">
        <v>0</v>
      </c>
      <c r="T30" s="25" t="s">
        <v>141</v>
      </c>
      <c r="U30" s="25" t="s">
        <v>141</v>
      </c>
      <c r="V30" s="25" t="s">
        <v>141</v>
      </c>
      <c r="W30" s="25">
        <v>0</v>
      </c>
      <c r="X30" s="25" t="s">
        <v>141</v>
      </c>
      <c r="Y30" s="25" t="s">
        <v>141</v>
      </c>
      <c r="Z30" s="25" t="s">
        <v>141</v>
      </c>
      <c r="AA30" s="25">
        <v>0</v>
      </c>
    </row>
    <row r="31" spans="1:27" x14ac:dyDescent="0.25">
      <c r="A31" s="11" t="s">
        <v>710</v>
      </c>
      <c r="B31" s="11" t="s">
        <v>711</v>
      </c>
      <c r="C31" s="25">
        <v>0</v>
      </c>
      <c r="D31" s="25">
        <v>0</v>
      </c>
      <c r="E31" s="25">
        <v>0</v>
      </c>
      <c r="F31" s="25" t="s">
        <v>141</v>
      </c>
      <c r="G31" s="25">
        <v>0</v>
      </c>
      <c r="H31" s="25" t="s">
        <v>141</v>
      </c>
      <c r="I31" s="25" t="s">
        <v>141</v>
      </c>
      <c r="J31" s="25" t="s">
        <v>141</v>
      </c>
      <c r="K31" s="25">
        <v>0</v>
      </c>
      <c r="L31" s="25" t="s">
        <v>141</v>
      </c>
      <c r="M31" s="25" t="s">
        <v>141</v>
      </c>
      <c r="N31" s="25" t="s">
        <v>141</v>
      </c>
      <c r="O31" s="25">
        <v>0</v>
      </c>
      <c r="P31" s="25" t="s">
        <v>141</v>
      </c>
      <c r="Q31" s="25" t="s">
        <v>141</v>
      </c>
      <c r="R31" s="25" t="s">
        <v>141</v>
      </c>
      <c r="S31" s="25">
        <v>1.5704816988221399</v>
      </c>
      <c r="T31" s="25" t="s">
        <v>141</v>
      </c>
      <c r="U31" s="25">
        <v>1.4121158776931599</v>
      </c>
      <c r="V31" s="25">
        <v>1.2253352994874001</v>
      </c>
      <c r="W31" s="25">
        <v>1.0918373623669799</v>
      </c>
      <c r="X31" s="25" t="s">
        <v>141</v>
      </c>
      <c r="Y31" s="25">
        <v>1.0136157337367599</v>
      </c>
      <c r="Z31" s="25">
        <v>0.97595473833097601</v>
      </c>
      <c r="AA31" s="25">
        <v>0.98152580202758999</v>
      </c>
    </row>
    <row r="32" spans="1:27" x14ac:dyDescent="0.25">
      <c r="A32" s="10" t="s">
        <v>712</v>
      </c>
      <c r="B32" s="10" t="s">
        <v>713</v>
      </c>
      <c r="C32" s="13" t="s">
        <v>141</v>
      </c>
      <c r="D32" s="13" t="s">
        <v>141</v>
      </c>
      <c r="E32" s="13" t="s">
        <v>141</v>
      </c>
      <c r="F32" s="13" t="s">
        <v>141</v>
      </c>
      <c r="G32" s="13">
        <v>0</v>
      </c>
      <c r="H32" s="13" t="s">
        <v>141</v>
      </c>
      <c r="I32" s="13" t="s">
        <v>141</v>
      </c>
      <c r="J32" s="13" t="s">
        <v>141</v>
      </c>
      <c r="K32" s="13">
        <v>18.412405603274301</v>
      </c>
      <c r="L32" s="13">
        <v>17.634315424610101</v>
      </c>
      <c r="M32" s="13">
        <v>16.157227560826001</v>
      </c>
      <c r="N32" s="13">
        <v>15.386903286571201</v>
      </c>
      <c r="O32" s="13">
        <v>15.203860072376401</v>
      </c>
      <c r="P32" s="13">
        <v>15.169037071578501</v>
      </c>
      <c r="Q32" s="13">
        <v>16.373335992421602</v>
      </c>
      <c r="R32" s="13">
        <v>14.9015582719045</v>
      </c>
      <c r="S32" s="13">
        <v>12.914256765314301</v>
      </c>
      <c r="T32" s="13">
        <v>14.297821849309299</v>
      </c>
      <c r="U32" s="13">
        <v>14.503846006658801</v>
      </c>
      <c r="V32" s="13">
        <v>13.4541113685837</v>
      </c>
      <c r="W32" s="13">
        <v>11.1521190871625</v>
      </c>
      <c r="X32" s="13">
        <v>10.891602349959699</v>
      </c>
      <c r="Y32" s="13">
        <v>12.6928895612708</v>
      </c>
      <c r="Z32" s="13">
        <v>12.8543140028289</v>
      </c>
      <c r="AA32" s="13">
        <v>13.061015946432899</v>
      </c>
    </row>
    <row r="33" spans="1:27" x14ac:dyDescent="0.25">
      <c r="A33" s="10" t="s">
        <v>690</v>
      </c>
      <c r="B33" s="10" t="s">
        <v>714</v>
      </c>
      <c r="C33" s="13">
        <v>0</v>
      </c>
      <c r="D33" s="13">
        <v>0</v>
      </c>
      <c r="E33" s="13">
        <v>0</v>
      </c>
      <c r="F33" s="13" t="s">
        <v>141</v>
      </c>
      <c r="G33" s="13">
        <v>0</v>
      </c>
      <c r="H33" s="13" t="s">
        <v>141</v>
      </c>
      <c r="I33" s="13" t="s">
        <v>141</v>
      </c>
      <c r="J33" s="13" t="s">
        <v>141</v>
      </c>
      <c r="K33" s="13">
        <v>0</v>
      </c>
      <c r="L33" s="13" t="s">
        <v>141</v>
      </c>
      <c r="M33" s="13" t="s">
        <v>141</v>
      </c>
      <c r="N33" s="13" t="s">
        <v>141</v>
      </c>
      <c r="O33" s="13">
        <v>0</v>
      </c>
      <c r="P33" s="13" t="s">
        <v>141</v>
      </c>
      <c r="Q33" s="13" t="s">
        <v>141</v>
      </c>
      <c r="R33" s="13" t="s">
        <v>141</v>
      </c>
      <c r="S33" s="13">
        <v>0</v>
      </c>
      <c r="T33" s="13" t="s">
        <v>141</v>
      </c>
      <c r="U33" s="13" t="s">
        <v>141</v>
      </c>
      <c r="V33" s="13" t="s">
        <v>141</v>
      </c>
      <c r="W33" s="13">
        <v>0</v>
      </c>
      <c r="X33" s="13" t="s">
        <v>141</v>
      </c>
      <c r="Y33" s="13" t="s">
        <v>141</v>
      </c>
      <c r="Z33" s="13" t="s">
        <v>141</v>
      </c>
      <c r="AA33" s="13">
        <v>0</v>
      </c>
    </row>
    <row r="34" spans="1:27" x14ac:dyDescent="0.25">
      <c r="A34" s="10" t="s">
        <v>715</v>
      </c>
      <c r="B34" s="10" t="s">
        <v>716</v>
      </c>
      <c r="C34" s="13">
        <v>0.55147706642796501</v>
      </c>
      <c r="D34" s="13">
        <v>6.4608451504245004</v>
      </c>
      <c r="E34" s="13">
        <v>7.7650228099068199</v>
      </c>
      <c r="F34" s="13">
        <v>4.5444028696496002</v>
      </c>
      <c r="G34" s="13">
        <v>4.5252679938744302</v>
      </c>
      <c r="H34" s="13">
        <v>3.1279829649753998</v>
      </c>
      <c r="I34" s="13">
        <v>3.7938770124043302</v>
      </c>
      <c r="J34" s="13">
        <v>3.3475309463596399</v>
      </c>
      <c r="K34" s="13">
        <v>2.5710497492361801</v>
      </c>
      <c r="L34" s="13">
        <v>2.3559358752166402</v>
      </c>
      <c r="M34" s="13">
        <v>2.15191167450419</v>
      </c>
      <c r="N34" s="13">
        <v>1.90849154810886</v>
      </c>
      <c r="O34" s="13">
        <v>3.2858866103739399</v>
      </c>
      <c r="P34" s="13">
        <v>4.7283749125670296</v>
      </c>
      <c r="Q34" s="13">
        <v>4.6766714862641496</v>
      </c>
      <c r="R34" s="13">
        <v>4.9174209200335897</v>
      </c>
      <c r="S34" s="13">
        <v>5.3658124709756398</v>
      </c>
      <c r="T34" s="13">
        <v>6.8056614967370104</v>
      </c>
      <c r="U34" s="13">
        <v>7.9943362290000399</v>
      </c>
      <c r="V34" s="13">
        <v>6.1758303489923501</v>
      </c>
      <c r="W34" s="13">
        <v>6.5048902011441196</v>
      </c>
      <c r="X34" s="13">
        <v>6.1744038705218296</v>
      </c>
      <c r="Y34" s="13">
        <v>6.09379727685325</v>
      </c>
      <c r="Z34" s="13">
        <v>5.3267326732673297</v>
      </c>
      <c r="AA34" s="13">
        <v>3.7728238362868698</v>
      </c>
    </row>
    <row r="35" spans="1:27" x14ac:dyDescent="0.25">
      <c r="A35" s="6" t="s">
        <v>717</v>
      </c>
      <c r="B35" s="6" t="s">
        <v>718</v>
      </c>
      <c r="C35" s="19">
        <v>25.71351184261</v>
      </c>
      <c r="D35" s="19">
        <v>33.885685109368801</v>
      </c>
      <c r="E35" s="19">
        <v>29.8120373694418</v>
      </c>
      <c r="F35" s="19">
        <v>30.569734773525699</v>
      </c>
      <c r="G35" s="19">
        <v>36.370597243491602</v>
      </c>
      <c r="H35" s="19">
        <v>28.908143035465201</v>
      </c>
      <c r="I35" s="19">
        <v>24.373185537081</v>
      </c>
      <c r="J35" s="19">
        <v>23.006788233728201</v>
      </c>
      <c r="K35" s="19">
        <v>41.419265579062703</v>
      </c>
      <c r="L35" s="19">
        <v>41.215337954939301</v>
      </c>
      <c r="M35" s="19">
        <v>43.258024943774302</v>
      </c>
      <c r="N35" s="19">
        <v>50.146235066673299</v>
      </c>
      <c r="O35" s="19">
        <v>53.061519903498201</v>
      </c>
      <c r="P35" s="19">
        <v>52.520401025880197</v>
      </c>
      <c r="Q35" s="19">
        <v>49.179837463229802</v>
      </c>
      <c r="R35" s="19">
        <v>43.757581412708802</v>
      </c>
      <c r="S35" s="19">
        <v>38.637227171022097</v>
      </c>
      <c r="T35" s="19">
        <v>39.282990083905403</v>
      </c>
      <c r="U35" s="19">
        <v>42.727029199035599</v>
      </c>
      <c r="V35" s="19">
        <v>42.072185941998498</v>
      </c>
      <c r="W35" s="19">
        <v>50.575136864120097</v>
      </c>
      <c r="X35" s="19">
        <v>48.191452597626999</v>
      </c>
      <c r="Y35" s="19">
        <v>49.476550680786701</v>
      </c>
      <c r="Z35" s="19">
        <v>46.913719943422898</v>
      </c>
      <c r="AA35" s="19">
        <v>53.6208890203566</v>
      </c>
    </row>
    <row r="36" spans="1:27" x14ac:dyDescent="0.25">
      <c r="A36" s="6" t="s">
        <v>112</v>
      </c>
      <c r="B36" s="6" t="s">
        <v>113</v>
      </c>
      <c r="C36" s="19">
        <v>100</v>
      </c>
      <c r="D36" s="19">
        <v>100</v>
      </c>
      <c r="E36" s="19">
        <v>100</v>
      </c>
      <c r="F36" s="19">
        <v>100</v>
      </c>
      <c r="G36" s="19">
        <v>100</v>
      </c>
      <c r="H36" s="19">
        <v>100</v>
      </c>
      <c r="I36" s="19">
        <v>100</v>
      </c>
      <c r="J36" s="19">
        <v>100</v>
      </c>
      <c r="K36" s="19">
        <v>100</v>
      </c>
      <c r="L36" s="19">
        <v>100</v>
      </c>
      <c r="M36" s="19">
        <v>100</v>
      </c>
      <c r="N36" s="19">
        <v>100</v>
      </c>
      <c r="O36" s="19">
        <v>100</v>
      </c>
      <c r="P36" s="19">
        <v>100</v>
      </c>
      <c r="Q36" s="19">
        <v>100</v>
      </c>
      <c r="R36" s="19">
        <v>100</v>
      </c>
      <c r="S36" s="19">
        <v>100</v>
      </c>
      <c r="T36" s="19">
        <v>100</v>
      </c>
      <c r="U36" s="19">
        <v>100</v>
      </c>
      <c r="V36" s="19">
        <v>100</v>
      </c>
      <c r="W36" s="19">
        <v>100</v>
      </c>
      <c r="X36" s="19">
        <v>100</v>
      </c>
      <c r="Y36" s="19">
        <v>100</v>
      </c>
      <c r="Z36" s="19">
        <v>100</v>
      </c>
      <c r="AA36" s="19">
        <v>100</v>
      </c>
    </row>
    <row r="37" spans="1:27" x14ac:dyDescent="0.25">
      <c r="A37" s="6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6" t="s">
        <v>719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10" t="s">
        <v>720</v>
      </c>
      <c r="B39" s="10" t="s">
        <v>721</v>
      </c>
      <c r="C39" s="13">
        <v>4.8543474255173704</v>
      </c>
      <c r="D39" s="13">
        <v>7.1294100695086202</v>
      </c>
      <c r="E39" s="13">
        <v>8.9071584770649608</v>
      </c>
      <c r="F39" s="13">
        <v>8.6747998830444093</v>
      </c>
      <c r="G39" s="13">
        <v>7.64931087289433</v>
      </c>
      <c r="H39" s="13">
        <v>9.2444379176150999</v>
      </c>
      <c r="I39" s="13">
        <v>9.0459224069675397</v>
      </c>
      <c r="J39" s="13">
        <v>11.346998535871201</v>
      </c>
      <c r="K39" s="13">
        <v>7.4537383985703602</v>
      </c>
      <c r="L39" s="13">
        <v>9.3100086655112602</v>
      </c>
      <c r="M39" s="13">
        <v>9.7577182580249406</v>
      </c>
      <c r="N39" s="13">
        <v>10.206711941704301</v>
      </c>
      <c r="O39" s="13">
        <v>8.4101326899879396</v>
      </c>
      <c r="P39" s="13">
        <v>11.000233154581499</v>
      </c>
      <c r="Q39" s="13">
        <v>13.247245350750401</v>
      </c>
      <c r="R39" s="13">
        <v>13.8938135672296</v>
      </c>
      <c r="S39" s="13">
        <v>11.453539916409801</v>
      </c>
      <c r="T39" s="13">
        <v>15.073311297567599</v>
      </c>
      <c r="U39" s="13">
        <v>14.986031916115</v>
      </c>
      <c r="V39" s="13">
        <v>17.660276665964499</v>
      </c>
      <c r="W39" s="13">
        <v>10.4539582948884</v>
      </c>
      <c r="X39" s="13">
        <v>12.0147448450639</v>
      </c>
      <c r="Y39" s="13">
        <v>10.8472012102874</v>
      </c>
      <c r="Z39" s="13">
        <v>11.108910891089099</v>
      </c>
      <c r="AA39" s="13">
        <v>12.412940005916001</v>
      </c>
    </row>
    <row r="40" spans="1:27" x14ac:dyDescent="0.25">
      <c r="A40" s="10" t="s">
        <v>722</v>
      </c>
      <c r="B40" s="10" t="s">
        <v>723</v>
      </c>
      <c r="C40" s="13">
        <v>1.38961749019031</v>
      </c>
      <c r="D40" s="13" t="s">
        <v>141</v>
      </c>
      <c r="E40" s="13" t="s">
        <v>141</v>
      </c>
      <c r="F40" s="13" t="s">
        <v>141</v>
      </c>
      <c r="G40" s="13">
        <v>2.3430321592649301</v>
      </c>
      <c r="H40" s="13" t="s">
        <v>141</v>
      </c>
      <c r="I40" s="13" t="s">
        <v>141</v>
      </c>
      <c r="J40" s="13" t="s">
        <v>141</v>
      </c>
      <c r="K40" s="13">
        <v>1.99458119559578</v>
      </c>
      <c r="L40" s="13" t="s">
        <v>141</v>
      </c>
      <c r="M40" s="13" t="s">
        <v>141</v>
      </c>
      <c r="N40" s="13" t="s">
        <v>141</v>
      </c>
      <c r="O40" s="13">
        <v>3.0253317249698402</v>
      </c>
      <c r="P40" s="13" t="s">
        <v>141</v>
      </c>
      <c r="Q40" s="13" t="s">
        <v>141</v>
      </c>
      <c r="R40" s="13" t="s">
        <v>141</v>
      </c>
      <c r="S40" s="13">
        <v>5.5684552708236597</v>
      </c>
      <c r="T40" s="13" t="s">
        <v>141</v>
      </c>
      <c r="U40" s="13" t="s">
        <v>141</v>
      </c>
      <c r="V40" s="13" t="s">
        <v>141</v>
      </c>
      <c r="W40" s="13">
        <v>4.2843082979639497</v>
      </c>
      <c r="X40" s="13" t="s">
        <v>141</v>
      </c>
      <c r="Y40" s="13" t="s">
        <v>141</v>
      </c>
      <c r="Z40" s="13" t="s">
        <v>141</v>
      </c>
      <c r="AA40" s="13">
        <v>3.87769919595558</v>
      </c>
    </row>
    <row r="41" spans="1:27" x14ac:dyDescent="0.25">
      <c r="A41" s="10" t="s">
        <v>724</v>
      </c>
      <c r="B41" s="10" t="s">
        <v>725</v>
      </c>
      <c r="C41" s="13">
        <v>3.46472993532706</v>
      </c>
      <c r="D41" s="13">
        <v>7.1294100695086202</v>
      </c>
      <c r="E41" s="13">
        <v>8.9071584770649608</v>
      </c>
      <c r="F41" s="13">
        <v>8.6747998830444093</v>
      </c>
      <c r="G41" s="13">
        <v>5.3062787136293998</v>
      </c>
      <c r="H41" s="13">
        <v>9.2444379176150999</v>
      </c>
      <c r="I41" s="13">
        <v>9.0459224069675397</v>
      </c>
      <c r="J41" s="13">
        <v>11.346998535871201</v>
      </c>
      <c r="K41" s="13">
        <v>5.4591572029745796</v>
      </c>
      <c r="L41" s="13">
        <v>9.3100086655112602</v>
      </c>
      <c r="M41" s="13">
        <v>9.7577182580249406</v>
      </c>
      <c r="N41" s="13">
        <v>10.206711941704301</v>
      </c>
      <c r="O41" s="13">
        <v>5.3848009650180897</v>
      </c>
      <c r="P41" s="13">
        <v>11.000233154581499</v>
      </c>
      <c r="Q41" s="13">
        <v>13.247245350750401</v>
      </c>
      <c r="R41" s="13">
        <v>13.8938135672296</v>
      </c>
      <c r="S41" s="13">
        <v>5.8850846455861898</v>
      </c>
      <c r="T41" s="13">
        <v>15.073311297567599</v>
      </c>
      <c r="U41" s="13">
        <v>14.986031916115</v>
      </c>
      <c r="V41" s="13">
        <v>17.660276665964499</v>
      </c>
      <c r="W41" s="13">
        <v>6.1696499969243996</v>
      </c>
      <c r="X41" s="13">
        <v>12.0147448450639</v>
      </c>
      <c r="Y41" s="13">
        <v>10.8472012102874</v>
      </c>
      <c r="Z41" s="13">
        <v>11.108910891089099</v>
      </c>
      <c r="AA41" s="13">
        <v>8.5352408099604702</v>
      </c>
    </row>
    <row r="42" spans="1:27" x14ac:dyDescent="0.25">
      <c r="A42" s="10" t="s">
        <v>726</v>
      </c>
      <c r="B42" s="10" t="s">
        <v>727</v>
      </c>
      <c r="C42" s="13">
        <v>0</v>
      </c>
      <c r="D42" s="13">
        <v>0.34112159778975798</v>
      </c>
      <c r="E42" s="13">
        <v>0.35140472845103499</v>
      </c>
      <c r="F42" s="13">
        <v>0.69147876789823204</v>
      </c>
      <c r="G42" s="13">
        <v>31.935834609494599</v>
      </c>
      <c r="H42" s="13">
        <v>0.64615610544092805</v>
      </c>
      <c r="I42" s="13">
        <v>28.285827395091101</v>
      </c>
      <c r="J42" s="13">
        <v>28.929854918141899</v>
      </c>
      <c r="K42" s="13">
        <v>0.59376261024961097</v>
      </c>
      <c r="L42" s="13">
        <v>0.66074523396880402</v>
      </c>
      <c r="M42" s="13">
        <v>0.766714373338786</v>
      </c>
      <c r="N42" s="13">
        <v>0.76835374014772195</v>
      </c>
      <c r="O42" s="13">
        <v>0.79613992762364305</v>
      </c>
      <c r="P42" s="13">
        <v>0.78806248542783897</v>
      </c>
      <c r="Q42" s="13">
        <v>0.85257017500124699</v>
      </c>
      <c r="R42" s="13">
        <v>8.7011290473080205</v>
      </c>
      <c r="S42" s="13">
        <v>7.1516021446362998</v>
      </c>
      <c r="T42" s="13">
        <v>0</v>
      </c>
      <c r="U42" s="13">
        <v>7.1715586850866799</v>
      </c>
      <c r="V42" s="13">
        <v>6.5901270978161604</v>
      </c>
      <c r="W42" s="13">
        <v>6.2157839699821604</v>
      </c>
      <c r="X42" s="13">
        <v>4.5444073263448903</v>
      </c>
      <c r="Y42" s="13">
        <v>1.0711043872919801</v>
      </c>
      <c r="Z42" s="13">
        <v>0.98444130127298402</v>
      </c>
      <c r="AA42" s="13">
        <v>1.0917793852690501</v>
      </c>
    </row>
    <row r="43" spans="1:27" x14ac:dyDescent="0.25">
      <c r="A43" s="10" t="s">
        <v>728</v>
      </c>
      <c r="B43" s="10" t="s">
        <v>729</v>
      </c>
      <c r="C43" s="13">
        <v>0</v>
      </c>
      <c r="D43" s="13">
        <v>0</v>
      </c>
      <c r="E43" s="13">
        <v>0</v>
      </c>
      <c r="F43" s="13">
        <v>0</v>
      </c>
      <c r="G43" s="13">
        <v>31.301684532925002</v>
      </c>
      <c r="H43" s="13">
        <v>0</v>
      </c>
      <c r="I43" s="13">
        <v>27.678807073106402</v>
      </c>
      <c r="J43" s="13">
        <v>28.284307200851899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7.8940001866193903</v>
      </c>
      <c r="S43" s="13">
        <v>7.1516021446362998</v>
      </c>
      <c r="T43" s="13">
        <v>0</v>
      </c>
      <c r="U43" s="13">
        <v>6.49420228846963</v>
      </c>
      <c r="V43" s="13">
        <v>5.9651709851836197</v>
      </c>
      <c r="W43" s="13">
        <v>5.2315925447499501</v>
      </c>
      <c r="X43" s="13">
        <v>3.53645893330261</v>
      </c>
      <c r="Y43" s="13">
        <v>0</v>
      </c>
      <c r="Z43" s="13">
        <v>0</v>
      </c>
      <c r="AA43" s="13">
        <v>0</v>
      </c>
    </row>
    <row r="44" spans="1:27" x14ac:dyDescent="0.25">
      <c r="A44" s="10" t="s">
        <v>730</v>
      </c>
      <c r="B44" s="10" t="s">
        <v>731</v>
      </c>
      <c r="C44" s="13">
        <v>0</v>
      </c>
      <c r="D44" s="13">
        <v>0.34112159778975798</v>
      </c>
      <c r="E44" s="13">
        <v>0.35140472845103499</v>
      </c>
      <c r="F44" s="13">
        <v>0.69147876789823204</v>
      </c>
      <c r="G44" s="13">
        <v>0.63415007656967803</v>
      </c>
      <c r="H44" s="13">
        <v>0.64615610544092805</v>
      </c>
      <c r="I44" s="13">
        <v>0.60702032198469202</v>
      </c>
      <c r="J44" s="13">
        <v>0.64554771729003102</v>
      </c>
      <c r="K44" s="13">
        <v>0.59376261024961097</v>
      </c>
      <c r="L44" s="13">
        <v>0.66074523396880402</v>
      </c>
      <c r="M44" s="13">
        <v>0.766714373338786</v>
      </c>
      <c r="N44" s="13">
        <v>0.76835374014772195</v>
      </c>
      <c r="O44" s="13">
        <v>0.79613992762364305</v>
      </c>
      <c r="P44" s="13">
        <v>0.78806248542783897</v>
      </c>
      <c r="Q44" s="13">
        <v>0.85257017500124699</v>
      </c>
      <c r="R44" s="13">
        <v>0.80712886068862599</v>
      </c>
      <c r="S44" s="13" t="s">
        <v>141</v>
      </c>
      <c r="T44" s="13" t="s">
        <v>141</v>
      </c>
      <c r="U44" s="13">
        <v>0.67735639661704505</v>
      </c>
      <c r="V44" s="13">
        <v>0.62495611263254003</v>
      </c>
      <c r="W44" s="13">
        <v>0.98419142523220804</v>
      </c>
      <c r="X44" s="13">
        <v>1.0079483930422799</v>
      </c>
      <c r="Y44" s="13">
        <v>1.0711043872919801</v>
      </c>
      <c r="Z44" s="13">
        <v>0.98444130127298402</v>
      </c>
      <c r="AA44" s="13">
        <v>1.0917793852690501</v>
      </c>
    </row>
    <row r="45" spans="1:27" x14ac:dyDescent="0.25">
      <c r="A45" s="11" t="s">
        <v>732</v>
      </c>
      <c r="B45" s="11" t="s">
        <v>733</v>
      </c>
      <c r="C45" s="25">
        <v>0</v>
      </c>
      <c r="D45" s="25" t="s">
        <v>141</v>
      </c>
      <c r="E45" s="25" t="s">
        <v>141</v>
      </c>
      <c r="F45" s="25" t="s">
        <v>141</v>
      </c>
      <c r="G45" s="25">
        <v>0</v>
      </c>
      <c r="H45" s="25" t="s">
        <v>141</v>
      </c>
      <c r="I45" s="25" t="s">
        <v>141</v>
      </c>
      <c r="J45" s="25" t="s">
        <v>141</v>
      </c>
      <c r="K45" s="25">
        <v>0</v>
      </c>
      <c r="L45" s="25" t="s">
        <v>141</v>
      </c>
      <c r="M45" s="25" t="s">
        <v>141</v>
      </c>
      <c r="N45" s="25" t="s">
        <v>141</v>
      </c>
      <c r="O45" s="25">
        <v>0</v>
      </c>
      <c r="P45" s="25" t="s">
        <v>141</v>
      </c>
      <c r="Q45" s="25" t="s">
        <v>141</v>
      </c>
      <c r="R45" s="25" t="s">
        <v>141</v>
      </c>
      <c r="S45" s="25" t="s">
        <v>141</v>
      </c>
      <c r="T45" s="25" t="s">
        <v>141</v>
      </c>
      <c r="U45" s="25" t="s">
        <v>141</v>
      </c>
      <c r="V45" s="25" t="s">
        <v>141</v>
      </c>
      <c r="W45" s="25" t="s">
        <v>141</v>
      </c>
      <c r="X45" s="25" t="s">
        <v>141</v>
      </c>
      <c r="Y45" s="25" t="s">
        <v>141</v>
      </c>
      <c r="Z45" s="25" t="s">
        <v>141</v>
      </c>
      <c r="AA45" s="25" t="s">
        <v>141</v>
      </c>
    </row>
    <row r="46" spans="1:27" x14ac:dyDescent="0.25">
      <c r="A46" s="11" t="s">
        <v>734</v>
      </c>
      <c r="B46" s="11" t="s">
        <v>735</v>
      </c>
      <c r="C46" s="25" t="s">
        <v>141</v>
      </c>
      <c r="D46" s="25">
        <v>0.34112159778975798</v>
      </c>
      <c r="E46" s="25">
        <v>0.35140472845103499</v>
      </c>
      <c r="F46" s="25">
        <v>0.69147876789823204</v>
      </c>
      <c r="G46" s="25">
        <v>0.63415007656967803</v>
      </c>
      <c r="H46" s="25">
        <v>0.64615610544092805</v>
      </c>
      <c r="I46" s="25">
        <v>0.60702032198469202</v>
      </c>
      <c r="J46" s="25">
        <v>0.64554771729003102</v>
      </c>
      <c r="K46" s="25">
        <v>0.59376261024961097</v>
      </c>
      <c r="L46" s="25">
        <v>0.66074523396880402</v>
      </c>
      <c r="M46" s="25">
        <v>0.766714373338786</v>
      </c>
      <c r="N46" s="25">
        <v>0.76835374014772195</v>
      </c>
      <c r="O46" s="25">
        <v>0.79613992762364305</v>
      </c>
      <c r="P46" s="25">
        <v>0.78806248542783897</v>
      </c>
      <c r="Q46" s="25">
        <v>0.85257017500124699</v>
      </c>
      <c r="R46" s="25">
        <v>0.80712886068862599</v>
      </c>
      <c r="S46" s="25" t="s">
        <v>141</v>
      </c>
      <c r="T46" s="25" t="s">
        <v>141</v>
      </c>
      <c r="U46" s="25">
        <v>0.67735639661704505</v>
      </c>
      <c r="V46" s="25">
        <v>0.62495611263254003</v>
      </c>
      <c r="W46" s="25">
        <v>0.98419142523220804</v>
      </c>
      <c r="X46" s="25">
        <v>1.0079483930422799</v>
      </c>
      <c r="Y46" s="25">
        <v>1.0711043872919801</v>
      </c>
      <c r="Z46" s="25">
        <v>0.98444130127298402</v>
      </c>
      <c r="AA46" s="25">
        <v>1.0917793852690501</v>
      </c>
    </row>
    <row r="47" spans="1:27" x14ac:dyDescent="0.25">
      <c r="A47" s="10" t="s">
        <v>736</v>
      </c>
      <c r="B47" s="10" t="s">
        <v>737</v>
      </c>
      <c r="C47" s="13" t="s">
        <v>141</v>
      </c>
      <c r="D47" s="13" t="s">
        <v>141</v>
      </c>
      <c r="E47" s="13" t="s">
        <v>141</v>
      </c>
      <c r="F47" s="13" t="s">
        <v>141</v>
      </c>
      <c r="G47" s="13" t="s">
        <v>141</v>
      </c>
      <c r="H47" s="13" t="s">
        <v>141</v>
      </c>
      <c r="I47" s="13" t="s">
        <v>141</v>
      </c>
      <c r="J47" s="13" t="s">
        <v>141</v>
      </c>
      <c r="K47" s="13" t="s">
        <v>141</v>
      </c>
      <c r="L47" s="13" t="s">
        <v>141</v>
      </c>
      <c r="M47" s="13" t="s">
        <v>141</v>
      </c>
      <c r="N47" s="13" t="s">
        <v>141</v>
      </c>
      <c r="O47" s="13" t="s">
        <v>141</v>
      </c>
      <c r="P47" s="13" t="s">
        <v>141</v>
      </c>
      <c r="Q47" s="13" t="s">
        <v>141</v>
      </c>
      <c r="R47" s="13" t="s">
        <v>141</v>
      </c>
      <c r="S47" s="13" t="s">
        <v>141</v>
      </c>
      <c r="T47" s="13" t="s">
        <v>141</v>
      </c>
      <c r="U47" s="13" t="s">
        <v>141</v>
      </c>
      <c r="V47" s="13" t="s">
        <v>141</v>
      </c>
      <c r="W47" s="13" t="s">
        <v>141</v>
      </c>
      <c r="X47" s="13" t="s">
        <v>141</v>
      </c>
      <c r="Y47" s="13" t="s">
        <v>141</v>
      </c>
      <c r="Z47" s="13" t="s">
        <v>141</v>
      </c>
      <c r="AA47" s="13" t="s">
        <v>141</v>
      </c>
    </row>
    <row r="48" spans="1:27" x14ac:dyDescent="0.25">
      <c r="A48" s="10" t="s">
        <v>738</v>
      </c>
      <c r="B48" s="10" t="s">
        <v>739</v>
      </c>
      <c r="C48" s="13">
        <v>4.0298001008910003</v>
      </c>
      <c r="D48" s="13">
        <v>4.7612931922904597E-2</v>
      </c>
      <c r="E48" s="13">
        <v>0.169937789458983</v>
      </c>
      <c r="F48" s="13">
        <v>0.43527821447791598</v>
      </c>
      <c r="G48" s="13">
        <v>3.6996937212863701</v>
      </c>
      <c r="H48" s="13">
        <v>0.41119024891695399</v>
      </c>
      <c r="I48" s="13">
        <v>0.47505938242280299</v>
      </c>
      <c r="J48" s="13">
        <v>0.38599760415280199</v>
      </c>
      <c r="K48" s="13">
        <v>2.7036375165734698</v>
      </c>
      <c r="L48" s="13">
        <v>0.31954072790294602</v>
      </c>
      <c r="M48" s="13">
        <v>0.35780004089143302</v>
      </c>
      <c r="N48" s="13">
        <v>0.22307044068804799</v>
      </c>
      <c r="O48" s="13">
        <v>2.65379975874548</v>
      </c>
      <c r="P48" s="13">
        <v>3.2641641408253701E-2</v>
      </c>
      <c r="Q48" s="13">
        <v>0.14458792441541601</v>
      </c>
      <c r="R48" s="13">
        <v>3.7323877950919099E-2</v>
      </c>
      <c r="S48" s="13">
        <v>4.0950732469286999</v>
      </c>
      <c r="T48" s="13">
        <v>0.77972709551656905</v>
      </c>
      <c r="U48" s="13">
        <v>0.13394053040449999</v>
      </c>
      <c r="V48" s="13">
        <v>3.1598904571308199E-2</v>
      </c>
      <c r="W48" s="13">
        <v>3.4692747739435301</v>
      </c>
      <c r="X48" s="13">
        <v>3.97131666858657</v>
      </c>
      <c r="Y48" s="13">
        <v>0.139183055975794</v>
      </c>
      <c r="Z48" s="13">
        <v>6.2234794908062198E-2</v>
      </c>
      <c r="AA48" s="13">
        <v>0.147901148250733</v>
      </c>
    </row>
    <row r="49" spans="1:27" x14ac:dyDescent="0.25">
      <c r="A49" s="10" t="s">
        <v>740</v>
      </c>
      <c r="B49" s="10" t="s">
        <v>741</v>
      </c>
      <c r="C49" s="13">
        <v>0</v>
      </c>
      <c r="D49" s="13">
        <v>0</v>
      </c>
      <c r="E49" s="13">
        <v>0</v>
      </c>
      <c r="F49" s="13" t="s">
        <v>141</v>
      </c>
      <c r="G49" s="13">
        <v>0</v>
      </c>
      <c r="H49" s="13" t="s">
        <v>141</v>
      </c>
      <c r="I49" s="13">
        <v>0</v>
      </c>
      <c r="J49" s="13" t="s">
        <v>141</v>
      </c>
      <c r="K49" s="13">
        <v>0</v>
      </c>
      <c r="L49" s="13" t="s">
        <v>141</v>
      </c>
      <c r="M49" s="13">
        <v>0</v>
      </c>
      <c r="N49" s="13" t="s">
        <v>141</v>
      </c>
      <c r="O49" s="13">
        <v>0</v>
      </c>
      <c r="P49" s="13" t="s">
        <v>141</v>
      </c>
      <c r="Q49" s="13">
        <v>0</v>
      </c>
      <c r="R49" s="13" t="s">
        <v>141</v>
      </c>
      <c r="S49" s="13">
        <v>0</v>
      </c>
      <c r="T49" s="13" t="s">
        <v>141</v>
      </c>
      <c r="U49" s="13" t="s">
        <v>141</v>
      </c>
      <c r="V49" s="13" t="s">
        <v>141</v>
      </c>
      <c r="W49" s="13">
        <v>0</v>
      </c>
      <c r="X49" s="13" t="s">
        <v>141</v>
      </c>
      <c r="Y49" s="13" t="s">
        <v>141</v>
      </c>
      <c r="Z49" s="13" t="s">
        <v>141</v>
      </c>
      <c r="AA49" s="13">
        <v>0</v>
      </c>
    </row>
    <row r="50" spans="1:27" x14ac:dyDescent="0.25">
      <c r="A50" s="10" t="s">
        <v>742</v>
      </c>
      <c r="B50" s="10" t="s">
        <v>743</v>
      </c>
      <c r="C50" s="13">
        <v>0</v>
      </c>
      <c r="D50" s="13" t="s">
        <v>141</v>
      </c>
      <c r="E50" s="13" t="s">
        <v>141</v>
      </c>
      <c r="F50" s="13" t="s">
        <v>141</v>
      </c>
      <c r="G50" s="13">
        <v>0</v>
      </c>
      <c r="H50" s="13" t="s">
        <v>141</v>
      </c>
      <c r="I50" s="13" t="s">
        <v>141</v>
      </c>
      <c r="J50" s="13" t="s">
        <v>141</v>
      </c>
      <c r="K50" s="13">
        <v>0</v>
      </c>
      <c r="L50" s="13" t="s">
        <v>141</v>
      </c>
      <c r="M50" s="13" t="s">
        <v>141</v>
      </c>
      <c r="N50" s="13" t="s">
        <v>141</v>
      </c>
      <c r="O50" s="13">
        <v>0</v>
      </c>
      <c r="P50" s="13" t="s">
        <v>141</v>
      </c>
      <c r="Q50" s="13" t="s">
        <v>141</v>
      </c>
      <c r="R50" s="13" t="s">
        <v>141</v>
      </c>
      <c r="S50" s="13">
        <v>0</v>
      </c>
      <c r="T50" s="13" t="s">
        <v>141</v>
      </c>
      <c r="U50" s="13" t="s">
        <v>141</v>
      </c>
      <c r="V50" s="13" t="s">
        <v>141</v>
      </c>
      <c r="W50" s="13">
        <v>0</v>
      </c>
      <c r="X50" s="13">
        <v>3.92235917521023</v>
      </c>
      <c r="Y50" s="13" t="s">
        <v>141</v>
      </c>
      <c r="Z50" s="13" t="s">
        <v>141</v>
      </c>
      <c r="AA50" s="13">
        <v>0</v>
      </c>
    </row>
    <row r="51" spans="1:27" x14ac:dyDescent="0.25">
      <c r="A51" s="10" t="s">
        <v>744</v>
      </c>
      <c r="B51" s="10" t="s">
        <v>745</v>
      </c>
      <c r="C51" s="13">
        <v>4.0298001008910003</v>
      </c>
      <c r="D51" s="13">
        <v>4.7612931922904597E-2</v>
      </c>
      <c r="E51" s="13">
        <v>0.169937789458983</v>
      </c>
      <c r="F51" s="13">
        <v>0.43527821447791598</v>
      </c>
      <c r="G51" s="13">
        <v>3.6996937212863701</v>
      </c>
      <c r="H51" s="13">
        <v>0.41119024891695399</v>
      </c>
      <c r="I51" s="13">
        <v>0.47505938242280299</v>
      </c>
      <c r="J51" s="13">
        <v>0.38599760415280199</v>
      </c>
      <c r="K51" s="13">
        <v>2.7036375165734698</v>
      </c>
      <c r="L51" s="13">
        <v>0.31954072790294602</v>
      </c>
      <c r="M51" s="13">
        <v>0.35780004089143302</v>
      </c>
      <c r="N51" s="13">
        <v>0.22307044068804799</v>
      </c>
      <c r="O51" s="13">
        <v>2.65379975874548</v>
      </c>
      <c r="P51" s="13">
        <v>3.2641641408253701E-2</v>
      </c>
      <c r="Q51" s="13">
        <v>0.14458792441541601</v>
      </c>
      <c r="R51" s="13">
        <v>3.7323877950919099E-2</v>
      </c>
      <c r="S51" s="13">
        <v>4.0950732469286999</v>
      </c>
      <c r="T51" s="13">
        <v>0.77972709551656905</v>
      </c>
      <c r="U51" s="13">
        <v>0.13394053040449999</v>
      </c>
      <c r="V51" s="13">
        <v>3.1598904571308199E-2</v>
      </c>
      <c r="W51" s="13">
        <v>3.4692747739435301</v>
      </c>
      <c r="X51" s="13">
        <v>4.8957493376339097E-2</v>
      </c>
      <c r="Y51" s="13">
        <v>0.139183055975794</v>
      </c>
      <c r="Z51" s="13">
        <v>6.2234794908062198E-2</v>
      </c>
      <c r="AA51" s="13">
        <v>0.147901148250733</v>
      </c>
    </row>
    <row r="52" spans="1:27" x14ac:dyDescent="0.25">
      <c r="A52" s="6" t="s">
        <v>114</v>
      </c>
      <c r="B52" s="6" t="s">
        <v>115</v>
      </c>
      <c r="C52" s="19">
        <v>8.8841475264083698</v>
      </c>
      <c r="D52" s="19">
        <v>7.5181445992212801</v>
      </c>
      <c r="E52" s="19">
        <v>9.4285009949749803</v>
      </c>
      <c r="F52" s="19">
        <v>9.8015568654205492</v>
      </c>
      <c r="G52" s="19">
        <v>43.284839203675297</v>
      </c>
      <c r="H52" s="19">
        <v>10.301784271973</v>
      </c>
      <c r="I52" s="19">
        <v>37.806809184481402</v>
      </c>
      <c r="J52" s="19">
        <v>40.662851058165799</v>
      </c>
      <c r="K52" s="19">
        <v>10.751138525393401</v>
      </c>
      <c r="L52" s="19">
        <v>10.290294627383</v>
      </c>
      <c r="M52" s="19">
        <v>10.882232672255199</v>
      </c>
      <c r="N52" s="19">
        <v>11.198136122539999</v>
      </c>
      <c r="O52" s="19">
        <v>11.860072376357101</v>
      </c>
      <c r="P52" s="19">
        <v>11.820937281417599</v>
      </c>
      <c r="Q52" s="19">
        <v>14.244403450167001</v>
      </c>
      <c r="R52" s="19">
        <v>22.632266492488601</v>
      </c>
      <c r="S52" s="19">
        <v>22.700215307974801</v>
      </c>
      <c r="T52" s="19">
        <v>15.8530383930842</v>
      </c>
      <c r="U52" s="19">
        <v>22.291531131606099</v>
      </c>
      <c r="V52" s="19">
        <v>24.2820026683519</v>
      </c>
      <c r="W52" s="19">
        <v>20.139017038814</v>
      </c>
      <c r="X52" s="19">
        <v>20.5304688399954</v>
      </c>
      <c r="Y52" s="19">
        <v>12.0574886535552</v>
      </c>
      <c r="Z52" s="19">
        <v>12.155586987270199</v>
      </c>
      <c r="AA52" s="19">
        <v>13.6526205394358</v>
      </c>
    </row>
    <row r="53" spans="1:27" x14ac:dyDescent="0.25">
      <c r="A53" s="10" t="s">
        <v>746</v>
      </c>
      <c r="B53" s="10" t="s">
        <v>747</v>
      </c>
      <c r="C53" s="13">
        <v>39.117515866167402</v>
      </c>
      <c r="D53" s="13">
        <v>48.091358357270302</v>
      </c>
      <c r="E53" s="13">
        <v>43.5530964202459</v>
      </c>
      <c r="F53" s="13">
        <v>40.5167233788302</v>
      </c>
      <c r="G53" s="13">
        <v>6.6385911179172998</v>
      </c>
      <c r="H53" s="13">
        <v>36.691387032821801</v>
      </c>
      <c r="I53" s="13">
        <v>5.56215360253365</v>
      </c>
      <c r="J53" s="13">
        <v>5.5237588180487203</v>
      </c>
      <c r="K53" s="13">
        <v>23.7677984665936</v>
      </c>
      <c r="L53" s="13">
        <v>23.261481802426299</v>
      </c>
      <c r="M53" s="13">
        <v>22.250051114291601</v>
      </c>
      <c r="N53" s="13">
        <v>21.667575472165801</v>
      </c>
      <c r="O53" s="13">
        <v>21.249698431845601</v>
      </c>
      <c r="P53" s="13">
        <v>22.392166006061998</v>
      </c>
      <c r="Q53" s="13">
        <v>13.3918332751658</v>
      </c>
      <c r="R53" s="13">
        <v>4.5068582625734797</v>
      </c>
      <c r="S53" s="13">
        <v>3.9473128720395199</v>
      </c>
      <c r="T53" s="13">
        <v>11.013645224171499</v>
      </c>
      <c r="U53" s="13">
        <v>3.4097432168688502</v>
      </c>
      <c r="V53" s="13">
        <v>3.0159398918615299</v>
      </c>
      <c r="W53" s="13">
        <v>7.94427016054623</v>
      </c>
      <c r="X53" s="13">
        <v>7.2831471028683303</v>
      </c>
      <c r="Y53" s="13">
        <v>7.7518910741301097</v>
      </c>
      <c r="Z53" s="13">
        <v>7.1117397454031099</v>
      </c>
      <c r="AA53" s="13">
        <v>12.2381477398015</v>
      </c>
    </row>
    <row r="54" spans="1:27" x14ac:dyDescent="0.25">
      <c r="A54" s="10" t="s">
        <v>748</v>
      </c>
      <c r="B54" s="10" t="s">
        <v>749</v>
      </c>
      <c r="C54" s="13">
        <v>39.117515866167402</v>
      </c>
      <c r="D54" s="13">
        <v>41.080249717298202</v>
      </c>
      <c r="E54" s="13">
        <v>37.349382909301198</v>
      </c>
      <c r="F54" s="13">
        <v>34.204341764588698</v>
      </c>
      <c r="G54" s="13">
        <v>0</v>
      </c>
      <c r="H54" s="13">
        <v>30.406050370805499</v>
      </c>
      <c r="I54" s="13">
        <v>0</v>
      </c>
      <c r="J54" s="13">
        <v>0</v>
      </c>
      <c r="K54" s="13">
        <v>18.3259353202283</v>
      </c>
      <c r="L54" s="13">
        <v>17.439341421143801</v>
      </c>
      <c r="M54" s="13">
        <v>16.678593334696401</v>
      </c>
      <c r="N54" s="13">
        <v>16.393198830119498</v>
      </c>
      <c r="O54" s="13">
        <v>16.1688781664656</v>
      </c>
      <c r="P54" s="13">
        <v>17.6124970855677</v>
      </c>
      <c r="Q54" s="13">
        <v>8.4259859400708006</v>
      </c>
      <c r="R54" s="13">
        <v>0</v>
      </c>
      <c r="S54" s="13">
        <v>0</v>
      </c>
      <c r="T54" s="13">
        <v>7.18281210272057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</row>
    <row r="55" spans="1:27" x14ac:dyDescent="0.25">
      <c r="A55" s="10" t="s">
        <v>750</v>
      </c>
      <c r="B55" s="10" t="s">
        <v>751</v>
      </c>
      <c r="C55" s="13">
        <v>0</v>
      </c>
      <c r="D55" s="13">
        <v>7.0111086399721003</v>
      </c>
      <c r="E55" s="13">
        <v>6.2037135109447199</v>
      </c>
      <c r="F55" s="13">
        <v>6.3123816142414597</v>
      </c>
      <c r="G55" s="13">
        <v>6.6385911179172998</v>
      </c>
      <c r="H55" s="13">
        <v>6.2853366620162996</v>
      </c>
      <c r="I55" s="13">
        <v>5.56215360253365</v>
      </c>
      <c r="J55" s="13">
        <v>5.5237588180487203</v>
      </c>
      <c r="K55" s="13">
        <v>5.4418631463653702</v>
      </c>
      <c r="L55" s="13">
        <v>5.8221403812824999</v>
      </c>
      <c r="M55" s="13">
        <v>5.5714577795951703</v>
      </c>
      <c r="N55" s="13">
        <v>5.2743766420462999</v>
      </c>
      <c r="O55" s="13">
        <v>5.0808202653799697</v>
      </c>
      <c r="P55" s="13">
        <v>4.7796689204942897</v>
      </c>
      <c r="Q55" s="13">
        <v>4.9658473350949803</v>
      </c>
      <c r="R55" s="13">
        <v>4.5068582625734797</v>
      </c>
      <c r="S55" s="13">
        <v>3.9473128720395199</v>
      </c>
      <c r="T55" s="13">
        <v>3.8308331214509699</v>
      </c>
      <c r="U55" s="13">
        <v>3.4097432168688502</v>
      </c>
      <c r="V55" s="13">
        <v>3.0159398918615299</v>
      </c>
      <c r="W55" s="13">
        <v>7.94427016054623</v>
      </c>
      <c r="X55" s="13">
        <v>7.2831471028683303</v>
      </c>
      <c r="Y55" s="13">
        <v>7.7518910741301097</v>
      </c>
      <c r="Z55" s="13">
        <v>7.1117397454031099</v>
      </c>
      <c r="AA55" s="13">
        <v>12.2381477398015</v>
      </c>
    </row>
    <row r="56" spans="1:27" x14ac:dyDescent="0.25">
      <c r="A56" s="11" t="s">
        <v>752</v>
      </c>
      <c r="B56" s="11" t="s">
        <v>753</v>
      </c>
      <c r="C56" s="25">
        <v>0</v>
      </c>
      <c r="D56" s="25" t="s">
        <v>141</v>
      </c>
      <c r="E56" s="25" t="s">
        <v>141</v>
      </c>
      <c r="F56" s="25" t="s">
        <v>141</v>
      </c>
      <c r="G56" s="25">
        <v>0</v>
      </c>
      <c r="H56" s="25" t="s">
        <v>141</v>
      </c>
      <c r="I56" s="25" t="s">
        <v>141</v>
      </c>
      <c r="J56" s="25" t="s">
        <v>141</v>
      </c>
      <c r="K56" s="25">
        <v>0</v>
      </c>
      <c r="L56" s="25" t="s">
        <v>141</v>
      </c>
      <c r="M56" s="25" t="s">
        <v>141</v>
      </c>
      <c r="N56" s="25" t="s">
        <v>141</v>
      </c>
      <c r="O56" s="25">
        <v>0</v>
      </c>
      <c r="P56" s="25" t="s">
        <v>141</v>
      </c>
      <c r="Q56" s="25" t="s">
        <v>141</v>
      </c>
      <c r="R56" s="25" t="s">
        <v>141</v>
      </c>
      <c r="S56" s="25">
        <v>0</v>
      </c>
      <c r="T56" s="25" t="s">
        <v>141</v>
      </c>
      <c r="U56" s="25" t="s">
        <v>141</v>
      </c>
      <c r="V56" s="25" t="s">
        <v>141</v>
      </c>
      <c r="W56" s="25">
        <v>0</v>
      </c>
      <c r="X56" s="25" t="s">
        <v>141</v>
      </c>
      <c r="Y56" s="25" t="s">
        <v>141</v>
      </c>
      <c r="Z56" s="25" t="s">
        <v>141</v>
      </c>
      <c r="AA56" s="25">
        <v>0</v>
      </c>
    </row>
    <row r="57" spans="1:27" x14ac:dyDescent="0.25">
      <c r="A57" s="11" t="s">
        <v>754</v>
      </c>
      <c r="B57" s="11" t="s">
        <v>755</v>
      </c>
      <c r="C57" s="25" t="s">
        <v>141</v>
      </c>
      <c r="D57" s="25">
        <v>7.0111086399721003</v>
      </c>
      <c r="E57" s="25">
        <v>6.2037135109447199</v>
      </c>
      <c r="F57" s="25">
        <v>6.3123816142414597</v>
      </c>
      <c r="G57" s="25">
        <v>6.6385911179172998</v>
      </c>
      <c r="H57" s="25">
        <v>6.2853366620162996</v>
      </c>
      <c r="I57" s="25">
        <v>5.56215360253365</v>
      </c>
      <c r="J57" s="25">
        <v>5.5237588180487203</v>
      </c>
      <c r="K57" s="25">
        <v>5.4418631463653702</v>
      </c>
      <c r="L57" s="25">
        <v>5.8221403812824999</v>
      </c>
      <c r="M57" s="25">
        <v>5.5714577795951703</v>
      </c>
      <c r="N57" s="25">
        <v>5.2743766420462999</v>
      </c>
      <c r="O57" s="25">
        <v>5.0808202653799697</v>
      </c>
      <c r="P57" s="25">
        <v>4.7796689204942897</v>
      </c>
      <c r="Q57" s="25">
        <v>4.9658473350949803</v>
      </c>
      <c r="R57" s="25">
        <v>4.5068582625734797</v>
      </c>
      <c r="S57" s="25">
        <v>3.9473128720395199</v>
      </c>
      <c r="T57" s="25">
        <v>3.8308331214509699</v>
      </c>
      <c r="U57" s="25">
        <v>3.4097432168688502</v>
      </c>
      <c r="V57" s="25">
        <v>3.0159398918615299</v>
      </c>
      <c r="W57" s="25">
        <v>7.94427016054623</v>
      </c>
      <c r="X57" s="25">
        <v>7.2831471028683303</v>
      </c>
      <c r="Y57" s="25">
        <v>7.7518910741301097</v>
      </c>
      <c r="Z57" s="25">
        <v>7.1117397454031099</v>
      </c>
      <c r="AA57" s="25">
        <v>12.2381477398015</v>
      </c>
    </row>
    <row r="58" spans="1:27" x14ac:dyDescent="0.25">
      <c r="A58" s="10" t="s">
        <v>756</v>
      </c>
      <c r="B58" s="10" t="s">
        <v>757</v>
      </c>
      <c r="C58" s="13">
        <v>3.5902898954942399</v>
      </c>
      <c r="D58" s="13">
        <v>1.65632442783561</v>
      </c>
      <c r="E58" s="13">
        <v>1.67922531613772</v>
      </c>
      <c r="F58" s="13">
        <v>0.99132579336997395</v>
      </c>
      <c r="G58" s="13">
        <v>1.3093415007657001</v>
      </c>
      <c r="H58" s="13">
        <v>1.58601953153682</v>
      </c>
      <c r="I58" s="13">
        <v>1.7880707310636099</v>
      </c>
      <c r="J58" s="13">
        <v>0.28617063756156003</v>
      </c>
      <c r="K58" s="13">
        <v>0.55917449703118705</v>
      </c>
      <c r="L58" s="13">
        <v>1.15359618717504</v>
      </c>
      <c r="M58" s="13">
        <v>1.4823144551216501</v>
      </c>
      <c r="N58" s="13">
        <v>0.41144103504684498</v>
      </c>
      <c r="O58" s="13">
        <v>0.59348612786489796</v>
      </c>
      <c r="P58" s="13">
        <v>0.91862905106085302</v>
      </c>
      <c r="Q58" s="13">
        <v>1.39602133918333</v>
      </c>
      <c r="R58" s="13">
        <v>0.79779789120089595</v>
      </c>
      <c r="S58" s="13">
        <v>1.25385232405961</v>
      </c>
      <c r="T58" s="13">
        <v>1.75014831765404</v>
      </c>
      <c r="U58" s="13">
        <v>3.3867819830852199</v>
      </c>
      <c r="V58" s="13">
        <v>2.4085387262130502</v>
      </c>
      <c r="W58" s="13">
        <v>3.2693608906932399</v>
      </c>
      <c r="X58" s="13">
        <v>3.4702223246169801</v>
      </c>
      <c r="Y58" s="13">
        <v>4.2692889561270801</v>
      </c>
      <c r="Z58" s="13">
        <v>3.8189533239038198</v>
      </c>
      <c r="AA58" s="13">
        <v>4.4693037889585101</v>
      </c>
    </row>
    <row r="59" spans="1:27" x14ac:dyDescent="0.25">
      <c r="A59" s="10" t="s">
        <v>758</v>
      </c>
      <c r="B59" s="10" t="s">
        <v>759</v>
      </c>
      <c r="C59" s="13">
        <v>0</v>
      </c>
      <c r="D59" s="13" t="s">
        <v>141</v>
      </c>
      <c r="E59" s="13" t="s">
        <v>141</v>
      </c>
      <c r="F59" s="13" t="s">
        <v>141</v>
      </c>
      <c r="G59" s="13">
        <v>0</v>
      </c>
      <c r="H59" s="13" t="s">
        <v>141</v>
      </c>
      <c r="I59" s="13" t="s">
        <v>141</v>
      </c>
      <c r="J59" s="13" t="s">
        <v>141</v>
      </c>
      <c r="K59" s="13">
        <v>0</v>
      </c>
      <c r="L59" s="13" t="s">
        <v>141</v>
      </c>
      <c r="M59" s="13" t="s">
        <v>141</v>
      </c>
      <c r="N59" s="13" t="s">
        <v>141</v>
      </c>
      <c r="O59" s="13">
        <v>0</v>
      </c>
      <c r="P59" s="13" t="s">
        <v>141</v>
      </c>
      <c r="Q59" s="13" t="s">
        <v>141</v>
      </c>
      <c r="R59" s="13" t="s">
        <v>141</v>
      </c>
      <c r="S59" s="13">
        <v>0</v>
      </c>
      <c r="T59" s="13" t="s">
        <v>141</v>
      </c>
      <c r="U59" s="13" t="s">
        <v>141</v>
      </c>
      <c r="V59" s="13" t="s">
        <v>141</v>
      </c>
      <c r="W59" s="13">
        <v>0</v>
      </c>
      <c r="X59" s="13" t="s">
        <v>141</v>
      </c>
      <c r="Y59" s="13" t="s">
        <v>141</v>
      </c>
      <c r="Z59" s="13" t="s">
        <v>141</v>
      </c>
      <c r="AA59" s="13">
        <v>0</v>
      </c>
    </row>
    <row r="60" spans="1:27" x14ac:dyDescent="0.25">
      <c r="A60" s="10" t="s">
        <v>760</v>
      </c>
      <c r="B60" s="10" t="s">
        <v>761</v>
      </c>
      <c r="C60" s="13">
        <v>0</v>
      </c>
      <c r="D60" s="13" t="s">
        <v>141</v>
      </c>
      <c r="E60" s="13" t="s">
        <v>141</v>
      </c>
      <c r="F60" s="13" t="s">
        <v>141</v>
      </c>
      <c r="G60" s="13">
        <v>0</v>
      </c>
      <c r="H60" s="13" t="s">
        <v>141</v>
      </c>
      <c r="I60" s="13" t="s">
        <v>141</v>
      </c>
      <c r="J60" s="13" t="s">
        <v>141</v>
      </c>
      <c r="K60" s="13">
        <v>0</v>
      </c>
      <c r="L60" s="13" t="s">
        <v>141</v>
      </c>
      <c r="M60" s="13" t="s">
        <v>141</v>
      </c>
      <c r="N60" s="13" t="s">
        <v>141</v>
      </c>
      <c r="O60" s="13">
        <v>0</v>
      </c>
      <c r="P60" s="13" t="s">
        <v>141</v>
      </c>
      <c r="Q60" s="13" t="s">
        <v>141</v>
      </c>
      <c r="R60" s="13" t="s">
        <v>141</v>
      </c>
      <c r="S60" s="13">
        <v>0</v>
      </c>
      <c r="T60" s="13" t="s">
        <v>141</v>
      </c>
      <c r="U60" s="13" t="s">
        <v>141</v>
      </c>
      <c r="V60" s="13" t="s">
        <v>141</v>
      </c>
      <c r="W60" s="13">
        <v>0</v>
      </c>
      <c r="X60" s="13" t="s">
        <v>141</v>
      </c>
      <c r="Y60" s="13" t="s">
        <v>141</v>
      </c>
      <c r="Z60" s="13" t="s">
        <v>141</v>
      </c>
      <c r="AA60" s="13">
        <v>0</v>
      </c>
    </row>
    <row r="61" spans="1:27" x14ac:dyDescent="0.25">
      <c r="A61" s="11" t="s">
        <v>762</v>
      </c>
      <c r="B61" s="11" t="s">
        <v>763</v>
      </c>
      <c r="C61" s="25">
        <v>0</v>
      </c>
      <c r="D61" s="25" t="s">
        <v>141</v>
      </c>
      <c r="E61" s="25" t="s">
        <v>141</v>
      </c>
      <c r="F61" s="25" t="s">
        <v>141</v>
      </c>
      <c r="G61" s="25">
        <v>0</v>
      </c>
      <c r="H61" s="25" t="s">
        <v>141</v>
      </c>
      <c r="I61" s="25" t="s">
        <v>141</v>
      </c>
      <c r="J61" s="25" t="s">
        <v>141</v>
      </c>
      <c r="K61" s="25">
        <v>0</v>
      </c>
      <c r="L61" s="25" t="s">
        <v>141</v>
      </c>
      <c r="M61" s="25" t="s">
        <v>141</v>
      </c>
      <c r="N61" s="25" t="s">
        <v>141</v>
      </c>
      <c r="O61" s="25">
        <v>0</v>
      </c>
      <c r="P61" s="25" t="s">
        <v>141</v>
      </c>
      <c r="Q61" s="25" t="s">
        <v>141</v>
      </c>
      <c r="R61" s="25" t="s">
        <v>141</v>
      </c>
      <c r="S61" s="25">
        <v>0</v>
      </c>
      <c r="T61" s="25" t="s">
        <v>141</v>
      </c>
      <c r="U61" s="25" t="s">
        <v>141</v>
      </c>
      <c r="V61" s="25" t="s">
        <v>141</v>
      </c>
      <c r="W61" s="25">
        <v>0</v>
      </c>
      <c r="X61" s="25" t="s">
        <v>141</v>
      </c>
      <c r="Y61" s="25" t="s">
        <v>141</v>
      </c>
      <c r="Z61" s="25" t="s">
        <v>141</v>
      </c>
      <c r="AA61" s="25">
        <v>0</v>
      </c>
    </row>
    <row r="62" spans="1:27" x14ac:dyDescent="0.25">
      <c r="A62" s="11" t="s">
        <v>764</v>
      </c>
      <c r="B62" s="11" t="s">
        <v>765</v>
      </c>
      <c r="C62" s="25">
        <v>0</v>
      </c>
      <c r="D62" s="25" t="s">
        <v>141</v>
      </c>
      <c r="E62" s="25" t="s">
        <v>141</v>
      </c>
      <c r="F62" s="25" t="s">
        <v>141</v>
      </c>
      <c r="G62" s="25">
        <v>0</v>
      </c>
      <c r="H62" s="25" t="s">
        <v>141</v>
      </c>
      <c r="I62" s="25" t="s">
        <v>141</v>
      </c>
      <c r="J62" s="25" t="s">
        <v>141</v>
      </c>
      <c r="K62" s="25">
        <v>0</v>
      </c>
      <c r="L62" s="25" t="s">
        <v>141</v>
      </c>
      <c r="M62" s="25" t="s">
        <v>141</v>
      </c>
      <c r="N62" s="25" t="s">
        <v>141</v>
      </c>
      <c r="O62" s="25">
        <v>0</v>
      </c>
      <c r="P62" s="25" t="s">
        <v>141</v>
      </c>
      <c r="Q62" s="25" t="s">
        <v>141</v>
      </c>
      <c r="R62" s="25" t="s">
        <v>141</v>
      </c>
      <c r="S62" s="25">
        <v>0</v>
      </c>
      <c r="T62" s="25" t="s">
        <v>141</v>
      </c>
      <c r="U62" s="25" t="s">
        <v>141</v>
      </c>
      <c r="V62" s="25" t="s">
        <v>141</v>
      </c>
      <c r="W62" s="25">
        <v>0</v>
      </c>
      <c r="X62" s="25" t="s">
        <v>141</v>
      </c>
      <c r="Y62" s="25" t="s">
        <v>141</v>
      </c>
      <c r="Z62" s="25" t="s">
        <v>141</v>
      </c>
      <c r="AA62" s="25">
        <v>0</v>
      </c>
    </row>
    <row r="63" spans="1:27" x14ac:dyDescent="0.25">
      <c r="A63" s="10" t="s">
        <v>740</v>
      </c>
      <c r="B63" s="10" t="s">
        <v>766</v>
      </c>
      <c r="C63" s="13">
        <v>1.7663980603150999</v>
      </c>
      <c r="D63" s="13">
        <v>1.65632442783561</v>
      </c>
      <c r="E63" s="13">
        <v>0</v>
      </c>
      <c r="F63" s="13">
        <v>0</v>
      </c>
      <c r="G63" s="13">
        <v>0</v>
      </c>
      <c r="H63" s="13" t="s">
        <v>141</v>
      </c>
      <c r="I63" s="13" t="s">
        <v>141</v>
      </c>
      <c r="J63" s="13" t="s">
        <v>141</v>
      </c>
      <c r="K63" s="13">
        <v>0</v>
      </c>
      <c r="L63" s="13" t="s">
        <v>141</v>
      </c>
      <c r="M63" s="13" t="s">
        <v>141</v>
      </c>
      <c r="N63" s="13" t="s">
        <v>141</v>
      </c>
      <c r="O63" s="13">
        <v>0</v>
      </c>
      <c r="P63" s="13" t="s">
        <v>141</v>
      </c>
      <c r="Q63" s="13" t="s">
        <v>141</v>
      </c>
      <c r="R63" s="13" t="s">
        <v>141</v>
      </c>
      <c r="S63" s="13">
        <v>0</v>
      </c>
      <c r="T63" s="13" t="s">
        <v>141</v>
      </c>
      <c r="U63" s="13" t="s">
        <v>141</v>
      </c>
      <c r="V63" s="13" t="s">
        <v>141</v>
      </c>
      <c r="W63" s="13">
        <v>0</v>
      </c>
      <c r="X63" s="13" t="s">
        <v>141</v>
      </c>
      <c r="Y63" s="13" t="s">
        <v>141</v>
      </c>
      <c r="Z63" s="13" t="s">
        <v>141</v>
      </c>
      <c r="AA63" s="13">
        <v>0</v>
      </c>
    </row>
    <row r="64" spans="1:27" x14ac:dyDescent="0.25">
      <c r="A64" s="10" t="s">
        <v>742</v>
      </c>
      <c r="B64" s="10" t="s">
        <v>767</v>
      </c>
      <c r="C64" s="13">
        <v>0</v>
      </c>
      <c r="D64" s="13" t="s">
        <v>141</v>
      </c>
      <c r="E64" s="13" t="s">
        <v>141</v>
      </c>
      <c r="F64" s="13" t="s">
        <v>141</v>
      </c>
      <c r="G64" s="13">
        <v>0</v>
      </c>
      <c r="H64" s="13" t="s">
        <v>141</v>
      </c>
      <c r="I64" s="13" t="s">
        <v>141</v>
      </c>
      <c r="J64" s="13" t="s">
        <v>141</v>
      </c>
      <c r="K64" s="13">
        <v>0</v>
      </c>
      <c r="L64" s="13" t="s">
        <v>141</v>
      </c>
      <c r="M64" s="13" t="s">
        <v>141</v>
      </c>
      <c r="N64" s="13" t="s">
        <v>141</v>
      </c>
      <c r="O64" s="13">
        <v>0</v>
      </c>
      <c r="P64" s="13" t="s">
        <v>141</v>
      </c>
      <c r="Q64" s="13" t="s">
        <v>141</v>
      </c>
      <c r="R64" s="13" t="s">
        <v>141</v>
      </c>
      <c r="S64" s="13">
        <v>0</v>
      </c>
      <c r="T64" s="13" t="s">
        <v>141</v>
      </c>
      <c r="U64" s="13" t="s">
        <v>141</v>
      </c>
      <c r="V64" s="13" t="s">
        <v>141</v>
      </c>
      <c r="W64" s="13">
        <v>0</v>
      </c>
      <c r="X64" s="13" t="s">
        <v>141</v>
      </c>
      <c r="Y64" s="13" t="s">
        <v>141</v>
      </c>
      <c r="Z64" s="13" t="s">
        <v>141</v>
      </c>
      <c r="AA64" s="13">
        <v>0</v>
      </c>
    </row>
    <row r="65" spans="1:27" x14ac:dyDescent="0.25">
      <c r="A65" s="10" t="s">
        <v>768</v>
      </c>
      <c r="B65" s="10" t="s">
        <v>769</v>
      </c>
      <c r="C65" s="13">
        <v>1.82389183517914</v>
      </c>
      <c r="D65" s="13">
        <v>0</v>
      </c>
      <c r="E65" s="13">
        <v>1.67922531613772</v>
      </c>
      <c r="F65" s="13">
        <v>0.99132579336997395</v>
      </c>
      <c r="G65" s="13">
        <v>1.3093415007657001</v>
      </c>
      <c r="H65" s="13">
        <v>1.58601953153682</v>
      </c>
      <c r="I65" s="13">
        <v>1.7880707310636099</v>
      </c>
      <c r="J65" s="13">
        <v>0.28617063756156003</v>
      </c>
      <c r="K65" s="13">
        <v>0.55917449703118705</v>
      </c>
      <c r="L65" s="13">
        <v>1.15359618717504</v>
      </c>
      <c r="M65" s="13">
        <v>1.4823144551216501</v>
      </c>
      <c r="N65" s="13">
        <v>0.41144103504684498</v>
      </c>
      <c r="O65" s="13">
        <v>0.59348612786489796</v>
      </c>
      <c r="P65" s="13">
        <v>0.91862905106085302</v>
      </c>
      <c r="Q65" s="13">
        <v>1.39602133918333</v>
      </c>
      <c r="R65" s="13">
        <v>0.79779789120089595</v>
      </c>
      <c r="S65" s="13">
        <v>1.25385232405961</v>
      </c>
      <c r="T65" s="13">
        <v>1.75014831765404</v>
      </c>
      <c r="U65" s="13">
        <v>3.3867819830852199</v>
      </c>
      <c r="V65" s="13">
        <v>2.4085387262130502</v>
      </c>
      <c r="W65" s="13">
        <v>3.2693608906932399</v>
      </c>
      <c r="X65" s="13">
        <v>3.4702223246169801</v>
      </c>
      <c r="Y65" s="13">
        <v>4.2692889561270801</v>
      </c>
      <c r="Z65" s="13">
        <v>3.8189533239038198</v>
      </c>
      <c r="AA65" s="13">
        <v>4.4693037889585101</v>
      </c>
    </row>
    <row r="66" spans="1:27" x14ac:dyDescent="0.25">
      <c r="A66" s="6" t="s">
        <v>770</v>
      </c>
      <c r="B66" s="6" t="s">
        <v>771</v>
      </c>
      <c r="C66" s="19">
        <v>42.707805761661596</v>
      </c>
      <c r="D66" s="19">
        <v>49.747682785105901</v>
      </c>
      <c r="E66" s="19">
        <v>45.232321736383597</v>
      </c>
      <c r="F66" s="19">
        <v>41.508049172200202</v>
      </c>
      <c r="G66" s="19">
        <v>7.9479326186829997</v>
      </c>
      <c r="H66" s="19">
        <v>38.2774065643586</v>
      </c>
      <c r="I66" s="19">
        <v>7.3502243335972599</v>
      </c>
      <c r="J66" s="19">
        <v>5.8099294556102796</v>
      </c>
      <c r="K66" s="19">
        <v>24.326972963624801</v>
      </c>
      <c r="L66" s="19">
        <v>24.4150779896014</v>
      </c>
      <c r="M66" s="19">
        <v>23.732365569413201</v>
      </c>
      <c r="N66" s="19">
        <v>22.0790165072126</v>
      </c>
      <c r="O66" s="19">
        <v>21.843184559710501</v>
      </c>
      <c r="P66" s="19">
        <v>23.310795057122899</v>
      </c>
      <c r="Q66" s="19">
        <v>14.787854614349101</v>
      </c>
      <c r="R66" s="19">
        <v>5.3046561537743804</v>
      </c>
      <c r="S66" s="19">
        <v>5.2011651960991303</v>
      </c>
      <c r="T66" s="19">
        <v>12.763793541825599</v>
      </c>
      <c r="U66" s="19">
        <v>6.7965251999540799</v>
      </c>
      <c r="V66" s="19">
        <v>5.4244786180745699</v>
      </c>
      <c r="W66" s="19">
        <v>11.213631051239499</v>
      </c>
      <c r="X66" s="19">
        <v>10.7533694274853</v>
      </c>
      <c r="Y66" s="19">
        <v>12.0211800302572</v>
      </c>
      <c r="Z66" s="19">
        <v>10.9306930693069</v>
      </c>
      <c r="AA66" s="19">
        <v>16.70745152876</v>
      </c>
    </row>
    <row r="67" spans="1:27" x14ac:dyDescent="0.25">
      <c r="A67" s="6" t="s">
        <v>116</v>
      </c>
      <c r="B67" s="6" t="s">
        <v>117</v>
      </c>
      <c r="C67" s="19">
        <v>51.591953288070002</v>
      </c>
      <c r="D67" s="19">
        <v>57.265827384327203</v>
      </c>
      <c r="E67" s="19">
        <v>54.6608227313586</v>
      </c>
      <c r="F67" s="19">
        <v>51.309606037620703</v>
      </c>
      <c r="G67" s="19">
        <v>51.232771822358302</v>
      </c>
      <c r="H67" s="19">
        <v>48.579190836331598</v>
      </c>
      <c r="I67" s="19">
        <v>45.157033518078599</v>
      </c>
      <c r="J67" s="19">
        <v>46.472780513776101</v>
      </c>
      <c r="K67" s="19">
        <v>35.078111489018298</v>
      </c>
      <c r="L67" s="19">
        <v>34.705372616984398</v>
      </c>
      <c r="M67" s="19">
        <v>34.614598241668403</v>
      </c>
      <c r="N67" s="19">
        <v>33.277152629752599</v>
      </c>
      <c r="O67" s="19">
        <v>33.703256936067497</v>
      </c>
      <c r="P67" s="19">
        <v>35.131732338540502</v>
      </c>
      <c r="Q67" s="19">
        <v>29.0322580645161</v>
      </c>
      <c r="R67" s="19">
        <v>27.9369226462629</v>
      </c>
      <c r="S67" s="19">
        <v>27.901380504074002</v>
      </c>
      <c r="T67" s="19">
        <v>28.616831934909701</v>
      </c>
      <c r="U67" s="19">
        <v>29.0880563315602</v>
      </c>
      <c r="V67" s="19">
        <v>29.706481286426499</v>
      </c>
      <c r="W67" s="19">
        <v>31.352648090053499</v>
      </c>
      <c r="X67" s="19">
        <v>31.2838382674807</v>
      </c>
      <c r="Y67" s="19">
        <v>24.078668683812399</v>
      </c>
      <c r="Z67" s="19">
        <v>23.086280056577099</v>
      </c>
      <c r="AA67" s="19">
        <v>30.360072068195901</v>
      </c>
    </row>
    <row r="68" spans="1:27" x14ac:dyDescent="0.25">
      <c r="A68" s="10" t="s">
        <v>772</v>
      </c>
      <c r="B68" s="10" t="s">
        <v>168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</row>
    <row r="69" spans="1:27" x14ac:dyDescent="0.25">
      <c r="A69" s="10" t="s">
        <v>773</v>
      </c>
      <c r="B69" s="10" t="s">
        <v>774</v>
      </c>
      <c r="C69" s="13">
        <v>167.190286270668</v>
      </c>
      <c r="D69" s="13">
        <v>175.55545810218601</v>
      </c>
      <c r="E69" s="13">
        <v>159.67872103301201</v>
      </c>
      <c r="F69" s="13">
        <v>147.43261281341799</v>
      </c>
      <c r="G69" s="13">
        <v>135.39050535987701</v>
      </c>
      <c r="H69" s="13">
        <v>131.948013804244</v>
      </c>
      <c r="I69" s="13">
        <v>121.55581947743499</v>
      </c>
      <c r="J69" s="13">
        <v>124.743777452416</v>
      </c>
      <c r="K69" s="13">
        <v>106.63515305240099</v>
      </c>
      <c r="L69" s="13">
        <v>102.78921143847499</v>
      </c>
      <c r="M69" s="13">
        <v>98.625025557145804</v>
      </c>
      <c r="N69" s="13">
        <v>97.858523769394694</v>
      </c>
      <c r="O69" s="13">
        <v>97.056694813027704</v>
      </c>
      <c r="P69" s="13">
        <v>90.827698764280697</v>
      </c>
      <c r="Q69" s="13">
        <v>99.710824151169206</v>
      </c>
      <c r="R69" s="13">
        <v>95.847718577960293</v>
      </c>
      <c r="S69" s="13">
        <v>89.606113057795397</v>
      </c>
      <c r="T69" s="13">
        <v>91.982371387405706</v>
      </c>
      <c r="U69" s="13">
        <v>85.798476904825705</v>
      </c>
      <c r="V69" s="13">
        <v>81.054701214802293</v>
      </c>
      <c r="W69" s="13">
        <v>73.263824813926306</v>
      </c>
      <c r="X69" s="13">
        <v>71.8955189494298</v>
      </c>
      <c r="Y69" s="13">
        <v>77.319213313161896</v>
      </c>
      <c r="Z69" s="13">
        <v>74.209335219236195</v>
      </c>
      <c r="AA69" s="13">
        <v>68.698738806572194</v>
      </c>
    </row>
    <row r="70" spans="1:27" x14ac:dyDescent="0.25">
      <c r="A70" s="10" t="s">
        <v>775</v>
      </c>
      <c r="B70" s="10" t="s">
        <v>776</v>
      </c>
      <c r="C70" s="13">
        <v>9.1627557138843907E-3</v>
      </c>
      <c r="D70" s="13">
        <v>9.5017035197024601E-3</v>
      </c>
      <c r="E70" s="13">
        <v>8.6234289190438105E-3</v>
      </c>
      <c r="F70" s="13">
        <v>7.7970396674393099E-3</v>
      </c>
      <c r="G70" s="13">
        <v>7.6569678407350699E-3</v>
      </c>
      <c r="H70" s="13">
        <v>7.3426830163741798E-3</v>
      </c>
      <c r="I70" s="13">
        <v>6.5980469780944802E-3</v>
      </c>
      <c r="J70" s="13">
        <v>6.65513110608279E-3</v>
      </c>
      <c r="K70" s="13">
        <v>5.7646855364039901E-3</v>
      </c>
      <c r="L70" s="13">
        <v>5.4159445407278997E-3</v>
      </c>
      <c r="M70" s="13">
        <v>5.1114291555919003E-3</v>
      </c>
      <c r="N70" s="13">
        <v>4.9571209041788496E-3</v>
      </c>
      <c r="O70" s="13">
        <v>4.8250904704463197E-3</v>
      </c>
      <c r="P70" s="13">
        <v>4.6630916297505298E-3</v>
      </c>
      <c r="Q70" s="13">
        <v>4.9857904970833098E-3</v>
      </c>
      <c r="R70" s="13">
        <v>4.6654847438648899E-3</v>
      </c>
      <c r="S70" s="13">
        <v>4.2217249968337098E-3</v>
      </c>
      <c r="T70" s="13">
        <v>4.2376472582422199E-3</v>
      </c>
      <c r="U70" s="13">
        <v>3.8268722972714399E-3</v>
      </c>
      <c r="V70" s="13">
        <v>3.5109893968120198E-3</v>
      </c>
      <c r="W70" s="13">
        <v>3.07559820385065E-3</v>
      </c>
      <c r="X70" s="13">
        <v>2.87985255154936E-3</v>
      </c>
      <c r="Y70" s="13">
        <v>3.0257186081694399E-3</v>
      </c>
      <c r="Z70" s="13">
        <v>2.8288543140028298E-3</v>
      </c>
      <c r="AA70" s="13">
        <v>2.6891117863769602E-3</v>
      </c>
    </row>
    <row r="71" spans="1:27" x14ac:dyDescent="0.25">
      <c r="A71" s="10" t="s">
        <v>777</v>
      </c>
      <c r="B71" s="10" t="s">
        <v>778</v>
      </c>
      <c r="C71" s="13">
        <v>167.18112351495401</v>
      </c>
      <c r="D71" s="13">
        <v>175.54595639866599</v>
      </c>
      <c r="E71" s="13">
        <v>159.670097604093</v>
      </c>
      <c r="F71" s="13">
        <v>147.42481577375</v>
      </c>
      <c r="G71" s="13">
        <v>135.382848392037</v>
      </c>
      <c r="H71" s="13">
        <v>131.94067112122801</v>
      </c>
      <c r="I71" s="13">
        <v>121.549221430457</v>
      </c>
      <c r="J71" s="13">
        <v>124.73712232131</v>
      </c>
      <c r="K71" s="13">
        <v>106.629388366865</v>
      </c>
      <c r="L71" s="13">
        <v>102.78379549393399</v>
      </c>
      <c r="M71" s="13">
        <v>98.619914127990199</v>
      </c>
      <c r="N71" s="13">
        <v>97.853566648490599</v>
      </c>
      <c r="O71" s="13">
        <v>97.051869722557299</v>
      </c>
      <c r="P71" s="13">
        <v>90.823035672651002</v>
      </c>
      <c r="Q71" s="13">
        <v>99.705838360672104</v>
      </c>
      <c r="R71" s="13">
        <v>95.843053093216398</v>
      </c>
      <c r="S71" s="13">
        <v>89.601891332798601</v>
      </c>
      <c r="T71" s="13">
        <v>91.978133740147499</v>
      </c>
      <c r="U71" s="13">
        <v>85.794650032528395</v>
      </c>
      <c r="V71" s="13">
        <v>81.051190225405506</v>
      </c>
      <c r="W71" s="13">
        <v>73.260749215722498</v>
      </c>
      <c r="X71" s="13">
        <v>71.892639096878199</v>
      </c>
      <c r="Y71" s="13">
        <v>77.316187594553696</v>
      </c>
      <c r="Z71" s="13">
        <v>74.206506364922205</v>
      </c>
      <c r="AA71" s="13">
        <v>68.696049694785799</v>
      </c>
    </row>
    <row r="72" spans="1:27" x14ac:dyDescent="0.25">
      <c r="A72" s="10" t="s">
        <v>779</v>
      </c>
      <c r="B72" s="10" t="s">
        <v>780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</row>
    <row r="73" spans="1:27" x14ac:dyDescent="0.25">
      <c r="A73" s="10" t="s">
        <v>781</v>
      </c>
      <c r="B73" s="10" t="s">
        <v>782</v>
      </c>
      <c r="C73" s="13">
        <v>-118.587707206658</v>
      </c>
      <c r="D73" s="13">
        <v>-132.79695694892999</v>
      </c>
      <c r="E73" s="13">
        <v>-114.400001499727</v>
      </c>
      <c r="F73" s="13">
        <v>-98.878328043493894</v>
      </c>
      <c r="G73" s="13">
        <v>-86.730474732006101</v>
      </c>
      <c r="H73" s="13">
        <v>-80.424407078346405</v>
      </c>
      <c r="I73" s="13">
        <v>-67.016363156505705</v>
      </c>
      <c r="J73" s="13">
        <v>-71.429522161586604</v>
      </c>
      <c r="K73" s="13">
        <v>-41.817028881074499</v>
      </c>
      <c r="L73" s="13">
        <v>-37.5487435008665</v>
      </c>
      <c r="M73" s="13">
        <v>-33.275403802903298</v>
      </c>
      <c r="N73" s="13">
        <v>-31.155504882764099</v>
      </c>
      <c r="O73" s="13">
        <v>-30.677925211097701</v>
      </c>
      <c r="P73" s="13">
        <v>-25.525763581254399</v>
      </c>
      <c r="Q73" s="13">
        <v>-28.134815775041101</v>
      </c>
      <c r="R73" s="13">
        <v>-23.131473360082101</v>
      </c>
      <c r="S73" s="13">
        <v>-17.173977287119499</v>
      </c>
      <c r="T73" s="13">
        <v>-20.484786846342899</v>
      </c>
      <c r="U73" s="13">
        <v>-14.844437641115899</v>
      </c>
      <c r="V73" s="13">
        <v>-10.701495681482999</v>
      </c>
      <c r="W73" s="13">
        <v>-4.8317647782493696</v>
      </c>
      <c r="X73" s="13">
        <v>-3.27439235111162</v>
      </c>
      <c r="Y73" s="13">
        <v>-1.47352496217852</v>
      </c>
      <c r="Z73" s="13">
        <v>2.2942008486562901</v>
      </c>
      <c r="AA73" s="13">
        <v>0.78522064162207195</v>
      </c>
    </row>
    <row r="74" spans="1:27" x14ac:dyDescent="0.25">
      <c r="A74" s="10" t="s">
        <v>783</v>
      </c>
      <c r="B74" s="10" t="s">
        <v>784</v>
      </c>
      <c r="C74" s="13">
        <v>-0.19453235207939201</v>
      </c>
      <c r="D74" s="13">
        <v>-2.4328537583413998E-2</v>
      </c>
      <c r="E74" s="13">
        <v>6.0457735356339803E-2</v>
      </c>
      <c r="F74" s="13">
        <v>0.136109192455517</v>
      </c>
      <c r="G74" s="13">
        <v>0.107197549770291</v>
      </c>
      <c r="H74" s="13">
        <v>-0.102797562229239</v>
      </c>
      <c r="I74" s="13">
        <v>0.30351016099234601</v>
      </c>
      <c r="J74" s="13">
        <v>0.212964195394649</v>
      </c>
      <c r="K74" s="13">
        <v>0.103764339655272</v>
      </c>
      <c r="L74" s="13">
        <v>5.4159445407279003E-2</v>
      </c>
      <c r="M74" s="13">
        <v>3.5780004089143301E-2</v>
      </c>
      <c r="N74" s="13">
        <v>1.9828483616715398E-2</v>
      </c>
      <c r="O74" s="13">
        <v>-8.2026537997587495E-2</v>
      </c>
      <c r="P74" s="13">
        <v>-0.433667521566799</v>
      </c>
      <c r="Q74" s="13">
        <v>-0.60826644064416402</v>
      </c>
      <c r="R74" s="13">
        <v>-0.65316786414108396</v>
      </c>
      <c r="S74" s="13">
        <v>-0.33351627474986301</v>
      </c>
      <c r="T74" s="13">
        <v>-0.11441647597254</v>
      </c>
      <c r="U74" s="13">
        <v>-4.2095595269985797E-2</v>
      </c>
      <c r="V74" s="13">
        <v>-5.9686819745804399E-2</v>
      </c>
      <c r="W74" s="13">
        <v>0.21529187426954499</v>
      </c>
      <c r="X74" s="13">
        <v>9.5035134201128899E-2</v>
      </c>
      <c r="Y74" s="13">
        <v>7.5642965204235996E-2</v>
      </c>
      <c r="Z74" s="13">
        <v>0.41018387553041002</v>
      </c>
      <c r="AA74" s="13">
        <v>0.15596848360986401</v>
      </c>
    </row>
    <row r="75" spans="1:27" x14ac:dyDescent="0.25">
      <c r="A75" s="6" t="s">
        <v>785</v>
      </c>
      <c r="B75" s="6" t="s">
        <v>786</v>
      </c>
      <c r="C75" s="19">
        <v>48.408046711929998</v>
      </c>
      <c r="D75" s="19">
        <v>42.734172615672797</v>
      </c>
      <c r="E75" s="19">
        <v>45.3391772686414</v>
      </c>
      <c r="F75" s="19">
        <v>48.690393962379297</v>
      </c>
      <c r="G75" s="19">
        <v>48.767228177641698</v>
      </c>
      <c r="H75" s="19">
        <v>51.420809163668402</v>
      </c>
      <c r="I75" s="19">
        <v>54.842966481921401</v>
      </c>
      <c r="J75" s="19">
        <v>53.527219486223899</v>
      </c>
      <c r="K75" s="19">
        <v>64.921888510981702</v>
      </c>
      <c r="L75" s="19">
        <v>65.294627383015595</v>
      </c>
      <c r="M75" s="19">
        <v>65.385401758331597</v>
      </c>
      <c r="N75" s="19">
        <v>66.722847370247393</v>
      </c>
      <c r="O75" s="19">
        <v>66.296743063932496</v>
      </c>
      <c r="P75" s="19">
        <v>64.868267661459498</v>
      </c>
      <c r="Q75" s="19">
        <v>70.9677419354839</v>
      </c>
      <c r="R75" s="19">
        <v>72.063077353737</v>
      </c>
      <c r="S75" s="19">
        <v>72.098619495926002</v>
      </c>
      <c r="T75" s="19">
        <v>71.383168065090203</v>
      </c>
      <c r="U75" s="19">
        <v>70.911943668439804</v>
      </c>
      <c r="V75" s="19">
        <v>70.293518713573505</v>
      </c>
      <c r="W75" s="19">
        <v>68.647351909946494</v>
      </c>
      <c r="X75" s="19">
        <v>68.716161732519296</v>
      </c>
      <c r="Y75" s="19">
        <v>75.921331316187604</v>
      </c>
      <c r="Z75" s="19">
        <v>76.913719943422905</v>
      </c>
      <c r="AA75" s="19">
        <v>69.639927931804095</v>
      </c>
    </row>
    <row r="76" spans="1:27" x14ac:dyDescent="0.25">
      <c r="A76" s="10" t="s">
        <v>787</v>
      </c>
      <c r="B76" s="10" t="s">
        <v>170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</row>
    <row r="77" spans="1:27" x14ac:dyDescent="0.25">
      <c r="A77" s="6" t="s">
        <v>118</v>
      </c>
      <c r="B77" s="6" t="s">
        <v>119</v>
      </c>
      <c r="C77" s="19">
        <v>48.408046711929998</v>
      </c>
      <c r="D77" s="19">
        <v>42.734172615672797</v>
      </c>
      <c r="E77" s="19">
        <v>45.3391772686414</v>
      </c>
      <c r="F77" s="19">
        <v>48.690393962379297</v>
      </c>
      <c r="G77" s="19">
        <v>48.767228177641698</v>
      </c>
      <c r="H77" s="19">
        <v>51.420809163668402</v>
      </c>
      <c r="I77" s="19">
        <v>54.842966481921401</v>
      </c>
      <c r="J77" s="19">
        <v>53.527219486223899</v>
      </c>
      <c r="K77" s="19">
        <v>64.921888510981702</v>
      </c>
      <c r="L77" s="19">
        <v>65.294627383015595</v>
      </c>
      <c r="M77" s="19">
        <v>65.385401758331597</v>
      </c>
      <c r="N77" s="19">
        <v>66.722847370247393</v>
      </c>
      <c r="O77" s="19">
        <v>66.296743063932496</v>
      </c>
      <c r="P77" s="19">
        <v>64.868267661459498</v>
      </c>
      <c r="Q77" s="19">
        <v>70.9677419354839</v>
      </c>
      <c r="R77" s="19">
        <v>72.063077353737</v>
      </c>
      <c r="S77" s="19">
        <v>72.098619495926002</v>
      </c>
      <c r="T77" s="19">
        <v>71.383168065090203</v>
      </c>
      <c r="U77" s="19">
        <v>70.911943668439804</v>
      </c>
      <c r="V77" s="19">
        <v>70.293518713573505</v>
      </c>
      <c r="W77" s="19">
        <v>68.647351909946494</v>
      </c>
      <c r="X77" s="19">
        <v>68.716161732519296</v>
      </c>
      <c r="Y77" s="19">
        <v>75.921331316187604</v>
      </c>
      <c r="Z77" s="19">
        <v>76.913719943422905</v>
      </c>
      <c r="AA77" s="19">
        <v>69.639927931804095</v>
      </c>
    </row>
    <row r="78" spans="1:27" x14ac:dyDescent="0.25">
      <c r="A78" s="6" t="s">
        <v>788</v>
      </c>
      <c r="B78" s="6" t="s">
        <v>789</v>
      </c>
      <c r="C78" s="19">
        <v>100</v>
      </c>
      <c r="D78" s="19">
        <v>100</v>
      </c>
      <c r="E78" s="19">
        <v>100</v>
      </c>
      <c r="F78" s="19">
        <v>100</v>
      </c>
      <c r="G78" s="19">
        <v>100</v>
      </c>
      <c r="H78" s="19">
        <v>100</v>
      </c>
      <c r="I78" s="19">
        <v>100</v>
      </c>
      <c r="J78" s="19">
        <v>100</v>
      </c>
      <c r="K78" s="19">
        <v>100</v>
      </c>
      <c r="L78" s="19">
        <v>100</v>
      </c>
      <c r="M78" s="19">
        <v>100</v>
      </c>
      <c r="N78" s="19">
        <v>100</v>
      </c>
      <c r="O78" s="19">
        <v>100</v>
      </c>
      <c r="P78" s="19">
        <v>100</v>
      </c>
      <c r="Q78" s="19">
        <v>100</v>
      </c>
      <c r="R78" s="19">
        <v>100</v>
      </c>
      <c r="S78" s="19">
        <v>100</v>
      </c>
      <c r="T78" s="19">
        <v>100</v>
      </c>
      <c r="U78" s="19">
        <v>100</v>
      </c>
      <c r="V78" s="19">
        <v>100</v>
      </c>
      <c r="W78" s="19">
        <v>100</v>
      </c>
      <c r="X78" s="19">
        <v>100</v>
      </c>
      <c r="Y78" s="19">
        <v>100</v>
      </c>
      <c r="Z78" s="19">
        <v>100</v>
      </c>
      <c r="AA78" s="19">
        <v>100</v>
      </c>
    </row>
    <row r="79" spans="1:27" x14ac:dyDescent="0.25">
      <c r="A79" s="6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25">
      <c r="A80" s="6" t="s">
        <v>4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x14ac:dyDescent="0.25">
      <c r="A81" s="10" t="s">
        <v>391</v>
      </c>
      <c r="B81" s="10" t="s">
        <v>392</v>
      </c>
      <c r="C81" s="12" t="s">
        <v>393</v>
      </c>
      <c r="D81" s="12" t="s">
        <v>393</v>
      </c>
      <c r="E81" s="12" t="s">
        <v>393</v>
      </c>
      <c r="F81" s="12" t="s">
        <v>393</v>
      </c>
      <c r="G81" s="12" t="s">
        <v>393</v>
      </c>
      <c r="H81" s="12" t="s">
        <v>393</v>
      </c>
      <c r="I81" s="12" t="s">
        <v>393</v>
      </c>
      <c r="J81" s="12" t="s">
        <v>393</v>
      </c>
      <c r="K81" s="12" t="s">
        <v>393</v>
      </c>
      <c r="L81" s="12" t="s">
        <v>393</v>
      </c>
      <c r="M81" s="12" t="s">
        <v>393</v>
      </c>
      <c r="N81" s="12" t="s">
        <v>393</v>
      </c>
      <c r="O81" s="12" t="s">
        <v>393</v>
      </c>
      <c r="P81" s="12" t="s">
        <v>393</v>
      </c>
      <c r="Q81" s="12" t="s">
        <v>393</v>
      </c>
      <c r="R81" s="12" t="s">
        <v>393</v>
      </c>
      <c r="S81" s="12" t="s">
        <v>393</v>
      </c>
      <c r="T81" s="12" t="s">
        <v>393</v>
      </c>
      <c r="U81" s="12" t="s">
        <v>393</v>
      </c>
      <c r="V81" s="12" t="s">
        <v>393</v>
      </c>
      <c r="W81" s="12" t="s">
        <v>393</v>
      </c>
      <c r="X81" s="12" t="s">
        <v>393</v>
      </c>
      <c r="Y81" s="12" t="s">
        <v>393</v>
      </c>
      <c r="Z81" s="12" t="s">
        <v>393</v>
      </c>
      <c r="AA81" s="12" t="s">
        <v>393</v>
      </c>
    </row>
    <row r="82" spans="1:27" x14ac:dyDescent="0.25">
      <c r="A82" s="10" t="s">
        <v>790</v>
      </c>
      <c r="B82" s="10" t="s">
        <v>121</v>
      </c>
      <c r="C82" s="13">
        <v>9.14232448036603</v>
      </c>
      <c r="D82" s="13">
        <v>9.5313571878298795</v>
      </c>
      <c r="E82" s="13">
        <v>8.5799368427564602</v>
      </c>
      <c r="F82" s="13">
        <v>7.8038197019327296</v>
      </c>
      <c r="G82" s="13">
        <v>7.0673813169984703</v>
      </c>
      <c r="H82" s="13">
        <v>6.8140098391952399</v>
      </c>
      <c r="I82" s="13">
        <v>6.1493797835840596</v>
      </c>
      <c r="J82" s="13">
        <v>6.21589245308133</v>
      </c>
      <c r="K82" s="13">
        <v>5.3899809765377302</v>
      </c>
      <c r="L82" s="13">
        <v>5.1180675909878701</v>
      </c>
      <c r="M82" s="13">
        <v>4.8354119811899396</v>
      </c>
      <c r="N82" s="13">
        <v>4.6993506171615502</v>
      </c>
      <c r="O82" s="13">
        <v>4.5790108564535599</v>
      </c>
      <c r="P82" s="13">
        <v>4.4532525064117499</v>
      </c>
      <c r="Q82" s="13">
        <v>4.7664157152116502</v>
      </c>
      <c r="R82" s="13">
        <v>4.4835308388541604</v>
      </c>
      <c r="S82" s="13">
        <v>4.0739646219445298</v>
      </c>
      <c r="T82" s="13">
        <v>4.1317060767861697</v>
      </c>
      <c r="U82" s="13">
        <v>3.7350273621369201</v>
      </c>
      <c r="V82" s="13">
        <v>3.4477915876694101</v>
      </c>
      <c r="W82" s="13">
        <v>3.03561542720059</v>
      </c>
      <c r="X82" s="13">
        <v>2.8971316668586602</v>
      </c>
      <c r="Y82" s="13">
        <v>3.0529500756429702</v>
      </c>
      <c r="Z82" s="13">
        <v>2.86280056577086</v>
      </c>
      <c r="AA82" s="13">
        <v>2.6729771156586999</v>
      </c>
    </row>
    <row r="83" spans="1:27" x14ac:dyDescent="0.25">
      <c r="A83" s="10" t="s">
        <v>791</v>
      </c>
      <c r="B83" s="10" t="s">
        <v>792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</row>
    <row r="84" spans="1:27" x14ac:dyDescent="0.25">
      <c r="A84" s="10" t="s">
        <v>793</v>
      </c>
      <c r="B84" s="10" t="s">
        <v>794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</row>
    <row r="85" spans="1:27" x14ac:dyDescent="0.25">
      <c r="A85" s="10" t="s">
        <v>795</v>
      </c>
      <c r="B85" s="10" t="s">
        <v>796</v>
      </c>
      <c r="C85" s="13">
        <v>10.2602726070859</v>
      </c>
      <c r="D85" s="13">
        <v>10.4738008797951</v>
      </c>
      <c r="E85" s="13">
        <v>9.2478776522902209</v>
      </c>
      <c r="F85" s="13">
        <v>9.7933360735972794</v>
      </c>
      <c r="G85" s="13">
        <v>10.3124808575804</v>
      </c>
      <c r="H85" s="13">
        <v>9.5822013363683105</v>
      </c>
      <c r="I85" s="13">
        <v>8.4652942728952194</v>
      </c>
      <c r="J85" s="13">
        <v>8.3921203247703993</v>
      </c>
      <c r="K85" s="13">
        <v>8.0647950654291805</v>
      </c>
      <c r="L85" s="13">
        <v>8.4705372616984391</v>
      </c>
      <c r="M85" s="13">
        <v>8.1425066448578995</v>
      </c>
      <c r="N85" s="13">
        <v>7.7182372478064698</v>
      </c>
      <c r="O85" s="13">
        <v>7.4451145958986702</v>
      </c>
      <c r="P85" s="13">
        <v>7.00862671951504</v>
      </c>
      <c r="Q85" s="13">
        <v>7.2792541257416401</v>
      </c>
      <c r="R85" s="13">
        <v>6.6109918820565499</v>
      </c>
      <c r="S85" s="13">
        <v>5.7964284206526804</v>
      </c>
      <c r="T85" s="13">
        <v>5.63183320620392</v>
      </c>
      <c r="U85" s="13">
        <v>5.00172209253377</v>
      </c>
      <c r="V85" s="13">
        <v>4.4273576293799604</v>
      </c>
      <c r="W85" s="13">
        <v>11.7949191117672</v>
      </c>
      <c r="X85" s="13">
        <v>10.8685635295473</v>
      </c>
      <c r="Y85" s="13">
        <v>11.5279878971256</v>
      </c>
      <c r="Z85" s="13">
        <v>10.526166902404499</v>
      </c>
      <c r="AA85" s="13">
        <v>17.594858418264401</v>
      </c>
    </row>
    <row r="86" spans="1:27" x14ac:dyDescent="0.25">
      <c r="A86" s="10" t="s">
        <v>797</v>
      </c>
      <c r="B86" s="10" t="s">
        <v>798</v>
      </c>
      <c r="C86" s="13">
        <v>0</v>
      </c>
      <c r="D86" s="13" t="s">
        <v>141</v>
      </c>
      <c r="E86" s="13" t="s">
        <v>141</v>
      </c>
      <c r="F86" s="13" t="s">
        <v>141</v>
      </c>
      <c r="G86" s="13">
        <v>0</v>
      </c>
      <c r="H86" s="13" t="s">
        <v>141</v>
      </c>
      <c r="I86" s="13" t="s">
        <v>141</v>
      </c>
      <c r="J86" s="13" t="s">
        <v>141</v>
      </c>
      <c r="K86" s="13">
        <v>0</v>
      </c>
      <c r="L86" s="13" t="s">
        <v>141</v>
      </c>
      <c r="M86" s="13" t="s">
        <v>141</v>
      </c>
      <c r="N86" s="13" t="s">
        <v>141</v>
      </c>
      <c r="O86" s="13">
        <v>0</v>
      </c>
      <c r="P86" s="13" t="s">
        <v>141</v>
      </c>
      <c r="Q86" s="13" t="s">
        <v>141</v>
      </c>
      <c r="R86" s="13" t="s">
        <v>141</v>
      </c>
      <c r="S86" s="13" t="s">
        <v>141</v>
      </c>
      <c r="T86" s="13" t="s">
        <v>141</v>
      </c>
      <c r="U86" s="13" t="s">
        <v>141</v>
      </c>
      <c r="V86" s="13" t="s">
        <v>141</v>
      </c>
      <c r="W86" s="13" t="s">
        <v>141</v>
      </c>
      <c r="X86" s="13" t="s">
        <v>141</v>
      </c>
      <c r="Y86" s="13" t="s">
        <v>141</v>
      </c>
      <c r="Z86" s="13" t="s">
        <v>141</v>
      </c>
      <c r="AA86" s="13" t="s">
        <v>141</v>
      </c>
    </row>
    <row r="87" spans="1:27" x14ac:dyDescent="0.25">
      <c r="A87" s="10" t="s">
        <v>799</v>
      </c>
      <c r="B87" s="10" t="s">
        <v>800</v>
      </c>
      <c r="C87" s="13" t="s">
        <v>141</v>
      </c>
      <c r="D87" s="13">
        <v>0</v>
      </c>
      <c r="E87" s="13">
        <v>0</v>
      </c>
      <c r="F87" s="13">
        <v>0</v>
      </c>
      <c r="G87" s="13" t="s">
        <v>141</v>
      </c>
      <c r="H87" s="13">
        <v>0</v>
      </c>
      <c r="I87" s="13" t="s">
        <v>141</v>
      </c>
      <c r="J87" s="13" t="s">
        <v>141</v>
      </c>
      <c r="K87" s="13" t="s">
        <v>141</v>
      </c>
      <c r="L87" s="13">
        <v>0</v>
      </c>
      <c r="M87" s="13" t="s">
        <v>141</v>
      </c>
      <c r="N87" s="13" t="s">
        <v>141</v>
      </c>
      <c r="O87" s="13">
        <v>8.6851628468033806E-2</v>
      </c>
      <c r="P87" s="13" t="s">
        <v>141</v>
      </c>
      <c r="Q87" s="13" t="s">
        <v>141</v>
      </c>
      <c r="R87" s="13" t="s">
        <v>141</v>
      </c>
      <c r="S87" s="13">
        <v>9.28779499303415E-2</v>
      </c>
      <c r="T87" s="13" t="s">
        <v>141</v>
      </c>
      <c r="U87" s="13" t="s">
        <v>141</v>
      </c>
      <c r="V87" s="13" t="s">
        <v>141</v>
      </c>
      <c r="W87" s="13" t="s">
        <v>141</v>
      </c>
      <c r="X87" s="13" t="s">
        <v>141</v>
      </c>
      <c r="Y87" s="13" t="s">
        <v>141</v>
      </c>
      <c r="Z87" s="13" t="s">
        <v>141</v>
      </c>
      <c r="AA87" s="13" t="s">
        <v>141</v>
      </c>
    </row>
    <row r="88" spans="1:27" x14ac:dyDescent="0.25">
      <c r="A88" s="10" t="s">
        <v>801</v>
      </c>
      <c r="B88" s="10" t="s">
        <v>802</v>
      </c>
      <c r="C88" s="13">
        <v>0.57856257507669995</v>
      </c>
      <c r="D88" s="13" t="s">
        <v>141</v>
      </c>
      <c r="E88" s="13" t="s">
        <v>141</v>
      </c>
      <c r="F88" s="13" t="s">
        <v>141</v>
      </c>
      <c r="G88" s="13">
        <v>0.46761102603369098</v>
      </c>
      <c r="H88" s="13" t="s">
        <v>141</v>
      </c>
      <c r="I88" s="13" t="s">
        <v>141</v>
      </c>
      <c r="J88" s="13" t="s">
        <v>141</v>
      </c>
      <c r="K88" s="13">
        <v>0.39199861647547102</v>
      </c>
      <c r="L88" s="13" t="s">
        <v>141</v>
      </c>
      <c r="M88" s="13" t="s">
        <v>141</v>
      </c>
      <c r="N88" s="13" t="s">
        <v>141</v>
      </c>
      <c r="O88" s="13">
        <v>0.37153196622436702</v>
      </c>
      <c r="P88" s="13" t="s">
        <v>141</v>
      </c>
      <c r="Q88" s="13" t="s">
        <v>141</v>
      </c>
      <c r="R88" s="13" t="s">
        <v>141</v>
      </c>
      <c r="S88" s="13">
        <v>0.37995524971503403</v>
      </c>
      <c r="T88" s="13" t="s">
        <v>141</v>
      </c>
      <c r="U88" s="13" t="s">
        <v>141</v>
      </c>
      <c r="V88" s="13" t="s">
        <v>141</v>
      </c>
      <c r="W88" s="13">
        <v>0.30755982038506502</v>
      </c>
      <c r="X88" s="13" t="s">
        <v>141</v>
      </c>
      <c r="Y88" s="13" t="s">
        <v>141</v>
      </c>
      <c r="Z88" s="13" t="s">
        <v>141</v>
      </c>
      <c r="AA88" s="13">
        <v>0.25815473149218798</v>
      </c>
    </row>
    <row r="89" spans="1:27" x14ac:dyDescent="0.25">
      <c r="A89" s="10" t="s">
        <v>803</v>
      </c>
      <c r="B89" s="10" t="s">
        <v>804</v>
      </c>
      <c r="C89" s="13">
        <v>-26.422668859015399</v>
      </c>
      <c r="D89" s="13">
        <v>-6.2877262005820098</v>
      </c>
      <c r="E89" s="13">
        <v>-14.2078490075089</v>
      </c>
      <c r="F89" s="13">
        <v>-15.5883163055592</v>
      </c>
      <c r="G89" s="13">
        <v>-12.765543644716701</v>
      </c>
      <c r="H89" s="13">
        <v>-19.325941699096798</v>
      </c>
      <c r="I89" s="13">
        <v>-28.7212984956453</v>
      </c>
      <c r="J89" s="13">
        <v>-28.4174098229735</v>
      </c>
      <c r="K89" s="13">
        <v>-21.8135700697527</v>
      </c>
      <c r="L89" s="13">
        <v>-23.396880415944501</v>
      </c>
      <c r="M89" s="13">
        <v>-22.2142711102024</v>
      </c>
      <c r="N89" s="13">
        <v>-15.530659792792299</v>
      </c>
      <c r="O89" s="13">
        <v>-12.275030156815401</v>
      </c>
      <c r="P89" s="13">
        <v>-7.8246677547213803</v>
      </c>
      <c r="Q89" s="13">
        <v>-18.0784763424241</v>
      </c>
      <c r="R89" s="13">
        <v>-24.087897732574401</v>
      </c>
      <c r="S89" s="13">
        <v>-30.666610377000001</v>
      </c>
      <c r="T89" s="13">
        <v>-26.896347148063398</v>
      </c>
      <c r="U89" s="13">
        <v>-26.795759825494599</v>
      </c>
      <c r="V89" s="13">
        <v>-28.842777894810801</v>
      </c>
      <c r="W89" s="13">
        <v>-17.567816940394898</v>
      </c>
      <c r="X89" s="13">
        <v>-23.035940559843301</v>
      </c>
      <c r="Y89" s="13">
        <v>-22.611195158850201</v>
      </c>
      <c r="Z89" s="13">
        <v>-26.642149929278599</v>
      </c>
      <c r="AA89" s="13">
        <v>-15.607604808131899</v>
      </c>
    </row>
    <row r="90" spans="1:27" x14ac:dyDescent="0.25">
      <c r="A90" s="10" t="s">
        <v>805</v>
      </c>
      <c r="B90" s="10" t="s">
        <v>806</v>
      </c>
      <c r="C90" s="13">
        <v>-5.4959634536943502</v>
      </c>
      <c r="D90" s="13">
        <v>-1.5363084106782401</v>
      </c>
      <c r="E90" s="13">
        <v>-2.9372902374348699</v>
      </c>
      <c r="F90" s="13">
        <v>-2.7133001394144598</v>
      </c>
      <c r="G90" s="13">
        <v>-2.00432465543645</v>
      </c>
      <c r="H90" s="13">
        <v>-2.75966612820325</v>
      </c>
      <c r="I90" s="13">
        <v>-3.4554016231195601</v>
      </c>
      <c r="J90" s="13">
        <v>-3.5331853454013</v>
      </c>
      <c r="K90" s="13">
        <v>-1.9369179685248199</v>
      </c>
      <c r="L90" s="13">
        <v>-1.9406834922010401</v>
      </c>
      <c r="M90" s="13">
        <v>-1.73657529135146</v>
      </c>
      <c r="N90" s="13">
        <v>-1.1538380012888501</v>
      </c>
      <c r="O90" s="13">
        <v>-0.89337920386007197</v>
      </c>
      <c r="P90" s="13">
        <v>-0.56248062485427797</v>
      </c>
      <c r="Q90" s="13">
        <v>-1.2700910903923801</v>
      </c>
      <c r="R90" s="13">
        <v>-1.55949099561444</v>
      </c>
      <c r="S90" s="13">
        <v>-1.7956792755519899</v>
      </c>
      <c r="T90" s="13">
        <v>-1.5966961606915799</v>
      </c>
      <c r="U90" s="13">
        <v>-1.4460744709349</v>
      </c>
      <c r="V90" s="13">
        <v>-1.44062622006882</v>
      </c>
      <c r="W90" s="13">
        <v>-0.78708857722827097</v>
      </c>
      <c r="X90" s="13">
        <v>-0.96542227277963399</v>
      </c>
      <c r="Y90" s="13">
        <v>-0.901131649016641</v>
      </c>
      <c r="Z90" s="13">
        <v>-0.97988707213578496</v>
      </c>
      <c r="AA90" s="13">
        <v>-0.60268002258853903</v>
      </c>
    </row>
    <row r="91" spans="1:27" x14ac:dyDescent="0.25">
      <c r="A91" s="10" t="s">
        <v>807</v>
      </c>
      <c r="B91" s="10" t="s">
        <v>808</v>
      </c>
      <c r="C91" s="13">
        <v>4.8741880137058704</v>
      </c>
      <c r="D91" s="13">
        <v>4.4620598022601499</v>
      </c>
      <c r="E91" s="13">
        <v>4.2497735881244099</v>
      </c>
      <c r="F91" s="13">
        <v>4.1265318852309703</v>
      </c>
      <c r="G91" s="13">
        <v>3.7340909647779501</v>
      </c>
      <c r="H91" s="13">
        <v>3.7756670093252098</v>
      </c>
      <c r="I91" s="13" t="s">
        <v>141</v>
      </c>
      <c r="J91" s="13" t="s">
        <v>141</v>
      </c>
      <c r="K91" s="13">
        <v>3.74254274514325</v>
      </c>
      <c r="L91" s="13">
        <v>3.5363207863951498</v>
      </c>
      <c r="M91" s="13" t="s">
        <v>141</v>
      </c>
      <c r="N91" s="13" t="s">
        <v>141</v>
      </c>
      <c r="O91" s="13">
        <v>3.19887782870929</v>
      </c>
      <c r="P91" s="13" t="s">
        <v>141</v>
      </c>
      <c r="Q91" s="13">
        <v>3.5383029366306</v>
      </c>
      <c r="R91" s="13" t="s">
        <v>141</v>
      </c>
      <c r="S91" s="13">
        <v>3.0250112720057398</v>
      </c>
      <c r="T91" s="13">
        <v>3.0055439444020702</v>
      </c>
      <c r="U91" s="13">
        <v>2.69776522138456</v>
      </c>
      <c r="V91" s="13">
        <v>2.4550593006109098</v>
      </c>
      <c r="W91" s="13">
        <v>2.10067211047549</v>
      </c>
      <c r="X91" s="13">
        <v>1.9699360672733599</v>
      </c>
      <c r="Y91" s="13">
        <v>2.28970550680787</v>
      </c>
      <c r="Z91" s="13">
        <v>2.16934053748232</v>
      </c>
      <c r="AA91" s="13">
        <v>1.8646027375158001</v>
      </c>
    </row>
    <row r="92" spans="1:27" x14ac:dyDescent="0.25">
      <c r="A92" s="10" t="s">
        <v>809</v>
      </c>
      <c r="B92" s="10" t="s">
        <v>810</v>
      </c>
      <c r="C92" s="13">
        <v>0.84193541566186803</v>
      </c>
      <c r="D92" s="13">
        <v>0.91821612303348699</v>
      </c>
      <c r="E92" s="13">
        <v>0.69776971882935102</v>
      </c>
      <c r="F92" s="13">
        <v>0.60033781521863505</v>
      </c>
      <c r="G92" s="13">
        <v>0.11255865237366</v>
      </c>
      <c r="H92" s="13">
        <v>0.50671319480138</v>
      </c>
      <c r="I92" s="13">
        <v>0.13198396674584301</v>
      </c>
      <c r="J92" s="13">
        <v>0.126011779582058</v>
      </c>
      <c r="K92" s="13">
        <v>0.314105839626448</v>
      </c>
      <c r="L92" s="13">
        <v>0.30939298093587497</v>
      </c>
      <c r="M92" s="13">
        <v>0.26651937231650003</v>
      </c>
      <c r="N92" s="13">
        <v>0.22068953551777101</v>
      </c>
      <c r="O92" s="13">
        <v>0.19096207478890201</v>
      </c>
      <c r="P92" s="13">
        <v>0.187296246211238</v>
      </c>
      <c r="Q92" s="13">
        <v>0.17787944358578101</v>
      </c>
      <c r="R92" s="13">
        <v>0.11593986190165199</v>
      </c>
      <c r="S92" s="13">
        <v>0.114120825769409</v>
      </c>
      <c r="T92" s="13">
        <v>0.16230155097889701</v>
      </c>
      <c r="U92" s="13">
        <v>9.8322681872105896E-2</v>
      </c>
      <c r="V92" s="13">
        <v>8.3759146127378697E-2</v>
      </c>
      <c r="W92" s="13">
        <v>7.5480839023189999E-2</v>
      </c>
      <c r="X92" s="13">
        <v>7.2672963944245994E-2</v>
      </c>
      <c r="Y92" s="13">
        <v>0.126784054462935</v>
      </c>
      <c r="Z92" s="13">
        <v>0.123542659123055</v>
      </c>
      <c r="AA92" s="13">
        <v>9.1351413128243797E-2</v>
      </c>
    </row>
    <row r="93" spans="1:27" x14ac:dyDescent="0.25">
      <c r="A93" s="10" t="s">
        <v>811</v>
      </c>
      <c r="B93" s="10" t="s">
        <v>812</v>
      </c>
      <c r="C93" s="13">
        <v>23.975718898737501</v>
      </c>
      <c r="D93" s="13" t="s">
        <v>141</v>
      </c>
      <c r="E93" s="13" t="s">
        <v>141</v>
      </c>
      <c r="F93" s="13" t="s">
        <v>141</v>
      </c>
      <c r="G93" s="13">
        <v>11.3248160030628</v>
      </c>
      <c r="H93" s="13" t="s">
        <v>141</v>
      </c>
      <c r="I93" s="13" t="s">
        <v>141</v>
      </c>
      <c r="J93" s="13" t="s">
        <v>141</v>
      </c>
      <c r="K93" s="13">
        <v>17.108793854845199</v>
      </c>
      <c r="L93" s="13" t="s">
        <v>141</v>
      </c>
      <c r="M93" s="13" t="s">
        <v>141</v>
      </c>
      <c r="N93" s="13" t="s">
        <v>141</v>
      </c>
      <c r="O93" s="13">
        <v>-12.314967092883</v>
      </c>
      <c r="P93" s="13" t="s">
        <v>141</v>
      </c>
      <c r="Q93" s="13" t="s">
        <v>141</v>
      </c>
      <c r="R93" s="13" t="s">
        <v>141</v>
      </c>
      <c r="S93" s="13">
        <v>-29.375542533879301</v>
      </c>
      <c r="T93" s="13" t="s">
        <v>141</v>
      </c>
      <c r="U93" s="13" t="s">
        <v>141</v>
      </c>
      <c r="V93" s="13" t="s">
        <v>141</v>
      </c>
      <c r="W93" s="13">
        <v>-22.7580598203851</v>
      </c>
      <c r="X93" s="13" t="s">
        <v>141</v>
      </c>
      <c r="Y93" s="13" t="s">
        <v>141</v>
      </c>
      <c r="Z93" s="13" t="s">
        <v>141</v>
      </c>
      <c r="AA93" s="13">
        <v>-10.5032860139296</v>
      </c>
    </row>
    <row r="94" spans="1:27" x14ac:dyDescent="0.25">
      <c r="A94" s="10" t="s">
        <v>813</v>
      </c>
      <c r="B94" s="10" t="s">
        <v>814</v>
      </c>
      <c r="C94" s="13">
        <v>585</v>
      </c>
      <c r="D94" s="13" t="s">
        <v>141</v>
      </c>
      <c r="E94" s="13" t="s">
        <v>141</v>
      </c>
      <c r="F94" s="13" t="s">
        <v>141</v>
      </c>
      <c r="G94" s="13">
        <v>700</v>
      </c>
      <c r="H94" s="13" t="s">
        <v>141</v>
      </c>
      <c r="I94" s="13" t="s">
        <v>141</v>
      </c>
      <c r="J94" s="13" t="s">
        <v>141</v>
      </c>
      <c r="K94" s="13">
        <v>845</v>
      </c>
      <c r="L94" s="13" t="s">
        <v>141</v>
      </c>
      <c r="M94" s="13" t="s">
        <v>141</v>
      </c>
      <c r="N94" s="13" t="s">
        <v>141</v>
      </c>
      <c r="O94" s="13">
        <v>900</v>
      </c>
      <c r="P94" s="13" t="s">
        <v>141</v>
      </c>
      <c r="Q94" s="13" t="s">
        <v>141</v>
      </c>
      <c r="R94" s="13" t="s">
        <v>141</v>
      </c>
      <c r="S94" s="13">
        <v>1200</v>
      </c>
      <c r="T94" s="13" t="s">
        <v>141</v>
      </c>
      <c r="U94" s="13" t="s">
        <v>141</v>
      </c>
      <c r="V94" s="13" t="s">
        <v>141</v>
      </c>
      <c r="W94" s="13">
        <v>1400</v>
      </c>
      <c r="X94" s="13" t="s">
        <v>141</v>
      </c>
      <c r="Y94" s="13" t="s">
        <v>141</v>
      </c>
      <c r="Z94" s="13">
        <v>1700</v>
      </c>
      <c r="AA94" s="13">
        <v>1800</v>
      </c>
    </row>
    <row r="95" spans="1:27" x14ac:dyDescent="0.25">
      <c r="A95" s="7" t="s">
        <v>90</v>
      </c>
      <c r="B95" s="7"/>
      <c r="C95" s="7" t="s">
        <v>5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1059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1060</v>
      </c>
      <c r="B6" s="10" t="s">
        <v>967</v>
      </c>
      <c r="C6" s="13">
        <f>_xll.BDH("NBIX US Equity","ARDR_FV_ASSETS_REC_LEVEL_1","FQ4 2018","FQ4 2018","Currency=USD","Period=FQ","BEST_FPERIOD_OVERRIDE=FQ","FILING_STATUS=MR","SCALING_FORMAT=MLN","Sort=A","Dates=H","DateFormat=P","Fill=—","Direction=H","UseDPDF=Y")</f>
        <v>0</v>
      </c>
      <c r="D6" s="13">
        <f>_xll.BDH("NBIX US Equity","ARDR_FV_ASSETS_REC_LEVEL_1","FQ1 2019","FQ1 2019","Currency=USD","Period=FQ","BEST_FPERIOD_OVERRIDE=FQ","FILING_STATUS=MR","SCALING_FORMAT=MLN","Sort=A","Dates=H","DateFormat=P","Fill=—","Direction=H","UseDPDF=Y")</f>
        <v>0</v>
      </c>
      <c r="E6" s="13">
        <f>_xll.BDH("NBIX US Equity","ARDR_FV_ASSETS_REC_LEVEL_1","FQ2 2019","FQ2 2019","Currency=USD","Period=FQ","BEST_FPERIOD_OVERRIDE=FQ","FILING_STATUS=MR","SCALING_FORMAT=MLN","Sort=A","Dates=H","DateFormat=P","Fill=—","Direction=H","UseDPDF=Y")</f>
        <v>0</v>
      </c>
      <c r="F6" s="13">
        <f>_xll.BDH("NBIX US Equity","ARDR_FV_ASSETS_REC_LEVEL_1","FQ3 2019","FQ3 2019","Currency=USD","Period=FQ","BEST_FPERIOD_OVERRIDE=FQ","FILING_STATUS=MR","SCALING_FORMAT=MLN","Sort=A","Dates=H","DateFormat=P","Fill=—","Direction=H","UseDPDF=Y")</f>
        <v>0</v>
      </c>
      <c r="G6" s="13">
        <f>_xll.BDH("NBIX US Equity","ARDR_FV_ASSETS_REC_LEVEL_1","FQ4 2019","FQ4 2019","Currency=USD","Period=FQ","BEST_FPERIOD_OVERRIDE=FQ","FILING_STATUS=MR","SCALING_FORMAT=MLN","Sort=A","Dates=H","DateFormat=P","Fill=—","Direction=H","UseDPDF=Y")</f>
        <v>115.5</v>
      </c>
      <c r="H6" s="13">
        <f>_xll.BDH("NBIX US Equity","ARDR_FV_ASSETS_REC_LEVEL_1","FQ1 2020","FQ1 2020","Currency=USD","Period=FQ","BEST_FPERIOD_OVERRIDE=FQ","FILING_STATUS=MR","SCALING_FORMAT=MLN","Sort=A","Dates=H","DateFormat=P","Fill=—","Direction=H","UseDPDF=Y")</f>
        <v>190.2</v>
      </c>
      <c r="I6" s="13">
        <f>_xll.BDH("NBIX US Equity","ARDR_FV_ASSETS_REC_LEVEL_1","FQ2 2020","FQ2 2020","Currency=USD","Period=FQ","BEST_FPERIOD_OVERRIDE=FQ","FILING_STATUS=MR","SCALING_FORMAT=MLN","Sort=A","Dates=H","DateFormat=P","Fill=—","Direction=H","UseDPDF=Y")</f>
        <v>418.3</v>
      </c>
      <c r="J6" s="13">
        <f>_xll.BDH("NBIX US Equity","ARDR_FV_ASSETS_REC_LEVEL_1","FQ3 2020","FQ3 2020","Currency=USD","Period=FQ","BEST_FPERIOD_OVERRIDE=FQ","FILING_STATUS=MR","SCALING_FORMAT=MLN","Sort=A","Dates=H","DateFormat=P","Fill=—","Direction=H","UseDPDF=Y")</f>
        <v>428.5</v>
      </c>
      <c r="K6" s="13">
        <f>_xll.BDH("NBIX US Equity","ARDR_FV_ASSETS_REC_LEVEL_1","FQ4 2020","FQ4 2020","Currency=USD","Period=FQ","BEST_FPERIOD_OVERRIDE=FQ","FILING_STATUS=MR","SCALING_FORMAT=MLN","Sort=A","Dates=H","DateFormat=P","Fill=—","Direction=H","UseDPDF=Y")</f>
        <v>190.3</v>
      </c>
      <c r="L6" s="13">
        <f>_xll.BDH("NBIX US Equity","ARDR_FV_ASSETS_REC_LEVEL_1","FQ1 2021","FQ1 2021","Currency=USD","Period=FQ","BEST_FPERIOD_OVERRIDE=FQ","FILING_STATUS=MR","SCALING_FORMAT=MLN","Sort=A","Dates=H","DateFormat=P","Fill=—","Direction=H","UseDPDF=Y")</f>
        <v>355.8</v>
      </c>
      <c r="M6" s="13">
        <f>_xll.BDH("NBIX US Equity","ARDR_FV_ASSETS_REC_LEVEL_1","FQ2 2021","FQ2 2021","Currency=USD","Period=FQ","BEST_FPERIOD_OVERRIDE=FQ","FILING_STATUS=MR","SCALING_FORMAT=MLN","Sort=A","Dates=H","DateFormat=P","Fill=—","Direction=H","UseDPDF=Y")</f>
        <v>371.2</v>
      </c>
      <c r="N6" s="13">
        <f>_xll.BDH("NBIX US Equity","ARDR_FV_ASSETS_REC_LEVEL_1","FQ3 2021","FQ3 2021","Currency=USD","Period=FQ","BEST_FPERIOD_OVERRIDE=FQ","FILING_STATUS=MR","SCALING_FORMAT=MLN","Sort=A","Dates=H","DateFormat=P","Fill=—","Direction=H","UseDPDF=Y")</f>
        <v>314.3</v>
      </c>
      <c r="O6" s="13">
        <f>_xll.BDH("NBIX US Equity","ARDR_FV_ASSETS_REC_LEVEL_1","FQ4 2021","FQ4 2021","Currency=USD","Period=FQ","BEST_FPERIOD_OVERRIDE=FQ","FILING_STATUS=MR","SCALING_FORMAT=MLN","Sort=A","Dates=H","DateFormat=P","Fill=—","Direction=H","UseDPDF=Y")</f>
        <v>396.7</v>
      </c>
      <c r="P6" s="13">
        <f>_xll.BDH("NBIX US Equity","ARDR_FV_ASSETS_REC_LEVEL_1","FQ1 2022","FQ1 2022","Currency=USD","Period=FQ","BEST_FPERIOD_OVERRIDE=FQ","FILING_STATUS=MR","SCALING_FORMAT=MLN","Sort=A","Dates=H","DateFormat=P","Fill=—","Direction=H","UseDPDF=Y")</f>
        <v>369.3</v>
      </c>
      <c r="Q6" s="13">
        <f>_xll.BDH("NBIX US Equity","ARDR_FV_ASSETS_REC_LEVEL_1","FQ2 2022","FQ2 2022","Currency=USD","Period=FQ","BEST_FPERIOD_OVERRIDE=FQ","FILING_STATUS=MR","SCALING_FORMAT=MLN","Sort=A","Dates=H","DateFormat=P","Fill=—","Direction=H","UseDPDF=Y")</f>
        <v>254.9</v>
      </c>
      <c r="R6" s="13">
        <f>_xll.BDH("NBIX US Equity","ARDR_FV_ASSETS_REC_LEVEL_1","FQ3 2022","FQ3 2022","Currency=USD","Period=FQ","BEST_FPERIOD_OVERRIDE=FQ","FILING_STATUS=MR","SCALING_FORMAT=MLN","Sort=A","Dates=H","DateFormat=P","Fill=—","Direction=H","UseDPDF=Y")</f>
        <v>314.89999999999998</v>
      </c>
      <c r="S6" s="13">
        <f>_xll.BDH("NBIX US Equity","ARDR_FV_ASSETS_REC_LEVEL_1","FQ4 2022","FQ4 2022","Currency=USD","Period=FQ","BEST_FPERIOD_OVERRIDE=FQ","FILING_STATUS=MR","SCALING_FORMAT=MLN","Sort=A","Dates=H","DateFormat=P","Fill=—","Direction=H","UseDPDF=Y")</f>
        <v>372.8</v>
      </c>
      <c r="T6" s="13">
        <f>_xll.BDH("NBIX US Equity","ARDR_FV_ASSETS_REC_LEVEL_1","FQ1 2023","FQ1 2023","Currency=USD","Period=FQ","BEST_FPERIOD_OVERRIDE=FQ","FILING_STATUS=MR","SCALING_FORMAT=MLN","Sort=A","Dates=H","DateFormat=P","Fill=—","Direction=H","UseDPDF=Y")</f>
        <v>247.3</v>
      </c>
      <c r="U6" s="13">
        <f>_xll.BDH("NBIX US Equity","ARDR_FV_ASSETS_REC_LEVEL_1","FQ2 2023","FQ2 2023","Currency=USD","Period=FQ","BEST_FPERIOD_OVERRIDE=FQ","FILING_STATUS=MR","SCALING_FORMAT=MLN","Sort=A","Dates=H","DateFormat=P","Fill=—","Direction=H","UseDPDF=Y")</f>
        <v>341.2</v>
      </c>
      <c r="V6" s="13">
        <f>_xll.BDH("NBIX US Equity","ARDR_FV_ASSETS_REC_LEVEL_1","FQ3 2023","FQ3 2023","Currency=USD","Period=FQ","BEST_FPERIOD_OVERRIDE=FQ","FILING_STATUS=MR","SCALING_FORMAT=MLN","Sort=A","Dates=H","DateFormat=P","Fill=—","Direction=H","UseDPDF=Y")</f>
        <v>434.5</v>
      </c>
      <c r="W6" s="13">
        <f>_xll.BDH("NBIX US Equity","ARDR_FV_ASSETS_REC_LEVEL_1","FQ4 2023","FQ4 2023","Currency=USD","Period=FQ","BEST_FPERIOD_OVERRIDE=FQ","FILING_STATUS=MR","SCALING_FORMAT=MLN","Sort=A","Dates=H","DateFormat=P","Fill=—","Direction=H","UseDPDF=Y")</f>
        <v>421</v>
      </c>
      <c r="X6" s="13">
        <f>_xll.BDH("NBIX US Equity","ARDR_FV_ASSETS_REC_LEVEL_1","FQ1 2024","FQ1 2024","Currency=USD","Period=FQ","BEST_FPERIOD_OVERRIDE=FQ","FILING_STATUS=MR","SCALING_FORMAT=MLN","Sort=A","Dates=H","DateFormat=P","Fill=—","Direction=H","UseDPDF=Y")</f>
        <v>567.79999999999995</v>
      </c>
      <c r="Y6" s="13">
        <f>_xll.BDH("NBIX US Equity","ARDR_FV_ASSETS_REC_LEVEL_1","FQ2 2024","FQ2 2024","Currency=USD","Period=FQ","BEST_FPERIOD_OVERRIDE=FQ","FILING_STATUS=MR","SCALING_FORMAT=MLN","Sort=A","Dates=H","DateFormat=P","Fill=—","Direction=H","UseDPDF=Y")</f>
        <v>291.3</v>
      </c>
      <c r="Z6" s="13">
        <f>_xll.BDH("NBIX US Equity","ARDR_FV_ASSETS_REC_LEVEL_1","FQ3 2024","FQ3 2024","Currency=USD","Period=FQ","BEST_FPERIOD_OVERRIDE=FQ","FILING_STATUS=MR","SCALING_FORMAT=MLN","Sort=A","Dates=H","DateFormat=P","Fill=—","Direction=H","UseDPDF=Y")</f>
        <v>475.8</v>
      </c>
      <c r="AA6" s="13">
        <f>_xll.BDH("NBIX US Equity","ARDR_FV_ASSETS_REC_LEVEL_1","FQ4 2024","FQ4 2024","Currency=USD","Period=FQ","BEST_FPERIOD_OVERRIDE=FQ","FILING_STATUS=MR","SCALING_FORMAT=MLN","Sort=A","Dates=H","DateFormat=P","Fill=—","Direction=H","UseDPDF=Y")</f>
        <v>357.8</v>
      </c>
    </row>
    <row r="7" spans="1:27" x14ac:dyDescent="0.25">
      <c r="A7" s="10" t="s">
        <v>1061</v>
      </c>
      <c r="B7" s="10" t="s">
        <v>969</v>
      </c>
      <c r="C7" s="13">
        <f>_xll.BDH("NBIX US Equity","ARDR_FV_ASSETS_REC_LEVEL_2","FQ4 2018","FQ4 2018","Currency=USD","Period=FQ","BEST_FPERIOD_OVERRIDE=FQ","FILING_STATUS=MR","SCALING_FORMAT=MLN","Sort=A","Dates=H","DateFormat=P","Fill=—","Direction=H","UseDPDF=Y")</f>
        <v>725.2</v>
      </c>
      <c r="D7" s="13">
        <f>_xll.BDH("NBIX US Equity","ARDR_FV_ASSETS_REC_LEVEL_2","FQ1 2019","FQ1 2019","Currency=USD","Period=FQ","BEST_FPERIOD_OVERRIDE=FQ","FILING_STATUS=MR","SCALING_FORMAT=MLN","Sort=A","Dates=H","DateFormat=P","Fill=—","Direction=H","UseDPDF=Y")</f>
        <v>0.628</v>
      </c>
      <c r="E7" s="13">
        <f>_xll.BDH("NBIX US Equity","ARDR_FV_ASSETS_REC_LEVEL_2","FQ2 2019","FQ2 2019","Currency=USD","Period=FQ","BEST_FPERIOD_OVERRIDE=FQ","FILING_STATUS=MR","SCALING_FORMAT=MLN","Sort=A","Dates=H","DateFormat=P","Fill=—","Direction=H","UseDPDF=Y")</f>
        <v>625.49599999999998</v>
      </c>
      <c r="F7" s="13">
        <f>_xll.BDH("NBIX US Equity","ARDR_FV_ASSETS_REC_LEVEL_2","FQ3 2019","FQ3 2019","Currency=USD","Period=FQ","BEST_FPERIOD_OVERRIDE=FQ","FILING_STATUS=MR","SCALING_FORMAT=MLN","Sort=A","Dates=H","DateFormat=P","Fill=—","Direction=H","UseDPDF=Y")</f>
        <v>708.31799999999998</v>
      </c>
      <c r="G7" s="13">
        <f>_xll.BDH("NBIX US Equity","ARDR_FV_ASSETS_REC_LEVEL_2","FQ4 2019","FQ4 2019","Currency=USD","Period=FQ","BEST_FPERIOD_OVERRIDE=FQ","FILING_STATUS=MR","SCALING_FORMAT=MLN","Sort=A","Dates=H","DateFormat=P","Fill=—","Direction=H","UseDPDF=Y")</f>
        <v>857.9</v>
      </c>
      <c r="H7" s="13">
        <f>_xll.BDH("NBIX US Equity","ARDR_FV_ASSETS_REC_LEVEL_2","FQ1 2020","FQ1 2020","Currency=USD","Period=FQ","BEST_FPERIOD_OVERRIDE=FQ","FILING_STATUS=MR","SCALING_FORMAT=MLN","Sort=A","Dates=H","DateFormat=P","Fill=—","Direction=H","UseDPDF=Y")</f>
        <v>820.6</v>
      </c>
      <c r="I7" s="13">
        <f>_xll.BDH("NBIX US Equity","ARDR_FV_ASSETS_REC_LEVEL_2","FQ2 2020","FQ2 2020","Currency=USD","Period=FQ","BEST_FPERIOD_OVERRIDE=FQ","FILING_STATUS=MR","SCALING_FORMAT=MLN","Sort=A","Dates=H","DateFormat=P","Fill=—","Direction=H","UseDPDF=Y")</f>
        <v>728.4</v>
      </c>
      <c r="J7" s="13">
        <f>_xll.BDH("NBIX US Equity","ARDR_FV_ASSETS_REC_LEVEL_2","FQ3 2020","FQ3 2020","Currency=USD","Period=FQ","BEST_FPERIOD_OVERRIDE=FQ","FILING_STATUS=MR","SCALING_FORMAT=MLN","Sort=A","Dates=H","DateFormat=P","Fill=—","Direction=H","UseDPDF=Y")</f>
        <v>700.8</v>
      </c>
      <c r="K7" s="13">
        <f>_xll.BDH("NBIX US Equity","ARDR_FV_ASSETS_REC_LEVEL_2","FQ4 2020","FQ4 2020","Currency=USD","Period=FQ","BEST_FPERIOD_OVERRIDE=FQ","FILING_STATUS=MR","SCALING_FORMAT=MLN","Sort=A","Dates=H","DateFormat=P","Fill=—","Direction=H","UseDPDF=Y")</f>
        <v>841</v>
      </c>
      <c r="L7" s="13">
        <f>_xll.BDH("NBIX US Equity","ARDR_FV_ASSETS_REC_LEVEL_2","FQ1 2021","FQ1 2021","Currency=USD","Period=FQ","BEST_FPERIOD_OVERRIDE=FQ","FILING_STATUS=MR","SCALING_FORMAT=MLN","Sort=A","Dates=H","DateFormat=P","Fill=—","Direction=H","UseDPDF=Y")</f>
        <v>770.7</v>
      </c>
      <c r="M7" s="13">
        <f>_xll.BDH("NBIX US Equity","ARDR_FV_ASSETS_REC_LEVEL_2","FQ2 2021","FQ2 2021","Currency=USD","Period=FQ","BEST_FPERIOD_OVERRIDE=FQ","FILING_STATUS=MR","SCALING_FORMAT=MLN","Sort=A","Dates=H","DateFormat=P","Fill=—","Direction=H","UseDPDF=Y")</f>
        <v>854.7</v>
      </c>
      <c r="N7" s="13">
        <f>_xll.BDH("NBIX US Equity","ARDR_FV_ASSETS_REC_LEVEL_2","FQ3 2021","FQ3 2021","Currency=USD","Period=FQ","BEST_FPERIOD_OVERRIDE=FQ","FILING_STATUS=MR","SCALING_FORMAT=MLN","Sort=A","Dates=H","DateFormat=P","Fill=—","Direction=H","UseDPDF=Y")</f>
        <v>968.5</v>
      </c>
      <c r="O7" s="13">
        <f>_xll.BDH("NBIX US Equity","ARDR_FV_ASSETS_REC_LEVEL_2","FQ4 2021","FQ4 2021","Currency=USD","Period=FQ","BEST_FPERIOD_OVERRIDE=FQ","FILING_STATUS=MR","SCALING_FORMAT=MLN","Sort=A","Dates=H","DateFormat=P","Fill=—","Direction=H","UseDPDF=Y")</f>
        <v>931.2</v>
      </c>
      <c r="P7" s="13">
        <f>_xll.BDH("NBIX US Equity","ARDR_FV_ASSETS_REC_LEVEL_2","FQ1 2022","FQ1 2022","Currency=USD","Period=FQ","BEST_FPERIOD_OVERRIDE=FQ","FILING_STATUS=MR","SCALING_FORMAT=MLN","Sort=A","Dates=H","DateFormat=P","Fill=—","Direction=H","UseDPDF=Y")</f>
        <v>935.7</v>
      </c>
      <c r="Q7" s="13">
        <f>_xll.BDH("NBIX US Equity","ARDR_FV_ASSETS_REC_LEVEL_2","FQ2 2022","FQ2 2022","Currency=USD","Period=FQ","BEST_FPERIOD_OVERRIDE=FQ","FILING_STATUS=MR","SCALING_FORMAT=MLN","Sort=A","Dates=H","DateFormat=P","Fill=—","Direction=H","UseDPDF=Y")</f>
        <v>890.2</v>
      </c>
      <c r="R7" s="13">
        <f>_xll.BDH("NBIX US Equity","ARDR_FV_ASSETS_REC_LEVEL_2","FQ3 2022","FQ3 2022","Currency=USD","Period=FQ","BEST_FPERIOD_OVERRIDE=FQ","FILING_STATUS=MR","SCALING_FORMAT=MLN","Sort=A","Dates=H","DateFormat=P","Fill=—","Direction=H","UseDPDF=Y")</f>
        <v>949.8</v>
      </c>
      <c r="S7" s="13">
        <f>_xll.BDH("NBIX US Equity","ARDR_FV_ASSETS_REC_LEVEL_2","FQ4 2022","FQ4 2022","Currency=USD","Period=FQ","BEST_FPERIOD_OVERRIDE=FQ","FILING_STATUS=MR","SCALING_FORMAT=MLN","Sort=A","Dates=H","DateFormat=P","Fill=—","Direction=H","UseDPDF=Y")</f>
        <v>1025.8</v>
      </c>
      <c r="T7" s="13">
        <f>_xll.BDH("NBIX US Equity","ARDR_FV_ASSETS_REC_LEVEL_2","FQ1 2023","FQ1 2023","Currency=USD","Period=FQ","BEST_FPERIOD_OVERRIDE=FQ","FILING_STATUS=MR","SCALING_FORMAT=MLN","Sort=A","Dates=H","DateFormat=P","Fill=—","Direction=H","UseDPDF=Y")</f>
        <v>1035.4000000000001</v>
      </c>
      <c r="U7" s="13">
        <f>_xll.BDH("NBIX US Equity","ARDR_FV_ASSETS_REC_LEVEL_2","FQ2 2023","FQ2 2023","Currency=USD","Period=FQ","BEST_FPERIOD_OVERRIDE=FQ","FILING_STATUS=MR","SCALING_FORMAT=MLN","Sort=A","Dates=H","DateFormat=P","Fill=—","Direction=H","UseDPDF=Y")</f>
        <v>1159.0999999999999</v>
      </c>
      <c r="V7" s="13">
        <f>_xll.BDH("NBIX US Equity","ARDR_FV_ASSETS_REC_LEVEL_2","FQ3 2023","FQ3 2023","Currency=USD","Period=FQ","BEST_FPERIOD_OVERRIDE=FQ","FILING_STATUS=MR","SCALING_FORMAT=MLN","Sort=A","Dates=H","DateFormat=P","Fill=—","Direction=H","UseDPDF=Y")</f>
        <v>1256.0999999999999</v>
      </c>
      <c r="W7" s="13">
        <f>_xll.BDH("NBIX US Equity","ARDR_FV_ASSETS_REC_LEVEL_2","FQ4 2023","FQ4 2023","Currency=USD","Period=FQ","BEST_FPERIOD_OVERRIDE=FQ","FILING_STATUS=MR","SCALING_FORMAT=MLN","Sort=A","Dates=H","DateFormat=P","Fill=—","Direction=H","UseDPDF=Y")</f>
        <v>1468</v>
      </c>
      <c r="X7" s="13">
        <f>_xll.BDH("NBIX US Equity","ARDR_FV_ASSETS_REC_LEVEL_2","FQ1 2024","FQ1 2024","Currency=USD","Period=FQ","BEST_FPERIOD_OVERRIDE=FQ","FILING_STATUS=MR","SCALING_FORMAT=MLN","Sort=A","Dates=H","DateFormat=P","Fill=—","Direction=H","UseDPDF=Y")</f>
        <v>1514.7</v>
      </c>
      <c r="Y7" s="13">
        <f>_xll.BDH("NBIX US Equity","ARDR_FV_ASSETS_REC_LEVEL_2","FQ2 2024","FQ2 2024","Currency=USD","Period=FQ","BEST_FPERIOD_OVERRIDE=FQ","FILING_STATUS=MR","SCALING_FORMAT=MLN","Sort=A","Dates=H","DateFormat=P","Fill=—","Direction=H","UseDPDF=Y")</f>
        <v>1537</v>
      </c>
      <c r="Z7" s="13">
        <f>_xll.BDH("NBIX US Equity","ARDR_FV_ASSETS_REC_LEVEL_2","FQ3 2024","FQ3 2024","Currency=USD","Period=FQ","BEST_FPERIOD_OVERRIDE=FQ","FILING_STATUS=MR","SCALING_FORMAT=MLN","Sort=A","Dates=H","DateFormat=P","Fill=—","Direction=H","UseDPDF=Y")</f>
        <v>1522.8</v>
      </c>
      <c r="AA7" s="13">
        <f>_xll.BDH("NBIX US Equity","ARDR_FV_ASSETS_REC_LEVEL_2","FQ4 2024","FQ4 2024","Currency=USD","Period=FQ","BEST_FPERIOD_OVERRIDE=FQ","FILING_STATUS=MR","SCALING_FORMAT=MLN","Sort=A","Dates=H","DateFormat=P","Fill=—","Direction=H","UseDPDF=Y")</f>
        <v>1582.6</v>
      </c>
    </row>
    <row r="8" spans="1:27" x14ac:dyDescent="0.25">
      <c r="A8" s="10" t="s">
        <v>1062</v>
      </c>
      <c r="B8" s="10" t="s">
        <v>971</v>
      </c>
      <c r="C8" s="13">
        <f>_xll.BDH("NBIX US Equity","ARDR_FV_ASSETS_REC_LEVEL_3","FQ4 2018","FQ4 2018","Currency=USD","Period=FQ","BEST_FPERIOD_OVERRIDE=FQ","FILING_STATUS=MR","SCALING_FORMAT=MLN","Sort=A","Dates=H","DateFormat=P","Fill=—","Direction=H","UseDPDF=Y")</f>
        <v>0</v>
      </c>
      <c r="D8" s="13">
        <f>_xll.BDH("NBIX US Equity","ARDR_FV_ASSETS_REC_LEVEL_3","FQ1 2019","FQ1 2019","Currency=USD","Period=FQ","BEST_FPERIOD_OVERRIDE=FQ","FILING_STATUS=MR","SCALING_FORMAT=MLN","Sort=A","Dates=H","DateFormat=P","Fill=—","Direction=H","UseDPDF=Y")</f>
        <v>5.6399999999999999E-2</v>
      </c>
      <c r="E8" s="13">
        <f>_xll.BDH("NBIX US Equity","ARDR_FV_ASSETS_REC_LEVEL_3","FQ2 2019","FQ2 2019","Currency=USD","Period=FQ","BEST_FPERIOD_OVERRIDE=FQ","FILING_STATUS=MR","SCALING_FORMAT=MLN","Sort=A","Dates=H","DateFormat=P","Fill=—","Direction=H","UseDPDF=Y")</f>
        <v>77.364999999999995</v>
      </c>
      <c r="F8" s="13">
        <f>_xll.BDH("NBIX US Equity","ARDR_FV_ASSETS_REC_LEVEL_3","FQ3 2019","FQ3 2019","Currency=USD","Period=FQ","BEST_FPERIOD_OVERRIDE=FQ","FILING_STATUS=MR","SCALING_FORMAT=MLN","Sort=A","Dates=H","DateFormat=P","Fill=—","Direction=H","UseDPDF=Y")</f>
        <v>48.914999999999999</v>
      </c>
      <c r="G8" s="13">
        <f>_xll.BDH("NBIX US Equity","ARDR_FV_ASSETS_REC_LEVEL_3","FQ4 2019","FQ4 2019","Currency=USD","Period=FQ","BEST_FPERIOD_OVERRIDE=FQ","FILING_STATUS=MR","SCALING_FORMAT=MLN","Sort=A","Dates=H","DateFormat=P","Fill=—","Direction=H","UseDPDF=Y")</f>
        <v>55.9</v>
      </c>
      <c r="H8" s="13">
        <f>_xll.BDH("NBIX US Equity","ARDR_FV_ASSETS_REC_LEVEL_3","FQ1 2020","FQ1 2020","Currency=USD","Period=FQ","BEST_FPERIOD_OVERRIDE=FQ","FILING_STATUS=MR","SCALING_FORMAT=MLN","Sort=A","Dates=H","DateFormat=P","Fill=—","Direction=H","UseDPDF=Y")</f>
        <v>39.4</v>
      </c>
      <c r="I8" s="13">
        <f>_xll.BDH("NBIX US Equity","ARDR_FV_ASSETS_REC_LEVEL_3","FQ2 2020","FQ2 2020","Currency=USD","Period=FQ","BEST_FPERIOD_OVERRIDE=FQ","FILING_STATUS=MR","SCALING_FORMAT=MLN","Sort=A","Dates=H","DateFormat=P","Fill=—","Direction=H","UseDPDF=Y")</f>
        <v>50.7</v>
      </c>
      <c r="J8" s="13">
        <f>_xll.BDH("NBIX US Equity","ARDR_FV_ASSETS_REC_LEVEL_3","FQ3 2020","FQ3 2020","Currency=USD","Period=FQ","BEST_FPERIOD_OVERRIDE=FQ","FILING_STATUS=MR","SCALING_FORMAT=MLN","Sort=A","Dates=H","DateFormat=P","Fill=—","Direction=H","UseDPDF=Y")</f>
        <v>43.7</v>
      </c>
      <c r="K8" s="13">
        <f>_xll.BDH("NBIX US Equity","ARDR_FV_ASSETS_REC_LEVEL_3","FQ4 2020","FQ4 2020","Currency=USD","Period=FQ","BEST_FPERIOD_OVERRIDE=FQ","FILING_STATUS=MR","SCALING_FORMAT=MLN","Sort=A","Dates=H","DateFormat=P","Fill=—","Direction=H","UseDPDF=Y")</f>
        <v>38.200000000000003</v>
      </c>
      <c r="L8" s="13">
        <f>_xll.BDH("NBIX US Equity","ARDR_FV_ASSETS_REC_LEVEL_3","FQ1 2021","FQ1 2021","Currency=USD","Period=FQ","BEST_FPERIOD_OVERRIDE=FQ","FILING_STATUS=MR","SCALING_FORMAT=MLN","Sort=A","Dates=H","DateFormat=P","Fill=—","Direction=H","UseDPDF=Y")</f>
        <v>38.9</v>
      </c>
      <c r="M8" s="13">
        <f>_xll.BDH("NBIX US Equity","ARDR_FV_ASSETS_REC_LEVEL_3","FQ2 2021","FQ2 2021","Currency=USD","Period=FQ","BEST_FPERIOD_OVERRIDE=FQ","FILING_STATUS=MR","SCALING_FORMAT=MLN","Sort=A","Dates=H","DateFormat=P","Fill=—","Direction=H","UseDPDF=Y")</f>
        <v>38.9</v>
      </c>
      <c r="N8" s="13">
        <f>_xll.BDH("NBIX US Equity","ARDR_FV_ASSETS_REC_LEVEL_3","FQ3 2021","FQ3 2021","Currency=USD","Period=FQ","BEST_FPERIOD_OVERRIDE=FQ","FILING_STATUS=MR","SCALING_FORMAT=MLN","Sort=A","Dates=H","DateFormat=P","Fill=—","Direction=H","UseDPDF=Y")</f>
        <v>35.299999999999997</v>
      </c>
      <c r="O8" s="13">
        <f>_xll.BDH("NBIX US Equity","ARDR_FV_ASSETS_REC_LEVEL_3","FQ4 2021","FQ4 2021","Currency=USD","Period=FQ","BEST_FPERIOD_OVERRIDE=FQ","FILING_STATUS=MR","SCALING_FORMAT=MLN","Sort=A","Dates=H","DateFormat=P","Fill=—","Direction=H","UseDPDF=Y")</f>
        <v>11</v>
      </c>
      <c r="P8" s="13">
        <f>_xll.BDH("NBIX US Equity","ARDR_FV_ASSETS_REC_LEVEL_3","FQ1 2022","FQ1 2022","Currency=USD","Period=FQ","BEST_FPERIOD_OVERRIDE=FQ","FILING_STATUS=MR","SCALING_FORMAT=MLN","Sort=A","Dates=H","DateFormat=P","Fill=—","Direction=H","UseDPDF=Y")</f>
        <v>0</v>
      </c>
      <c r="Q8" s="13">
        <f>_xll.BDH("NBIX US Equity","ARDR_FV_ASSETS_REC_LEVEL_3","FQ2 2022","FQ2 2022","Currency=USD","Period=FQ","BEST_FPERIOD_OVERRIDE=FQ","FILING_STATUS=MR","SCALING_FORMAT=MLN","Sort=A","Dates=H","DateFormat=P","Fill=—","Direction=H","UseDPDF=Y")</f>
        <v>0</v>
      </c>
      <c r="R8" s="13">
        <f>_xll.BDH("NBIX US Equity","ARDR_FV_ASSETS_REC_LEVEL_3","FQ3 2022","FQ3 2022","Currency=USD","Period=FQ","BEST_FPERIOD_OVERRIDE=FQ","FILING_STATUS=MR","SCALING_FORMAT=MLN","Sort=A","Dates=H","DateFormat=P","Fill=—","Direction=H","UseDPDF=Y")</f>
        <v>0</v>
      </c>
      <c r="S8" s="13">
        <f>_xll.BDH("NBIX US Equity","ARDR_FV_ASSETS_REC_LEVEL_3","FQ4 2022","FQ4 2022","Currency=USD","Period=FQ","BEST_FPERIOD_OVERRIDE=FQ","FILING_STATUS=MR","SCALING_FORMAT=MLN","Sort=A","Dates=H","DateFormat=P","Fill=—","Direction=H","UseDPDF=Y")</f>
        <v>0</v>
      </c>
      <c r="T8" s="13">
        <f>_xll.BDH("NBIX US Equity","ARDR_FV_ASSETS_REC_LEVEL_3","FQ1 2023","FQ1 2023","Currency=USD","Period=FQ","BEST_FPERIOD_OVERRIDE=FQ","FILING_STATUS=MR","SCALING_FORMAT=MLN","Sort=A","Dates=H","DateFormat=P","Fill=—","Direction=H","UseDPDF=Y")</f>
        <v>0</v>
      </c>
      <c r="U8" s="13">
        <f>_xll.BDH("NBIX US Equity","ARDR_FV_ASSETS_REC_LEVEL_3","FQ2 2023","FQ2 2023","Currency=USD","Period=FQ","BEST_FPERIOD_OVERRIDE=FQ","FILING_STATUS=MR","SCALING_FORMAT=MLN","Sort=A","Dates=H","DateFormat=P","Fill=—","Direction=H","UseDPDF=Y")</f>
        <v>0</v>
      </c>
      <c r="V8" s="13" t="str">
        <f>_xll.BDH("NBIX US Equity","ARDR_FV_ASSETS_REC_LEVEL_3","FQ3 2023","FQ3 2023","Currency=USD","Period=FQ","BEST_FPERIOD_OVERRIDE=FQ","FILING_STATUS=MR","SCALING_FORMAT=MLN","Sort=A","Dates=H","DateFormat=P","Fill=—","Direction=H","UseDPDF=Y")</f>
        <v>—</v>
      </c>
      <c r="W8" s="13" t="str">
        <f>_xll.BDH("NBIX US Equity","ARDR_FV_ASSETS_REC_LEVEL_3","FQ4 2023","FQ4 2023","Currency=USD","Period=FQ","BEST_FPERIOD_OVERRIDE=FQ","FILING_STATUS=MR","SCALING_FORMAT=MLN","Sort=A","Dates=H","DateFormat=P","Fill=—","Direction=H","UseDPDF=Y")</f>
        <v>—</v>
      </c>
      <c r="X8" s="13" t="str">
        <f>_xll.BDH("NBIX US Equity","ARDR_FV_ASSETS_REC_LEVEL_3","FQ1 2024","FQ1 2024","Currency=USD","Period=FQ","BEST_FPERIOD_OVERRIDE=FQ","FILING_STATUS=MR","SCALING_FORMAT=MLN","Sort=A","Dates=H","DateFormat=P","Fill=—","Direction=H","UseDPDF=Y")</f>
        <v>—</v>
      </c>
      <c r="Y8" s="13">
        <f>_xll.BDH("NBIX US Equity","ARDR_FV_ASSETS_REC_LEVEL_3","FQ2 2024","FQ2 2024","Currency=USD","Period=FQ","BEST_FPERIOD_OVERRIDE=FQ","FILING_STATUS=MR","SCALING_FORMAT=MLN","Sort=A","Dates=H","DateFormat=P","Fill=—","Direction=H","UseDPDF=Y")</f>
        <v>0</v>
      </c>
      <c r="Z8" s="13" t="str">
        <f>_xll.BDH("NBIX US Equity","ARDR_FV_ASSETS_REC_LEVEL_3","FQ3 2024","FQ3 2024","Currency=USD","Period=FQ","BEST_FPERIOD_OVERRIDE=FQ","FILING_STATUS=MR","SCALING_FORMAT=MLN","Sort=A","Dates=H","DateFormat=P","Fill=—","Direction=H","UseDPDF=Y")</f>
        <v>—</v>
      </c>
      <c r="AA8" s="13" t="str">
        <f>_xll.BDH("NBIX US Equity","ARDR_FV_ASSETS_REC_LEVEL_3","FQ4 2024","FQ4 2024","Currency=USD","Period=FQ","BEST_FPERIOD_OVERRIDE=FQ","FILING_STATUS=MR","SCALING_FORMAT=MLN","Sort=A","Dates=H","DateFormat=P","Fill=—","Direction=H","UseDPDF=Y")</f>
        <v>—</v>
      </c>
    </row>
    <row r="9" spans="1:27" x14ac:dyDescent="0.25">
      <c r="A9" s="6" t="s">
        <v>1063</v>
      </c>
      <c r="B9" s="6" t="s">
        <v>973</v>
      </c>
      <c r="C9" s="19">
        <f>_xll.BDH("NBIX US Equity","ARDR_FV_ASSETS_REC_TOTAL","FQ4 2018","FQ4 2018","Currency=USD","Period=FQ","BEST_FPERIOD_OVERRIDE=FQ","FILING_STATUS=MR","SCALING_FORMAT=MLN","Sort=A","Dates=H","DateFormat=P","Fill=—","Direction=H","UseDPDF=Y")</f>
        <v>725.2</v>
      </c>
      <c r="D9" s="19">
        <f>_xll.BDH("NBIX US Equity","ARDR_FV_ASSETS_REC_TOTAL","FQ1 2019","FQ1 2019","Currency=USD","Period=FQ","BEST_FPERIOD_OVERRIDE=FQ","FILING_STATUS=MR","SCALING_FORMAT=MLN","Sort=A","Dates=H","DateFormat=P","Fill=—","Direction=H","UseDPDF=Y")</f>
        <v>0.68440000000000001</v>
      </c>
      <c r="E9" s="19">
        <f>_xll.BDH("NBIX US Equity","ARDR_FV_ASSETS_REC_TOTAL","FQ2 2019","FQ2 2019","Currency=USD","Period=FQ","BEST_FPERIOD_OVERRIDE=FQ","FILING_STATUS=MR","SCALING_FORMAT=MLN","Sort=A","Dates=H","DateFormat=P","Fill=—","Direction=H","UseDPDF=Y")</f>
        <v>702.86099999999999</v>
      </c>
      <c r="F9" s="19">
        <f>_xll.BDH("NBIX US Equity","ARDR_FV_ASSETS_REC_TOTAL","FQ3 2019","FQ3 2019","Currency=USD","Period=FQ","BEST_FPERIOD_OVERRIDE=FQ","FILING_STATUS=MR","SCALING_FORMAT=MLN","Sort=A","Dates=H","DateFormat=P","Fill=—","Direction=H","UseDPDF=Y")</f>
        <v>757.23299999999995</v>
      </c>
      <c r="G9" s="19">
        <f>_xll.BDH("NBIX US Equity","ARDR_FV_ASSETS_REC_TOTAL","FQ4 2019","FQ4 2019","Currency=USD","Period=FQ","BEST_FPERIOD_OVERRIDE=FQ","FILING_STATUS=MR","SCALING_FORMAT=MLN","Sort=A","Dates=H","DateFormat=P","Fill=—","Direction=H","UseDPDF=Y")</f>
        <v>1029.3</v>
      </c>
      <c r="H9" s="19">
        <f>_xll.BDH("NBIX US Equity","ARDR_FV_ASSETS_REC_TOTAL","FQ1 2020","FQ1 2020","Currency=USD","Period=FQ","BEST_FPERIOD_OVERRIDE=FQ","FILING_STATUS=MR","SCALING_FORMAT=MLN","Sort=A","Dates=H","DateFormat=P","Fill=—","Direction=H","UseDPDF=Y")</f>
        <v>1050.2</v>
      </c>
      <c r="I9" s="19">
        <f>_xll.BDH("NBIX US Equity","ARDR_FV_ASSETS_REC_TOTAL","FQ2 2020","FQ2 2020","Currency=USD","Period=FQ","BEST_FPERIOD_OVERRIDE=FQ","FILING_STATUS=MR","SCALING_FORMAT=MLN","Sort=A","Dates=H","DateFormat=P","Fill=—","Direction=H","UseDPDF=Y")</f>
        <v>1197.4000000000001</v>
      </c>
      <c r="J9" s="19">
        <f>_xll.BDH("NBIX US Equity","ARDR_FV_ASSETS_REC_TOTAL","FQ3 2020","FQ3 2020","Currency=USD","Period=FQ","BEST_FPERIOD_OVERRIDE=FQ","FILING_STATUS=MR","SCALING_FORMAT=MLN","Sort=A","Dates=H","DateFormat=P","Fill=—","Direction=H","UseDPDF=Y")</f>
        <v>1173</v>
      </c>
      <c r="K9" s="19">
        <f>_xll.BDH("NBIX US Equity","ARDR_FV_ASSETS_REC_TOTAL","FQ4 2020","FQ4 2020","Currency=USD","Period=FQ","BEST_FPERIOD_OVERRIDE=FQ","FILING_STATUS=MR","SCALING_FORMAT=MLN","Sort=A","Dates=H","DateFormat=P","Fill=—","Direction=H","UseDPDF=Y")</f>
        <v>1069.5</v>
      </c>
      <c r="L9" s="19">
        <f>_xll.BDH("NBIX US Equity","ARDR_FV_ASSETS_REC_TOTAL","FQ1 2021","FQ1 2021","Currency=USD","Period=FQ","BEST_FPERIOD_OVERRIDE=FQ","FILING_STATUS=MR","SCALING_FORMAT=MLN","Sort=A","Dates=H","DateFormat=P","Fill=—","Direction=H","UseDPDF=Y")</f>
        <v>1165.4000000000001</v>
      </c>
      <c r="M9" s="19">
        <f>_xll.BDH("NBIX US Equity","ARDR_FV_ASSETS_REC_TOTAL","FQ2 2021","FQ2 2021","Currency=USD","Period=FQ","BEST_FPERIOD_OVERRIDE=FQ","FILING_STATUS=MR","SCALING_FORMAT=MLN","Sort=A","Dates=H","DateFormat=P","Fill=—","Direction=H","UseDPDF=Y")</f>
        <v>1264.8</v>
      </c>
      <c r="N9" s="19">
        <f>_xll.BDH("NBIX US Equity","ARDR_FV_ASSETS_REC_TOTAL","FQ3 2021","FQ3 2021","Currency=USD","Period=FQ","BEST_FPERIOD_OVERRIDE=FQ","FILING_STATUS=MR","SCALING_FORMAT=MLN","Sort=A","Dates=H","DateFormat=P","Fill=—","Direction=H","UseDPDF=Y")</f>
        <v>1318.1</v>
      </c>
      <c r="O9" s="19">
        <f>_xll.BDH("NBIX US Equity","ARDR_FV_ASSETS_REC_TOTAL","FQ4 2021","FQ4 2021","Currency=USD","Period=FQ","BEST_FPERIOD_OVERRIDE=FQ","FILING_STATUS=MR","SCALING_FORMAT=MLN","Sort=A","Dates=H","DateFormat=P","Fill=—","Direction=H","UseDPDF=Y")</f>
        <v>1338.9</v>
      </c>
      <c r="P9" s="19">
        <f>_xll.BDH("NBIX US Equity","ARDR_FV_ASSETS_REC_TOTAL","FQ1 2022","FQ1 2022","Currency=USD","Period=FQ","BEST_FPERIOD_OVERRIDE=FQ","FILING_STATUS=MR","SCALING_FORMAT=MLN","Sort=A","Dates=H","DateFormat=P","Fill=—","Direction=H","UseDPDF=Y")</f>
        <v>1305</v>
      </c>
      <c r="Q9" s="19">
        <f>_xll.BDH("NBIX US Equity","ARDR_FV_ASSETS_REC_TOTAL","FQ2 2022","FQ2 2022","Currency=USD","Period=FQ","BEST_FPERIOD_OVERRIDE=FQ","FILING_STATUS=MR","SCALING_FORMAT=MLN","Sort=A","Dates=H","DateFormat=P","Fill=—","Direction=H","UseDPDF=Y")</f>
        <v>1145.0999999999999</v>
      </c>
      <c r="R9" s="19">
        <f>_xll.BDH("NBIX US Equity","ARDR_FV_ASSETS_REC_TOTAL","FQ3 2022","FQ3 2022","Currency=USD","Period=FQ","BEST_FPERIOD_OVERRIDE=FQ","FILING_STATUS=MR","SCALING_FORMAT=MLN","Sort=A","Dates=H","DateFormat=P","Fill=—","Direction=H","UseDPDF=Y")</f>
        <v>722.1</v>
      </c>
      <c r="S9" s="19">
        <f>_xll.BDH("NBIX US Equity","ARDR_FV_ASSETS_REC_TOTAL","FQ4 2022","FQ4 2022","Currency=USD","Period=FQ","BEST_FPERIOD_OVERRIDE=FQ","FILING_STATUS=MR","SCALING_FORMAT=MLN","Sort=A","Dates=H","DateFormat=P","Fill=—","Direction=H","UseDPDF=Y")</f>
        <v>1398.6</v>
      </c>
      <c r="T9" s="19">
        <f>_xll.BDH("NBIX US Equity","ARDR_FV_ASSETS_REC_TOTAL","FQ1 2023","FQ1 2023","Currency=USD","Period=FQ","BEST_FPERIOD_OVERRIDE=FQ","FILING_STATUS=MR","SCALING_FORMAT=MLN","Sort=A","Dates=H","DateFormat=P","Fill=—","Direction=H","UseDPDF=Y")</f>
        <v>1282.7</v>
      </c>
      <c r="U9" s="19">
        <f>_xll.BDH("NBIX US Equity","ARDR_FV_ASSETS_REC_TOTAL","FQ2 2023","FQ2 2023","Currency=USD","Period=FQ","BEST_FPERIOD_OVERRIDE=FQ","FILING_STATUS=MR","SCALING_FORMAT=MLN","Sort=A","Dates=H","DateFormat=P","Fill=—","Direction=H","UseDPDF=Y")</f>
        <v>1500.3</v>
      </c>
      <c r="V9" s="19">
        <f>_xll.BDH("NBIX US Equity","ARDR_FV_ASSETS_REC_TOTAL","FQ3 2023","FQ3 2023","Currency=USD","Period=FQ","BEST_FPERIOD_OVERRIDE=FQ","FILING_STATUS=MR","SCALING_FORMAT=MLN","Sort=A","Dates=H","DateFormat=P","Fill=—","Direction=H","UseDPDF=Y")</f>
        <v>1690.6</v>
      </c>
      <c r="W9" s="19">
        <f>_xll.BDH("NBIX US Equity","ARDR_FV_ASSETS_REC_TOTAL","FQ4 2023","FQ4 2023","Currency=USD","Period=FQ","BEST_FPERIOD_OVERRIDE=FQ","FILING_STATUS=MR","SCALING_FORMAT=MLN","Sort=A","Dates=H","DateFormat=P","Fill=—","Direction=H","UseDPDF=Y")</f>
        <v>1889</v>
      </c>
      <c r="X9" s="19">
        <f>_xll.BDH("NBIX US Equity","ARDR_FV_ASSETS_REC_TOTAL","FQ1 2024","FQ1 2024","Currency=USD","Period=FQ","BEST_FPERIOD_OVERRIDE=FQ","FILING_STATUS=MR","SCALING_FORMAT=MLN","Sort=A","Dates=H","DateFormat=P","Fill=—","Direction=H","UseDPDF=Y")</f>
        <v>2082.5</v>
      </c>
      <c r="Y9" s="19">
        <f>_xll.BDH("NBIX US Equity","ARDR_FV_ASSETS_REC_TOTAL","FQ2 2024","FQ2 2024","Currency=USD","Period=FQ","BEST_FPERIOD_OVERRIDE=FQ","FILING_STATUS=MR","SCALING_FORMAT=MLN","Sort=A","Dates=H","DateFormat=P","Fill=—","Direction=H","UseDPDF=Y")</f>
        <v>1828.3</v>
      </c>
      <c r="Z9" s="19">
        <f>_xll.BDH("NBIX US Equity","ARDR_FV_ASSETS_REC_TOTAL","FQ3 2024","FQ3 2024","Currency=USD","Period=FQ","BEST_FPERIOD_OVERRIDE=FQ","FILING_STATUS=MR","SCALING_FORMAT=MLN","Sort=A","Dates=H","DateFormat=P","Fill=—","Direction=H","UseDPDF=Y")</f>
        <v>1998.6</v>
      </c>
      <c r="AA9" s="19">
        <f>_xll.BDH("NBIX US Equity","ARDR_FV_ASSETS_REC_TOTAL","FQ4 2024","FQ4 2024","Currency=USD","Period=FQ","BEST_FPERIOD_OVERRIDE=FQ","FILING_STATUS=MR","SCALING_FORMAT=MLN","Sort=A","Dates=H","DateFormat=P","Fill=—","Direction=H","UseDPDF=Y")</f>
        <v>1940.4</v>
      </c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10" t="s">
        <v>1064</v>
      </c>
      <c r="B12" s="10" t="s">
        <v>1065</v>
      </c>
      <c r="C12" s="14">
        <f>_xll.BDH("NBIX US Equity","LEVEL_1_ASSETS_TO_TOTAL_EQUITY","FQ4 2018","FQ4 2018","Currency=USD","Period=FQ","BEST_FPERIOD_OVERRIDE=FQ","FILING_STATUS=MR","Sort=A","Dates=H","DateFormat=P","Fill=—","Direction=H","UseDPDF=Y")</f>
        <v>0</v>
      </c>
      <c r="D12" s="14">
        <f>_xll.BDH("NBIX US Equity","LEVEL_1_ASSETS_TO_TOTAL_EQUITY","FQ1 2019","FQ1 2019","Currency=USD","Period=FQ","BEST_FPERIOD_OVERRIDE=FQ","FILING_STATUS=MR","Sort=A","Dates=H","DateFormat=P","Fill=—","Direction=H","UseDPDF=Y")</f>
        <v>0</v>
      </c>
      <c r="E12" s="14">
        <f>_xll.BDH("NBIX US Equity","LEVEL_1_ASSETS_TO_TOTAL_EQUITY","FQ2 2019","FQ2 2019","Currency=USD","Period=FQ","BEST_FPERIOD_OVERRIDE=FQ","FILING_STATUS=MR","Sort=A","Dates=H","DateFormat=P","Fill=—","Direction=H","UseDPDF=Y")</f>
        <v>0</v>
      </c>
      <c r="F12" s="14">
        <f>_xll.BDH("NBIX US Equity","LEVEL_1_ASSETS_TO_TOTAL_EQUITY","FQ3 2019","FQ3 2019","Currency=USD","Period=FQ","BEST_FPERIOD_OVERRIDE=FQ","FILING_STATUS=MR","Sort=A","Dates=H","DateFormat=P","Fill=—","Direction=H","UseDPDF=Y")</f>
        <v>0</v>
      </c>
      <c r="G12" s="14">
        <f>_xll.BDH("NBIX US Equity","LEVEL_1_ASSETS_TO_TOTAL_EQUITY","FQ4 2019","FQ4 2019","Currency=USD","Period=FQ","BEST_FPERIOD_OVERRIDE=FQ","FILING_STATUS=MR","Sort=A","Dates=H","DateFormat=P","Fill=—","Direction=H","UseDPDF=Y")</f>
        <v>18.134699999999999</v>
      </c>
      <c r="H12" s="14">
        <f>_xll.BDH("NBIX US Equity","LEVEL_1_ASSETS_TO_TOTAL_EQUITY","FQ1 2020","FQ1 2020","Currency=USD","Period=FQ","BEST_FPERIOD_OVERRIDE=FQ","FILING_STATUS=MR","Sort=A","Dates=H","DateFormat=P","Fill=—","Direction=H","UseDPDF=Y")</f>
        <v>27.159800000000001</v>
      </c>
      <c r="I12" s="14">
        <f>_xll.BDH("NBIX US Equity","LEVEL_1_ASSETS_TO_TOTAL_EQUITY","FQ2 2020","FQ2 2020","Currency=USD","Period=FQ","BEST_FPERIOD_OVERRIDE=FQ","FILING_STATUS=MR","Sort=A","Dates=H","DateFormat=P","Fill=—","Direction=H","UseDPDF=Y")</f>
        <v>50.324800000000003</v>
      </c>
      <c r="J12" s="14">
        <f>_xll.BDH("NBIX US Equity","LEVEL_1_ASSETS_TO_TOTAL_EQUITY","FQ3 2020","FQ3 2020","Currency=USD","Period=FQ","BEST_FPERIOD_OVERRIDE=FQ","FILING_STATUS=MR","Sort=A","Dates=H","DateFormat=P","Fill=—","Direction=H","UseDPDF=Y")</f>
        <v>53.2761</v>
      </c>
      <c r="K12" s="14">
        <f>_xll.BDH("NBIX US Equity","LEVEL_1_ASSETS_TO_TOTAL_EQUITY","FQ4 2020","FQ4 2020","Currency=USD","Period=FQ","BEST_FPERIOD_OVERRIDE=FQ","FILING_STATUS=MR","Sort=A","Dates=H","DateFormat=P","Fill=—","Direction=H","UseDPDF=Y")</f>
        <v>16.897500000000001</v>
      </c>
      <c r="L12" s="14">
        <f>_xll.BDH("NBIX US Equity","LEVEL_1_ASSETS_TO_TOTAL_EQUITY","FQ1 2021","FQ1 2021","Currency=USD","Period=FQ","BEST_FPERIOD_OVERRIDE=FQ","FILING_STATUS=MR","Sort=A","Dates=H","DateFormat=P","Fill=—","Direction=H","UseDPDF=Y")</f>
        <v>29.5123</v>
      </c>
      <c r="M12" s="14">
        <f>_xll.BDH("NBIX US Equity","LEVEL_1_ASSETS_TO_TOTAL_EQUITY","FQ2 2021","FQ2 2021","Currency=USD","Period=FQ","BEST_FPERIOD_OVERRIDE=FQ","FILING_STATUS=MR","Sort=A","Dates=H","DateFormat=P","Fill=—","Direction=H","UseDPDF=Y")</f>
        <v>29.0181</v>
      </c>
      <c r="N12" s="14">
        <f>_xll.BDH("NBIX US Equity","LEVEL_1_ASSETS_TO_TOTAL_EQUITY","FQ3 2021","FQ3 2021","Currency=USD","Period=FQ","BEST_FPERIOD_OVERRIDE=FQ","FILING_STATUS=MR","Sort=A","Dates=H","DateFormat=P","Fill=—","Direction=H","UseDPDF=Y")</f>
        <v>23.3507</v>
      </c>
      <c r="O12" s="14">
        <f>_xll.BDH("NBIX US Equity","LEVEL_1_ASSETS_TO_TOTAL_EQUITY","FQ4 2021","FQ4 2021","Currency=USD","Period=FQ","BEST_FPERIOD_OVERRIDE=FQ","FILING_STATUS=MR","Sort=A","Dates=H","DateFormat=P","Fill=—","Direction=H","UseDPDF=Y")</f>
        <v>28.8719</v>
      </c>
      <c r="P12" s="14">
        <f>_xll.BDH("NBIX US Equity","LEVEL_1_ASSETS_TO_TOTAL_EQUITY","FQ1 2022","FQ1 2022","Currency=USD","Period=FQ","BEST_FPERIOD_OVERRIDE=FQ","FILING_STATUS=MR","Sort=A","Dates=H","DateFormat=P","Fill=—","Direction=H","UseDPDF=Y")</f>
        <v>26.5473</v>
      </c>
      <c r="Q12" s="14">
        <f>_xll.BDH("NBIX US Equity","LEVEL_1_ASSETS_TO_TOTAL_EQUITY","FQ2 2022","FQ2 2022","Currency=USD","Period=FQ","BEST_FPERIOD_OVERRIDE=FQ","FILING_STATUS=MR","Sort=A","Dates=H","DateFormat=P","Fill=—","Direction=H","UseDPDF=Y")</f>
        <v>17.907800000000002</v>
      </c>
      <c r="R12" s="14">
        <f>_xll.BDH("NBIX US Equity","LEVEL_1_ASSETS_TO_TOTAL_EQUITY","FQ3 2022","FQ3 2022","Currency=USD","Period=FQ","BEST_FPERIOD_OVERRIDE=FQ","FILING_STATUS=MR","Sort=A","Dates=H","DateFormat=P","Fill=—","Direction=H","UseDPDF=Y")</f>
        <v>20.3872</v>
      </c>
      <c r="S12" s="14">
        <f>_xll.BDH("NBIX US Equity","LEVEL_1_ASSETS_TO_TOTAL_EQUITY","FQ4 2022","FQ4 2022","Currency=USD","Period=FQ","BEST_FPERIOD_OVERRIDE=FQ","FILING_STATUS=MR","Sort=A","Dates=H","DateFormat=P","Fill=—","Direction=H","UseDPDF=Y")</f>
        <v>21.8293</v>
      </c>
      <c r="T12" s="14">
        <f>_xll.BDH("NBIX US Equity","LEVEL_1_ASSETS_TO_TOTAL_EQUITY","FQ1 2023","FQ1 2023","Currency=USD","Period=FQ","BEST_FPERIOD_OVERRIDE=FQ","FILING_STATUS=MR","Sort=A","Dates=H","DateFormat=P","Fill=—","Direction=H","UseDPDF=Y")</f>
        <v>14.680899999999999</v>
      </c>
      <c r="U12" s="14">
        <f>_xll.BDH("NBIX US Equity","LEVEL_1_ASSETS_TO_TOTAL_EQUITY","FQ2 2023","FQ2 2023","Currency=USD","Period=FQ","BEST_FPERIOD_OVERRIDE=FQ","FILING_STATUS=MR","Sort=A","Dates=H","DateFormat=P","Fill=—","Direction=H","UseDPDF=Y")</f>
        <v>18.413399999999999</v>
      </c>
      <c r="V12" s="14">
        <f>_xll.BDH("NBIX US Equity","LEVEL_1_ASSETS_TO_TOTAL_EQUITY","FQ3 2023","FQ3 2023","Currency=USD","Period=FQ","BEST_FPERIOD_OVERRIDE=FQ","FILING_STATUS=MR","Sort=A","Dates=H","DateFormat=P","Fill=—","Direction=H","UseDPDF=Y")</f>
        <v>21.702200000000001</v>
      </c>
      <c r="W12" s="14">
        <f>_xll.BDH("NBIX US Equity","LEVEL_1_ASSETS_TO_TOTAL_EQUITY","FQ4 2023","FQ4 2023","Currency=USD","Period=FQ","BEST_FPERIOD_OVERRIDE=FQ","FILING_STATUS=MR","Sort=A","Dates=H","DateFormat=P","Fill=—","Direction=H","UseDPDF=Y")</f>
        <v>18.861999999999998</v>
      </c>
      <c r="X12" s="14">
        <f>_xll.BDH("NBIX US Equity","LEVEL_1_ASSETS_TO_TOTAL_EQUITY","FQ1 2024","FQ1 2024","Currency=USD","Period=FQ","BEST_FPERIOD_OVERRIDE=FQ","FILING_STATUS=MR","Sort=A","Dates=H","DateFormat=P","Fill=—","Direction=H","UseDPDF=Y")</f>
        <v>23.796199999999999</v>
      </c>
      <c r="Y12" s="14">
        <f>_xll.BDH("NBIX US Equity","LEVEL_1_ASSETS_TO_TOTAL_EQUITY","FQ2 2024","FQ2 2024","Currency=USD","Period=FQ","BEST_FPERIOD_OVERRIDE=FQ","FILING_STATUS=MR","Sort=A","Dates=H","DateFormat=P","Fill=—","Direction=H","UseDPDF=Y")</f>
        <v>11.609299999999999</v>
      </c>
      <c r="Z12" s="14">
        <f>_xll.BDH("NBIX US Equity","LEVEL_1_ASSETS_TO_TOTAL_EQUITY","FQ3 2024","FQ3 2024","Currency=USD","Period=FQ","BEST_FPERIOD_OVERRIDE=FQ","FILING_STATUS=MR","Sort=A","Dates=H","DateFormat=P","Fill=—","Direction=H","UseDPDF=Y")</f>
        <v>17.499700000000001</v>
      </c>
      <c r="AA12" s="14">
        <f>_xll.BDH("NBIX US Equity","LEVEL_1_ASSETS_TO_TOTAL_EQUITY","FQ4 2024","FQ4 2024","Currency=USD","Period=FQ","BEST_FPERIOD_OVERRIDE=FQ","FILING_STATUS=MR","Sort=A","Dates=H","DateFormat=P","Fill=—","Direction=H","UseDPDF=Y")</f>
        <v>13.8163</v>
      </c>
    </row>
    <row r="13" spans="1:27" x14ac:dyDescent="0.25">
      <c r="A13" s="10" t="s">
        <v>1066</v>
      </c>
      <c r="B13" s="10" t="s">
        <v>1067</v>
      </c>
      <c r="C13" s="14">
        <f>_xll.BDH("NBIX US Equity","LEVEL_2_ASSETS_TO_TOTAL_EQUITY","FQ4 2018","FQ4 2018","Currency=USD","Period=FQ","BEST_FPERIOD_OVERRIDE=FQ","FILING_STATUS=MR","Sort=A","Dates=H","DateFormat=P","Fill=—","Direction=H","UseDPDF=Y")</f>
        <v>150.84289999999999</v>
      </c>
      <c r="D13" s="14">
        <f>_xll.BDH("NBIX US Equity","LEVEL_2_ASSETS_TO_TOTAL_EQUITY","FQ1 2019","FQ1 2019","Currency=USD","Period=FQ","BEST_FPERIOD_OVERRIDE=FQ","FILING_STATUS=MR","Sort=A","Dates=H","DateFormat=P","Fill=—","Direction=H","UseDPDF=Y")</f>
        <v>0.15340000000000001</v>
      </c>
      <c r="E13" s="14">
        <f>_xll.BDH("NBIX US Equity","LEVEL_2_ASSETS_TO_TOTAL_EQUITY","FQ2 2019","FQ2 2019","Currency=USD","Period=FQ","BEST_FPERIOD_OVERRIDE=FQ","FILING_STATUS=MR","Sort=A","Dates=H","DateFormat=P","Fill=—","Direction=H","UseDPDF=Y")</f>
        <v>129.3133</v>
      </c>
      <c r="F13" s="14">
        <f>_xll.BDH("NBIX US Equity","LEVEL_2_ASSETS_TO_TOTAL_EQUITY","FQ3 2019","FQ3 2019","Currency=USD","Period=FQ","BEST_FPERIOD_OVERRIDE=FQ","FILING_STATUS=MR","Sort=A","Dates=H","DateFormat=P","Fill=—","Direction=H","UseDPDF=Y")</f>
        <v>123.2897</v>
      </c>
      <c r="G13" s="14">
        <f>_xll.BDH("NBIX US Equity","LEVEL_2_ASSETS_TO_TOTAL_EQUITY","FQ4 2019","FQ4 2019","Currency=USD","Period=FQ","BEST_FPERIOD_OVERRIDE=FQ","FILING_STATUS=MR","Sort=A","Dates=H","DateFormat=P","Fill=—","Direction=H","UseDPDF=Y")</f>
        <v>134.69929999999999</v>
      </c>
      <c r="H13" s="14">
        <f>_xll.BDH("NBIX US Equity","LEVEL_2_ASSETS_TO_TOTAL_EQUITY","FQ1 2020","FQ1 2020","Currency=USD","Period=FQ","BEST_FPERIOD_OVERRIDE=FQ","FILING_STATUS=MR","Sort=A","Dates=H","DateFormat=P","Fill=—","Direction=H","UseDPDF=Y")</f>
        <v>117.1784</v>
      </c>
      <c r="I13" s="14">
        <f>_xll.BDH("NBIX US Equity","LEVEL_2_ASSETS_TO_TOTAL_EQUITY","FQ2 2020","FQ2 2020","Currency=USD","Period=FQ","BEST_FPERIOD_OVERRIDE=FQ","FILING_STATUS=MR","Sort=A","Dates=H","DateFormat=P","Fill=—","Direction=H","UseDPDF=Y")</f>
        <v>87.632300000000001</v>
      </c>
      <c r="J13" s="14">
        <f>_xll.BDH("NBIX US Equity","LEVEL_2_ASSETS_TO_TOTAL_EQUITY","FQ3 2020","FQ3 2020","Currency=USD","Period=FQ","BEST_FPERIOD_OVERRIDE=FQ","FILING_STATUS=MR","Sort=A","Dates=H","DateFormat=P","Fill=—","Direction=H","UseDPDF=Y")</f>
        <v>87.131699999999995</v>
      </c>
      <c r="K13" s="14">
        <f>_xll.BDH("NBIX US Equity","LEVEL_2_ASSETS_TO_TOTAL_EQUITY","FQ4 2020","FQ4 2020","Currency=USD","Period=FQ","BEST_FPERIOD_OVERRIDE=FQ","FILING_STATUS=MR","Sort=A","Dates=H","DateFormat=P","Fill=—","Direction=H","UseDPDF=Y")</f>
        <v>74.675899999999999</v>
      </c>
      <c r="L13" s="14">
        <f>_xll.BDH("NBIX US Equity","LEVEL_2_ASSETS_TO_TOTAL_EQUITY","FQ1 2021","FQ1 2021","Currency=USD","Period=FQ","BEST_FPERIOD_OVERRIDE=FQ","FILING_STATUS=MR","Sort=A","Dates=H","DateFormat=P","Fill=—","Direction=H","UseDPDF=Y")</f>
        <v>63.926699999999997</v>
      </c>
      <c r="M13" s="14">
        <f>_xll.BDH("NBIX US Equity","LEVEL_2_ASSETS_TO_TOTAL_EQUITY","FQ2 2021","FQ2 2021","Currency=USD","Period=FQ","BEST_FPERIOD_OVERRIDE=FQ","FILING_STATUS=MR","Sort=A","Dates=H","DateFormat=P","Fill=—","Direction=H","UseDPDF=Y")</f>
        <v>66.815200000000004</v>
      </c>
      <c r="N13" s="14">
        <f>_xll.BDH("NBIX US Equity","LEVEL_2_ASSETS_TO_TOTAL_EQUITY","FQ3 2021","FQ3 2021","Currency=USD","Period=FQ","BEST_FPERIOD_OVERRIDE=FQ","FILING_STATUS=MR","Sort=A","Dates=H","DateFormat=P","Fill=—","Direction=H","UseDPDF=Y")</f>
        <v>71.953900000000004</v>
      </c>
      <c r="O13" s="14">
        <f>_xll.BDH("NBIX US Equity","LEVEL_2_ASSETS_TO_TOTAL_EQUITY","FQ4 2021","FQ4 2021","Currency=USD","Period=FQ","BEST_FPERIOD_OVERRIDE=FQ","FILING_STATUS=MR","Sort=A","Dates=H","DateFormat=P","Fill=—","Direction=H","UseDPDF=Y")</f>
        <v>67.772900000000007</v>
      </c>
      <c r="P13" s="14">
        <f>_xll.BDH("NBIX US Equity","LEVEL_2_ASSETS_TO_TOTAL_EQUITY","FQ1 2022","FQ1 2022","Currency=USD","Period=FQ","BEST_FPERIOD_OVERRIDE=FQ","FILING_STATUS=MR","Sort=A","Dates=H","DateFormat=P","Fill=—","Direction=H","UseDPDF=Y")</f>
        <v>67.263300000000001</v>
      </c>
      <c r="Q13" s="14">
        <f>_xll.BDH("NBIX US Equity","LEVEL_2_ASSETS_TO_TOTAL_EQUITY","FQ2 2022","FQ2 2022","Currency=USD","Period=FQ","BEST_FPERIOD_OVERRIDE=FQ","FILING_STATUS=MR","Sort=A","Dates=H","DateFormat=P","Fill=—","Direction=H","UseDPDF=Y")</f>
        <v>62.540399999999998</v>
      </c>
      <c r="R13" s="14">
        <f>_xll.BDH("NBIX US Equity","LEVEL_2_ASSETS_TO_TOTAL_EQUITY","FQ3 2022","FQ3 2022","Currency=USD","Period=FQ","BEST_FPERIOD_OVERRIDE=FQ","FILING_STATUS=MR","Sort=A","Dates=H","DateFormat=P","Fill=—","Direction=H","UseDPDF=Y")</f>
        <v>61.491599999999998</v>
      </c>
      <c r="S13" s="14">
        <f>_xll.BDH("NBIX US Equity","LEVEL_2_ASSETS_TO_TOTAL_EQUITY","FQ4 2022","FQ4 2022","Currency=USD","Period=FQ","BEST_FPERIOD_OVERRIDE=FQ","FILING_STATUS=MR","Sort=A","Dates=H","DateFormat=P","Fill=—","Direction=H","UseDPDF=Y")</f>
        <v>60.065600000000003</v>
      </c>
      <c r="T13" s="14">
        <f>_xll.BDH("NBIX US Equity","LEVEL_2_ASSETS_TO_TOTAL_EQUITY","FQ1 2023","FQ1 2023","Currency=USD","Period=FQ","BEST_FPERIOD_OVERRIDE=FQ","FILING_STATUS=MR","Sort=A","Dates=H","DateFormat=P","Fill=—","Direction=H","UseDPDF=Y")</f>
        <v>61.466299999999997</v>
      </c>
      <c r="U13" s="14">
        <f>_xll.BDH("NBIX US Equity","LEVEL_2_ASSETS_TO_TOTAL_EQUITY","FQ2 2023","FQ2 2023","Currency=USD","Period=FQ","BEST_FPERIOD_OVERRIDE=FQ","FILING_STATUS=MR","Sort=A","Dates=H","DateFormat=P","Fill=—","Direction=H","UseDPDF=Y")</f>
        <v>62.552599999999998</v>
      </c>
      <c r="V13" s="14">
        <f>_xll.BDH("NBIX US Equity","LEVEL_2_ASSETS_TO_TOTAL_EQUITY","FQ3 2023","FQ3 2023","Currency=USD","Period=FQ","BEST_FPERIOD_OVERRIDE=FQ","FILING_STATUS=MR","Sort=A","Dates=H","DateFormat=P","Fill=—","Direction=H","UseDPDF=Y")</f>
        <v>62.739100000000001</v>
      </c>
      <c r="W13" s="14">
        <f>_xll.BDH("NBIX US Equity","LEVEL_2_ASSETS_TO_TOTAL_EQUITY","FQ4 2023","FQ4 2023","Currency=USD","Period=FQ","BEST_FPERIOD_OVERRIDE=FQ","FILING_STATUS=MR","Sort=A","Dates=H","DateFormat=P","Fill=—","Direction=H","UseDPDF=Y")</f>
        <v>65.770600000000002</v>
      </c>
      <c r="X13" s="14">
        <f>_xll.BDH("NBIX US Equity","LEVEL_2_ASSETS_TO_TOTAL_EQUITY","FQ1 2024","FQ1 2024","Currency=USD","Period=FQ","BEST_FPERIOD_OVERRIDE=FQ","FILING_STATUS=MR","Sort=A","Dates=H","DateFormat=P","Fill=—","Direction=H","UseDPDF=Y")</f>
        <v>63.480200000000004</v>
      </c>
      <c r="Y13" s="14">
        <f>_xll.BDH("NBIX US Equity","LEVEL_2_ASSETS_TO_TOTAL_EQUITY","FQ2 2024","FQ2 2024","Currency=USD","Period=FQ","BEST_FPERIOD_OVERRIDE=FQ","FILING_STATUS=MR","Sort=A","Dates=H","DateFormat=P","Fill=—","Direction=H","UseDPDF=Y")</f>
        <v>61.254600000000003</v>
      </c>
      <c r="Z13" s="14">
        <f>_xll.BDH("NBIX US Equity","LEVEL_2_ASSETS_TO_TOTAL_EQUITY","FQ3 2024","FQ3 2024","Currency=USD","Period=FQ","BEST_FPERIOD_OVERRIDE=FQ","FILING_STATUS=MR","Sort=A","Dates=H","DateFormat=P","Fill=—","Direction=H","UseDPDF=Y")</f>
        <v>56.007899999999999</v>
      </c>
      <c r="AA13" s="14">
        <f>_xll.BDH("NBIX US Equity","LEVEL_2_ASSETS_TO_TOTAL_EQUITY","FQ4 2024","FQ4 2024","Currency=USD","Period=FQ","BEST_FPERIOD_OVERRIDE=FQ","FILING_STATUS=MR","Sort=A","Dates=H","DateFormat=P","Fill=—","Direction=H","UseDPDF=Y")</f>
        <v>61.1113</v>
      </c>
    </row>
    <row r="14" spans="1:27" x14ac:dyDescent="0.25">
      <c r="A14" s="10" t="s">
        <v>1068</v>
      </c>
      <c r="B14" s="10" t="s">
        <v>1069</v>
      </c>
      <c r="C14" s="14">
        <f>_xll.BDH("NBIX US Equity","LEVEL_3_ASSETS_TO_TOTAL_EQUITY","FQ4 2018","FQ4 2018","Currency=USD","Period=FQ","BEST_FPERIOD_OVERRIDE=FQ","FILING_STATUS=MR","Sort=A","Dates=H","DateFormat=P","Fill=—","Direction=H","UseDPDF=Y")</f>
        <v>0</v>
      </c>
      <c r="D14" s="14">
        <f>_xll.BDH("NBIX US Equity","LEVEL_3_ASSETS_TO_TOTAL_EQUITY","FQ1 2019","FQ1 2019","Currency=USD","Period=FQ","BEST_FPERIOD_OVERRIDE=FQ","FILING_STATUS=MR","Sort=A","Dates=H","DateFormat=P","Fill=—","Direction=H","UseDPDF=Y")</f>
        <v>1.38E-2</v>
      </c>
      <c r="E14" s="14">
        <f>_xll.BDH("NBIX US Equity","LEVEL_3_ASSETS_TO_TOTAL_EQUITY","FQ2 2019","FQ2 2019","Currency=USD","Period=FQ","BEST_FPERIOD_OVERRIDE=FQ","FILING_STATUS=MR","Sort=A","Dates=H","DateFormat=P","Fill=—","Direction=H","UseDPDF=Y")</f>
        <v>15.994199999999999</v>
      </c>
      <c r="F14" s="14">
        <f>_xll.BDH("NBIX US Equity","LEVEL_3_ASSETS_TO_TOTAL_EQUITY","FQ3 2019","FQ3 2019","Currency=USD","Period=FQ","BEST_FPERIOD_OVERRIDE=FQ","FILING_STATUS=MR","Sort=A","Dates=H","DateFormat=P","Fill=—","Direction=H","UseDPDF=Y")</f>
        <v>8.5140999999999991</v>
      </c>
      <c r="G14" s="14">
        <f>_xll.BDH("NBIX US Equity","LEVEL_3_ASSETS_TO_TOTAL_EQUITY","FQ4 2019","FQ4 2019","Currency=USD","Period=FQ","BEST_FPERIOD_OVERRIDE=FQ","FILING_STATUS=MR","Sort=A","Dates=H","DateFormat=P","Fill=—","Direction=H","UseDPDF=Y")</f>
        <v>8.7768999999999995</v>
      </c>
      <c r="H14" s="14">
        <f>_xll.BDH("NBIX US Equity","LEVEL_3_ASSETS_TO_TOTAL_EQUITY","FQ1 2020","FQ1 2020","Currency=USD","Period=FQ","BEST_FPERIOD_OVERRIDE=FQ","FILING_STATUS=MR","Sort=A","Dates=H","DateFormat=P","Fill=—","Direction=H","UseDPDF=Y")</f>
        <v>5.6261999999999999</v>
      </c>
      <c r="I14" s="14">
        <f>_xll.BDH("NBIX US Equity","LEVEL_3_ASSETS_TO_TOTAL_EQUITY","FQ2 2020","FQ2 2020","Currency=USD","Period=FQ","BEST_FPERIOD_OVERRIDE=FQ","FILING_STATUS=MR","Sort=A","Dates=H","DateFormat=P","Fill=—","Direction=H","UseDPDF=Y")</f>
        <v>6.0995999999999997</v>
      </c>
      <c r="J14" s="14">
        <f>_xll.BDH("NBIX US Equity","LEVEL_3_ASSETS_TO_TOTAL_EQUITY","FQ3 2020","FQ3 2020","Currency=USD","Period=FQ","BEST_FPERIOD_OVERRIDE=FQ","FILING_STATUS=MR","Sort=A","Dates=H","DateFormat=P","Fill=—","Direction=H","UseDPDF=Y")</f>
        <v>5.4333</v>
      </c>
      <c r="K14" s="14">
        <f>_xll.BDH("NBIX US Equity","LEVEL_3_ASSETS_TO_TOTAL_EQUITY","FQ4 2020","FQ4 2020","Currency=USD","Period=FQ","BEST_FPERIOD_OVERRIDE=FQ","FILING_STATUS=MR","Sort=A","Dates=H","DateFormat=P","Fill=—","Direction=H","UseDPDF=Y")</f>
        <v>3.3919000000000001</v>
      </c>
      <c r="L14" s="14">
        <f>_xll.BDH("NBIX US Equity","LEVEL_3_ASSETS_TO_TOTAL_EQUITY","FQ1 2021","FQ1 2021","Currency=USD","Period=FQ","BEST_FPERIOD_OVERRIDE=FQ","FILING_STATUS=MR","Sort=A","Dates=H","DateFormat=P","Fill=—","Direction=H","UseDPDF=Y")</f>
        <v>3.2265999999999999</v>
      </c>
      <c r="M14" s="14">
        <f>_xll.BDH("NBIX US Equity","LEVEL_3_ASSETS_TO_TOTAL_EQUITY","FQ2 2021","FQ2 2021","Currency=USD","Period=FQ","BEST_FPERIOD_OVERRIDE=FQ","FILING_STATUS=MR","Sort=A","Dates=H","DateFormat=P","Fill=—","Direction=H","UseDPDF=Y")</f>
        <v>3.0409999999999999</v>
      </c>
      <c r="N14" s="14">
        <f>_xll.BDH("NBIX US Equity","LEVEL_3_ASSETS_TO_TOTAL_EQUITY","FQ3 2021","FQ3 2021","Currency=USD","Period=FQ","BEST_FPERIOD_OVERRIDE=FQ","FILING_STATUS=MR","Sort=A","Dates=H","DateFormat=P","Fill=—","Direction=H","UseDPDF=Y")</f>
        <v>2.6225999999999998</v>
      </c>
      <c r="O14" s="14">
        <f>_xll.BDH("NBIX US Equity","LEVEL_3_ASSETS_TO_TOTAL_EQUITY","FQ4 2021","FQ4 2021","Currency=USD","Period=FQ","BEST_FPERIOD_OVERRIDE=FQ","FILING_STATUS=MR","Sort=A","Dates=H","DateFormat=P","Fill=—","Direction=H","UseDPDF=Y")</f>
        <v>0.80059999999999998</v>
      </c>
      <c r="P14" s="14">
        <f>_xll.BDH("NBIX US Equity","LEVEL_3_ASSETS_TO_TOTAL_EQUITY","FQ1 2022","FQ1 2022","Currency=USD","Period=FQ","BEST_FPERIOD_OVERRIDE=FQ","FILING_STATUS=MR","Sort=A","Dates=H","DateFormat=P","Fill=—","Direction=H","UseDPDF=Y")</f>
        <v>0</v>
      </c>
      <c r="Q14" s="14">
        <f>_xll.BDH("NBIX US Equity","LEVEL_3_ASSETS_TO_TOTAL_EQUITY","FQ2 2022","FQ2 2022","Currency=USD","Period=FQ","BEST_FPERIOD_OVERRIDE=FQ","FILING_STATUS=MR","Sort=A","Dates=H","DateFormat=P","Fill=—","Direction=H","UseDPDF=Y")</f>
        <v>0</v>
      </c>
      <c r="R14" s="14">
        <f>_xll.BDH("NBIX US Equity","LEVEL_3_ASSETS_TO_TOTAL_EQUITY","FQ3 2022","FQ3 2022","Currency=USD","Period=FQ","BEST_FPERIOD_OVERRIDE=FQ","FILING_STATUS=MR","Sort=A","Dates=H","DateFormat=P","Fill=—","Direction=H","UseDPDF=Y")</f>
        <v>0</v>
      </c>
      <c r="S14" s="14">
        <f>_xll.BDH("NBIX US Equity","LEVEL_3_ASSETS_TO_TOTAL_EQUITY","FQ4 2022","FQ4 2022","Currency=USD","Period=FQ","BEST_FPERIOD_OVERRIDE=FQ","FILING_STATUS=MR","Sort=A","Dates=H","DateFormat=P","Fill=—","Direction=H","UseDPDF=Y")</f>
        <v>0</v>
      </c>
      <c r="T14" s="14">
        <f>_xll.BDH("NBIX US Equity","LEVEL_3_ASSETS_TO_TOTAL_EQUITY","FQ1 2023","FQ1 2023","Currency=USD","Period=FQ","BEST_FPERIOD_OVERRIDE=FQ","FILING_STATUS=MR","Sort=A","Dates=H","DateFormat=P","Fill=—","Direction=H","UseDPDF=Y")</f>
        <v>0</v>
      </c>
      <c r="U14" s="14">
        <f>_xll.BDH("NBIX US Equity","LEVEL_3_ASSETS_TO_TOTAL_EQUITY","FQ2 2023","FQ2 2023","Currency=USD","Period=FQ","BEST_FPERIOD_OVERRIDE=FQ","FILING_STATUS=MR","Sort=A","Dates=H","DateFormat=P","Fill=—","Direction=H","UseDPDF=Y")</f>
        <v>0</v>
      </c>
      <c r="V14" s="14">
        <f>_xll.BDH("NBIX US Equity","LEVEL_3_ASSETS_TO_TOTAL_EQUITY","FQ3 2023","FQ3 2023","Currency=USD","Period=FQ","BEST_FPERIOD_OVERRIDE=FQ","FILING_STATUS=MR","Sort=A","Dates=H","DateFormat=P","Fill=—","Direction=H","UseDPDF=Y")</f>
        <v>0</v>
      </c>
      <c r="W14" s="14">
        <f>_xll.BDH("NBIX US Equity","LEVEL_3_ASSETS_TO_TOTAL_EQUITY","FQ4 2023","FQ4 2023","Currency=USD","Period=FQ","BEST_FPERIOD_OVERRIDE=FQ","FILING_STATUS=MR","Sort=A","Dates=H","DateFormat=P","Fill=—","Direction=H","UseDPDF=Y")</f>
        <v>0</v>
      </c>
      <c r="X14" s="14">
        <f>_xll.BDH("NBIX US Equity","LEVEL_3_ASSETS_TO_TOTAL_EQUITY","FQ1 2024","FQ1 2024","Currency=USD","Period=FQ","BEST_FPERIOD_OVERRIDE=FQ","FILING_STATUS=MR","Sort=A","Dates=H","DateFormat=P","Fill=—","Direction=H","UseDPDF=Y")</f>
        <v>0</v>
      </c>
      <c r="Y14" s="14">
        <f>_xll.BDH("NBIX US Equity","LEVEL_3_ASSETS_TO_TOTAL_EQUITY","FQ2 2024","FQ2 2024","Currency=USD","Period=FQ","BEST_FPERIOD_OVERRIDE=FQ","FILING_STATUS=MR","Sort=A","Dates=H","DateFormat=P","Fill=—","Direction=H","UseDPDF=Y")</f>
        <v>0</v>
      </c>
      <c r="Z14" s="14">
        <f>_xll.BDH("NBIX US Equity","LEVEL_3_ASSETS_TO_TOTAL_EQUITY","FQ3 2024","FQ3 2024","Currency=USD","Period=FQ","BEST_FPERIOD_OVERRIDE=FQ","FILING_STATUS=MR","Sort=A","Dates=H","DateFormat=P","Fill=—","Direction=H","UseDPDF=Y")</f>
        <v>0</v>
      </c>
      <c r="AA14" s="14">
        <f>_xll.BDH("NBIX US Equity","LEVEL_3_ASSETS_TO_TOTAL_EQUITY","FQ4 2024","FQ4 2024","Currency=USD","Period=FQ","BEST_FPERIOD_OVERRIDE=FQ","FILING_STATUS=MR","Sort=A","Dates=H","DateFormat=P","Fill=—","Direction=H","UseDPDF=Y")</f>
        <v>0</v>
      </c>
    </row>
    <row r="15" spans="1:27" x14ac:dyDescent="0.25">
      <c r="A15" s="6" t="s">
        <v>1070</v>
      </c>
      <c r="B15" s="6" t="s">
        <v>1071</v>
      </c>
      <c r="C15" s="20">
        <f>_xll.BDH("NBIX US Equity","TOT_FAIR_VAL_ASSETS_TO_TOT_EQTY","FQ4 2018","FQ4 2018","Currency=USD","Period=FQ","BEST_FPERIOD_OVERRIDE=FQ","FILING_STATUS=MR","Sort=A","Dates=H","DateFormat=P","Fill=—","Direction=H","UseDPDF=Y")</f>
        <v>150.84289999999999</v>
      </c>
      <c r="D15" s="20">
        <f>_xll.BDH("NBIX US Equity","TOT_FAIR_VAL_ASSETS_TO_TOT_EQTY","FQ1 2019","FQ1 2019","Currency=USD","Period=FQ","BEST_FPERIOD_OVERRIDE=FQ","FILING_STATUS=MR","Sort=A","Dates=H","DateFormat=P","Fill=—","Direction=H","UseDPDF=Y")</f>
        <v>0.16719999999999999</v>
      </c>
      <c r="E15" s="20">
        <f>_xll.BDH("NBIX US Equity","TOT_FAIR_VAL_ASSETS_TO_TOT_EQTY","FQ2 2019","FQ2 2019","Currency=USD","Period=FQ","BEST_FPERIOD_OVERRIDE=FQ","FILING_STATUS=MR","Sort=A","Dates=H","DateFormat=P","Fill=—","Direction=H","UseDPDF=Y")</f>
        <v>145.3075</v>
      </c>
      <c r="F15" s="20">
        <f>_xll.BDH("NBIX US Equity","TOT_FAIR_VAL_ASSETS_TO_TOT_EQTY","FQ3 2019","FQ3 2019","Currency=USD","Period=FQ","BEST_FPERIOD_OVERRIDE=FQ","FILING_STATUS=MR","Sort=A","Dates=H","DateFormat=P","Fill=—","Direction=H","UseDPDF=Y")</f>
        <v>131.8039</v>
      </c>
      <c r="G15" s="20">
        <f>_xll.BDH("NBIX US Equity","TOT_FAIR_VAL_ASSETS_TO_TOT_EQTY","FQ4 2019","FQ4 2019","Currency=USD","Period=FQ","BEST_FPERIOD_OVERRIDE=FQ","FILING_STATUS=MR","Sort=A","Dates=H","DateFormat=P","Fill=—","Direction=H","UseDPDF=Y")</f>
        <v>161.61089999999999</v>
      </c>
      <c r="H15" s="20">
        <f>_xll.BDH("NBIX US Equity","TOT_FAIR_VAL_ASSETS_TO_TOT_EQTY","FQ1 2020","FQ1 2020","Currency=USD","Period=FQ","BEST_FPERIOD_OVERRIDE=FQ","FILING_STATUS=MR","Sort=A","Dates=H","DateFormat=P","Fill=—","Direction=H","UseDPDF=Y")</f>
        <v>149.96430000000001</v>
      </c>
      <c r="I15" s="20">
        <f>_xll.BDH("NBIX US Equity","TOT_FAIR_VAL_ASSETS_TO_TOT_EQTY","FQ2 2020","FQ2 2020","Currency=USD","Period=FQ","BEST_FPERIOD_OVERRIDE=FQ","FILING_STATUS=MR","Sort=A","Dates=H","DateFormat=P","Fill=—","Direction=H","UseDPDF=Y")</f>
        <v>144.05680000000001</v>
      </c>
      <c r="J15" s="20">
        <f>_xll.BDH("NBIX US Equity","TOT_FAIR_VAL_ASSETS_TO_TOT_EQTY","FQ3 2020","FQ3 2020","Currency=USD","Period=FQ","BEST_FPERIOD_OVERRIDE=FQ","FILING_STATUS=MR","Sort=A","Dates=H","DateFormat=P","Fill=—","Direction=H","UseDPDF=Y")</f>
        <v>145.84110000000001</v>
      </c>
      <c r="K15" s="20">
        <f>_xll.BDH("NBIX US Equity","TOT_FAIR_VAL_ASSETS_TO_TOT_EQTY","FQ4 2020","FQ4 2020","Currency=USD","Period=FQ","BEST_FPERIOD_OVERRIDE=FQ","FILING_STATUS=MR","Sort=A","Dates=H","DateFormat=P","Fill=—","Direction=H","UseDPDF=Y")</f>
        <v>94.965400000000002</v>
      </c>
      <c r="L15" s="20">
        <f>_xll.BDH("NBIX US Equity","TOT_FAIR_VAL_ASSETS_TO_TOT_EQTY","FQ1 2021","FQ1 2021","Currency=USD","Period=FQ","BEST_FPERIOD_OVERRIDE=FQ","FILING_STATUS=MR","Sort=A","Dates=H","DateFormat=P","Fill=—","Direction=H","UseDPDF=Y")</f>
        <v>96.665599999999998</v>
      </c>
      <c r="M15" s="20">
        <f>_xll.BDH("NBIX US Equity","TOT_FAIR_VAL_ASSETS_TO_TOT_EQTY","FQ2 2021","FQ2 2021","Currency=USD","Period=FQ","BEST_FPERIOD_OVERRIDE=FQ","FILING_STATUS=MR","Sort=A","Dates=H","DateFormat=P","Fill=—","Direction=H","UseDPDF=Y")</f>
        <v>98.874300000000005</v>
      </c>
      <c r="N15" s="20">
        <f>_xll.BDH("NBIX US Equity","TOT_FAIR_VAL_ASSETS_TO_TOT_EQTY","FQ3 2021","FQ3 2021","Currency=USD","Period=FQ","BEST_FPERIOD_OVERRIDE=FQ","FILING_STATUS=MR","Sort=A","Dates=H","DateFormat=P","Fill=—","Direction=H","UseDPDF=Y")</f>
        <v>97.927199999999999</v>
      </c>
      <c r="O15" s="20">
        <f>_xll.BDH("NBIX US Equity","TOT_FAIR_VAL_ASSETS_TO_TOT_EQTY","FQ4 2021","FQ4 2021","Currency=USD","Period=FQ","BEST_FPERIOD_OVERRIDE=FQ","FILING_STATUS=MR","Sort=A","Dates=H","DateFormat=P","Fill=—","Direction=H","UseDPDF=Y")</f>
        <v>97.445400000000006</v>
      </c>
      <c r="P15" s="20">
        <f>_xll.BDH("NBIX US Equity","TOT_FAIR_VAL_ASSETS_TO_TOT_EQTY","FQ1 2022","FQ1 2022","Currency=USD","Period=FQ","BEST_FPERIOD_OVERRIDE=FQ","FILING_STATUS=MR","Sort=A","Dates=H","DateFormat=P","Fill=—","Direction=H","UseDPDF=Y")</f>
        <v>93.810699999999997</v>
      </c>
      <c r="Q15" s="20">
        <f>_xll.BDH("NBIX US Equity","TOT_FAIR_VAL_ASSETS_TO_TOT_EQTY","FQ2 2022","FQ2 2022","Currency=USD","Period=FQ","BEST_FPERIOD_OVERRIDE=FQ","FILING_STATUS=MR","Sort=A","Dates=H","DateFormat=P","Fill=—","Direction=H","UseDPDF=Y")</f>
        <v>80.4482</v>
      </c>
      <c r="R15" s="20">
        <f>_xll.BDH("NBIX US Equity","TOT_FAIR_VAL_ASSETS_TO_TOT_EQTY","FQ3 2022","FQ3 2022","Currency=USD","Period=FQ","BEST_FPERIOD_OVERRIDE=FQ","FILING_STATUS=MR","Sort=A","Dates=H","DateFormat=P","Fill=—","Direction=H","UseDPDF=Y")</f>
        <v>46.75</v>
      </c>
      <c r="S15" s="20">
        <f>_xll.BDH("NBIX US Equity","TOT_FAIR_VAL_ASSETS_TO_TOT_EQTY","FQ4 2022","FQ4 2022","Currency=USD","Period=FQ","BEST_FPERIOD_OVERRIDE=FQ","FILING_STATUS=MR","Sort=A","Dates=H","DateFormat=P","Fill=—","Direction=H","UseDPDF=Y")</f>
        <v>81.894800000000004</v>
      </c>
      <c r="T15" s="20">
        <f>_xll.BDH("NBIX US Equity","TOT_FAIR_VAL_ASSETS_TO_TOT_EQTY","FQ1 2023","FQ1 2023","Currency=USD","Period=FQ","BEST_FPERIOD_OVERRIDE=FQ","FILING_STATUS=MR","Sort=A","Dates=H","DateFormat=P","Fill=—","Direction=H","UseDPDF=Y")</f>
        <v>76.147199999999998</v>
      </c>
      <c r="U15" s="20">
        <f>_xll.BDH("NBIX US Equity","TOT_FAIR_VAL_ASSETS_TO_TOT_EQTY","FQ2 2023","FQ2 2023","Currency=USD","Period=FQ","BEST_FPERIOD_OVERRIDE=FQ","FILING_STATUS=MR","Sort=A","Dates=H","DateFormat=P","Fill=—","Direction=H","UseDPDF=Y")</f>
        <v>80.965999999999994</v>
      </c>
      <c r="V15" s="20">
        <f>_xll.BDH("NBIX US Equity","TOT_FAIR_VAL_ASSETS_TO_TOT_EQTY","FQ3 2023","FQ3 2023","Currency=USD","Period=FQ","BEST_FPERIOD_OVERRIDE=FQ","FILING_STATUS=MR","Sort=A","Dates=H","DateFormat=P","Fill=—","Direction=H","UseDPDF=Y")</f>
        <v>84.441299999999998</v>
      </c>
      <c r="W15" s="20">
        <f>_xll.BDH("NBIX US Equity","TOT_FAIR_VAL_ASSETS_TO_TOT_EQTY","FQ4 2023","FQ4 2023","Currency=USD","Period=FQ","BEST_FPERIOD_OVERRIDE=FQ","FILING_STATUS=MR","Sort=A","Dates=H","DateFormat=P","Fill=—","Direction=H","UseDPDF=Y")</f>
        <v>84.632599999999996</v>
      </c>
      <c r="X15" s="20">
        <f>_xll.BDH("NBIX US Equity","TOT_FAIR_VAL_ASSETS_TO_TOT_EQTY","FQ1 2024","FQ1 2024","Currency=USD","Period=FQ","BEST_FPERIOD_OVERRIDE=FQ","FILING_STATUS=MR","Sort=A","Dates=H","DateFormat=P","Fill=—","Direction=H","UseDPDF=Y")</f>
        <v>87.276300000000006</v>
      </c>
      <c r="Y15" s="20">
        <f>_xll.BDH("NBIX US Equity","TOT_FAIR_VAL_ASSETS_TO_TOT_EQTY","FQ2 2024","FQ2 2024","Currency=USD","Period=FQ","BEST_FPERIOD_OVERRIDE=FQ","FILING_STATUS=MR","Sort=A","Dates=H","DateFormat=P","Fill=—","Direction=H","UseDPDF=Y")</f>
        <v>72.863900000000001</v>
      </c>
      <c r="Z15" s="20">
        <f>_xll.BDH("NBIX US Equity","TOT_FAIR_VAL_ASSETS_TO_TOT_EQTY","FQ3 2024","FQ3 2024","Currency=USD","Period=FQ","BEST_FPERIOD_OVERRIDE=FQ","FILING_STATUS=MR","Sort=A","Dates=H","DateFormat=P","Fill=—","Direction=H","UseDPDF=Y")</f>
        <v>73.5077</v>
      </c>
      <c r="AA15" s="20">
        <f>_xll.BDH("NBIX US Equity","TOT_FAIR_VAL_ASSETS_TO_TOT_EQTY","FQ4 2024","FQ4 2024","Currency=USD","Period=FQ","BEST_FPERIOD_OVERRIDE=FQ","FILING_STATUS=MR","Sort=A","Dates=H","DateFormat=P","Fill=—","Direction=H","UseDPDF=Y")</f>
        <v>74.927599999999998</v>
      </c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0" t="s">
        <v>1072</v>
      </c>
      <c r="B17" s="10" t="s">
        <v>1073</v>
      </c>
      <c r="C17" s="14">
        <f>_xll.BDH("NBIX US Equity","LEVEL_1_ASSETS_TO_TOTAL_ASSETS","FQ4 2018","FQ4 2018","Currency=USD","Period=FQ","BEST_FPERIOD_OVERRIDE=FQ","FILING_STATUS=MR","Sort=A","Dates=H","DateFormat=P","Fill=—","Direction=H","UseDPDF=Y")</f>
        <v>0</v>
      </c>
      <c r="D17" s="14">
        <f>_xll.BDH("NBIX US Equity","LEVEL_1_ASSETS_TO_TOTAL_ASSETS","FQ1 2019","FQ1 2019","Currency=USD","Period=FQ","BEST_FPERIOD_OVERRIDE=FQ","FILING_STATUS=MR","Sort=A","Dates=H","DateFormat=P","Fill=—","Direction=H","UseDPDF=Y")</f>
        <v>0</v>
      </c>
      <c r="E17" s="14">
        <f>_xll.BDH("NBIX US Equity","LEVEL_1_ASSETS_TO_TOTAL_ASSETS","FQ2 2019","FQ2 2019","Currency=USD","Period=FQ","BEST_FPERIOD_OVERRIDE=FQ","FILING_STATUS=MR","Sort=A","Dates=H","DateFormat=P","Fill=—","Direction=H","UseDPDF=Y")</f>
        <v>0</v>
      </c>
      <c r="F17" s="14">
        <f>_xll.BDH("NBIX US Equity","LEVEL_1_ASSETS_TO_TOTAL_ASSETS","FQ3 2019","FQ3 2019","Currency=USD","Period=FQ","BEST_FPERIOD_OVERRIDE=FQ","FILING_STATUS=MR","Sort=A","Dates=H","DateFormat=P","Fill=—","Direction=H","UseDPDF=Y")</f>
        <v>0</v>
      </c>
      <c r="G17" s="14">
        <f>_xll.BDH("NBIX US Equity","LEVEL_1_ASSETS_TO_TOTAL_ASSETS","FQ4 2019","FQ4 2019","Currency=USD","Period=FQ","BEST_FPERIOD_OVERRIDE=FQ","FILING_STATUS=MR","Sort=A","Dates=H","DateFormat=P","Fill=—","Direction=H","UseDPDF=Y")</f>
        <v>8.8437999999999999</v>
      </c>
      <c r="H17" s="14">
        <f>_xll.BDH("NBIX US Equity","LEVEL_1_ASSETS_TO_TOTAL_ASSETS","FQ1 2020","FQ1 2020","Currency=USD","Period=FQ","BEST_FPERIOD_OVERRIDE=FQ","FILING_STATUS=MR","Sort=A","Dates=H","DateFormat=P","Fill=—","Direction=H","UseDPDF=Y")</f>
        <v>13.9658</v>
      </c>
      <c r="I17" s="14">
        <f>_xll.BDH("NBIX US Equity","LEVEL_1_ASSETS_TO_TOTAL_ASSETS","FQ2 2020","FQ2 2020","Currency=USD","Period=FQ","BEST_FPERIOD_OVERRIDE=FQ","FILING_STATUS=MR","Sort=A","Dates=H","DateFormat=P","Fill=—","Direction=H","UseDPDF=Y")</f>
        <v>27.599599999999999</v>
      </c>
      <c r="J17" s="14">
        <f>_xll.BDH("NBIX US Equity","LEVEL_1_ASSETS_TO_TOTAL_ASSETS","FQ3 2020","FQ3 2020","Currency=USD","Period=FQ","BEST_FPERIOD_OVERRIDE=FQ","FILING_STATUS=MR","Sort=A","Dates=H","DateFormat=P","Fill=—","Direction=H","UseDPDF=Y")</f>
        <v>28.517199999999999</v>
      </c>
      <c r="K17" s="14">
        <f>_xll.BDH("NBIX US Equity","LEVEL_1_ASSETS_TO_TOTAL_ASSETS","FQ4 2020","FQ4 2020","Currency=USD","Period=FQ","BEST_FPERIOD_OVERRIDE=FQ","FILING_STATUS=MR","Sort=A","Dates=H","DateFormat=P","Fill=—","Direction=H","UseDPDF=Y")</f>
        <v>10.9702</v>
      </c>
      <c r="L17" s="14">
        <f>_xll.BDH("NBIX US Equity","LEVEL_1_ASSETS_TO_TOTAL_ASSETS","FQ1 2021","FQ1 2021","Currency=USD","Period=FQ","BEST_FPERIOD_OVERRIDE=FQ","FILING_STATUS=MR","Sort=A","Dates=H","DateFormat=P","Fill=—","Direction=H","UseDPDF=Y")</f>
        <v>19.2699</v>
      </c>
      <c r="M17" s="14">
        <f>_xll.BDH("NBIX US Equity","LEVEL_1_ASSETS_TO_TOTAL_ASSETS","FQ2 2021","FQ2 2021","Currency=USD","Period=FQ","BEST_FPERIOD_OVERRIDE=FQ","FILING_STATUS=MR","Sort=A","Dates=H","DateFormat=P","Fill=—","Direction=H","UseDPDF=Y")</f>
        <v>18.973600000000001</v>
      </c>
      <c r="N17" s="14">
        <f>_xll.BDH("NBIX US Equity","LEVEL_1_ASSETS_TO_TOTAL_ASSETS","FQ3 2021","FQ3 2021","Currency=USD","Period=FQ","BEST_FPERIOD_OVERRIDE=FQ","FILING_STATUS=MR","Sort=A","Dates=H","DateFormat=P","Fill=—","Direction=H","UseDPDF=Y")</f>
        <v>15.5802</v>
      </c>
      <c r="O17" s="14">
        <f>_xll.BDH("NBIX US Equity","LEVEL_1_ASSETS_TO_TOTAL_ASSETS","FQ4 2021","FQ4 2021","Currency=USD","Period=FQ","BEST_FPERIOD_OVERRIDE=FQ","FILING_STATUS=MR","Sort=A","Dates=H","DateFormat=P","Fill=—","Direction=H","UseDPDF=Y")</f>
        <v>19.141100000000002</v>
      </c>
      <c r="P17" s="14">
        <f>_xll.BDH("NBIX US Equity","LEVEL_1_ASSETS_TO_TOTAL_ASSETS","FQ1 2022","FQ1 2022","Currency=USD","Period=FQ","BEST_FPERIOD_OVERRIDE=FQ","FILING_STATUS=MR","Sort=A","Dates=H","DateFormat=P","Fill=—","Direction=H","UseDPDF=Y")</f>
        <v>17.220800000000001</v>
      </c>
      <c r="Q17" s="14">
        <f>_xll.BDH("NBIX US Equity","LEVEL_1_ASSETS_TO_TOTAL_ASSETS","FQ2 2022","FQ2 2022","Currency=USD","Period=FQ","BEST_FPERIOD_OVERRIDE=FQ","FILING_STATUS=MR","Sort=A","Dates=H","DateFormat=P","Fill=—","Direction=H","UseDPDF=Y")</f>
        <v>12.7088</v>
      </c>
      <c r="R17" s="14">
        <f>_xll.BDH("NBIX US Equity","LEVEL_1_ASSETS_TO_TOTAL_ASSETS","FQ3 2022","FQ3 2022","Currency=USD","Period=FQ","BEST_FPERIOD_OVERRIDE=FQ","FILING_STATUS=MR","Sort=A","Dates=H","DateFormat=P","Fill=—","Direction=H","UseDPDF=Y")</f>
        <v>14.691599999999999</v>
      </c>
      <c r="S17" s="14">
        <f>_xll.BDH("NBIX US Equity","LEVEL_1_ASSETS_TO_TOTAL_ASSETS","FQ4 2022","FQ4 2022","Currency=USD","Period=FQ","BEST_FPERIOD_OVERRIDE=FQ","FILING_STATUS=MR","Sort=A","Dates=H","DateFormat=P","Fill=—","Direction=H","UseDPDF=Y")</f>
        <v>15.7386</v>
      </c>
      <c r="T17" s="14">
        <f>_xll.BDH("NBIX US Equity","LEVEL_1_ASSETS_TO_TOTAL_ASSETS","FQ1 2023","FQ1 2023","Currency=USD","Period=FQ","BEST_FPERIOD_OVERRIDE=FQ","FILING_STATUS=MR","Sort=A","Dates=H","DateFormat=P","Fill=—","Direction=H","UseDPDF=Y")</f>
        <v>10.479699999999999</v>
      </c>
      <c r="U17" s="14">
        <f>_xll.BDH("NBIX US Equity","LEVEL_1_ASSETS_TO_TOTAL_ASSETS","FQ2 2023","FQ2 2023","Currency=USD","Period=FQ","BEST_FPERIOD_OVERRIDE=FQ","FILING_STATUS=MR","Sort=A","Dates=H","DateFormat=P","Fill=—","Direction=H","UseDPDF=Y")</f>
        <v>13.0573</v>
      </c>
      <c r="V17" s="14">
        <f>_xll.BDH("NBIX US Equity","LEVEL_1_ASSETS_TO_TOTAL_ASSETS","FQ3 2023","FQ3 2023","Currency=USD","Period=FQ","BEST_FPERIOD_OVERRIDE=FQ","FILING_STATUS=MR","Sort=A","Dates=H","DateFormat=P","Fill=—","Direction=H","UseDPDF=Y")</f>
        <v>15.2552</v>
      </c>
      <c r="W17" s="14">
        <f>_xll.BDH("NBIX US Equity","LEVEL_1_ASSETS_TO_TOTAL_ASSETS","FQ4 2023","FQ4 2023","Currency=USD","Period=FQ","BEST_FPERIOD_OVERRIDE=FQ","FILING_STATUS=MR","Sort=A","Dates=H","DateFormat=P","Fill=—","Direction=H","UseDPDF=Y")</f>
        <v>12.9483</v>
      </c>
      <c r="X17" s="14">
        <f>_xll.BDH("NBIX US Equity","LEVEL_1_ASSETS_TO_TOTAL_ASSETS","FQ1 2024","FQ1 2024","Currency=USD","Period=FQ","BEST_FPERIOD_OVERRIDE=FQ","FILING_STATUS=MR","Sort=A","Dates=H","DateFormat=P","Fill=—","Direction=H","UseDPDF=Y")</f>
        <v>16.351800000000001</v>
      </c>
      <c r="Y17" s="14">
        <f>_xll.BDH("NBIX US Equity","LEVEL_1_ASSETS_TO_TOTAL_ASSETS","FQ2 2024","FQ2 2024","Currency=USD","Period=FQ","BEST_FPERIOD_OVERRIDE=FQ","FILING_STATUS=MR","Sort=A","Dates=H","DateFormat=P","Fill=—","Direction=H","UseDPDF=Y")</f>
        <v>8.8139000000000003</v>
      </c>
      <c r="Z17" s="14">
        <f>_xll.BDH("NBIX US Equity","LEVEL_1_ASSETS_TO_TOTAL_ASSETS","FQ3 2024","FQ3 2024","Currency=USD","Period=FQ","BEST_FPERIOD_OVERRIDE=FQ","FILING_STATUS=MR","Sort=A","Dates=H","DateFormat=P","Fill=—","Direction=H","UseDPDF=Y")</f>
        <v>13.4597</v>
      </c>
      <c r="AA17" s="14">
        <f>_xll.BDH("NBIX US Equity","LEVEL_1_ASSETS_TO_TOTAL_ASSETS","FQ4 2024","FQ4 2024","Currency=USD","Period=FQ","BEST_FPERIOD_OVERRIDE=FQ","FILING_STATUS=MR","Sort=A","Dates=H","DateFormat=P","Fill=—","Direction=H","UseDPDF=Y")</f>
        <v>9.6216000000000008</v>
      </c>
    </row>
    <row r="18" spans="1:27" x14ac:dyDescent="0.25">
      <c r="A18" s="10" t="s">
        <v>1074</v>
      </c>
      <c r="B18" s="10" t="s">
        <v>1075</v>
      </c>
      <c r="C18" s="14">
        <f>_xll.BDH("NBIX US Equity","LEVEL_2_ASSETS_TO_TOTAL_ASSETS","FQ4 2018","FQ4 2018","Currency=USD","Period=FQ","BEST_FPERIOD_OVERRIDE=FQ","FILING_STATUS=MR","Sort=A","Dates=H","DateFormat=P","Fill=—","Direction=H","UseDPDF=Y")</f>
        <v>73.020099999999999</v>
      </c>
      <c r="D18" s="14">
        <f>_xll.BDH("NBIX US Equity","LEVEL_2_ASSETS_TO_TOTAL_ASSETS","FQ1 2019","FQ1 2019","Currency=USD","Period=FQ","BEST_FPERIOD_OVERRIDE=FQ","FILING_STATUS=MR","Sort=A","Dates=H","DateFormat=P","Fill=—","Direction=H","UseDPDF=Y")</f>
        <v>6.5600000000000006E-2</v>
      </c>
      <c r="E18" s="14">
        <f>_xll.BDH("NBIX US Equity","LEVEL_2_ASSETS_TO_TOTAL_ASSETS","FQ2 2019","FQ2 2019","Currency=USD","Period=FQ","BEST_FPERIOD_OVERRIDE=FQ","FILING_STATUS=MR","Sort=A","Dates=H","DateFormat=P","Fill=—","Direction=H","UseDPDF=Y")</f>
        <v>58.629600000000003</v>
      </c>
      <c r="F18" s="14">
        <f>_xll.BDH("NBIX US Equity","LEVEL_2_ASSETS_TO_TOTAL_ASSETS","FQ3 2019","FQ3 2019","Currency=USD","Period=FQ","BEST_FPERIOD_OVERRIDE=FQ","FILING_STATUS=MR","Sort=A","Dates=H","DateFormat=P","Fill=—","Direction=H","UseDPDF=Y")</f>
        <v>60.030299999999997</v>
      </c>
      <c r="G18" s="14">
        <f>_xll.BDH("NBIX US Equity","LEVEL_2_ASSETS_TO_TOTAL_ASSETS","FQ4 2019","FQ4 2019","Currency=USD","Period=FQ","BEST_FPERIOD_OVERRIDE=FQ","FILING_STATUS=MR","Sort=A","Dates=H","DateFormat=P","Fill=—","Direction=H","UseDPDF=Y")</f>
        <v>65.689099999999996</v>
      </c>
      <c r="H18" s="14">
        <f>_xll.BDH("NBIX US Equity","LEVEL_2_ASSETS_TO_TOTAL_ASSETS","FQ1 2020","FQ1 2020","Currency=USD","Period=FQ","BEST_FPERIOD_OVERRIDE=FQ","FILING_STATUS=MR","Sort=A","Dates=H","DateFormat=P","Fill=—","Direction=H","UseDPDF=Y")</f>
        <v>60.254100000000001</v>
      </c>
      <c r="I18" s="14">
        <f>_xll.BDH("NBIX US Equity","LEVEL_2_ASSETS_TO_TOTAL_ASSETS","FQ2 2020","FQ2 2020","Currency=USD","Period=FQ","BEST_FPERIOD_OVERRIDE=FQ","FILING_STATUS=MR","Sort=A","Dates=H","DateFormat=P","Fill=—","Direction=H","UseDPDF=Y")</f>
        <v>48.060200000000002</v>
      </c>
      <c r="J18" s="14">
        <f>_xll.BDH("NBIX US Equity","LEVEL_2_ASSETS_TO_TOTAL_ASSETS","FQ3 2020","FQ3 2020","Currency=USD","Period=FQ","BEST_FPERIOD_OVERRIDE=FQ","FILING_STATUS=MR","Sort=A","Dates=H","DateFormat=P","Fill=—","Direction=H","UseDPDF=Y")</f>
        <v>46.639200000000002</v>
      </c>
      <c r="K18" s="14">
        <f>_xll.BDH("NBIX US Equity","LEVEL_2_ASSETS_TO_TOTAL_ASSETS","FQ4 2020","FQ4 2020","Currency=USD","Period=FQ","BEST_FPERIOD_OVERRIDE=FQ","FILING_STATUS=MR","Sort=A","Dates=H","DateFormat=P","Fill=—","Direction=H","UseDPDF=Y")</f>
        <v>48.481000000000002</v>
      </c>
      <c r="L18" s="14">
        <f>_xll.BDH("NBIX US Equity","LEVEL_2_ASSETS_TO_TOTAL_ASSETS","FQ1 2021","FQ1 2021","Currency=USD","Period=FQ","BEST_FPERIOD_OVERRIDE=FQ","FILING_STATUS=MR","Sort=A","Dates=H","DateFormat=P","Fill=—","Direction=H","UseDPDF=Y")</f>
        <v>41.740699999999997</v>
      </c>
      <c r="M18" s="14">
        <f>_xll.BDH("NBIX US Equity","LEVEL_2_ASSETS_TO_TOTAL_ASSETS","FQ2 2021","FQ2 2021","Currency=USD","Period=FQ","BEST_FPERIOD_OVERRIDE=FQ","FILING_STATUS=MR","Sort=A","Dates=H","DateFormat=P","Fill=—","Direction=H","UseDPDF=Y")</f>
        <v>43.687399999999997</v>
      </c>
      <c r="N18" s="14">
        <f>_xll.BDH("NBIX US Equity","LEVEL_2_ASSETS_TO_TOTAL_ASSETS","FQ3 2021","FQ3 2021","Currency=USD","Period=FQ","BEST_FPERIOD_OVERRIDE=FQ","FILING_STATUS=MR","Sort=A","Dates=H","DateFormat=P","Fill=—","Direction=H","UseDPDF=Y")</f>
        <v>48.009700000000002</v>
      </c>
      <c r="O18" s="14">
        <f>_xll.BDH("NBIX US Equity","LEVEL_2_ASSETS_TO_TOTAL_ASSETS","FQ4 2021","FQ4 2021","Currency=USD","Period=FQ","BEST_FPERIOD_OVERRIDE=FQ","FILING_STATUS=MR","Sort=A","Dates=H","DateFormat=P","Fill=—","Direction=H","UseDPDF=Y")</f>
        <v>44.931199999999997</v>
      </c>
      <c r="P18" s="14">
        <f>_xll.BDH("NBIX US Equity","LEVEL_2_ASSETS_TO_TOTAL_ASSETS","FQ1 2022","FQ1 2022","Currency=USD","Period=FQ","BEST_FPERIOD_OVERRIDE=FQ","FILING_STATUS=MR","Sort=A","Dates=H","DateFormat=P","Fill=—","Direction=H","UseDPDF=Y")</f>
        <v>43.6325</v>
      </c>
      <c r="Q18" s="14">
        <f>_xll.BDH("NBIX US Equity","LEVEL_2_ASSETS_TO_TOTAL_ASSETS","FQ2 2022","FQ2 2022","Currency=USD","Period=FQ","BEST_FPERIOD_OVERRIDE=FQ","FILING_STATUS=MR","Sort=A","Dates=H","DateFormat=P","Fill=—","Direction=H","UseDPDF=Y")</f>
        <v>44.383499999999998</v>
      </c>
      <c r="R18" s="14">
        <f>_xll.BDH("NBIX US Equity","LEVEL_2_ASSETS_TO_TOTAL_ASSETS","FQ3 2022","FQ3 2022","Currency=USD","Period=FQ","BEST_FPERIOD_OVERRIDE=FQ","FILING_STATUS=MR","Sort=A","Dates=H","DateFormat=P","Fill=—","Direction=H","UseDPDF=Y")</f>
        <v>44.312800000000003</v>
      </c>
      <c r="S18" s="14">
        <f>_xll.BDH("NBIX US Equity","LEVEL_2_ASSETS_TO_TOTAL_ASSETS","FQ4 2022","FQ4 2022","Currency=USD","Period=FQ","BEST_FPERIOD_OVERRIDE=FQ","FILING_STATUS=MR","Sort=A","Dates=H","DateFormat=P","Fill=—","Direction=H","UseDPDF=Y")</f>
        <v>43.3065</v>
      </c>
      <c r="T18" s="14">
        <f>_xll.BDH("NBIX US Equity","LEVEL_2_ASSETS_TO_TOTAL_ASSETS","FQ1 2023","FQ1 2023","Currency=USD","Period=FQ","BEST_FPERIOD_OVERRIDE=FQ","FILING_STATUS=MR","Sort=A","Dates=H","DateFormat=P","Fill=—","Direction=H","UseDPDF=Y")</f>
        <v>43.876600000000003</v>
      </c>
      <c r="U18" s="14">
        <f>_xll.BDH("NBIX US Equity","LEVEL_2_ASSETS_TO_TOTAL_ASSETS","FQ2 2023","FQ2 2023","Currency=USD","Period=FQ","BEST_FPERIOD_OVERRIDE=FQ","FILING_STATUS=MR","Sort=A","Dates=H","DateFormat=P","Fill=—","Direction=H","UseDPDF=Y")</f>
        <v>44.357300000000002</v>
      </c>
      <c r="V18" s="14">
        <f>_xll.BDH("NBIX US Equity","LEVEL_2_ASSETS_TO_TOTAL_ASSETS","FQ3 2023","FQ3 2023","Currency=USD","Period=FQ","BEST_FPERIOD_OVERRIDE=FQ","FILING_STATUS=MR","Sort=A","Dates=H","DateFormat=P","Fill=—","Direction=H","UseDPDF=Y")</f>
        <v>44.101500000000001</v>
      </c>
      <c r="W18" s="14">
        <f>_xll.BDH("NBIX US Equity","LEVEL_2_ASSETS_TO_TOTAL_ASSETS","FQ4 2023","FQ4 2023","Currency=USD","Period=FQ","BEST_FPERIOD_OVERRIDE=FQ","FILING_STATUS=MR","Sort=A","Dates=H","DateFormat=P","Fill=—","Direction=H","UseDPDF=Y")</f>
        <v>45.149799999999999</v>
      </c>
      <c r="X18" s="14">
        <f>_xll.BDH("NBIX US Equity","LEVEL_2_ASSETS_TO_TOTAL_ASSETS","FQ1 2024","FQ1 2024","Currency=USD","Period=FQ","BEST_FPERIOD_OVERRIDE=FQ","FILING_STATUS=MR","Sort=A","Dates=H","DateFormat=P","Fill=—","Direction=H","UseDPDF=Y")</f>
        <v>43.621099999999998</v>
      </c>
      <c r="Y18" s="14">
        <f>_xll.BDH("NBIX US Equity","LEVEL_2_ASSETS_TO_TOTAL_ASSETS","FQ2 2024","FQ2 2024","Currency=USD","Period=FQ","BEST_FPERIOD_OVERRIDE=FQ","FILING_STATUS=MR","Sort=A","Dates=H","DateFormat=P","Fill=—","Direction=H","UseDPDF=Y")</f>
        <v>46.505299999999998</v>
      </c>
      <c r="Z18" s="14">
        <f>_xll.BDH("NBIX US Equity","LEVEL_2_ASSETS_TO_TOTAL_ASSETS","FQ3 2024","FQ3 2024","Currency=USD","Period=FQ","BEST_FPERIOD_OVERRIDE=FQ","FILING_STATUS=MR","Sort=A","Dates=H","DateFormat=P","Fill=—","Direction=H","UseDPDF=Y")</f>
        <v>43.077800000000003</v>
      </c>
      <c r="AA18" s="14">
        <f>_xll.BDH("NBIX US Equity","LEVEL_2_ASSETS_TO_TOTAL_ASSETS","FQ4 2024","FQ4 2024","Currency=USD","Period=FQ","BEST_FPERIOD_OVERRIDE=FQ","FILING_STATUS=MR","Sort=A","Dates=H","DateFormat=P","Fill=—","Direction=H","UseDPDF=Y")</f>
        <v>42.557899999999997</v>
      </c>
    </row>
    <row r="19" spans="1:27" x14ac:dyDescent="0.25">
      <c r="A19" s="10" t="s">
        <v>1076</v>
      </c>
      <c r="B19" s="10" t="s">
        <v>1077</v>
      </c>
      <c r="C19" s="14">
        <f>_xll.BDH("NBIX US Equity","LEVEL_3_ASSETS_TO_TOTAL_ASSETS","FQ4 2018","FQ4 2018","Currency=USD","Period=FQ","BEST_FPERIOD_OVERRIDE=FQ","FILING_STATUS=MR","Sort=A","Dates=H","DateFormat=P","Fill=—","Direction=H","UseDPDF=Y")</f>
        <v>0</v>
      </c>
      <c r="D19" s="14">
        <f>_xll.BDH("NBIX US Equity","LEVEL_3_ASSETS_TO_TOTAL_ASSETS","FQ1 2019","FQ1 2019","Currency=USD","Period=FQ","BEST_FPERIOD_OVERRIDE=FQ","FILING_STATUS=MR","Sort=A","Dates=H","DateFormat=P","Fill=—","Direction=H","UseDPDF=Y")</f>
        <v>5.8999999999999999E-3</v>
      </c>
      <c r="E19" s="14">
        <f>_xll.BDH("NBIX US Equity","LEVEL_3_ASSETS_TO_TOTAL_ASSETS","FQ2 2019","FQ2 2019","Currency=USD","Period=FQ","BEST_FPERIOD_OVERRIDE=FQ","FILING_STATUS=MR","Sort=A","Dates=H","DateFormat=P","Fill=—","Direction=H","UseDPDF=Y")</f>
        <v>7.2515999999999998</v>
      </c>
      <c r="F19" s="14">
        <f>_xll.BDH("NBIX US Equity","LEVEL_3_ASSETS_TO_TOTAL_ASSETS","FQ3 2019","FQ3 2019","Currency=USD","Period=FQ","BEST_FPERIOD_OVERRIDE=FQ","FILING_STATUS=MR","Sort=A","Dates=H","DateFormat=P","Fill=—","Direction=H","UseDPDF=Y")</f>
        <v>4.1456</v>
      </c>
      <c r="G19" s="14">
        <f>_xll.BDH("NBIX US Equity","LEVEL_3_ASSETS_TO_TOTAL_ASSETS","FQ4 2019","FQ4 2019","Currency=USD","Period=FQ","BEST_FPERIOD_OVERRIDE=FQ","FILING_STATUS=MR","Sort=A","Dates=H","DateFormat=P","Fill=—","Direction=H","UseDPDF=Y")</f>
        <v>4.2801999999999998</v>
      </c>
      <c r="H19" s="14">
        <f>_xll.BDH("NBIX US Equity","LEVEL_3_ASSETS_TO_TOTAL_ASSETS","FQ1 2020","FQ1 2020","Currency=USD","Period=FQ","BEST_FPERIOD_OVERRIDE=FQ","FILING_STATUS=MR","Sort=A","Dates=H","DateFormat=P","Fill=—","Direction=H","UseDPDF=Y")</f>
        <v>2.8929999999999998</v>
      </c>
      <c r="I19" s="14">
        <f>_xll.BDH("NBIX US Equity","LEVEL_3_ASSETS_TO_TOTAL_ASSETS","FQ2 2020","FQ2 2020","Currency=USD","Period=FQ","BEST_FPERIOD_OVERRIDE=FQ","FILING_STATUS=MR","Sort=A","Dates=H","DateFormat=P","Fill=—","Direction=H","UseDPDF=Y")</f>
        <v>3.3452000000000002</v>
      </c>
      <c r="J19" s="14">
        <f>_xll.BDH("NBIX US Equity","LEVEL_3_ASSETS_TO_TOTAL_ASSETS","FQ3 2020","FQ3 2020","Currency=USD","Period=FQ","BEST_FPERIOD_OVERRIDE=FQ","FILING_STATUS=MR","Sort=A","Dates=H","DateFormat=P","Fill=—","Direction=H","UseDPDF=Y")</f>
        <v>2.9083000000000001</v>
      </c>
      <c r="K19" s="14">
        <f>_xll.BDH("NBIX US Equity","LEVEL_3_ASSETS_TO_TOTAL_ASSETS","FQ4 2020","FQ4 2020","Currency=USD","Period=FQ","BEST_FPERIOD_OVERRIDE=FQ","FILING_STATUS=MR","Sort=A","Dates=H","DateFormat=P","Fill=—","Direction=H","UseDPDF=Y")</f>
        <v>2.2021000000000002</v>
      </c>
      <c r="L19" s="14">
        <f>_xll.BDH("NBIX US Equity","LEVEL_3_ASSETS_TO_TOTAL_ASSETS","FQ1 2021","FQ1 2021","Currency=USD","Period=FQ","BEST_FPERIOD_OVERRIDE=FQ","FILING_STATUS=MR","Sort=A","Dates=H","DateFormat=P","Fill=—","Direction=H","UseDPDF=Y")</f>
        <v>2.1067999999999998</v>
      </c>
      <c r="M19" s="14">
        <f>_xll.BDH("NBIX US Equity","LEVEL_3_ASSETS_TO_TOTAL_ASSETS","FQ2 2021","FQ2 2021","Currency=USD","Period=FQ","BEST_FPERIOD_OVERRIDE=FQ","FILING_STATUS=MR","Sort=A","Dates=H","DateFormat=P","Fill=—","Direction=H","UseDPDF=Y")</f>
        <v>1.9883</v>
      </c>
      <c r="N19" s="14">
        <f>_xll.BDH("NBIX US Equity","LEVEL_3_ASSETS_TO_TOTAL_ASSETS","FQ3 2021","FQ3 2021","Currency=USD","Period=FQ","BEST_FPERIOD_OVERRIDE=FQ","FILING_STATUS=MR","Sort=A","Dates=H","DateFormat=P","Fill=—","Direction=H","UseDPDF=Y")</f>
        <v>1.7499</v>
      </c>
      <c r="O19" s="14">
        <f>_xll.BDH("NBIX US Equity","LEVEL_3_ASSETS_TO_TOTAL_ASSETS","FQ4 2021","FQ4 2021","Currency=USD","Period=FQ","BEST_FPERIOD_OVERRIDE=FQ","FILING_STATUS=MR","Sort=A","Dates=H","DateFormat=P","Fill=—","Direction=H","UseDPDF=Y")</f>
        <v>0.53080000000000005</v>
      </c>
      <c r="P19" s="14">
        <f>_xll.BDH("NBIX US Equity","LEVEL_3_ASSETS_TO_TOTAL_ASSETS","FQ1 2022","FQ1 2022","Currency=USD","Period=FQ","BEST_FPERIOD_OVERRIDE=FQ","FILING_STATUS=MR","Sort=A","Dates=H","DateFormat=P","Fill=—","Direction=H","UseDPDF=Y")</f>
        <v>0</v>
      </c>
      <c r="Q19" s="14">
        <f>_xll.BDH("NBIX US Equity","LEVEL_3_ASSETS_TO_TOTAL_ASSETS","FQ2 2022","FQ2 2022","Currency=USD","Period=FQ","BEST_FPERIOD_OVERRIDE=FQ","FILING_STATUS=MR","Sort=A","Dates=H","DateFormat=P","Fill=—","Direction=H","UseDPDF=Y")</f>
        <v>0</v>
      </c>
      <c r="R19" s="14">
        <f>_xll.BDH("NBIX US Equity","LEVEL_3_ASSETS_TO_TOTAL_ASSETS","FQ3 2022","FQ3 2022","Currency=USD","Period=FQ","BEST_FPERIOD_OVERRIDE=FQ","FILING_STATUS=MR","Sort=A","Dates=H","DateFormat=P","Fill=—","Direction=H","UseDPDF=Y")</f>
        <v>0</v>
      </c>
      <c r="S19" s="14">
        <f>_xll.BDH("NBIX US Equity","LEVEL_3_ASSETS_TO_TOTAL_ASSETS","FQ4 2022","FQ4 2022","Currency=USD","Period=FQ","BEST_FPERIOD_OVERRIDE=FQ","FILING_STATUS=MR","Sort=A","Dates=H","DateFormat=P","Fill=—","Direction=H","UseDPDF=Y")</f>
        <v>0</v>
      </c>
      <c r="T19" s="14">
        <f>_xll.BDH("NBIX US Equity","LEVEL_3_ASSETS_TO_TOTAL_ASSETS","FQ1 2023","FQ1 2023","Currency=USD","Period=FQ","BEST_FPERIOD_OVERRIDE=FQ","FILING_STATUS=MR","Sort=A","Dates=H","DateFormat=P","Fill=—","Direction=H","UseDPDF=Y")</f>
        <v>0</v>
      </c>
      <c r="U19" s="14">
        <f>_xll.BDH("NBIX US Equity","LEVEL_3_ASSETS_TO_TOTAL_ASSETS","FQ2 2023","FQ2 2023","Currency=USD","Period=FQ","BEST_FPERIOD_OVERRIDE=FQ","FILING_STATUS=MR","Sort=A","Dates=H","DateFormat=P","Fill=—","Direction=H","UseDPDF=Y")</f>
        <v>0</v>
      </c>
      <c r="V19" s="14">
        <f>_xll.BDH("NBIX US Equity","LEVEL_3_ASSETS_TO_TOTAL_ASSETS","FQ3 2023","FQ3 2023","Currency=USD","Period=FQ","BEST_FPERIOD_OVERRIDE=FQ","FILING_STATUS=MR","Sort=A","Dates=H","DateFormat=P","Fill=—","Direction=H","UseDPDF=Y")</f>
        <v>0</v>
      </c>
      <c r="W19" s="14">
        <f>_xll.BDH("NBIX US Equity","LEVEL_3_ASSETS_TO_TOTAL_ASSETS","FQ4 2023","FQ4 2023","Currency=USD","Period=FQ","BEST_FPERIOD_OVERRIDE=FQ","FILING_STATUS=MR","Sort=A","Dates=H","DateFormat=P","Fill=—","Direction=H","UseDPDF=Y")</f>
        <v>0</v>
      </c>
      <c r="X19" s="14">
        <f>_xll.BDH("NBIX US Equity","LEVEL_3_ASSETS_TO_TOTAL_ASSETS","FQ1 2024","FQ1 2024","Currency=USD","Period=FQ","BEST_FPERIOD_OVERRIDE=FQ","FILING_STATUS=MR","Sort=A","Dates=H","DateFormat=P","Fill=—","Direction=H","UseDPDF=Y")</f>
        <v>0</v>
      </c>
      <c r="Y19" s="14">
        <f>_xll.BDH("NBIX US Equity","LEVEL_3_ASSETS_TO_TOTAL_ASSETS","FQ2 2024","FQ2 2024","Currency=USD","Period=FQ","BEST_FPERIOD_OVERRIDE=FQ","FILING_STATUS=MR","Sort=A","Dates=H","DateFormat=P","Fill=—","Direction=H","UseDPDF=Y")</f>
        <v>0</v>
      </c>
      <c r="Z19" s="14">
        <f>_xll.BDH("NBIX US Equity","LEVEL_3_ASSETS_TO_TOTAL_ASSETS","FQ3 2024","FQ3 2024","Currency=USD","Period=FQ","BEST_FPERIOD_OVERRIDE=FQ","FILING_STATUS=MR","Sort=A","Dates=H","DateFormat=P","Fill=—","Direction=H","UseDPDF=Y")</f>
        <v>0</v>
      </c>
      <c r="AA19" s="14">
        <f>_xll.BDH("NBIX US Equity","LEVEL_3_ASSETS_TO_TOTAL_ASSETS","FQ4 2024","FQ4 2024","Currency=USD","Period=FQ","BEST_FPERIOD_OVERRIDE=FQ","FILING_STATUS=MR","Sort=A","Dates=H","DateFormat=P","Fill=—","Direction=H","UseDPDF=Y")</f>
        <v>0</v>
      </c>
    </row>
    <row r="20" spans="1:27" x14ac:dyDescent="0.25">
      <c r="A20" s="6" t="s">
        <v>1078</v>
      </c>
      <c r="B20" s="6" t="s">
        <v>1079</v>
      </c>
      <c r="C20" s="20">
        <f>_xll.BDH("NBIX US Equity","TOT_FAIR_VAL_ASSET_TO_TOT_ASSETS","FQ4 2018","FQ4 2018","Currency=USD","Period=FQ","BEST_FPERIOD_OVERRIDE=FQ","FILING_STATUS=MR","Sort=A","Dates=H","DateFormat=P","Fill=—","Direction=H","UseDPDF=Y")</f>
        <v>73.020099999999999</v>
      </c>
      <c r="D20" s="20">
        <f>_xll.BDH("NBIX US Equity","TOT_FAIR_VAL_ASSET_TO_TOT_ASSETS","FQ1 2019","FQ1 2019","Currency=USD","Period=FQ","BEST_FPERIOD_OVERRIDE=FQ","FILING_STATUS=MR","Sort=A","Dates=H","DateFormat=P","Fill=—","Direction=H","UseDPDF=Y")</f>
        <v>7.1499999999999994E-2</v>
      </c>
      <c r="E20" s="20">
        <f>_xll.BDH("NBIX US Equity","TOT_FAIR_VAL_ASSET_TO_TOT_ASSETS","FQ2 2019","FQ2 2019","Currency=USD","Period=FQ","BEST_FPERIOD_OVERRIDE=FQ","FILING_STATUS=MR","Sort=A","Dates=H","DateFormat=P","Fill=—","Direction=H","UseDPDF=Y")</f>
        <v>65.881200000000007</v>
      </c>
      <c r="F20" s="20">
        <f>_xll.BDH("NBIX US Equity","TOT_FAIR_VAL_ASSET_TO_TOT_ASSETS","FQ3 2019","FQ3 2019","Currency=USD","Period=FQ","BEST_FPERIOD_OVERRIDE=FQ","FILING_STATUS=MR","Sort=A","Dates=H","DateFormat=P","Fill=—","Direction=H","UseDPDF=Y")</f>
        <v>64.175799999999995</v>
      </c>
      <c r="G20" s="20">
        <f>_xll.BDH("NBIX US Equity","TOT_FAIR_VAL_ASSET_TO_TOT_ASSETS","FQ4 2019","FQ4 2019","Currency=USD","Period=FQ","BEST_FPERIOD_OVERRIDE=FQ","FILING_STATUS=MR","Sort=A","Dates=H","DateFormat=P","Fill=—","Direction=H","UseDPDF=Y")</f>
        <v>78.813199999999995</v>
      </c>
      <c r="H20" s="20">
        <f>_xll.BDH("NBIX US Equity","TOT_FAIR_VAL_ASSET_TO_TOT_ASSETS","FQ1 2020","FQ1 2020","Currency=USD","Period=FQ","BEST_FPERIOD_OVERRIDE=FQ","FILING_STATUS=MR","Sort=A","Dates=H","DateFormat=P","Fill=—","Direction=H","UseDPDF=Y")</f>
        <v>77.112899999999996</v>
      </c>
      <c r="I20" s="20">
        <f>_xll.BDH("NBIX US Equity","TOT_FAIR_VAL_ASSET_TO_TOT_ASSETS","FQ2 2020","FQ2 2020","Currency=USD","Period=FQ","BEST_FPERIOD_OVERRIDE=FQ","FILING_STATUS=MR","Sort=A","Dates=H","DateFormat=P","Fill=—","Direction=H","UseDPDF=Y")</f>
        <v>79.004999999999995</v>
      </c>
      <c r="J20" s="20">
        <f>_xll.BDH("NBIX US Equity","TOT_FAIR_VAL_ASSET_TO_TOT_ASSETS","FQ3 2020","FQ3 2020","Currency=USD","Period=FQ","BEST_FPERIOD_OVERRIDE=FQ","FILING_STATUS=MR","Sort=A","Dates=H","DateFormat=P","Fill=—","Direction=H","UseDPDF=Y")</f>
        <v>78.064700000000002</v>
      </c>
      <c r="K20" s="20">
        <f>_xll.BDH("NBIX US Equity","TOT_FAIR_VAL_ASSET_TO_TOT_ASSETS","FQ4 2020","FQ4 2020","Currency=USD","Period=FQ","BEST_FPERIOD_OVERRIDE=FQ","FILING_STATUS=MR","Sort=A","Dates=H","DateFormat=P","Fill=—","Direction=H","UseDPDF=Y")</f>
        <v>61.653300000000002</v>
      </c>
      <c r="L20" s="20">
        <f>_xll.BDH("NBIX US Equity","TOT_FAIR_VAL_ASSET_TO_TOT_ASSETS","FQ1 2021","FQ1 2021","Currency=USD","Period=FQ","BEST_FPERIOD_OVERRIDE=FQ","FILING_STATUS=MR","Sort=A","Dates=H","DateFormat=P","Fill=—","Direction=H","UseDPDF=Y")</f>
        <v>63.117400000000004</v>
      </c>
      <c r="M20" s="20">
        <f>_xll.BDH("NBIX US Equity","TOT_FAIR_VAL_ASSET_TO_TOT_ASSETS","FQ2 2021","FQ2 2021","Currency=USD","Period=FQ","BEST_FPERIOD_OVERRIDE=FQ","FILING_STATUS=MR","Sort=A","Dates=H","DateFormat=P","Fill=—","Direction=H","UseDPDF=Y")</f>
        <v>64.6494</v>
      </c>
      <c r="N20" s="20">
        <f>_xll.BDH("NBIX US Equity","TOT_FAIR_VAL_ASSET_TO_TOT_ASSETS","FQ3 2021","FQ3 2021","Currency=USD","Period=FQ","BEST_FPERIOD_OVERRIDE=FQ","FILING_STATUS=MR","Sort=A","Dates=H","DateFormat=P","Fill=—","Direction=H","UseDPDF=Y")</f>
        <v>65.339799999999997</v>
      </c>
      <c r="O20" s="20">
        <f>_xll.BDH("NBIX US Equity","TOT_FAIR_VAL_ASSET_TO_TOT_ASSETS","FQ4 2021","FQ4 2021","Currency=USD","Period=FQ","BEST_FPERIOD_OVERRIDE=FQ","FILING_STATUS=MR","Sort=A","Dates=H","DateFormat=P","Fill=—","Direction=H","UseDPDF=Y")</f>
        <v>64.603099999999998</v>
      </c>
      <c r="P20" s="20">
        <f>_xll.BDH("NBIX US Equity","TOT_FAIR_VAL_ASSET_TO_TOT_ASSETS","FQ1 2022","FQ1 2022","Currency=USD","Period=FQ","BEST_FPERIOD_OVERRIDE=FQ","FILING_STATUS=MR","Sort=A","Dates=H","DateFormat=P","Fill=—","Direction=H","UseDPDF=Y")</f>
        <v>60.853299999999997</v>
      </c>
      <c r="Q20" s="20">
        <f>_xll.BDH("NBIX US Equity","TOT_FAIR_VAL_ASSET_TO_TOT_ASSETS","FQ2 2022","FQ2 2022","Currency=USD","Period=FQ","BEST_FPERIOD_OVERRIDE=FQ","FILING_STATUS=MR","Sort=A","Dates=H","DateFormat=P","Fill=—","Direction=H","UseDPDF=Y")</f>
        <v>57.092300000000002</v>
      </c>
      <c r="R20" s="20">
        <f>_xll.BDH("NBIX US Equity","TOT_FAIR_VAL_ASSET_TO_TOT_ASSETS","FQ3 2022","FQ3 2022","Currency=USD","Period=FQ","BEST_FPERIOD_OVERRIDE=FQ","FILING_STATUS=MR","Sort=A","Dates=H","DateFormat=P","Fill=—","Direction=H","UseDPDF=Y")</f>
        <v>33.689500000000002</v>
      </c>
      <c r="S20" s="20">
        <f>_xll.BDH("NBIX US Equity","TOT_FAIR_VAL_ASSET_TO_TOT_ASSETS","FQ4 2022","FQ4 2022","Currency=USD","Period=FQ","BEST_FPERIOD_OVERRIDE=FQ","FILING_STATUS=MR","Sort=A","Dates=H","DateFormat=P","Fill=—","Direction=H","UseDPDF=Y")</f>
        <v>59.045000000000002</v>
      </c>
      <c r="T20" s="20">
        <f>_xll.BDH("NBIX US Equity","TOT_FAIR_VAL_ASSET_TO_TOT_ASSETS","FQ1 2023","FQ1 2023","Currency=USD","Period=FQ","BEST_FPERIOD_OVERRIDE=FQ","FILING_STATUS=MR","Sort=A","Dates=H","DateFormat=P","Fill=—","Direction=H","UseDPDF=Y")</f>
        <v>54.356299999999997</v>
      </c>
      <c r="U20" s="20">
        <f>_xll.BDH("NBIX US Equity","TOT_FAIR_VAL_ASSET_TO_TOT_ASSETS","FQ2 2023","FQ2 2023","Currency=USD","Period=FQ","BEST_FPERIOD_OVERRIDE=FQ","FILING_STATUS=MR","Sort=A","Dates=H","DateFormat=P","Fill=—","Direction=H","UseDPDF=Y")</f>
        <v>57.4146</v>
      </c>
      <c r="V20" s="20">
        <f>_xll.BDH("NBIX US Equity","TOT_FAIR_VAL_ASSET_TO_TOT_ASSETS","FQ3 2023","FQ3 2023","Currency=USD","Period=FQ","BEST_FPERIOD_OVERRIDE=FQ","FILING_STATUS=MR","Sort=A","Dates=H","DateFormat=P","Fill=—","Direction=H","UseDPDF=Y")</f>
        <v>59.3568</v>
      </c>
      <c r="W20" s="20">
        <f>_xll.BDH("NBIX US Equity","TOT_FAIR_VAL_ASSET_TO_TOT_ASSETS","FQ4 2023","FQ4 2023","Currency=USD","Period=FQ","BEST_FPERIOD_OVERRIDE=FQ","FILING_STATUS=MR","Sort=A","Dates=H","DateFormat=P","Fill=—","Direction=H","UseDPDF=Y")</f>
        <v>58.098100000000002</v>
      </c>
      <c r="X20" s="20">
        <f>_xll.BDH("NBIX US Equity","TOT_FAIR_VAL_ASSET_TO_TOT_ASSETS","FQ1 2024","FQ1 2024","Currency=USD","Period=FQ","BEST_FPERIOD_OVERRIDE=FQ","FILING_STATUS=MR","Sort=A","Dates=H","DateFormat=P","Fill=—","Direction=H","UseDPDF=Y")</f>
        <v>59.972900000000003</v>
      </c>
      <c r="Y20" s="20">
        <f>_xll.BDH("NBIX US Equity","TOT_FAIR_VAL_ASSET_TO_TOT_ASSETS","FQ2 2024","FQ2 2024","Currency=USD","Period=FQ","BEST_FPERIOD_OVERRIDE=FQ","FILING_STATUS=MR","Sort=A","Dates=H","DateFormat=P","Fill=—","Direction=H","UseDPDF=Y")</f>
        <v>55.319200000000002</v>
      </c>
      <c r="Z20" s="20">
        <f>_xll.BDH("NBIX US Equity","TOT_FAIR_VAL_ASSET_TO_TOT_ASSETS","FQ3 2024","FQ3 2024","Currency=USD","Period=FQ","BEST_FPERIOD_OVERRIDE=FQ","FILING_STATUS=MR","Sort=A","Dates=H","DateFormat=P","Fill=—","Direction=H","UseDPDF=Y")</f>
        <v>56.537500000000001</v>
      </c>
      <c r="AA20" s="20">
        <f>_xll.BDH("NBIX US Equity","TOT_FAIR_VAL_ASSET_TO_TOT_ASSETS","FQ4 2024","FQ4 2024","Currency=USD","Period=FQ","BEST_FPERIOD_OVERRIDE=FQ","FILING_STATUS=MR","Sort=A","Dates=H","DateFormat=P","Fill=—","Direction=H","UseDPDF=Y")</f>
        <v>52.179499999999997</v>
      </c>
    </row>
    <row r="21" spans="1:27" x14ac:dyDescent="0.25">
      <c r="A21" s="7" t="s">
        <v>90</v>
      </c>
      <c r="B21" s="7"/>
      <c r="C21" s="7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91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97</v>
      </c>
      <c r="B6" s="10" t="s">
        <v>71</v>
      </c>
      <c r="C6" s="13">
        <f>_xll.BDH("NBIX US Equity","SALES_REV_TURN","FQ4 2018","FQ4 2018","Currency=USD","Period=FQ","BEST_FPERIOD_OVERRIDE=FQ","FILING_STATUS=MR","SCALING_FORMAT=MLN","FA_ADJUSTED=GAAP","Sort=A","Dates=H","DateFormat=P","Fill=—","Direction=H","UseDPDF=Y")</f>
        <v>131.49199999999999</v>
      </c>
      <c r="D6" s="13">
        <f>_xll.BDH("NBIX US Equity","SALES_REV_TURN","FQ1 2019","FQ1 2019","Currency=USD","Period=FQ","BEST_FPERIOD_OVERRIDE=FQ","FILING_STATUS=MR","SCALING_FORMAT=MLN","FA_ADJUSTED=GAAP","Sort=A","Dates=H","DateFormat=P","Fill=—","Direction=H","UseDPDF=Y")</f>
        <v>138.40299999999999</v>
      </c>
      <c r="E6" s="13">
        <f>_xll.BDH("NBIX US Equity","SALES_REV_TURN","FQ2 2019","FQ2 2019","Currency=USD","Period=FQ","BEST_FPERIOD_OVERRIDE=FQ","FILING_STATUS=MR","SCALING_FORMAT=MLN","FA_ADJUSTED=GAAP","Sort=A","Dates=H","DateFormat=P","Fill=—","Direction=H","UseDPDF=Y")</f>
        <v>183.58</v>
      </c>
      <c r="F6" s="13">
        <f>_xll.BDH("NBIX US Equity","SALES_REV_TURN","FQ3 2019","FQ3 2019","Currency=USD","Period=FQ","BEST_FPERIOD_OVERRIDE=FQ","FILING_STATUS=MR","SCALING_FORMAT=MLN","FA_ADJUSTED=GAAP","Sort=A","Dates=H","DateFormat=P","Fill=—","Direction=H","UseDPDF=Y")</f>
        <v>222.09399999999999</v>
      </c>
      <c r="G6" s="13">
        <f>_xll.BDH("NBIX US Equity","SALES_REV_TURN","FQ4 2019","FQ4 2019","Currency=USD","Period=FQ","BEST_FPERIOD_OVERRIDE=FQ","FILING_STATUS=MR","SCALING_FORMAT=MLN","FA_ADJUSTED=GAAP","Sort=A","Dates=H","DateFormat=P","Fill=—","Direction=H","UseDPDF=Y")</f>
        <v>244.1</v>
      </c>
      <c r="H6" s="13">
        <f>_xll.BDH("NBIX US Equity","SALES_REV_TURN","FQ1 2020","FQ1 2020","Currency=USD","Period=FQ","BEST_FPERIOD_OVERRIDE=FQ","FILING_STATUS=MR","SCALING_FORMAT=MLN","FA_ADJUSTED=GAAP","Sort=A","Dates=H","DateFormat=P","Fill=—","Direction=H","UseDPDF=Y")</f>
        <v>237.1</v>
      </c>
      <c r="I6" s="13">
        <f>_xll.BDH("NBIX US Equity","SALES_REV_TURN","FQ2 2020","FQ2 2020","Currency=USD","Period=FQ","BEST_FPERIOD_OVERRIDE=FQ","FILING_STATUS=MR","SCALING_FORMAT=MLN","FA_ADJUSTED=GAAP","Sort=A","Dates=H","DateFormat=P","Fill=—","Direction=H","UseDPDF=Y")</f>
        <v>302.39999999999998</v>
      </c>
      <c r="J6" s="13">
        <f>_xll.BDH("NBIX US Equity","SALES_REV_TURN","FQ3 2020","FQ3 2020","Currency=USD","Period=FQ","BEST_FPERIOD_OVERRIDE=FQ","FILING_STATUS=MR","SCALING_FORMAT=MLN","FA_ADJUSTED=GAAP","Sort=A","Dates=H","DateFormat=P","Fill=—","Direction=H","UseDPDF=Y")</f>
        <v>258.5</v>
      </c>
      <c r="K6" s="13">
        <f>_xll.BDH("NBIX US Equity","SALES_REV_TURN","FQ4 2020","FQ4 2020","Currency=USD","Period=FQ","BEST_FPERIOD_OVERRIDE=FQ","FILING_STATUS=MR","SCALING_FORMAT=MLN","FA_ADJUSTED=GAAP","Sort=A","Dates=H","DateFormat=P","Fill=—","Direction=H","UseDPDF=Y")</f>
        <v>247.9</v>
      </c>
      <c r="L6" s="13">
        <f>_xll.BDH("NBIX US Equity","SALES_REV_TURN","FQ1 2021","FQ1 2021","Currency=USD","Period=FQ","BEST_FPERIOD_OVERRIDE=FQ","FILING_STATUS=MR","SCALING_FORMAT=MLN","FA_ADJUSTED=GAAP","Sort=A","Dates=H","DateFormat=P","Fill=—","Direction=H","UseDPDF=Y")</f>
        <v>236.6</v>
      </c>
      <c r="M6" s="13">
        <f>_xll.BDH("NBIX US Equity","SALES_REV_TURN","FQ2 2021","FQ2 2021","Currency=USD","Period=FQ","BEST_FPERIOD_OVERRIDE=FQ","FILING_STATUS=MR","SCALING_FORMAT=MLN","FA_ADJUSTED=GAAP","Sort=A","Dates=H","DateFormat=P","Fill=—","Direction=H","UseDPDF=Y")</f>
        <v>288.89999999999998</v>
      </c>
      <c r="N6" s="13">
        <f>_xll.BDH("NBIX US Equity","SALES_REV_TURN","FQ3 2021","FQ3 2021","Currency=USD","Period=FQ","BEST_FPERIOD_OVERRIDE=FQ","FILING_STATUS=MR","SCALING_FORMAT=MLN","FA_ADJUSTED=GAAP","Sort=A","Dates=H","DateFormat=P","Fill=—","Direction=H","UseDPDF=Y")</f>
        <v>296</v>
      </c>
      <c r="O6" s="13">
        <f>_xll.BDH("NBIX US Equity","SALES_REV_TURN","FQ4 2021","FQ4 2021","Currency=USD","Period=FQ","BEST_FPERIOD_OVERRIDE=FQ","FILING_STATUS=MR","SCALING_FORMAT=MLN","FA_ADJUSTED=GAAP","Sort=A","Dates=H","DateFormat=P","Fill=—","Direction=H","UseDPDF=Y")</f>
        <v>312</v>
      </c>
      <c r="P6" s="13">
        <f>_xll.BDH("NBIX US Equity","SALES_REV_TURN","FQ1 2022","FQ1 2022","Currency=USD","Period=FQ","BEST_FPERIOD_OVERRIDE=FQ","FILING_STATUS=MR","SCALING_FORMAT=MLN","FA_ADJUSTED=GAAP","Sort=A","Dates=H","DateFormat=P","Fill=—","Direction=H","UseDPDF=Y")</f>
        <v>310.60000000000002</v>
      </c>
      <c r="Q6" s="13">
        <f>_xll.BDH("NBIX US Equity","SALES_REV_TURN","FQ2 2022","FQ2 2022","Currency=USD","Period=FQ","BEST_FPERIOD_OVERRIDE=FQ","FILING_STATUS=MR","SCALING_FORMAT=MLN","FA_ADJUSTED=GAAP","Sort=A","Dates=H","DateFormat=P","Fill=—","Direction=H","UseDPDF=Y")</f>
        <v>378.2</v>
      </c>
      <c r="R6" s="13">
        <f>_xll.BDH("NBIX US Equity","SALES_REV_TURN","FQ3 2022","FQ3 2022","Currency=USD","Period=FQ","BEST_FPERIOD_OVERRIDE=FQ","FILING_STATUS=MR","SCALING_FORMAT=MLN","FA_ADJUSTED=GAAP","Sort=A","Dates=H","DateFormat=P","Fill=—","Direction=H","UseDPDF=Y")</f>
        <v>387.9</v>
      </c>
      <c r="S6" s="13">
        <f>_xll.BDH("NBIX US Equity","SALES_REV_TURN","FQ4 2022","FQ4 2022","Currency=USD","Period=FQ","BEST_FPERIOD_OVERRIDE=FQ","FILING_STATUS=MR","SCALING_FORMAT=MLN","FA_ADJUSTED=GAAP","Sort=A","Dates=H","DateFormat=P","Fill=—","Direction=H","UseDPDF=Y")</f>
        <v>412</v>
      </c>
      <c r="T6" s="13">
        <f>_xll.BDH("NBIX US Equity","SALES_REV_TURN","FQ1 2023","FQ1 2023","Currency=USD","Period=FQ","BEST_FPERIOD_OVERRIDE=FQ","FILING_STATUS=MR","SCALING_FORMAT=MLN","FA_ADJUSTED=GAAP","Sort=A","Dates=H","DateFormat=P","Fill=—","Direction=H","UseDPDF=Y")</f>
        <v>420.4</v>
      </c>
      <c r="U6" s="13">
        <f>_xll.BDH("NBIX US Equity","SALES_REV_TURN","FQ2 2023","FQ2 2023","Currency=USD","Period=FQ","BEST_FPERIOD_OVERRIDE=FQ","FILING_STATUS=MR","SCALING_FORMAT=MLN","FA_ADJUSTED=GAAP","Sort=A","Dates=H","DateFormat=P","Fill=—","Direction=H","UseDPDF=Y")</f>
        <v>452.7</v>
      </c>
      <c r="V6" s="13">
        <f>_xll.BDH("NBIX US Equity","SALES_REV_TURN","FQ3 2023","FQ3 2023","Currency=USD","Period=FQ","BEST_FPERIOD_OVERRIDE=FQ","FILING_STATUS=MR","SCALING_FORMAT=MLN","FA_ADJUSTED=GAAP","Sort=A","Dates=H","DateFormat=P","Fill=—","Direction=H","UseDPDF=Y")</f>
        <v>498.8</v>
      </c>
      <c r="W6" s="13">
        <f>_xll.BDH("NBIX US Equity","SALES_REV_TURN","FQ4 2023","FQ4 2023","Currency=USD","Period=FQ","BEST_FPERIOD_OVERRIDE=FQ","FILING_STATUS=MR","SCALING_FORMAT=MLN","FA_ADJUSTED=GAAP","Sort=A","Dates=H","DateFormat=P","Fill=—","Direction=H","UseDPDF=Y")</f>
        <v>515.20000000000005</v>
      </c>
      <c r="X6" s="13">
        <f>_xll.BDH("NBIX US Equity","SALES_REV_TURN","FQ1 2024","FQ1 2024","Currency=USD","Period=FQ","BEST_FPERIOD_OVERRIDE=FQ","FILING_STATUS=MR","SCALING_FORMAT=MLN","FA_ADJUSTED=GAAP","Sort=A","Dates=H","DateFormat=P","Fill=—","Direction=H","UseDPDF=Y")</f>
        <v>515.29999999999995</v>
      </c>
      <c r="Y6" s="13">
        <f>_xll.BDH("NBIX US Equity","SALES_REV_TURN","FQ2 2024","FQ2 2024","Currency=USD","Period=FQ","BEST_FPERIOD_OVERRIDE=FQ","FILING_STATUS=MR","SCALING_FORMAT=MLN","FA_ADJUSTED=GAAP","Sort=A","Dates=H","DateFormat=P","Fill=—","Direction=H","UseDPDF=Y")</f>
        <v>590.20000000000005</v>
      </c>
      <c r="Z6" s="13">
        <f>_xll.BDH("NBIX US Equity","SALES_REV_TURN","FQ3 2024","FQ3 2024","Currency=USD","Period=FQ","BEST_FPERIOD_OVERRIDE=FQ","FILING_STATUS=MR","SCALING_FORMAT=MLN","FA_ADJUSTED=GAAP","Sort=A","Dates=H","DateFormat=P","Fill=—","Direction=H","UseDPDF=Y")</f>
        <v>622.1</v>
      </c>
      <c r="AA6" s="13">
        <f>_xll.BDH("NBIX US Equity","SALES_REV_TURN","FQ4 2024","FQ4 2024","Currency=USD","Period=FQ","BEST_FPERIOD_OVERRIDE=FQ","FILING_STATUS=MR","SCALING_FORMAT=MLN","FA_ADJUSTED=GAAP","Sort=A","Dates=H","DateFormat=P","Fill=—","Direction=H","UseDPDF=Y")</f>
        <v>627.70000000000005</v>
      </c>
    </row>
    <row r="7" spans="1:27" x14ac:dyDescent="0.25">
      <c r="A7" s="10" t="s">
        <v>98</v>
      </c>
      <c r="B7" s="10" t="s">
        <v>99</v>
      </c>
      <c r="C7" s="13">
        <f>_xll.BDH("NBIX US Equity","IS_OPER_INC","FQ4 2018","FQ4 2018","Currency=USD","Period=FQ","BEST_FPERIOD_OVERRIDE=FQ","FILING_STATUS=MR","SCALING_FORMAT=MLN","FA_ADJUSTED=GAAP","Sort=A","Dates=H","DateFormat=P","Fill=—","Direction=H","UseDPDF=Y")</f>
        <v>21.870999999999999</v>
      </c>
      <c r="D7" s="13">
        <f>_xll.BDH("NBIX US Equity","IS_OPER_INC","FQ1 2019","FQ1 2019","Currency=USD","Period=FQ","BEST_FPERIOD_OVERRIDE=FQ","FILING_STATUS=MR","SCALING_FORMAT=MLN","FA_ADJUSTED=GAAP","Sort=A","Dates=H","DateFormat=P","Fill=—","Direction=H","UseDPDF=Y")</f>
        <v>-100.997</v>
      </c>
      <c r="E7" s="13">
        <f>_xll.BDH("NBIX US Equity","IS_OPER_INC","FQ2 2019","FQ2 2019","Currency=USD","Period=FQ","BEST_FPERIOD_OVERRIDE=FQ","FILING_STATUS=MR","SCALING_FORMAT=MLN","FA_ADJUSTED=GAAP","Sort=A","Dates=H","DateFormat=P","Fill=—","Direction=H","UseDPDF=Y")</f>
        <v>34.460999999999999</v>
      </c>
      <c r="F7" s="13">
        <f>_xll.BDH("NBIX US Equity","IS_OPER_INC","FQ3 2019","FQ3 2019","Currency=USD","Period=FQ","BEST_FPERIOD_OVERRIDE=FQ","FILING_STATUS=MR","SCALING_FORMAT=MLN","FA_ADJUSTED=GAAP","Sort=A","Dates=H","DateFormat=P","Fill=—","Direction=H","UseDPDF=Y")</f>
        <v>90.097999999999999</v>
      </c>
      <c r="G7" s="13">
        <f>_xll.BDH("NBIX US Equity","IS_OPER_INC","FQ4 2019","FQ4 2019","Currency=USD","Period=FQ","BEST_FPERIOD_OVERRIDE=FQ","FILING_STATUS=MR","SCALING_FORMAT=MLN","FA_ADJUSTED=GAAP","Sort=A","Dates=H","DateFormat=P","Fill=—","Direction=H","UseDPDF=Y")</f>
        <v>48.8</v>
      </c>
      <c r="H7" s="13">
        <f>_xll.BDH("NBIX US Equity","IS_OPER_INC","FQ1 2020","FQ1 2020","Currency=USD","Period=FQ","BEST_FPERIOD_OVERRIDE=FQ","FILING_STATUS=MR","SCALING_FORMAT=MLN","FA_ADJUSTED=GAAP","Sort=A","Dates=H","DateFormat=P","Fill=—","Direction=H","UseDPDF=Y")</f>
        <v>58.9</v>
      </c>
      <c r="I7" s="13">
        <f>_xll.BDH("NBIX US Equity","IS_OPER_INC","FQ2 2020","FQ2 2020","Currency=USD","Period=FQ","BEST_FPERIOD_OVERRIDE=FQ","FILING_STATUS=MR","SCALING_FORMAT=MLN","FA_ADJUSTED=GAAP","Sort=A","Dates=H","DateFormat=P","Fill=—","Direction=H","UseDPDF=Y")</f>
        <v>76.599999999999994</v>
      </c>
      <c r="J7" s="13">
        <f>_xll.BDH("NBIX US Equity","IS_OPER_INC","FQ3 2020","FQ3 2020","Currency=USD","Period=FQ","BEST_FPERIOD_OVERRIDE=FQ","FILING_STATUS=MR","SCALING_FORMAT=MLN","FA_ADJUSTED=GAAP","Sort=A","Dates=H","DateFormat=P","Fill=—","Direction=H","UseDPDF=Y")</f>
        <v>-44.3</v>
      </c>
      <c r="K7" s="13">
        <f>_xll.BDH("NBIX US Equity","IS_OPER_INC","FQ4 2020","FQ4 2020","Currency=USD","Period=FQ","BEST_FPERIOD_OVERRIDE=FQ","FILING_STATUS=MR","SCALING_FORMAT=MLN","FA_ADJUSTED=GAAP","Sort=A","Dates=H","DateFormat=P","Fill=—","Direction=H","UseDPDF=Y")</f>
        <v>71.8</v>
      </c>
      <c r="L7" s="13">
        <f>_xll.BDH("NBIX US Equity","IS_OPER_INC","FQ1 2021","FQ1 2021","Currency=USD","Period=FQ","BEST_FPERIOD_OVERRIDE=FQ","FILING_STATUS=MR","SCALING_FORMAT=MLN","FA_ADJUSTED=GAAP","Sort=A","Dates=H","DateFormat=P","Fill=—","Direction=H","UseDPDF=Y")</f>
        <v>31.5</v>
      </c>
      <c r="M7" s="13">
        <f>_xll.BDH("NBIX US Equity","IS_OPER_INC","FQ2 2021","FQ2 2021","Currency=USD","Period=FQ","BEST_FPERIOD_OVERRIDE=FQ","FILING_STATUS=MR","SCALING_FORMAT=MLN","FA_ADJUSTED=GAAP","Sort=A","Dates=H","DateFormat=P","Fill=—","Direction=H","UseDPDF=Y")</f>
        <v>62.8</v>
      </c>
      <c r="N7" s="13">
        <f>_xll.BDH("NBIX US Equity","IS_OPER_INC","FQ3 2021","FQ3 2021","Currency=USD","Period=FQ","BEST_FPERIOD_OVERRIDE=FQ","FILING_STATUS=MR","SCALING_FORMAT=MLN","FA_ADJUSTED=GAAP","Sort=A","Dates=H","DateFormat=P","Fill=—","Direction=H","UseDPDF=Y")</f>
        <v>44.5</v>
      </c>
      <c r="O7" s="13">
        <f>_xll.BDH("NBIX US Equity","IS_OPER_INC","FQ4 2021","FQ4 2021","Currency=USD","Period=FQ","BEST_FPERIOD_OVERRIDE=FQ","FILING_STATUS=MR","SCALING_FORMAT=MLN","FA_ADJUSTED=GAAP","Sort=A","Dates=H","DateFormat=P","Fill=—","Direction=H","UseDPDF=Y")</f>
        <v>-36.299999999999997</v>
      </c>
      <c r="P7" s="13">
        <f>_xll.BDH("NBIX US Equity","IS_OPER_INC","FQ1 2022","FQ1 2022","Currency=USD","Period=FQ","BEST_FPERIOD_OVERRIDE=FQ","FILING_STATUS=MR","SCALING_FORMAT=MLN","FA_ADJUSTED=GAAP","Sort=A","Dates=H","DateFormat=P","Fill=—","Direction=H","UseDPDF=Y")</f>
        <v>3.1</v>
      </c>
      <c r="Q7" s="13">
        <f>_xll.BDH("NBIX US Equity","IS_OPER_INC","FQ2 2022","FQ2 2022","Currency=USD","Period=FQ","BEST_FPERIOD_OVERRIDE=FQ","FILING_STATUS=MR","SCALING_FORMAT=MLN","FA_ADJUSTED=GAAP","Sort=A","Dates=H","DateFormat=P","Fill=—","Direction=H","UseDPDF=Y")</f>
        <v>54.7</v>
      </c>
      <c r="R7" s="13">
        <f>_xll.BDH("NBIX US Equity","IS_OPER_INC","FQ3 2022","FQ3 2022","Currency=USD","Period=FQ","BEST_FPERIOD_OVERRIDE=FQ","FILING_STATUS=MR","SCALING_FORMAT=MLN","FA_ADJUSTED=GAAP","Sort=A","Dates=H","DateFormat=P","Fill=—","Direction=H","UseDPDF=Y")</f>
        <v>87.8</v>
      </c>
      <c r="S7" s="13">
        <f>_xll.BDH("NBIX US Equity","IS_OPER_INC","FQ4 2022","FQ4 2022","Currency=USD","Period=FQ","BEST_FPERIOD_OVERRIDE=FQ","FILING_STATUS=MR","SCALING_FORMAT=MLN","FA_ADJUSTED=GAAP","Sort=A","Dates=H","DateFormat=P","Fill=—","Direction=H","UseDPDF=Y")</f>
        <v>103.4</v>
      </c>
      <c r="T7" s="13">
        <f>_xll.BDH("NBIX US Equity","IS_OPER_INC","FQ1 2023","FQ1 2023","Currency=USD","Period=FQ","BEST_FPERIOD_OVERRIDE=FQ","FILING_STATUS=MR","SCALING_FORMAT=MLN","FA_ADJUSTED=GAAP","Sort=A","Dates=H","DateFormat=P","Fill=—","Direction=H","UseDPDF=Y")</f>
        <v>-114.2</v>
      </c>
      <c r="U7" s="13">
        <f>_xll.BDH("NBIX US Equity","IS_OPER_INC","FQ2 2023","FQ2 2023","Currency=USD","Period=FQ","BEST_FPERIOD_OVERRIDE=FQ","FILING_STATUS=MR","SCALING_FORMAT=MLN","FA_ADJUSTED=GAAP","Sort=A","Dates=H","DateFormat=P","Fill=—","Direction=H","UseDPDF=Y")</f>
        <v>73.599999999999994</v>
      </c>
      <c r="V7" s="13">
        <f>_xll.BDH("NBIX US Equity","IS_OPER_INC","FQ3 2023","FQ3 2023","Currency=USD","Period=FQ","BEST_FPERIOD_OVERRIDE=FQ","FILING_STATUS=MR","SCALING_FORMAT=MLN","FA_ADJUSTED=GAAP","Sort=A","Dates=H","DateFormat=P","Fill=—","Direction=H","UseDPDF=Y")</f>
        <v>141.19999999999999</v>
      </c>
      <c r="W7" s="13">
        <f>_xll.BDH("NBIX US Equity","IS_OPER_INC","FQ4 2023","FQ4 2023","Currency=USD","Period=FQ","BEST_FPERIOD_OVERRIDE=FQ","FILING_STATUS=MR","SCALING_FORMAT=MLN","FA_ADJUSTED=GAAP","Sort=A","Dates=H","DateFormat=P","Fill=—","Direction=H","UseDPDF=Y")</f>
        <v>150.30000000000001</v>
      </c>
      <c r="X7" s="13">
        <f>_xll.BDH("NBIX US Equity","IS_OPER_INC","FQ1 2024","FQ1 2024","Currency=USD","Period=FQ","BEST_FPERIOD_OVERRIDE=FQ","FILING_STATUS=MR","SCALING_FORMAT=MLN","FA_ADJUSTED=GAAP","Sort=A","Dates=H","DateFormat=P","Fill=—","Direction=H","UseDPDF=Y")</f>
        <v>99.3</v>
      </c>
      <c r="Y7" s="13">
        <f>_xll.BDH("NBIX US Equity","IS_OPER_INC","FQ2 2024","FQ2 2024","Currency=USD","Period=FQ","BEST_FPERIOD_OVERRIDE=FQ","FILING_STATUS=MR","SCALING_FORMAT=MLN","FA_ADJUSTED=GAAP","Sort=A","Dates=H","DateFormat=P","Fill=—","Direction=H","UseDPDF=Y")</f>
        <v>145.4</v>
      </c>
      <c r="Z7" s="13">
        <f>_xll.BDH("NBIX US Equity","IS_OPER_INC","FQ3 2024","FQ3 2024","Currency=USD","Period=FQ","BEST_FPERIOD_OVERRIDE=FQ","FILING_STATUS=MR","SCALING_FORMAT=MLN","FA_ADJUSTED=GAAP","Sort=A","Dates=H","DateFormat=P","Fill=—","Direction=H","UseDPDF=Y")</f>
        <v>183.8</v>
      </c>
      <c r="AA7" s="13">
        <f>_xll.BDH("NBIX US Equity","IS_OPER_INC","FQ4 2024","FQ4 2024","Currency=USD","Period=FQ","BEST_FPERIOD_OVERRIDE=FQ","FILING_STATUS=MR","SCALING_FORMAT=MLN","FA_ADJUSTED=GAAP","Sort=A","Dates=H","DateFormat=P","Fill=—","Direction=H","UseDPDF=Y")</f>
        <v>142</v>
      </c>
    </row>
    <row r="8" spans="1:27" x14ac:dyDescent="0.25">
      <c r="A8" s="10" t="s">
        <v>100</v>
      </c>
      <c r="B8" s="10" t="s">
        <v>80</v>
      </c>
      <c r="C8" s="13">
        <f>_xll.BDH("NBIX US Equity","EARN_FOR_COMMON","FQ4 2018","FQ4 2018","Currency=USD","Period=FQ","BEST_FPERIOD_OVERRIDE=FQ","FILING_STATUS=MR","SCALING_FORMAT=MLN","FA_ADJUSTED=GAAP","Sort=A","Dates=H","DateFormat=P","Fill=—","Direction=H","UseDPDF=Y")</f>
        <v>18.077999999999999</v>
      </c>
      <c r="D8" s="13">
        <f>_xll.BDH("NBIX US Equity","EARN_FOR_COMMON","FQ1 2019","FQ1 2019","Currency=USD","Period=FQ","BEST_FPERIOD_OVERRIDE=FQ","FILING_STATUS=MR","SCALING_FORMAT=MLN","FA_ADJUSTED=GAAP","Sort=A","Dates=H","DateFormat=P","Fill=—","Direction=H","UseDPDF=Y")</f>
        <v>-102.11499999999999</v>
      </c>
      <c r="E8" s="13">
        <f>_xll.BDH("NBIX US Equity","EARN_FOR_COMMON","FQ2 2019","FQ2 2019","Currency=USD","Period=FQ","BEST_FPERIOD_OVERRIDE=FQ","FILING_STATUS=MR","SCALING_FORMAT=MLN","FA_ADJUSTED=GAAP","Sort=A","Dates=H","DateFormat=P","Fill=—","Direction=H","UseDPDF=Y")</f>
        <v>51.338000000000001</v>
      </c>
      <c r="F8" s="13">
        <f>_xll.BDH("NBIX US Equity","EARN_FOR_COMMON","FQ3 2019","FQ3 2019","Currency=USD","Period=FQ","BEST_FPERIOD_OVERRIDE=FQ","FILING_STATUS=MR","SCALING_FORMAT=MLN","FA_ADJUSTED=GAAP","Sort=A","Dates=H","DateFormat=P","Fill=—","Direction=H","UseDPDF=Y")</f>
        <v>53.789000000000001</v>
      </c>
      <c r="G8" s="13">
        <f>_xll.BDH("NBIX US Equity","EARN_FOR_COMMON","FQ4 2019","FQ4 2019","Currency=USD","Period=FQ","BEST_FPERIOD_OVERRIDE=FQ","FILING_STATUS=MR","SCALING_FORMAT=MLN","FA_ADJUSTED=GAAP","Sort=A","Dates=H","DateFormat=P","Fill=—","Direction=H","UseDPDF=Y")</f>
        <v>34</v>
      </c>
      <c r="H8" s="13">
        <f>_xll.BDH("NBIX US Equity","EARN_FOR_COMMON","FQ1 2020","FQ1 2020","Currency=USD","Period=FQ","BEST_FPERIOD_OVERRIDE=FQ","FILING_STATUS=MR","SCALING_FORMAT=MLN","FA_ADJUSTED=GAAP","Sort=A","Dates=H","DateFormat=P","Fill=—","Direction=H","UseDPDF=Y")</f>
        <v>37.4</v>
      </c>
      <c r="I8" s="13">
        <f>_xll.BDH("NBIX US Equity","EARN_FOR_COMMON","FQ2 2020","FQ2 2020","Currency=USD","Period=FQ","BEST_FPERIOD_OVERRIDE=FQ","FILING_STATUS=MR","SCALING_FORMAT=MLN","FA_ADJUSTED=GAAP","Sort=A","Dates=H","DateFormat=P","Fill=—","Direction=H","UseDPDF=Y")</f>
        <v>79.599999999999994</v>
      </c>
      <c r="J8" s="13">
        <f>_xll.BDH("NBIX US Equity","EARN_FOR_COMMON","FQ3 2020","FQ3 2020","Currency=USD","Period=FQ","BEST_FPERIOD_OVERRIDE=FQ","FILING_STATUS=MR","SCALING_FORMAT=MLN","FA_ADJUSTED=GAAP","Sort=A","Dates=H","DateFormat=P","Fill=—","Direction=H","UseDPDF=Y")</f>
        <v>-57.6</v>
      </c>
      <c r="K8" s="13">
        <f>_xll.BDH("NBIX US Equity","EARN_FOR_COMMON","FQ4 2020","FQ4 2020","Currency=USD","Period=FQ","BEST_FPERIOD_OVERRIDE=FQ","FILING_STATUS=MR","SCALING_FORMAT=MLN","FA_ADJUSTED=GAAP","Sort=A","Dates=H","DateFormat=P","Fill=—","Direction=H","UseDPDF=Y")</f>
        <v>347.9</v>
      </c>
      <c r="L8" s="13">
        <f>_xll.BDH("NBIX US Equity","EARN_FOR_COMMON","FQ1 2021","FQ1 2021","Currency=USD","Period=FQ","BEST_FPERIOD_OVERRIDE=FQ","FILING_STATUS=MR","SCALING_FORMAT=MLN","FA_ADJUSTED=GAAP","Sort=A","Dates=H","DateFormat=P","Fill=—","Direction=H","UseDPDF=Y")</f>
        <v>32.1</v>
      </c>
      <c r="M8" s="13">
        <f>_xll.BDH("NBIX US Equity","EARN_FOR_COMMON","FQ2 2021","FQ2 2021","Currency=USD","Period=FQ","BEST_FPERIOD_OVERRIDE=FQ","FILING_STATUS=MR","SCALING_FORMAT=MLN","FA_ADJUSTED=GAAP","Sort=A","Dates=H","DateFormat=P","Fill=—","Direction=H","UseDPDF=Y")</f>
        <v>42.3</v>
      </c>
      <c r="N8" s="13">
        <f>_xll.BDH("NBIX US Equity","EARN_FOR_COMMON","FQ3 2021","FQ3 2021","Currency=USD","Period=FQ","BEST_FPERIOD_OVERRIDE=FQ","FILING_STATUS=MR","SCALING_FORMAT=MLN","FA_ADJUSTED=GAAP","Sort=A","Dates=H","DateFormat=P","Fill=—","Direction=H","UseDPDF=Y")</f>
        <v>22.5</v>
      </c>
      <c r="O8" s="13">
        <f>_xll.BDH("NBIX US Equity","EARN_FOR_COMMON","FQ4 2021","FQ4 2021","Currency=USD","Period=FQ","BEST_FPERIOD_OVERRIDE=FQ","FILING_STATUS=MR","SCALING_FORMAT=MLN","FA_ADJUSTED=GAAP","Sort=A","Dates=H","DateFormat=P","Fill=—","Direction=H","UseDPDF=Y")</f>
        <v>-7.3</v>
      </c>
      <c r="P8" s="13">
        <f>_xll.BDH("NBIX US Equity","EARN_FOR_COMMON","FQ1 2022","FQ1 2022","Currency=USD","Period=FQ","BEST_FPERIOD_OVERRIDE=FQ","FILING_STATUS=MR","SCALING_FORMAT=MLN","FA_ADJUSTED=GAAP","Sort=A","Dates=H","DateFormat=P","Fill=—","Direction=H","UseDPDF=Y")</f>
        <v>13.9</v>
      </c>
      <c r="Q8" s="13">
        <f>_xll.BDH("NBIX US Equity","EARN_FOR_COMMON","FQ2 2022","FQ2 2022","Currency=USD","Period=FQ","BEST_FPERIOD_OVERRIDE=FQ","FILING_STATUS=MR","SCALING_FORMAT=MLN","FA_ADJUSTED=GAAP","Sort=A","Dates=H","DateFormat=P","Fill=—","Direction=H","UseDPDF=Y")</f>
        <v>-16.899999999999999</v>
      </c>
      <c r="R8" s="13">
        <f>_xll.BDH("NBIX US Equity","EARN_FOR_COMMON","FQ3 2022","FQ3 2022","Currency=USD","Period=FQ","BEST_FPERIOD_OVERRIDE=FQ","FILING_STATUS=MR","SCALING_FORMAT=MLN","FA_ADJUSTED=GAAP","Sort=A","Dates=H","DateFormat=P","Fill=—","Direction=H","UseDPDF=Y")</f>
        <v>68.5</v>
      </c>
      <c r="S8" s="13">
        <f>_xll.BDH("NBIX US Equity","EARN_FOR_COMMON","FQ4 2022","FQ4 2022","Currency=USD","Period=FQ","BEST_FPERIOD_OVERRIDE=FQ","FILING_STATUS=MR","SCALING_FORMAT=MLN","FA_ADJUSTED=GAAP","Sort=A","Dates=H","DateFormat=P","Fill=—","Direction=H","UseDPDF=Y")</f>
        <v>89</v>
      </c>
      <c r="T8" s="13">
        <f>_xll.BDH("NBIX US Equity","EARN_FOR_COMMON","FQ1 2023","FQ1 2023","Currency=USD","Period=FQ","BEST_FPERIOD_OVERRIDE=FQ","FILING_STATUS=MR","SCALING_FORMAT=MLN","FA_ADJUSTED=GAAP","Sort=A","Dates=H","DateFormat=P","Fill=—","Direction=H","UseDPDF=Y")</f>
        <v>-76.599999999999994</v>
      </c>
      <c r="U8" s="13">
        <f>_xll.BDH("NBIX US Equity","EARN_FOR_COMMON","FQ2 2023","FQ2 2023","Currency=USD","Period=FQ","BEST_FPERIOD_OVERRIDE=FQ","FILING_STATUS=MR","SCALING_FORMAT=MLN","FA_ADJUSTED=GAAP","Sort=A","Dates=H","DateFormat=P","Fill=—","Direction=H","UseDPDF=Y")</f>
        <v>95.5</v>
      </c>
      <c r="V8" s="13">
        <f>_xll.BDH("NBIX US Equity","EARN_FOR_COMMON","FQ3 2023","FQ3 2023","Currency=USD","Period=FQ","BEST_FPERIOD_OVERRIDE=FQ","FILING_STATUS=MR","SCALING_FORMAT=MLN","FA_ADJUSTED=GAAP","Sort=A","Dates=H","DateFormat=P","Fill=—","Direction=H","UseDPDF=Y")</f>
        <v>83.1</v>
      </c>
      <c r="W8" s="13">
        <f>_xll.BDH("NBIX US Equity","EARN_FOR_COMMON","FQ4 2023","FQ4 2023","Currency=USD","Period=FQ","BEST_FPERIOD_OVERRIDE=FQ","FILING_STATUS=MR","SCALING_FORMAT=MLN","FA_ADJUSTED=GAAP","Sort=A","Dates=H","DateFormat=P","Fill=—","Direction=H","UseDPDF=Y")</f>
        <v>147.69999999999999</v>
      </c>
      <c r="X8" s="13">
        <f>_xll.BDH("NBIX US Equity","EARN_FOR_COMMON","FQ1 2024","FQ1 2024","Currency=USD","Period=FQ","BEST_FPERIOD_OVERRIDE=FQ","FILING_STATUS=MR","SCALING_FORMAT=MLN","FA_ADJUSTED=GAAP","Sort=A","Dates=H","DateFormat=P","Fill=—","Direction=H","UseDPDF=Y")</f>
        <v>43.4</v>
      </c>
      <c r="Y8" s="13">
        <f>_xll.BDH("NBIX US Equity","EARN_FOR_COMMON","FQ2 2024","FQ2 2024","Currency=USD","Period=FQ","BEST_FPERIOD_OVERRIDE=FQ","FILING_STATUS=MR","SCALING_FORMAT=MLN","FA_ADJUSTED=GAAP","Sort=A","Dates=H","DateFormat=P","Fill=—","Direction=H","UseDPDF=Y")</f>
        <v>65</v>
      </c>
      <c r="Z8" s="13">
        <f>_xll.BDH("NBIX US Equity","EARN_FOR_COMMON","FQ3 2024","FQ3 2024","Currency=USD","Period=FQ","BEST_FPERIOD_OVERRIDE=FQ","FILING_STATUS=MR","SCALING_FORMAT=MLN","FA_ADJUSTED=GAAP","Sort=A","Dates=H","DateFormat=P","Fill=—","Direction=H","UseDPDF=Y")</f>
        <v>129.80000000000001</v>
      </c>
      <c r="AA8" s="13">
        <f>_xll.BDH("NBIX US Equity","EARN_FOR_COMMON","FQ4 2024","FQ4 2024","Currency=USD","Period=FQ","BEST_FPERIOD_OVERRIDE=FQ","FILING_STATUS=MR","SCALING_FORMAT=MLN","FA_ADJUSTED=GAAP","Sort=A","Dates=H","DateFormat=P","Fill=—","Direction=H","UseDPDF=Y")</f>
        <v>103.1</v>
      </c>
    </row>
    <row r="9" spans="1:27" x14ac:dyDescent="0.25">
      <c r="A9" s="10" t="s">
        <v>101</v>
      </c>
      <c r="B9" s="10" t="s">
        <v>102</v>
      </c>
      <c r="C9" s="14">
        <f>_xll.BDH("NBIX US Equity","IS_EPS","FQ4 2018","FQ4 2018","Currency=USD","Period=FQ","BEST_FPERIOD_OVERRIDE=FQ","FILING_STATUS=MR","FA_ADJUSTED=GAAP","Sort=A","Dates=H","DateFormat=P","Fill=—","Direction=H","UseDPDF=Y")</f>
        <v>0.2</v>
      </c>
      <c r="D9" s="14">
        <f>_xll.BDH("NBIX US Equity","IS_EPS","FQ1 2019","FQ1 2019","Currency=USD","Period=FQ","BEST_FPERIOD_OVERRIDE=FQ","FILING_STATUS=MR","FA_ADJUSTED=GAAP","Sort=A","Dates=H","DateFormat=P","Fill=—","Direction=H","UseDPDF=Y")</f>
        <v>-1.1200000000000001</v>
      </c>
      <c r="E9" s="14">
        <f>_xll.BDH("NBIX US Equity","IS_EPS","FQ2 2019","FQ2 2019","Currency=USD","Period=FQ","BEST_FPERIOD_OVERRIDE=FQ","FILING_STATUS=MR","FA_ADJUSTED=GAAP","Sort=A","Dates=H","DateFormat=P","Fill=—","Direction=H","UseDPDF=Y")</f>
        <v>0.56000000000000005</v>
      </c>
      <c r="F9" s="14">
        <f>_xll.BDH("NBIX US Equity","IS_EPS","FQ3 2019","FQ3 2019","Currency=USD","Period=FQ","BEST_FPERIOD_OVERRIDE=FQ","FILING_STATUS=MR","FA_ADJUSTED=GAAP","Sort=A","Dates=H","DateFormat=P","Fill=—","Direction=H","UseDPDF=Y")</f>
        <v>0.59</v>
      </c>
      <c r="G9" s="14">
        <f>_xll.BDH("NBIX US Equity","IS_EPS","FQ4 2019","FQ4 2019","Currency=USD","Period=FQ","BEST_FPERIOD_OVERRIDE=FQ","FILING_STATUS=MR","FA_ADJUSTED=GAAP","Sort=A","Dates=H","DateFormat=P","Fill=—","Direction=H","UseDPDF=Y")</f>
        <v>0.37</v>
      </c>
      <c r="H9" s="14">
        <f>_xll.BDH("NBIX US Equity","IS_EPS","FQ1 2020","FQ1 2020","Currency=USD","Period=FQ","BEST_FPERIOD_OVERRIDE=FQ","FILING_STATUS=MR","FA_ADJUSTED=GAAP","Sort=A","Dates=H","DateFormat=P","Fill=—","Direction=H","UseDPDF=Y")</f>
        <v>0.4</v>
      </c>
      <c r="I9" s="14">
        <f>_xll.BDH("NBIX US Equity","IS_EPS","FQ2 2020","FQ2 2020","Currency=USD","Period=FQ","BEST_FPERIOD_OVERRIDE=FQ","FILING_STATUS=MR","FA_ADJUSTED=GAAP","Sort=A","Dates=H","DateFormat=P","Fill=—","Direction=H","UseDPDF=Y")</f>
        <v>0.86</v>
      </c>
      <c r="J9" s="14">
        <f>_xll.BDH("NBIX US Equity","IS_EPS","FQ3 2020","FQ3 2020","Currency=USD","Period=FQ","BEST_FPERIOD_OVERRIDE=FQ","FILING_STATUS=MR","FA_ADJUSTED=GAAP","Sort=A","Dates=H","DateFormat=P","Fill=—","Direction=H","UseDPDF=Y")</f>
        <v>-0.62</v>
      </c>
      <c r="K9" s="14">
        <f>_xll.BDH("NBIX US Equity","IS_EPS","FQ4 2020","FQ4 2020","Currency=USD","Period=FQ","BEST_FPERIOD_OVERRIDE=FQ","FILING_STATUS=MR","FA_ADJUSTED=GAAP","Sort=A","Dates=H","DateFormat=P","Fill=—","Direction=H","UseDPDF=Y")</f>
        <v>3.72</v>
      </c>
      <c r="L9" s="14">
        <f>_xll.BDH("NBIX US Equity","IS_EPS","FQ1 2021","FQ1 2021","Currency=USD","Period=FQ","BEST_FPERIOD_OVERRIDE=FQ","FILING_STATUS=MR","FA_ADJUSTED=GAAP","Sort=A","Dates=H","DateFormat=P","Fill=—","Direction=H","UseDPDF=Y")</f>
        <v>0.34</v>
      </c>
      <c r="M9" s="14">
        <f>_xll.BDH("NBIX US Equity","IS_EPS","FQ2 2021","FQ2 2021","Currency=USD","Period=FQ","BEST_FPERIOD_OVERRIDE=FQ","FILING_STATUS=MR","FA_ADJUSTED=GAAP","Sort=A","Dates=H","DateFormat=P","Fill=—","Direction=H","UseDPDF=Y")</f>
        <v>0.45</v>
      </c>
      <c r="N9" s="14">
        <f>_xll.BDH("NBIX US Equity","IS_EPS","FQ3 2021","FQ3 2021","Currency=USD","Period=FQ","BEST_FPERIOD_OVERRIDE=FQ","FILING_STATUS=MR","FA_ADJUSTED=GAAP","Sort=A","Dates=H","DateFormat=P","Fill=—","Direction=H","UseDPDF=Y")</f>
        <v>0.24</v>
      </c>
      <c r="O9" s="14">
        <f>_xll.BDH("NBIX US Equity","IS_EPS","FQ4 2021","FQ4 2021","Currency=USD","Period=FQ","BEST_FPERIOD_OVERRIDE=FQ","FILING_STATUS=MR","FA_ADJUSTED=GAAP","Sort=A","Dates=H","DateFormat=P","Fill=—","Direction=H","UseDPDF=Y")</f>
        <v>-0.08</v>
      </c>
      <c r="P9" s="14">
        <f>_xll.BDH("NBIX US Equity","IS_EPS","FQ1 2022","FQ1 2022","Currency=USD","Period=FQ","BEST_FPERIOD_OVERRIDE=FQ","FILING_STATUS=MR","FA_ADJUSTED=GAAP","Sort=A","Dates=H","DateFormat=P","Fill=—","Direction=H","UseDPDF=Y")</f>
        <v>0.15</v>
      </c>
      <c r="Q9" s="14">
        <f>_xll.BDH("NBIX US Equity","IS_EPS","FQ2 2022","FQ2 2022","Currency=USD","Period=FQ","BEST_FPERIOD_OVERRIDE=FQ","FILING_STATUS=MR","FA_ADJUSTED=GAAP","Sort=A","Dates=H","DateFormat=P","Fill=—","Direction=H","UseDPDF=Y")</f>
        <v>-0.18</v>
      </c>
      <c r="R9" s="14">
        <f>_xll.BDH("NBIX US Equity","IS_EPS","FQ3 2022","FQ3 2022","Currency=USD","Period=FQ","BEST_FPERIOD_OVERRIDE=FQ","FILING_STATUS=MR","FA_ADJUSTED=GAAP","Sort=A","Dates=H","DateFormat=P","Fill=—","Direction=H","UseDPDF=Y")</f>
        <v>0.72</v>
      </c>
      <c r="S9" s="14">
        <f>_xll.BDH("NBIX US Equity","IS_EPS","FQ4 2022","FQ4 2022","Currency=USD","Period=FQ","BEST_FPERIOD_OVERRIDE=FQ","FILING_STATUS=MR","FA_ADJUSTED=GAAP","Sort=A","Dates=H","DateFormat=P","Fill=—","Direction=H","UseDPDF=Y")</f>
        <v>0.92</v>
      </c>
      <c r="T9" s="14">
        <f>_xll.BDH("NBIX US Equity","IS_EPS","FQ1 2023","FQ1 2023","Currency=USD","Period=FQ","BEST_FPERIOD_OVERRIDE=FQ","FILING_STATUS=MR","FA_ADJUSTED=GAAP","Sort=A","Dates=H","DateFormat=P","Fill=—","Direction=H","UseDPDF=Y")</f>
        <v>-0.79</v>
      </c>
      <c r="U9" s="14">
        <f>_xll.BDH("NBIX US Equity","IS_EPS","FQ2 2023","FQ2 2023","Currency=USD","Period=FQ","BEST_FPERIOD_OVERRIDE=FQ","FILING_STATUS=MR","FA_ADJUSTED=GAAP","Sort=A","Dates=H","DateFormat=P","Fill=—","Direction=H","UseDPDF=Y")</f>
        <v>0.98</v>
      </c>
      <c r="V9" s="14">
        <f>_xll.BDH("NBIX US Equity","IS_EPS","FQ3 2023","FQ3 2023","Currency=USD","Period=FQ","BEST_FPERIOD_OVERRIDE=FQ","FILING_STATUS=MR","FA_ADJUSTED=GAAP","Sort=A","Dates=H","DateFormat=P","Fill=—","Direction=H","UseDPDF=Y")</f>
        <v>0.85</v>
      </c>
      <c r="W9" s="14">
        <f>_xll.BDH("NBIX US Equity","IS_EPS","FQ4 2023","FQ4 2023","Currency=USD","Period=FQ","BEST_FPERIOD_OVERRIDE=FQ","FILING_STATUS=MR","FA_ADJUSTED=GAAP","Sort=A","Dates=H","DateFormat=P","Fill=—","Direction=H","UseDPDF=Y")</f>
        <v>1.5</v>
      </c>
      <c r="X9" s="14">
        <f>_xll.BDH("NBIX US Equity","IS_EPS","FQ1 2024","FQ1 2024","Currency=USD","Period=FQ","BEST_FPERIOD_OVERRIDE=FQ","FILING_STATUS=MR","FA_ADJUSTED=GAAP","Sort=A","Dates=H","DateFormat=P","Fill=—","Direction=H","UseDPDF=Y")</f>
        <v>0.43</v>
      </c>
      <c r="Y9" s="14">
        <f>_xll.BDH("NBIX US Equity","IS_EPS","FQ2 2024","FQ2 2024","Currency=USD","Period=FQ","BEST_FPERIOD_OVERRIDE=FQ","FILING_STATUS=MR","FA_ADJUSTED=GAAP","Sort=A","Dates=H","DateFormat=P","Fill=—","Direction=H","UseDPDF=Y")</f>
        <v>0.64</v>
      </c>
      <c r="Z9" s="14">
        <f>_xll.BDH("NBIX US Equity","IS_EPS","FQ3 2024","FQ3 2024","Currency=USD","Period=FQ","BEST_FPERIOD_OVERRIDE=FQ","FILING_STATUS=MR","FA_ADJUSTED=GAAP","Sort=A","Dates=H","DateFormat=P","Fill=—","Direction=H","UseDPDF=Y")</f>
        <v>1.28</v>
      </c>
      <c r="AA9" s="14">
        <f>_xll.BDH("NBIX US Equity","IS_EPS","FQ4 2024","FQ4 2024","Currency=USD","Period=FQ","BEST_FPERIOD_OVERRIDE=FQ","FILING_STATUS=MR","FA_ADJUSTED=GAAP","Sort=A","Dates=H","DateFormat=P","Fill=—","Direction=H","UseDPDF=Y")</f>
        <v>1.03</v>
      </c>
    </row>
    <row r="10" spans="1:27" x14ac:dyDescent="0.25">
      <c r="A10" s="10" t="s">
        <v>103</v>
      </c>
      <c r="B10" s="10" t="s">
        <v>104</v>
      </c>
      <c r="C10" s="14">
        <f>_xll.BDH("NBIX US Equity","IS_DILUTED_EPS","FQ4 2018","FQ4 2018","Currency=USD","Period=FQ","BEST_FPERIOD_OVERRIDE=FQ","FILING_STATUS=MR","FA_ADJUSTED=GAAP","Sort=A","Dates=H","DateFormat=P","Fill=—","Direction=H","UseDPDF=Y")</f>
        <v>0.19</v>
      </c>
      <c r="D10" s="14">
        <f>_xll.BDH("NBIX US Equity","IS_DILUTED_EPS","FQ1 2019","FQ1 2019","Currency=USD","Period=FQ","BEST_FPERIOD_OVERRIDE=FQ","FILING_STATUS=MR","FA_ADJUSTED=GAAP","Sort=A","Dates=H","DateFormat=P","Fill=—","Direction=H","UseDPDF=Y")</f>
        <v>-1.1200000000000001</v>
      </c>
      <c r="E10" s="14">
        <f>_xll.BDH("NBIX US Equity","IS_DILUTED_EPS","FQ2 2019","FQ2 2019","Currency=USD","Period=FQ","BEST_FPERIOD_OVERRIDE=FQ","FILING_STATUS=MR","FA_ADJUSTED=GAAP","Sort=A","Dates=H","DateFormat=P","Fill=—","Direction=H","UseDPDF=Y")</f>
        <v>0.54</v>
      </c>
      <c r="F10" s="14">
        <f>_xll.BDH("NBIX US Equity","IS_DILUTED_EPS","FQ3 2019","FQ3 2019","Currency=USD","Period=FQ","BEST_FPERIOD_OVERRIDE=FQ","FILING_STATUS=MR","FA_ADJUSTED=GAAP","Sort=A","Dates=H","DateFormat=P","Fill=—","Direction=H","UseDPDF=Y")</f>
        <v>0.56000000000000005</v>
      </c>
      <c r="G10" s="14">
        <f>_xll.BDH("NBIX US Equity","IS_DILUTED_EPS","FQ4 2019","FQ4 2019","Currency=USD","Period=FQ","BEST_FPERIOD_OVERRIDE=FQ","FILING_STATUS=MR","FA_ADJUSTED=GAAP","Sort=A","Dates=H","DateFormat=P","Fill=—","Direction=H","UseDPDF=Y")</f>
        <v>0.35</v>
      </c>
      <c r="H10" s="14">
        <f>_xll.BDH("NBIX US Equity","IS_DILUTED_EPS","FQ1 2020","FQ1 2020","Currency=USD","Period=FQ","BEST_FPERIOD_OVERRIDE=FQ","FILING_STATUS=MR","FA_ADJUSTED=GAAP","Sort=A","Dates=H","DateFormat=P","Fill=—","Direction=H","UseDPDF=Y")</f>
        <v>0.39</v>
      </c>
      <c r="I10" s="14">
        <f>_xll.BDH("NBIX US Equity","IS_DILUTED_EPS","FQ2 2020","FQ2 2020","Currency=USD","Period=FQ","BEST_FPERIOD_OVERRIDE=FQ","FILING_STATUS=MR","FA_ADJUSTED=GAAP","Sort=A","Dates=H","DateFormat=P","Fill=—","Direction=H","UseDPDF=Y")</f>
        <v>0.81</v>
      </c>
      <c r="J10" s="14">
        <f>_xll.BDH("NBIX US Equity","IS_DILUTED_EPS","FQ3 2020","FQ3 2020","Currency=USD","Period=FQ","BEST_FPERIOD_OVERRIDE=FQ","FILING_STATUS=MR","FA_ADJUSTED=GAAP","Sort=A","Dates=H","DateFormat=P","Fill=—","Direction=H","UseDPDF=Y")</f>
        <v>-0.62</v>
      </c>
      <c r="K10" s="14">
        <f>_xll.BDH("NBIX US Equity","IS_DILUTED_EPS","FQ4 2020","FQ4 2020","Currency=USD","Period=FQ","BEST_FPERIOD_OVERRIDE=FQ","FILING_STATUS=MR","FA_ADJUSTED=GAAP","Sort=A","Dates=H","DateFormat=P","Fill=—","Direction=H","UseDPDF=Y")</f>
        <v>3.58</v>
      </c>
      <c r="L10" s="14">
        <f>_xll.BDH("NBIX US Equity","IS_DILUTED_EPS","FQ1 2021","FQ1 2021","Currency=USD","Period=FQ","BEST_FPERIOD_OVERRIDE=FQ","FILING_STATUS=MR","FA_ADJUSTED=GAAP","Sort=A","Dates=H","DateFormat=P","Fill=—","Direction=H","UseDPDF=Y")</f>
        <v>0.33</v>
      </c>
      <c r="M10" s="14">
        <f>_xll.BDH("NBIX US Equity","IS_DILUTED_EPS","FQ2 2021","FQ2 2021","Currency=USD","Period=FQ","BEST_FPERIOD_OVERRIDE=FQ","FILING_STATUS=MR","FA_ADJUSTED=GAAP","Sort=A","Dates=H","DateFormat=P","Fill=—","Direction=H","UseDPDF=Y")</f>
        <v>0.43</v>
      </c>
      <c r="N10" s="14">
        <f>_xll.BDH("NBIX US Equity","IS_DILUTED_EPS","FQ3 2021","FQ3 2021","Currency=USD","Period=FQ","BEST_FPERIOD_OVERRIDE=FQ","FILING_STATUS=MR","FA_ADJUSTED=GAAP","Sort=A","Dates=H","DateFormat=P","Fill=—","Direction=H","UseDPDF=Y")</f>
        <v>0.23</v>
      </c>
      <c r="O10" s="14">
        <f>_xll.BDH("NBIX US Equity","IS_DILUTED_EPS","FQ4 2021","FQ4 2021","Currency=USD","Period=FQ","BEST_FPERIOD_OVERRIDE=FQ","FILING_STATUS=MR","FA_ADJUSTED=GAAP","Sort=A","Dates=H","DateFormat=P","Fill=—","Direction=H","UseDPDF=Y")</f>
        <v>-0.08</v>
      </c>
      <c r="P10" s="14">
        <f>_xll.BDH("NBIX US Equity","IS_DILUTED_EPS","FQ1 2022","FQ1 2022","Currency=USD","Period=FQ","BEST_FPERIOD_OVERRIDE=FQ","FILING_STATUS=MR","FA_ADJUSTED=GAAP","Sort=A","Dates=H","DateFormat=P","Fill=—","Direction=H","UseDPDF=Y")</f>
        <v>0.14000000000000001</v>
      </c>
      <c r="Q10" s="14">
        <f>_xll.BDH("NBIX US Equity","IS_DILUTED_EPS","FQ2 2022","FQ2 2022","Currency=USD","Period=FQ","BEST_FPERIOD_OVERRIDE=FQ","FILING_STATUS=MR","FA_ADJUSTED=GAAP","Sort=A","Dates=H","DateFormat=P","Fill=—","Direction=H","UseDPDF=Y")</f>
        <v>-0.18</v>
      </c>
      <c r="R10" s="14">
        <f>_xll.BDH("NBIX US Equity","IS_DILUTED_EPS","FQ3 2022","FQ3 2022","Currency=USD","Period=FQ","BEST_FPERIOD_OVERRIDE=FQ","FILING_STATUS=MR","FA_ADJUSTED=GAAP","Sort=A","Dates=H","DateFormat=P","Fill=—","Direction=H","UseDPDF=Y")</f>
        <v>0.69</v>
      </c>
      <c r="S10" s="14">
        <f>_xll.BDH("NBIX US Equity","IS_DILUTED_EPS","FQ4 2022","FQ4 2022","Currency=USD","Period=FQ","BEST_FPERIOD_OVERRIDE=FQ","FILING_STATUS=MR","FA_ADJUSTED=GAAP","Sort=A","Dates=H","DateFormat=P","Fill=—","Direction=H","UseDPDF=Y")</f>
        <v>0.88</v>
      </c>
      <c r="T10" s="14">
        <f>_xll.BDH("NBIX US Equity","IS_DILUTED_EPS","FQ1 2023","FQ1 2023","Currency=USD","Period=FQ","BEST_FPERIOD_OVERRIDE=FQ","FILING_STATUS=MR","FA_ADJUSTED=GAAP","Sort=A","Dates=H","DateFormat=P","Fill=—","Direction=H","UseDPDF=Y")</f>
        <v>-0.79</v>
      </c>
      <c r="U10" s="14">
        <f>_xll.BDH("NBIX US Equity","IS_DILUTED_EPS","FQ2 2023","FQ2 2023","Currency=USD","Period=FQ","BEST_FPERIOD_OVERRIDE=FQ","FILING_STATUS=MR","FA_ADJUSTED=GAAP","Sort=A","Dates=H","DateFormat=P","Fill=—","Direction=H","UseDPDF=Y")</f>
        <v>0.95</v>
      </c>
      <c r="V10" s="14">
        <f>_xll.BDH("NBIX US Equity","IS_DILUTED_EPS","FQ3 2023","FQ3 2023","Currency=USD","Period=FQ","BEST_FPERIOD_OVERRIDE=FQ","FILING_STATUS=MR","FA_ADJUSTED=GAAP","Sort=A","Dates=H","DateFormat=P","Fill=—","Direction=H","UseDPDF=Y")</f>
        <v>0.82</v>
      </c>
      <c r="W10" s="14">
        <f>_xll.BDH("NBIX US Equity","IS_DILUTED_EPS","FQ4 2023","FQ4 2023","Currency=USD","Period=FQ","BEST_FPERIOD_OVERRIDE=FQ","FILING_STATUS=MR","FA_ADJUSTED=GAAP","Sort=A","Dates=H","DateFormat=P","Fill=—","Direction=H","UseDPDF=Y")</f>
        <v>1.44</v>
      </c>
      <c r="X10" s="14">
        <f>_xll.BDH("NBIX US Equity","IS_DILUTED_EPS","FQ1 2024","FQ1 2024","Currency=USD","Period=FQ","BEST_FPERIOD_OVERRIDE=FQ","FILING_STATUS=MR","FA_ADJUSTED=GAAP","Sort=A","Dates=H","DateFormat=P","Fill=—","Direction=H","UseDPDF=Y")</f>
        <v>0.42</v>
      </c>
      <c r="Y10" s="14">
        <f>_xll.BDH("NBIX US Equity","IS_DILUTED_EPS","FQ2 2024","FQ2 2024","Currency=USD","Period=FQ","BEST_FPERIOD_OVERRIDE=FQ","FILING_STATUS=MR","FA_ADJUSTED=GAAP","Sort=A","Dates=H","DateFormat=P","Fill=—","Direction=H","UseDPDF=Y")</f>
        <v>0.63</v>
      </c>
      <c r="Z10" s="14">
        <f>_xll.BDH("NBIX US Equity","IS_DILUTED_EPS","FQ3 2024","FQ3 2024","Currency=USD","Period=FQ","BEST_FPERIOD_OVERRIDE=FQ","FILING_STATUS=MR","FA_ADJUSTED=GAAP","Sort=A","Dates=H","DateFormat=P","Fill=—","Direction=H","UseDPDF=Y")</f>
        <v>1.24</v>
      </c>
      <c r="AA10" s="14">
        <f>_xll.BDH("NBIX US Equity","IS_DILUTED_EPS","FQ4 2024","FQ4 2024","Currency=USD","Period=FQ","BEST_FPERIOD_OVERRIDE=FQ","FILING_STATUS=MR","FA_ADJUSTED=GAAP","Sort=A","Dates=H","DateFormat=P","Fill=—","Direction=H","UseDPDF=Y")</f>
        <v>1</v>
      </c>
    </row>
    <row r="11" spans="1:27" x14ac:dyDescent="0.25">
      <c r="A11" s="10" t="s">
        <v>105</v>
      </c>
      <c r="B11" s="10" t="s">
        <v>106</v>
      </c>
      <c r="C11" s="13">
        <f>_xll.BDH("NBIX US Equity","IS_AVG_NUM_SH_FOR_EPS","FQ4 2018","FQ4 2018","Currency=USD","Period=FQ","BEST_FPERIOD_OVERRIDE=FQ","FILING_STATUS=MR","Sort=A","Dates=H","DateFormat=P","Fill=—","Direction=H","UseDPDF=Y")</f>
        <v>90.742000000000004</v>
      </c>
      <c r="D11" s="13">
        <f>_xll.BDH("NBIX US Equity","IS_AVG_NUM_SH_FOR_EPS","FQ1 2019","FQ1 2019","Currency=USD","Period=FQ","BEST_FPERIOD_OVERRIDE=FQ","FILING_STATUS=MR","Sort=A","Dates=H","DateFormat=P","Fill=—","Direction=H","UseDPDF=Y")</f>
        <v>91.055999999999997</v>
      </c>
      <c r="E11" s="13">
        <f>_xll.BDH("NBIX US Equity","IS_AVG_NUM_SH_FOR_EPS","FQ2 2019","FQ2 2019","Currency=USD","Period=FQ","BEST_FPERIOD_OVERRIDE=FQ","FILING_STATUS=MR","Sort=A","Dates=H","DateFormat=P","Fill=—","Direction=H","UseDPDF=Y")</f>
        <v>91.388999999999996</v>
      </c>
      <c r="F11" s="13">
        <f>_xll.BDH("NBIX US Equity","IS_AVG_NUM_SH_FOR_EPS","FQ3 2019","FQ3 2019","Currency=USD","Period=FQ","BEST_FPERIOD_OVERRIDE=FQ","FILING_STATUS=MR","Sort=A","Dates=H","DateFormat=P","Fill=—","Direction=H","UseDPDF=Y")</f>
        <v>91.858999999999995</v>
      </c>
      <c r="G11" s="13">
        <f>_xll.BDH("NBIX US Equity","IS_AVG_NUM_SH_FOR_EPS","FQ4 2019","FQ4 2019","Currency=USD","Period=FQ","BEST_FPERIOD_OVERRIDE=FQ","FILING_STATUS=MR","Sort=A","Dates=H","DateFormat=P","Fill=—","Direction=H","UseDPDF=Y")</f>
        <v>92.2</v>
      </c>
      <c r="H11" s="13">
        <f>_xll.BDH("NBIX US Equity","IS_AVG_NUM_SH_FOR_EPS","FQ1 2020","FQ1 2020","Currency=USD","Period=FQ","BEST_FPERIOD_OVERRIDE=FQ","FILING_STATUS=MR","Sort=A","Dates=H","DateFormat=P","Fill=—","Direction=H","UseDPDF=Y")</f>
        <v>92.6</v>
      </c>
      <c r="I11" s="13">
        <f>_xll.BDH("NBIX US Equity","IS_AVG_NUM_SH_FOR_EPS","FQ2 2020","FQ2 2020","Currency=USD","Period=FQ","BEST_FPERIOD_OVERRIDE=FQ","FILING_STATUS=MR","Sort=A","Dates=H","DateFormat=P","Fill=—","Direction=H","UseDPDF=Y")</f>
        <v>93</v>
      </c>
      <c r="J11" s="13">
        <f>_xll.BDH("NBIX US Equity","IS_AVG_NUM_SH_FOR_EPS","FQ3 2020","FQ3 2020","Currency=USD","Period=FQ","BEST_FPERIOD_OVERRIDE=FQ","FILING_STATUS=MR","Sort=A","Dates=H","DateFormat=P","Fill=—","Direction=H","UseDPDF=Y")</f>
        <v>93.3</v>
      </c>
      <c r="K11" s="13">
        <f>_xll.BDH("NBIX US Equity","IS_AVG_NUM_SH_FOR_EPS","FQ4 2020","FQ4 2020","Currency=USD","Period=FQ","BEST_FPERIOD_OVERRIDE=FQ","FILING_STATUS=MR","Sort=A","Dates=H","DateFormat=P","Fill=—","Direction=H","UseDPDF=Y")</f>
        <v>93.5</v>
      </c>
      <c r="L11" s="13">
        <f>_xll.BDH("NBIX US Equity","IS_AVG_NUM_SH_FOR_EPS","FQ1 2021","FQ1 2021","Currency=USD","Period=FQ","BEST_FPERIOD_OVERRIDE=FQ","FILING_STATUS=MR","Sort=A","Dates=H","DateFormat=P","Fill=—","Direction=H","UseDPDF=Y")</f>
        <v>94.2</v>
      </c>
      <c r="M11" s="13">
        <f>_xll.BDH("NBIX US Equity","IS_AVG_NUM_SH_FOR_EPS","FQ2 2021","FQ2 2021","Currency=USD","Period=FQ","BEST_FPERIOD_OVERRIDE=FQ","FILING_STATUS=MR","Sort=A","Dates=H","DateFormat=P","Fill=—","Direction=H","UseDPDF=Y")</f>
        <v>94.6</v>
      </c>
      <c r="N11" s="13">
        <f>_xll.BDH("NBIX US Equity","IS_AVG_NUM_SH_FOR_EPS","FQ3 2021","FQ3 2021","Currency=USD","Period=FQ","BEST_FPERIOD_OVERRIDE=FQ","FILING_STATUS=MR","Sort=A","Dates=H","DateFormat=P","Fill=—","Direction=H","UseDPDF=Y")</f>
        <v>94.7</v>
      </c>
      <c r="O11" s="13">
        <f>_xll.BDH("NBIX US Equity","IS_AVG_NUM_SH_FOR_EPS","FQ4 2021","FQ4 2021","Currency=USD","Period=FQ","BEST_FPERIOD_OVERRIDE=FQ","FILING_STATUS=MR","Sort=A","Dates=H","DateFormat=P","Fill=—","Direction=H","UseDPDF=Y")</f>
        <v>94.9</v>
      </c>
      <c r="P11" s="13">
        <f>_xll.BDH("NBIX US Equity","IS_AVG_NUM_SH_FOR_EPS","FQ1 2022","FQ1 2022","Currency=USD","Period=FQ","BEST_FPERIOD_OVERRIDE=FQ","FILING_STATUS=MR","Sort=A","Dates=H","DateFormat=P","Fill=—","Direction=H","UseDPDF=Y")</f>
        <v>95.3</v>
      </c>
      <c r="Q11" s="13">
        <f>_xll.BDH("NBIX US Equity","IS_AVG_NUM_SH_FOR_EPS","FQ2 2022","FQ2 2022","Currency=USD","Period=FQ","BEST_FPERIOD_OVERRIDE=FQ","FILING_STATUS=MR","Sort=A","Dates=H","DateFormat=P","Fill=—","Direction=H","UseDPDF=Y")</f>
        <v>95.6</v>
      </c>
      <c r="R11" s="13">
        <f>_xll.BDH("NBIX US Equity","IS_AVG_NUM_SH_FOR_EPS","FQ3 2022","FQ3 2022","Currency=USD","Period=FQ","BEST_FPERIOD_OVERRIDE=FQ","FILING_STATUS=MR","Sort=A","Dates=H","DateFormat=P","Fill=—","Direction=H","UseDPDF=Y")</f>
        <v>95.8</v>
      </c>
      <c r="S11" s="13">
        <f>_xll.BDH("NBIX US Equity","IS_AVG_NUM_SH_FOR_EPS","FQ4 2022","FQ4 2022","Currency=USD","Period=FQ","BEST_FPERIOD_OVERRIDE=FQ","FILING_STATUS=MR","Sort=A","Dates=H","DateFormat=P","Fill=—","Direction=H","UseDPDF=Y")</f>
        <v>96.3</v>
      </c>
      <c r="T11" s="13">
        <f>_xll.BDH("NBIX US Equity","IS_AVG_NUM_SH_FOR_EPS","FQ1 2023","FQ1 2023","Currency=USD","Period=FQ","BEST_FPERIOD_OVERRIDE=FQ","FILING_STATUS=MR","Sort=A","Dates=H","DateFormat=P","Fill=—","Direction=H","UseDPDF=Y")</f>
        <v>97.1</v>
      </c>
      <c r="U11" s="13">
        <f>_xll.BDH("NBIX US Equity","IS_AVG_NUM_SH_FOR_EPS","FQ2 2023","FQ2 2023","Currency=USD","Period=FQ","BEST_FPERIOD_OVERRIDE=FQ","FILING_STATUS=MR","Sort=A","Dates=H","DateFormat=P","Fill=—","Direction=H","UseDPDF=Y")</f>
        <v>97.6</v>
      </c>
      <c r="V11" s="13">
        <f>_xll.BDH("NBIX US Equity","IS_AVG_NUM_SH_FOR_EPS","FQ3 2023","FQ3 2023","Currency=USD","Period=FQ","BEST_FPERIOD_OVERRIDE=FQ","FILING_STATUS=MR","Sort=A","Dates=H","DateFormat=P","Fill=—","Direction=H","UseDPDF=Y")</f>
        <v>97.9</v>
      </c>
      <c r="W11" s="13">
        <f>_xll.BDH("NBIX US Equity","IS_AVG_NUM_SH_FOR_EPS","FQ4 2023","FQ4 2023","Currency=USD","Period=FQ","BEST_FPERIOD_OVERRIDE=FQ","FILING_STATUS=MR","Sort=A","Dates=H","DateFormat=P","Fill=—","Direction=H","UseDPDF=Y")</f>
        <v>98.4</v>
      </c>
      <c r="X11" s="13">
        <f>_xll.BDH("NBIX US Equity","IS_AVG_NUM_SH_FOR_EPS","FQ1 2024","FQ1 2024","Currency=USD","Period=FQ","BEST_FPERIOD_OVERRIDE=FQ","FILING_STATUS=MR","Sort=A","Dates=H","DateFormat=P","Fill=—","Direction=H","UseDPDF=Y")</f>
        <v>99.8</v>
      </c>
      <c r="Y11" s="13">
        <f>_xll.BDH("NBIX US Equity","IS_AVG_NUM_SH_FOR_EPS","FQ2 2024","FQ2 2024","Currency=USD","Period=FQ","BEST_FPERIOD_OVERRIDE=FQ","FILING_STATUS=MR","Sort=A","Dates=H","DateFormat=P","Fill=—","Direction=H","UseDPDF=Y")</f>
        <v>100.8</v>
      </c>
      <c r="Z11" s="13">
        <f>_xll.BDH("NBIX US Equity","IS_AVG_NUM_SH_FOR_EPS","FQ3 2024","FQ3 2024","Currency=USD","Period=FQ","BEST_FPERIOD_OVERRIDE=FQ","FILING_STATUS=MR","Sort=A","Dates=H","DateFormat=P","Fill=—","Direction=H","UseDPDF=Y")</f>
        <v>101.1</v>
      </c>
      <c r="AA11" s="13">
        <f>_xll.BDH("NBIX US Equity","IS_AVG_NUM_SH_FOR_EPS","FQ4 2024","FQ4 2024","Currency=USD","Period=FQ","BEST_FPERIOD_OVERRIDE=FQ","FILING_STATUS=MR","Sort=A","Dates=H","DateFormat=P","Fill=—","Direction=H","UseDPDF=Y")</f>
        <v>100</v>
      </c>
    </row>
    <row r="12" spans="1:27" x14ac:dyDescent="0.25">
      <c r="A12" s="10" t="s">
        <v>107</v>
      </c>
      <c r="B12" s="10" t="s">
        <v>108</v>
      </c>
      <c r="C12" s="13">
        <f>_xll.BDH("NBIX US Equity","IS_SH_FOR_DILUTED_EPS","FQ4 2018","FQ4 2018","Currency=USD","Period=FQ","BEST_FPERIOD_OVERRIDE=FQ","FILING_STATUS=MR","Sort=A","Dates=H","DateFormat=P","Fill=—","Direction=H","UseDPDF=Y")</f>
        <v>95.724000000000004</v>
      </c>
      <c r="D12" s="13">
        <f>_xll.BDH("NBIX US Equity","IS_SH_FOR_DILUTED_EPS","FQ1 2019","FQ1 2019","Currency=USD","Period=FQ","BEST_FPERIOD_OVERRIDE=FQ","FILING_STATUS=MR","Sort=A","Dates=H","DateFormat=P","Fill=—","Direction=H","UseDPDF=Y")</f>
        <v>91.055999999999997</v>
      </c>
      <c r="E12" s="13">
        <f>_xll.BDH("NBIX US Equity","IS_SH_FOR_DILUTED_EPS","FQ2 2019","FQ2 2019","Currency=USD","Period=FQ","BEST_FPERIOD_OVERRIDE=FQ","FILING_STATUS=MR","Sort=A","Dates=H","DateFormat=P","Fill=—","Direction=H","UseDPDF=Y")</f>
        <v>94.778999999999996</v>
      </c>
      <c r="F12" s="13">
        <f>_xll.BDH("NBIX US Equity","IS_SH_FOR_DILUTED_EPS","FQ3 2019","FQ3 2019","Currency=USD","Period=FQ","BEST_FPERIOD_OVERRIDE=FQ","FILING_STATUS=MR","Sort=A","Dates=H","DateFormat=P","Fill=—","Direction=H","UseDPDF=Y")</f>
        <v>96.073999999999998</v>
      </c>
      <c r="G12" s="13">
        <f>_xll.BDH("NBIX US Equity","IS_SH_FOR_DILUTED_EPS","FQ4 2019","FQ4 2019","Currency=USD","Period=FQ","BEST_FPERIOD_OVERRIDE=FQ","FILING_STATUS=MR","Sort=A","Dates=H","DateFormat=P","Fill=—","Direction=H","UseDPDF=Y")</f>
        <v>97.2</v>
      </c>
      <c r="H12" s="13">
        <f>_xll.BDH("NBIX US Equity","IS_SH_FOR_DILUTED_EPS","FQ1 2020","FQ1 2020","Currency=USD","Period=FQ","BEST_FPERIOD_OVERRIDE=FQ","FILING_STATUS=MR","Sort=A","Dates=H","DateFormat=P","Fill=—","Direction=H","UseDPDF=Y")</f>
        <v>97</v>
      </c>
      <c r="I12" s="13">
        <f>_xll.BDH("NBIX US Equity","IS_SH_FOR_DILUTED_EPS","FQ2 2020","FQ2 2020","Currency=USD","Period=FQ","BEST_FPERIOD_OVERRIDE=FQ","FILING_STATUS=MR","Sort=A","Dates=H","DateFormat=P","Fill=—","Direction=H","UseDPDF=Y")</f>
        <v>98.2</v>
      </c>
      <c r="J12" s="13">
        <f>_xll.BDH("NBIX US Equity","IS_SH_FOR_DILUTED_EPS","FQ3 2020","FQ3 2020","Currency=USD","Period=FQ","BEST_FPERIOD_OVERRIDE=FQ","FILING_STATUS=MR","Sort=A","Dates=H","DateFormat=P","Fill=—","Direction=H","UseDPDF=Y")</f>
        <v>93.3</v>
      </c>
      <c r="K12" s="13">
        <f>_xll.BDH("NBIX US Equity","IS_SH_FOR_DILUTED_EPS","FQ4 2020","FQ4 2020","Currency=USD","Period=FQ","BEST_FPERIOD_OVERRIDE=FQ","FILING_STATUS=MR","Sort=A","Dates=H","DateFormat=P","Fill=—","Direction=H","UseDPDF=Y")</f>
        <v>97.2</v>
      </c>
      <c r="L12" s="13">
        <f>_xll.BDH("NBIX US Equity","IS_SH_FOR_DILUTED_EPS","FQ1 2021","FQ1 2021","Currency=USD","Period=FQ","BEST_FPERIOD_OVERRIDE=FQ","FILING_STATUS=MR","Sort=A","Dates=H","DateFormat=P","Fill=—","Direction=H","UseDPDF=Y")</f>
        <v>98.2</v>
      </c>
      <c r="M12" s="13">
        <f>_xll.BDH("NBIX US Equity","IS_SH_FOR_DILUTED_EPS","FQ2 2021","FQ2 2021","Currency=USD","Period=FQ","BEST_FPERIOD_OVERRIDE=FQ","FILING_STATUS=MR","Sort=A","Dates=H","DateFormat=P","Fill=—","Direction=H","UseDPDF=Y")</f>
        <v>97.7</v>
      </c>
      <c r="N12" s="13">
        <f>_xll.BDH("NBIX US Equity","IS_SH_FOR_DILUTED_EPS","FQ3 2021","FQ3 2021","Currency=USD","Period=FQ","BEST_FPERIOD_OVERRIDE=FQ","FILING_STATUS=MR","Sort=A","Dates=H","DateFormat=P","Fill=—","Direction=H","UseDPDF=Y")</f>
        <v>97.7</v>
      </c>
      <c r="O12" s="13">
        <f>_xll.BDH("NBIX US Equity","IS_SH_FOR_DILUTED_EPS","FQ4 2021","FQ4 2021","Currency=USD","Period=FQ","BEST_FPERIOD_OVERRIDE=FQ","FILING_STATUS=MR","Sort=A","Dates=H","DateFormat=P","Fill=—","Direction=H","UseDPDF=Y")</f>
        <v>94.9</v>
      </c>
      <c r="P12" s="13">
        <f>_xll.BDH("NBIX US Equity","IS_SH_FOR_DILUTED_EPS","FQ1 2022","FQ1 2022","Currency=USD","Period=FQ","BEST_FPERIOD_OVERRIDE=FQ","FILING_STATUS=MR","Sort=A","Dates=H","DateFormat=P","Fill=—","Direction=H","UseDPDF=Y")</f>
        <v>97.6</v>
      </c>
      <c r="Q12" s="13">
        <f>_xll.BDH("NBIX US Equity","IS_SH_FOR_DILUTED_EPS","FQ2 2022","FQ2 2022","Currency=USD","Period=FQ","BEST_FPERIOD_OVERRIDE=FQ","FILING_STATUS=MR","Sort=A","Dates=H","DateFormat=P","Fill=—","Direction=H","UseDPDF=Y")</f>
        <v>95.6</v>
      </c>
      <c r="R12" s="13">
        <f>_xll.BDH("NBIX US Equity","IS_SH_FOR_DILUTED_EPS","FQ3 2022","FQ3 2022","Currency=USD","Period=FQ","BEST_FPERIOD_OVERRIDE=FQ","FILING_STATUS=MR","Sort=A","Dates=H","DateFormat=P","Fill=—","Direction=H","UseDPDF=Y")</f>
        <v>99</v>
      </c>
      <c r="S12" s="13">
        <f>_xll.BDH("NBIX US Equity","IS_SH_FOR_DILUTED_EPS","FQ4 2022","FQ4 2022","Currency=USD","Period=FQ","BEST_FPERIOD_OVERRIDE=FQ","FILING_STATUS=MR","Sort=A","Dates=H","DateFormat=P","Fill=—","Direction=H","UseDPDF=Y")</f>
        <v>100.8</v>
      </c>
      <c r="T12" s="13">
        <f>_xll.BDH("NBIX US Equity","IS_SH_FOR_DILUTED_EPS","FQ1 2023","FQ1 2023","Currency=USD","Period=FQ","BEST_FPERIOD_OVERRIDE=FQ","FILING_STATUS=MR","Sort=A","Dates=H","DateFormat=P","Fill=—","Direction=H","UseDPDF=Y")</f>
        <v>97.1</v>
      </c>
      <c r="U12" s="13">
        <f>_xll.BDH("NBIX US Equity","IS_SH_FOR_DILUTED_EPS","FQ2 2023","FQ2 2023","Currency=USD","Period=FQ","BEST_FPERIOD_OVERRIDE=FQ","FILING_STATUS=MR","Sort=A","Dates=H","DateFormat=P","Fill=—","Direction=H","UseDPDF=Y")</f>
        <v>100.2</v>
      </c>
      <c r="V12" s="13">
        <f>_xll.BDH("NBIX US Equity","IS_SH_FOR_DILUTED_EPS","FQ3 2023","FQ3 2023","Currency=USD","Period=FQ","BEST_FPERIOD_OVERRIDE=FQ","FILING_STATUS=MR","Sort=A","Dates=H","DateFormat=P","Fill=—","Direction=H","UseDPDF=Y")</f>
        <v>101.1</v>
      </c>
      <c r="W12" s="13">
        <f>_xll.BDH("NBIX US Equity","IS_SH_FOR_DILUTED_EPS","FQ4 2023","FQ4 2023","Currency=USD","Period=FQ","BEST_FPERIOD_OVERRIDE=FQ","FILING_STATUS=MR","Sort=A","Dates=H","DateFormat=P","Fill=—","Direction=H","UseDPDF=Y")</f>
        <v>102.3</v>
      </c>
      <c r="X12" s="13">
        <f>_xll.BDH("NBIX US Equity","IS_SH_FOR_DILUTED_EPS","FQ1 2024","FQ1 2024","Currency=USD","Period=FQ","BEST_FPERIOD_OVERRIDE=FQ","FILING_STATUS=MR","Sort=A","Dates=H","DateFormat=P","Fill=—","Direction=H","UseDPDF=Y")</f>
        <v>103.6</v>
      </c>
      <c r="Y12" s="13">
        <f>_xll.BDH("NBIX US Equity","IS_SH_FOR_DILUTED_EPS","FQ2 2024","FQ2 2024","Currency=USD","Period=FQ","BEST_FPERIOD_OVERRIDE=FQ","FILING_STATUS=MR","Sort=A","Dates=H","DateFormat=P","Fill=—","Direction=H","UseDPDF=Y")</f>
        <v>103.9</v>
      </c>
      <c r="Z12" s="13">
        <f>_xll.BDH("NBIX US Equity","IS_SH_FOR_DILUTED_EPS","FQ3 2024","FQ3 2024","Currency=USD","Period=FQ","BEST_FPERIOD_OVERRIDE=FQ","FILING_STATUS=MR","Sort=A","Dates=H","DateFormat=P","Fill=—","Direction=H","UseDPDF=Y")</f>
        <v>104.3</v>
      </c>
      <c r="AA12" s="13">
        <f>_xll.BDH("NBIX US Equity","IS_SH_FOR_DILUTED_EPS","FQ4 2024","FQ4 2024","Currency=USD","Period=FQ","BEST_FPERIOD_OVERRIDE=FQ","FILING_STATUS=MR","Sort=A","Dates=H","DateFormat=P","Fill=—","Direction=H","UseDPDF=Y")</f>
        <v>102.9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109</v>
      </c>
      <c r="B14" s="10" t="s">
        <v>63</v>
      </c>
      <c r="C14" s="13">
        <f>_xll.BDH("NBIX US Equity","CASH_AND_MARKETABLE_SECURITIES","FQ4 2018","FQ4 2018","Currency=USD","Period=FQ","BEST_FPERIOD_OVERRIDE=FQ","FILING_STATUS=MR","SCALING_FORMAT=MLN","Sort=A","Dates=H","DateFormat=P","Fill=—","Direction=H","UseDPDF=Y")</f>
        <v>650.91300000000001</v>
      </c>
      <c r="D14" s="13">
        <f>_xll.BDH("NBIX US Equity","CASH_AND_MARKETABLE_SECURITIES","FQ1 2019","FQ1 2019","Currency=USD","Period=FQ","BEST_FPERIOD_OVERRIDE=FQ","FILING_STATUS=MR","SCALING_FORMAT=MLN","Sort=A","Dates=H","DateFormat=P","Fill=—","Direction=H","UseDPDF=Y")</f>
        <v>524.06799999999998</v>
      </c>
      <c r="E14" s="13">
        <f>_xll.BDH("NBIX US Equity","CASH_AND_MARKETABLE_SECURITIES","FQ2 2019","FQ2 2019","Currency=USD","Period=FQ","BEST_FPERIOD_OVERRIDE=FQ","FILING_STATUS=MR","SCALING_FORMAT=MLN","Sort=A","Dates=H","DateFormat=P","Fill=—","Direction=H","UseDPDF=Y")</f>
        <v>619.97799999999995</v>
      </c>
      <c r="F14" s="13">
        <f>_xll.BDH("NBIX US Equity","CASH_AND_MARKETABLE_SECURITIES","FQ3 2019","FQ3 2019","Currency=USD","Period=FQ","BEST_FPERIOD_OVERRIDE=FQ","FILING_STATUS=MR","SCALING_FORMAT=MLN","Sort=A","Dates=H","DateFormat=P","Fill=—","Direction=H","UseDPDF=Y")</f>
        <v>670.16200000000003</v>
      </c>
      <c r="G14" s="13">
        <f>_xll.BDH("NBIX US Equity","CASH_AND_MARKETABLE_SECURITIES","FQ4 2019","FQ4 2019","Currency=USD","Period=FQ","BEST_FPERIOD_OVERRIDE=FQ","FILING_STATUS=MR","SCALING_FORMAT=MLN","Sort=A","Dates=H","DateFormat=P","Fill=—","Direction=H","UseDPDF=Y")</f>
        <v>670.5</v>
      </c>
      <c r="H14" s="13">
        <f>_xll.BDH("NBIX US Equity","CASH_AND_MARKETABLE_SECURITIES","FQ1 2020","FQ1 2020","Currency=USD","Period=FQ","BEST_FPERIOD_OVERRIDE=FQ","FILING_STATUS=MR","SCALING_FORMAT=MLN","Sort=A","Dates=H","DateFormat=P","Fill=—","Direction=H","UseDPDF=Y")</f>
        <v>771.7</v>
      </c>
      <c r="I14" s="13">
        <f>_xll.BDH("NBIX US Equity","CASH_AND_MARKETABLE_SECURITIES","FQ2 2020","FQ2 2020","Currency=USD","Period=FQ","BEST_FPERIOD_OVERRIDE=FQ","FILING_STATUS=MR","SCALING_FORMAT=MLN","Sort=A","Dates=H","DateFormat=P","Fill=—","Direction=H","UseDPDF=Y")</f>
        <v>948.3</v>
      </c>
      <c r="J14" s="13">
        <f>_xll.BDH("NBIX US Equity","CASH_AND_MARKETABLE_SECURITIES","FQ3 2020","FQ3 2020","Currency=USD","Period=FQ","BEST_FPERIOD_OVERRIDE=FQ","FILING_STATUS=MR","SCALING_FORMAT=MLN","Sort=A","Dates=H","DateFormat=P","Fill=—","Direction=H","UseDPDF=Y")</f>
        <v>944.7</v>
      </c>
      <c r="K14" s="13">
        <f>_xll.BDH("NBIX US Equity","CASH_AND_MARKETABLE_SECURITIES","FQ4 2020","FQ4 2020","Currency=USD","Period=FQ","BEST_FPERIOD_OVERRIDE=FQ","FILING_STATUS=MR","SCALING_FORMAT=MLN","Sort=A","Dates=H","DateFormat=P","Fill=—","Direction=H","UseDPDF=Y")</f>
        <v>801</v>
      </c>
      <c r="L14" s="13">
        <f>_xll.BDH("NBIX US Equity","CASH_AND_MARKETABLE_SECURITIES","FQ1 2021","FQ1 2021","Currency=USD","Period=FQ","BEST_FPERIOD_OVERRIDE=FQ","FILING_STATUS=MR","SCALING_FORMAT=MLN","Sort=A","Dates=H","DateFormat=P","Fill=—","Direction=H","UseDPDF=Y")</f>
        <v>873.7</v>
      </c>
      <c r="M14" s="13">
        <f>_xll.BDH("NBIX US Equity","CASH_AND_MARKETABLE_SECURITIES","FQ2 2021","FQ2 2021","Currency=USD","Period=FQ","BEST_FPERIOD_OVERRIDE=FQ","FILING_STATUS=MR","SCALING_FORMAT=MLN","Sort=A","Dates=H","DateFormat=P","Fill=—","Direction=H","UseDPDF=Y")</f>
        <v>884.9</v>
      </c>
      <c r="N14" s="13">
        <f>_xll.BDH("NBIX US Equity","CASH_AND_MARKETABLE_SECURITIES","FQ3 2021","FQ3 2021","Currency=USD","Period=FQ","BEST_FPERIOD_OVERRIDE=FQ","FILING_STATUS=MR","SCALING_FORMAT=MLN","Sort=A","Dates=H","DateFormat=P","Fill=—","Direction=H","UseDPDF=Y")</f>
        <v>765.9</v>
      </c>
      <c r="O14" s="13">
        <f>_xll.BDH("NBIX US Equity","CASH_AND_MARKETABLE_SECURITIES","FQ4 2021","FQ4 2021","Currency=USD","Period=FQ","BEST_FPERIOD_OVERRIDE=FQ","FILING_STATUS=MR","SCALING_FORMAT=MLN","Sort=A","Dates=H","DateFormat=P","Fill=—","Direction=H","UseDPDF=Y")</f>
        <v>711.3</v>
      </c>
      <c r="P14" s="13">
        <f>_xll.BDH("NBIX US Equity","CASH_AND_MARKETABLE_SECURITIES","FQ1 2022","FQ1 2022","Currency=USD","Period=FQ","BEST_FPERIOD_OVERRIDE=FQ","FILING_STATUS=MR","SCALING_FORMAT=MLN","Sort=A","Dates=H","DateFormat=P","Fill=—","Direction=H","UseDPDF=Y")</f>
        <v>664.9</v>
      </c>
      <c r="Q14" s="13">
        <f>_xll.BDH("NBIX US Equity","CASH_AND_MARKETABLE_SECURITIES","FQ2 2022","FQ2 2022","Currency=USD","Period=FQ","BEST_FPERIOD_OVERRIDE=FQ","FILING_STATUS=MR","SCALING_FORMAT=MLN","Sort=A","Dates=H","DateFormat=P","Fill=—","Direction=H","UseDPDF=Y")</f>
        <v>648.29999999999995</v>
      </c>
      <c r="R14" s="13">
        <f>_xll.BDH("NBIX US Equity","CASH_AND_MARKETABLE_SECURITIES","FQ3 2022","FQ3 2022","Currency=USD","Period=FQ","BEST_FPERIOD_OVERRIDE=FQ","FILING_STATUS=MR","SCALING_FORMAT=MLN","Sort=A","Dates=H","DateFormat=P","Fill=—","Direction=H","UseDPDF=Y")</f>
        <v>799.4</v>
      </c>
      <c r="S14" s="13">
        <f>_xll.BDH("NBIX US Equity","CASH_AND_MARKETABLE_SECURITIES","FQ4 2022","FQ4 2022","Currency=USD","Period=FQ","BEST_FPERIOD_OVERRIDE=FQ","FILING_STATUS=MR","SCALING_FORMAT=MLN","Sort=A","Dates=H","DateFormat=P","Fill=—","Direction=H","UseDPDF=Y")</f>
        <v>989.3</v>
      </c>
      <c r="T14" s="13">
        <f>_xll.BDH("NBIX US Equity","CASH_AND_MARKETABLE_SECURITIES","FQ1 2023","FQ1 2023","Currency=USD","Period=FQ","BEST_FPERIOD_OVERRIDE=FQ","FILING_STATUS=MR","SCALING_FORMAT=MLN","Sort=A","Dates=H","DateFormat=P","Fill=—","Direction=H","UseDPDF=Y")</f>
        <v>894.6</v>
      </c>
      <c r="U14" s="13">
        <f>_xll.BDH("NBIX US Equity","CASH_AND_MARKETABLE_SECURITIES","FQ2 2023","FQ2 2023","Currency=USD","Period=FQ","BEST_FPERIOD_OVERRIDE=FQ","FILING_STATUS=MR","SCALING_FORMAT=MLN","Sort=A","Dates=H","DateFormat=P","Fill=—","Direction=H","UseDPDF=Y")</f>
        <v>976.7</v>
      </c>
      <c r="V14" s="13">
        <f>_xll.BDH("NBIX US Equity","CASH_AND_MARKETABLE_SECURITIES","FQ3 2023","FQ3 2023","Currency=USD","Period=FQ","BEST_FPERIOD_OVERRIDE=FQ","FILING_STATUS=MR","SCALING_FORMAT=MLN","Sort=A","Dates=H","DateFormat=P","Fill=—","Direction=H","UseDPDF=Y")</f>
        <v>1095.0999999999999</v>
      </c>
      <c r="W14" s="13">
        <f>_xll.BDH("NBIX US Equity","CASH_AND_MARKETABLE_SECURITIES","FQ4 2023","FQ4 2023","Currency=USD","Period=FQ","BEST_FPERIOD_OVERRIDE=FQ","FILING_STATUS=MR","SCALING_FORMAT=MLN","Sort=A","Dates=H","DateFormat=P","Fill=—","Direction=H","UseDPDF=Y")</f>
        <v>1031.5999999999999</v>
      </c>
      <c r="X14" s="13">
        <f>_xll.BDH("NBIX US Equity","CASH_AND_MARKETABLE_SECURITIES","FQ1 2024","FQ1 2024","Currency=USD","Period=FQ","BEST_FPERIOD_OVERRIDE=FQ","FILING_STATUS=MR","SCALING_FORMAT=MLN","Sort=A","Dates=H","DateFormat=P","Fill=—","Direction=H","UseDPDF=Y")</f>
        <v>1210.5999999999999</v>
      </c>
      <c r="Y14" s="13">
        <f>_xll.BDH("NBIX US Equity","CASH_AND_MARKETABLE_SECURITIES","FQ2 2024","FQ2 2024","Currency=USD","Period=FQ","BEST_FPERIOD_OVERRIDE=FQ","FILING_STATUS=MR","SCALING_FORMAT=MLN","Sort=A","Dates=H","DateFormat=P","Fill=—","Direction=H","UseDPDF=Y")</f>
        <v>1038.9000000000001</v>
      </c>
      <c r="Z14" s="13">
        <f>_xll.BDH("NBIX US Equity","CASH_AND_MARKETABLE_SECURITIES","FQ3 2024","FQ3 2024","Currency=USD","Period=FQ","BEST_FPERIOD_OVERRIDE=FQ","FILING_STATUS=MR","SCALING_FORMAT=MLN","Sort=A","Dates=H","DateFormat=P","Fill=—","Direction=H","UseDPDF=Y")</f>
        <v>1228</v>
      </c>
      <c r="AA14" s="13">
        <f>_xll.BDH("NBIX US Equity","CASH_AND_MARKETABLE_SECURITIES","FQ4 2024","FQ4 2024","Currency=USD","Period=FQ","BEST_FPERIOD_OVERRIDE=FQ","FILING_STATUS=MR","SCALING_FORMAT=MLN","Sort=A","Dates=H","DateFormat=P","Fill=—","Direction=H","UseDPDF=Y")</f>
        <v>1076.0999999999999</v>
      </c>
    </row>
    <row r="15" spans="1:27" x14ac:dyDescent="0.25">
      <c r="A15" s="10" t="s">
        <v>110</v>
      </c>
      <c r="B15" s="10" t="s">
        <v>111</v>
      </c>
      <c r="C15" s="13">
        <f>_xll.BDH("NBIX US Equity","BS_CUR_ASSET_REPORT","FQ4 2018","FQ4 2018","Currency=USD","Period=FQ","BEST_FPERIOD_OVERRIDE=FQ","FILING_STATUS=MR","SCALING_FORMAT=MLN","Sort=A","Dates=H","DateFormat=P","Fill=—","Direction=H","UseDPDF=Y")</f>
        <v>737.77700000000004</v>
      </c>
      <c r="D15" s="13">
        <f>_xll.BDH("NBIX US Equity","BS_CUR_ASSET_REPORT","FQ1 2019","FQ1 2019","Currency=USD","Period=FQ","BEST_FPERIOD_OVERRIDE=FQ","FILING_STATUS=MR","SCALING_FORMAT=MLN","Sort=A","Dates=H","DateFormat=P","Fill=—","Direction=H","UseDPDF=Y")</f>
        <v>633.19200000000001</v>
      </c>
      <c r="E15" s="13">
        <f>_xll.BDH("NBIX US Equity","BS_CUR_ASSET_REPORT","FQ2 2019","FQ2 2019","Currency=USD","Period=FQ","BEST_FPERIOD_OVERRIDE=FQ","FILING_STATUS=MR","SCALING_FORMAT=MLN","Sort=A","Dates=H","DateFormat=P","Fill=—","Direction=H","UseDPDF=Y")</f>
        <v>748.80799999999999</v>
      </c>
      <c r="F15" s="13">
        <f>_xll.BDH("NBIX US Equity","BS_CUR_ASSET_REPORT","FQ3 2019","FQ3 2019","Currency=USD","Period=FQ","BEST_FPERIOD_OVERRIDE=FQ","FILING_STATUS=MR","SCALING_FORMAT=MLN","Sort=A","Dates=H","DateFormat=P","Fill=—","Direction=H","UseDPDF=Y")</f>
        <v>819.23199999999997</v>
      </c>
      <c r="G15" s="13">
        <f>_xll.BDH("NBIX US Equity","BS_CUR_ASSET_REPORT","FQ4 2019","FQ4 2019","Currency=USD","Period=FQ","BEST_FPERIOD_OVERRIDE=FQ","FILING_STATUS=MR","SCALING_FORMAT=MLN","Sort=A","Dates=H","DateFormat=P","Fill=—","Direction=H","UseDPDF=Y")</f>
        <v>831</v>
      </c>
      <c r="H15" s="13">
        <f>_xll.BDH("NBIX US Equity","BS_CUR_ASSET_REPORT","FQ1 2020","FQ1 2020","Currency=USD","Period=FQ","BEST_FPERIOD_OVERRIDE=FQ","FILING_STATUS=MR","SCALING_FORMAT=MLN","Sort=A","Dates=H","DateFormat=P","Fill=—","Direction=H","UseDPDF=Y")</f>
        <v>968.2</v>
      </c>
      <c r="I15" s="13">
        <f>_xll.BDH("NBIX US Equity","BS_CUR_ASSET_REPORT","FQ2 2020","FQ2 2020","Currency=USD","Period=FQ","BEST_FPERIOD_OVERRIDE=FQ","FILING_STATUS=MR","SCALING_FORMAT=MLN","Sort=A","Dates=H","DateFormat=P","Fill=—","Direction=H","UseDPDF=Y")</f>
        <v>1146.2</v>
      </c>
      <c r="J15" s="13">
        <f>_xll.BDH("NBIX US Equity","BS_CUR_ASSET_REPORT","FQ3 2020","FQ3 2020","Currency=USD","Period=FQ","BEST_FPERIOD_OVERRIDE=FQ","FILING_STATUS=MR","SCALING_FORMAT=MLN","Sort=A","Dates=H","DateFormat=P","Fill=—","Direction=H","UseDPDF=Y")</f>
        <v>1156.9000000000001</v>
      </c>
      <c r="K15" s="13">
        <f>_xll.BDH("NBIX US Equity","BS_CUR_ASSET_REPORT","FQ4 2020","FQ4 2020","Currency=USD","Period=FQ","BEST_FPERIOD_OVERRIDE=FQ","FILING_STATUS=MR","SCALING_FORMAT=MLN","Sort=A","Dates=H","DateFormat=P","Fill=—","Direction=H","UseDPDF=Y")</f>
        <v>1016.2</v>
      </c>
      <c r="L15" s="13">
        <f>_xll.BDH("NBIX US Equity","BS_CUR_ASSET_REPORT","FQ1 2021","FQ1 2021","Currency=USD","Period=FQ","BEST_FPERIOD_OVERRIDE=FQ","FILING_STATUS=MR","SCALING_FORMAT=MLN","Sort=A","Dates=H","DateFormat=P","Fill=—","Direction=H","UseDPDF=Y")</f>
        <v>1085.4000000000001</v>
      </c>
      <c r="M15" s="13">
        <f>_xll.BDH("NBIX US Equity","BS_CUR_ASSET_REPORT","FQ2 2021","FQ2 2021","Currency=USD","Period=FQ","BEST_FPERIOD_OVERRIDE=FQ","FILING_STATUS=MR","SCALING_FORMAT=MLN","Sort=A","Dates=H","DateFormat=P","Fill=—","Direction=H","UseDPDF=Y")</f>
        <v>1110.0999999999999</v>
      </c>
      <c r="N15" s="13">
        <f>_xll.BDH("NBIX US Equity","BS_CUR_ASSET_REPORT","FQ3 2021","FQ3 2021","Currency=USD","Period=FQ","BEST_FPERIOD_OVERRIDE=FQ","FILING_STATUS=MR","SCALING_FORMAT=MLN","Sort=A","Dates=H","DateFormat=P","Fill=—","Direction=H","UseDPDF=Y")</f>
        <v>1005.7</v>
      </c>
      <c r="O15" s="13">
        <f>_xll.BDH("NBIX US Equity","BS_CUR_ASSET_REPORT","FQ4 2021","FQ4 2021","Currency=USD","Period=FQ","BEST_FPERIOD_OVERRIDE=FQ","FILING_STATUS=MR","SCALING_FORMAT=MLN","Sort=A","Dates=H","DateFormat=P","Fill=—","Direction=H","UseDPDF=Y")</f>
        <v>972.8</v>
      </c>
      <c r="P15" s="13">
        <f>_xll.BDH("NBIX US Equity","BS_CUR_ASSET_REPORT","FQ1 2022","FQ1 2022","Currency=USD","Period=FQ","BEST_FPERIOD_OVERRIDE=FQ","FILING_STATUS=MR","SCALING_FORMAT=MLN","Sort=A","Dates=H","DateFormat=P","Fill=—","Direction=H","UseDPDF=Y")</f>
        <v>1018.2</v>
      </c>
      <c r="Q15" s="13">
        <f>_xll.BDH("NBIX US Equity","BS_CUR_ASSET_REPORT","FQ2 2022","FQ2 2022","Currency=USD","Period=FQ","BEST_FPERIOD_OVERRIDE=FQ","FILING_STATUS=MR","SCALING_FORMAT=MLN","Sort=A","Dates=H","DateFormat=P","Fill=—","Direction=H","UseDPDF=Y")</f>
        <v>1019.3</v>
      </c>
      <c r="R15" s="13">
        <f>_xll.BDH("NBIX US Equity","BS_CUR_ASSET_REPORT","FQ3 2022","FQ3 2022","Currency=USD","Period=FQ","BEST_FPERIOD_OVERRIDE=FQ","FILING_STATUS=MR","SCALING_FORMAT=MLN","Sort=A","Dates=H","DateFormat=P","Fill=—","Direction=H","UseDPDF=Y")</f>
        <v>1205.5</v>
      </c>
      <c r="S15" s="13">
        <f>_xll.BDH("NBIX US Equity","BS_CUR_ASSET_REPORT","FQ4 2022","FQ4 2022","Currency=USD","Period=FQ","BEST_FPERIOD_OVERRIDE=FQ","FILING_STATUS=MR","SCALING_FORMAT=MLN","Sort=A","Dates=H","DateFormat=P","Fill=—","Direction=H","UseDPDF=Y")</f>
        <v>1453.5</v>
      </c>
      <c r="T15" s="13">
        <f>_xll.BDH("NBIX US Equity","BS_CUR_ASSET_REPORT","FQ1 2023","FQ1 2023","Currency=USD","Period=FQ","BEST_FPERIOD_OVERRIDE=FQ","FILING_STATUS=MR","SCALING_FORMAT=MLN","Sort=A","Dates=H","DateFormat=P","Fill=—","Direction=H","UseDPDF=Y")</f>
        <v>1432.8</v>
      </c>
      <c r="U15" s="13">
        <f>_xll.BDH("NBIX US Equity","BS_CUR_ASSET_REPORT","FQ2 2023","FQ2 2023","Currency=USD","Period=FQ","BEST_FPERIOD_OVERRIDE=FQ","FILING_STATUS=MR","SCALING_FORMAT=MLN","Sort=A","Dates=H","DateFormat=P","Fill=—","Direction=H","UseDPDF=Y")</f>
        <v>1496.6</v>
      </c>
      <c r="V15" s="13">
        <f>_xll.BDH("NBIX US Equity","BS_CUR_ASSET_REPORT","FQ3 2023","FQ3 2023","Currency=USD","Period=FQ","BEST_FPERIOD_OVERRIDE=FQ","FILING_STATUS=MR","SCALING_FORMAT=MLN","Sort=A","Dates=H","DateFormat=P","Fill=—","Direction=H","UseDPDF=Y")</f>
        <v>1649.9</v>
      </c>
      <c r="W15" s="13">
        <f>_xll.BDH("NBIX US Equity","BS_CUR_ASSET_REPORT","FQ4 2023","FQ4 2023","Currency=USD","Period=FQ","BEST_FPERIOD_OVERRIDE=FQ","FILING_STATUS=MR","SCALING_FORMAT=MLN","Sort=A","Dates=H","DateFormat=P","Fill=—","Direction=H","UseDPDF=Y")</f>
        <v>1607</v>
      </c>
      <c r="X15" s="13">
        <f>_xll.BDH("NBIX US Equity","BS_CUR_ASSET_REPORT","FQ1 2024","FQ1 2024","Currency=USD","Period=FQ","BEST_FPERIOD_OVERRIDE=FQ","FILING_STATUS=MR","SCALING_FORMAT=MLN","Sort=A","Dates=H","DateFormat=P","Fill=—","Direction=H","UseDPDF=Y")</f>
        <v>1799</v>
      </c>
      <c r="Y15" s="13">
        <f>_xll.BDH("NBIX US Equity","BS_CUR_ASSET_REPORT","FQ2 2024","FQ2 2024","Currency=USD","Period=FQ","BEST_FPERIOD_OVERRIDE=FQ","FILING_STATUS=MR","SCALING_FORMAT=MLN","Sort=A","Dates=H","DateFormat=P","Fill=—","Direction=H","UseDPDF=Y")</f>
        <v>1669.8</v>
      </c>
      <c r="Z15" s="13">
        <f>_xll.BDH("NBIX US Equity","BS_CUR_ASSET_REPORT","FQ3 2024","FQ3 2024","Currency=USD","Period=FQ","BEST_FPERIOD_OVERRIDE=FQ","FILING_STATUS=MR","SCALING_FORMAT=MLN","Sort=A","Dates=H","DateFormat=P","Fill=—","Direction=H","UseDPDF=Y")</f>
        <v>1876.6</v>
      </c>
      <c r="AA15" s="13">
        <f>_xll.BDH("NBIX US Equity","BS_CUR_ASSET_REPORT","FQ4 2024","FQ4 2024","Currency=USD","Period=FQ","BEST_FPERIOD_OVERRIDE=FQ","FILING_STATUS=MR","SCALING_FORMAT=MLN","Sort=A","Dates=H","DateFormat=P","Fill=—","Direction=H","UseDPDF=Y")</f>
        <v>1724.7</v>
      </c>
    </row>
    <row r="16" spans="1:27" x14ac:dyDescent="0.25">
      <c r="A16" s="10" t="s">
        <v>112</v>
      </c>
      <c r="B16" s="10" t="s">
        <v>113</v>
      </c>
      <c r="C16" s="13">
        <f>_xll.BDH("NBIX US Equity","BS_TOT_ASSET","FQ4 2018","FQ4 2018","Currency=USD","Period=FQ","BEST_FPERIOD_OVERRIDE=FQ","FILING_STATUS=MR","SCALING_FORMAT=MLN","Sort=A","Dates=H","DateFormat=P","Fill=—","Direction=H","UseDPDF=Y")</f>
        <v>993.15099999999995</v>
      </c>
      <c r="D16" s="13">
        <f>_xll.BDH("NBIX US Equity","BS_TOT_ASSET","FQ1 2019","FQ1 2019","Currency=USD","Period=FQ","BEST_FPERIOD_OVERRIDE=FQ","FILING_STATUS=MR","SCALING_FORMAT=MLN","Sort=A","Dates=H","DateFormat=P","Fill=—","Direction=H","UseDPDF=Y")</f>
        <v>957.72299999999996</v>
      </c>
      <c r="E16" s="13">
        <f>_xll.BDH("NBIX US Equity","BS_TOT_ASSET","FQ2 2019","FQ2 2019","Currency=USD","Period=FQ","BEST_FPERIOD_OVERRIDE=FQ","FILING_STATUS=MR","SCALING_FORMAT=MLN","Sort=A","Dates=H","DateFormat=P","Fill=—","Direction=H","UseDPDF=Y")</f>
        <v>1066.8610000000001</v>
      </c>
      <c r="F16" s="13">
        <f>_xll.BDH("NBIX US Equity","BS_TOT_ASSET","FQ3 2019","FQ3 2019","Currency=USD","Period=FQ","BEST_FPERIOD_OVERRIDE=FQ","FILING_STATUS=MR","SCALING_FORMAT=MLN","Sort=A","Dates=H","DateFormat=P","Fill=—","Direction=H","UseDPDF=Y")</f>
        <v>1179.9349999999999</v>
      </c>
      <c r="G16" s="13">
        <f>_xll.BDH("NBIX US Equity","BS_TOT_ASSET","FQ4 2019","FQ4 2019","Currency=USD","Period=FQ","BEST_FPERIOD_OVERRIDE=FQ","FILING_STATUS=MR","SCALING_FORMAT=MLN","Sort=A","Dates=H","DateFormat=P","Fill=—","Direction=H","UseDPDF=Y")</f>
        <v>1306</v>
      </c>
      <c r="H16" s="13">
        <f>_xll.BDH("NBIX US Equity","BS_TOT_ASSET","FQ1 2020","FQ1 2020","Currency=USD","Period=FQ","BEST_FPERIOD_OVERRIDE=FQ","FILING_STATUS=MR","SCALING_FORMAT=MLN","Sort=A","Dates=H","DateFormat=P","Fill=—","Direction=H","UseDPDF=Y")</f>
        <v>1361.9</v>
      </c>
      <c r="I16" s="13">
        <f>_xll.BDH("NBIX US Equity","BS_TOT_ASSET","FQ2 2020","FQ2 2020","Currency=USD","Period=FQ","BEST_FPERIOD_OVERRIDE=FQ","FILING_STATUS=MR","SCALING_FORMAT=MLN","Sort=A","Dates=H","DateFormat=P","Fill=—","Direction=H","UseDPDF=Y")</f>
        <v>1515.6</v>
      </c>
      <c r="J16" s="13">
        <f>_xll.BDH("NBIX US Equity","BS_TOT_ASSET","FQ3 2020","FQ3 2020","Currency=USD","Period=FQ","BEST_FPERIOD_OVERRIDE=FQ","FILING_STATUS=MR","SCALING_FORMAT=MLN","Sort=A","Dates=H","DateFormat=P","Fill=—","Direction=H","UseDPDF=Y")</f>
        <v>1502.6</v>
      </c>
      <c r="K16" s="13">
        <f>_xll.BDH("NBIX US Equity","BS_TOT_ASSET","FQ4 2020","FQ4 2020","Currency=USD","Period=FQ","BEST_FPERIOD_OVERRIDE=FQ","FILING_STATUS=MR","SCALING_FORMAT=MLN","Sort=A","Dates=H","DateFormat=P","Fill=—","Direction=H","UseDPDF=Y")</f>
        <v>1734.7</v>
      </c>
      <c r="L16" s="13">
        <f>_xll.BDH("NBIX US Equity","BS_TOT_ASSET","FQ1 2021","FQ1 2021","Currency=USD","Period=FQ","BEST_FPERIOD_OVERRIDE=FQ","FILING_STATUS=MR","SCALING_FORMAT=MLN","Sort=A","Dates=H","DateFormat=P","Fill=—","Direction=H","UseDPDF=Y")</f>
        <v>1846.4</v>
      </c>
      <c r="M16" s="13">
        <f>_xll.BDH("NBIX US Equity","BS_TOT_ASSET","FQ2 2021","FQ2 2021","Currency=USD","Period=FQ","BEST_FPERIOD_OVERRIDE=FQ","FILING_STATUS=MR","SCALING_FORMAT=MLN","Sort=A","Dates=H","DateFormat=P","Fill=—","Direction=H","UseDPDF=Y")</f>
        <v>1956.4</v>
      </c>
      <c r="N16" s="13">
        <f>_xll.BDH("NBIX US Equity","BS_TOT_ASSET","FQ3 2021","FQ3 2021","Currency=USD","Period=FQ","BEST_FPERIOD_OVERRIDE=FQ","FILING_STATUS=MR","SCALING_FORMAT=MLN","Sort=A","Dates=H","DateFormat=P","Fill=—","Direction=H","UseDPDF=Y")</f>
        <v>2017.3</v>
      </c>
      <c r="O16" s="13">
        <f>_xll.BDH("NBIX US Equity","BS_TOT_ASSET","FQ4 2021","FQ4 2021","Currency=USD","Period=FQ","BEST_FPERIOD_OVERRIDE=FQ","FILING_STATUS=MR","SCALING_FORMAT=MLN","Sort=A","Dates=H","DateFormat=P","Fill=—","Direction=H","UseDPDF=Y")</f>
        <v>2072.5</v>
      </c>
      <c r="P16" s="13">
        <f>_xll.BDH("NBIX US Equity","BS_TOT_ASSET","FQ1 2022","FQ1 2022","Currency=USD","Period=FQ","BEST_FPERIOD_OVERRIDE=FQ","FILING_STATUS=MR","SCALING_FORMAT=MLN","Sort=A","Dates=H","DateFormat=P","Fill=—","Direction=H","UseDPDF=Y")</f>
        <v>2144.5</v>
      </c>
      <c r="Q16" s="13">
        <f>_xll.BDH("NBIX US Equity","BS_TOT_ASSET","FQ2 2022","FQ2 2022","Currency=USD","Period=FQ","BEST_FPERIOD_OVERRIDE=FQ","FILING_STATUS=MR","SCALING_FORMAT=MLN","Sort=A","Dates=H","DateFormat=P","Fill=—","Direction=H","UseDPDF=Y")</f>
        <v>2005.7</v>
      </c>
      <c r="R16" s="13">
        <f>_xll.BDH("NBIX US Equity","BS_TOT_ASSET","FQ3 2022","FQ3 2022","Currency=USD","Period=FQ","BEST_FPERIOD_OVERRIDE=FQ","FILING_STATUS=MR","SCALING_FORMAT=MLN","Sort=A","Dates=H","DateFormat=P","Fill=—","Direction=H","UseDPDF=Y")</f>
        <v>2143.4</v>
      </c>
      <c r="S16" s="13">
        <f>_xll.BDH("NBIX US Equity","BS_TOT_ASSET","FQ4 2022","FQ4 2022","Currency=USD","Period=FQ","BEST_FPERIOD_OVERRIDE=FQ","FILING_STATUS=MR","SCALING_FORMAT=MLN","Sort=A","Dates=H","DateFormat=P","Fill=—","Direction=H","UseDPDF=Y")</f>
        <v>2368.6999999999998</v>
      </c>
      <c r="T16" s="13">
        <f>_xll.BDH("NBIX US Equity","BS_TOT_ASSET","FQ1 2023","FQ1 2023","Currency=USD","Period=FQ","BEST_FPERIOD_OVERRIDE=FQ","FILING_STATUS=MR","SCALING_FORMAT=MLN","Sort=A","Dates=H","DateFormat=P","Fill=—","Direction=H","UseDPDF=Y")</f>
        <v>2359.8000000000002</v>
      </c>
      <c r="U16" s="13">
        <f>_xll.BDH("NBIX US Equity","BS_TOT_ASSET","FQ2 2023","FQ2 2023","Currency=USD","Period=FQ","BEST_FPERIOD_OVERRIDE=FQ","FILING_STATUS=MR","SCALING_FORMAT=MLN","Sort=A","Dates=H","DateFormat=P","Fill=—","Direction=H","UseDPDF=Y")</f>
        <v>2613.1</v>
      </c>
      <c r="V16" s="13">
        <f>_xll.BDH("NBIX US Equity","BS_TOT_ASSET","FQ3 2023","FQ3 2023","Currency=USD","Period=FQ","BEST_FPERIOD_OVERRIDE=FQ","FILING_STATUS=MR","SCALING_FORMAT=MLN","Sort=A","Dates=H","DateFormat=P","Fill=—","Direction=H","UseDPDF=Y")</f>
        <v>2848.2</v>
      </c>
      <c r="W16" s="13">
        <f>_xll.BDH("NBIX US Equity","BS_TOT_ASSET","FQ4 2023","FQ4 2023","Currency=USD","Period=FQ","BEST_FPERIOD_OVERRIDE=FQ","FILING_STATUS=MR","SCALING_FORMAT=MLN","Sort=A","Dates=H","DateFormat=P","Fill=—","Direction=H","UseDPDF=Y")</f>
        <v>3251.4</v>
      </c>
      <c r="X16" s="13">
        <f>_xll.BDH("NBIX US Equity","BS_TOT_ASSET","FQ1 2024","FQ1 2024","Currency=USD","Period=FQ","BEST_FPERIOD_OVERRIDE=FQ","FILING_STATUS=MR","SCALING_FORMAT=MLN","Sort=A","Dates=H","DateFormat=P","Fill=—","Direction=H","UseDPDF=Y")</f>
        <v>3472.4</v>
      </c>
      <c r="Y16" s="13">
        <f>_xll.BDH("NBIX US Equity","BS_TOT_ASSET","FQ2 2024","FQ2 2024","Currency=USD","Period=FQ","BEST_FPERIOD_OVERRIDE=FQ","FILING_STATUS=MR","SCALING_FORMAT=MLN","Sort=A","Dates=H","DateFormat=P","Fill=—","Direction=H","UseDPDF=Y")</f>
        <v>3305</v>
      </c>
      <c r="Z16" s="13">
        <f>_xll.BDH("NBIX US Equity","BS_TOT_ASSET","FQ3 2024","FQ3 2024","Currency=USD","Period=FQ","BEST_FPERIOD_OVERRIDE=FQ","FILING_STATUS=MR","SCALING_FORMAT=MLN","Sort=A","Dates=H","DateFormat=P","Fill=—","Direction=H","UseDPDF=Y")</f>
        <v>3535</v>
      </c>
      <c r="AA16" s="13">
        <f>_xll.BDH("NBIX US Equity","BS_TOT_ASSET","FQ4 2024","FQ4 2024","Currency=USD","Period=FQ","BEST_FPERIOD_OVERRIDE=FQ","FILING_STATUS=MR","SCALING_FORMAT=MLN","Sort=A","Dates=H","DateFormat=P","Fill=—","Direction=H","UseDPDF=Y")</f>
        <v>3718.7</v>
      </c>
    </row>
    <row r="17" spans="1:27" x14ac:dyDescent="0.25">
      <c r="A17" s="10" t="s">
        <v>114</v>
      </c>
      <c r="B17" s="10" t="s">
        <v>115</v>
      </c>
      <c r="C17" s="13">
        <f>_xll.BDH("NBIX US Equity","BS_CUR_LIAB","FQ4 2018","FQ4 2018","Currency=USD","Period=FQ","BEST_FPERIOD_OVERRIDE=FQ","FILING_STATUS=MR","SCALING_FORMAT=MLN","Sort=A","Dates=H","DateFormat=P","Fill=—","Direction=H","UseDPDF=Y")</f>
        <v>88.233000000000004</v>
      </c>
      <c r="D17" s="13">
        <f>_xll.BDH("NBIX US Equity","BS_CUR_LIAB","FQ1 2019","FQ1 2019","Currency=USD","Period=FQ","BEST_FPERIOD_OVERRIDE=FQ","FILING_STATUS=MR","SCALING_FORMAT=MLN","Sort=A","Dates=H","DateFormat=P","Fill=—","Direction=H","UseDPDF=Y")</f>
        <v>72.003</v>
      </c>
      <c r="E17" s="13">
        <f>_xll.BDH("NBIX US Equity","BS_CUR_LIAB","FQ2 2019","FQ2 2019","Currency=USD","Period=FQ","BEST_FPERIOD_OVERRIDE=FQ","FILING_STATUS=MR","SCALING_FORMAT=MLN","Sort=A","Dates=H","DateFormat=P","Fill=—","Direction=H","UseDPDF=Y")</f>
        <v>100.589</v>
      </c>
      <c r="F17" s="13">
        <f>_xll.BDH("NBIX US Equity","BS_CUR_LIAB","FQ3 2019","FQ3 2019","Currency=USD","Period=FQ","BEST_FPERIOD_OVERRIDE=FQ","FILING_STATUS=MR","SCALING_FORMAT=MLN","Sort=A","Dates=H","DateFormat=P","Fill=—","Direction=H","UseDPDF=Y")</f>
        <v>115.652</v>
      </c>
      <c r="G17" s="13">
        <f>_xll.BDH("NBIX US Equity","BS_CUR_LIAB","FQ4 2019","FQ4 2019","Currency=USD","Period=FQ","BEST_FPERIOD_OVERRIDE=FQ","FILING_STATUS=MR","SCALING_FORMAT=MLN","Sort=A","Dates=H","DateFormat=P","Fill=—","Direction=H","UseDPDF=Y")</f>
        <v>565.29999999999995</v>
      </c>
      <c r="H17" s="13">
        <f>_xll.BDH("NBIX US Equity","BS_CUR_LIAB","FQ1 2020","FQ1 2020","Currency=USD","Period=FQ","BEST_FPERIOD_OVERRIDE=FQ","FILING_STATUS=MR","SCALING_FORMAT=MLN","Sort=A","Dates=H","DateFormat=P","Fill=—","Direction=H","UseDPDF=Y")</f>
        <v>140.30000000000001</v>
      </c>
      <c r="I17" s="13">
        <f>_xll.BDH("NBIX US Equity","BS_CUR_LIAB","FQ2 2020","FQ2 2020","Currency=USD","Period=FQ","BEST_FPERIOD_OVERRIDE=FQ","FILING_STATUS=MR","SCALING_FORMAT=MLN","Sort=A","Dates=H","DateFormat=P","Fill=—","Direction=H","UseDPDF=Y")</f>
        <v>573</v>
      </c>
      <c r="J17" s="13">
        <f>_xll.BDH("NBIX US Equity","BS_CUR_LIAB","FQ3 2020","FQ3 2020","Currency=USD","Period=FQ","BEST_FPERIOD_OVERRIDE=FQ","FILING_STATUS=MR","SCALING_FORMAT=MLN","Sort=A","Dates=H","DateFormat=P","Fill=—","Direction=H","UseDPDF=Y")</f>
        <v>611</v>
      </c>
      <c r="K17" s="13">
        <f>_xll.BDH("NBIX US Equity","BS_CUR_LIAB","FQ4 2020","FQ4 2020","Currency=USD","Period=FQ","BEST_FPERIOD_OVERRIDE=FQ","FILING_STATUS=MR","SCALING_FORMAT=MLN","Sort=A","Dates=H","DateFormat=P","Fill=—","Direction=H","UseDPDF=Y")</f>
        <v>186.5</v>
      </c>
      <c r="L17" s="13">
        <f>_xll.BDH("NBIX US Equity","BS_CUR_LIAB","FQ1 2021","FQ1 2021","Currency=USD","Period=FQ","BEST_FPERIOD_OVERRIDE=FQ","FILING_STATUS=MR","SCALING_FORMAT=MLN","Sort=A","Dates=H","DateFormat=P","Fill=—","Direction=H","UseDPDF=Y")</f>
        <v>190</v>
      </c>
      <c r="M17" s="13">
        <f>_xll.BDH("NBIX US Equity","BS_CUR_LIAB","FQ2 2021","FQ2 2021","Currency=USD","Period=FQ","BEST_FPERIOD_OVERRIDE=FQ","FILING_STATUS=MR","SCALING_FORMAT=MLN","Sort=A","Dates=H","DateFormat=P","Fill=—","Direction=H","UseDPDF=Y")</f>
        <v>212.9</v>
      </c>
      <c r="N17" s="13">
        <f>_xll.BDH("NBIX US Equity","BS_CUR_LIAB","FQ3 2021","FQ3 2021","Currency=USD","Period=FQ","BEST_FPERIOD_OVERRIDE=FQ","FILING_STATUS=MR","SCALING_FORMAT=MLN","Sort=A","Dates=H","DateFormat=P","Fill=—","Direction=H","UseDPDF=Y")</f>
        <v>225.9</v>
      </c>
      <c r="O17" s="13">
        <f>_xll.BDH("NBIX US Equity","BS_CUR_LIAB","FQ4 2021","FQ4 2021","Currency=USD","Period=FQ","BEST_FPERIOD_OVERRIDE=FQ","FILING_STATUS=MR","SCALING_FORMAT=MLN","Sort=A","Dates=H","DateFormat=P","Fill=—","Direction=H","UseDPDF=Y")</f>
        <v>245.8</v>
      </c>
      <c r="P17" s="13">
        <f>_xll.BDH("NBIX US Equity","BS_CUR_LIAB","FQ1 2022","FQ1 2022","Currency=USD","Period=FQ","BEST_FPERIOD_OVERRIDE=FQ","FILING_STATUS=MR","SCALING_FORMAT=MLN","Sort=A","Dates=H","DateFormat=P","Fill=—","Direction=H","UseDPDF=Y")</f>
        <v>253.5</v>
      </c>
      <c r="Q17" s="13">
        <f>_xll.BDH("NBIX US Equity","BS_CUR_LIAB","FQ2 2022","FQ2 2022","Currency=USD","Period=FQ","BEST_FPERIOD_OVERRIDE=FQ","FILING_STATUS=MR","SCALING_FORMAT=MLN","Sort=A","Dates=H","DateFormat=P","Fill=—","Direction=H","UseDPDF=Y")</f>
        <v>285.7</v>
      </c>
      <c r="R17" s="13">
        <f>_xll.BDH("NBIX US Equity","BS_CUR_LIAB","FQ3 2022","FQ3 2022","Currency=USD","Period=FQ","BEST_FPERIOD_OVERRIDE=FQ","FILING_STATUS=MR","SCALING_FORMAT=MLN","Sort=A","Dates=H","DateFormat=P","Fill=—","Direction=H","UseDPDF=Y")</f>
        <v>485.1</v>
      </c>
      <c r="S17" s="13">
        <f>_xll.BDH("NBIX US Equity","BS_CUR_LIAB","FQ4 2022","FQ4 2022","Currency=USD","Period=FQ","BEST_FPERIOD_OVERRIDE=FQ","FILING_STATUS=MR","SCALING_FORMAT=MLN","Sort=A","Dates=H","DateFormat=P","Fill=—","Direction=H","UseDPDF=Y")</f>
        <v>537.70000000000005</v>
      </c>
      <c r="T17" s="13">
        <f>_xll.BDH("NBIX US Equity","BS_CUR_LIAB","FQ1 2023","FQ1 2023","Currency=USD","Period=FQ","BEST_FPERIOD_OVERRIDE=FQ","FILING_STATUS=MR","SCALING_FORMAT=MLN","Sort=A","Dates=H","DateFormat=P","Fill=—","Direction=H","UseDPDF=Y")</f>
        <v>374.1</v>
      </c>
      <c r="U17" s="13">
        <f>_xll.BDH("NBIX US Equity","BS_CUR_LIAB","FQ2 2023","FQ2 2023","Currency=USD","Period=FQ","BEST_FPERIOD_OVERRIDE=FQ","FILING_STATUS=MR","SCALING_FORMAT=MLN","Sort=A","Dates=H","DateFormat=P","Fill=—","Direction=H","UseDPDF=Y")</f>
        <v>582.5</v>
      </c>
      <c r="V17" s="13">
        <f>_xll.BDH("NBIX US Equity","BS_CUR_LIAB","FQ3 2023","FQ3 2023","Currency=USD","Period=FQ","BEST_FPERIOD_OVERRIDE=FQ","FILING_STATUS=MR","SCALING_FORMAT=MLN","Sort=A","Dates=H","DateFormat=P","Fill=—","Direction=H","UseDPDF=Y")</f>
        <v>691.6</v>
      </c>
      <c r="W17" s="13">
        <f>_xll.BDH("NBIX US Equity","BS_CUR_LIAB","FQ4 2023","FQ4 2023","Currency=USD","Period=FQ","BEST_FPERIOD_OVERRIDE=FQ","FILING_STATUS=MR","SCALING_FORMAT=MLN","Sort=A","Dates=H","DateFormat=P","Fill=—","Direction=H","UseDPDF=Y")</f>
        <v>654.79999999999995</v>
      </c>
      <c r="X17" s="13">
        <f>_xll.BDH("NBIX US Equity","BS_CUR_LIAB","FQ1 2024","FQ1 2024","Currency=USD","Period=FQ","BEST_FPERIOD_OVERRIDE=FQ","FILING_STATUS=MR","SCALING_FORMAT=MLN","Sort=A","Dates=H","DateFormat=P","Fill=—","Direction=H","UseDPDF=Y")</f>
        <v>712.9</v>
      </c>
      <c r="Y17" s="13">
        <f>_xll.BDH("NBIX US Equity","BS_CUR_LIAB","FQ2 2024","FQ2 2024","Currency=USD","Period=FQ","BEST_FPERIOD_OVERRIDE=FQ","FILING_STATUS=MR","SCALING_FORMAT=MLN","Sort=A","Dates=H","DateFormat=P","Fill=—","Direction=H","UseDPDF=Y")</f>
        <v>398.5</v>
      </c>
      <c r="Z17" s="13">
        <f>_xll.BDH("NBIX US Equity","BS_CUR_LIAB","FQ3 2024","FQ3 2024","Currency=USD","Period=FQ","BEST_FPERIOD_OVERRIDE=FQ","FILING_STATUS=MR","SCALING_FORMAT=MLN","Sort=A","Dates=H","DateFormat=P","Fill=—","Direction=H","UseDPDF=Y")</f>
        <v>429.7</v>
      </c>
      <c r="AA17" s="13">
        <f>_xll.BDH("NBIX US Equity","BS_CUR_LIAB","FQ4 2024","FQ4 2024","Currency=USD","Period=FQ","BEST_FPERIOD_OVERRIDE=FQ","FILING_STATUS=MR","SCALING_FORMAT=MLN","Sort=A","Dates=H","DateFormat=P","Fill=—","Direction=H","UseDPDF=Y")</f>
        <v>507.7</v>
      </c>
    </row>
    <row r="18" spans="1:27" x14ac:dyDescent="0.25">
      <c r="A18" s="10" t="s">
        <v>116</v>
      </c>
      <c r="B18" s="10" t="s">
        <v>117</v>
      </c>
      <c r="C18" s="13">
        <f>_xll.BDH("NBIX US Equity","BS_TOT_LIAB2","FQ4 2018","FQ4 2018","Currency=USD","Period=FQ","BEST_FPERIOD_OVERRIDE=FQ","FILING_STATUS=MR","SCALING_FORMAT=MLN","Sort=A","Dates=H","DateFormat=P","Fill=—","Direction=H","UseDPDF=Y")</f>
        <v>512.38599999999997</v>
      </c>
      <c r="D18" s="13">
        <f>_xll.BDH("NBIX US Equity","BS_TOT_LIAB2","FQ1 2019","FQ1 2019","Currency=USD","Period=FQ","BEST_FPERIOD_OVERRIDE=FQ","FILING_STATUS=MR","SCALING_FORMAT=MLN","Sort=A","Dates=H","DateFormat=P","Fill=—","Direction=H","UseDPDF=Y")</f>
        <v>548.44799999999998</v>
      </c>
      <c r="E18" s="13">
        <f>_xll.BDH("NBIX US Equity","BS_TOT_LIAB2","FQ2 2019","FQ2 2019","Currency=USD","Period=FQ","BEST_FPERIOD_OVERRIDE=FQ","FILING_STATUS=MR","SCALING_FORMAT=MLN","Sort=A","Dates=H","DateFormat=P","Fill=—","Direction=H","UseDPDF=Y")</f>
        <v>583.15499999999997</v>
      </c>
      <c r="F18" s="13">
        <f>_xll.BDH("NBIX US Equity","BS_TOT_LIAB2","FQ3 2019","FQ3 2019","Currency=USD","Period=FQ","BEST_FPERIOD_OVERRIDE=FQ","FILING_STATUS=MR","SCALING_FORMAT=MLN","Sort=A","Dates=H","DateFormat=P","Fill=—","Direction=H","UseDPDF=Y")</f>
        <v>605.41999999999996</v>
      </c>
      <c r="G18" s="13">
        <f>_xll.BDH("NBIX US Equity","BS_TOT_LIAB2","FQ4 2019","FQ4 2019","Currency=USD","Period=FQ","BEST_FPERIOD_OVERRIDE=FQ","FILING_STATUS=MR","SCALING_FORMAT=MLN","Sort=A","Dates=H","DateFormat=P","Fill=—","Direction=H","UseDPDF=Y")</f>
        <v>669.1</v>
      </c>
      <c r="H18" s="13">
        <f>_xll.BDH("NBIX US Equity","BS_TOT_LIAB2","FQ1 2020","FQ1 2020","Currency=USD","Period=FQ","BEST_FPERIOD_OVERRIDE=FQ","FILING_STATUS=MR","SCALING_FORMAT=MLN","Sort=A","Dates=H","DateFormat=P","Fill=—","Direction=H","UseDPDF=Y")</f>
        <v>661.6</v>
      </c>
      <c r="I18" s="13">
        <f>_xll.BDH("NBIX US Equity","BS_TOT_LIAB2","FQ2 2020","FQ2 2020","Currency=USD","Period=FQ","BEST_FPERIOD_OVERRIDE=FQ","FILING_STATUS=MR","SCALING_FORMAT=MLN","Sort=A","Dates=H","DateFormat=P","Fill=—","Direction=H","UseDPDF=Y")</f>
        <v>684.4</v>
      </c>
      <c r="J18" s="13">
        <f>_xll.BDH("NBIX US Equity","BS_TOT_LIAB2","FQ3 2020","FQ3 2020","Currency=USD","Period=FQ","BEST_FPERIOD_OVERRIDE=FQ","FILING_STATUS=MR","SCALING_FORMAT=MLN","Sort=A","Dates=H","DateFormat=P","Fill=—","Direction=H","UseDPDF=Y")</f>
        <v>698.3</v>
      </c>
      <c r="K18" s="13">
        <f>_xll.BDH("NBIX US Equity","BS_TOT_LIAB2","FQ4 2020","FQ4 2020","Currency=USD","Period=FQ","BEST_FPERIOD_OVERRIDE=FQ","FILING_STATUS=MR","SCALING_FORMAT=MLN","Sort=A","Dates=H","DateFormat=P","Fill=—","Direction=H","UseDPDF=Y")</f>
        <v>608.5</v>
      </c>
      <c r="L18" s="13">
        <f>_xll.BDH("NBIX US Equity","BS_TOT_LIAB2","FQ1 2021","FQ1 2021","Currency=USD","Period=FQ","BEST_FPERIOD_OVERRIDE=FQ","FILING_STATUS=MR","SCALING_FORMAT=MLN","Sort=A","Dates=H","DateFormat=P","Fill=—","Direction=H","UseDPDF=Y")</f>
        <v>640.79999999999995</v>
      </c>
      <c r="M18" s="13">
        <f>_xll.BDH("NBIX US Equity","BS_TOT_LIAB2","FQ2 2021","FQ2 2021","Currency=USD","Period=FQ","BEST_FPERIOD_OVERRIDE=FQ","FILING_STATUS=MR","SCALING_FORMAT=MLN","Sort=A","Dates=H","DateFormat=P","Fill=—","Direction=H","UseDPDF=Y")</f>
        <v>677.2</v>
      </c>
      <c r="N18" s="13">
        <f>_xll.BDH("NBIX US Equity","BS_TOT_LIAB2","FQ3 2021","FQ3 2021","Currency=USD","Period=FQ","BEST_FPERIOD_OVERRIDE=FQ","FILING_STATUS=MR","SCALING_FORMAT=MLN","Sort=A","Dates=H","DateFormat=P","Fill=—","Direction=H","UseDPDF=Y")</f>
        <v>671.3</v>
      </c>
      <c r="O18" s="13">
        <f>_xll.BDH("NBIX US Equity","BS_TOT_LIAB2","FQ4 2021","FQ4 2021","Currency=USD","Period=FQ","BEST_FPERIOD_OVERRIDE=FQ","FILING_STATUS=MR","SCALING_FORMAT=MLN","Sort=A","Dates=H","DateFormat=P","Fill=—","Direction=H","UseDPDF=Y")</f>
        <v>698.5</v>
      </c>
      <c r="P18" s="13">
        <f>_xll.BDH("NBIX US Equity","BS_TOT_LIAB2","FQ1 2022","FQ1 2022","Currency=USD","Period=FQ","BEST_FPERIOD_OVERRIDE=FQ","FILING_STATUS=MR","SCALING_FORMAT=MLN","Sort=A","Dates=H","DateFormat=P","Fill=—","Direction=H","UseDPDF=Y")</f>
        <v>753.4</v>
      </c>
      <c r="Q18" s="13">
        <f>_xll.BDH("NBIX US Equity","BS_TOT_LIAB2","FQ2 2022","FQ2 2022","Currency=USD","Period=FQ","BEST_FPERIOD_OVERRIDE=FQ","FILING_STATUS=MR","SCALING_FORMAT=MLN","Sort=A","Dates=H","DateFormat=P","Fill=—","Direction=H","UseDPDF=Y")</f>
        <v>582.29999999999995</v>
      </c>
      <c r="R18" s="13">
        <f>_xll.BDH("NBIX US Equity","BS_TOT_LIAB2","FQ3 2022","FQ3 2022","Currency=USD","Period=FQ","BEST_FPERIOD_OVERRIDE=FQ","FILING_STATUS=MR","SCALING_FORMAT=MLN","Sort=A","Dates=H","DateFormat=P","Fill=—","Direction=H","UseDPDF=Y")</f>
        <v>598.79999999999995</v>
      </c>
      <c r="S18" s="13">
        <f>_xll.BDH("NBIX US Equity","BS_TOT_LIAB2","FQ4 2022","FQ4 2022","Currency=USD","Period=FQ","BEST_FPERIOD_OVERRIDE=FQ","FILING_STATUS=MR","SCALING_FORMAT=MLN","Sort=A","Dates=H","DateFormat=P","Fill=—","Direction=H","UseDPDF=Y")</f>
        <v>660.9</v>
      </c>
      <c r="T18" s="13">
        <f>_xll.BDH("NBIX US Equity","BS_TOT_LIAB2","FQ1 2023","FQ1 2023","Currency=USD","Period=FQ","BEST_FPERIOD_OVERRIDE=FQ","FILING_STATUS=MR","SCALING_FORMAT=MLN","Sort=A","Dates=H","DateFormat=P","Fill=—","Direction=H","UseDPDF=Y")</f>
        <v>675.3</v>
      </c>
      <c r="U18" s="13">
        <f>_xll.BDH("NBIX US Equity","BS_TOT_LIAB2","FQ2 2023","FQ2 2023","Currency=USD","Period=FQ","BEST_FPERIOD_OVERRIDE=FQ","FILING_STATUS=MR","SCALING_FORMAT=MLN","Sort=A","Dates=H","DateFormat=P","Fill=—","Direction=H","UseDPDF=Y")</f>
        <v>760.1</v>
      </c>
      <c r="V18" s="13">
        <f>_xll.BDH("NBIX US Equity","BS_TOT_LIAB2","FQ3 2023","FQ3 2023","Currency=USD","Period=FQ","BEST_FPERIOD_OVERRIDE=FQ","FILING_STATUS=MR","SCALING_FORMAT=MLN","Sort=A","Dates=H","DateFormat=P","Fill=—","Direction=H","UseDPDF=Y")</f>
        <v>846.1</v>
      </c>
      <c r="W18" s="13">
        <f>_xll.BDH("NBIX US Equity","BS_TOT_LIAB2","FQ4 2023","FQ4 2023","Currency=USD","Period=FQ","BEST_FPERIOD_OVERRIDE=FQ","FILING_STATUS=MR","SCALING_FORMAT=MLN","Sort=A","Dates=H","DateFormat=P","Fill=—","Direction=H","UseDPDF=Y")</f>
        <v>1019.4</v>
      </c>
      <c r="X18" s="13">
        <f>_xll.BDH("NBIX US Equity","BS_TOT_LIAB2","FQ1 2024","FQ1 2024","Currency=USD","Period=FQ","BEST_FPERIOD_OVERRIDE=FQ","FILING_STATUS=MR","SCALING_FORMAT=MLN","Sort=A","Dates=H","DateFormat=P","Fill=—","Direction=H","UseDPDF=Y")</f>
        <v>1086.3</v>
      </c>
      <c r="Y18" s="13">
        <f>_xll.BDH("NBIX US Equity","BS_TOT_LIAB2","FQ2 2024","FQ2 2024","Currency=USD","Period=FQ","BEST_FPERIOD_OVERRIDE=FQ","FILING_STATUS=MR","SCALING_FORMAT=MLN","Sort=A","Dates=H","DateFormat=P","Fill=—","Direction=H","UseDPDF=Y")</f>
        <v>795.8</v>
      </c>
      <c r="Z18" s="13">
        <f>_xll.BDH("NBIX US Equity","BS_TOT_LIAB2","FQ3 2024","FQ3 2024","Currency=USD","Period=FQ","BEST_FPERIOD_OVERRIDE=FQ","FILING_STATUS=MR","SCALING_FORMAT=MLN","Sort=A","Dates=H","DateFormat=P","Fill=—","Direction=H","UseDPDF=Y")</f>
        <v>816.1</v>
      </c>
      <c r="AA18" s="13">
        <f>_xll.BDH("NBIX US Equity","BS_TOT_LIAB2","FQ4 2024","FQ4 2024","Currency=USD","Period=FQ","BEST_FPERIOD_OVERRIDE=FQ","FILING_STATUS=MR","SCALING_FORMAT=MLN","Sort=A","Dates=H","DateFormat=P","Fill=—","Direction=H","UseDPDF=Y")</f>
        <v>1129</v>
      </c>
    </row>
    <row r="19" spans="1:27" x14ac:dyDescent="0.25">
      <c r="A19" s="10" t="s">
        <v>118</v>
      </c>
      <c r="B19" s="10" t="s">
        <v>119</v>
      </c>
      <c r="C19" s="13">
        <f>_xll.BDH("NBIX US Equity","TOTAL_EQUITY","FQ4 2018","FQ4 2018","Currency=USD","Period=FQ","BEST_FPERIOD_OVERRIDE=FQ","FILING_STATUS=MR","SCALING_FORMAT=MLN","Sort=A","Dates=H","DateFormat=P","Fill=—","Direction=H","UseDPDF=Y")</f>
        <v>480.76499999999999</v>
      </c>
      <c r="D19" s="13">
        <f>_xll.BDH("NBIX US Equity","TOTAL_EQUITY","FQ1 2019","FQ1 2019","Currency=USD","Period=FQ","BEST_FPERIOD_OVERRIDE=FQ","FILING_STATUS=MR","SCALING_FORMAT=MLN","Sort=A","Dates=H","DateFormat=P","Fill=—","Direction=H","UseDPDF=Y")</f>
        <v>409.27499999999998</v>
      </c>
      <c r="E19" s="13">
        <f>_xll.BDH("NBIX US Equity","TOTAL_EQUITY","FQ2 2019","FQ2 2019","Currency=USD","Period=FQ","BEST_FPERIOD_OVERRIDE=FQ","FILING_STATUS=MR","SCALING_FORMAT=MLN","Sort=A","Dates=H","DateFormat=P","Fill=—","Direction=H","UseDPDF=Y")</f>
        <v>483.70600000000002</v>
      </c>
      <c r="F19" s="13">
        <f>_xll.BDH("NBIX US Equity","TOTAL_EQUITY","FQ3 2019","FQ3 2019","Currency=USD","Period=FQ","BEST_FPERIOD_OVERRIDE=FQ","FILING_STATUS=MR","SCALING_FORMAT=MLN","Sort=A","Dates=H","DateFormat=P","Fill=—","Direction=H","UseDPDF=Y")</f>
        <v>574.51499999999999</v>
      </c>
      <c r="G19" s="13">
        <f>_xll.BDH("NBIX US Equity","TOTAL_EQUITY","FQ4 2019","FQ4 2019","Currency=USD","Period=FQ","BEST_FPERIOD_OVERRIDE=FQ","FILING_STATUS=MR","SCALING_FORMAT=MLN","Sort=A","Dates=H","DateFormat=P","Fill=—","Direction=H","UseDPDF=Y")</f>
        <v>636.9</v>
      </c>
      <c r="H19" s="13">
        <f>_xll.BDH("NBIX US Equity","TOTAL_EQUITY","FQ1 2020","FQ1 2020","Currency=USD","Period=FQ","BEST_FPERIOD_OVERRIDE=FQ","FILING_STATUS=MR","SCALING_FORMAT=MLN","Sort=A","Dates=H","DateFormat=P","Fill=—","Direction=H","UseDPDF=Y")</f>
        <v>700.3</v>
      </c>
      <c r="I19" s="13">
        <f>_xll.BDH("NBIX US Equity","TOTAL_EQUITY","FQ2 2020","FQ2 2020","Currency=USD","Period=FQ","BEST_FPERIOD_OVERRIDE=FQ","FILING_STATUS=MR","SCALING_FORMAT=MLN","Sort=A","Dates=H","DateFormat=P","Fill=—","Direction=H","UseDPDF=Y")</f>
        <v>831.2</v>
      </c>
      <c r="J19" s="13">
        <f>_xll.BDH("NBIX US Equity","TOTAL_EQUITY","FQ3 2020","FQ3 2020","Currency=USD","Period=FQ","BEST_FPERIOD_OVERRIDE=FQ","FILING_STATUS=MR","SCALING_FORMAT=MLN","Sort=A","Dates=H","DateFormat=P","Fill=—","Direction=H","UseDPDF=Y")</f>
        <v>804.3</v>
      </c>
      <c r="K19" s="13">
        <f>_xll.BDH("NBIX US Equity","TOTAL_EQUITY","FQ4 2020","FQ4 2020","Currency=USD","Period=FQ","BEST_FPERIOD_OVERRIDE=FQ","FILING_STATUS=MR","SCALING_FORMAT=MLN","Sort=A","Dates=H","DateFormat=P","Fill=—","Direction=H","UseDPDF=Y")</f>
        <v>1126.2</v>
      </c>
      <c r="L19" s="13">
        <f>_xll.BDH("NBIX US Equity","TOTAL_EQUITY","FQ1 2021","FQ1 2021","Currency=USD","Period=FQ","BEST_FPERIOD_OVERRIDE=FQ","FILING_STATUS=MR","SCALING_FORMAT=MLN","Sort=A","Dates=H","DateFormat=P","Fill=—","Direction=H","UseDPDF=Y")</f>
        <v>1205.5999999999999</v>
      </c>
      <c r="M19" s="13">
        <f>_xll.BDH("NBIX US Equity","TOTAL_EQUITY","FQ2 2021","FQ2 2021","Currency=USD","Period=FQ","BEST_FPERIOD_OVERRIDE=FQ","FILING_STATUS=MR","SCALING_FORMAT=MLN","Sort=A","Dates=H","DateFormat=P","Fill=—","Direction=H","UseDPDF=Y")</f>
        <v>1279.2</v>
      </c>
      <c r="N19" s="13">
        <f>_xll.BDH("NBIX US Equity","TOTAL_EQUITY","FQ3 2021","FQ3 2021","Currency=USD","Period=FQ","BEST_FPERIOD_OVERRIDE=FQ","FILING_STATUS=MR","SCALING_FORMAT=MLN","Sort=A","Dates=H","DateFormat=P","Fill=—","Direction=H","UseDPDF=Y")</f>
        <v>1346</v>
      </c>
      <c r="O19" s="13">
        <f>_xll.BDH("NBIX US Equity","TOTAL_EQUITY","FQ4 2021","FQ4 2021","Currency=USD","Period=FQ","BEST_FPERIOD_OVERRIDE=FQ","FILING_STATUS=MR","SCALING_FORMAT=MLN","Sort=A","Dates=H","DateFormat=P","Fill=—","Direction=H","UseDPDF=Y")</f>
        <v>1374</v>
      </c>
      <c r="P19" s="13">
        <f>_xll.BDH("NBIX US Equity","TOTAL_EQUITY","FQ1 2022","FQ1 2022","Currency=USD","Period=FQ","BEST_FPERIOD_OVERRIDE=FQ","FILING_STATUS=MR","SCALING_FORMAT=MLN","Sort=A","Dates=H","DateFormat=P","Fill=—","Direction=H","UseDPDF=Y")</f>
        <v>1391.1</v>
      </c>
      <c r="Q19" s="13">
        <f>_xll.BDH("NBIX US Equity","TOTAL_EQUITY","FQ2 2022","FQ2 2022","Currency=USD","Period=FQ","BEST_FPERIOD_OVERRIDE=FQ","FILING_STATUS=MR","SCALING_FORMAT=MLN","Sort=A","Dates=H","DateFormat=P","Fill=—","Direction=H","UseDPDF=Y")</f>
        <v>1423.4</v>
      </c>
      <c r="R19" s="13">
        <f>_xll.BDH("NBIX US Equity","TOTAL_EQUITY","FQ3 2022","FQ3 2022","Currency=USD","Period=FQ","BEST_FPERIOD_OVERRIDE=FQ","FILING_STATUS=MR","SCALING_FORMAT=MLN","Sort=A","Dates=H","DateFormat=P","Fill=—","Direction=H","UseDPDF=Y")</f>
        <v>1544.6</v>
      </c>
      <c r="S19" s="13">
        <f>_xll.BDH("NBIX US Equity","TOTAL_EQUITY","FQ4 2022","FQ4 2022","Currency=USD","Period=FQ","BEST_FPERIOD_OVERRIDE=FQ","FILING_STATUS=MR","SCALING_FORMAT=MLN","Sort=A","Dates=H","DateFormat=P","Fill=—","Direction=H","UseDPDF=Y")</f>
        <v>1707.8</v>
      </c>
      <c r="T19" s="13">
        <f>_xll.BDH("NBIX US Equity","TOTAL_EQUITY","FQ1 2023","FQ1 2023","Currency=USD","Period=FQ","BEST_FPERIOD_OVERRIDE=FQ","FILING_STATUS=MR","SCALING_FORMAT=MLN","Sort=A","Dates=H","DateFormat=P","Fill=—","Direction=H","UseDPDF=Y")</f>
        <v>1684.5</v>
      </c>
      <c r="U19" s="13">
        <f>_xll.BDH("NBIX US Equity","TOTAL_EQUITY","FQ2 2023","FQ2 2023","Currency=USD","Period=FQ","BEST_FPERIOD_OVERRIDE=FQ","FILING_STATUS=MR","SCALING_FORMAT=MLN","Sort=A","Dates=H","DateFormat=P","Fill=—","Direction=H","UseDPDF=Y")</f>
        <v>1853</v>
      </c>
      <c r="V19" s="13">
        <f>_xll.BDH("NBIX US Equity","TOTAL_EQUITY","FQ3 2023","FQ3 2023","Currency=USD","Period=FQ","BEST_FPERIOD_OVERRIDE=FQ","FILING_STATUS=MR","SCALING_FORMAT=MLN","Sort=A","Dates=H","DateFormat=P","Fill=—","Direction=H","UseDPDF=Y")</f>
        <v>2002.1</v>
      </c>
      <c r="W19" s="13">
        <f>_xll.BDH("NBIX US Equity","TOTAL_EQUITY","FQ4 2023","FQ4 2023","Currency=USD","Period=FQ","BEST_FPERIOD_OVERRIDE=FQ","FILING_STATUS=MR","SCALING_FORMAT=MLN","Sort=A","Dates=H","DateFormat=P","Fill=—","Direction=H","UseDPDF=Y")</f>
        <v>2232</v>
      </c>
      <c r="X19" s="13">
        <f>_xll.BDH("NBIX US Equity","TOTAL_EQUITY","FQ1 2024","FQ1 2024","Currency=USD","Period=FQ","BEST_FPERIOD_OVERRIDE=FQ","FILING_STATUS=MR","SCALING_FORMAT=MLN","Sort=A","Dates=H","DateFormat=P","Fill=—","Direction=H","UseDPDF=Y")</f>
        <v>2386.1</v>
      </c>
      <c r="Y19" s="13">
        <f>_xll.BDH("NBIX US Equity","TOTAL_EQUITY","FQ2 2024","FQ2 2024","Currency=USD","Period=FQ","BEST_FPERIOD_OVERRIDE=FQ","FILING_STATUS=MR","SCALING_FORMAT=MLN","Sort=A","Dates=H","DateFormat=P","Fill=—","Direction=H","UseDPDF=Y")</f>
        <v>2509.1999999999998</v>
      </c>
      <c r="Z19" s="13">
        <f>_xll.BDH("NBIX US Equity","TOTAL_EQUITY","FQ3 2024","FQ3 2024","Currency=USD","Period=FQ","BEST_FPERIOD_OVERRIDE=FQ","FILING_STATUS=MR","SCALING_FORMAT=MLN","Sort=A","Dates=H","DateFormat=P","Fill=—","Direction=H","UseDPDF=Y")</f>
        <v>2718.9</v>
      </c>
      <c r="AA19" s="13">
        <f>_xll.BDH("NBIX US Equity","TOTAL_EQUITY","FQ4 2024","FQ4 2024","Currency=USD","Period=FQ","BEST_FPERIOD_OVERRIDE=FQ","FILING_STATUS=MR","SCALING_FORMAT=MLN","Sort=A","Dates=H","DateFormat=P","Fill=—","Direction=H","UseDPDF=Y")</f>
        <v>2589.6999999999998</v>
      </c>
    </row>
    <row r="20" spans="1:27" x14ac:dyDescent="0.25">
      <c r="A20" s="10" t="s">
        <v>120</v>
      </c>
      <c r="B20" s="10" t="s">
        <v>121</v>
      </c>
      <c r="C20" s="13">
        <f>_xll.BDH("NBIX US Equity","BS_SH_OUT","FQ4 2018","FQ4 2018","Currency=USD","Period=FQ","BEST_FPERIOD_OVERRIDE=FQ","FILING_STATUS=MR","Sort=A","Dates=H","DateFormat=P","Fill=—","Direction=H","UseDPDF=Y")</f>
        <v>90.7971</v>
      </c>
      <c r="D20" s="13">
        <f>_xll.BDH("NBIX US Equity","BS_SH_OUT","FQ1 2019","FQ1 2019","Currency=USD","Period=FQ","BEST_FPERIOD_OVERRIDE=FQ","FILING_STATUS=MR","Sort=A","Dates=H","DateFormat=P","Fill=—","Direction=H","UseDPDF=Y")</f>
        <v>91.284000000000006</v>
      </c>
      <c r="E20" s="13">
        <f>_xll.BDH("NBIX US Equity","BS_SH_OUT","FQ2 2019","FQ2 2019","Currency=USD","Period=FQ","BEST_FPERIOD_OVERRIDE=FQ","FILING_STATUS=MR","Sort=A","Dates=H","DateFormat=P","Fill=—","Direction=H","UseDPDF=Y")</f>
        <v>91.536000000000001</v>
      </c>
      <c r="F20" s="13">
        <f>_xll.BDH("NBIX US Equity","BS_SH_OUT","FQ3 2019","FQ3 2019","Currency=USD","Period=FQ","BEST_FPERIOD_OVERRIDE=FQ","FILING_STATUS=MR","Sort=A","Dates=H","DateFormat=P","Fill=—","Direction=H","UseDPDF=Y")</f>
        <v>92.08</v>
      </c>
      <c r="G20" s="13">
        <f>_xll.BDH("NBIX US Equity","BS_SH_OUT","FQ4 2019","FQ4 2019","Currency=USD","Period=FQ","BEST_FPERIOD_OVERRIDE=FQ","FILING_STATUS=MR","Sort=A","Dates=H","DateFormat=P","Fill=—","Direction=H","UseDPDF=Y")</f>
        <v>92.3</v>
      </c>
      <c r="H20" s="13">
        <f>_xll.BDH("NBIX US Equity","BS_SH_OUT","FQ1 2020","FQ1 2020","Currency=USD","Period=FQ","BEST_FPERIOD_OVERRIDE=FQ","FILING_STATUS=MR","Sort=A","Dates=H","DateFormat=P","Fill=—","Direction=H","UseDPDF=Y")</f>
        <v>92.8</v>
      </c>
      <c r="I20" s="13">
        <f>_xll.BDH("NBIX US Equity","BS_SH_OUT","FQ2 2020","FQ2 2020","Currency=USD","Period=FQ","BEST_FPERIOD_OVERRIDE=FQ","FILING_STATUS=MR","Sort=A","Dates=H","DateFormat=P","Fill=—","Direction=H","UseDPDF=Y")</f>
        <v>93.2</v>
      </c>
      <c r="J20" s="13">
        <f>_xll.BDH("NBIX US Equity","BS_SH_OUT","FQ3 2020","FQ3 2020","Currency=USD","Period=FQ","BEST_FPERIOD_OVERRIDE=FQ","FILING_STATUS=MR","Sort=A","Dates=H","DateFormat=P","Fill=—","Direction=H","UseDPDF=Y")</f>
        <v>93.4</v>
      </c>
      <c r="K20" s="13">
        <f>_xll.BDH("NBIX US Equity","BS_SH_OUT","FQ4 2020","FQ4 2020","Currency=USD","Period=FQ","BEST_FPERIOD_OVERRIDE=FQ","FILING_STATUS=MR","Sort=A","Dates=H","DateFormat=P","Fill=—","Direction=H","UseDPDF=Y")</f>
        <v>93.5</v>
      </c>
      <c r="L20" s="13">
        <f>_xll.BDH("NBIX US Equity","BS_SH_OUT","FQ1 2021","FQ1 2021","Currency=USD","Period=FQ","BEST_FPERIOD_OVERRIDE=FQ","FILING_STATUS=MR","Sort=A","Dates=H","DateFormat=P","Fill=—","Direction=H","UseDPDF=Y")</f>
        <v>94.5</v>
      </c>
      <c r="M20" s="13">
        <f>_xll.BDH("NBIX US Equity","BS_SH_OUT","FQ2 2021","FQ2 2021","Currency=USD","Period=FQ","BEST_FPERIOD_OVERRIDE=FQ","FILING_STATUS=MR","Sort=A","Dates=H","DateFormat=P","Fill=—","Direction=H","UseDPDF=Y")</f>
        <v>94.6</v>
      </c>
      <c r="N20" s="13">
        <f>_xll.BDH("NBIX US Equity","BS_SH_OUT","FQ3 2021","FQ3 2021","Currency=USD","Period=FQ","BEST_FPERIOD_OVERRIDE=FQ","FILING_STATUS=MR","Sort=A","Dates=H","DateFormat=P","Fill=—","Direction=H","UseDPDF=Y")</f>
        <v>94.8</v>
      </c>
      <c r="O20" s="13">
        <f>_xll.BDH("NBIX US Equity","BS_SH_OUT","FQ4 2021","FQ4 2021","Currency=USD","Period=FQ","BEST_FPERIOD_OVERRIDE=FQ","FILING_STATUS=MR","Sort=A","Dates=H","DateFormat=P","Fill=—","Direction=H","UseDPDF=Y")</f>
        <v>94.9</v>
      </c>
      <c r="P20" s="13">
        <f>_xll.BDH("NBIX US Equity","BS_SH_OUT","FQ1 2022","FQ1 2022","Currency=USD","Period=FQ","BEST_FPERIOD_OVERRIDE=FQ","FILING_STATUS=MR","Sort=A","Dates=H","DateFormat=P","Fill=—","Direction=H","UseDPDF=Y")</f>
        <v>95.5</v>
      </c>
      <c r="Q20" s="13">
        <f>_xll.BDH("NBIX US Equity","BS_SH_OUT","FQ2 2022","FQ2 2022","Currency=USD","Period=FQ","BEST_FPERIOD_OVERRIDE=FQ","FILING_STATUS=MR","Sort=A","Dates=H","DateFormat=P","Fill=—","Direction=H","UseDPDF=Y")</f>
        <v>95.6</v>
      </c>
      <c r="R20" s="13">
        <f>_xll.BDH("NBIX US Equity","BS_SH_OUT","FQ3 2022","FQ3 2022","Currency=USD","Period=FQ","BEST_FPERIOD_OVERRIDE=FQ","FILING_STATUS=MR","Sort=A","Dates=H","DateFormat=P","Fill=—","Direction=H","UseDPDF=Y")</f>
        <v>96.1</v>
      </c>
      <c r="S20" s="13">
        <f>_xll.BDH("NBIX US Equity","BS_SH_OUT","FQ4 2022","FQ4 2022","Currency=USD","Period=FQ","BEST_FPERIOD_OVERRIDE=FQ","FILING_STATUS=MR","Sort=A","Dates=H","DateFormat=P","Fill=—","Direction=H","UseDPDF=Y")</f>
        <v>96.5</v>
      </c>
      <c r="T20" s="13">
        <f>_xll.BDH("NBIX US Equity","BS_SH_OUT","FQ1 2023","FQ1 2023","Currency=USD","Period=FQ","BEST_FPERIOD_OVERRIDE=FQ","FILING_STATUS=MR","Sort=A","Dates=H","DateFormat=P","Fill=—","Direction=H","UseDPDF=Y")</f>
        <v>97.5</v>
      </c>
      <c r="U20" s="13">
        <f>_xll.BDH("NBIX US Equity","BS_SH_OUT","FQ2 2023","FQ2 2023","Currency=USD","Period=FQ","BEST_FPERIOD_OVERRIDE=FQ","FILING_STATUS=MR","Sort=A","Dates=H","DateFormat=P","Fill=—","Direction=H","UseDPDF=Y")</f>
        <v>97.6</v>
      </c>
      <c r="V20" s="13">
        <f>_xll.BDH("NBIX US Equity","BS_SH_OUT","FQ3 2023","FQ3 2023","Currency=USD","Period=FQ","BEST_FPERIOD_OVERRIDE=FQ","FILING_STATUS=MR","Sort=A","Dates=H","DateFormat=P","Fill=—","Direction=H","UseDPDF=Y")</f>
        <v>98.2</v>
      </c>
      <c r="W20" s="13">
        <f>_xll.BDH("NBIX US Equity","BS_SH_OUT","FQ4 2023","FQ4 2023","Currency=USD","Period=FQ","BEST_FPERIOD_OVERRIDE=FQ","FILING_STATUS=MR","Sort=A","Dates=H","DateFormat=P","Fill=—","Direction=H","UseDPDF=Y")</f>
        <v>98.7</v>
      </c>
      <c r="X20" s="13">
        <f>_xll.BDH("NBIX US Equity","BS_SH_OUT","FQ1 2024","FQ1 2024","Currency=USD","Period=FQ","BEST_FPERIOD_OVERRIDE=FQ","FILING_STATUS=MR","Sort=A","Dates=H","DateFormat=P","Fill=—","Direction=H","UseDPDF=Y")</f>
        <v>100.6</v>
      </c>
      <c r="Y20" s="13">
        <f>_xll.BDH("NBIX US Equity","BS_SH_OUT","FQ2 2024","FQ2 2024","Currency=USD","Period=FQ","BEST_FPERIOD_OVERRIDE=FQ","FILING_STATUS=MR","Sort=A","Dates=H","DateFormat=P","Fill=—","Direction=H","UseDPDF=Y")</f>
        <v>100.9</v>
      </c>
      <c r="Z20" s="13">
        <f>_xll.BDH("NBIX US Equity","BS_SH_OUT","FQ3 2024","FQ3 2024","Currency=USD","Period=FQ","BEST_FPERIOD_OVERRIDE=FQ","FILING_STATUS=MR","Sort=A","Dates=H","DateFormat=P","Fill=—","Direction=H","UseDPDF=Y")</f>
        <v>101.2</v>
      </c>
      <c r="AA20" s="13">
        <f>_xll.BDH("NBIX US Equity","BS_SH_OUT","FQ4 2024","FQ4 2024","Currency=USD","Period=FQ","BEST_FPERIOD_OVERRIDE=FQ","FILING_STATUS=MR","Sort=A","Dates=H","DateFormat=P","Fill=—","Direction=H","UseDPDF=Y")</f>
        <v>99.4</v>
      </c>
    </row>
    <row r="21" spans="1:27" x14ac:dyDescent="0.25">
      <c r="A21" s="10" t="s">
        <v>122</v>
      </c>
      <c r="B21" s="10" t="s">
        <v>123</v>
      </c>
      <c r="C21" s="13">
        <f>_xll.BDH("NBIX US Equity","ARD_SHARE_OUT_FROM_FRONT_COVER","FQ4 2018","FQ4 2018","Currency=USD","Period=FQ","BEST_FPERIOD_OVERRIDE=FQ","FILING_STATUS=MR","Sort=A","Dates=H","DateFormat=P","Fill=—","Direction=H","UseDPDF=Y")</f>
        <v>90.821299999999994</v>
      </c>
      <c r="D21" s="13">
        <f>_xll.BDH("NBIX US Equity","ARD_SHARE_OUT_FROM_FRONT_COVER","FQ1 2019","FQ1 2019","Currency=USD","Period=FQ","BEST_FPERIOD_OVERRIDE=FQ","FILING_STATUS=MR","Sort=A","Dates=H","DateFormat=P","Fill=—","Direction=H","UseDPDF=Y")</f>
        <v>91.286900000000003</v>
      </c>
      <c r="E21" s="13">
        <f>_xll.BDH("NBIX US Equity","ARD_SHARE_OUT_FROM_FRONT_COVER","FQ2 2019","FQ2 2019","Currency=USD","Period=FQ","BEST_FPERIOD_OVERRIDE=FQ","FILING_STATUS=MR","Sort=A","Dates=H","DateFormat=P","Fill=—","Direction=H","UseDPDF=Y")</f>
        <v>91.579400000000007</v>
      </c>
      <c r="F21" s="13">
        <f>_xll.BDH("NBIX US Equity","ARD_SHARE_OUT_FROM_FRONT_COVER","FQ3 2019","FQ3 2019","Currency=USD","Period=FQ","BEST_FPERIOD_OVERRIDE=FQ","FILING_STATUS=MR","Sort=A","Dates=H","DateFormat=P","Fill=—","Direction=H","UseDPDF=Y")</f>
        <v>92.093500000000006</v>
      </c>
      <c r="G21" s="13">
        <f>_xll.BDH("NBIX US Equity","ARD_SHARE_OUT_FROM_FRONT_COVER","FQ4 2019","FQ4 2019","Currency=USD","Period=FQ","BEST_FPERIOD_OVERRIDE=FQ","FILING_STATUS=MR","Sort=A","Dates=H","DateFormat=P","Fill=—","Direction=H","UseDPDF=Y")</f>
        <v>92.3</v>
      </c>
      <c r="H21" s="13">
        <f>_xll.BDH("NBIX US Equity","ARD_SHARE_OUT_FROM_FRONT_COVER","FQ1 2020","FQ1 2020","Currency=USD","Period=FQ","BEST_FPERIOD_OVERRIDE=FQ","FILING_STATUS=MR","Sort=A","Dates=H","DateFormat=P","Fill=—","Direction=H","UseDPDF=Y")</f>
        <v>92.865099999999998</v>
      </c>
      <c r="I21" s="13">
        <f>_xll.BDH("NBIX US Equity","ARD_SHARE_OUT_FROM_FRONT_COVER","FQ2 2020","FQ2 2020","Currency=USD","Period=FQ","BEST_FPERIOD_OVERRIDE=FQ","FILING_STATUS=MR","Sort=A","Dates=H","DateFormat=P","Fill=—","Direction=H","UseDPDF=Y")</f>
        <v>93.2</v>
      </c>
      <c r="J21" s="13">
        <f>_xll.BDH("NBIX US Equity","ARD_SHARE_OUT_FROM_FRONT_COVER","FQ3 2020","FQ3 2020","Currency=USD","Period=FQ","BEST_FPERIOD_OVERRIDE=FQ","FILING_STATUS=MR","Sort=A","Dates=H","DateFormat=P","Fill=—","Direction=H","UseDPDF=Y")</f>
        <v>93.429199999999994</v>
      </c>
      <c r="K21" s="13">
        <f>_xll.BDH("NBIX US Equity","ARD_SHARE_OUT_FROM_FRONT_COVER","FQ4 2020","FQ4 2020","Currency=USD","Period=FQ","BEST_FPERIOD_OVERRIDE=FQ","FILING_STATUS=MR","Sort=A","Dates=H","DateFormat=P","Fill=—","Direction=H","UseDPDF=Y")</f>
        <v>93.943600000000004</v>
      </c>
      <c r="L21" s="13">
        <f>_xll.BDH("NBIX US Equity","ARD_SHARE_OUT_FROM_FRONT_COVER","FQ1 2021","FQ1 2021","Currency=USD","Period=FQ","BEST_FPERIOD_OVERRIDE=FQ","FILING_STATUS=MR","Sort=A","Dates=H","DateFormat=P","Fill=—","Direction=H","UseDPDF=Y")</f>
        <v>94.546000000000006</v>
      </c>
      <c r="M21" s="13">
        <f>_xll.BDH("NBIX US Equity","ARD_SHARE_OUT_FROM_FRONT_COVER","FQ2 2021","FQ2 2021","Currency=USD","Period=FQ","BEST_FPERIOD_OVERRIDE=FQ","FILING_STATUS=MR","Sort=A","Dates=H","DateFormat=P","Fill=—","Direction=H","UseDPDF=Y")</f>
        <v>94.6464</v>
      </c>
      <c r="N21" s="13">
        <f>_xll.BDH("NBIX US Equity","ARD_SHARE_OUT_FROM_FRONT_COVER","FQ3 2021","FQ3 2021","Currency=USD","Period=FQ","BEST_FPERIOD_OVERRIDE=FQ","FILING_STATUS=MR","Sort=A","Dates=H","DateFormat=P","Fill=—","Direction=H","UseDPDF=Y")</f>
        <v>94.866699999999994</v>
      </c>
      <c r="O21" s="13">
        <f>_xll.BDH("NBIX US Equity","ARD_SHARE_OUT_FROM_FRONT_COVER","FQ4 2021","FQ4 2021","Currency=USD","Period=FQ","BEST_FPERIOD_OVERRIDE=FQ","FILING_STATUS=MR","Sort=A","Dates=H","DateFormat=P","Fill=—","Direction=H","UseDPDF=Y")</f>
        <v>95.242699999999999</v>
      </c>
      <c r="P21" s="13">
        <f>_xll.BDH("NBIX US Equity","ARD_SHARE_OUT_FROM_FRONT_COVER","FQ1 2022","FQ1 2022","Currency=USD","Period=FQ","BEST_FPERIOD_OVERRIDE=FQ","FILING_STATUS=MR","Sort=A","Dates=H","DateFormat=P","Fill=—","Direction=H","UseDPDF=Y")</f>
        <v>95.576700000000002</v>
      </c>
      <c r="Q21" s="13">
        <f>_xll.BDH("NBIX US Equity","ARD_SHARE_OUT_FROM_FRONT_COVER","FQ2 2022","FQ2 2022","Currency=USD","Period=FQ","BEST_FPERIOD_OVERRIDE=FQ","FILING_STATUS=MR","Sort=A","Dates=H","DateFormat=P","Fill=—","Direction=H","UseDPDF=Y")</f>
        <v>95.639300000000006</v>
      </c>
      <c r="R21" s="13">
        <f>_xll.BDH("NBIX US Equity","ARD_SHARE_OUT_FROM_FRONT_COVER","FQ3 2022","FQ3 2022","Currency=USD","Period=FQ","BEST_FPERIOD_OVERRIDE=FQ","FILING_STATUS=MR","Sort=A","Dates=H","DateFormat=P","Fill=—","Direction=H","UseDPDF=Y")</f>
        <v>96.134399999999999</v>
      </c>
      <c r="S21" s="13">
        <f>_xll.BDH("NBIX US Equity","ARD_SHARE_OUT_FROM_FRONT_COVER","FQ4 2022","FQ4 2022","Currency=USD","Period=FQ","BEST_FPERIOD_OVERRIDE=FQ","FILING_STATUS=MR","Sort=A","Dates=H","DateFormat=P","Fill=—","Direction=H","UseDPDF=Y")</f>
        <v>96.587900000000005</v>
      </c>
      <c r="T21" s="13">
        <f>_xll.BDH("NBIX US Equity","ARD_SHARE_OUT_FROM_FRONT_COVER","FQ1 2023","FQ1 2023","Currency=USD","Period=FQ","BEST_FPERIOD_OVERRIDE=FQ","FILING_STATUS=MR","Sort=A","Dates=H","DateFormat=P","Fill=—","Direction=H","UseDPDF=Y")</f>
        <v>97.574799999999996</v>
      </c>
      <c r="U21" s="13">
        <f>_xll.BDH("NBIX US Equity","ARD_SHARE_OUT_FROM_FRONT_COVER","FQ2 2023","FQ2 2023","Currency=USD","Period=FQ","BEST_FPERIOD_OVERRIDE=FQ","FILING_STATUS=MR","Sort=A","Dates=H","DateFormat=P","Fill=—","Direction=H","UseDPDF=Y")</f>
        <v>97.652500000000003</v>
      </c>
      <c r="V21" s="13">
        <f>_xll.BDH("NBIX US Equity","ARD_SHARE_OUT_FROM_FRONT_COVER","FQ3 2023","FQ3 2023","Currency=USD","Period=FQ","BEST_FPERIOD_OVERRIDE=FQ","FILING_STATUS=MR","Sort=A","Dates=H","DateFormat=P","Fill=—","Direction=H","UseDPDF=Y")</f>
        <v>98.251900000000006</v>
      </c>
      <c r="W21" s="13">
        <f>_xll.BDH("NBIX US Equity","ARD_SHARE_OUT_FROM_FRONT_COVER","FQ4 2023","FQ4 2023","Currency=USD","Period=FQ","BEST_FPERIOD_OVERRIDE=FQ","FILING_STATUS=MR","Sort=A","Dates=H","DateFormat=P","Fill=—","Direction=H","UseDPDF=Y")</f>
        <v>99.507499999999993</v>
      </c>
      <c r="X21" s="13">
        <f>_xll.BDH("NBIX US Equity","ARD_SHARE_OUT_FROM_FRONT_COVER","FQ1 2024","FQ1 2024","Currency=USD","Period=FQ","BEST_FPERIOD_OVERRIDE=FQ","FILING_STATUS=MR","Sort=A","Dates=H","DateFormat=P","Fill=—","Direction=H","UseDPDF=Y")</f>
        <v>100.63720000000001</v>
      </c>
      <c r="Y21" s="13">
        <f>_xll.BDH("NBIX US Equity","ARD_SHARE_OUT_FROM_FRONT_COVER","FQ2 2024","FQ2 2024","Currency=USD","Period=FQ","BEST_FPERIOD_OVERRIDE=FQ","FILING_STATUS=MR","Sort=A","Dates=H","DateFormat=P","Fill=—","Direction=H","UseDPDF=Y")</f>
        <v>100.97620000000001</v>
      </c>
      <c r="Z21" s="13">
        <f>_xll.BDH("NBIX US Equity","ARD_SHARE_OUT_FROM_FRONT_COVER","FQ3 2024","FQ3 2024","Currency=USD","Period=FQ","BEST_FPERIOD_OVERRIDE=FQ","FILING_STATUS=MR","Sort=A","Dates=H","DateFormat=P","Fill=—","Direction=H","UseDPDF=Y")</f>
        <v>101.2469</v>
      </c>
      <c r="AA21" s="13">
        <f>_xll.BDH("NBIX US Equity","ARD_SHARE_OUT_FROM_FRONT_COVER","FQ4 2024","FQ4 2024","Currency=USD","Period=FQ","BEST_FPERIOD_OVERRIDE=FQ","FILING_STATUS=MR","Sort=A","Dates=H","DateFormat=P","Fill=—","Direction=H","UseDPDF=Y")</f>
        <v>99.703500000000005</v>
      </c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124</v>
      </c>
      <c r="B23" s="10" t="s">
        <v>85</v>
      </c>
      <c r="C23" s="13">
        <f>_xll.BDH("NBIX US Equity","CF_CASH_FROM_OPER","FQ4 2018","FQ4 2018","Currency=USD","Period=FQ","BEST_FPERIOD_OVERRIDE=FQ","FILING_STATUS=MR","SCALING_FORMAT=MLN","Sort=A","Dates=H","DateFormat=P","Fill=—","Direction=H","UseDPDF=Y")</f>
        <v>50.454000000000001</v>
      </c>
      <c r="D23" s="13">
        <f>_xll.BDH("NBIX US Equity","CF_CASH_FROM_OPER","FQ1 2019","FQ1 2019","Currency=USD","Period=FQ","BEST_FPERIOD_OVERRIDE=FQ","FILING_STATUS=MR","SCALING_FORMAT=MLN","Sort=A","Dates=H","DateFormat=P","Fill=—","Direction=H","UseDPDF=Y")</f>
        <v>-112.491</v>
      </c>
      <c r="E23" s="13">
        <f>_xll.BDH("NBIX US Equity","CF_CASH_FROM_OPER","FQ2 2019","FQ2 2019","Currency=USD","Period=FQ","BEST_FPERIOD_OVERRIDE=FQ","FILING_STATUS=MR","SCALING_FORMAT=MLN","Sort=A","Dates=H","DateFormat=P","Fill=—","Direction=H","UseDPDF=Y")</f>
        <v>64.165999999999997</v>
      </c>
      <c r="F23" s="13">
        <f>_xll.BDH("NBIX US Equity","CF_CASH_FROM_OPER","FQ3 2019","FQ3 2019","Currency=USD","Period=FQ","BEST_FPERIOD_OVERRIDE=FQ","FILING_STATUS=MR","SCALING_FORMAT=MLN","Sort=A","Dates=H","DateFormat=P","Fill=—","Direction=H","UseDPDF=Y")</f>
        <v>97.825999999999993</v>
      </c>
      <c r="G23" s="13">
        <f>_xll.BDH("NBIX US Equity","CF_CASH_FROM_OPER","FQ4 2019","FQ4 2019","Currency=USD","Period=FQ","BEST_FPERIOD_OVERRIDE=FQ","FILING_STATUS=MR","SCALING_FORMAT=MLN","Sort=A","Dates=H","DateFormat=P","Fill=—","Direction=H","UseDPDF=Y")</f>
        <v>97.498999999999995</v>
      </c>
      <c r="H23" s="13">
        <f>_xll.BDH("NBIX US Equity","CF_CASH_FROM_OPER","FQ1 2020","FQ1 2020","Currency=USD","Period=FQ","BEST_FPERIOD_OVERRIDE=FQ","FILING_STATUS=MR","SCALING_FORMAT=MLN","Sort=A","Dates=H","DateFormat=P","Fill=—","Direction=H","UseDPDF=Y")</f>
        <v>35.5</v>
      </c>
      <c r="I23" s="13">
        <f>_xll.BDH("NBIX US Equity","CF_CASH_FROM_OPER","FQ2 2020","FQ2 2020","Currency=USD","Period=FQ","BEST_FPERIOD_OVERRIDE=FQ","FILING_STATUS=MR","SCALING_FORMAT=MLN","Sort=A","Dates=H","DateFormat=P","Fill=—","Direction=H","UseDPDF=Y")</f>
        <v>118.9</v>
      </c>
      <c r="J23" s="13">
        <f>_xll.BDH("NBIX US Equity","CF_CASH_FROM_OPER","FQ3 2020","FQ3 2020","Currency=USD","Period=FQ","BEST_FPERIOD_OVERRIDE=FQ","FILING_STATUS=MR","SCALING_FORMAT=MLN","Sort=A","Dates=H","DateFormat=P","Fill=—","Direction=H","UseDPDF=Y")</f>
        <v>-20.399999999999999</v>
      </c>
      <c r="K23" s="13">
        <f>_xll.BDH("NBIX US Equity","CF_CASH_FROM_OPER","FQ4 2020","FQ4 2020","Currency=USD","Period=FQ","BEST_FPERIOD_OVERRIDE=FQ","FILING_STATUS=MR","SCALING_FORMAT=MLN","Sort=A","Dates=H","DateFormat=P","Fill=—","Direction=H","UseDPDF=Y")</f>
        <v>94.5</v>
      </c>
      <c r="L23" s="13">
        <f>_xll.BDH("NBIX US Equity","CF_CASH_FROM_OPER","FQ1 2021","FQ1 2021","Currency=USD","Period=FQ","BEST_FPERIOD_OVERRIDE=FQ","FILING_STATUS=MR","SCALING_FORMAT=MLN","Sort=A","Dates=H","DateFormat=P","Fill=—","Direction=H","UseDPDF=Y")</f>
        <v>87.3</v>
      </c>
      <c r="M23" s="13">
        <f>_xll.BDH("NBIX US Equity","CF_CASH_FROM_OPER","FQ2 2021","FQ2 2021","Currency=USD","Period=FQ","BEST_FPERIOD_OVERRIDE=FQ","FILING_STATUS=MR","SCALING_FORMAT=MLN","Sort=A","Dates=H","DateFormat=P","Fill=—","Direction=H","UseDPDF=Y")</f>
        <v>103.2</v>
      </c>
      <c r="N23" s="13">
        <f>_xll.BDH("NBIX US Equity","CF_CASH_FROM_OPER","FQ3 2021","FQ3 2021","Currency=USD","Period=FQ","BEST_FPERIOD_OVERRIDE=FQ","FILING_STATUS=MR","SCALING_FORMAT=MLN","Sort=A","Dates=H","DateFormat=P","Fill=—","Direction=H","UseDPDF=Y")</f>
        <v>61.8</v>
      </c>
      <c r="O23" s="13">
        <f>_xll.BDH("NBIX US Equity","CF_CASH_FROM_OPER","FQ4 2021","FQ4 2021","Currency=USD","Period=FQ","BEST_FPERIOD_OVERRIDE=FQ","FILING_STATUS=MR","SCALING_FORMAT=MLN","Sort=A","Dates=H","DateFormat=P","Fill=—","Direction=H","UseDPDF=Y")</f>
        <v>4.2</v>
      </c>
      <c r="P23" s="13">
        <f>_xll.BDH("NBIX US Equity","CF_CASH_FROM_OPER","FQ1 2022","FQ1 2022","Currency=USD","Period=FQ","BEST_FPERIOD_OVERRIDE=FQ","FILING_STATUS=MR","SCALING_FORMAT=MLN","Sort=A","Dates=H","DateFormat=P","Fill=—","Direction=H","UseDPDF=Y")</f>
        <v>-40.5</v>
      </c>
      <c r="Q23" s="13">
        <f>_xll.BDH("NBIX US Equity","CF_CASH_FROM_OPER","FQ2 2022","FQ2 2022","Currency=USD","Period=FQ","BEST_FPERIOD_OVERRIDE=FQ","FILING_STATUS=MR","SCALING_FORMAT=MLN","Sort=A","Dates=H","DateFormat=P","Fill=—","Direction=H","UseDPDF=Y")</f>
        <v>138.1</v>
      </c>
      <c r="R23" s="13">
        <f>_xll.BDH("NBIX US Equity","CF_CASH_FROM_OPER","FQ3 2022","FQ3 2022","Currency=USD","Period=FQ","BEST_FPERIOD_OVERRIDE=FQ","FILING_STATUS=MR","SCALING_FORMAT=MLN","Sort=A","Dates=H","DateFormat=P","Fill=—","Direction=H","UseDPDF=Y")</f>
        <v>98.8</v>
      </c>
      <c r="S23" s="13">
        <f>_xll.BDH("NBIX US Equity","CF_CASH_FROM_OPER","FQ4 2022","FQ4 2022","Currency=USD","Period=FQ","BEST_FPERIOD_OVERRIDE=FQ","FILING_STATUS=MR","SCALING_FORMAT=MLN","Sort=A","Dates=H","DateFormat=P","Fill=—","Direction=H","UseDPDF=Y")</f>
        <v>143</v>
      </c>
      <c r="T23" s="13">
        <f>_xll.BDH("NBIX US Equity","CF_CASH_FROM_OPER","FQ1 2023","FQ1 2023","Currency=USD","Period=FQ","BEST_FPERIOD_OVERRIDE=FQ","FILING_STATUS=MR","SCALING_FORMAT=MLN","Sort=A","Dates=H","DateFormat=P","Fill=—","Direction=H","UseDPDF=Y")</f>
        <v>-125.2</v>
      </c>
      <c r="U23" s="13">
        <f>_xll.BDH("NBIX US Equity","CF_CASH_FROM_OPER","FQ2 2023","FQ2 2023","Currency=USD","Period=FQ","BEST_FPERIOD_OVERRIDE=FQ","FILING_STATUS=MR","SCALING_FORMAT=MLN","Sort=A","Dates=H","DateFormat=P","Fill=—","Direction=H","UseDPDF=Y")</f>
        <v>179.6</v>
      </c>
      <c r="V23" s="13">
        <f>_xll.BDH("NBIX US Equity","CF_CASH_FROM_OPER","FQ3 2023","FQ3 2023","Currency=USD","Period=FQ","BEST_FPERIOD_OVERRIDE=FQ","FILING_STATUS=MR","SCALING_FORMAT=MLN","Sort=A","Dates=H","DateFormat=P","Fill=—","Direction=H","UseDPDF=Y")</f>
        <v>212</v>
      </c>
      <c r="W23" s="13">
        <f>_xll.BDH("NBIX US Equity","CF_CASH_FROM_OPER","FQ4 2023","FQ4 2023","Currency=USD","Period=FQ","BEST_FPERIOD_OVERRIDE=FQ","FILING_STATUS=MR","SCALING_FORMAT=MLN","Sort=A","Dates=H","DateFormat=P","Fill=—","Direction=H","UseDPDF=Y")</f>
        <v>123.5</v>
      </c>
      <c r="X23" s="13">
        <f>_xll.BDH("NBIX US Equity","CF_CASH_FROM_OPER","FQ1 2024","FQ1 2024","Currency=USD","Period=FQ","BEST_FPERIOD_OVERRIDE=FQ","FILING_STATUS=MR","SCALING_FORMAT=MLN","Sort=A","Dates=H","DateFormat=P","Fill=—","Direction=H","UseDPDF=Y")</f>
        <v>130.30000000000001</v>
      </c>
      <c r="Y23" s="13">
        <f>_xll.BDH("NBIX US Equity","CF_CASH_FROM_OPER","FQ2 2024","FQ2 2024","Currency=USD","Period=FQ","BEST_FPERIOD_OVERRIDE=FQ","FILING_STATUS=MR","SCALING_FORMAT=MLN","Sort=A","Dates=H","DateFormat=P","Fill=—","Direction=H","UseDPDF=Y")</f>
        <v>64.599999999999994</v>
      </c>
      <c r="Z23" s="13">
        <f>_xll.BDH("NBIX US Equity","CF_CASH_FROM_OPER","FQ3 2024","FQ3 2024","Currency=USD","Period=FQ","BEST_FPERIOD_OVERRIDE=FQ","FILING_STATUS=MR","SCALING_FORMAT=MLN","Sort=A","Dates=H","DateFormat=P","Fill=—","Direction=H","UseDPDF=Y")</f>
        <v>158</v>
      </c>
      <c r="AA23" s="13">
        <f>_xll.BDH("NBIX US Equity","CF_CASH_FROM_OPER","FQ4 2024","FQ4 2024","Currency=USD","Period=FQ","BEST_FPERIOD_OVERRIDE=FQ","FILING_STATUS=MR","SCALING_FORMAT=MLN","Sort=A","Dates=H","DateFormat=P","Fill=—","Direction=H","UseDPDF=Y")</f>
        <v>242.5</v>
      </c>
    </row>
    <row r="24" spans="1:27" x14ac:dyDescent="0.25">
      <c r="A24" s="10" t="s">
        <v>125</v>
      </c>
      <c r="B24" s="10" t="s">
        <v>126</v>
      </c>
      <c r="C24" s="13">
        <f>_xll.BDH("NBIX US Equity","CF_CASH_FROM_INV_ACT","FQ4 2018","FQ4 2018","Currency=USD","Period=FQ","BEST_FPERIOD_OVERRIDE=FQ","FILING_STATUS=MR","SCALING_FORMAT=MLN","Sort=A","Dates=H","DateFormat=P","Fill=—","Direction=H","UseDPDF=Y")</f>
        <v>-106.256</v>
      </c>
      <c r="D24" s="13">
        <f>_xll.BDH("NBIX US Equity","CF_CASH_FROM_INV_ACT","FQ1 2019","FQ1 2019","Currency=USD","Period=FQ","BEST_FPERIOD_OVERRIDE=FQ","FILING_STATUS=MR","SCALING_FORMAT=MLN","Sort=A","Dates=H","DateFormat=P","Fill=—","Direction=H","UseDPDF=Y")</f>
        <v>40.973999999999997</v>
      </c>
      <c r="E24" s="13">
        <f>_xll.BDH("NBIX US Equity","CF_CASH_FROM_INV_ACT","FQ2 2019","FQ2 2019","Currency=USD","Period=FQ","BEST_FPERIOD_OVERRIDE=FQ","FILING_STATUS=MR","SCALING_FORMAT=MLN","Sort=A","Dates=H","DateFormat=P","Fill=—","Direction=H","UseDPDF=Y")</f>
        <v>-0.24299999999999999</v>
      </c>
      <c r="F24" s="13">
        <f>_xll.BDH("NBIX US Equity","CF_CASH_FROM_INV_ACT","FQ3 2019","FQ3 2019","Currency=USD","Period=FQ","BEST_FPERIOD_OVERRIDE=FQ","FILING_STATUS=MR","SCALING_FORMAT=MLN","Sort=A","Dates=H","DateFormat=P","Fill=—","Direction=H","UseDPDF=Y")</f>
        <v>-85.646000000000001</v>
      </c>
      <c r="G24" s="13">
        <f>_xll.BDH("NBIX US Equity","CF_CASH_FROM_INV_ACT","FQ4 2019","FQ4 2019","Currency=USD","Period=FQ","BEST_FPERIOD_OVERRIDE=FQ","FILING_STATUS=MR","SCALING_FORMAT=MLN","Sort=A","Dates=H","DateFormat=P","Fill=—","Direction=H","UseDPDF=Y")</f>
        <v>-166.185</v>
      </c>
      <c r="H24" s="13">
        <f>_xll.BDH("NBIX US Equity","CF_CASH_FROM_INV_ACT","FQ1 2020","FQ1 2020","Currency=USD","Period=FQ","BEST_FPERIOD_OVERRIDE=FQ","FILING_STATUS=MR","SCALING_FORMAT=MLN","Sort=A","Dates=H","DateFormat=P","Fill=—","Direction=H","UseDPDF=Y")</f>
        <v>33.200000000000003</v>
      </c>
      <c r="I24" s="13">
        <f>_xll.BDH("NBIX US Equity","CF_CASH_FROM_INV_ACT","FQ2 2020","FQ2 2020","Currency=USD","Period=FQ","BEST_FPERIOD_OVERRIDE=FQ","FILING_STATUS=MR","SCALING_FORMAT=MLN","Sort=A","Dates=H","DateFormat=P","Fill=—","Direction=H","UseDPDF=Y")</f>
        <v>93.4</v>
      </c>
      <c r="J24" s="13">
        <f>_xll.BDH("NBIX US Equity","CF_CASH_FROM_INV_ACT","FQ3 2020","FQ3 2020","Currency=USD","Period=FQ","BEST_FPERIOD_OVERRIDE=FQ","FILING_STATUS=MR","SCALING_FORMAT=MLN","Sort=A","Dates=H","DateFormat=P","Fill=—","Direction=H","UseDPDF=Y")</f>
        <v>25.2</v>
      </c>
      <c r="K24" s="13">
        <f>_xll.BDH("NBIX US Equity","CF_CASH_FROM_INV_ACT","FQ4 2020","FQ4 2020","Currency=USD","Period=FQ","BEST_FPERIOD_OVERRIDE=FQ","FILING_STATUS=MR","SCALING_FORMAT=MLN","Sort=A","Dates=H","DateFormat=P","Fill=—","Direction=H","UseDPDF=Y")</f>
        <v>-147.69999999999999</v>
      </c>
      <c r="L24" s="13">
        <f>_xll.BDH("NBIX US Equity","CF_CASH_FROM_INV_ACT","FQ1 2021","FQ1 2021","Currency=USD","Period=FQ","BEST_FPERIOD_OVERRIDE=FQ","FILING_STATUS=MR","SCALING_FORMAT=MLN","Sort=A","Dates=H","DateFormat=P","Fill=—","Direction=H","UseDPDF=Y")</f>
        <v>63.1</v>
      </c>
      <c r="M24" s="13">
        <f>_xll.BDH("NBIX US Equity","CF_CASH_FROM_INV_ACT","FQ2 2021","FQ2 2021","Currency=USD","Period=FQ","BEST_FPERIOD_OVERRIDE=FQ","FILING_STATUS=MR","SCALING_FORMAT=MLN","Sort=A","Dates=H","DateFormat=P","Fill=—","Direction=H","UseDPDF=Y")</f>
        <v>-90.8</v>
      </c>
      <c r="N24" s="13">
        <f>_xll.BDH("NBIX US Equity","CF_CASH_FROM_INV_ACT","FQ3 2021","FQ3 2021","Currency=USD","Period=FQ","BEST_FPERIOD_OVERRIDE=FQ","FILING_STATUS=MR","SCALING_FORMAT=MLN","Sort=A","Dates=H","DateFormat=P","Fill=—","Direction=H","UseDPDF=Y")</f>
        <v>-126.2</v>
      </c>
      <c r="O24" s="13">
        <f>_xll.BDH("NBIX US Equity","CF_CASH_FROM_INV_ACT","FQ4 2021","FQ4 2021","Currency=USD","Period=FQ","BEST_FPERIOD_OVERRIDE=FQ","FILING_STATUS=MR","SCALING_FORMAT=MLN","Sort=A","Dates=H","DateFormat=P","Fill=—","Direction=H","UseDPDF=Y")</f>
        <v>23.7</v>
      </c>
      <c r="P24" s="13">
        <f>_xll.BDH("NBIX US Equity","CF_CASH_FROM_INV_ACT","FQ1 2022","FQ1 2022","Currency=USD","Period=FQ","BEST_FPERIOD_OVERRIDE=FQ","FILING_STATUS=MR","SCALING_FORMAT=MLN","Sort=A","Dates=H","DateFormat=P","Fill=—","Direction=H","UseDPDF=Y")</f>
        <v>-31.6</v>
      </c>
      <c r="Q24" s="13">
        <f>_xll.BDH("NBIX US Equity","CF_CASH_FROM_INV_ACT","FQ2 2022","FQ2 2022","Currency=USD","Period=FQ","BEST_FPERIOD_OVERRIDE=FQ","FILING_STATUS=MR","SCALING_FORMAT=MLN","Sort=A","Dates=H","DateFormat=P","Fill=—","Direction=H","UseDPDF=Y")</f>
        <v>31.4</v>
      </c>
      <c r="R24" s="13">
        <f>_xll.BDH("NBIX US Equity","CF_CASH_FROM_INV_ACT","FQ3 2022","FQ3 2022","Currency=USD","Period=FQ","BEST_FPERIOD_OVERRIDE=FQ","FILING_STATUS=MR","SCALING_FORMAT=MLN","Sort=A","Dates=H","DateFormat=P","Fill=—","Direction=H","UseDPDF=Y")</f>
        <v>-61.3</v>
      </c>
      <c r="S24" s="13">
        <f>_xll.BDH("NBIX US Equity","CF_CASH_FROM_INV_ACT","FQ4 2022","FQ4 2022","Currency=USD","Period=FQ","BEST_FPERIOD_OVERRIDE=FQ","FILING_STATUS=MR","SCALING_FORMAT=MLN","Sort=A","Dates=H","DateFormat=P","Fill=—","Direction=H","UseDPDF=Y")</f>
        <v>-115.6</v>
      </c>
      <c r="T24" s="13">
        <f>_xll.BDH("NBIX US Equity","CF_CASH_FROM_INV_ACT","FQ1 2023","FQ1 2023","Currency=USD","Period=FQ","BEST_FPERIOD_OVERRIDE=FQ","FILING_STATUS=MR","SCALING_FORMAT=MLN","Sort=A","Dates=H","DateFormat=P","Fill=—","Direction=H","UseDPDF=Y")</f>
        <v>-42.1</v>
      </c>
      <c r="U24" s="13">
        <f>_xll.BDH("NBIX US Equity","CF_CASH_FROM_INV_ACT","FQ2 2023","FQ2 2023","Currency=USD","Period=FQ","BEST_FPERIOD_OVERRIDE=FQ","FILING_STATUS=MR","SCALING_FORMAT=MLN","Sort=A","Dates=H","DateFormat=P","Fill=—","Direction=H","UseDPDF=Y")</f>
        <v>-125.9</v>
      </c>
      <c r="V24" s="13">
        <f>_xll.BDH("NBIX US Equity","CF_CASH_FROM_INV_ACT","FQ3 2023","FQ3 2023","Currency=USD","Period=FQ","BEST_FPERIOD_OVERRIDE=FQ","FILING_STATUS=MR","SCALING_FORMAT=MLN","Sort=A","Dates=H","DateFormat=P","Fill=—","Direction=H","UseDPDF=Y")</f>
        <v>-97.3</v>
      </c>
      <c r="W24" s="13">
        <f>_xll.BDH("NBIX US Equity","CF_CASH_FROM_INV_ACT","FQ4 2023","FQ4 2023","Currency=USD","Period=FQ","BEST_FPERIOD_OVERRIDE=FQ","FILING_STATUS=MR","SCALING_FORMAT=MLN","Sort=A","Dates=H","DateFormat=P","Fill=—","Direction=H","UseDPDF=Y")</f>
        <v>-201.8</v>
      </c>
      <c r="X24" s="13">
        <f>_xll.BDH("NBIX US Equity","CF_CASH_FROM_INV_ACT","FQ1 2024","FQ1 2024","Currency=USD","Period=FQ","BEST_FPERIOD_OVERRIDE=FQ","FILING_STATUS=MR","SCALING_FORMAT=MLN","Sort=A","Dates=H","DateFormat=P","Fill=—","Direction=H","UseDPDF=Y")</f>
        <v>-55</v>
      </c>
      <c r="Y24" s="13">
        <f>_xll.BDH("NBIX US Equity","CF_CASH_FROM_INV_ACT","FQ2 2024","FQ2 2024","Currency=USD","Period=FQ","BEST_FPERIOD_OVERRIDE=FQ","FILING_STATUS=MR","SCALING_FORMAT=MLN","Sort=A","Dates=H","DateFormat=P","Fill=—","Direction=H","UseDPDF=Y")</f>
        <v>-28.2</v>
      </c>
      <c r="Z24" s="13">
        <f>_xll.BDH("NBIX US Equity","CF_CASH_FROM_INV_ACT","FQ3 2024","FQ3 2024","Currency=USD","Period=FQ","BEST_FPERIOD_OVERRIDE=FQ","FILING_STATUS=MR","SCALING_FORMAT=MLN","Sort=A","Dates=H","DateFormat=P","Fill=—","Direction=H","UseDPDF=Y")</f>
        <v>24.7</v>
      </c>
      <c r="AA24" s="13">
        <f>_xll.BDH("NBIX US Equity","CF_CASH_FROM_INV_ACT","FQ4 2024","FQ4 2024","Currency=USD","Period=FQ","BEST_FPERIOD_OVERRIDE=FQ","FILING_STATUS=MR","SCALING_FORMAT=MLN","Sort=A","Dates=H","DateFormat=P","Fill=—","Direction=H","UseDPDF=Y")</f>
        <v>-68.3</v>
      </c>
    </row>
    <row r="25" spans="1:27" x14ac:dyDescent="0.25">
      <c r="A25" s="10" t="s">
        <v>127</v>
      </c>
      <c r="B25" s="10" t="s">
        <v>128</v>
      </c>
      <c r="C25" s="13">
        <f>_xll.BDH("NBIX US Equity","CF_CASH_FROM_FNC_ACT","FQ4 2018","FQ4 2018","Currency=USD","Period=FQ","BEST_FPERIOD_OVERRIDE=FQ","FILING_STATUS=MR","SCALING_FORMAT=MLN","Sort=A","Dates=H","DateFormat=P","Fill=—","Direction=H","UseDPDF=Y")</f>
        <v>1.782</v>
      </c>
      <c r="D25" s="13">
        <f>_xll.BDH("NBIX US Equity","CF_CASH_FROM_FNC_ACT","FQ1 2019","FQ1 2019","Currency=USD","Period=FQ","BEST_FPERIOD_OVERRIDE=FQ","FILING_STATUS=MR","SCALING_FORMAT=MLN","Sort=A","Dates=H","DateFormat=P","Fill=—","Direction=H","UseDPDF=Y")</f>
        <v>2.581</v>
      </c>
      <c r="E25" s="13">
        <f>_xll.BDH("NBIX US Equity","CF_CASH_FROM_FNC_ACT","FQ2 2019","FQ2 2019","Currency=USD","Period=FQ","BEST_FPERIOD_OVERRIDE=FQ","FILING_STATUS=MR","SCALING_FORMAT=MLN","Sort=A","Dates=H","DateFormat=P","Fill=—","Direction=H","UseDPDF=Y")</f>
        <v>4.2839999999999998</v>
      </c>
      <c r="F25" s="13">
        <f>_xll.BDH("NBIX US Equity","CF_CASH_FROM_FNC_ACT","FQ3 2019","FQ3 2019","Currency=USD","Period=FQ","BEST_FPERIOD_OVERRIDE=FQ","FILING_STATUS=MR","SCALING_FORMAT=MLN","Sort=A","Dates=H","DateFormat=P","Fill=—","Direction=H","UseDPDF=Y")</f>
        <v>13.164</v>
      </c>
      <c r="G25" s="13">
        <f>_xll.BDH("NBIX US Equity","CF_CASH_FROM_FNC_ACT","FQ4 2019","FQ4 2019","Currency=USD","Period=FQ","BEST_FPERIOD_OVERRIDE=FQ","FILING_STATUS=MR","SCALING_FORMAT=MLN","Sort=A","Dates=H","DateFormat=P","Fill=—","Direction=H","UseDPDF=Y")</f>
        <v>12.371</v>
      </c>
      <c r="H25" s="13">
        <f>_xll.BDH("NBIX US Equity","CF_CASH_FROM_FNC_ACT","FQ1 2020","FQ1 2020","Currency=USD","Period=FQ","BEST_FPERIOD_OVERRIDE=FQ","FILING_STATUS=MR","SCALING_FORMAT=MLN","Sort=A","Dates=H","DateFormat=P","Fill=—","Direction=H","UseDPDF=Y")</f>
        <v>6</v>
      </c>
      <c r="I25" s="13">
        <f>_xll.BDH("NBIX US Equity","CF_CASH_FROM_FNC_ACT","FQ2 2020","FQ2 2020","Currency=USD","Period=FQ","BEST_FPERIOD_OVERRIDE=FQ","FILING_STATUS=MR","SCALING_FORMAT=MLN","Sort=A","Dates=H","DateFormat=P","Fill=—","Direction=H","UseDPDF=Y")</f>
        <v>15.8</v>
      </c>
      <c r="J25" s="13">
        <f>_xll.BDH("NBIX US Equity","CF_CASH_FROM_FNC_ACT","FQ3 2020","FQ3 2020","Currency=USD","Period=FQ","BEST_FPERIOD_OVERRIDE=FQ","FILING_STATUS=MR","SCALING_FORMAT=MLN","Sort=A","Dates=H","DateFormat=P","Fill=—","Direction=H","UseDPDF=Y")</f>
        <v>5.4</v>
      </c>
      <c r="K25" s="13">
        <f>_xll.BDH("NBIX US Equity","CF_CASH_FROM_FNC_ACT","FQ4 2020","FQ4 2020","Currency=USD","Period=FQ","BEST_FPERIOD_OVERRIDE=FQ","FILING_STATUS=MR","SCALING_FORMAT=MLN","Sort=A","Dates=H","DateFormat=P","Fill=—","Direction=H","UseDPDF=Y")</f>
        <v>-185</v>
      </c>
      <c r="L25" s="13">
        <f>_xll.BDH("NBIX US Equity","CF_CASH_FROM_FNC_ACT","FQ1 2021","FQ1 2021","Currency=USD","Period=FQ","BEST_FPERIOD_OVERRIDE=FQ","FILING_STATUS=MR","SCALING_FORMAT=MLN","Sort=A","Dates=H","DateFormat=P","Fill=—","Direction=H","UseDPDF=Y")</f>
        <v>15.1</v>
      </c>
      <c r="M25" s="13">
        <f>_xll.BDH("NBIX US Equity","CF_CASH_FROM_FNC_ACT","FQ2 2021","FQ2 2021","Currency=USD","Period=FQ","BEST_FPERIOD_OVERRIDE=FQ","FILING_STATUS=MR","SCALING_FORMAT=MLN","Sort=A","Dates=H","DateFormat=P","Fill=—","Direction=H","UseDPDF=Y")</f>
        <v>3</v>
      </c>
      <c r="N25" s="13">
        <f>_xll.BDH("NBIX US Equity","CF_CASH_FROM_FNC_ACT","FQ3 2021","FQ3 2021","Currency=USD","Period=FQ","BEST_FPERIOD_OVERRIDE=FQ","FILING_STATUS=MR","SCALING_FORMAT=MLN","Sort=A","Dates=H","DateFormat=P","Fill=—","Direction=H","UseDPDF=Y")</f>
        <v>7.5</v>
      </c>
      <c r="O25" s="13">
        <f>_xll.BDH("NBIX US Equity","CF_CASH_FROM_FNC_ACT","FQ4 2021","FQ4 2021","Currency=USD","Period=FQ","BEST_FPERIOD_OVERRIDE=FQ","FILING_STATUS=MR","SCALING_FORMAT=MLN","Sort=A","Dates=H","DateFormat=P","Fill=—","Direction=H","UseDPDF=Y")</f>
        <v>1.8</v>
      </c>
      <c r="P25" s="13">
        <f>_xll.BDH("NBIX US Equity","CF_CASH_FROM_FNC_ACT","FQ1 2022","FQ1 2022","Currency=USD","Period=FQ","BEST_FPERIOD_OVERRIDE=FQ","FILING_STATUS=MR","SCALING_FORMAT=MLN","Sort=A","Dates=H","DateFormat=P","Fill=—","Direction=H","UseDPDF=Y")</f>
        <v>6.1</v>
      </c>
      <c r="Q25" s="13">
        <f>_xll.BDH("NBIX US Equity","CF_CASH_FROM_FNC_ACT","FQ2 2022","FQ2 2022","Currency=USD","Period=FQ","BEST_FPERIOD_OVERRIDE=FQ","FILING_STATUS=MR","SCALING_FORMAT=MLN","Sort=A","Dates=H","DateFormat=P","Fill=—","Direction=H","UseDPDF=Y")</f>
        <v>-276.39999999999998</v>
      </c>
      <c r="R25" s="13">
        <f>_xll.BDH("NBIX US Equity","CF_CASH_FROM_FNC_ACT","FQ3 2022","FQ3 2022","Currency=USD","Period=FQ","BEST_FPERIOD_OVERRIDE=FQ","FILING_STATUS=MR","SCALING_FORMAT=MLN","Sort=A","Dates=H","DateFormat=P","Fill=—","Direction=H","UseDPDF=Y")</f>
        <v>11.4</v>
      </c>
      <c r="S25" s="13">
        <f>_xll.BDH("NBIX US Equity","CF_CASH_FROM_FNC_ACT","FQ4 2022","FQ4 2022","Currency=USD","Period=FQ","BEST_FPERIOD_OVERRIDE=FQ","FILING_STATUS=MR","SCALING_FORMAT=MLN","Sort=A","Dates=H","DateFormat=P","Fill=—","Direction=H","UseDPDF=Y")</f>
        <v>23.3</v>
      </c>
      <c r="T25" s="13">
        <f>_xll.BDH("NBIX US Equity","CF_CASH_FROM_FNC_ACT","FQ1 2023","FQ1 2023","Currency=USD","Period=FQ","BEST_FPERIOD_OVERRIDE=FQ","FILING_STATUS=MR","SCALING_FORMAT=MLN","Sort=A","Dates=H","DateFormat=P","Fill=—","Direction=H","UseDPDF=Y")</f>
        <v>8.1999999999999993</v>
      </c>
      <c r="U25" s="13">
        <f>_xll.BDH("NBIX US Equity","CF_CASH_FROM_FNC_ACT","FQ2 2023","FQ2 2023","Currency=USD","Period=FQ","BEST_FPERIOD_OVERRIDE=FQ","FILING_STATUS=MR","SCALING_FORMAT=MLN","Sort=A","Dates=H","DateFormat=P","Fill=—","Direction=H","UseDPDF=Y")</f>
        <v>2.9</v>
      </c>
      <c r="V25" s="13">
        <f>_xll.BDH("NBIX US Equity","CF_CASH_FROM_FNC_ACT","FQ3 2023","FQ3 2023","Currency=USD","Period=FQ","BEST_FPERIOD_OVERRIDE=FQ","FILING_STATUS=MR","SCALING_FORMAT=MLN","Sort=A","Dates=H","DateFormat=P","Fill=—","Direction=H","UseDPDF=Y")</f>
        <v>18.8</v>
      </c>
      <c r="W25" s="13">
        <f>_xll.BDH("NBIX US Equity","CF_CASH_FROM_FNC_ACT","FQ4 2023","FQ4 2023","Currency=USD","Period=FQ","BEST_FPERIOD_OVERRIDE=FQ","FILING_STATUS=MR","SCALING_FORMAT=MLN","Sort=A","Dates=H","DateFormat=P","Fill=—","Direction=H","UseDPDF=Y")</f>
        <v>35.700000000000003</v>
      </c>
      <c r="X25" s="13">
        <f>_xll.BDH("NBIX US Equity","CF_CASH_FROM_FNC_ACT","FQ1 2024","FQ1 2024","Currency=USD","Period=FQ","BEST_FPERIOD_OVERRIDE=FQ","FILING_STATUS=MR","SCALING_FORMAT=MLN","Sort=A","Dates=H","DateFormat=P","Fill=—","Direction=H","UseDPDF=Y")</f>
        <v>69.900000000000006</v>
      </c>
      <c r="Y25" s="13">
        <f>_xll.BDH("NBIX US Equity","CF_CASH_FROM_FNC_ACT","FQ2 2024","FQ2 2024","Currency=USD","Period=FQ","BEST_FPERIOD_OVERRIDE=FQ","FILING_STATUS=MR","SCALING_FORMAT=MLN","Sort=A","Dates=H","DateFormat=P","Fill=—","Direction=H","UseDPDF=Y")</f>
        <v>-293</v>
      </c>
      <c r="Z25" s="13">
        <f>_xll.BDH("NBIX US Equity","CF_CASH_FROM_FNC_ACT","FQ3 2024","FQ3 2024","Currency=USD","Period=FQ","BEST_FPERIOD_OVERRIDE=FQ","FILING_STATUS=MR","SCALING_FORMAT=MLN","Sort=A","Dates=H","DateFormat=P","Fill=—","Direction=H","UseDPDF=Y")</f>
        <v>26.7</v>
      </c>
      <c r="AA25" s="13">
        <f>_xll.BDH("NBIX US Equity","CF_CASH_FROM_FNC_ACT","FQ4 2024","FQ4 2024","Currency=USD","Period=FQ","BEST_FPERIOD_OVERRIDE=FQ","FILING_STATUS=MR","SCALING_FORMAT=MLN","Sort=A","Dates=H","DateFormat=P","Fill=—","Direction=H","UseDPDF=Y")</f>
        <v>-290.3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665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1080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1081</v>
      </c>
      <c r="B7" s="10" t="s">
        <v>1082</v>
      </c>
      <c r="C7" s="13">
        <f>_xll.BDH("NBIX US Equity","CF_NET_INC","FQ4 2018","FQ4 2018","Currency=USD","Period=FQ","BEST_FPERIOD_OVERRIDE=FQ","FILING_STATUS=MR","SCALING_FORMAT=MLN","Sort=A","Dates=H","DateFormat=P","Fill=—","Direction=H","UseDPDF=Y")</f>
        <v>18.077999999999999</v>
      </c>
      <c r="D7" s="13">
        <f>_xll.BDH("NBIX US Equity","CF_NET_INC","FQ1 2019","FQ1 2019","Currency=USD","Period=FQ","BEST_FPERIOD_OVERRIDE=FQ","FILING_STATUS=MR","SCALING_FORMAT=MLN","Sort=A","Dates=H","DateFormat=P","Fill=—","Direction=H","UseDPDF=Y")</f>
        <v>-102.11499999999999</v>
      </c>
      <c r="E7" s="13">
        <f>_xll.BDH("NBIX US Equity","CF_NET_INC","FQ2 2019","FQ2 2019","Currency=USD","Period=FQ","BEST_FPERIOD_OVERRIDE=FQ","FILING_STATUS=MR","SCALING_FORMAT=MLN","Sort=A","Dates=H","DateFormat=P","Fill=—","Direction=H","UseDPDF=Y")</f>
        <v>51.338000000000001</v>
      </c>
      <c r="F7" s="13">
        <f>_xll.BDH("NBIX US Equity","CF_NET_INC","FQ3 2019","FQ3 2019","Currency=USD","Period=FQ","BEST_FPERIOD_OVERRIDE=FQ","FILING_STATUS=MR","SCALING_FORMAT=MLN","Sort=A","Dates=H","DateFormat=P","Fill=—","Direction=H","UseDPDF=Y")</f>
        <v>53.789000000000001</v>
      </c>
      <c r="G7" s="13">
        <f>_xll.BDH("NBIX US Equity","CF_NET_INC","FQ4 2019","FQ4 2019","Currency=USD","Period=FQ","BEST_FPERIOD_OVERRIDE=FQ","FILING_STATUS=MR","SCALING_FORMAT=MLN","Sort=A","Dates=H","DateFormat=P","Fill=—","Direction=H","UseDPDF=Y")</f>
        <v>33.988</v>
      </c>
      <c r="H7" s="13">
        <f>_xll.BDH("NBIX US Equity","CF_NET_INC","FQ1 2020","FQ1 2020","Currency=USD","Period=FQ","BEST_FPERIOD_OVERRIDE=FQ","FILING_STATUS=MR","SCALING_FORMAT=MLN","Sort=A","Dates=H","DateFormat=P","Fill=—","Direction=H","UseDPDF=Y")</f>
        <v>37.4</v>
      </c>
      <c r="I7" s="13">
        <f>_xll.BDH("NBIX US Equity","CF_NET_INC","FQ2 2020","FQ2 2020","Currency=USD","Period=FQ","BEST_FPERIOD_OVERRIDE=FQ","FILING_STATUS=MR","SCALING_FORMAT=MLN","Sort=A","Dates=H","DateFormat=P","Fill=—","Direction=H","UseDPDF=Y")</f>
        <v>79.599999999999994</v>
      </c>
      <c r="J7" s="13">
        <f>_xll.BDH("NBIX US Equity","CF_NET_INC","FQ3 2020","FQ3 2020","Currency=USD","Period=FQ","BEST_FPERIOD_OVERRIDE=FQ","FILING_STATUS=MR","SCALING_FORMAT=MLN","Sort=A","Dates=H","DateFormat=P","Fill=—","Direction=H","UseDPDF=Y")</f>
        <v>-57.6</v>
      </c>
      <c r="K7" s="13">
        <f>_xll.BDH("NBIX US Equity","CF_NET_INC","FQ4 2020","FQ4 2020","Currency=USD","Period=FQ","BEST_FPERIOD_OVERRIDE=FQ","FILING_STATUS=MR","SCALING_FORMAT=MLN","Sort=A","Dates=H","DateFormat=P","Fill=—","Direction=H","UseDPDF=Y")</f>
        <v>347.9</v>
      </c>
      <c r="L7" s="13">
        <f>_xll.BDH("NBIX US Equity","CF_NET_INC","FQ1 2021","FQ1 2021","Currency=USD","Period=FQ","BEST_FPERIOD_OVERRIDE=FQ","FILING_STATUS=MR","SCALING_FORMAT=MLN","Sort=A","Dates=H","DateFormat=P","Fill=—","Direction=H","UseDPDF=Y")</f>
        <v>32.1</v>
      </c>
      <c r="M7" s="13">
        <f>_xll.BDH("NBIX US Equity","CF_NET_INC","FQ2 2021","FQ2 2021","Currency=USD","Period=FQ","BEST_FPERIOD_OVERRIDE=FQ","FILING_STATUS=MR","SCALING_FORMAT=MLN","Sort=A","Dates=H","DateFormat=P","Fill=—","Direction=H","UseDPDF=Y")</f>
        <v>42.3</v>
      </c>
      <c r="N7" s="13">
        <f>_xll.BDH("NBIX US Equity","CF_NET_INC","FQ3 2021","FQ3 2021","Currency=USD","Period=FQ","BEST_FPERIOD_OVERRIDE=FQ","FILING_STATUS=MR","SCALING_FORMAT=MLN","Sort=A","Dates=H","DateFormat=P","Fill=—","Direction=H","UseDPDF=Y")</f>
        <v>22.5</v>
      </c>
      <c r="O7" s="13">
        <f>_xll.BDH("NBIX US Equity","CF_NET_INC","FQ4 2021","FQ4 2021","Currency=USD","Period=FQ","BEST_FPERIOD_OVERRIDE=FQ","FILING_STATUS=MR","SCALING_FORMAT=MLN","Sort=A","Dates=H","DateFormat=P","Fill=—","Direction=H","UseDPDF=Y")</f>
        <v>-7.3</v>
      </c>
      <c r="P7" s="13">
        <f>_xll.BDH("NBIX US Equity","CF_NET_INC","FQ1 2022","FQ1 2022","Currency=USD","Period=FQ","BEST_FPERIOD_OVERRIDE=FQ","FILING_STATUS=MR","SCALING_FORMAT=MLN","Sort=A","Dates=H","DateFormat=P","Fill=—","Direction=H","UseDPDF=Y")</f>
        <v>13.9</v>
      </c>
      <c r="Q7" s="13">
        <f>_xll.BDH("NBIX US Equity","CF_NET_INC","FQ2 2022","FQ2 2022","Currency=USD","Period=FQ","BEST_FPERIOD_OVERRIDE=FQ","FILING_STATUS=MR","SCALING_FORMAT=MLN","Sort=A","Dates=H","DateFormat=P","Fill=—","Direction=H","UseDPDF=Y")</f>
        <v>-16.899999999999999</v>
      </c>
      <c r="R7" s="13">
        <f>_xll.BDH("NBIX US Equity","CF_NET_INC","FQ3 2022","FQ3 2022","Currency=USD","Period=FQ","BEST_FPERIOD_OVERRIDE=FQ","FILING_STATUS=MR","SCALING_FORMAT=MLN","Sort=A","Dates=H","DateFormat=P","Fill=—","Direction=H","UseDPDF=Y")</f>
        <v>68.5</v>
      </c>
      <c r="S7" s="13">
        <f>_xll.BDH("NBIX US Equity","CF_NET_INC","FQ4 2022","FQ4 2022","Currency=USD","Period=FQ","BEST_FPERIOD_OVERRIDE=FQ","FILING_STATUS=MR","SCALING_FORMAT=MLN","Sort=A","Dates=H","DateFormat=P","Fill=—","Direction=H","UseDPDF=Y")</f>
        <v>89</v>
      </c>
      <c r="T7" s="13">
        <f>_xll.BDH("NBIX US Equity","CF_NET_INC","FQ1 2023","FQ1 2023","Currency=USD","Period=FQ","BEST_FPERIOD_OVERRIDE=FQ","FILING_STATUS=MR","SCALING_FORMAT=MLN","Sort=A","Dates=H","DateFormat=P","Fill=—","Direction=H","UseDPDF=Y")</f>
        <v>-76.599999999999994</v>
      </c>
      <c r="U7" s="13">
        <f>_xll.BDH("NBIX US Equity","CF_NET_INC","FQ2 2023","FQ2 2023","Currency=USD","Period=FQ","BEST_FPERIOD_OVERRIDE=FQ","FILING_STATUS=MR","SCALING_FORMAT=MLN","Sort=A","Dates=H","DateFormat=P","Fill=—","Direction=H","UseDPDF=Y")</f>
        <v>95.5</v>
      </c>
      <c r="V7" s="13">
        <f>_xll.BDH("NBIX US Equity","CF_NET_INC","FQ3 2023","FQ3 2023","Currency=USD","Period=FQ","BEST_FPERIOD_OVERRIDE=FQ","FILING_STATUS=MR","SCALING_FORMAT=MLN","Sort=A","Dates=H","DateFormat=P","Fill=—","Direction=H","UseDPDF=Y")</f>
        <v>83.1</v>
      </c>
      <c r="W7" s="13">
        <f>_xll.BDH("NBIX US Equity","CF_NET_INC","FQ4 2023","FQ4 2023","Currency=USD","Period=FQ","BEST_FPERIOD_OVERRIDE=FQ","FILING_STATUS=MR","SCALING_FORMAT=MLN","Sort=A","Dates=H","DateFormat=P","Fill=—","Direction=H","UseDPDF=Y")</f>
        <v>147.69999999999999</v>
      </c>
      <c r="X7" s="13">
        <f>_xll.BDH("NBIX US Equity","CF_NET_INC","FQ1 2024","FQ1 2024","Currency=USD","Period=FQ","BEST_FPERIOD_OVERRIDE=FQ","FILING_STATUS=MR","SCALING_FORMAT=MLN","Sort=A","Dates=H","DateFormat=P","Fill=—","Direction=H","UseDPDF=Y")</f>
        <v>43.4</v>
      </c>
      <c r="Y7" s="13">
        <f>_xll.BDH("NBIX US Equity","CF_NET_INC","FQ2 2024","FQ2 2024","Currency=USD","Period=FQ","BEST_FPERIOD_OVERRIDE=FQ","FILING_STATUS=MR","SCALING_FORMAT=MLN","Sort=A","Dates=H","DateFormat=P","Fill=—","Direction=H","UseDPDF=Y")</f>
        <v>65</v>
      </c>
      <c r="Z7" s="13">
        <f>_xll.BDH("NBIX US Equity","CF_NET_INC","FQ3 2024","FQ3 2024","Currency=USD","Period=FQ","BEST_FPERIOD_OVERRIDE=FQ","FILING_STATUS=MR","SCALING_FORMAT=MLN","Sort=A","Dates=H","DateFormat=P","Fill=—","Direction=H","UseDPDF=Y")</f>
        <v>129.80000000000001</v>
      </c>
      <c r="AA7" s="13">
        <f>_xll.BDH("NBIX US Equity","CF_NET_INC","FQ4 2024","FQ4 2024","Currency=USD","Period=FQ","BEST_FPERIOD_OVERRIDE=FQ","FILING_STATUS=MR","SCALING_FORMAT=MLN","Sort=A","Dates=H","DateFormat=P","Fill=—","Direction=H","UseDPDF=Y")</f>
        <v>103.1</v>
      </c>
    </row>
    <row r="8" spans="1:27" x14ac:dyDescent="0.25">
      <c r="A8" s="10" t="s">
        <v>582</v>
      </c>
      <c r="B8" s="10" t="s">
        <v>1083</v>
      </c>
      <c r="C8" s="13">
        <f>_xll.BDH("NBIX US Equity","CF_DEPR_AMORT","FQ4 2018","FQ4 2018","Currency=USD","Period=FQ","BEST_FPERIOD_OVERRIDE=FQ","FILING_STATUS=MR","SCALING_FORMAT=MLN","Sort=A","Dates=H","DateFormat=P","Fill=—","Direction=H","UseDPDF=Y")</f>
        <v>1.2749999999999999</v>
      </c>
      <c r="D8" s="13">
        <f>_xll.BDH("NBIX US Equity","CF_DEPR_AMORT","FQ1 2019","FQ1 2019","Currency=USD","Period=FQ","BEST_FPERIOD_OVERRIDE=FQ","FILING_STATUS=MR","SCALING_FORMAT=MLN","Sort=A","Dates=H","DateFormat=P","Fill=—","Direction=H","UseDPDF=Y")</f>
        <v>1.5660000000000001</v>
      </c>
      <c r="E8" s="13">
        <f>_xll.BDH("NBIX US Equity","CF_DEPR_AMORT","FQ2 2019","FQ2 2019","Currency=USD","Period=FQ","BEST_FPERIOD_OVERRIDE=FQ","FILING_STATUS=MR","SCALING_FORMAT=MLN","Sort=A","Dates=H","DateFormat=P","Fill=—","Direction=H","UseDPDF=Y")</f>
        <v>1.786</v>
      </c>
      <c r="F8" s="13">
        <f>_xll.BDH("NBIX US Equity","CF_DEPR_AMORT","FQ3 2019","FQ3 2019","Currency=USD","Period=FQ","BEST_FPERIOD_OVERRIDE=FQ","FILING_STATUS=MR","SCALING_FORMAT=MLN","Sort=A","Dates=H","DateFormat=P","Fill=—","Direction=H","UseDPDF=Y")</f>
        <v>2.0089999999999999</v>
      </c>
      <c r="G8" s="13">
        <f>_xll.BDH("NBIX US Equity","CF_DEPR_AMORT","FQ4 2019","FQ4 2019","Currency=USD","Period=FQ","BEST_FPERIOD_OVERRIDE=FQ","FILING_STATUS=MR","SCALING_FORMAT=MLN","Sort=A","Dates=H","DateFormat=P","Fill=—","Direction=H","UseDPDF=Y")</f>
        <v>2.0390000000000001</v>
      </c>
      <c r="H8" s="13">
        <f>_xll.BDH("NBIX US Equity","CF_DEPR_AMORT","FQ1 2020","FQ1 2020","Currency=USD","Period=FQ","BEST_FPERIOD_OVERRIDE=FQ","FILING_STATUS=MR","SCALING_FORMAT=MLN","Sort=A","Dates=H","DateFormat=P","Fill=—","Direction=H","UseDPDF=Y")</f>
        <v>2.1</v>
      </c>
      <c r="I8" s="13">
        <f>_xll.BDH("NBIX US Equity","CF_DEPR_AMORT","FQ2 2020","FQ2 2020","Currency=USD","Period=FQ","BEST_FPERIOD_OVERRIDE=FQ","FILING_STATUS=MR","SCALING_FORMAT=MLN","Sort=A","Dates=H","DateFormat=P","Fill=—","Direction=H","UseDPDF=Y")</f>
        <v>2.1</v>
      </c>
      <c r="J8" s="13">
        <f>_xll.BDH("NBIX US Equity","CF_DEPR_AMORT","FQ3 2020","FQ3 2020","Currency=USD","Period=FQ","BEST_FPERIOD_OVERRIDE=FQ","FILING_STATUS=MR","SCALING_FORMAT=MLN","Sort=A","Dates=H","DateFormat=P","Fill=—","Direction=H","UseDPDF=Y")</f>
        <v>2.2000000000000002</v>
      </c>
      <c r="K8" s="13">
        <f>_xll.BDH("NBIX US Equity","CF_DEPR_AMORT","FQ4 2020","FQ4 2020","Currency=USD","Period=FQ","BEST_FPERIOD_OVERRIDE=FQ","FILING_STATUS=MR","SCALING_FORMAT=MLN","Sort=A","Dates=H","DateFormat=P","Fill=—","Direction=H","UseDPDF=Y")</f>
        <v>2.2000000000000002</v>
      </c>
      <c r="L8" s="13">
        <f>_xll.BDH("NBIX US Equity","CF_DEPR_AMORT","FQ1 2021","FQ1 2021","Currency=USD","Period=FQ","BEST_FPERIOD_OVERRIDE=FQ","FILING_STATUS=MR","SCALING_FORMAT=MLN","Sort=A","Dates=H","DateFormat=P","Fill=—","Direction=H","UseDPDF=Y")</f>
        <v>2.5</v>
      </c>
      <c r="M8" s="13">
        <f>_xll.BDH("NBIX US Equity","CF_DEPR_AMORT","FQ2 2021","FQ2 2021","Currency=USD","Period=FQ","BEST_FPERIOD_OVERRIDE=FQ","FILING_STATUS=MR","SCALING_FORMAT=MLN","Sort=A","Dates=H","DateFormat=P","Fill=—","Direction=H","UseDPDF=Y")</f>
        <v>2.6</v>
      </c>
      <c r="N8" s="13">
        <f>_xll.BDH("NBIX US Equity","CF_DEPR_AMORT","FQ3 2021","FQ3 2021","Currency=USD","Period=FQ","BEST_FPERIOD_OVERRIDE=FQ","FILING_STATUS=MR","SCALING_FORMAT=MLN","Sort=A","Dates=H","DateFormat=P","Fill=—","Direction=H","UseDPDF=Y")</f>
        <v>2.8</v>
      </c>
      <c r="O8" s="13">
        <f>_xll.BDH("NBIX US Equity","CF_DEPR_AMORT","FQ4 2021","FQ4 2021","Currency=USD","Period=FQ","BEST_FPERIOD_OVERRIDE=FQ","FILING_STATUS=MR","SCALING_FORMAT=MLN","Sort=A","Dates=H","DateFormat=P","Fill=—","Direction=H","UseDPDF=Y")</f>
        <v>3</v>
      </c>
      <c r="P8" s="13">
        <f>_xll.BDH("NBIX US Equity","CF_DEPR_AMORT","FQ1 2022","FQ1 2022","Currency=USD","Period=FQ","BEST_FPERIOD_OVERRIDE=FQ","FILING_STATUS=MR","SCALING_FORMAT=MLN","Sort=A","Dates=H","DateFormat=P","Fill=—","Direction=H","UseDPDF=Y")</f>
        <v>3.3</v>
      </c>
      <c r="Q8" s="13">
        <f>_xll.BDH("NBIX US Equity","CF_DEPR_AMORT","FQ2 2022","FQ2 2022","Currency=USD","Period=FQ","BEST_FPERIOD_OVERRIDE=FQ","FILING_STATUS=MR","SCALING_FORMAT=MLN","Sort=A","Dates=H","DateFormat=P","Fill=—","Direction=H","UseDPDF=Y")</f>
        <v>3.9</v>
      </c>
      <c r="R8" s="13">
        <f>_xll.BDH("NBIX US Equity","CF_DEPR_AMORT","FQ3 2022","FQ3 2022","Currency=USD","Period=FQ","BEST_FPERIOD_OVERRIDE=FQ","FILING_STATUS=MR","SCALING_FORMAT=MLN","Sort=A","Dates=H","DateFormat=P","Fill=—","Direction=H","UseDPDF=Y")</f>
        <v>4</v>
      </c>
      <c r="S8" s="13">
        <f>_xll.BDH("NBIX US Equity","CF_DEPR_AMORT","FQ4 2022","FQ4 2022","Currency=USD","Period=FQ","BEST_FPERIOD_OVERRIDE=FQ","FILING_STATUS=MR","SCALING_FORMAT=MLN","Sort=A","Dates=H","DateFormat=P","Fill=—","Direction=H","UseDPDF=Y")</f>
        <v>4.4000000000000004</v>
      </c>
      <c r="T8" s="13">
        <f>_xll.BDH("NBIX US Equity","CF_DEPR_AMORT","FQ1 2023","FQ1 2023","Currency=USD","Period=FQ","BEST_FPERIOD_OVERRIDE=FQ","FILING_STATUS=MR","SCALING_FORMAT=MLN","Sort=A","Dates=H","DateFormat=P","Fill=—","Direction=H","UseDPDF=Y")</f>
        <v>5</v>
      </c>
      <c r="U8" s="13">
        <f>_xll.BDH("NBIX US Equity","CF_DEPR_AMORT","FQ2 2023","FQ2 2023","Currency=USD","Period=FQ","BEST_FPERIOD_OVERRIDE=FQ","FILING_STATUS=MR","SCALING_FORMAT=MLN","Sort=A","Dates=H","DateFormat=P","Fill=—","Direction=H","UseDPDF=Y")</f>
        <v>5.0999999999999996</v>
      </c>
      <c r="V8" s="13">
        <f>_xll.BDH("NBIX US Equity","CF_DEPR_AMORT","FQ3 2023","FQ3 2023","Currency=USD","Period=FQ","BEST_FPERIOD_OVERRIDE=FQ","FILING_STATUS=MR","SCALING_FORMAT=MLN","Sort=A","Dates=H","DateFormat=P","Fill=—","Direction=H","UseDPDF=Y")</f>
        <v>5.5</v>
      </c>
      <c r="W8" s="13">
        <f>_xll.BDH("NBIX US Equity","CF_DEPR_AMORT","FQ4 2023","FQ4 2023","Currency=USD","Period=FQ","BEST_FPERIOD_OVERRIDE=FQ","FILING_STATUS=MR","SCALING_FORMAT=MLN","Sort=A","Dates=H","DateFormat=P","Fill=—","Direction=H","UseDPDF=Y")</f>
        <v>5.7</v>
      </c>
      <c r="X8" s="13">
        <f>_xll.BDH("NBIX US Equity","CF_DEPR_AMORT","FQ1 2024","FQ1 2024","Currency=USD","Period=FQ","BEST_FPERIOD_OVERRIDE=FQ","FILING_STATUS=MR","SCALING_FORMAT=MLN","Sort=A","Dates=H","DateFormat=P","Fill=—","Direction=H","UseDPDF=Y")</f>
        <v>6.2</v>
      </c>
      <c r="Y8" s="13">
        <f>_xll.BDH("NBIX US Equity","CF_DEPR_AMORT","FQ2 2024","FQ2 2024","Currency=USD","Period=FQ","BEST_FPERIOD_OVERRIDE=FQ","FILING_STATUS=MR","SCALING_FORMAT=MLN","Sort=A","Dates=H","DateFormat=P","Fill=—","Direction=H","UseDPDF=Y")</f>
        <v>7.3</v>
      </c>
      <c r="Z8" s="13">
        <f>_xll.BDH("NBIX US Equity","CF_DEPR_AMORT","FQ3 2024","FQ3 2024","Currency=USD","Period=FQ","BEST_FPERIOD_OVERRIDE=FQ","FILING_STATUS=MR","SCALING_FORMAT=MLN","Sort=A","Dates=H","DateFormat=P","Fill=—","Direction=H","UseDPDF=Y")</f>
        <v>6.5</v>
      </c>
      <c r="AA8" s="13">
        <f>_xll.BDH("NBIX US Equity","CF_DEPR_AMORT","FQ4 2024","FQ4 2024","Currency=USD","Period=FQ","BEST_FPERIOD_OVERRIDE=FQ","FILING_STATUS=MR","SCALING_FORMAT=MLN","Sort=A","Dates=H","DateFormat=P","Fill=—","Direction=H","UseDPDF=Y")</f>
        <v>7.1</v>
      </c>
    </row>
    <row r="9" spans="1:27" x14ac:dyDescent="0.25">
      <c r="A9" s="10" t="s">
        <v>1084</v>
      </c>
      <c r="B9" s="10" t="s">
        <v>1085</v>
      </c>
      <c r="C9" s="13">
        <f>_xll.BDH("NBIX US Equity","NON_CASH_ITEMS_DETAILED","FQ4 2018","FQ4 2018","Currency=USD","Period=FQ","BEST_FPERIOD_OVERRIDE=FQ","FILING_STATUS=MR","SCALING_FORMAT=MLN","Sort=A","Dates=H","DateFormat=P","Fill=—","Direction=H","UseDPDF=Y")</f>
        <v>23.071000000000002</v>
      </c>
      <c r="D9" s="13">
        <f>_xll.BDH("NBIX US Equity","NON_CASH_ITEMS_DETAILED","FQ1 2019","FQ1 2019","Currency=USD","Period=FQ","BEST_FPERIOD_OVERRIDE=FQ","FILING_STATUS=MR","SCALING_FORMAT=MLN","Sort=A","Dates=H","DateFormat=P","Fill=—","Direction=H","UseDPDF=Y")</f>
        <v>24.212</v>
      </c>
      <c r="E9" s="13">
        <f>_xll.BDH("NBIX US Equity","NON_CASH_ITEMS_DETAILED","FQ2 2019","FQ2 2019","Currency=USD","Period=FQ","BEST_FPERIOD_OVERRIDE=FQ","FILING_STATUS=MR","SCALING_FORMAT=MLN","Sort=A","Dates=H","DateFormat=P","Fill=—","Direction=H","UseDPDF=Y")</f>
        <v>7.4020000000000001</v>
      </c>
      <c r="F9" s="13">
        <f>_xll.BDH("NBIX US Equity","NON_CASH_ITEMS_DETAILED","FQ3 2019","FQ3 2019","Currency=USD","Period=FQ","BEST_FPERIOD_OVERRIDE=FQ","FILING_STATUS=MR","SCALING_FORMAT=MLN","Sort=A","Dates=H","DateFormat=P","Fill=—","Direction=H","UseDPDF=Y")</f>
        <v>57.195999999999998</v>
      </c>
      <c r="G9" s="13">
        <f>_xll.BDH("NBIX US Equity","NON_CASH_ITEMS_DETAILED","FQ4 2019","FQ4 2019","Currency=USD","Period=FQ","BEST_FPERIOD_OVERRIDE=FQ","FILING_STATUS=MR","SCALING_FORMAT=MLN","Sort=A","Dates=H","DateFormat=P","Fill=—","Direction=H","UseDPDF=Y")</f>
        <v>18.59</v>
      </c>
      <c r="H9" s="13">
        <f>_xll.BDH("NBIX US Equity","NON_CASH_ITEMS_DETAILED","FQ1 2020","FQ1 2020","Currency=USD","Period=FQ","BEST_FPERIOD_OVERRIDE=FQ","FILING_STATUS=MR","SCALING_FORMAT=MLN","Sort=A","Dates=H","DateFormat=P","Fill=—","Direction=H","UseDPDF=Y")</f>
        <v>38.200000000000003</v>
      </c>
      <c r="I9" s="13">
        <f>_xll.BDH("NBIX US Equity","NON_CASH_ITEMS_DETAILED","FQ2 2020","FQ2 2020","Currency=USD","Period=FQ","BEST_FPERIOD_OVERRIDE=FQ","FILING_STATUS=MR","SCALING_FORMAT=MLN","Sort=A","Dates=H","DateFormat=P","Fill=—","Direction=H","UseDPDF=Y")</f>
        <v>26.6</v>
      </c>
      <c r="J9" s="13">
        <f>_xll.BDH("NBIX US Equity","NON_CASH_ITEMS_DETAILED","FQ3 2020","FQ3 2020","Currency=USD","Period=FQ","BEST_FPERIOD_OVERRIDE=FQ","FILING_STATUS=MR","SCALING_FORMAT=MLN","Sort=A","Dates=H","DateFormat=P","Fill=—","Direction=H","UseDPDF=Y")</f>
        <v>9</v>
      </c>
      <c r="K9" s="13">
        <f>_xll.BDH("NBIX US Equity","NON_CASH_ITEMS_DETAILED","FQ4 2020","FQ4 2020","Currency=USD","Period=FQ","BEST_FPERIOD_OVERRIDE=FQ","FILING_STATUS=MR","SCALING_FORMAT=MLN","Sort=A","Dates=H","DateFormat=P","Fill=—","Direction=H","UseDPDF=Y")</f>
        <v>-223.3</v>
      </c>
      <c r="L9" s="13">
        <f>_xll.BDH("NBIX US Equity","NON_CASH_ITEMS_DETAILED","FQ1 2021","FQ1 2021","Currency=USD","Period=FQ","BEST_FPERIOD_OVERRIDE=FQ","FILING_STATUS=MR","SCALING_FORMAT=MLN","Sort=A","Dates=H","DateFormat=P","Fill=—","Direction=H","UseDPDF=Y")</f>
        <v>34.5</v>
      </c>
      <c r="M9" s="13">
        <f>_xll.BDH("NBIX US Equity","NON_CASH_ITEMS_DETAILED","FQ2 2021","FQ2 2021","Currency=USD","Period=FQ","BEST_FPERIOD_OVERRIDE=FQ","FILING_STATUS=MR","SCALING_FORMAT=MLN","Sort=A","Dates=H","DateFormat=P","Fill=—","Direction=H","UseDPDF=Y")</f>
        <v>49.2</v>
      </c>
      <c r="N9" s="13">
        <f>_xll.BDH("NBIX US Equity","NON_CASH_ITEMS_DETAILED","FQ3 2021","FQ3 2021","Currency=USD","Period=FQ","BEST_FPERIOD_OVERRIDE=FQ","FILING_STATUS=MR","SCALING_FORMAT=MLN","Sort=A","Dates=H","DateFormat=P","Fill=—","Direction=H","UseDPDF=Y")</f>
        <v>30.3</v>
      </c>
      <c r="O9" s="13">
        <f>_xll.BDH("NBIX US Equity","NON_CASH_ITEMS_DETAILED","FQ4 2021","FQ4 2021","Currency=USD","Period=FQ","BEST_FPERIOD_OVERRIDE=FQ","FILING_STATUS=MR","SCALING_FORMAT=MLN","Sort=A","Dates=H","DateFormat=P","Fill=—","Direction=H","UseDPDF=Y")</f>
        <v>16.100000000000001</v>
      </c>
      <c r="P9" s="13">
        <f>_xll.BDH("NBIX US Equity","NON_CASH_ITEMS_DETAILED","FQ1 2022","FQ1 2022","Currency=USD","Period=FQ","BEST_FPERIOD_OVERRIDE=FQ","FILING_STATUS=MR","SCALING_FORMAT=MLN","Sort=A","Dates=H","DateFormat=P","Fill=—","Direction=H","UseDPDF=Y")</f>
        <v>7.3</v>
      </c>
      <c r="Q9" s="13">
        <f>_xll.BDH("NBIX US Equity","NON_CASH_ITEMS_DETAILED","FQ2 2022","FQ2 2022","Currency=USD","Period=FQ","BEST_FPERIOD_OVERRIDE=FQ","FILING_STATUS=MR","SCALING_FORMAT=MLN","Sort=A","Dates=H","DateFormat=P","Fill=—","Direction=H","UseDPDF=Y")</f>
        <v>134.19999999999999</v>
      </c>
      <c r="R9" s="13">
        <f>_xll.BDH("NBIX US Equity","NON_CASH_ITEMS_DETAILED","FQ3 2022","FQ3 2022","Currency=USD","Period=FQ","BEST_FPERIOD_OVERRIDE=FQ","FILING_STATUS=MR","SCALING_FORMAT=MLN","Sort=A","Dates=H","DateFormat=P","Fill=—","Direction=H","UseDPDF=Y")</f>
        <v>23.4</v>
      </c>
      <c r="S9" s="13">
        <f>_xll.BDH("NBIX US Equity","NON_CASH_ITEMS_DETAILED","FQ4 2022","FQ4 2022","Currency=USD","Period=FQ","BEST_FPERIOD_OVERRIDE=FQ","FILING_STATUS=MR","SCALING_FORMAT=MLN","Sort=A","Dates=H","DateFormat=P","Fill=—","Direction=H","UseDPDF=Y")</f>
        <v>54.6</v>
      </c>
      <c r="T9" s="13">
        <f>_xll.BDH("NBIX US Equity","NON_CASH_ITEMS_DETAILED","FQ1 2023","FQ1 2023","Currency=USD","Period=FQ","BEST_FPERIOD_OVERRIDE=FQ","FILING_STATUS=MR","SCALING_FORMAT=MLN","Sort=A","Dates=H","DateFormat=P","Fill=—","Direction=H","UseDPDF=Y")</f>
        <v>-20.399999999999999</v>
      </c>
      <c r="U9" s="13">
        <f>_xll.BDH("NBIX US Equity","NON_CASH_ITEMS_DETAILED","FQ2 2023","FQ2 2023","Currency=USD","Period=FQ","BEST_FPERIOD_OVERRIDE=FQ","FILING_STATUS=MR","SCALING_FORMAT=MLN","Sort=A","Dates=H","DateFormat=P","Fill=—","Direction=H","UseDPDF=Y")</f>
        <v>57</v>
      </c>
      <c r="V9" s="13">
        <f>_xll.BDH("NBIX US Equity","NON_CASH_ITEMS_DETAILED","FQ3 2023","FQ3 2023","Currency=USD","Period=FQ","BEST_FPERIOD_OVERRIDE=FQ","FILING_STATUS=MR","SCALING_FORMAT=MLN","Sort=A","Dates=H","DateFormat=P","Fill=—","Direction=H","UseDPDF=Y")</f>
        <v>26.5</v>
      </c>
      <c r="W9" s="13">
        <f>_xll.BDH("NBIX US Equity","NON_CASH_ITEMS_DETAILED","FQ4 2023","FQ4 2023","Currency=USD","Period=FQ","BEST_FPERIOD_OVERRIDE=FQ","FILING_STATUS=MR","SCALING_FORMAT=MLN","Sort=A","Dates=H","DateFormat=P","Fill=—","Direction=H","UseDPDF=Y")</f>
        <v>75.400000000000006</v>
      </c>
      <c r="X9" s="13">
        <f>_xll.BDH("NBIX US Equity","NON_CASH_ITEMS_DETAILED","FQ1 2024","FQ1 2024","Currency=USD","Period=FQ","BEST_FPERIOD_OVERRIDE=FQ","FILING_STATUS=MR","SCALING_FORMAT=MLN","Sort=A","Dates=H","DateFormat=P","Fill=—","Direction=H","UseDPDF=Y")</f>
        <v>109.5</v>
      </c>
      <c r="Y9" s="13">
        <f>_xll.BDH("NBIX US Equity","NON_CASH_ITEMS_DETAILED","FQ2 2024","FQ2 2024","Currency=USD","Period=FQ","BEST_FPERIOD_OVERRIDE=FQ","FILING_STATUS=MR","SCALING_FORMAT=MLN","Sort=A","Dates=H","DateFormat=P","Fill=—","Direction=H","UseDPDF=Y")</f>
        <v>74.7</v>
      </c>
      <c r="Z9" s="13">
        <f>_xll.BDH("NBIX US Equity","NON_CASH_ITEMS_DETAILED","FQ3 2024","FQ3 2024","Currency=USD","Period=FQ","BEST_FPERIOD_OVERRIDE=FQ","FILING_STATUS=MR","SCALING_FORMAT=MLN","Sort=A","Dates=H","DateFormat=P","Fill=—","Direction=H","UseDPDF=Y")</f>
        <v>-1.5</v>
      </c>
      <c r="AA9" s="13">
        <f>_xll.BDH("NBIX US Equity","NON_CASH_ITEMS_DETAILED","FQ4 2024","FQ4 2024","Currency=USD","Period=FQ","BEST_FPERIOD_OVERRIDE=FQ","FILING_STATUS=MR","SCALING_FORMAT=MLN","Sort=A","Dates=H","DateFormat=P","Fill=—","Direction=H","UseDPDF=Y")</f>
        <v>74.2</v>
      </c>
    </row>
    <row r="10" spans="1:27" x14ac:dyDescent="0.25">
      <c r="A10" s="10" t="s">
        <v>1086</v>
      </c>
      <c r="B10" s="10" t="s">
        <v>1087</v>
      </c>
      <c r="C10" s="13">
        <f>_xll.BDH("NBIX US Equity","CF_STOCK_BASED_COMPENSATION","FQ4 2018","FQ4 2018","Currency=USD","Period=FQ","BEST_FPERIOD_OVERRIDE=FQ","FILING_STATUS=MR","SCALING_FORMAT=MLN","Sort=A","Dates=H","DateFormat=P","Fill=—","Direction=H","UseDPDF=Y")</f>
        <v>13.268000000000001</v>
      </c>
      <c r="D10" s="13">
        <f>_xll.BDH("NBIX US Equity","CF_STOCK_BASED_COMPENSATION","FQ1 2019","FQ1 2019","Currency=USD","Period=FQ","BEST_FPERIOD_OVERRIDE=FQ","FILING_STATUS=MR","SCALING_FORMAT=MLN","Sort=A","Dates=H","DateFormat=P","Fill=—","Direction=H","UseDPDF=Y")</f>
        <v>15.763999999999999</v>
      </c>
      <c r="E10" s="13">
        <f>_xll.BDH("NBIX US Equity","CF_STOCK_BASED_COMPENSATION","FQ2 2019","FQ2 2019","Currency=USD","Period=FQ","BEST_FPERIOD_OVERRIDE=FQ","FILING_STATUS=MR","SCALING_FORMAT=MLN","Sort=A","Dates=H","DateFormat=P","Fill=—","Direction=H","UseDPDF=Y")</f>
        <v>17.931000000000001</v>
      </c>
      <c r="F10" s="13">
        <f>_xll.BDH("NBIX US Equity","CF_STOCK_BASED_COMPENSATION","FQ3 2019","FQ3 2019","Currency=USD","Period=FQ","BEST_FPERIOD_OVERRIDE=FQ","FILING_STATUS=MR","SCALING_FORMAT=MLN","Sort=A","Dates=H","DateFormat=P","Fill=—","Direction=H","UseDPDF=Y")</f>
        <v>20.25</v>
      </c>
      <c r="G10" s="13">
        <f>_xll.BDH("NBIX US Equity","CF_STOCK_BASED_COMPENSATION","FQ4 2019","FQ4 2019","Currency=USD","Period=FQ","BEST_FPERIOD_OVERRIDE=FQ","FILING_STATUS=MR","SCALING_FORMAT=MLN","Sort=A","Dates=H","DateFormat=P","Fill=—","Direction=H","UseDPDF=Y")</f>
        <v>21.355</v>
      </c>
      <c r="H10" s="13">
        <f>_xll.BDH("NBIX US Equity","CF_STOCK_BASED_COMPENSATION","FQ1 2020","FQ1 2020","Currency=USD","Period=FQ","BEST_FPERIOD_OVERRIDE=FQ","FILING_STATUS=MR","SCALING_FORMAT=MLN","Sort=A","Dates=H","DateFormat=P","Fill=—","Direction=H","UseDPDF=Y")</f>
        <v>22.8</v>
      </c>
      <c r="I10" s="13">
        <f>_xll.BDH("NBIX US Equity","CF_STOCK_BASED_COMPENSATION","FQ2 2020","FQ2 2020","Currency=USD","Period=FQ","BEST_FPERIOD_OVERRIDE=FQ","FILING_STATUS=MR","SCALING_FORMAT=MLN","Sort=A","Dates=H","DateFormat=P","Fill=—","Direction=H","UseDPDF=Y")</f>
        <v>29.5</v>
      </c>
      <c r="J10" s="13">
        <f>_xll.BDH("NBIX US Equity","CF_STOCK_BASED_COMPENSATION","FQ3 2020","FQ3 2020","Currency=USD","Period=FQ","BEST_FPERIOD_OVERRIDE=FQ","FILING_STATUS=MR","SCALING_FORMAT=MLN","Sort=A","Dates=H","DateFormat=P","Fill=—","Direction=H","UseDPDF=Y")</f>
        <v>26.7</v>
      </c>
      <c r="K10" s="13">
        <f>_xll.BDH("NBIX US Equity","CF_STOCK_BASED_COMPENSATION","FQ4 2020","FQ4 2020","Currency=USD","Period=FQ","BEST_FPERIOD_OVERRIDE=FQ","FILING_STATUS=MR","SCALING_FORMAT=MLN","Sort=A","Dates=H","DateFormat=P","Fill=—","Direction=H","UseDPDF=Y")</f>
        <v>21</v>
      </c>
      <c r="L10" s="13">
        <f>_xll.BDH("NBIX US Equity","CF_STOCK_BASED_COMPENSATION","FQ1 2021","FQ1 2021","Currency=USD","Period=FQ","BEST_FPERIOD_OVERRIDE=FQ","FILING_STATUS=MR","SCALING_FORMAT=MLN","Sort=A","Dates=H","DateFormat=P","Fill=—","Direction=H","UseDPDF=Y")</f>
        <v>32.9</v>
      </c>
      <c r="M10" s="13">
        <f>_xll.BDH("NBIX US Equity","CF_STOCK_BASED_COMPENSATION","FQ2 2021","FQ2 2021","Currency=USD","Period=FQ","BEST_FPERIOD_OVERRIDE=FQ","FILING_STATUS=MR","SCALING_FORMAT=MLN","Sort=A","Dates=H","DateFormat=P","Fill=—","Direction=H","UseDPDF=Y")</f>
        <v>28.6</v>
      </c>
      <c r="N10" s="13">
        <f>_xll.BDH("NBIX US Equity","CF_STOCK_BASED_COMPENSATION","FQ3 2021","FQ3 2021","Currency=USD","Period=FQ","BEST_FPERIOD_OVERRIDE=FQ","FILING_STATUS=MR","SCALING_FORMAT=MLN","Sort=A","Dates=H","DateFormat=P","Fill=—","Direction=H","UseDPDF=Y")</f>
        <v>37.1</v>
      </c>
      <c r="O10" s="13">
        <f>_xll.BDH("NBIX US Equity","CF_STOCK_BASED_COMPENSATION","FQ4 2021","FQ4 2021","Currency=USD","Period=FQ","BEST_FPERIOD_OVERRIDE=FQ","FILING_STATUS=MR","SCALING_FORMAT=MLN","Sort=A","Dates=H","DateFormat=P","Fill=—","Direction=H","UseDPDF=Y")</f>
        <v>35.6</v>
      </c>
      <c r="P10" s="13">
        <f>_xll.BDH("NBIX US Equity","CF_STOCK_BASED_COMPENSATION","FQ1 2022","FQ1 2022","Currency=USD","Period=FQ","BEST_FPERIOD_OVERRIDE=FQ","FILING_STATUS=MR","SCALING_FORMAT=MLN","Sort=A","Dates=H","DateFormat=P","Fill=—","Direction=H","UseDPDF=Y")</f>
        <v>37</v>
      </c>
      <c r="Q10" s="13">
        <f>_xll.BDH("NBIX US Equity","CF_STOCK_BASED_COMPENSATION","FQ2 2022","FQ2 2022","Currency=USD","Period=FQ","BEST_FPERIOD_OVERRIDE=FQ","FILING_STATUS=MR","SCALING_FORMAT=MLN","Sort=A","Dates=H","DateFormat=P","Fill=—","Direction=H","UseDPDF=Y")</f>
        <v>49.5</v>
      </c>
      <c r="R10" s="13">
        <f>_xll.BDH("NBIX US Equity","CF_STOCK_BASED_COMPENSATION","FQ3 2022","FQ3 2022","Currency=USD","Period=FQ","BEST_FPERIOD_OVERRIDE=FQ","FILING_STATUS=MR","SCALING_FORMAT=MLN","Sort=A","Dates=H","DateFormat=P","Fill=—","Direction=H","UseDPDF=Y")</f>
        <v>43.1</v>
      </c>
      <c r="S10" s="13">
        <f>_xll.BDH("NBIX US Equity","CF_STOCK_BASED_COMPENSATION","FQ4 2022","FQ4 2022","Currency=USD","Period=FQ","BEST_FPERIOD_OVERRIDE=FQ","FILING_STATUS=MR","SCALING_FORMAT=MLN","Sort=A","Dates=H","DateFormat=P","Fill=—","Direction=H","UseDPDF=Y")</f>
        <v>43.5</v>
      </c>
      <c r="T10" s="13">
        <f>_xll.BDH("NBIX US Equity","CF_STOCK_BASED_COMPENSATION","FQ1 2023","FQ1 2023","Currency=USD","Period=FQ","BEST_FPERIOD_OVERRIDE=FQ","FILING_STATUS=MR","SCALING_FORMAT=MLN","Sort=A","Dates=H","DateFormat=P","Fill=—","Direction=H","UseDPDF=Y")</f>
        <v>39.9</v>
      </c>
      <c r="U10" s="13">
        <f>_xll.BDH("NBIX US Equity","CF_STOCK_BASED_COMPENSATION","FQ2 2023","FQ2 2023","Currency=USD","Period=FQ","BEST_FPERIOD_OVERRIDE=FQ","FILING_STATUS=MR","SCALING_FORMAT=MLN","Sort=A","Dates=H","DateFormat=P","Fill=—","Direction=H","UseDPDF=Y")</f>
        <v>68.5</v>
      </c>
      <c r="V10" s="13">
        <f>_xll.BDH("NBIX US Equity","CF_STOCK_BASED_COMPENSATION","FQ3 2023","FQ3 2023","Currency=USD","Period=FQ","BEST_FPERIOD_OVERRIDE=FQ","FILING_STATUS=MR","SCALING_FORMAT=MLN","Sort=A","Dates=H","DateFormat=P","Fill=—","Direction=H","UseDPDF=Y")</f>
        <v>47.8</v>
      </c>
      <c r="W10" s="13">
        <f>_xll.BDH("NBIX US Equity","CF_STOCK_BASED_COMPENSATION","FQ4 2023","FQ4 2023","Currency=USD","Period=FQ","BEST_FPERIOD_OVERRIDE=FQ","FILING_STATUS=MR","SCALING_FORMAT=MLN","Sort=A","Dates=H","DateFormat=P","Fill=—","Direction=H","UseDPDF=Y")</f>
        <v>38.1</v>
      </c>
      <c r="X10" s="13">
        <f>_xll.BDH("NBIX US Equity","CF_STOCK_BASED_COMPENSATION","FQ1 2024","FQ1 2024","Currency=USD","Period=FQ","BEST_FPERIOD_OVERRIDE=FQ","FILING_STATUS=MR","SCALING_FORMAT=MLN","Sort=A","Dates=H","DateFormat=P","Fill=—","Direction=H","UseDPDF=Y")</f>
        <v>44.5</v>
      </c>
      <c r="Y10" s="13">
        <f>_xll.BDH("NBIX US Equity","CF_STOCK_BASED_COMPENSATION","FQ2 2024","FQ2 2024","Currency=USD","Period=FQ","BEST_FPERIOD_OVERRIDE=FQ","FILING_STATUS=MR","SCALING_FORMAT=MLN","Sort=A","Dates=H","DateFormat=P","Fill=—","Direction=H","UseDPDF=Y")</f>
        <v>43.1</v>
      </c>
      <c r="Z10" s="13">
        <f>_xll.BDH("NBIX US Equity","CF_STOCK_BASED_COMPENSATION","FQ3 2024","FQ3 2024","Currency=USD","Period=FQ","BEST_FPERIOD_OVERRIDE=FQ","FILING_STATUS=MR","SCALING_FORMAT=MLN","Sort=A","Dates=H","DateFormat=P","Fill=—","Direction=H","UseDPDF=Y")</f>
        <v>41.5</v>
      </c>
      <c r="AA10" s="13">
        <f>_xll.BDH("NBIX US Equity","CF_STOCK_BASED_COMPENSATION","FQ4 2024","FQ4 2024","Currency=USD","Period=FQ","BEST_FPERIOD_OVERRIDE=FQ","FILING_STATUS=MR","SCALING_FORMAT=MLN","Sort=A","Dates=H","DateFormat=P","Fill=—","Direction=H","UseDPDF=Y")</f>
        <v>66.400000000000006</v>
      </c>
    </row>
    <row r="11" spans="1:27" x14ac:dyDescent="0.25">
      <c r="A11" s="10" t="s">
        <v>1088</v>
      </c>
      <c r="B11" s="10" t="s">
        <v>1089</v>
      </c>
      <c r="C11" s="13" t="str">
        <f>_xll.BDH("NBIX US Equity","CF_DEF_INC_TAX","FQ4 2018","FQ4 2018","Currency=USD","Period=FQ","BEST_FPERIOD_OVERRIDE=FQ","FILING_STATUS=MR","SCALING_FORMAT=MLN","Sort=A","Dates=H","DateFormat=P","Fill=—","Direction=H","UseDPDF=Y")</f>
        <v>—</v>
      </c>
      <c r="D11" s="13" t="str">
        <f>_xll.BDH("NBIX US Equity","CF_DEF_INC_TAX","FQ1 2019","FQ1 2019","Currency=USD","Period=FQ","BEST_FPERIOD_OVERRIDE=FQ","FILING_STATUS=MR","SCALING_FORMAT=MLN","Sort=A","Dates=H","DateFormat=P","Fill=—","Direction=H","UseDPDF=Y")</f>
        <v>—</v>
      </c>
      <c r="E11" s="13" t="str">
        <f>_xll.BDH("NBIX US Equity","CF_DEF_INC_TAX","FQ2 2019","FQ2 2019","Currency=USD","Period=FQ","BEST_FPERIOD_OVERRIDE=FQ","FILING_STATUS=MR","SCALING_FORMAT=MLN","Sort=A","Dates=H","DateFormat=P","Fill=—","Direction=H","UseDPDF=Y")</f>
        <v>—</v>
      </c>
      <c r="F11" s="13" t="str">
        <f>_xll.BDH("NBIX US Equity","CF_DEF_INC_TAX","FQ3 2019","FQ3 2019","Currency=USD","Period=FQ","BEST_FPERIOD_OVERRIDE=FQ","FILING_STATUS=MR","SCALING_FORMAT=MLN","Sort=A","Dates=H","DateFormat=P","Fill=—","Direction=H","UseDPDF=Y")</f>
        <v>—</v>
      </c>
      <c r="G11" s="13" t="str">
        <f>_xll.BDH("NBIX US Equity","CF_DEF_INC_TAX","FQ4 2019","FQ4 2019","Currency=USD","Period=FQ","BEST_FPERIOD_OVERRIDE=FQ","FILING_STATUS=MR","SCALING_FORMAT=MLN","Sort=A","Dates=H","DateFormat=P","Fill=—","Direction=H","UseDPDF=Y")</f>
        <v>—</v>
      </c>
      <c r="H11" s="13">
        <f>_xll.BDH("NBIX US Equity","CF_DEF_INC_TAX","FQ1 2020","FQ1 2020","Currency=USD","Period=FQ","BEST_FPERIOD_OVERRIDE=FQ","FILING_STATUS=MR","SCALING_FORMAT=MLN","Sort=A","Dates=H","DateFormat=P","Fill=—","Direction=H","UseDPDF=Y")</f>
        <v>0</v>
      </c>
      <c r="I11" s="13">
        <f>_xll.BDH("NBIX US Equity","CF_DEF_INC_TAX","FQ2 2020","FQ2 2020","Currency=USD","Period=FQ","BEST_FPERIOD_OVERRIDE=FQ","FILING_STATUS=MR","SCALING_FORMAT=MLN","Sort=A","Dates=H","DateFormat=P","Fill=—","Direction=H","UseDPDF=Y")</f>
        <v>0</v>
      </c>
      <c r="J11" s="13">
        <f>_xll.BDH("NBIX US Equity","CF_DEF_INC_TAX","FQ3 2020","FQ3 2020","Currency=USD","Period=FQ","BEST_FPERIOD_OVERRIDE=FQ","FILING_STATUS=MR","SCALING_FORMAT=MLN","Sort=A","Dates=H","DateFormat=P","Fill=—","Direction=H","UseDPDF=Y")</f>
        <v>0</v>
      </c>
      <c r="K11" s="13">
        <f>_xll.BDH("NBIX US Equity","CF_DEF_INC_TAX","FQ4 2020","FQ4 2020","Currency=USD","Period=FQ","BEST_FPERIOD_OVERRIDE=FQ","FILING_STATUS=MR","SCALING_FORMAT=MLN","Sort=A","Dates=H","DateFormat=P","Fill=—","Direction=H","UseDPDF=Y")</f>
        <v>-310.7</v>
      </c>
      <c r="L11" s="13">
        <f>_xll.BDH("NBIX US Equity","CF_DEF_INC_TAX","FQ1 2021","FQ1 2021","Currency=USD","Period=FQ","BEST_FPERIOD_OVERRIDE=FQ","FILING_STATUS=MR","SCALING_FORMAT=MLN","Sort=A","Dates=H","DateFormat=P","Fill=—","Direction=H","UseDPDF=Y")</f>
        <v>-6.2</v>
      </c>
      <c r="M11" s="13">
        <f>_xll.BDH("NBIX US Equity","CF_DEF_INC_TAX","FQ2 2021","FQ2 2021","Currency=USD","Period=FQ","BEST_FPERIOD_OVERRIDE=FQ","FILING_STATUS=MR","SCALING_FORMAT=MLN","Sort=A","Dates=H","DateFormat=P","Fill=—","Direction=H","UseDPDF=Y")</f>
        <v>9.5</v>
      </c>
      <c r="N11" s="13">
        <f>_xll.BDH("NBIX US Equity","CF_DEF_INC_TAX","FQ3 2021","FQ3 2021","Currency=USD","Period=FQ","BEST_FPERIOD_OVERRIDE=FQ","FILING_STATUS=MR","SCALING_FORMAT=MLN","Sort=A","Dates=H","DateFormat=P","Fill=—","Direction=H","UseDPDF=Y")</f>
        <v>5.7</v>
      </c>
      <c r="O11" s="13">
        <f>_xll.BDH("NBIX US Equity","CF_DEF_INC_TAX","FQ4 2021","FQ4 2021","Currency=USD","Period=FQ","BEST_FPERIOD_OVERRIDE=FQ","FILING_STATUS=MR","SCALING_FORMAT=MLN","Sort=A","Dates=H","DateFormat=P","Fill=—","Direction=H","UseDPDF=Y")</f>
        <v>-4.7</v>
      </c>
      <c r="P11" s="13">
        <f>_xll.BDH("NBIX US Equity","CF_DEF_INC_TAX","FQ1 2022","FQ1 2022","Currency=USD","Period=FQ","BEST_FPERIOD_OVERRIDE=FQ","FILING_STATUS=MR","SCALING_FORMAT=MLN","Sort=A","Dates=H","DateFormat=P","Fill=—","Direction=H","UseDPDF=Y")</f>
        <v>-0.3</v>
      </c>
      <c r="Q11" s="13">
        <f>_xll.BDH("NBIX US Equity","CF_DEF_INC_TAX","FQ2 2022","FQ2 2022","Currency=USD","Period=FQ","BEST_FPERIOD_OVERRIDE=FQ","FILING_STATUS=MR","SCALING_FORMAT=MLN","Sort=A","Dates=H","DateFormat=P","Fill=—","Direction=H","UseDPDF=Y")</f>
        <v>-3.1</v>
      </c>
      <c r="R11" s="13">
        <f>_xll.BDH("NBIX US Equity","CF_DEF_INC_TAX","FQ3 2022","FQ3 2022","Currency=USD","Period=FQ","BEST_FPERIOD_OVERRIDE=FQ","FILING_STATUS=MR","SCALING_FORMAT=MLN","Sort=A","Dates=H","DateFormat=P","Fill=—","Direction=H","UseDPDF=Y")</f>
        <v>9</v>
      </c>
      <c r="S11" s="13">
        <f>_xll.BDH("NBIX US Equity","CF_DEF_INC_TAX","FQ4 2022","FQ4 2022","Currency=USD","Period=FQ","BEST_FPERIOD_OVERRIDE=FQ","FILING_STATUS=MR","SCALING_FORMAT=MLN","Sort=A","Dates=H","DateFormat=P","Fill=—","Direction=H","UseDPDF=Y")</f>
        <v>13.5</v>
      </c>
      <c r="T11" s="13">
        <f>_xll.BDH("NBIX US Equity","CF_DEF_INC_TAX","FQ1 2023","FQ1 2023","Currency=USD","Period=FQ","BEST_FPERIOD_OVERRIDE=FQ","FILING_STATUS=MR","SCALING_FORMAT=MLN","Sort=A","Dates=H","DateFormat=P","Fill=—","Direction=H","UseDPDF=Y")</f>
        <v>-31.6</v>
      </c>
      <c r="U11" s="13">
        <f>_xll.BDH("NBIX US Equity","CF_DEF_INC_TAX","FQ2 2023","FQ2 2023","Currency=USD","Period=FQ","BEST_FPERIOD_OVERRIDE=FQ","FILING_STATUS=MR","SCALING_FORMAT=MLN","Sort=A","Dates=H","DateFormat=P","Fill=—","Direction=H","UseDPDF=Y")</f>
        <v>-41.5</v>
      </c>
      <c r="V11" s="13">
        <f>_xll.BDH("NBIX US Equity","CF_DEF_INC_TAX","FQ3 2023","FQ3 2023","Currency=USD","Period=FQ","BEST_FPERIOD_OVERRIDE=FQ","FILING_STATUS=MR","SCALING_FORMAT=MLN","Sort=A","Dates=H","DateFormat=P","Fill=—","Direction=H","UseDPDF=Y")</f>
        <v>-4.2</v>
      </c>
      <c r="W11" s="13">
        <f>_xll.BDH("NBIX US Equity","CF_DEF_INC_TAX","FQ4 2023","FQ4 2023","Currency=USD","Period=FQ","BEST_FPERIOD_OVERRIDE=FQ","FILING_STATUS=MR","SCALING_FORMAT=MLN","Sort=A","Dates=H","DateFormat=P","Fill=—","Direction=H","UseDPDF=Y")</f>
        <v>20.6</v>
      </c>
      <c r="X11" s="13">
        <f>_xll.BDH("NBIX US Equity","CF_DEF_INC_TAX","FQ1 2024","FQ1 2024","Currency=USD","Period=FQ","BEST_FPERIOD_OVERRIDE=FQ","FILING_STATUS=MR","SCALING_FORMAT=MLN","Sort=A","Dates=H","DateFormat=P","Fill=—","Direction=H","UseDPDF=Y")</f>
        <v>-15.6</v>
      </c>
      <c r="Y11" s="13">
        <f>_xll.BDH("NBIX US Equity","CF_DEF_INC_TAX","FQ2 2024","FQ2 2024","Currency=USD","Period=FQ","BEST_FPERIOD_OVERRIDE=FQ","FILING_STATUS=MR","SCALING_FORMAT=MLN","Sort=A","Dates=H","DateFormat=P","Fill=—","Direction=H","UseDPDF=Y")</f>
        <v>-41.3</v>
      </c>
      <c r="Z11" s="13">
        <f>_xll.BDH("NBIX US Equity","CF_DEF_INC_TAX","FQ3 2024","FQ3 2024","Currency=USD","Period=FQ","BEST_FPERIOD_OVERRIDE=FQ","FILING_STATUS=MR","SCALING_FORMAT=MLN","Sort=A","Dates=H","DateFormat=P","Fill=—","Direction=H","UseDPDF=Y")</f>
        <v>-34.9</v>
      </c>
      <c r="AA11" s="13">
        <f>_xll.BDH("NBIX US Equity","CF_DEF_INC_TAX","FQ4 2024","FQ4 2024","Currency=USD","Period=FQ","BEST_FPERIOD_OVERRIDE=FQ","FILING_STATUS=MR","SCALING_FORMAT=MLN","Sort=A","Dates=H","DateFormat=P","Fill=—","Direction=H","UseDPDF=Y")</f>
        <v>-31.3</v>
      </c>
    </row>
    <row r="12" spans="1:27" x14ac:dyDescent="0.25">
      <c r="A12" s="10" t="s">
        <v>1090</v>
      </c>
      <c r="B12" s="10" t="s">
        <v>1091</v>
      </c>
      <c r="C12" s="13">
        <f>_xll.BDH("NBIX US Equity","OTHER_NON_CASH_ADJ_LESS_DETAILED","FQ4 2018","FQ4 2018","Currency=USD","Period=FQ","BEST_FPERIOD_OVERRIDE=FQ","FILING_STATUS=MR","SCALING_FORMAT=MLN","Sort=A","Dates=H","DateFormat=P","Fill=—","Direction=H","UseDPDF=Y")</f>
        <v>9.8030000000000008</v>
      </c>
      <c r="D12" s="13">
        <f>_xll.BDH("NBIX US Equity","OTHER_NON_CASH_ADJ_LESS_DETAILED","FQ1 2019","FQ1 2019","Currency=USD","Period=FQ","BEST_FPERIOD_OVERRIDE=FQ","FILING_STATUS=MR","SCALING_FORMAT=MLN","Sort=A","Dates=H","DateFormat=P","Fill=—","Direction=H","UseDPDF=Y")</f>
        <v>8.4480000000000004</v>
      </c>
      <c r="E12" s="13">
        <f>_xll.BDH("NBIX US Equity","OTHER_NON_CASH_ADJ_LESS_DETAILED","FQ2 2019","FQ2 2019","Currency=USD","Period=FQ","BEST_FPERIOD_OVERRIDE=FQ","FILING_STATUS=MR","SCALING_FORMAT=MLN","Sort=A","Dates=H","DateFormat=P","Fill=—","Direction=H","UseDPDF=Y")</f>
        <v>-10.529</v>
      </c>
      <c r="F12" s="13">
        <f>_xll.BDH("NBIX US Equity","OTHER_NON_CASH_ADJ_LESS_DETAILED","FQ3 2019","FQ3 2019","Currency=USD","Period=FQ","BEST_FPERIOD_OVERRIDE=FQ","FILING_STATUS=MR","SCALING_FORMAT=MLN","Sort=A","Dates=H","DateFormat=P","Fill=—","Direction=H","UseDPDF=Y")</f>
        <v>36.945999999999998</v>
      </c>
      <c r="G12" s="13">
        <f>_xll.BDH("NBIX US Equity","OTHER_NON_CASH_ADJ_LESS_DETAILED","FQ4 2019","FQ4 2019","Currency=USD","Period=FQ","BEST_FPERIOD_OVERRIDE=FQ","FILING_STATUS=MR","SCALING_FORMAT=MLN","Sort=A","Dates=H","DateFormat=P","Fill=—","Direction=H","UseDPDF=Y")</f>
        <v>-2.7650000000000001</v>
      </c>
      <c r="H12" s="13">
        <f>_xll.BDH("NBIX US Equity","OTHER_NON_CASH_ADJ_LESS_DETAILED","FQ1 2020","FQ1 2020","Currency=USD","Period=FQ","BEST_FPERIOD_OVERRIDE=FQ","FILING_STATUS=MR","SCALING_FORMAT=MLN","Sort=A","Dates=H","DateFormat=P","Fill=—","Direction=H","UseDPDF=Y")</f>
        <v>15.4</v>
      </c>
      <c r="I12" s="13">
        <f>_xll.BDH("NBIX US Equity","OTHER_NON_CASH_ADJ_LESS_DETAILED","FQ2 2020","FQ2 2020","Currency=USD","Period=FQ","BEST_FPERIOD_OVERRIDE=FQ","FILING_STATUS=MR","SCALING_FORMAT=MLN","Sort=A","Dates=H","DateFormat=P","Fill=—","Direction=H","UseDPDF=Y")</f>
        <v>-2.9</v>
      </c>
      <c r="J12" s="13">
        <f>_xll.BDH("NBIX US Equity","OTHER_NON_CASH_ADJ_LESS_DETAILED","FQ3 2020","FQ3 2020","Currency=USD","Period=FQ","BEST_FPERIOD_OVERRIDE=FQ","FILING_STATUS=MR","SCALING_FORMAT=MLN","Sort=A","Dates=H","DateFormat=P","Fill=—","Direction=H","UseDPDF=Y")</f>
        <v>-17.7</v>
      </c>
      <c r="K12" s="13">
        <f>_xll.BDH("NBIX US Equity","OTHER_NON_CASH_ADJ_LESS_DETAILED","FQ4 2020","FQ4 2020","Currency=USD","Period=FQ","BEST_FPERIOD_OVERRIDE=FQ","FILING_STATUS=MR","SCALING_FORMAT=MLN","Sort=A","Dates=H","DateFormat=P","Fill=—","Direction=H","UseDPDF=Y")</f>
        <v>66.400000000000006</v>
      </c>
      <c r="L12" s="13">
        <f>_xll.BDH("NBIX US Equity","OTHER_NON_CASH_ADJ_LESS_DETAILED","FQ1 2021","FQ1 2021","Currency=USD","Period=FQ","BEST_FPERIOD_OVERRIDE=FQ","FILING_STATUS=MR","SCALING_FORMAT=MLN","Sort=A","Dates=H","DateFormat=P","Fill=—","Direction=H","UseDPDF=Y")</f>
        <v>7.8</v>
      </c>
      <c r="M12" s="13">
        <f>_xll.BDH("NBIX US Equity","OTHER_NON_CASH_ADJ_LESS_DETAILED","FQ2 2021","FQ2 2021","Currency=USD","Period=FQ","BEST_FPERIOD_OVERRIDE=FQ","FILING_STATUS=MR","SCALING_FORMAT=MLN","Sort=A","Dates=H","DateFormat=P","Fill=—","Direction=H","UseDPDF=Y")</f>
        <v>11.1</v>
      </c>
      <c r="N12" s="13">
        <f>_xll.BDH("NBIX US Equity","OTHER_NON_CASH_ADJ_LESS_DETAILED","FQ3 2021","FQ3 2021","Currency=USD","Period=FQ","BEST_FPERIOD_OVERRIDE=FQ","FILING_STATUS=MR","SCALING_FORMAT=MLN","Sort=A","Dates=H","DateFormat=P","Fill=—","Direction=H","UseDPDF=Y")</f>
        <v>-12.5</v>
      </c>
      <c r="O12" s="13">
        <f>_xll.BDH("NBIX US Equity","OTHER_NON_CASH_ADJ_LESS_DETAILED","FQ4 2021","FQ4 2021","Currency=USD","Period=FQ","BEST_FPERIOD_OVERRIDE=FQ","FILING_STATUS=MR","SCALING_FORMAT=MLN","Sort=A","Dates=H","DateFormat=P","Fill=—","Direction=H","UseDPDF=Y")</f>
        <v>-14.8</v>
      </c>
      <c r="P12" s="13">
        <f>_xll.BDH("NBIX US Equity","OTHER_NON_CASH_ADJ_LESS_DETAILED","FQ1 2022","FQ1 2022","Currency=USD","Period=FQ","BEST_FPERIOD_OVERRIDE=FQ","FILING_STATUS=MR","SCALING_FORMAT=MLN","Sort=A","Dates=H","DateFormat=P","Fill=—","Direction=H","UseDPDF=Y")</f>
        <v>-29.4</v>
      </c>
      <c r="Q12" s="13">
        <f>_xll.BDH("NBIX US Equity","OTHER_NON_CASH_ADJ_LESS_DETAILED","FQ2 2022","FQ2 2022","Currency=USD","Period=FQ","BEST_FPERIOD_OVERRIDE=FQ","FILING_STATUS=MR","SCALING_FORMAT=MLN","Sort=A","Dates=H","DateFormat=P","Fill=—","Direction=H","UseDPDF=Y")</f>
        <v>87.8</v>
      </c>
      <c r="R12" s="13">
        <f>_xll.BDH("NBIX US Equity","OTHER_NON_CASH_ADJ_LESS_DETAILED","FQ3 2022","FQ3 2022","Currency=USD","Period=FQ","BEST_FPERIOD_OVERRIDE=FQ","FILING_STATUS=MR","SCALING_FORMAT=MLN","Sort=A","Dates=H","DateFormat=P","Fill=—","Direction=H","UseDPDF=Y")</f>
        <v>-28.7</v>
      </c>
      <c r="S12" s="13">
        <f>_xll.BDH("NBIX US Equity","OTHER_NON_CASH_ADJ_LESS_DETAILED","FQ4 2022","FQ4 2022","Currency=USD","Period=FQ","BEST_FPERIOD_OVERRIDE=FQ","FILING_STATUS=MR","SCALING_FORMAT=MLN","Sort=A","Dates=H","DateFormat=P","Fill=—","Direction=H","UseDPDF=Y")</f>
        <v>-2.4</v>
      </c>
      <c r="T12" s="13">
        <f>_xll.BDH("NBIX US Equity","OTHER_NON_CASH_ADJ_LESS_DETAILED","FQ1 2023","FQ1 2023","Currency=USD","Period=FQ","BEST_FPERIOD_OVERRIDE=FQ","FILING_STATUS=MR","SCALING_FORMAT=MLN","Sort=A","Dates=H","DateFormat=P","Fill=—","Direction=H","UseDPDF=Y")</f>
        <v>-28.7</v>
      </c>
      <c r="U12" s="13">
        <f>_xll.BDH("NBIX US Equity","OTHER_NON_CASH_ADJ_LESS_DETAILED","FQ2 2023","FQ2 2023","Currency=USD","Period=FQ","BEST_FPERIOD_OVERRIDE=FQ","FILING_STATUS=MR","SCALING_FORMAT=MLN","Sort=A","Dates=H","DateFormat=P","Fill=—","Direction=H","UseDPDF=Y")</f>
        <v>30</v>
      </c>
      <c r="V12" s="13">
        <f>_xll.BDH("NBIX US Equity","OTHER_NON_CASH_ADJ_LESS_DETAILED","FQ3 2023","FQ3 2023","Currency=USD","Period=FQ","BEST_FPERIOD_OVERRIDE=FQ","FILING_STATUS=MR","SCALING_FORMAT=MLN","Sort=A","Dates=H","DateFormat=P","Fill=—","Direction=H","UseDPDF=Y")</f>
        <v>-17.100000000000001</v>
      </c>
      <c r="W12" s="13">
        <f>_xll.BDH("NBIX US Equity","OTHER_NON_CASH_ADJ_LESS_DETAILED","FQ4 2023","FQ4 2023","Currency=USD","Period=FQ","BEST_FPERIOD_OVERRIDE=FQ","FILING_STATUS=MR","SCALING_FORMAT=MLN","Sort=A","Dates=H","DateFormat=P","Fill=—","Direction=H","UseDPDF=Y")</f>
        <v>16.7</v>
      </c>
      <c r="X12" s="13">
        <f>_xll.BDH("NBIX US Equity","OTHER_NON_CASH_ADJ_LESS_DETAILED","FQ1 2024","FQ1 2024","Currency=USD","Period=FQ","BEST_FPERIOD_OVERRIDE=FQ","FILING_STATUS=MR","SCALING_FORMAT=MLN","Sort=A","Dates=H","DateFormat=P","Fill=—","Direction=H","UseDPDF=Y")</f>
        <v>80.599999999999994</v>
      </c>
      <c r="Y12" s="13">
        <f>_xll.BDH("NBIX US Equity","OTHER_NON_CASH_ADJ_LESS_DETAILED","FQ2 2024","FQ2 2024","Currency=USD","Period=FQ","BEST_FPERIOD_OVERRIDE=FQ","FILING_STATUS=MR","SCALING_FORMAT=MLN","Sort=A","Dates=H","DateFormat=P","Fill=—","Direction=H","UseDPDF=Y")</f>
        <v>72.900000000000006</v>
      </c>
      <c r="Z12" s="13">
        <f>_xll.BDH("NBIX US Equity","OTHER_NON_CASH_ADJ_LESS_DETAILED","FQ3 2024","FQ3 2024","Currency=USD","Period=FQ","BEST_FPERIOD_OVERRIDE=FQ","FILING_STATUS=MR","SCALING_FORMAT=MLN","Sort=A","Dates=H","DateFormat=P","Fill=—","Direction=H","UseDPDF=Y")</f>
        <v>-8.1</v>
      </c>
      <c r="AA12" s="13">
        <f>_xll.BDH("NBIX US Equity","OTHER_NON_CASH_ADJ_LESS_DETAILED","FQ4 2024","FQ4 2024","Currency=USD","Period=FQ","BEST_FPERIOD_OVERRIDE=FQ","FILING_STATUS=MR","SCALING_FORMAT=MLN","Sort=A","Dates=H","DateFormat=P","Fill=—","Direction=H","UseDPDF=Y")</f>
        <v>39.1</v>
      </c>
    </row>
    <row r="13" spans="1:27" x14ac:dyDescent="0.25">
      <c r="A13" s="10" t="s">
        <v>1092</v>
      </c>
      <c r="B13" s="10" t="s">
        <v>1093</v>
      </c>
      <c r="C13" s="13">
        <f>_xll.BDH("NBIX US Equity","CF_CHNG_NON_CASH_WORK_CAP","FQ4 2018","FQ4 2018","Currency=USD","Period=FQ","BEST_FPERIOD_OVERRIDE=FQ","FILING_STATUS=MR","SCALING_FORMAT=MLN","Sort=A","Dates=H","DateFormat=P","Fill=—","Direction=H","UseDPDF=Y")</f>
        <v>8.0299999999999994</v>
      </c>
      <c r="D13" s="13">
        <f>_xll.BDH("NBIX US Equity","CF_CHNG_NON_CASH_WORK_CAP","FQ1 2019","FQ1 2019","Currency=USD","Period=FQ","BEST_FPERIOD_OVERRIDE=FQ","FILING_STATUS=MR","SCALING_FORMAT=MLN","Sort=A","Dates=H","DateFormat=P","Fill=—","Direction=H","UseDPDF=Y")</f>
        <v>-36.154000000000003</v>
      </c>
      <c r="E13" s="13">
        <f>_xll.BDH("NBIX US Equity","CF_CHNG_NON_CASH_WORK_CAP","FQ2 2019","FQ2 2019","Currency=USD","Period=FQ","BEST_FPERIOD_OVERRIDE=FQ","FILING_STATUS=MR","SCALING_FORMAT=MLN","Sort=A","Dates=H","DateFormat=P","Fill=—","Direction=H","UseDPDF=Y")</f>
        <v>3.64</v>
      </c>
      <c r="F13" s="13">
        <f>_xll.BDH("NBIX US Equity","CF_CHNG_NON_CASH_WORK_CAP","FQ3 2019","FQ3 2019","Currency=USD","Period=FQ","BEST_FPERIOD_OVERRIDE=FQ","FILING_STATUS=MR","SCALING_FORMAT=MLN","Sort=A","Dates=H","DateFormat=P","Fill=—","Direction=H","UseDPDF=Y")</f>
        <v>-15.167999999999999</v>
      </c>
      <c r="G13" s="13">
        <f>_xll.BDH("NBIX US Equity","CF_CHNG_NON_CASH_WORK_CAP","FQ4 2019","FQ4 2019","Currency=USD","Period=FQ","BEST_FPERIOD_OVERRIDE=FQ","FILING_STATUS=MR","SCALING_FORMAT=MLN","Sort=A","Dates=H","DateFormat=P","Fill=—","Direction=H","UseDPDF=Y")</f>
        <v>42.881999999999998</v>
      </c>
      <c r="H13" s="13">
        <f>_xll.BDH("NBIX US Equity","CF_CHNG_NON_CASH_WORK_CAP","FQ1 2020","FQ1 2020","Currency=USD","Period=FQ","BEST_FPERIOD_OVERRIDE=FQ","FILING_STATUS=MR","SCALING_FORMAT=MLN","Sort=A","Dates=H","DateFormat=P","Fill=—","Direction=H","UseDPDF=Y")</f>
        <v>-42.2</v>
      </c>
      <c r="I13" s="13">
        <f>_xll.BDH("NBIX US Equity","CF_CHNG_NON_CASH_WORK_CAP","FQ2 2020","FQ2 2020","Currency=USD","Period=FQ","BEST_FPERIOD_OVERRIDE=FQ","FILING_STATUS=MR","SCALING_FORMAT=MLN","Sort=A","Dates=H","DateFormat=P","Fill=—","Direction=H","UseDPDF=Y")</f>
        <v>10.6</v>
      </c>
      <c r="J13" s="13">
        <f>_xll.BDH("NBIX US Equity","CF_CHNG_NON_CASH_WORK_CAP","FQ3 2020","FQ3 2020","Currency=USD","Period=FQ","BEST_FPERIOD_OVERRIDE=FQ","FILING_STATUS=MR","SCALING_FORMAT=MLN","Sort=A","Dates=H","DateFormat=P","Fill=—","Direction=H","UseDPDF=Y")</f>
        <v>26</v>
      </c>
      <c r="K13" s="13">
        <f>_xll.BDH("NBIX US Equity","CF_CHNG_NON_CASH_WORK_CAP","FQ4 2020","FQ4 2020","Currency=USD","Period=FQ","BEST_FPERIOD_OVERRIDE=FQ","FILING_STATUS=MR","SCALING_FORMAT=MLN","Sort=A","Dates=H","DateFormat=P","Fill=—","Direction=H","UseDPDF=Y")</f>
        <v>-32.299999999999997</v>
      </c>
      <c r="L13" s="13">
        <f>_xll.BDH("NBIX US Equity","CF_CHNG_NON_CASH_WORK_CAP","FQ1 2021","FQ1 2021","Currency=USD","Period=FQ","BEST_FPERIOD_OVERRIDE=FQ","FILING_STATUS=MR","SCALING_FORMAT=MLN","Sort=A","Dates=H","DateFormat=P","Fill=—","Direction=H","UseDPDF=Y")</f>
        <v>18.2</v>
      </c>
      <c r="M13" s="13">
        <f>_xll.BDH("NBIX US Equity","CF_CHNG_NON_CASH_WORK_CAP","FQ2 2021","FQ2 2021","Currency=USD","Period=FQ","BEST_FPERIOD_OVERRIDE=FQ","FILING_STATUS=MR","SCALING_FORMAT=MLN","Sort=A","Dates=H","DateFormat=P","Fill=—","Direction=H","UseDPDF=Y")</f>
        <v>9.1</v>
      </c>
      <c r="N13" s="13">
        <f>_xll.BDH("NBIX US Equity","CF_CHNG_NON_CASH_WORK_CAP","FQ3 2021","FQ3 2021","Currency=USD","Period=FQ","BEST_FPERIOD_OVERRIDE=FQ","FILING_STATUS=MR","SCALING_FORMAT=MLN","Sort=A","Dates=H","DateFormat=P","Fill=—","Direction=H","UseDPDF=Y")</f>
        <v>6.2</v>
      </c>
      <c r="O13" s="13">
        <f>_xll.BDH("NBIX US Equity","CF_CHNG_NON_CASH_WORK_CAP","FQ4 2021","FQ4 2021","Currency=USD","Period=FQ","BEST_FPERIOD_OVERRIDE=FQ","FILING_STATUS=MR","SCALING_FORMAT=MLN","Sort=A","Dates=H","DateFormat=P","Fill=—","Direction=H","UseDPDF=Y")</f>
        <v>-7.6</v>
      </c>
      <c r="P13" s="13">
        <f>_xll.BDH("NBIX US Equity","CF_CHNG_NON_CASH_WORK_CAP","FQ1 2022","FQ1 2022","Currency=USD","Period=FQ","BEST_FPERIOD_OVERRIDE=FQ","FILING_STATUS=MR","SCALING_FORMAT=MLN","Sort=A","Dates=H","DateFormat=P","Fill=—","Direction=H","UseDPDF=Y")</f>
        <v>-65</v>
      </c>
      <c r="Q13" s="13">
        <f>_xll.BDH("NBIX US Equity","CF_CHNG_NON_CASH_WORK_CAP","FQ2 2022","FQ2 2022","Currency=USD","Period=FQ","BEST_FPERIOD_OVERRIDE=FQ","FILING_STATUS=MR","SCALING_FORMAT=MLN","Sort=A","Dates=H","DateFormat=P","Fill=—","Direction=H","UseDPDF=Y")</f>
        <v>16.899999999999999</v>
      </c>
      <c r="R13" s="13">
        <f>_xll.BDH("NBIX US Equity","CF_CHNG_NON_CASH_WORK_CAP","FQ3 2022","FQ3 2022","Currency=USD","Period=FQ","BEST_FPERIOD_OVERRIDE=FQ","FILING_STATUS=MR","SCALING_FORMAT=MLN","Sort=A","Dates=H","DateFormat=P","Fill=—","Direction=H","UseDPDF=Y")</f>
        <v>2.9</v>
      </c>
      <c r="S13" s="13">
        <f>_xll.BDH("NBIX US Equity","CF_CHNG_NON_CASH_WORK_CAP","FQ4 2022","FQ4 2022","Currency=USD","Period=FQ","BEST_FPERIOD_OVERRIDE=FQ","FILING_STATUS=MR","SCALING_FORMAT=MLN","Sort=A","Dates=H","DateFormat=P","Fill=—","Direction=H","UseDPDF=Y")</f>
        <v>-5</v>
      </c>
      <c r="T13" s="13">
        <f>_xll.BDH("NBIX US Equity","CF_CHNG_NON_CASH_WORK_CAP","FQ1 2023","FQ1 2023","Currency=USD","Period=FQ","BEST_FPERIOD_OVERRIDE=FQ","FILING_STATUS=MR","SCALING_FORMAT=MLN","Sort=A","Dates=H","DateFormat=P","Fill=—","Direction=H","UseDPDF=Y")</f>
        <v>-33.200000000000003</v>
      </c>
      <c r="U13" s="13">
        <f>_xll.BDH("NBIX US Equity","CF_CHNG_NON_CASH_WORK_CAP","FQ2 2023","FQ2 2023","Currency=USD","Period=FQ","BEST_FPERIOD_OVERRIDE=FQ","FILING_STATUS=MR","SCALING_FORMAT=MLN","Sort=A","Dates=H","DateFormat=P","Fill=—","Direction=H","UseDPDF=Y")</f>
        <v>22</v>
      </c>
      <c r="V13" s="13">
        <f>_xll.BDH("NBIX US Equity","CF_CHNG_NON_CASH_WORK_CAP","FQ3 2023","FQ3 2023","Currency=USD","Period=FQ","BEST_FPERIOD_OVERRIDE=FQ","FILING_STATUS=MR","SCALING_FORMAT=MLN","Sort=A","Dates=H","DateFormat=P","Fill=—","Direction=H","UseDPDF=Y")</f>
        <v>96.9</v>
      </c>
      <c r="W13" s="13">
        <f>_xll.BDH("NBIX US Equity","CF_CHNG_NON_CASH_WORK_CAP","FQ4 2023","FQ4 2023","Currency=USD","Period=FQ","BEST_FPERIOD_OVERRIDE=FQ","FILING_STATUS=MR","SCALING_FORMAT=MLN","Sort=A","Dates=H","DateFormat=P","Fill=—","Direction=H","UseDPDF=Y")</f>
        <v>-105.3</v>
      </c>
      <c r="X13" s="13">
        <f>_xll.BDH("NBIX US Equity","CF_CHNG_NON_CASH_WORK_CAP","FQ1 2024","FQ1 2024","Currency=USD","Period=FQ","BEST_FPERIOD_OVERRIDE=FQ","FILING_STATUS=MR","SCALING_FORMAT=MLN","Sort=A","Dates=H","DateFormat=P","Fill=—","Direction=H","UseDPDF=Y")</f>
        <v>-28.8</v>
      </c>
      <c r="Y13" s="13">
        <f>_xll.BDH("NBIX US Equity","CF_CHNG_NON_CASH_WORK_CAP","FQ2 2024","FQ2 2024","Currency=USD","Period=FQ","BEST_FPERIOD_OVERRIDE=FQ","FILING_STATUS=MR","SCALING_FORMAT=MLN","Sort=A","Dates=H","DateFormat=P","Fill=—","Direction=H","UseDPDF=Y")</f>
        <v>-82.4</v>
      </c>
      <c r="Z13" s="13">
        <f>_xll.BDH("NBIX US Equity","CF_CHNG_NON_CASH_WORK_CAP","FQ3 2024","FQ3 2024","Currency=USD","Period=FQ","BEST_FPERIOD_OVERRIDE=FQ","FILING_STATUS=MR","SCALING_FORMAT=MLN","Sort=A","Dates=H","DateFormat=P","Fill=—","Direction=H","UseDPDF=Y")</f>
        <v>23.2</v>
      </c>
      <c r="AA13" s="13">
        <f>_xll.BDH("NBIX US Equity","CF_CHNG_NON_CASH_WORK_CAP","FQ4 2024","FQ4 2024","Currency=USD","Period=FQ","BEST_FPERIOD_OVERRIDE=FQ","FILING_STATUS=MR","SCALING_FORMAT=MLN","Sort=A","Dates=H","DateFormat=P","Fill=—","Direction=H","UseDPDF=Y")</f>
        <v>58.1</v>
      </c>
    </row>
    <row r="14" spans="1:27" x14ac:dyDescent="0.25">
      <c r="A14" s="10" t="s">
        <v>1094</v>
      </c>
      <c r="B14" s="10" t="s">
        <v>1095</v>
      </c>
      <c r="C14" s="13">
        <f>_xll.BDH("NBIX US Equity","CF_ACCT_RCV_UNBILLED_REV","FQ4 2018","FQ4 2018","Currency=USD","Period=FQ","BEST_FPERIOD_OVERRIDE=FQ","FILING_STATUS=MR","SCALING_FORMAT=MLN","Sort=A","Dates=H","DateFormat=P","Fill=—","Direction=H","UseDPDF=Y")</f>
        <v>-2.1429999999999998</v>
      </c>
      <c r="D14" s="13">
        <f>_xll.BDH("NBIX US Equity","CF_ACCT_RCV_UNBILLED_REV","FQ1 2019","FQ1 2019","Currency=USD","Period=FQ","BEST_FPERIOD_OVERRIDE=FQ","FILING_STATUS=MR","SCALING_FORMAT=MLN","Sort=A","Dates=H","DateFormat=P","Fill=—","Direction=H","UseDPDF=Y")</f>
        <v>-15.724</v>
      </c>
      <c r="E14" s="13">
        <f>_xll.BDH("NBIX US Equity","CF_ACCT_RCV_UNBILLED_REV","FQ2 2019","FQ2 2019","Currency=USD","Period=FQ","BEST_FPERIOD_OVERRIDE=FQ","FILING_STATUS=MR","SCALING_FORMAT=MLN","Sort=A","Dates=H","DateFormat=P","Fill=—","Direction=H","UseDPDF=Y")</f>
        <v>-23.393000000000001</v>
      </c>
      <c r="F14" s="13">
        <f>_xll.BDH("NBIX US Equity","CF_ACCT_RCV_UNBILLED_REV","FQ3 2019","FQ3 2019","Currency=USD","Period=FQ","BEST_FPERIOD_OVERRIDE=FQ","FILING_STATUS=MR","SCALING_FORMAT=MLN","Sort=A","Dates=H","DateFormat=P","Fill=—","Direction=H","UseDPDF=Y")</f>
        <v>-18.795000000000002</v>
      </c>
      <c r="G14" s="13">
        <f>_xll.BDH("NBIX US Equity","CF_ACCT_RCV_UNBILLED_REV","FQ4 2019","FQ4 2019","Currency=USD","Period=FQ","BEST_FPERIOD_OVERRIDE=FQ","FILING_STATUS=MR","SCALING_FORMAT=MLN","Sort=A","Dates=H","DateFormat=P","Fill=—","Direction=H","UseDPDF=Y")</f>
        <v>-11.288</v>
      </c>
      <c r="H14" s="13">
        <f>_xll.BDH("NBIX US Equity","CF_ACCT_RCV_UNBILLED_REV","FQ1 2020","FQ1 2020","Currency=USD","Period=FQ","BEST_FPERIOD_OVERRIDE=FQ","FILING_STATUS=MR","SCALING_FORMAT=MLN","Sort=A","Dates=H","DateFormat=P","Fill=—","Direction=H","UseDPDF=Y")</f>
        <v>-22.1</v>
      </c>
      <c r="I14" s="13">
        <f>_xll.BDH("NBIX US Equity","CF_ACCT_RCV_UNBILLED_REV","FQ2 2020","FQ2 2020","Currency=USD","Period=FQ","BEST_FPERIOD_OVERRIDE=FQ","FILING_STATUS=MR","SCALING_FORMAT=MLN","Sort=A","Dates=H","DateFormat=P","Fill=—","Direction=H","UseDPDF=Y")</f>
        <v>0.3</v>
      </c>
      <c r="J14" s="13">
        <f>_xll.BDH("NBIX US Equity","CF_ACCT_RCV_UNBILLED_REV","FQ3 2020","FQ3 2020","Currency=USD","Period=FQ","BEST_FPERIOD_OVERRIDE=FQ","FILING_STATUS=MR","SCALING_FORMAT=MLN","Sort=A","Dates=H","DateFormat=P","Fill=—","Direction=H","UseDPDF=Y")</f>
        <v>-8.5</v>
      </c>
      <c r="K14" s="13">
        <f>_xll.BDH("NBIX US Equity","CF_ACCT_RCV_UNBILLED_REV","FQ4 2020","FQ4 2020","Currency=USD","Period=FQ","BEST_FPERIOD_OVERRIDE=FQ","FILING_STATUS=MR","SCALING_FORMAT=MLN","Sort=A","Dates=H","DateFormat=P","Fill=—","Direction=H","UseDPDF=Y")</f>
        <v>-0.2</v>
      </c>
      <c r="L14" s="13">
        <f>_xll.BDH("NBIX US Equity","CF_ACCT_RCV_UNBILLED_REV","FQ1 2021","FQ1 2021","Currency=USD","Period=FQ","BEST_FPERIOD_OVERRIDE=FQ","FILING_STATUS=MR","SCALING_FORMAT=MLN","Sort=A","Dates=H","DateFormat=P","Fill=—","Direction=H","UseDPDF=Y")</f>
        <v>9.3000000000000007</v>
      </c>
      <c r="M14" s="13">
        <f>_xll.BDH("NBIX US Equity","CF_ACCT_RCV_UNBILLED_REV","FQ2 2021","FQ2 2021","Currency=USD","Period=FQ","BEST_FPERIOD_OVERRIDE=FQ","FILING_STATUS=MR","SCALING_FORMAT=MLN","Sort=A","Dates=H","DateFormat=P","Fill=—","Direction=H","UseDPDF=Y")</f>
        <v>-10.7</v>
      </c>
      <c r="N14" s="13">
        <f>_xll.BDH("NBIX US Equity","CF_ACCT_RCV_UNBILLED_REV","FQ3 2021","FQ3 2021","Currency=USD","Period=FQ","BEST_FPERIOD_OVERRIDE=FQ","FILING_STATUS=MR","SCALING_FORMAT=MLN","Sort=A","Dates=H","DateFormat=P","Fill=—","Direction=H","UseDPDF=Y")</f>
        <v>-5.3</v>
      </c>
      <c r="O14" s="13">
        <f>_xll.BDH("NBIX US Equity","CF_ACCT_RCV_UNBILLED_REV","FQ4 2021","FQ4 2021","Currency=USD","Period=FQ","BEST_FPERIOD_OVERRIDE=FQ","FILING_STATUS=MR","SCALING_FORMAT=MLN","Sort=A","Dates=H","DateFormat=P","Fill=—","Direction=H","UseDPDF=Y")</f>
        <v>-21.7</v>
      </c>
      <c r="P14" s="13">
        <f>_xll.BDH("NBIX US Equity","CF_ACCT_RCV_UNBILLED_REV","FQ1 2022","FQ1 2022","Currency=USD","Period=FQ","BEST_FPERIOD_OVERRIDE=FQ","FILING_STATUS=MR","SCALING_FORMAT=MLN","Sort=A","Dates=H","DateFormat=P","Fill=—","Direction=H","UseDPDF=Y")</f>
        <v>-78</v>
      </c>
      <c r="Q14" s="13">
        <f>_xll.BDH("NBIX US Equity","CF_ACCT_RCV_UNBILLED_REV","FQ2 2022","FQ2 2022","Currency=USD","Period=FQ","BEST_FPERIOD_OVERRIDE=FQ","FILING_STATUS=MR","SCALING_FORMAT=MLN","Sort=A","Dates=H","DateFormat=P","Fill=—","Direction=H","UseDPDF=Y")</f>
        <v>-15.5</v>
      </c>
      <c r="R14" s="13">
        <f>_xll.BDH("NBIX US Equity","CF_ACCT_RCV_UNBILLED_REV","FQ3 2022","FQ3 2022","Currency=USD","Period=FQ","BEST_FPERIOD_OVERRIDE=FQ","FILING_STATUS=MR","SCALING_FORMAT=MLN","Sort=A","Dates=H","DateFormat=P","Fill=—","Direction=H","UseDPDF=Y")</f>
        <v>-22.2</v>
      </c>
      <c r="S14" s="13">
        <f>_xll.BDH("NBIX US Equity","CF_ACCT_RCV_UNBILLED_REV","FQ4 2022","FQ4 2022","Currency=USD","Period=FQ","BEST_FPERIOD_OVERRIDE=FQ","FILING_STATUS=MR","SCALING_FORMAT=MLN","Sort=A","Dates=H","DateFormat=P","Fill=—","Direction=H","UseDPDF=Y")</f>
        <v>-46.5</v>
      </c>
      <c r="T14" s="13">
        <f>_xll.BDH("NBIX US Equity","CF_ACCT_RCV_UNBILLED_REV","FQ1 2023","FQ1 2023","Currency=USD","Period=FQ","BEST_FPERIOD_OVERRIDE=FQ","FILING_STATUS=MR","SCALING_FORMAT=MLN","Sort=A","Dates=H","DateFormat=P","Fill=—","Direction=H","UseDPDF=Y")</f>
        <v>-41.7</v>
      </c>
      <c r="U14" s="13">
        <f>_xll.BDH("NBIX US Equity","CF_ACCT_RCV_UNBILLED_REV","FQ2 2023","FQ2 2023","Currency=USD","Period=FQ","BEST_FPERIOD_OVERRIDE=FQ","FILING_STATUS=MR","SCALING_FORMAT=MLN","Sort=A","Dates=H","DateFormat=P","Fill=—","Direction=H","UseDPDF=Y")</f>
        <v>4.2</v>
      </c>
      <c r="V14" s="13">
        <f>_xll.BDH("NBIX US Equity","CF_ACCT_RCV_UNBILLED_REV","FQ3 2023","FQ3 2023","Currency=USD","Period=FQ","BEST_FPERIOD_OVERRIDE=FQ","FILING_STATUS=MR","SCALING_FORMAT=MLN","Sort=A","Dates=H","DateFormat=P","Fill=—","Direction=H","UseDPDF=Y")</f>
        <v>-30.4</v>
      </c>
      <c r="W14" s="13">
        <f>_xll.BDH("NBIX US Equity","CF_ACCT_RCV_UNBILLED_REV","FQ4 2023","FQ4 2023","Currency=USD","Period=FQ","BEST_FPERIOD_OVERRIDE=FQ","FILING_STATUS=MR","SCALING_FORMAT=MLN","Sort=A","Dates=H","DateFormat=P","Fill=—","Direction=H","UseDPDF=Y")</f>
        <v>-21.4</v>
      </c>
      <c r="X14" s="13">
        <f>_xll.BDH("NBIX US Equity","CF_ACCT_RCV_UNBILLED_REV","FQ1 2024","FQ1 2024","Currency=USD","Period=FQ","BEST_FPERIOD_OVERRIDE=FQ","FILING_STATUS=MR","SCALING_FORMAT=MLN","Sort=A","Dates=H","DateFormat=P","Fill=—","Direction=H","UseDPDF=Y")</f>
        <v>-11.3</v>
      </c>
      <c r="Y14" s="13">
        <f>_xll.BDH("NBIX US Equity","CF_ACCT_RCV_UNBILLED_REV","FQ2 2024","FQ2 2024","Currency=USD","Period=FQ","BEST_FPERIOD_OVERRIDE=FQ","FILING_STATUS=MR","SCALING_FORMAT=MLN","Sort=A","Dates=H","DateFormat=P","Fill=—","Direction=H","UseDPDF=Y")</f>
        <v>-17.600000000000001</v>
      </c>
      <c r="Z14" s="13">
        <f>_xll.BDH("NBIX US Equity","CF_ACCT_RCV_UNBILLED_REV","FQ3 2024","FQ3 2024","Currency=USD","Period=FQ","BEST_FPERIOD_OVERRIDE=FQ","FILING_STATUS=MR","SCALING_FORMAT=MLN","Sort=A","Dates=H","DateFormat=P","Fill=—","Direction=H","UseDPDF=Y")</f>
        <v>-12.9</v>
      </c>
      <c r="AA14" s="13">
        <f>_xll.BDH("NBIX US Equity","CF_ACCT_RCV_UNBILLED_REV","FQ4 2024","FQ4 2024","Currency=USD","Period=FQ","BEST_FPERIOD_OVERRIDE=FQ","FILING_STATUS=MR","SCALING_FORMAT=MLN","Sort=A","Dates=H","DateFormat=P","Fill=—","Direction=H","UseDPDF=Y")</f>
        <v>2</v>
      </c>
    </row>
    <row r="15" spans="1:27" x14ac:dyDescent="0.25">
      <c r="A15" s="10" t="s">
        <v>1096</v>
      </c>
      <c r="B15" s="10" t="s">
        <v>1097</v>
      </c>
      <c r="C15" s="13">
        <f>_xll.BDH("NBIX US Equity","CF_CHANGE_IN_INVENTORIES","FQ4 2018","FQ4 2018","Currency=USD","Period=FQ","BEST_FPERIOD_OVERRIDE=FQ","FILING_STATUS=MR","SCALING_FORMAT=MLN","Sort=A","Dates=H","DateFormat=P","Fill=—","Direction=H","UseDPDF=Y")</f>
        <v>0.38300000000000001</v>
      </c>
      <c r="D15" s="13">
        <f>_xll.BDH("NBIX US Equity","CF_CHANGE_IN_INVENTORIES","FQ1 2019","FQ1 2019","Currency=USD","Period=FQ","BEST_FPERIOD_OVERRIDE=FQ","FILING_STATUS=MR","SCALING_FORMAT=MLN","Sort=A","Dates=H","DateFormat=P","Fill=—","Direction=H","UseDPDF=Y")</f>
        <v>-1.7529999999999999</v>
      </c>
      <c r="E15" s="13">
        <f>_xll.BDH("NBIX US Equity","CF_CHANGE_IN_INVENTORIES","FQ2 2019","FQ2 2019","Currency=USD","Period=FQ","BEST_FPERIOD_OVERRIDE=FQ","FILING_STATUS=MR","SCALING_FORMAT=MLN","Sort=A","Dates=H","DateFormat=P","Fill=—","Direction=H","UseDPDF=Y")</f>
        <v>0.59899999999999998</v>
      </c>
      <c r="F15" s="13">
        <f>_xll.BDH("NBIX US Equity","CF_CHANGE_IN_INVENTORIES","FQ3 2019","FQ3 2019","Currency=USD","Period=FQ","BEST_FPERIOD_OVERRIDE=FQ","FILING_STATUS=MR","SCALING_FORMAT=MLN","Sort=A","Dates=H","DateFormat=P","Fill=—","Direction=H","UseDPDF=Y")</f>
        <v>1.22</v>
      </c>
      <c r="G15" s="13">
        <f>_xll.BDH("NBIX US Equity","CF_CHANGE_IN_INVENTORIES","FQ4 2019","FQ4 2019","Currency=USD","Period=FQ","BEST_FPERIOD_OVERRIDE=FQ","FILING_STATUS=MR","SCALING_FORMAT=MLN","Sort=A","Dates=H","DateFormat=P","Fill=—","Direction=H","UseDPDF=Y")</f>
        <v>-6.4660000000000002</v>
      </c>
      <c r="H15" s="13">
        <f>_xll.BDH("NBIX US Equity","CF_CHANGE_IN_INVENTORIES","FQ1 2020","FQ1 2020","Currency=USD","Period=FQ","BEST_FPERIOD_OVERRIDE=FQ","FILING_STATUS=MR","SCALING_FORMAT=MLN","Sort=A","Dates=H","DateFormat=P","Fill=—","Direction=H","UseDPDF=Y")</f>
        <v>-3.9</v>
      </c>
      <c r="I15" s="13">
        <f>_xll.BDH("NBIX US Equity","CF_CHANGE_IN_INVENTORIES","FQ2 2020","FQ2 2020","Currency=USD","Period=FQ","BEST_FPERIOD_OVERRIDE=FQ","FILING_STATUS=MR","SCALING_FORMAT=MLN","Sort=A","Dates=H","DateFormat=P","Fill=—","Direction=H","UseDPDF=Y")</f>
        <v>-0.8</v>
      </c>
      <c r="J15" s="13">
        <f>_xll.BDH("NBIX US Equity","CF_CHANGE_IN_INVENTORIES","FQ3 2020","FQ3 2020","Currency=USD","Period=FQ","BEST_FPERIOD_OVERRIDE=FQ","FILING_STATUS=MR","SCALING_FORMAT=MLN","Sort=A","Dates=H","DateFormat=P","Fill=—","Direction=H","UseDPDF=Y")</f>
        <v>1.3</v>
      </c>
      <c r="K15" s="13">
        <f>_xll.BDH("NBIX US Equity","CF_CHANGE_IN_INVENTORIES","FQ4 2020","FQ4 2020","Currency=USD","Period=FQ","BEST_FPERIOD_OVERRIDE=FQ","FILING_STATUS=MR","SCALING_FORMAT=MLN","Sort=A","Dates=H","DateFormat=P","Fill=—","Direction=H","UseDPDF=Y")</f>
        <v>-7.3</v>
      </c>
      <c r="L15" s="13">
        <f>_xll.BDH("NBIX US Equity","CF_CHANGE_IN_INVENTORIES","FQ1 2021","FQ1 2021","Currency=USD","Period=FQ","BEST_FPERIOD_OVERRIDE=FQ","FILING_STATUS=MR","SCALING_FORMAT=MLN","Sort=A","Dates=H","DateFormat=P","Fill=—","Direction=H","UseDPDF=Y")</f>
        <v>-2.1</v>
      </c>
      <c r="M15" s="13">
        <f>_xll.BDH("NBIX US Equity","CF_CHANGE_IN_INVENTORIES","FQ2 2021","FQ2 2021","Currency=USD","Period=FQ","BEST_FPERIOD_OVERRIDE=FQ","FILING_STATUS=MR","SCALING_FORMAT=MLN","Sort=A","Dates=H","DateFormat=P","Fill=—","Direction=H","UseDPDF=Y")</f>
        <v>1.8</v>
      </c>
      <c r="N15" s="13">
        <f>_xll.BDH("NBIX US Equity","CF_CHANGE_IN_INVENTORIES","FQ3 2021","FQ3 2021","Currency=USD","Period=FQ","BEST_FPERIOD_OVERRIDE=FQ","FILING_STATUS=MR","SCALING_FORMAT=MLN","Sort=A","Dates=H","DateFormat=P","Fill=—","Direction=H","UseDPDF=Y")</f>
        <v>2.8</v>
      </c>
      <c r="O15" s="13">
        <f>_xll.BDH("NBIX US Equity","CF_CHANGE_IN_INVENTORIES","FQ4 2021","FQ4 2021","Currency=USD","Period=FQ","BEST_FPERIOD_OVERRIDE=FQ","FILING_STATUS=MR","SCALING_FORMAT=MLN","Sort=A","Dates=H","DateFormat=P","Fill=—","Direction=H","UseDPDF=Y")</f>
        <v>-5</v>
      </c>
      <c r="P15" s="13">
        <f>_xll.BDH("NBIX US Equity","CF_CHANGE_IN_INVENTORIES","FQ1 2022","FQ1 2022","Currency=USD","Period=FQ","BEST_FPERIOD_OVERRIDE=FQ","FILING_STATUS=MR","SCALING_FORMAT=MLN","Sort=A","Dates=H","DateFormat=P","Fill=—","Direction=H","UseDPDF=Y")</f>
        <v>1.5</v>
      </c>
      <c r="Q15" s="13">
        <f>_xll.BDH("NBIX US Equity","CF_CHANGE_IN_INVENTORIES","FQ2 2022","FQ2 2022","Currency=USD","Period=FQ","BEST_FPERIOD_OVERRIDE=FQ","FILING_STATUS=MR","SCALING_FORMAT=MLN","Sort=A","Dates=H","DateFormat=P","Fill=—","Direction=H","UseDPDF=Y")</f>
        <v>-0.3</v>
      </c>
      <c r="R15" s="13">
        <f>_xll.BDH("NBIX US Equity","CF_CHANGE_IN_INVENTORIES","FQ3 2022","FQ3 2022","Currency=USD","Period=FQ","BEST_FPERIOD_OVERRIDE=FQ","FILING_STATUS=MR","SCALING_FORMAT=MLN","Sort=A","Dates=H","DateFormat=P","Fill=—","Direction=H","UseDPDF=Y")</f>
        <v>-7.7</v>
      </c>
      <c r="S15" s="13">
        <f>_xll.BDH("NBIX US Equity","CF_CHANGE_IN_INVENTORIES","FQ4 2022","FQ4 2022","Currency=USD","Period=FQ","BEST_FPERIOD_OVERRIDE=FQ","FILING_STATUS=MR","SCALING_FORMAT=MLN","Sort=A","Dates=H","DateFormat=P","Fill=—","Direction=H","UseDPDF=Y")</f>
        <v>3.9</v>
      </c>
      <c r="T15" s="13">
        <f>_xll.BDH("NBIX US Equity","CF_CHANGE_IN_INVENTORIES","FQ1 2023","FQ1 2023","Currency=USD","Period=FQ","BEST_FPERIOD_OVERRIDE=FQ","FILING_STATUS=MR","SCALING_FORMAT=MLN","Sort=A","Dates=H","DateFormat=P","Fill=—","Direction=H","UseDPDF=Y")</f>
        <v>1.8</v>
      </c>
      <c r="U15" s="13">
        <f>_xll.BDH("NBIX US Equity","CF_CHANGE_IN_INVENTORIES","FQ2 2023","FQ2 2023","Currency=USD","Period=FQ","BEST_FPERIOD_OVERRIDE=FQ","FILING_STATUS=MR","SCALING_FORMAT=MLN","Sort=A","Dates=H","DateFormat=P","Fill=—","Direction=H","UseDPDF=Y")</f>
        <v>1.6</v>
      </c>
      <c r="V15" s="13">
        <f>_xll.BDH("NBIX US Equity","CF_CHANGE_IN_INVENTORIES","FQ3 2023","FQ3 2023","Currency=USD","Period=FQ","BEST_FPERIOD_OVERRIDE=FQ","FILING_STATUS=MR","SCALING_FORMAT=MLN","Sort=A","Dates=H","DateFormat=P","Fill=—","Direction=H","UseDPDF=Y")</f>
        <v>2.9</v>
      </c>
      <c r="W15" s="13">
        <f>_xll.BDH("NBIX US Equity","CF_CHANGE_IN_INVENTORIES","FQ4 2023","FQ4 2023","Currency=USD","Period=FQ","BEST_FPERIOD_OVERRIDE=FQ","FILING_STATUS=MR","SCALING_FORMAT=MLN","Sort=A","Dates=H","DateFormat=P","Fill=—","Direction=H","UseDPDF=Y")</f>
        <v>-0.9</v>
      </c>
      <c r="X15" s="13">
        <f>_xll.BDH("NBIX US Equity","CF_CHANGE_IN_INVENTORIES","FQ1 2024","FQ1 2024","Currency=USD","Period=FQ","BEST_FPERIOD_OVERRIDE=FQ","FILING_STATUS=MR","SCALING_FORMAT=MLN","Sort=A","Dates=H","DateFormat=P","Fill=—","Direction=H","UseDPDF=Y")</f>
        <v>1.1000000000000001</v>
      </c>
      <c r="Y15" s="13">
        <f>_xll.BDH("NBIX US Equity","CF_CHANGE_IN_INVENTORIES","FQ2 2024","FQ2 2024","Currency=USD","Period=FQ","BEST_FPERIOD_OVERRIDE=FQ","FILING_STATUS=MR","SCALING_FORMAT=MLN","Sort=A","Dates=H","DateFormat=P","Fill=—","Direction=H","UseDPDF=Y")</f>
        <v>-5.3</v>
      </c>
      <c r="Z15" s="13">
        <f>_xll.BDH("NBIX US Equity","CF_CHANGE_IN_INVENTORIES","FQ3 2024","FQ3 2024","Currency=USD","Period=FQ","BEST_FPERIOD_OVERRIDE=FQ","FILING_STATUS=MR","SCALING_FORMAT=MLN","Sort=A","Dates=H","DateFormat=P","Fill=—","Direction=H","UseDPDF=Y")</f>
        <v>-3.3</v>
      </c>
      <c r="AA15" s="13">
        <f>_xll.BDH("NBIX US Equity","CF_CHANGE_IN_INVENTORIES","FQ4 2024","FQ4 2024","Currency=USD","Period=FQ","BEST_FPERIOD_OVERRIDE=FQ","FILING_STATUS=MR","SCALING_FORMAT=MLN","Sort=A","Dates=H","DateFormat=P","Fill=—","Direction=H","UseDPDF=Y")</f>
        <v>-11.6</v>
      </c>
    </row>
    <row r="16" spans="1:27" x14ac:dyDescent="0.25">
      <c r="A16" s="10" t="s">
        <v>1098</v>
      </c>
      <c r="B16" s="10" t="s">
        <v>1099</v>
      </c>
      <c r="C16" s="13">
        <f>_xll.BDH("NBIX US Equity","INC_DEC_IN_OT_OP_AST_LIAB_DETAIL","FQ4 2018","FQ4 2018","Currency=USD","Period=FQ","BEST_FPERIOD_OVERRIDE=FQ","FILING_STATUS=MR","SCALING_FORMAT=MLN","Sort=A","Dates=H","DateFormat=P","Fill=—","Direction=H","UseDPDF=Y")</f>
        <v>9.7899999999999991</v>
      </c>
      <c r="D16" s="13">
        <f>_xll.BDH("NBIX US Equity","INC_DEC_IN_OT_OP_AST_LIAB_DETAIL","FQ1 2019","FQ1 2019","Currency=USD","Period=FQ","BEST_FPERIOD_OVERRIDE=FQ","FILING_STATUS=MR","SCALING_FORMAT=MLN","Sort=A","Dates=H","DateFormat=P","Fill=—","Direction=H","UseDPDF=Y")</f>
        <v>-18.677</v>
      </c>
      <c r="E16" s="13">
        <f>_xll.BDH("NBIX US Equity","INC_DEC_IN_OT_OP_AST_LIAB_DETAIL","FQ2 2019","FQ2 2019","Currency=USD","Period=FQ","BEST_FPERIOD_OVERRIDE=FQ","FILING_STATUS=MR","SCALING_FORMAT=MLN","Sort=A","Dates=H","DateFormat=P","Fill=—","Direction=H","UseDPDF=Y")</f>
        <v>26.434000000000001</v>
      </c>
      <c r="F16" s="13">
        <f>_xll.BDH("NBIX US Equity","INC_DEC_IN_OT_OP_AST_LIAB_DETAIL","FQ3 2019","FQ3 2019","Currency=USD","Period=FQ","BEST_FPERIOD_OVERRIDE=FQ","FILING_STATUS=MR","SCALING_FORMAT=MLN","Sort=A","Dates=H","DateFormat=P","Fill=—","Direction=H","UseDPDF=Y")</f>
        <v>2.407</v>
      </c>
      <c r="G16" s="13">
        <f>_xll.BDH("NBIX US Equity","INC_DEC_IN_OT_OP_AST_LIAB_DETAIL","FQ4 2019","FQ4 2019","Currency=USD","Period=FQ","BEST_FPERIOD_OVERRIDE=FQ","FILING_STATUS=MR","SCALING_FORMAT=MLN","Sort=A","Dates=H","DateFormat=P","Fill=—","Direction=H","UseDPDF=Y")</f>
        <v>60.636000000000003</v>
      </c>
      <c r="H16" s="13">
        <f>_xll.BDH("NBIX US Equity","INC_DEC_IN_OT_OP_AST_LIAB_DETAIL","FQ1 2020","FQ1 2020","Currency=USD","Period=FQ","BEST_FPERIOD_OVERRIDE=FQ","FILING_STATUS=MR","SCALING_FORMAT=MLN","Sort=A","Dates=H","DateFormat=P","Fill=—","Direction=H","UseDPDF=Y")</f>
        <v>-16.2</v>
      </c>
      <c r="I16" s="13">
        <f>_xll.BDH("NBIX US Equity","INC_DEC_IN_OT_OP_AST_LIAB_DETAIL","FQ2 2020","FQ2 2020","Currency=USD","Period=FQ","BEST_FPERIOD_OVERRIDE=FQ","FILING_STATUS=MR","SCALING_FORMAT=MLN","Sort=A","Dates=H","DateFormat=P","Fill=—","Direction=H","UseDPDF=Y")</f>
        <v>11.1</v>
      </c>
      <c r="J16" s="13">
        <f>_xll.BDH("NBIX US Equity","INC_DEC_IN_OT_OP_AST_LIAB_DETAIL","FQ3 2020","FQ3 2020","Currency=USD","Period=FQ","BEST_FPERIOD_OVERRIDE=FQ","FILING_STATUS=MR","SCALING_FORMAT=MLN","Sort=A","Dates=H","DateFormat=P","Fill=—","Direction=H","UseDPDF=Y")</f>
        <v>33.200000000000003</v>
      </c>
      <c r="K16" s="13">
        <f>_xll.BDH("NBIX US Equity","INC_DEC_IN_OT_OP_AST_LIAB_DETAIL","FQ4 2020","FQ4 2020","Currency=USD","Period=FQ","BEST_FPERIOD_OVERRIDE=FQ","FILING_STATUS=MR","SCALING_FORMAT=MLN","Sort=A","Dates=H","DateFormat=P","Fill=—","Direction=H","UseDPDF=Y")</f>
        <v>-24.8</v>
      </c>
      <c r="L16" s="13">
        <f>_xll.BDH("NBIX US Equity","INC_DEC_IN_OT_OP_AST_LIAB_DETAIL","FQ1 2021","FQ1 2021","Currency=USD","Period=FQ","BEST_FPERIOD_OVERRIDE=FQ","FILING_STATUS=MR","SCALING_FORMAT=MLN","Sort=A","Dates=H","DateFormat=P","Fill=—","Direction=H","UseDPDF=Y")</f>
        <v>11</v>
      </c>
      <c r="M16" s="13">
        <f>_xll.BDH("NBIX US Equity","INC_DEC_IN_OT_OP_AST_LIAB_DETAIL","FQ2 2021","FQ2 2021","Currency=USD","Period=FQ","BEST_FPERIOD_OVERRIDE=FQ","FILING_STATUS=MR","SCALING_FORMAT=MLN","Sort=A","Dates=H","DateFormat=P","Fill=—","Direction=H","UseDPDF=Y")</f>
        <v>18</v>
      </c>
      <c r="N16" s="13">
        <f>_xll.BDH("NBIX US Equity","INC_DEC_IN_OT_OP_AST_LIAB_DETAIL","FQ3 2021","FQ3 2021","Currency=USD","Period=FQ","BEST_FPERIOD_OVERRIDE=FQ","FILING_STATUS=MR","SCALING_FORMAT=MLN","Sort=A","Dates=H","DateFormat=P","Fill=—","Direction=H","UseDPDF=Y")</f>
        <v>8.6999999999999993</v>
      </c>
      <c r="O16" s="13">
        <f>_xll.BDH("NBIX US Equity","INC_DEC_IN_OT_OP_AST_LIAB_DETAIL","FQ4 2021","FQ4 2021","Currency=USD","Period=FQ","BEST_FPERIOD_OVERRIDE=FQ","FILING_STATUS=MR","SCALING_FORMAT=MLN","Sort=A","Dates=H","DateFormat=P","Fill=—","Direction=H","UseDPDF=Y")</f>
        <v>19.100000000000001</v>
      </c>
      <c r="P16" s="13">
        <f>_xll.BDH("NBIX US Equity","INC_DEC_IN_OT_OP_AST_LIAB_DETAIL","FQ1 2022","FQ1 2022","Currency=USD","Period=FQ","BEST_FPERIOD_OVERRIDE=FQ","FILING_STATUS=MR","SCALING_FORMAT=MLN","Sort=A","Dates=H","DateFormat=P","Fill=—","Direction=H","UseDPDF=Y")</f>
        <v>11.5</v>
      </c>
      <c r="Q16" s="13">
        <f>_xll.BDH("NBIX US Equity","INC_DEC_IN_OT_OP_AST_LIAB_DETAIL","FQ2 2022","FQ2 2022","Currency=USD","Period=FQ","BEST_FPERIOD_OVERRIDE=FQ","FILING_STATUS=MR","SCALING_FORMAT=MLN","Sort=A","Dates=H","DateFormat=P","Fill=—","Direction=H","UseDPDF=Y")</f>
        <v>32.700000000000003</v>
      </c>
      <c r="R16" s="13">
        <f>_xll.BDH("NBIX US Equity","INC_DEC_IN_OT_OP_AST_LIAB_DETAIL","FQ3 2022","FQ3 2022","Currency=USD","Period=FQ","BEST_FPERIOD_OVERRIDE=FQ","FILING_STATUS=MR","SCALING_FORMAT=MLN","Sort=A","Dates=H","DateFormat=P","Fill=—","Direction=H","UseDPDF=Y")</f>
        <v>32.799999999999997</v>
      </c>
      <c r="S16" s="13">
        <f>_xll.BDH("NBIX US Equity","INC_DEC_IN_OT_OP_AST_LIAB_DETAIL","FQ4 2022","FQ4 2022","Currency=USD","Period=FQ","BEST_FPERIOD_OVERRIDE=FQ","FILING_STATUS=MR","SCALING_FORMAT=MLN","Sort=A","Dates=H","DateFormat=P","Fill=—","Direction=H","UseDPDF=Y")</f>
        <v>37.6</v>
      </c>
      <c r="T16" s="13">
        <f>_xll.BDH("NBIX US Equity","INC_DEC_IN_OT_OP_AST_LIAB_DETAIL","FQ1 2023","FQ1 2023","Currency=USD","Period=FQ","BEST_FPERIOD_OVERRIDE=FQ","FILING_STATUS=MR","SCALING_FORMAT=MLN","Sort=A","Dates=H","DateFormat=P","Fill=—","Direction=H","UseDPDF=Y")</f>
        <v>6.7</v>
      </c>
      <c r="U16" s="13">
        <f>_xll.BDH("NBIX US Equity","INC_DEC_IN_OT_OP_AST_LIAB_DETAIL","FQ2 2023","FQ2 2023","Currency=USD","Period=FQ","BEST_FPERIOD_OVERRIDE=FQ","FILING_STATUS=MR","SCALING_FORMAT=MLN","Sort=A","Dates=H","DateFormat=P","Fill=—","Direction=H","UseDPDF=Y")</f>
        <v>16.2</v>
      </c>
      <c r="V16" s="13">
        <f>_xll.BDH("NBIX US Equity","INC_DEC_IN_OT_OP_AST_LIAB_DETAIL","FQ3 2023","FQ3 2023","Currency=USD","Period=FQ","BEST_FPERIOD_OVERRIDE=FQ","FILING_STATUS=MR","SCALING_FORMAT=MLN","Sort=A","Dates=H","DateFormat=P","Fill=—","Direction=H","UseDPDF=Y")</f>
        <v>124.4</v>
      </c>
      <c r="W16" s="13">
        <f>_xll.BDH("NBIX US Equity","INC_DEC_IN_OT_OP_AST_LIAB_DETAIL","FQ4 2023","FQ4 2023","Currency=USD","Period=FQ","BEST_FPERIOD_OVERRIDE=FQ","FILING_STATUS=MR","SCALING_FORMAT=MLN","Sort=A","Dates=H","DateFormat=P","Fill=—","Direction=H","UseDPDF=Y")</f>
        <v>-83</v>
      </c>
      <c r="X16" s="13">
        <f>_xll.BDH("NBIX US Equity","INC_DEC_IN_OT_OP_AST_LIAB_DETAIL","FQ1 2024","FQ1 2024","Currency=USD","Period=FQ","BEST_FPERIOD_OVERRIDE=FQ","FILING_STATUS=MR","SCALING_FORMAT=MLN","Sort=A","Dates=H","DateFormat=P","Fill=—","Direction=H","UseDPDF=Y")</f>
        <v>-18.600000000000001</v>
      </c>
      <c r="Y16" s="13">
        <f>_xll.BDH("NBIX US Equity","INC_DEC_IN_OT_OP_AST_LIAB_DETAIL","FQ2 2024","FQ2 2024","Currency=USD","Period=FQ","BEST_FPERIOD_OVERRIDE=FQ","FILING_STATUS=MR","SCALING_FORMAT=MLN","Sort=A","Dates=H","DateFormat=P","Fill=—","Direction=H","UseDPDF=Y")</f>
        <v>-59.5</v>
      </c>
      <c r="Z16" s="13">
        <f>_xll.BDH("NBIX US Equity","INC_DEC_IN_OT_OP_AST_LIAB_DETAIL","FQ3 2024","FQ3 2024","Currency=USD","Period=FQ","BEST_FPERIOD_OVERRIDE=FQ","FILING_STATUS=MR","SCALING_FORMAT=MLN","Sort=A","Dates=H","DateFormat=P","Fill=—","Direction=H","UseDPDF=Y")</f>
        <v>39.4</v>
      </c>
      <c r="AA16" s="13">
        <f>_xll.BDH("NBIX US Equity","INC_DEC_IN_OT_OP_AST_LIAB_DETAIL","FQ4 2024","FQ4 2024","Currency=USD","Period=FQ","BEST_FPERIOD_OVERRIDE=FQ","FILING_STATUS=MR","SCALING_FORMAT=MLN","Sort=A","Dates=H","DateFormat=P","Fill=—","Direction=H","UseDPDF=Y")</f>
        <v>67.7</v>
      </c>
    </row>
    <row r="17" spans="1:27" x14ac:dyDescent="0.25">
      <c r="A17" s="10" t="s">
        <v>1100</v>
      </c>
      <c r="B17" s="10" t="s">
        <v>1101</v>
      </c>
      <c r="C17" s="13">
        <f>_xll.BDH("NBIX US Equity","CF_NET_CASH_DISCONT_OPS_OPER","FQ4 2018","FQ4 2018","Currency=USD","Period=FQ","BEST_FPERIOD_OVERRIDE=FQ","FILING_STATUS=MR","SCALING_FORMAT=MLN","Sort=A","Dates=H","DateFormat=P","Fill=—","Direction=H","UseDPDF=Y")</f>
        <v>0</v>
      </c>
      <c r="D17" s="13">
        <f>_xll.BDH("NBIX US Equity","CF_NET_CASH_DISCONT_OPS_OPER","FQ1 2019","FQ1 2019","Currency=USD","Period=FQ","BEST_FPERIOD_OVERRIDE=FQ","FILING_STATUS=MR","SCALING_FORMAT=MLN","Sort=A","Dates=H","DateFormat=P","Fill=—","Direction=H","UseDPDF=Y")</f>
        <v>0</v>
      </c>
      <c r="E17" s="13">
        <f>_xll.BDH("NBIX US Equity","CF_NET_CASH_DISCONT_OPS_OPER","FQ2 2019","FQ2 2019","Currency=USD","Period=FQ","BEST_FPERIOD_OVERRIDE=FQ","FILING_STATUS=MR","SCALING_FORMAT=MLN","Sort=A","Dates=H","DateFormat=P","Fill=—","Direction=H","UseDPDF=Y")</f>
        <v>0</v>
      </c>
      <c r="F17" s="13">
        <f>_xll.BDH("NBIX US Equity","CF_NET_CASH_DISCONT_OPS_OPER","FQ3 2019","FQ3 2019","Currency=USD","Period=FQ","BEST_FPERIOD_OVERRIDE=FQ","FILING_STATUS=MR","SCALING_FORMAT=MLN","Sort=A","Dates=H","DateFormat=P","Fill=—","Direction=H","UseDPDF=Y")</f>
        <v>0</v>
      </c>
      <c r="G17" s="13">
        <f>_xll.BDH("NBIX US Equity","CF_NET_CASH_DISCONT_OPS_OPER","FQ4 2019","FQ4 2019","Currency=USD","Period=FQ","BEST_FPERIOD_OVERRIDE=FQ","FILING_STATUS=MR","SCALING_FORMAT=MLN","Sort=A","Dates=H","DateFormat=P","Fill=—","Direction=H","UseDPDF=Y")</f>
        <v>0</v>
      </c>
      <c r="H17" s="13">
        <f>_xll.BDH("NBIX US Equity","CF_NET_CASH_DISCONT_OPS_OPER","FQ1 2020","FQ1 2020","Currency=USD","Period=FQ","BEST_FPERIOD_OVERRIDE=FQ","FILING_STATUS=MR","SCALING_FORMAT=MLN","Sort=A","Dates=H","DateFormat=P","Fill=—","Direction=H","UseDPDF=Y")</f>
        <v>0</v>
      </c>
      <c r="I17" s="13">
        <f>_xll.BDH("NBIX US Equity","CF_NET_CASH_DISCONT_OPS_OPER","FQ2 2020","FQ2 2020","Currency=USD","Period=FQ","BEST_FPERIOD_OVERRIDE=FQ","FILING_STATUS=MR","SCALING_FORMAT=MLN","Sort=A","Dates=H","DateFormat=P","Fill=—","Direction=H","UseDPDF=Y")</f>
        <v>0</v>
      </c>
      <c r="J17" s="13">
        <f>_xll.BDH("NBIX US Equity","CF_NET_CASH_DISCONT_OPS_OPER","FQ3 2020","FQ3 2020","Currency=USD","Period=FQ","BEST_FPERIOD_OVERRIDE=FQ","FILING_STATUS=MR","SCALING_FORMAT=MLN","Sort=A","Dates=H","DateFormat=P","Fill=—","Direction=H","UseDPDF=Y")</f>
        <v>0</v>
      </c>
      <c r="K17" s="13">
        <f>_xll.BDH("NBIX US Equity","CF_NET_CASH_DISCONT_OPS_OPER","FQ4 2020","FQ4 2020","Currency=USD","Period=FQ","BEST_FPERIOD_OVERRIDE=FQ","FILING_STATUS=MR","SCALING_FORMAT=MLN","Sort=A","Dates=H","DateFormat=P","Fill=—","Direction=H","UseDPDF=Y")</f>
        <v>0</v>
      </c>
      <c r="L17" s="13">
        <f>_xll.BDH("NBIX US Equity","CF_NET_CASH_DISCONT_OPS_OPER","FQ1 2021","FQ1 2021","Currency=USD","Period=FQ","BEST_FPERIOD_OVERRIDE=FQ","FILING_STATUS=MR","SCALING_FORMAT=MLN","Sort=A","Dates=H","DateFormat=P","Fill=—","Direction=H","UseDPDF=Y")</f>
        <v>0</v>
      </c>
      <c r="M17" s="13">
        <f>_xll.BDH("NBIX US Equity","CF_NET_CASH_DISCONT_OPS_OPER","FQ2 2021","FQ2 2021","Currency=USD","Period=FQ","BEST_FPERIOD_OVERRIDE=FQ","FILING_STATUS=MR","SCALING_FORMAT=MLN","Sort=A","Dates=H","DateFormat=P","Fill=—","Direction=H","UseDPDF=Y")</f>
        <v>0</v>
      </c>
      <c r="N17" s="13">
        <f>_xll.BDH("NBIX US Equity","CF_NET_CASH_DISCONT_OPS_OPER","FQ3 2021","FQ3 2021","Currency=USD","Period=FQ","BEST_FPERIOD_OVERRIDE=FQ","FILING_STATUS=MR","SCALING_FORMAT=MLN","Sort=A","Dates=H","DateFormat=P","Fill=—","Direction=H","UseDPDF=Y")</f>
        <v>0</v>
      </c>
      <c r="O17" s="13">
        <f>_xll.BDH("NBIX US Equity","CF_NET_CASH_DISCONT_OPS_OPER","FQ4 2021","FQ4 2021","Currency=USD","Period=FQ","BEST_FPERIOD_OVERRIDE=FQ","FILING_STATUS=MR","SCALING_FORMAT=MLN","Sort=A","Dates=H","DateFormat=P","Fill=—","Direction=H","UseDPDF=Y")</f>
        <v>0</v>
      </c>
      <c r="P17" s="13">
        <f>_xll.BDH("NBIX US Equity","CF_NET_CASH_DISCONT_OPS_OPER","FQ1 2022","FQ1 2022","Currency=USD","Period=FQ","BEST_FPERIOD_OVERRIDE=FQ","FILING_STATUS=MR","SCALING_FORMAT=MLN","Sort=A","Dates=H","DateFormat=P","Fill=—","Direction=H","UseDPDF=Y")</f>
        <v>0</v>
      </c>
      <c r="Q17" s="13">
        <f>_xll.BDH("NBIX US Equity","CF_NET_CASH_DISCONT_OPS_OPER","FQ2 2022","FQ2 2022","Currency=USD","Period=FQ","BEST_FPERIOD_OVERRIDE=FQ","FILING_STATUS=MR","SCALING_FORMAT=MLN","Sort=A","Dates=H","DateFormat=P","Fill=—","Direction=H","UseDPDF=Y")</f>
        <v>0</v>
      </c>
      <c r="R17" s="13">
        <f>_xll.BDH("NBIX US Equity","CF_NET_CASH_DISCONT_OPS_OPER","FQ3 2022","FQ3 2022","Currency=USD","Period=FQ","BEST_FPERIOD_OVERRIDE=FQ","FILING_STATUS=MR","SCALING_FORMAT=MLN","Sort=A","Dates=H","DateFormat=P","Fill=—","Direction=H","UseDPDF=Y")</f>
        <v>0</v>
      </c>
      <c r="S17" s="13">
        <f>_xll.BDH("NBIX US Equity","CF_NET_CASH_DISCONT_OPS_OPER","FQ4 2022","FQ4 2022","Currency=USD","Period=FQ","BEST_FPERIOD_OVERRIDE=FQ","FILING_STATUS=MR","SCALING_FORMAT=MLN","Sort=A","Dates=H","DateFormat=P","Fill=—","Direction=H","UseDPDF=Y")</f>
        <v>0</v>
      </c>
      <c r="T17" s="13">
        <f>_xll.BDH("NBIX US Equity","CF_NET_CASH_DISCONT_OPS_OPER","FQ1 2023","FQ1 2023","Currency=USD","Period=FQ","BEST_FPERIOD_OVERRIDE=FQ","FILING_STATUS=MR","SCALING_FORMAT=MLN","Sort=A","Dates=H","DateFormat=P","Fill=—","Direction=H","UseDPDF=Y")</f>
        <v>0</v>
      </c>
      <c r="U17" s="13">
        <f>_xll.BDH("NBIX US Equity","CF_NET_CASH_DISCONT_OPS_OPER","FQ2 2023","FQ2 2023","Currency=USD","Period=FQ","BEST_FPERIOD_OVERRIDE=FQ","FILING_STATUS=MR","SCALING_FORMAT=MLN","Sort=A","Dates=H","DateFormat=P","Fill=—","Direction=H","UseDPDF=Y")</f>
        <v>0</v>
      </c>
      <c r="V17" s="13">
        <f>_xll.BDH("NBIX US Equity","CF_NET_CASH_DISCONT_OPS_OPER","FQ3 2023","FQ3 2023","Currency=USD","Period=FQ","BEST_FPERIOD_OVERRIDE=FQ","FILING_STATUS=MR","SCALING_FORMAT=MLN","Sort=A","Dates=H","DateFormat=P","Fill=—","Direction=H","UseDPDF=Y")</f>
        <v>0</v>
      </c>
      <c r="W17" s="13">
        <f>_xll.BDH("NBIX US Equity","CF_NET_CASH_DISCONT_OPS_OPER","FQ4 2023","FQ4 2023","Currency=USD","Period=FQ","BEST_FPERIOD_OVERRIDE=FQ","FILING_STATUS=MR","SCALING_FORMAT=MLN","Sort=A","Dates=H","DateFormat=P","Fill=—","Direction=H","UseDPDF=Y")</f>
        <v>0</v>
      </c>
      <c r="X17" s="13">
        <f>_xll.BDH("NBIX US Equity","CF_NET_CASH_DISCONT_OPS_OPER","FQ1 2024","FQ1 2024","Currency=USD","Period=FQ","BEST_FPERIOD_OVERRIDE=FQ","FILING_STATUS=MR","SCALING_FORMAT=MLN","Sort=A","Dates=H","DateFormat=P","Fill=—","Direction=H","UseDPDF=Y")</f>
        <v>0</v>
      </c>
      <c r="Y17" s="13">
        <f>_xll.BDH("NBIX US Equity","CF_NET_CASH_DISCONT_OPS_OPER","FQ2 2024","FQ2 2024","Currency=USD","Period=FQ","BEST_FPERIOD_OVERRIDE=FQ","FILING_STATUS=MR","SCALING_FORMAT=MLN","Sort=A","Dates=H","DateFormat=P","Fill=—","Direction=H","UseDPDF=Y")</f>
        <v>0</v>
      </c>
      <c r="Z17" s="13">
        <f>_xll.BDH("NBIX US Equity","CF_NET_CASH_DISCONT_OPS_OPER","FQ3 2024","FQ3 2024","Currency=USD","Period=FQ","BEST_FPERIOD_OVERRIDE=FQ","FILING_STATUS=MR","SCALING_FORMAT=MLN","Sort=A","Dates=H","DateFormat=P","Fill=—","Direction=H","UseDPDF=Y")</f>
        <v>0</v>
      </c>
      <c r="AA17" s="13">
        <f>_xll.BDH("NBIX US Equity","CF_NET_CASH_DISCONT_OPS_OPER","FQ4 2024","FQ4 2024","Currency=USD","Period=FQ","BEST_FPERIOD_OVERRIDE=FQ","FILING_STATUS=MR","SCALING_FORMAT=MLN","Sort=A","Dates=H","DateFormat=P","Fill=—","Direction=H","UseDPDF=Y")</f>
        <v>0</v>
      </c>
    </row>
    <row r="18" spans="1:27" x14ac:dyDescent="0.25">
      <c r="A18" s="6" t="s">
        <v>1080</v>
      </c>
      <c r="B18" s="6" t="s">
        <v>85</v>
      </c>
      <c r="C18" s="19">
        <f>_xll.BDH("NBIX US Equity","CF_CASH_FROM_OPER","FQ4 2018","FQ4 2018","Currency=USD","Period=FQ","BEST_FPERIOD_OVERRIDE=FQ","FILING_STATUS=MR","SCALING_FORMAT=MLN","Sort=A","Dates=H","DateFormat=P","Fill=—","Direction=H","UseDPDF=Y")</f>
        <v>50.454000000000001</v>
      </c>
      <c r="D18" s="19">
        <f>_xll.BDH("NBIX US Equity","CF_CASH_FROM_OPER","FQ1 2019","FQ1 2019","Currency=USD","Period=FQ","BEST_FPERIOD_OVERRIDE=FQ","FILING_STATUS=MR","SCALING_FORMAT=MLN","Sort=A","Dates=H","DateFormat=P","Fill=—","Direction=H","UseDPDF=Y")</f>
        <v>-112.491</v>
      </c>
      <c r="E18" s="19">
        <f>_xll.BDH("NBIX US Equity","CF_CASH_FROM_OPER","FQ2 2019","FQ2 2019","Currency=USD","Period=FQ","BEST_FPERIOD_OVERRIDE=FQ","FILING_STATUS=MR","SCALING_FORMAT=MLN","Sort=A","Dates=H","DateFormat=P","Fill=—","Direction=H","UseDPDF=Y")</f>
        <v>64.165999999999997</v>
      </c>
      <c r="F18" s="19">
        <f>_xll.BDH("NBIX US Equity","CF_CASH_FROM_OPER","FQ3 2019","FQ3 2019","Currency=USD","Period=FQ","BEST_FPERIOD_OVERRIDE=FQ","FILING_STATUS=MR","SCALING_FORMAT=MLN","Sort=A","Dates=H","DateFormat=P","Fill=—","Direction=H","UseDPDF=Y")</f>
        <v>97.825999999999993</v>
      </c>
      <c r="G18" s="19">
        <f>_xll.BDH("NBIX US Equity","CF_CASH_FROM_OPER","FQ4 2019","FQ4 2019","Currency=USD","Period=FQ","BEST_FPERIOD_OVERRIDE=FQ","FILING_STATUS=MR","SCALING_FORMAT=MLN","Sort=A","Dates=H","DateFormat=P","Fill=—","Direction=H","UseDPDF=Y")</f>
        <v>97.498999999999995</v>
      </c>
      <c r="H18" s="19">
        <f>_xll.BDH("NBIX US Equity","CF_CASH_FROM_OPER","FQ1 2020","FQ1 2020","Currency=USD","Period=FQ","BEST_FPERIOD_OVERRIDE=FQ","FILING_STATUS=MR","SCALING_FORMAT=MLN","Sort=A","Dates=H","DateFormat=P","Fill=—","Direction=H","UseDPDF=Y")</f>
        <v>35.5</v>
      </c>
      <c r="I18" s="19">
        <f>_xll.BDH("NBIX US Equity","CF_CASH_FROM_OPER","FQ2 2020","FQ2 2020","Currency=USD","Period=FQ","BEST_FPERIOD_OVERRIDE=FQ","FILING_STATUS=MR","SCALING_FORMAT=MLN","Sort=A","Dates=H","DateFormat=P","Fill=—","Direction=H","UseDPDF=Y")</f>
        <v>118.9</v>
      </c>
      <c r="J18" s="19">
        <f>_xll.BDH("NBIX US Equity","CF_CASH_FROM_OPER","FQ3 2020","FQ3 2020","Currency=USD","Period=FQ","BEST_FPERIOD_OVERRIDE=FQ","FILING_STATUS=MR","SCALING_FORMAT=MLN","Sort=A","Dates=H","DateFormat=P","Fill=—","Direction=H","UseDPDF=Y")</f>
        <v>-20.399999999999999</v>
      </c>
      <c r="K18" s="19">
        <f>_xll.BDH("NBIX US Equity","CF_CASH_FROM_OPER","FQ4 2020","FQ4 2020","Currency=USD","Period=FQ","BEST_FPERIOD_OVERRIDE=FQ","FILING_STATUS=MR","SCALING_FORMAT=MLN","Sort=A","Dates=H","DateFormat=P","Fill=—","Direction=H","UseDPDF=Y")</f>
        <v>94.5</v>
      </c>
      <c r="L18" s="19">
        <f>_xll.BDH("NBIX US Equity","CF_CASH_FROM_OPER","FQ1 2021","FQ1 2021","Currency=USD","Period=FQ","BEST_FPERIOD_OVERRIDE=FQ","FILING_STATUS=MR","SCALING_FORMAT=MLN","Sort=A","Dates=H","DateFormat=P","Fill=—","Direction=H","UseDPDF=Y")</f>
        <v>87.3</v>
      </c>
      <c r="M18" s="19">
        <f>_xll.BDH("NBIX US Equity","CF_CASH_FROM_OPER","FQ2 2021","FQ2 2021","Currency=USD","Period=FQ","BEST_FPERIOD_OVERRIDE=FQ","FILING_STATUS=MR","SCALING_FORMAT=MLN","Sort=A","Dates=H","DateFormat=P","Fill=—","Direction=H","UseDPDF=Y")</f>
        <v>103.2</v>
      </c>
      <c r="N18" s="19">
        <f>_xll.BDH("NBIX US Equity","CF_CASH_FROM_OPER","FQ3 2021","FQ3 2021","Currency=USD","Period=FQ","BEST_FPERIOD_OVERRIDE=FQ","FILING_STATUS=MR","SCALING_FORMAT=MLN","Sort=A","Dates=H","DateFormat=P","Fill=—","Direction=H","UseDPDF=Y")</f>
        <v>61.8</v>
      </c>
      <c r="O18" s="19">
        <f>_xll.BDH("NBIX US Equity","CF_CASH_FROM_OPER","FQ4 2021","FQ4 2021","Currency=USD","Period=FQ","BEST_FPERIOD_OVERRIDE=FQ","FILING_STATUS=MR","SCALING_FORMAT=MLN","Sort=A","Dates=H","DateFormat=P","Fill=—","Direction=H","UseDPDF=Y")</f>
        <v>4.2</v>
      </c>
      <c r="P18" s="19">
        <f>_xll.BDH("NBIX US Equity","CF_CASH_FROM_OPER","FQ1 2022","FQ1 2022","Currency=USD","Period=FQ","BEST_FPERIOD_OVERRIDE=FQ","FILING_STATUS=MR","SCALING_FORMAT=MLN","Sort=A","Dates=H","DateFormat=P","Fill=—","Direction=H","UseDPDF=Y")</f>
        <v>-40.5</v>
      </c>
      <c r="Q18" s="19">
        <f>_xll.BDH("NBIX US Equity","CF_CASH_FROM_OPER","FQ2 2022","FQ2 2022","Currency=USD","Period=FQ","BEST_FPERIOD_OVERRIDE=FQ","FILING_STATUS=MR","SCALING_FORMAT=MLN","Sort=A","Dates=H","DateFormat=P","Fill=—","Direction=H","UseDPDF=Y")</f>
        <v>138.1</v>
      </c>
      <c r="R18" s="19">
        <f>_xll.BDH("NBIX US Equity","CF_CASH_FROM_OPER","FQ3 2022","FQ3 2022","Currency=USD","Period=FQ","BEST_FPERIOD_OVERRIDE=FQ","FILING_STATUS=MR","SCALING_FORMAT=MLN","Sort=A","Dates=H","DateFormat=P","Fill=—","Direction=H","UseDPDF=Y")</f>
        <v>98.8</v>
      </c>
      <c r="S18" s="19">
        <f>_xll.BDH("NBIX US Equity","CF_CASH_FROM_OPER","FQ4 2022","FQ4 2022","Currency=USD","Period=FQ","BEST_FPERIOD_OVERRIDE=FQ","FILING_STATUS=MR","SCALING_FORMAT=MLN","Sort=A","Dates=H","DateFormat=P","Fill=—","Direction=H","UseDPDF=Y")</f>
        <v>143</v>
      </c>
      <c r="T18" s="19">
        <f>_xll.BDH("NBIX US Equity","CF_CASH_FROM_OPER","FQ1 2023","FQ1 2023","Currency=USD","Period=FQ","BEST_FPERIOD_OVERRIDE=FQ","FILING_STATUS=MR","SCALING_FORMAT=MLN","Sort=A","Dates=H","DateFormat=P","Fill=—","Direction=H","UseDPDF=Y")</f>
        <v>-125.2</v>
      </c>
      <c r="U18" s="19">
        <f>_xll.BDH("NBIX US Equity","CF_CASH_FROM_OPER","FQ2 2023","FQ2 2023","Currency=USD","Period=FQ","BEST_FPERIOD_OVERRIDE=FQ","FILING_STATUS=MR","SCALING_FORMAT=MLN","Sort=A","Dates=H","DateFormat=P","Fill=—","Direction=H","UseDPDF=Y")</f>
        <v>179.6</v>
      </c>
      <c r="V18" s="19">
        <f>_xll.BDH("NBIX US Equity","CF_CASH_FROM_OPER","FQ3 2023","FQ3 2023","Currency=USD","Period=FQ","BEST_FPERIOD_OVERRIDE=FQ","FILING_STATUS=MR","SCALING_FORMAT=MLN","Sort=A","Dates=H","DateFormat=P","Fill=—","Direction=H","UseDPDF=Y")</f>
        <v>212</v>
      </c>
      <c r="W18" s="19">
        <f>_xll.BDH("NBIX US Equity","CF_CASH_FROM_OPER","FQ4 2023","FQ4 2023","Currency=USD","Period=FQ","BEST_FPERIOD_OVERRIDE=FQ","FILING_STATUS=MR","SCALING_FORMAT=MLN","Sort=A","Dates=H","DateFormat=P","Fill=—","Direction=H","UseDPDF=Y")</f>
        <v>123.5</v>
      </c>
      <c r="X18" s="19">
        <f>_xll.BDH("NBIX US Equity","CF_CASH_FROM_OPER","FQ1 2024","FQ1 2024","Currency=USD","Period=FQ","BEST_FPERIOD_OVERRIDE=FQ","FILING_STATUS=MR","SCALING_FORMAT=MLN","Sort=A","Dates=H","DateFormat=P","Fill=—","Direction=H","UseDPDF=Y")</f>
        <v>130.30000000000001</v>
      </c>
      <c r="Y18" s="19">
        <f>_xll.BDH("NBIX US Equity","CF_CASH_FROM_OPER","FQ2 2024","FQ2 2024","Currency=USD","Period=FQ","BEST_FPERIOD_OVERRIDE=FQ","FILING_STATUS=MR","SCALING_FORMAT=MLN","Sort=A","Dates=H","DateFormat=P","Fill=—","Direction=H","UseDPDF=Y")</f>
        <v>64.599999999999994</v>
      </c>
      <c r="Z18" s="19">
        <f>_xll.BDH("NBIX US Equity","CF_CASH_FROM_OPER","FQ3 2024","FQ3 2024","Currency=USD","Period=FQ","BEST_FPERIOD_OVERRIDE=FQ","FILING_STATUS=MR","SCALING_FORMAT=MLN","Sort=A","Dates=H","DateFormat=P","Fill=—","Direction=H","UseDPDF=Y")</f>
        <v>158</v>
      </c>
      <c r="AA18" s="19">
        <f>_xll.BDH("NBIX US Equity","CF_CASH_FROM_OPER","FQ4 2024","FQ4 2024","Currency=USD","Period=FQ","BEST_FPERIOD_OVERRIDE=FQ","FILING_STATUS=MR","SCALING_FORMAT=MLN","Sort=A","Dates=H","DateFormat=P","Fill=—","Direction=H","UseDPDF=Y")</f>
        <v>242.5</v>
      </c>
    </row>
    <row r="19" spans="1:27" x14ac:dyDescent="0.25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x14ac:dyDescent="0.25">
      <c r="A20" s="6" t="s">
        <v>1102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1103</v>
      </c>
      <c r="B21" s="10" t="s">
        <v>1104</v>
      </c>
      <c r="C21" s="13">
        <f>_xll.BDH("NBIX US Equity","FIXED_INTANG_ASST_CHANGE","FQ4 2018","FQ4 2018","Currency=USD","Period=FQ","BEST_FPERIOD_OVERRIDE=FQ","FILING_STATUS=MR","SCALING_FORMAT=MLN","Sort=A","Dates=H","DateFormat=P","Fill=—","Direction=H","UseDPDF=Y")</f>
        <v>-6.0060000000000002</v>
      </c>
      <c r="D21" s="13">
        <f>_xll.BDH("NBIX US Equity","FIXED_INTANG_ASST_CHANGE","FQ1 2019","FQ1 2019","Currency=USD","Period=FQ","BEST_FPERIOD_OVERRIDE=FQ","FILING_STATUS=MR","SCALING_FORMAT=MLN","Sort=A","Dates=H","DateFormat=P","Fill=—","Direction=H","UseDPDF=Y")</f>
        <v>-3.9350000000000001</v>
      </c>
      <c r="E21" s="13">
        <f>_xll.BDH("NBIX US Equity","FIXED_INTANG_ASST_CHANGE","FQ2 2019","FQ2 2019","Currency=USD","Period=FQ","BEST_FPERIOD_OVERRIDE=FQ","FILING_STATUS=MR","SCALING_FORMAT=MLN","Sort=A","Dates=H","DateFormat=P","Fill=—","Direction=H","UseDPDF=Y")</f>
        <v>-4.4530000000000003</v>
      </c>
      <c r="F21" s="13">
        <f>_xll.BDH("NBIX US Equity","FIXED_INTANG_ASST_CHANGE","FQ3 2019","FQ3 2019","Currency=USD","Period=FQ","BEST_FPERIOD_OVERRIDE=FQ","FILING_STATUS=MR","SCALING_FORMAT=MLN","Sort=A","Dates=H","DateFormat=P","Fill=—","Direction=H","UseDPDF=Y")</f>
        <v>-3.54</v>
      </c>
      <c r="G21" s="13">
        <f>_xll.BDH("NBIX US Equity","FIXED_INTANG_ASST_CHANGE","FQ4 2019","FQ4 2019","Currency=USD","Period=FQ","BEST_FPERIOD_OVERRIDE=FQ","FILING_STATUS=MR","SCALING_FORMAT=MLN","Sort=A","Dates=H","DateFormat=P","Fill=—","Direction=H","UseDPDF=Y")</f>
        <v>-2.7719999999999998</v>
      </c>
      <c r="H21" s="13">
        <f>_xll.BDH("NBIX US Equity","FIXED_INTANG_ASST_CHANGE","FQ1 2020","FQ1 2020","Currency=USD","Period=FQ","BEST_FPERIOD_OVERRIDE=FQ","FILING_STATUS=MR","SCALING_FORMAT=MLN","Sort=A","Dates=H","DateFormat=P","Fill=—","Direction=H","UseDPDF=Y")</f>
        <v>-1.3</v>
      </c>
      <c r="I21" s="13">
        <f>_xll.BDH("NBIX US Equity","FIXED_INTANG_ASST_CHANGE","FQ2 2020","FQ2 2020","Currency=USD","Period=FQ","BEST_FPERIOD_OVERRIDE=FQ","FILING_STATUS=MR","SCALING_FORMAT=MLN","Sort=A","Dates=H","DateFormat=P","Fill=—","Direction=H","UseDPDF=Y")</f>
        <v>-4.7</v>
      </c>
      <c r="J21" s="13">
        <f>_xll.BDH("NBIX US Equity","FIXED_INTANG_ASST_CHANGE","FQ3 2020","FQ3 2020","Currency=USD","Period=FQ","BEST_FPERIOD_OVERRIDE=FQ","FILING_STATUS=MR","SCALING_FORMAT=MLN","Sort=A","Dates=H","DateFormat=P","Fill=—","Direction=H","UseDPDF=Y")</f>
        <v>-0.4</v>
      </c>
      <c r="K21" s="13">
        <f>_xll.BDH("NBIX US Equity","FIXED_INTANG_ASST_CHANGE","FQ4 2020","FQ4 2020","Currency=USD","Period=FQ","BEST_FPERIOD_OVERRIDE=FQ","FILING_STATUS=MR","SCALING_FORMAT=MLN","Sort=A","Dates=H","DateFormat=P","Fill=—","Direction=H","UseDPDF=Y")</f>
        <v>-4.5</v>
      </c>
      <c r="L21" s="13">
        <f>_xll.BDH("NBIX US Equity","FIXED_INTANG_ASST_CHANGE","FQ1 2021","FQ1 2021","Currency=USD","Period=FQ","BEST_FPERIOD_OVERRIDE=FQ","FILING_STATUS=MR","SCALING_FORMAT=MLN","Sort=A","Dates=H","DateFormat=P","Fill=—","Direction=H","UseDPDF=Y")</f>
        <v>-4.5</v>
      </c>
      <c r="M21" s="13">
        <f>_xll.BDH("NBIX US Equity","FIXED_INTANG_ASST_CHANGE","FQ2 2021","FQ2 2021","Currency=USD","Period=FQ","BEST_FPERIOD_OVERRIDE=FQ","FILING_STATUS=MR","SCALING_FORMAT=MLN","Sort=A","Dates=H","DateFormat=P","Fill=—","Direction=H","UseDPDF=Y")</f>
        <v>-4.3</v>
      </c>
      <c r="N21" s="13">
        <f>_xll.BDH("NBIX US Equity","FIXED_INTANG_ASST_CHANGE","FQ3 2021","FQ3 2021","Currency=USD","Period=FQ","BEST_FPERIOD_OVERRIDE=FQ","FILING_STATUS=MR","SCALING_FORMAT=MLN","Sort=A","Dates=H","DateFormat=P","Fill=—","Direction=H","UseDPDF=Y")</f>
        <v>-5.7</v>
      </c>
      <c r="O21" s="13">
        <f>_xll.BDH("NBIX US Equity","FIXED_INTANG_ASST_CHANGE","FQ4 2021","FQ4 2021","Currency=USD","Period=FQ","BEST_FPERIOD_OVERRIDE=FQ","FILING_STATUS=MR","SCALING_FORMAT=MLN","Sort=A","Dates=H","DateFormat=P","Fill=—","Direction=H","UseDPDF=Y")</f>
        <v>-8.9</v>
      </c>
      <c r="P21" s="13">
        <f>_xll.BDH("NBIX US Equity","FIXED_INTANG_ASST_CHANGE","FQ1 2022","FQ1 2022","Currency=USD","Period=FQ","BEST_FPERIOD_OVERRIDE=FQ","FILING_STATUS=MR","SCALING_FORMAT=MLN","Sort=A","Dates=H","DateFormat=P","Fill=—","Direction=H","UseDPDF=Y")</f>
        <v>-7.6</v>
      </c>
      <c r="Q21" s="13">
        <f>_xll.BDH("NBIX US Equity","FIXED_INTANG_ASST_CHANGE","FQ2 2022","FQ2 2022","Currency=USD","Period=FQ","BEST_FPERIOD_OVERRIDE=FQ","FILING_STATUS=MR","SCALING_FORMAT=MLN","Sort=A","Dates=H","DateFormat=P","Fill=—","Direction=H","UseDPDF=Y")</f>
        <v>-8.8000000000000007</v>
      </c>
      <c r="R21" s="13">
        <f>_xll.BDH("NBIX US Equity","FIXED_INTANG_ASST_CHANGE","FQ3 2022","FQ3 2022","Currency=USD","Period=FQ","BEST_FPERIOD_OVERRIDE=FQ","FILING_STATUS=MR","SCALING_FORMAT=MLN","Sort=A","Dates=H","DateFormat=P","Fill=—","Direction=H","UseDPDF=Y")</f>
        <v>1.7</v>
      </c>
      <c r="S21" s="13">
        <f>_xll.BDH("NBIX US Equity","FIXED_INTANG_ASST_CHANGE","FQ4 2022","FQ4 2022","Currency=USD","Period=FQ","BEST_FPERIOD_OVERRIDE=FQ","FILING_STATUS=MR","SCALING_FORMAT=MLN","Sort=A","Dates=H","DateFormat=P","Fill=—","Direction=H","UseDPDF=Y")</f>
        <v>-1.8</v>
      </c>
      <c r="T21" s="13">
        <f>_xll.BDH("NBIX US Equity","FIXED_INTANG_ASST_CHANGE","FQ1 2023","FQ1 2023","Currency=USD","Period=FQ","BEST_FPERIOD_OVERRIDE=FQ","FILING_STATUS=MR","SCALING_FORMAT=MLN","Sort=A","Dates=H","DateFormat=P","Fill=—","Direction=H","UseDPDF=Y")</f>
        <v>-8.5</v>
      </c>
      <c r="U21" s="13">
        <f>_xll.BDH("NBIX US Equity","FIXED_INTANG_ASST_CHANGE","FQ2 2023","FQ2 2023","Currency=USD","Period=FQ","BEST_FPERIOD_OVERRIDE=FQ","FILING_STATUS=MR","SCALING_FORMAT=MLN","Sort=A","Dates=H","DateFormat=P","Fill=—","Direction=H","UseDPDF=Y")</f>
        <v>-6.8</v>
      </c>
      <c r="V21" s="13">
        <f>_xll.BDH("NBIX US Equity","FIXED_INTANG_ASST_CHANGE","FQ3 2023","FQ3 2023","Currency=USD","Period=FQ","BEST_FPERIOD_OVERRIDE=FQ","FILING_STATUS=MR","SCALING_FORMAT=MLN","Sort=A","Dates=H","DateFormat=P","Fill=—","Direction=H","UseDPDF=Y")</f>
        <v>-7.6</v>
      </c>
      <c r="W21" s="13">
        <f>_xll.BDH("NBIX US Equity","FIXED_INTANG_ASST_CHANGE","FQ4 2023","FQ4 2023","Currency=USD","Period=FQ","BEST_FPERIOD_OVERRIDE=FQ","FILING_STATUS=MR","SCALING_FORMAT=MLN","Sort=A","Dates=H","DateFormat=P","Fill=—","Direction=H","UseDPDF=Y")</f>
        <v>-5.4</v>
      </c>
      <c r="X21" s="13">
        <f>_xll.BDH("NBIX US Equity","FIXED_INTANG_ASST_CHANGE","FQ1 2024","FQ1 2024","Currency=USD","Period=FQ","BEST_FPERIOD_OVERRIDE=FQ","FILING_STATUS=MR","SCALING_FORMAT=MLN","Sort=A","Dates=H","DateFormat=P","Fill=—","Direction=H","UseDPDF=Y")</f>
        <v>-11.2</v>
      </c>
      <c r="Y21" s="13">
        <f>_xll.BDH("NBIX US Equity","FIXED_INTANG_ASST_CHANGE","FQ2 2024","FQ2 2024","Currency=USD","Period=FQ","BEST_FPERIOD_OVERRIDE=FQ","FILING_STATUS=MR","SCALING_FORMAT=MLN","Sort=A","Dates=H","DateFormat=P","Fill=—","Direction=H","UseDPDF=Y")</f>
        <v>-11.6</v>
      </c>
      <c r="Z21" s="13">
        <f>_xll.BDH("NBIX US Equity","FIXED_INTANG_ASST_CHANGE","FQ3 2024","FQ3 2024","Currency=USD","Period=FQ","BEST_FPERIOD_OVERRIDE=FQ","FILING_STATUS=MR","SCALING_FORMAT=MLN","Sort=A","Dates=H","DateFormat=P","Fill=—","Direction=H","UseDPDF=Y")</f>
        <v>-8.1</v>
      </c>
      <c r="AA21" s="13">
        <f>_xll.BDH("NBIX US Equity","FIXED_INTANG_ASST_CHANGE","FQ4 2024","FQ4 2024","Currency=USD","Period=FQ","BEST_FPERIOD_OVERRIDE=FQ","FILING_STATUS=MR","SCALING_FORMAT=MLN","Sort=A","Dates=H","DateFormat=P","Fill=—","Direction=H","UseDPDF=Y")</f>
        <v>-7.3</v>
      </c>
    </row>
    <row r="22" spans="1:27" x14ac:dyDescent="0.25">
      <c r="A22" s="10" t="s">
        <v>1105</v>
      </c>
      <c r="B22" s="10" t="s">
        <v>1106</v>
      </c>
      <c r="C22" s="13">
        <f>_xll.BDH("NBIX US Equity","DISPOSAL_OF_FIXED_INTANG","FQ4 2018","FQ4 2018","Currency=USD","Period=FQ","BEST_FPERIOD_OVERRIDE=FQ","FILING_STATUS=MR","SCALING_FORMAT=MLN","Sort=A","Dates=H","DateFormat=P","Fill=—","Direction=H","UseDPDF=Y")</f>
        <v>4.0000000000000001E-3</v>
      </c>
      <c r="D22" s="13">
        <f>_xll.BDH("NBIX US Equity","DISPOSAL_OF_FIXED_INTANG","FQ1 2019","FQ1 2019","Currency=USD","Period=FQ","BEST_FPERIOD_OVERRIDE=FQ","FILING_STATUS=MR","SCALING_FORMAT=MLN","Sort=A","Dates=H","DateFormat=P","Fill=—","Direction=H","UseDPDF=Y")</f>
        <v>4.0000000000000001E-3</v>
      </c>
      <c r="E22" s="13">
        <f>_xll.BDH("NBIX US Equity","DISPOSAL_OF_FIXED_INTANG","FQ2 2019","FQ2 2019","Currency=USD","Period=FQ","BEST_FPERIOD_OVERRIDE=FQ","FILING_STATUS=MR","SCALING_FORMAT=MLN","Sort=A","Dates=H","DateFormat=P","Fill=—","Direction=H","UseDPDF=Y")</f>
        <v>0</v>
      </c>
      <c r="F22" s="13">
        <f>_xll.BDH("NBIX US Equity","DISPOSAL_OF_FIXED_INTANG","FQ3 2019","FQ3 2019","Currency=USD","Period=FQ","BEST_FPERIOD_OVERRIDE=FQ","FILING_STATUS=MR","SCALING_FORMAT=MLN","Sort=A","Dates=H","DateFormat=P","Fill=—","Direction=H","UseDPDF=Y")</f>
        <v>4.0000000000000001E-3</v>
      </c>
      <c r="G22" s="13">
        <f>_xll.BDH("NBIX US Equity","DISPOSAL_OF_FIXED_INTANG","FQ4 2019","FQ4 2019","Currency=USD","Period=FQ","BEST_FPERIOD_OVERRIDE=FQ","FILING_STATUS=MR","SCALING_FORMAT=MLN","Sort=A","Dates=H","DateFormat=P","Fill=—","Direction=H","UseDPDF=Y")</f>
        <v>0</v>
      </c>
      <c r="H22" s="13">
        <f>_xll.BDH("NBIX US Equity","DISPOSAL_OF_FIXED_INTANG","FQ1 2020","FQ1 2020","Currency=USD","Period=FQ","BEST_FPERIOD_OVERRIDE=FQ","FILING_STATUS=MR","SCALING_FORMAT=MLN","Sort=A","Dates=H","DateFormat=P","Fill=—","Direction=H","UseDPDF=Y")</f>
        <v>0</v>
      </c>
      <c r="I22" s="13">
        <f>_xll.BDH("NBIX US Equity","DISPOSAL_OF_FIXED_INTANG","FQ2 2020","FQ2 2020","Currency=USD","Period=FQ","BEST_FPERIOD_OVERRIDE=FQ","FILING_STATUS=MR","SCALING_FORMAT=MLN","Sort=A","Dates=H","DateFormat=P","Fill=—","Direction=H","UseDPDF=Y")</f>
        <v>0</v>
      </c>
      <c r="J22" s="13">
        <f>_xll.BDH("NBIX US Equity","DISPOSAL_OF_FIXED_INTANG","FQ3 2020","FQ3 2020","Currency=USD","Period=FQ","BEST_FPERIOD_OVERRIDE=FQ","FILING_STATUS=MR","SCALING_FORMAT=MLN","Sort=A","Dates=H","DateFormat=P","Fill=—","Direction=H","UseDPDF=Y")</f>
        <v>0</v>
      </c>
      <c r="K22" s="13">
        <f>_xll.BDH("NBIX US Equity","DISPOSAL_OF_FIXED_INTANG","FQ4 2020","FQ4 2020","Currency=USD","Period=FQ","BEST_FPERIOD_OVERRIDE=FQ","FILING_STATUS=MR","SCALING_FORMAT=MLN","Sort=A","Dates=H","DateFormat=P","Fill=—","Direction=H","UseDPDF=Y")</f>
        <v>0</v>
      </c>
      <c r="L22" s="13">
        <f>_xll.BDH("NBIX US Equity","DISPOSAL_OF_FIXED_INTANG","FQ1 2021","FQ1 2021","Currency=USD","Period=FQ","BEST_FPERIOD_OVERRIDE=FQ","FILING_STATUS=MR","SCALING_FORMAT=MLN","Sort=A","Dates=H","DateFormat=P","Fill=—","Direction=H","UseDPDF=Y")</f>
        <v>0</v>
      </c>
      <c r="M22" s="13">
        <f>_xll.BDH("NBIX US Equity","DISPOSAL_OF_FIXED_INTANG","FQ2 2021","FQ2 2021","Currency=USD","Period=FQ","BEST_FPERIOD_OVERRIDE=FQ","FILING_STATUS=MR","SCALING_FORMAT=MLN","Sort=A","Dates=H","DateFormat=P","Fill=—","Direction=H","UseDPDF=Y")</f>
        <v>0</v>
      </c>
      <c r="N22" s="13">
        <f>_xll.BDH("NBIX US Equity","DISPOSAL_OF_FIXED_INTANG","FQ3 2021","FQ3 2021","Currency=USD","Period=FQ","BEST_FPERIOD_OVERRIDE=FQ","FILING_STATUS=MR","SCALING_FORMAT=MLN","Sort=A","Dates=H","DateFormat=P","Fill=—","Direction=H","UseDPDF=Y")</f>
        <v>0</v>
      </c>
      <c r="O22" s="13">
        <f>_xll.BDH("NBIX US Equity","DISPOSAL_OF_FIXED_INTANG","FQ4 2021","FQ4 2021","Currency=USD","Period=FQ","BEST_FPERIOD_OVERRIDE=FQ","FILING_STATUS=MR","SCALING_FORMAT=MLN","Sort=A","Dates=H","DateFormat=P","Fill=—","Direction=H","UseDPDF=Y")</f>
        <v>0</v>
      </c>
      <c r="P22" s="13">
        <f>_xll.BDH("NBIX US Equity","DISPOSAL_OF_FIXED_INTANG","FQ1 2022","FQ1 2022","Currency=USD","Period=FQ","BEST_FPERIOD_OVERRIDE=FQ","FILING_STATUS=MR","SCALING_FORMAT=MLN","Sort=A","Dates=H","DateFormat=P","Fill=—","Direction=H","UseDPDF=Y")</f>
        <v>0</v>
      </c>
      <c r="Q22" s="13">
        <f>_xll.BDH("NBIX US Equity","DISPOSAL_OF_FIXED_INTANG","FQ2 2022","FQ2 2022","Currency=USD","Period=FQ","BEST_FPERIOD_OVERRIDE=FQ","FILING_STATUS=MR","SCALING_FORMAT=MLN","Sort=A","Dates=H","DateFormat=P","Fill=—","Direction=H","UseDPDF=Y")</f>
        <v>0</v>
      </c>
      <c r="R22" s="13">
        <f>_xll.BDH("NBIX US Equity","DISPOSAL_OF_FIXED_INTANG","FQ3 2022","FQ3 2022","Currency=USD","Period=FQ","BEST_FPERIOD_OVERRIDE=FQ","FILING_STATUS=MR","SCALING_FORMAT=MLN","Sort=A","Dates=H","DateFormat=P","Fill=—","Direction=H","UseDPDF=Y")</f>
        <v>1.7</v>
      </c>
      <c r="S22" s="13">
        <f>_xll.BDH("NBIX US Equity","DISPOSAL_OF_FIXED_INTANG","FQ4 2022","FQ4 2022","Currency=USD","Period=FQ","BEST_FPERIOD_OVERRIDE=FQ","FILING_STATUS=MR","SCALING_FORMAT=MLN","Sort=A","Dates=H","DateFormat=P","Fill=—","Direction=H","UseDPDF=Y")</f>
        <v>0</v>
      </c>
      <c r="T22" s="13">
        <f>_xll.BDH("NBIX US Equity","DISPOSAL_OF_FIXED_INTANG","FQ1 2023","FQ1 2023","Currency=USD","Period=FQ","BEST_FPERIOD_OVERRIDE=FQ","FILING_STATUS=MR","SCALING_FORMAT=MLN","Sort=A","Dates=H","DateFormat=P","Fill=—","Direction=H","UseDPDF=Y")</f>
        <v>0</v>
      </c>
      <c r="U22" s="13">
        <f>_xll.BDH("NBIX US Equity","DISPOSAL_OF_FIXED_INTANG","FQ2 2023","FQ2 2023","Currency=USD","Period=FQ","BEST_FPERIOD_OVERRIDE=FQ","FILING_STATUS=MR","SCALING_FORMAT=MLN","Sort=A","Dates=H","DateFormat=P","Fill=—","Direction=H","UseDPDF=Y")</f>
        <v>0</v>
      </c>
      <c r="V22" s="13">
        <f>_xll.BDH("NBIX US Equity","DISPOSAL_OF_FIXED_INTANG","FQ3 2023","FQ3 2023","Currency=USD","Period=FQ","BEST_FPERIOD_OVERRIDE=FQ","FILING_STATUS=MR","SCALING_FORMAT=MLN","Sort=A","Dates=H","DateFormat=P","Fill=—","Direction=H","UseDPDF=Y")</f>
        <v>0</v>
      </c>
      <c r="W22" s="13">
        <f>_xll.BDH("NBIX US Equity","DISPOSAL_OF_FIXED_INTANG","FQ4 2023","FQ4 2023","Currency=USD","Period=FQ","BEST_FPERIOD_OVERRIDE=FQ","FILING_STATUS=MR","SCALING_FORMAT=MLN","Sort=A","Dates=H","DateFormat=P","Fill=—","Direction=H","UseDPDF=Y")</f>
        <v>0</v>
      </c>
      <c r="X22" s="13">
        <f>_xll.BDH("NBIX US Equity","DISPOSAL_OF_FIXED_INTANG","FQ1 2024","FQ1 2024","Currency=USD","Period=FQ","BEST_FPERIOD_OVERRIDE=FQ","FILING_STATUS=MR","SCALING_FORMAT=MLN","Sort=A","Dates=H","DateFormat=P","Fill=—","Direction=H","UseDPDF=Y")</f>
        <v>0</v>
      </c>
      <c r="Y22" s="13">
        <f>_xll.BDH("NBIX US Equity","DISPOSAL_OF_FIXED_INTANG","FQ2 2024","FQ2 2024","Currency=USD","Period=FQ","BEST_FPERIOD_OVERRIDE=FQ","FILING_STATUS=MR","SCALING_FORMAT=MLN","Sort=A","Dates=H","DateFormat=P","Fill=—","Direction=H","UseDPDF=Y")</f>
        <v>0</v>
      </c>
      <c r="Z22" s="13">
        <f>_xll.BDH("NBIX US Equity","DISPOSAL_OF_FIXED_INTANG","FQ3 2024","FQ3 2024","Currency=USD","Period=FQ","BEST_FPERIOD_OVERRIDE=FQ","FILING_STATUS=MR","SCALING_FORMAT=MLN","Sort=A","Dates=H","DateFormat=P","Fill=—","Direction=H","UseDPDF=Y")</f>
        <v>0</v>
      </c>
      <c r="AA22" s="13">
        <f>_xll.BDH("NBIX US Equity","DISPOSAL_OF_FIXED_INTANG","FQ4 2024","FQ4 2024","Currency=USD","Period=FQ","BEST_FPERIOD_OVERRIDE=FQ","FILING_STATUS=MR","SCALING_FORMAT=MLN","Sort=A","Dates=H","DateFormat=P","Fill=—","Direction=H","UseDPDF=Y")</f>
        <v>0</v>
      </c>
    </row>
    <row r="23" spans="1:27" x14ac:dyDescent="0.25">
      <c r="A23" s="11" t="s">
        <v>1107</v>
      </c>
      <c r="B23" s="11" t="s">
        <v>1108</v>
      </c>
      <c r="C23" s="25">
        <f>_xll.BDH("NBIX US Equity","CF_DISPOSAL_OF_FIXED_PROD_ASSETS","FQ4 2018","FQ4 2018","Currency=USD","Period=FQ","BEST_FPERIOD_OVERRIDE=FQ","FILING_STATUS=MR","SCALING_FORMAT=MLN","Sort=A","Dates=H","DateFormat=P","Fill=—","Direction=H","UseDPDF=Y")</f>
        <v>4.0000000000000001E-3</v>
      </c>
      <c r="D23" s="25">
        <f>_xll.BDH("NBIX US Equity","CF_DISPOSAL_OF_FIXED_PROD_ASSETS","FQ1 2019","FQ1 2019","Currency=USD","Period=FQ","BEST_FPERIOD_OVERRIDE=FQ","FILING_STATUS=MR","SCALING_FORMAT=MLN","Sort=A","Dates=H","DateFormat=P","Fill=—","Direction=H","UseDPDF=Y")</f>
        <v>4.0000000000000001E-3</v>
      </c>
      <c r="E23" s="25">
        <f>_xll.BDH("NBIX US Equity","CF_DISPOSAL_OF_FIXED_PROD_ASSETS","FQ2 2019","FQ2 2019","Currency=USD","Period=FQ","BEST_FPERIOD_OVERRIDE=FQ","FILING_STATUS=MR","SCALING_FORMAT=MLN","Sort=A","Dates=H","DateFormat=P","Fill=—","Direction=H","UseDPDF=Y")</f>
        <v>0</v>
      </c>
      <c r="F23" s="25">
        <f>_xll.BDH("NBIX US Equity","CF_DISPOSAL_OF_FIXED_PROD_ASSETS","FQ3 2019","FQ3 2019","Currency=USD","Period=FQ","BEST_FPERIOD_OVERRIDE=FQ","FILING_STATUS=MR","SCALING_FORMAT=MLN","Sort=A","Dates=H","DateFormat=P","Fill=—","Direction=H","UseDPDF=Y")</f>
        <v>4.0000000000000001E-3</v>
      </c>
      <c r="G23" s="25">
        <f>_xll.BDH("NBIX US Equity","CF_DISPOSAL_OF_FIXED_PROD_ASSETS","FQ4 2019","FQ4 2019","Currency=USD","Period=FQ","BEST_FPERIOD_OVERRIDE=FQ","FILING_STATUS=MR","SCALING_FORMAT=MLN","Sort=A","Dates=H","DateFormat=P","Fill=—","Direction=H","UseDPDF=Y")</f>
        <v>0</v>
      </c>
      <c r="H23" s="25">
        <f>_xll.BDH("NBIX US Equity","CF_DISPOSAL_OF_FIXED_PROD_ASSETS","FQ1 2020","FQ1 2020","Currency=USD","Period=FQ","BEST_FPERIOD_OVERRIDE=FQ","FILING_STATUS=MR","SCALING_FORMAT=MLN","Sort=A","Dates=H","DateFormat=P","Fill=—","Direction=H","UseDPDF=Y")</f>
        <v>0</v>
      </c>
      <c r="I23" s="25">
        <f>_xll.BDH("NBIX US Equity","CF_DISPOSAL_OF_FIXED_PROD_ASSETS","FQ2 2020","FQ2 2020","Currency=USD","Period=FQ","BEST_FPERIOD_OVERRIDE=FQ","FILING_STATUS=MR","SCALING_FORMAT=MLN","Sort=A","Dates=H","DateFormat=P","Fill=—","Direction=H","UseDPDF=Y")</f>
        <v>0</v>
      </c>
      <c r="J23" s="25">
        <f>_xll.BDH("NBIX US Equity","CF_DISPOSAL_OF_FIXED_PROD_ASSETS","FQ3 2020","FQ3 2020","Currency=USD","Period=FQ","BEST_FPERIOD_OVERRIDE=FQ","FILING_STATUS=MR","SCALING_FORMAT=MLN","Sort=A","Dates=H","DateFormat=P","Fill=—","Direction=H","UseDPDF=Y")</f>
        <v>0</v>
      </c>
      <c r="K23" s="25">
        <f>_xll.BDH("NBIX US Equity","CF_DISPOSAL_OF_FIXED_PROD_ASSETS","FQ4 2020","FQ4 2020","Currency=USD","Period=FQ","BEST_FPERIOD_OVERRIDE=FQ","FILING_STATUS=MR","SCALING_FORMAT=MLN","Sort=A","Dates=H","DateFormat=P","Fill=—","Direction=H","UseDPDF=Y")</f>
        <v>0</v>
      </c>
      <c r="L23" s="25">
        <f>_xll.BDH("NBIX US Equity","CF_DISPOSAL_OF_FIXED_PROD_ASSETS","FQ1 2021","FQ1 2021","Currency=USD","Period=FQ","BEST_FPERIOD_OVERRIDE=FQ","FILING_STATUS=MR","SCALING_FORMAT=MLN","Sort=A","Dates=H","DateFormat=P","Fill=—","Direction=H","UseDPDF=Y")</f>
        <v>0</v>
      </c>
      <c r="M23" s="25">
        <f>_xll.BDH("NBIX US Equity","CF_DISPOSAL_OF_FIXED_PROD_ASSETS","FQ2 2021","FQ2 2021","Currency=USD","Period=FQ","BEST_FPERIOD_OVERRIDE=FQ","FILING_STATUS=MR","SCALING_FORMAT=MLN","Sort=A","Dates=H","DateFormat=P","Fill=—","Direction=H","UseDPDF=Y")</f>
        <v>0</v>
      </c>
      <c r="N23" s="25">
        <f>_xll.BDH("NBIX US Equity","CF_DISPOSAL_OF_FIXED_PROD_ASSETS","FQ3 2021","FQ3 2021","Currency=USD","Period=FQ","BEST_FPERIOD_OVERRIDE=FQ","FILING_STATUS=MR","SCALING_FORMAT=MLN","Sort=A","Dates=H","DateFormat=P","Fill=—","Direction=H","UseDPDF=Y")</f>
        <v>0</v>
      </c>
      <c r="O23" s="25">
        <f>_xll.BDH("NBIX US Equity","CF_DISPOSAL_OF_FIXED_PROD_ASSETS","FQ4 2021","FQ4 2021","Currency=USD","Period=FQ","BEST_FPERIOD_OVERRIDE=FQ","FILING_STATUS=MR","SCALING_FORMAT=MLN","Sort=A","Dates=H","DateFormat=P","Fill=—","Direction=H","UseDPDF=Y")</f>
        <v>0</v>
      </c>
      <c r="P23" s="25" t="str">
        <f>_xll.BDH("NBIX US Equity","CF_DISPOSAL_OF_FIXED_PROD_ASSETS","FQ1 2022","FQ1 2022","Currency=USD","Period=FQ","BEST_FPERIOD_OVERRIDE=FQ","FILING_STATUS=MR","SCALING_FORMAT=MLN","Sort=A","Dates=H","DateFormat=P","Fill=—","Direction=H","UseDPDF=Y")</f>
        <v>—</v>
      </c>
      <c r="Q23" s="25" t="str">
        <f>_xll.BDH("NBIX US Equity","CF_DISPOSAL_OF_FIXED_PROD_ASSETS","FQ2 2022","FQ2 2022","Currency=USD","Period=FQ","BEST_FPERIOD_OVERRIDE=FQ","FILING_STATUS=MR","SCALING_FORMAT=MLN","Sort=A","Dates=H","DateFormat=P","Fill=—","Direction=H","UseDPDF=Y")</f>
        <v>—</v>
      </c>
      <c r="R23" s="25">
        <f>_xll.BDH("NBIX US Equity","CF_DISPOSAL_OF_FIXED_PROD_ASSETS","FQ3 2022","FQ3 2022","Currency=USD","Period=FQ","BEST_FPERIOD_OVERRIDE=FQ","FILING_STATUS=MR","SCALING_FORMAT=MLN","Sort=A","Dates=H","DateFormat=P","Fill=—","Direction=H","UseDPDF=Y")</f>
        <v>0</v>
      </c>
      <c r="S23" s="25" t="str">
        <f>_xll.BDH("NBIX US Equity","CF_DISPOSAL_OF_FIXED_PROD_ASSETS","FQ4 2022","FQ4 2022","Currency=USD","Period=FQ","BEST_FPERIOD_OVERRIDE=FQ","FILING_STATUS=MR","SCALING_FORMAT=MLN","Sort=A","Dates=H","DateFormat=P","Fill=—","Direction=H","UseDPDF=Y")</f>
        <v>—</v>
      </c>
      <c r="T23" s="25">
        <f>_xll.BDH("NBIX US Equity","CF_DISPOSAL_OF_FIXED_PROD_ASSETS","FQ1 2023","FQ1 2023","Currency=USD","Period=FQ","BEST_FPERIOD_OVERRIDE=FQ","FILING_STATUS=MR","SCALING_FORMAT=MLN","Sort=A","Dates=H","DateFormat=P","Fill=—","Direction=H","UseDPDF=Y")</f>
        <v>0</v>
      </c>
      <c r="U23" s="25">
        <f>_xll.BDH("NBIX US Equity","CF_DISPOSAL_OF_FIXED_PROD_ASSETS","FQ2 2023","FQ2 2023","Currency=USD","Period=FQ","BEST_FPERIOD_OVERRIDE=FQ","FILING_STATUS=MR","SCALING_FORMAT=MLN","Sort=A","Dates=H","DateFormat=P","Fill=—","Direction=H","UseDPDF=Y")</f>
        <v>0</v>
      </c>
      <c r="V23" s="25">
        <f>_xll.BDH("NBIX US Equity","CF_DISPOSAL_OF_FIXED_PROD_ASSETS","FQ3 2023","FQ3 2023","Currency=USD","Period=FQ","BEST_FPERIOD_OVERRIDE=FQ","FILING_STATUS=MR","SCALING_FORMAT=MLN","Sort=A","Dates=H","DateFormat=P","Fill=—","Direction=H","UseDPDF=Y")</f>
        <v>0</v>
      </c>
      <c r="W23" s="25">
        <f>_xll.BDH("NBIX US Equity","CF_DISPOSAL_OF_FIXED_PROD_ASSETS","FQ4 2023","FQ4 2023","Currency=USD","Period=FQ","BEST_FPERIOD_OVERRIDE=FQ","FILING_STATUS=MR","SCALING_FORMAT=MLN","Sort=A","Dates=H","DateFormat=P","Fill=—","Direction=H","UseDPDF=Y")</f>
        <v>0</v>
      </c>
      <c r="X23" s="25">
        <f>_xll.BDH("NBIX US Equity","CF_DISPOSAL_OF_FIXED_PROD_ASSETS","FQ1 2024","FQ1 2024","Currency=USD","Period=FQ","BEST_FPERIOD_OVERRIDE=FQ","FILING_STATUS=MR","SCALING_FORMAT=MLN","Sort=A","Dates=H","DateFormat=P","Fill=—","Direction=H","UseDPDF=Y")</f>
        <v>0</v>
      </c>
      <c r="Y23" s="25">
        <f>_xll.BDH("NBIX US Equity","CF_DISPOSAL_OF_FIXED_PROD_ASSETS","FQ2 2024","FQ2 2024","Currency=USD","Period=FQ","BEST_FPERIOD_OVERRIDE=FQ","FILING_STATUS=MR","SCALING_FORMAT=MLN","Sort=A","Dates=H","DateFormat=P","Fill=—","Direction=H","UseDPDF=Y")</f>
        <v>0</v>
      </c>
      <c r="Z23" s="25">
        <f>_xll.BDH("NBIX US Equity","CF_DISPOSAL_OF_FIXED_PROD_ASSETS","FQ3 2024","FQ3 2024","Currency=USD","Period=FQ","BEST_FPERIOD_OVERRIDE=FQ","FILING_STATUS=MR","SCALING_FORMAT=MLN","Sort=A","Dates=H","DateFormat=P","Fill=—","Direction=H","UseDPDF=Y")</f>
        <v>0</v>
      </c>
      <c r="AA23" s="25">
        <f>_xll.BDH("NBIX US Equity","CF_DISPOSAL_OF_FIXED_PROD_ASSETS","FQ4 2024","FQ4 2024","Currency=USD","Period=FQ","BEST_FPERIOD_OVERRIDE=FQ","FILING_STATUS=MR","SCALING_FORMAT=MLN","Sort=A","Dates=H","DateFormat=P","Fill=—","Direction=H","UseDPDF=Y")</f>
        <v>0</v>
      </c>
    </row>
    <row r="24" spans="1:27" x14ac:dyDescent="0.25">
      <c r="A24" s="11" t="s">
        <v>1109</v>
      </c>
      <c r="B24" s="11" t="s">
        <v>1110</v>
      </c>
      <c r="C24" s="25">
        <f>_xll.BDH("NBIX US Equity","CF_DISPOSAL_OF_INTANGIBLE_ASSETS","FQ4 2018","FQ4 2018","Currency=USD","Period=FQ","BEST_FPERIOD_OVERRIDE=FQ","FILING_STATUS=MR","SCALING_FORMAT=MLN","Sort=A","Dates=H","DateFormat=P","Fill=—","Direction=H","UseDPDF=Y")</f>
        <v>0</v>
      </c>
      <c r="D24" s="25">
        <f>_xll.BDH("NBIX US Equity","CF_DISPOSAL_OF_INTANGIBLE_ASSETS","FQ1 2019","FQ1 2019","Currency=USD","Period=FQ","BEST_FPERIOD_OVERRIDE=FQ","FILING_STATUS=MR","SCALING_FORMAT=MLN","Sort=A","Dates=H","DateFormat=P","Fill=—","Direction=H","UseDPDF=Y")</f>
        <v>0</v>
      </c>
      <c r="E24" s="25">
        <f>_xll.BDH("NBIX US Equity","CF_DISPOSAL_OF_INTANGIBLE_ASSETS","FQ2 2019","FQ2 2019","Currency=USD","Period=FQ","BEST_FPERIOD_OVERRIDE=FQ","FILING_STATUS=MR","SCALING_FORMAT=MLN","Sort=A","Dates=H","DateFormat=P","Fill=—","Direction=H","UseDPDF=Y")</f>
        <v>0</v>
      </c>
      <c r="F24" s="25">
        <f>_xll.BDH("NBIX US Equity","CF_DISPOSAL_OF_INTANGIBLE_ASSETS","FQ3 2019","FQ3 2019","Currency=USD","Period=FQ","BEST_FPERIOD_OVERRIDE=FQ","FILING_STATUS=MR","SCALING_FORMAT=MLN","Sort=A","Dates=H","DateFormat=P","Fill=—","Direction=H","UseDPDF=Y")</f>
        <v>0</v>
      </c>
      <c r="G24" s="25">
        <f>_xll.BDH("NBIX US Equity","CF_DISPOSAL_OF_INTANGIBLE_ASSETS","FQ4 2019","FQ4 2019","Currency=USD","Period=FQ","BEST_FPERIOD_OVERRIDE=FQ","FILING_STATUS=MR","SCALING_FORMAT=MLN","Sort=A","Dates=H","DateFormat=P","Fill=—","Direction=H","UseDPDF=Y")</f>
        <v>0</v>
      </c>
      <c r="H24" s="25">
        <f>_xll.BDH("NBIX US Equity","CF_DISPOSAL_OF_INTANGIBLE_ASSETS","FQ1 2020","FQ1 2020","Currency=USD","Period=FQ","BEST_FPERIOD_OVERRIDE=FQ","FILING_STATUS=MR","SCALING_FORMAT=MLN","Sort=A","Dates=H","DateFormat=P","Fill=—","Direction=H","UseDPDF=Y")</f>
        <v>0</v>
      </c>
      <c r="I24" s="25">
        <f>_xll.BDH("NBIX US Equity","CF_DISPOSAL_OF_INTANGIBLE_ASSETS","FQ2 2020","FQ2 2020","Currency=USD","Period=FQ","BEST_FPERIOD_OVERRIDE=FQ","FILING_STATUS=MR","SCALING_FORMAT=MLN","Sort=A","Dates=H","DateFormat=P","Fill=—","Direction=H","UseDPDF=Y")</f>
        <v>0</v>
      </c>
      <c r="J24" s="25">
        <f>_xll.BDH("NBIX US Equity","CF_DISPOSAL_OF_INTANGIBLE_ASSETS","FQ3 2020","FQ3 2020","Currency=USD","Period=FQ","BEST_FPERIOD_OVERRIDE=FQ","FILING_STATUS=MR","SCALING_FORMAT=MLN","Sort=A","Dates=H","DateFormat=P","Fill=—","Direction=H","UseDPDF=Y")</f>
        <v>0</v>
      </c>
      <c r="K24" s="25">
        <f>_xll.BDH("NBIX US Equity","CF_DISPOSAL_OF_INTANGIBLE_ASSETS","FQ4 2020","FQ4 2020","Currency=USD","Period=FQ","BEST_FPERIOD_OVERRIDE=FQ","FILING_STATUS=MR","SCALING_FORMAT=MLN","Sort=A","Dates=H","DateFormat=P","Fill=—","Direction=H","UseDPDF=Y")</f>
        <v>0</v>
      </c>
      <c r="L24" s="25">
        <f>_xll.BDH("NBIX US Equity","CF_DISPOSAL_OF_INTANGIBLE_ASSETS","FQ1 2021","FQ1 2021","Currency=USD","Period=FQ","BEST_FPERIOD_OVERRIDE=FQ","FILING_STATUS=MR","SCALING_FORMAT=MLN","Sort=A","Dates=H","DateFormat=P","Fill=—","Direction=H","UseDPDF=Y")</f>
        <v>0</v>
      </c>
      <c r="M24" s="25">
        <f>_xll.BDH("NBIX US Equity","CF_DISPOSAL_OF_INTANGIBLE_ASSETS","FQ2 2021","FQ2 2021","Currency=USD","Period=FQ","BEST_FPERIOD_OVERRIDE=FQ","FILING_STATUS=MR","SCALING_FORMAT=MLN","Sort=A","Dates=H","DateFormat=P","Fill=—","Direction=H","UseDPDF=Y")</f>
        <v>0</v>
      </c>
      <c r="N24" s="25">
        <f>_xll.BDH("NBIX US Equity","CF_DISPOSAL_OF_INTANGIBLE_ASSETS","FQ3 2021","FQ3 2021","Currency=USD","Period=FQ","BEST_FPERIOD_OVERRIDE=FQ","FILING_STATUS=MR","SCALING_FORMAT=MLN","Sort=A","Dates=H","DateFormat=P","Fill=—","Direction=H","UseDPDF=Y")</f>
        <v>0</v>
      </c>
      <c r="O24" s="25">
        <f>_xll.BDH("NBIX US Equity","CF_DISPOSAL_OF_INTANGIBLE_ASSETS","FQ4 2021","FQ4 2021","Currency=USD","Period=FQ","BEST_FPERIOD_OVERRIDE=FQ","FILING_STATUS=MR","SCALING_FORMAT=MLN","Sort=A","Dates=H","DateFormat=P","Fill=—","Direction=H","UseDPDF=Y")</f>
        <v>0</v>
      </c>
      <c r="P24" s="25" t="str">
        <f>_xll.BDH("NBIX US Equity","CF_DISPOSAL_OF_INTANGIBLE_ASSETS","FQ1 2022","FQ1 2022","Currency=USD","Period=FQ","BEST_FPERIOD_OVERRIDE=FQ","FILING_STATUS=MR","SCALING_FORMAT=MLN","Sort=A","Dates=H","DateFormat=P","Fill=—","Direction=H","UseDPDF=Y")</f>
        <v>—</v>
      </c>
      <c r="Q24" s="25" t="str">
        <f>_xll.BDH("NBIX US Equity","CF_DISPOSAL_OF_INTANGIBLE_ASSETS","FQ2 2022","FQ2 2022","Currency=USD","Period=FQ","BEST_FPERIOD_OVERRIDE=FQ","FILING_STATUS=MR","SCALING_FORMAT=MLN","Sort=A","Dates=H","DateFormat=P","Fill=—","Direction=H","UseDPDF=Y")</f>
        <v>—</v>
      </c>
      <c r="R24" s="25">
        <f>_xll.BDH("NBIX US Equity","CF_DISPOSAL_OF_INTANGIBLE_ASSETS","FQ3 2022","FQ3 2022","Currency=USD","Period=FQ","BEST_FPERIOD_OVERRIDE=FQ","FILING_STATUS=MR","SCALING_FORMAT=MLN","Sort=A","Dates=H","DateFormat=P","Fill=—","Direction=H","UseDPDF=Y")</f>
        <v>1.7</v>
      </c>
      <c r="S24" s="25" t="str">
        <f>_xll.BDH("NBIX US Equity","CF_DISPOSAL_OF_INTANGIBLE_ASSETS","FQ4 2022","FQ4 2022","Currency=USD","Period=FQ","BEST_FPERIOD_OVERRIDE=FQ","FILING_STATUS=MR","SCALING_FORMAT=MLN","Sort=A","Dates=H","DateFormat=P","Fill=—","Direction=H","UseDPDF=Y")</f>
        <v>—</v>
      </c>
      <c r="T24" s="25">
        <f>_xll.BDH("NBIX US Equity","CF_DISPOSAL_OF_INTANGIBLE_ASSETS","FQ1 2023","FQ1 2023","Currency=USD","Period=FQ","BEST_FPERIOD_OVERRIDE=FQ","FILING_STATUS=MR","SCALING_FORMAT=MLN","Sort=A","Dates=H","DateFormat=P","Fill=—","Direction=H","UseDPDF=Y")</f>
        <v>0</v>
      </c>
      <c r="U24" s="25">
        <f>_xll.BDH("NBIX US Equity","CF_DISPOSAL_OF_INTANGIBLE_ASSETS","FQ2 2023","FQ2 2023","Currency=USD","Period=FQ","BEST_FPERIOD_OVERRIDE=FQ","FILING_STATUS=MR","SCALING_FORMAT=MLN","Sort=A","Dates=H","DateFormat=P","Fill=—","Direction=H","UseDPDF=Y")</f>
        <v>0</v>
      </c>
      <c r="V24" s="25">
        <f>_xll.BDH("NBIX US Equity","CF_DISPOSAL_OF_INTANGIBLE_ASSETS","FQ3 2023","FQ3 2023","Currency=USD","Period=FQ","BEST_FPERIOD_OVERRIDE=FQ","FILING_STATUS=MR","SCALING_FORMAT=MLN","Sort=A","Dates=H","DateFormat=P","Fill=—","Direction=H","UseDPDF=Y")</f>
        <v>0</v>
      </c>
      <c r="W24" s="25">
        <f>_xll.BDH("NBIX US Equity","CF_DISPOSAL_OF_INTANGIBLE_ASSETS","FQ4 2023","FQ4 2023","Currency=USD","Period=FQ","BEST_FPERIOD_OVERRIDE=FQ","FILING_STATUS=MR","SCALING_FORMAT=MLN","Sort=A","Dates=H","DateFormat=P","Fill=—","Direction=H","UseDPDF=Y")</f>
        <v>0</v>
      </c>
      <c r="X24" s="25">
        <f>_xll.BDH("NBIX US Equity","CF_DISPOSAL_OF_INTANGIBLE_ASSETS","FQ1 2024","FQ1 2024","Currency=USD","Period=FQ","BEST_FPERIOD_OVERRIDE=FQ","FILING_STATUS=MR","SCALING_FORMAT=MLN","Sort=A","Dates=H","DateFormat=P","Fill=—","Direction=H","UseDPDF=Y")</f>
        <v>0</v>
      </c>
      <c r="Y24" s="25">
        <f>_xll.BDH("NBIX US Equity","CF_DISPOSAL_OF_INTANGIBLE_ASSETS","FQ2 2024","FQ2 2024","Currency=USD","Period=FQ","BEST_FPERIOD_OVERRIDE=FQ","FILING_STATUS=MR","SCALING_FORMAT=MLN","Sort=A","Dates=H","DateFormat=P","Fill=—","Direction=H","UseDPDF=Y")</f>
        <v>0</v>
      </c>
      <c r="Z24" s="25">
        <f>_xll.BDH("NBIX US Equity","CF_DISPOSAL_OF_INTANGIBLE_ASSETS","FQ3 2024","FQ3 2024","Currency=USD","Period=FQ","BEST_FPERIOD_OVERRIDE=FQ","FILING_STATUS=MR","SCALING_FORMAT=MLN","Sort=A","Dates=H","DateFormat=P","Fill=—","Direction=H","UseDPDF=Y")</f>
        <v>0</v>
      </c>
      <c r="AA24" s="25">
        <f>_xll.BDH("NBIX US Equity","CF_DISPOSAL_OF_INTANGIBLE_ASSETS","FQ4 2024","FQ4 2024","Currency=USD","Period=FQ","BEST_FPERIOD_OVERRIDE=FQ","FILING_STATUS=MR","SCALING_FORMAT=MLN","Sort=A","Dates=H","DateFormat=P","Fill=—","Direction=H","UseDPDF=Y")</f>
        <v>0</v>
      </c>
    </row>
    <row r="25" spans="1:27" x14ac:dyDescent="0.25">
      <c r="A25" s="10" t="s">
        <v>1111</v>
      </c>
      <c r="B25" s="10" t="s">
        <v>1112</v>
      </c>
      <c r="C25" s="13">
        <f>_xll.BDH("NBIX US Equity","ACQUIS_OF_FIXED_INTANG","FQ4 2018","FQ4 2018","Currency=USD","Period=FQ","BEST_FPERIOD_OVERRIDE=FQ","FILING_STATUS=MR","SCALING_FORMAT=MLN","Sort=A","Dates=H","DateFormat=P","Fill=—","Direction=H","UseDPDF=Y")</f>
        <v>-6.01</v>
      </c>
      <c r="D25" s="13">
        <f>_xll.BDH("NBIX US Equity","ACQUIS_OF_FIXED_INTANG","FQ1 2019","FQ1 2019","Currency=USD","Period=FQ","BEST_FPERIOD_OVERRIDE=FQ","FILING_STATUS=MR","SCALING_FORMAT=MLN","Sort=A","Dates=H","DateFormat=P","Fill=—","Direction=H","UseDPDF=Y")</f>
        <v>-3.9390000000000001</v>
      </c>
      <c r="E25" s="13">
        <f>_xll.BDH("NBIX US Equity","ACQUIS_OF_FIXED_INTANG","FQ2 2019","FQ2 2019","Currency=USD","Period=FQ","BEST_FPERIOD_OVERRIDE=FQ","FILING_STATUS=MR","SCALING_FORMAT=MLN","Sort=A","Dates=H","DateFormat=P","Fill=—","Direction=H","UseDPDF=Y")</f>
        <v>-4.4530000000000003</v>
      </c>
      <c r="F25" s="13">
        <f>_xll.BDH("NBIX US Equity","ACQUIS_OF_FIXED_INTANG","FQ3 2019","FQ3 2019","Currency=USD","Period=FQ","BEST_FPERIOD_OVERRIDE=FQ","FILING_STATUS=MR","SCALING_FORMAT=MLN","Sort=A","Dates=H","DateFormat=P","Fill=—","Direction=H","UseDPDF=Y")</f>
        <v>-3.544</v>
      </c>
      <c r="G25" s="13">
        <f>_xll.BDH("NBIX US Equity","ACQUIS_OF_FIXED_INTANG","FQ4 2019","FQ4 2019","Currency=USD","Period=FQ","BEST_FPERIOD_OVERRIDE=FQ","FILING_STATUS=MR","SCALING_FORMAT=MLN","Sort=A","Dates=H","DateFormat=P","Fill=—","Direction=H","UseDPDF=Y")</f>
        <v>-2.7719999999999998</v>
      </c>
      <c r="H25" s="13">
        <f>_xll.BDH("NBIX US Equity","ACQUIS_OF_FIXED_INTANG","FQ1 2020","FQ1 2020","Currency=USD","Period=FQ","BEST_FPERIOD_OVERRIDE=FQ","FILING_STATUS=MR","SCALING_FORMAT=MLN","Sort=A","Dates=H","DateFormat=P","Fill=—","Direction=H","UseDPDF=Y")</f>
        <v>-1.3</v>
      </c>
      <c r="I25" s="13">
        <f>_xll.BDH("NBIX US Equity","ACQUIS_OF_FIXED_INTANG","FQ2 2020","FQ2 2020","Currency=USD","Period=FQ","BEST_FPERIOD_OVERRIDE=FQ","FILING_STATUS=MR","SCALING_FORMAT=MLN","Sort=A","Dates=H","DateFormat=P","Fill=—","Direction=H","UseDPDF=Y")</f>
        <v>-4.7</v>
      </c>
      <c r="J25" s="13">
        <f>_xll.BDH("NBIX US Equity","ACQUIS_OF_FIXED_INTANG","FQ3 2020","FQ3 2020","Currency=USD","Period=FQ","BEST_FPERIOD_OVERRIDE=FQ","FILING_STATUS=MR","SCALING_FORMAT=MLN","Sort=A","Dates=H","DateFormat=P","Fill=—","Direction=H","UseDPDF=Y")</f>
        <v>-0.4</v>
      </c>
      <c r="K25" s="13">
        <f>_xll.BDH("NBIX US Equity","ACQUIS_OF_FIXED_INTANG","FQ4 2020","FQ4 2020","Currency=USD","Period=FQ","BEST_FPERIOD_OVERRIDE=FQ","FILING_STATUS=MR","SCALING_FORMAT=MLN","Sort=A","Dates=H","DateFormat=P","Fill=—","Direction=H","UseDPDF=Y")</f>
        <v>-4.5</v>
      </c>
      <c r="L25" s="13">
        <f>_xll.BDH("NBIX US Equity","ACQUIS_OF_FIXED_INTANG","FQ1 2021","FQ1 2021","Currency=USD","Period=FQ","BEST_FPERIOD_OVERRIDE=FQ","FILING_STATUS=MR","SCALING_FORMAT=MLN","Sort=A","Dates=H","DateFormat=P","Fill=—","Direction=H","UseDPDF=Y")</f>
        <v>-4.5</v>
      </c>
      <c r="M25" s="13">
        <f>_xll.BDH("NBIX US Equity","ACQUIS_OF_FIXED_INTANG","FQ2 2021","FQ2 2021","Currency=USD","Period=FQ","BEST_FPERIOD_OVERRIDE=FQ","FILING_STATUS=MR","SCALING_FORMAT=MLN","Sort=A","Dates=H","DateFormat=P","Fill=—","Direction=H","UseDPDF=Y")</f>
        <v>-4.3</v>
      </c>
      <c r="N25" s="13">
        <f>_xll.BDH("NBIX US Equity","ACQUIS_OF_FIXED_INTANG","FQ3 2021","FQ3 2021","Currency=USD","Period=FQ","BEST_FPERIOD_OVERRIDE=FQ","FILING_STATUS=MR","SCALING_FORMAT=MLN","Sort=A","Dates=H","DateFormat=P","Fill=—","Direction=H","UseDPDF=Y")</f>
        <v>-5.7</v>
      </c>
      <c r="O25" s="13">
        <f>_xll.BDH("NBIX US Equity","ACQUIS_OF_FIXED_INTANG","FQ4 2021","FQ4 2021","Currency=USD","Period=FQ","BEST_FPERIOD_OVERRIDE=FQ","FILING_STATUS=MR","SCALING_FORMAT=MLN","Sort=A","Dates=H","DateFormat=P","Fill=—","Direction=H","UseDPDF=Y")</f>
        <v>-8.9</v>
      </c>
      <c r="P25" s="13">
        <f>_xll.BDH("NBIX US Equity","ACQUIS_OF_FIXED_INTANG","FQ1 2022","FQ1 2022","Currency=USD","Period=FQ","BEST_FPERIOD_OVERRIDE=FQ","FILING_STATUS=MR","SCALING_FORMAT=MLN","Sort=A","Dates=H","DateFormat=P","Fill=—","Direction=H","UseDPDF=Y")</f>
        <v>-7.6</v>
      </c>
      <c r="Q25" s="13">
        <f>_xll.BDH("NBIX US Equity","ACQUIS_OF_FIXED_INTANG","FQ2 2022","FQ2 2022","Currency=USD","Period=FQ","BEST_FPERIOD_OVERRIDE=FQ","FILING_STATUS=MR","SCALING_FORMAT=MLN","Sort=A","Dates=H","DateFormat=P","Fill=—","Direction=H","UseDPDF=Y")</f>
        <v>-8.8000000000000007</v>
      </c>
      <c r="R25" s="13">
        <f>_xll.BDH("NBIX US Equity","ACQUIS_OF_FIXED_INTANG","FQ3 2022","FQ3 2022","Currency=USD","Period=FQ","BEST_FPERIOD_OVERRIDE=FQ","FILING_STATUS=MR","SCALING_FORMAT=MLN","Sort=A","Dates=H","DateFormat=P","Fill=—","Direction=H","UseDPDF=Y")</f>
        <v>0</v>
      </c>
      <c r="S25" s="13">
        <f>_xll.BDH("NBIX US Equity","ACQUIS_OF_FIXED_INTANG","FQ4 2022","FQ4 2022","Currency=USD","Period=FQ","BEST_FPERIOD_OVERRIDE=FQ","FILING_STATUS=MR","SCALING_FORMAT=MLN","Sort=A","Dates=H","DateFormat=P","Fill=—","Direction=H","UseDPDF=Y")</f>
        <v>-1.8</v>
      </c>
      <c r="T25" s="13">
        <f>_xll.BDH("NBIX US Equity","ACQUIS_OF_FIXED_INTANG","FQ1 2023","FQ1 2023","Currency=USD","Period=FQ","BEST_FPERIOD_OVERRIDE=FQ","FILING_STATUS=MR","SCALING_FORMAT=MLN","Sort=A","Dates=H","DateFormat=P","Fill=—","Direction=H","UseDPDF=Y")</f>
        <v>-8.5</v>
      </c>
      <c r="U25" s="13">
        <f>_xll.BDH("NBIX US Equity","ACQUIS_OF_FIXED_INTANG","FQ2 2023","FQ2 2023","Currency=USD","Period=FQ","BEST_FPERIOD_OVERRIDE=FQ","FILING_STATUS=MR","SCALING_FORMAT=MLN","Sort=A","Dates=H","DateFormat=P","Fill=—","Direction=H","UseDPDF=Y")</f>
        <v>-6.8</v>
      </c>
      <c r="V25" s="13">
        <f>_xll.BDH("NBIX US Equity","ACQUIS_OF_FIXED_INTANG","FQ3 2023","FQ3 2023","Currency=USD","Period=FQ","BEST_FPERIOD_OVERRIDE=FQ","FILING_STATUS=MR","SCALING_FORMAT=MLN","Sort=A","Dates=H","DateFormat=P","Fill=—","Direction=H","UseDPDF=Y")</f>
        <v>-7.6</v>
      </c>
      <c r="W25" s="13">
        <f>_xll.BDH("NBIX US Equity","ACQUIS_OF_FIXED_INTANG","FQ4 2023","FQ4 2023","Currency=USD","Period=FQ","BEST_FPERIOD_OVERRIDE=FQ","FILING_STATUS=MR","SCALING_FORMAT=MLN","Sort=A","Dates=H","DateFormat=P","Fill=—","Direction=H","UseDPDF=Y")</f>
        <v>-5.4</v>
      </c>
      <c r="X25" s="13">
        <f>_xll.BDH("NBIX US Equity","ACQUIS_OF_FIXED_INTANG","FQ1 2024","FQ1 2024","Currency=USD","Period=FQ","BEST_FPERIOD_OVERRIDE=FQ","FILING_STATUS=MR","SCALING_FORMAT=MLN","Sort=A","Dates=H","DateFormat=P","Fill=—","Direction=H","UseDPDF=Y")</f>
        <v>-11.2</v>
      </c>
      <c r="Y25" s="13">
        <f>_xll.BDH("NBIX US Equity","ACQUIS_OF_FIXED_INTANG","FQ2 2024","FQ2 2024","Currency=USD","Period=FQ","BEST_FPERIOD_OVERRIDE=FQ","FILING_STATUS=MR","SCALING_FORMAT=MLN","Sort=A","Dates=H","DateFormat=P","Fill=—","Direction=H","UseDPDF=Y")</f>
        <v>-11.6</v>
      </c>
      <c r="Z25" s="13">
        <f>_xll.BDH("NBIX US Equity","ACQUIS_OF_FIXED_INTANG","FQ3 2024","FQ3 2024","Currency=USD","Period=FQ","BEST_FPERIOD_OVERRIDE=FQ","FILING_STATUS=MR","SCALING_FORMAT=MLN","Sort=A","Dates=H","DateFormat=P","Fill=—","Direction=H","UseDPDF=Y")</f>
        <v>-8.1</v>
      </c>
      <c r="AA25" s="13">
        <f>_xll.BDH("NBIX US Equity","ACQUIS_OF_FIXED_INTANG","FQ4 2024","FQ4 2024","Currency=USD","Period=FQ","BEST_FPERIOD_OVERRIDE=FQ","FILING_STATUS=MR","SCALING_FORMAT=MLN","Sort=A","Dates=H","DateFormat=P","Fill=—","Direction=H","UseDPDF=Y")</f>
        <v>-7.3</v>
      </c>
    </row>
    <row r="26" spans="1:27" x14ac:dyDescent="0.25">
      <c r="A26" s="11" t="s">
        <v>1113</v>
      </c>
      <c r="B26" s="11" t="s">
        <v>1114</v>
      </c>
      <c r="C26" s="25">
        <f>_xll.BDH("NBIX US Equity","CF_PURCHASE_OF_FIXED_PROD_ASSETS","FQ4 2018","FQ4 2018","Currency=USD","Period=FQ","BEST_FPERIOD_OVERRIDE=FQ","FILING_STATUS=MR","SCALING_FORMAT=MLN","Sort=A","Dates=H","DateFormat=P","Fill=—","Direction=H","UseDPDF=Y")</f>
        <v>-6.01</v>
      </c>
      <c r="D26" s="25">
        <f>_xll.BDH("NBIX US Equity","CF_PURCHASE_OF_FIXED_PROD_ASSETS","FQ1 2019","FQ1 2019","Currency=USD","Period=FQ","BEST_FPERIOD_OVERRIDE=FQ","FILING_STATUS=MR","SCALING_FORMAT=MLN","Sort=A","Dates=H","DateFormat=P","Fill=—","Direction=H","UseDPDF=Y")</f>
        <v>-3.9390000000000001</v>
      </c>
      <c r="E26" s="25">
        <f>_xll.BDH("NBIX US Equity","CF_PURCHASE_OF_FIXED_PROD_ASSETS","FQ2 2019","FQ2 2019","Currency=USD","Period=FQ","BEST_FPERIOD_OVERRIDE=FQ","FILING_STATUS=MR","SCALING_FORMAT=MLN","Sort=A","Dates=H","DateFormat=P","Fill=—","Direction=H","UseDPDF=Y")</f>
        <v>-4.4530000000000003</v>
      </c>
      <c r="F26" s="25">
        <f>_xll.BDH("NBIX US Equity","CF_PURCHASE_OF_FIXED_PROD_ASSETS","FQ3 2019","FQ3 2019","Currency=USD","Period=FQ","BEST_FPERIOD_OVERRIDE=FQ","FILING_STATUS=MR","SCALING_FORMAT=MLN","Sort=A","Dates=H","DateFormat=P","Fill=—","Direction=H","UseDPDF=Y")</f>
        <v>-3.544</v>
      </c>
      <c r="G26" s="25">
        <f>_xll.BDH("NBIX US Equity","CF_PURCHASE_OF_FIXED_PROD_ASSETS","FQ4 2019","FQ4 2019","Currency=USD","Period=FQ","BEST_FPERIOD_OVERRIDE=FQ","FILING_STATUS=MR","SCALING_FORMAT=MLN","Sort=A","Dates=H","DateFormat=P","Fill=—","Direction=H","UseDPDF=Y")</f>
        <v>-2.7719999999999998</v>
      </c>
      <c r="H26" s="25">
        <f>_xll.BDH("NBIX US Equity","CF_PURCHASE_OF_FIXED_PROD_ASSETS","FQ1 2020","FQ1 2020","Currency=USD","Period=FQ","BEST_FPERIOD_OVERRIDE=FQ","FILING_STATUS=MR","SCALING_FORMAT=MLN","Sort=A","Dates=H","DateFormat=P","Fill=—","Direction=H","UseDPDF=Y")</f>
        <v>-1.3</v>
      </c>
      <c r="I26" s="25">
        <f>_xll.BDH("NBIX US Equity","CF_PURCHASE_OF_FIXED_PROD_ASSETS","FQ2 2020","FQ2 2020","Currency=USD","Period=FQ","BEST_FPERIOD_OVERRIDE=FQ","FILING_STATUS=MR","SCALING_FORMAT=MLN","Sort=A","Dates=H","DateFormat=P","Fill=—","Direction=H","UseDPDF=Y")</f>
        <v>-4.7</v>
      </c>
      <c r="J26" s="25">
        <f>_xll.BDH("NBIX US Equity","CF_PURCHASE_OF_FIXED_PROD_ASSETS","FQ3 2020","FQ3 2020","Currency=USD","Period=FQ","BEST_FPERIOD_OVERRIDE=FQ","FILING_STATUS=MR","SCALING_FORMAT=MLN","Sort=A","Dates=H","DateFormat=P","Fill=—","Direction=H","UseDPDF=Y")</f>
        <v>-0.4</v>
      </c>
      <c r="K26" s="25">
        <f>_xll.BDH("NBIX US Equity","CF_PURCHASE_OF_FIXED_PROD_ASSETS","FQ4 2020","FQ4 2020","Currency=USD","Period=FQ","BEST_FPERIOD_OVERRIDE=FQ","FILING_STATUS=MR","SCALING_FORMAT=MLN","Sort=A","Dates=H","DateFormat=P","Fill=—","Direction=H","UseDPDF=Y")</f>
        <v>-4.5</v>
      </c>
      <c r="L26" s="25">
        <f>_xll.BDH("NBIX US Equity","CF_PURCHASE_OF_FIXED_PROD_ASSETS","FQ1 2021","FQ1 2021","Currency=USD","Period=FQ","BEST_FPERIOD_OVERRIDE=FQ","FILING_STATUS=MR","SCALING_FORMAT=MLN","Sort=A","Dates=H","DateFormat=P","Fill=—","Direction=H","UseDPDF=Y")</f>
        <v>-4.5</v>
      </c>
      <c r="M26" s="25">
        <f>_xll.BDH("NBIX US Equity","CF_PURCHASE_OF_FIXED_PROD_ASSETS","FQ2 2021","FQ2 2021","Currency=USD","Period=FQ","BEST_FPERIOD_OVERRIDE=FQ","FILING_STATUS=MR","SCALING_FORMAT=MLN","Sort=A","Dates=H","DateFormat=P","Fill=—","Direction=H","UseDPDF=Y")</f>
        <v>-4.3</v>
      </c>
      <c r="N26" s="25">
        <f>_xll.BDH("NBIX US Equity","CF_PURCHASE_OF_FIXED_PROD_ASSETS","FQ3 2021","FQ3 2021","Currency=USD","Period=FQ","BEST_FPERIOD_OVERRIDE=FQ","FILING_STATUS=MR","SCALING_FORMAT=MLN","Sort=A","Dates=H","DateFormat=P","Fill=—","Direction=H","UseDPDF=Y")</f>
        <v>-5.7</v>
      </c>
      <c r="O26" s="25">
        <f>_xll.BDH("NBIX US Equity","CF_PURCHASE_OF_FIXED_PROD_ASSETS","FQ4 2021","FQ4 2021","Currency=USD","Period=FQ","BEST_FPERIOD_OVERRIDE=FQ","FILING_STATUS=MR","SCALING_FORMAT=MLN","Sort=A","Dates=H","DateFormat=P","Fill=—","Direction=H","UseDPDF=Y")</f>
        <v>-8.9</v>
      </c>
      <c r="P26" s="25">
        <f>_xll.BDH("NBIX US Equity","CF_PURCHASE_OF_FIXED_PROD_ASSETS","FQ1 2022","FQ1 2022","Currency=USD","Period=FQ","BEST_FPERIOD_OVERRIDE=FQ","FILING_STATUS=MR","SCALING_FORMAT=MLN","Sort=A","Dates=H","DateFormat=P","Fill=—","Direction=H","UseDPDF=Y")</f>
        <v>-7.6</v>
      </c>
      <c r="Q26" s="25">
        <f>_xll.BDH("NBIX US Equity","CF_PURCHASE_OF_FIXED_PROD_ASSETS","FQ2 2022","FQ2 2022","Currency=USD","Period=FQ","BEST_FPERIOD_OVERRIDE=FQ","FILING_STATUS=MR","SCALING_FORMAT=MLN","Sort=A","Dates=H","DateFormat=P","Fill=—","Direction=H","UseDPDF=Y")</f>
        <v>-8.8000000000000007</v>
      </c>
      <c r="R26" s="25">
        <f>_xll.BDH("NBIX US Equity","CF_PURCHASE_OF_FIXED_PROD_ASSETS","FQ3 2022","FQ3 2022","Currency=USD","Period=FQ","BEST_FPERIOD_OVERRIDE=FQ","FILING_STATUS=MR","SCALING_FORMAT=MLN","Sort=A","Dates=H","DateFormat=P","Fill=—","Direction=H","UseDPDF=Y")</f>
        <v>0</v>
      </c>
      <c r="S26" s="25">
        <f>_xll.BDH("NBIX US Equity","CF_PURCHASE_OF_FIXED_PROD_ASSETS","FQ4 2022","FQ4 2022","Currency=USD","Period=FQ","BEST_FPERIOD_OVERRIDE=FQ","FILING_STATUS=MR","SCALING_FORMAT=MLN","Sort=A","Dates=H","DateFormat=P","Fill=—","Direction=H","UseDPDF=Y")</f>
        <v>-1.8</v>
      </c>
      <c r="T26" s="25">
        <f>_xll.BDH("NBIX US Equity","CF_PURCHASE_OF_FIXED_PROD_ASSETS","FQ1 2023","FQ1 2023","Currency=USD","Period=FQ","BEST_FPERIOD_OVERRIDE=FQ","FILING_STATUS=MR","SCALING_FORMAT=MLN","Sort=A","Dates=H","DateFormat=P","Fill=—","Direction=H","UseDPDF=Y")</f>
        <v>-8.5</v>
      </c>
      <c r="U26" s="25">
        <f>_xll.BDH("NBIX US Equity","CF_PURCHASE_OF_FIXED_PROD_ASSETS","FQ2 2023","FQ2 2023","Currency=USD","Period=FQ","BEST_FPERIOD_OVERRIDE=FQ","FILING_STATUS=MR","SCALING_FORMAT=MLN","Sort=A","Dates=H","DateFormat=P","Fill=—","Direction=H","UseDPDF=Y")</f>
        <v>-6.8</v>
      </c>
      <c r="V26" s="25">
        <f>_xll.BDH("NBIX US Equity","CF_PURCHASE_OF_FIXED_PROD_ASSETS","FQ3 2023","FQ3 2023","Currency=USD","Period=FQ","BEST_FPERIOD_OVERRIDE=FQ","FILING_STATUS=MR","SCALING_FORMAT=MLN","Sort=A","Dates=H","DateFormat=P","Fill=—","Direction=H","UseDPDF=Y")</f>
        <v>-7.6</v>
      </c>
      <c r="W26" s="25">
        <f>_xll.BDH("NBIX US Equity","CF_PURCHASE_OF_FIXED_PROD_ASSETS","FQ4 2023","FQ4 2023","Currency=USD","Period=FQ","BEST_FPERIOD_OVERRIDE=FQ","FILING_STATUS=MR","SCALING_FORMAT=MLN","Sort=A","Dates=H","DateFormat=P","Fill=—","Direction=H","UseDPDF=Y")</f>
        <v>-5.4</v>
      </c>
      <c r="X26" s="25">
        <f>_xll.BDH("NBIX US Equity","CF_PURCHASE_OF_FIXED_PROD_ASSETS","FQ1 2024","FQ1 2024","Currency=USD","Period=FQ","BEST_FPERIOD_OVERRIDE=FQ","FILING_STATUS=MR","SCALING_FORMAT=MLN","Sort=A","Dates=H","DateFormat=P","Fill=—","Direction=H","UseDPDF=Y")</f>
        <v>-11.2</v>
      </c>
      <c r="Y26" s="25">
        <f>_xll.BDH("NBIX US Equity","CF_PURCHASE_OF_FIXED_PROD_ASSETS","FQ2 2024","FQ2 2024","Currency=USD","Period=FQ","BEST_FPERIOD_OVERRIDE=FQ","FILING_STATUS=MR","SCALING_FORMAT=MLN","Sort=A","Dates=H","DateFormat=P","Fill=—","Direction=H","UseDPDF=Y")</f>
        <v>-11.6</v>
      </c>
      <c r="Z26" s="25">
        <f>_xll.BDH("NBIX US Equity","CF_PURCHASE_OF_FIXED_PROD_ASSETS","FQ3 2024","FQ3 2024","Currency=USD","Period=FQ","BEST_FPERIOD_OVERRIDE=FQ","FILING_STATUS=MR","SCALING_FORMAT=MLN","Sort=A","Dates=H","DateFormat=P","Fill=—","Direction=H","UseDPDF=Y")</f>
        <v>-8.1</v>
      </c>
      <c r="AA26" s="25">
        <f>_xll.BDH("NBIX US Equity","CF_PURCHASE_OF_FIXED_PROD_ASSETS","FQ4 2024","FQ4 2024","Currency=USD","Period=FQ","BEST_FPERIOD_OVERRIDE=FQ","FILING_STATUS=MR","SCALING_FORMAT=MLN","Sort=A","Dates=H","DateFormat=P","Fill=—","Direction=H","UseDPDF=Y")</f>
        <v>-7.3</v>
      </c>
    </row>
    <row r="27" spans="1:27" x14ac:dyDescent="0.25">
      <c r="A27" s="11" t="s">
        <v>1115</v>
      </c>
      <c r="B27" s="11" t="s">
        <v>1116</v>
      </c>
      <c r="C27" s="25">
        <f>_xll.BDH("NBIX US Equity","CF_ACQUISITION_OF_INTANG_ASSETS","FQ4 2018","FQ4 2018","Currency=USD","Period=FQ","BEST_FPERIOD_OVERRIDE=FQ","FILING_STATUS=MR","SCALING_FORMAT=MLN","Sort=A","Dates=H","DateFormat=P","Fill=—","Direction=H","UseDPDF=Y")</f>
        <v>0</v>
      </c>
      <c r="D27" s="25">
        <f>_xll.BDH("NBIX US Equity","CF_ACQUISITION_OF_INTANG_ASSETS","FQ1 2019","FQ1 2019","Currency=USD","Period=FQ","BEST_FPERIOD_OVERRIDE=FQ","FILING_STATUS=MR","SCALING_FORMAT=MLN","Sort=A","Dates=H","DateFormat=P","Fill=—","Direction=H","UseDPDF=Y")</f>
        <v>0</v>
      </c>
      <c r="E27" s="25">
        <f>_xll.BDH("NBIX US Equity","CF_ACQUISITION_OF_INTANG_ASSETS","FQ2 2019","FQ2 2019","Currency=USD","Period=FQ","BEST_FPERIOD_OVERRIDE=FQ","FILING_STATUS=MR","SCALING_FORMAT=MLN","Sort=A","Dates=H","DateFormat=P","Fill=—","Direction=H","UseDPDF=Y")</f>
        <v>0</v>
      </c>
      <c r="F27" s="25">
        <f>_xll.BDH("NBIX US Equity","CF_ACQUISITION_OF_INTANG_ASSETS","FQ3 2019","FQ3 2019","Currency=USD","Period=FQ","BEST_FPERIOD_OVERRIDE=FQ","FILING_STATUS=MR","SCALING_FORMAT=MLN","Sort=A","Dates=H","DateFormat=P","Fill=—","Direction=H","UseDPDF=Y")</f>
        <v>0</v>
      </c>
      <c r="G27" s="25">
        <f>_xll.BDH("NBIX US Equity","CF_ACQUISITION_OF_INTANG_ASSETS","FQ4 2019","FQ4 2019","Currency=USD","Period=FQ","BEST_FPERIOD_OVERRIDE=FQ","FILING_STATUS=MR","SCALING_FORMAT=MLN","Sort=A","Dates=H","DateFormat=P","Fill=—","Direction=H","UseDPDF=Y")</f>
        <v>0</v>
      </c>
      <c r="H27" s="25">
        <f>_xll.BDH("NBIX US Equity","CF_ACQUISITION_OF_INTANG_ASSETS","FQ1 2020","FQ1 2020","Currency=USD","Period=FQ","BEST_FPERIOD_OVERRIDE=FQ","FILING_STATUS=MR","SCALING_FORMAT=MLN","Sort=A","Dates=H","DateFormat=P","Fill=—","Direction=H","UseDPDF=Y")</f>
        <v>0</v>
      </c>
      <c r="I27" s="25">
        <f>_xll.BDH("NBIX US Equity","CF_ACQUISITION_OF_INTANG_ASSETS","FQ2 2020","FQ2 2020","Currency=USD","Period=FQ","BEST_FPERIOD_OVERRIDE=FQ","FILING_STATUS=MR","SCALING_FORMAT=MLN","Sort=A","Dates=H","DateFormat=P","Fill=—","Direction=H","UseDPDF=Y")</f>
        <v>0</v>
      </c>
      <c r="J27" s="25">
        <f>_xll.BDH("NBIX US Equity","CF_ACQUISITION_OF_INTANG_ASSETS","FQ3 2020","FQ3 2020","Currency=USD","Period=FQ","BEST_FPERIOD_OVERRIDE=FQ","FILING_STATUS=MR","SCALING_FORMAT=MLN","Sort=A","Dates=H","DateFormat=P","Fill=—","Direction=H","UseDPDF=Y")</f>
        <v>0</v>
      </c>
      <c r="K27" s="25">
        <f>_xll.BDH("NBIX US Equity","CF_ACQUISITION_OF_INTANG_ASSETS","FQ4 2020","FQ4 2020","Currency=USD","Period=FQ","BEST_FPERIOD_OVERRIDE=FQ","FILING_STATUS=MR","SCALING_FORMAT=MLN","Sort=A","Dates=H","DateFormat=P","Fill=—","Direction=H","UseDPDF=Y")</f>
        <v>0</v>
      </c>
      <c r="L27" s="25">
        <f>_xll.BDH("NBIX US Equity","CF_ACQUISITION_OF_INTANG_ASSETS","FQ1 2021","FQ1 2021","Currency=USD","Period=FQ","BEST_FPERIOD_OVERRIDE=FQ","FILING_STATUS=MR","SCALING_FORMAT=MLN","Sort=A","Dates=H","DateFormat=P","Fill=—","Direction=H","UseDPDF=Y")</f>
        <v>0</v>
      </c>
      <c r="M27" s="25">
        <f>_xll.BDH("NBIX US Equity","CF_ACQUISITION_OF_INTANG_ASSETS","FQ2 2021","FQ2 2021","Currency=USD","Period=FQ","BEST_FPERIOD_OVERRIDE=FQ","FILING_STATUS=MR","SCALING_FORMAT=MLN","Sort=A","Dates=H","DateFormat=P","Fill=—","Direction=H","UseDPDF=Y")</f>
        <v>0</v>
      </c>
      <c r="N27" s="25">
        <f>_xll.BDH("NBIX US Equity","CF_ACQUISITION_OF_INTANG_ASSETS","FQ3 2021","FQ3 2021","Currency=USD","Period=FQ","BEST_FPERIOD_OVERRIDE=FQ","FILING_STATUS=MR","SCALING_FORMAT=MLN","Sort=A","Dates=H","DateFormat=P","Fill=—","Direction=H","UseDPDF=Y")</f>
        <v>0</v>
      </c>
      <c r="O27" s="25">
        <f>_xll.BDH("NBIX US Equity","CF_ACQUISITION_OF_INTANG_ASSETS","FQ4 2021","FQ4 2021","Currency=USD","Period=FQ","BEST_FPERIOD_OVERRIDE=FQ","FILING_STATUS=MR","SCALING_FORMAT=MLN","Sort=A","Dates=H","DateFormat=P","Fill=—","Direction=H","UseDPDF=Y")</f>
        <v>0</v>
      </c>
      <c r="P27" s="25">
        <f>_xll.BDH("NBIX US Equity","CF_ACQUISITION_OF_INTANG_ASSETS","FQ1 2022","FQ1 2022","Currency=USD","Period=FQ","BEST_FPERIOD_OVERRIDE=FQ","FILING_STATUS=MR","SCALING_FORMAT=MLN","Sort=A","Dates=H","DateFormat=P","Fill=—","Direction=H","UseDPDF=Y")</f>
        <v>0</v>
      </c>
      <c r="Q27" s="25">
        <f>_xll.BDH("NBIX US Equity","CF_ACQUISITION_OF_INTANG_ASSETS","FQ2 2022","FQ2 2022","Currency=USD","Period=FQ","BEST_FPERIOD_OVERRIDE=FQ","FILING_STATUS=MR","SCALING_FORMAT=MLN","Sort=A","Dates=H","DateFormat=P","Fill=—","Direction=H","UseDPDF=Y")</f>
        <v>0</v>
      </c>
      <c r="R27" s="25">
        <f>_xll.BDH("NBIX US Equity","CF_ACQUISITION_OF_INTANG_ASSETS","FQ3 2022","FQ3 2022","Currency=USD","Period=FQ","BEST_FPERIOD_OVERRIDE=FQ","FILING_STATUS=MR","SCALING_FORMAT=MLN","Sort=A","Dates=H","DateFormat=P","Fill=—","Direction=H","UseDPDF=Y")</f>
        <v>0</v>
      </c>
      <c r="S27" s="25" t="str">
        <f>_xll.BDH("NBIX US Equity","CF_ACQUISITION_OF_INTANG_ASSETS","FQ4 2022","FQ4 2022","Currency=USD","Period=FQ","BEST_FPERIOD_OVERRIDE=FQ","FILING_STATUS=MR","SCALING_FORMAT=MLN","Sort=A","Dates=H","DateFormat=P","Fill=—","Direction=H","UseDPDF=Y")</f>
        <v>—</v>
      </c>
      <c r="T27" s="25">
        <f>_xll.BDH("NBIX US Equity","CF_ACQUISITION_OF_INTANG_ASSETS","FQ1 2023","FQ1 2023","Currency=USD","Period=FQ","BEST_FPERIOD_OVERRIDE=FQ","FILING_STATUS=MR","SCALING_FORMAT=MLN","Sort=A","Dates=H","DateFormat=P","Fill=—","Direction=H","UseDPDF=Y")</f>
        <v>0</v>
      </c>
      <c r="U27" s="25">
        <f>_xll.BDH("NBIX US Equity","CF_ACQUISITION_OF_INTANG_ASSETS","FQ2 2023","FQ2 2023","Currency=USD","Period=FQ","BEST_FPERIOD_OVERRIDE=FQ","FILING_STATUS=MR","SCALING_FORMAT=MLN","Sort=A","Dates=H","DateFormat=P","Fill=—","Direction=H","UseDPDF=Y")</f>
        <v>0</v>
      </c>
      <c r="V27" s="25">
        <f>_xll.BDH("NBIX US Equity","CF_ACQUISITION_OF_INTANG_ASSETS","FQ3 2023","FQ3 2023","Currency=USD","Period=FQ","BEST_FPERIOD_OVERRIDE=FQ","FILING_STATUS=MR","SCALING_FORMAT=MLN","Sort=A","Dates=H","DateFormat=P","Fill=—","Direction=H","UseDPDF=Y")</f>
        <v>0</v>
      </c>
      <c r="W27" s="25">
        <f>_xll.BDH("NBIX US Equity","CF_ACQUISITION_OF_INTANG_ASSETS","FQ4 2023","FQ4 2023","Currency=USD","Period=FQ","BEST_FPERIOD_OVERRIDE=FQ","FILING_STATUS=MR","SCALING_FORMAT=MLN","Sort=A","Dates=H","DateFormat=P","Fill=—","Direction=H","UseDPDF=Y")</f>
        <v>0</v>
      </c>
      <c r="X27" s="25">
        <f>_xll.BDH("NBIX US Equity","CF_ACQUISITION_OF_INTANG_ASSETS","FQ1 2024","FQ1 2024","Currency=USD","Period=FQ","BEST_FPERIOD_OVERRIDE=FQ","FILING_STATUS=MR","SCALING_FORMAT=MLN","Sort=A","Dates=H","DateFormat=P","Fill=—","Direction=H","UseDPDF=Y")</f>
        <v>0</v>
      </c>
      <c r="Y27" s="25">
        <f>_xll.BDH("NBIX US Equity","CF_ACQUISITION_OF_INTANG_ASSETS","FQ2 2024","FQ2 2024","Currency=USD","Period=FQ","BEST_FPERIOD_OVERRIDE=FQ","FILING_STATUS=MR","SCALING_FORMAT=MLN","Sort=A","Dates=H","DateFormat=P","Fill=—","Direction=H","UseDPDF=Y")</f>
        <v>0</v>
      </c>
      <c r="Z27" s="25">
        <f>_xll.BDH("NBIX US Equity","CF_ACQUISITION_OF_INTANG_ASSETS","FQ3 2024","FQ3 2024","Currency=USD","Period=FQ","BEST_FPERIOD_OVERRIDE=FQ","FILING_STATUS=MR","SCALING_FORMAT=MLN","Sort=A","Dates=H","DateFormat=P","Fill=—","Direction=H","UseDPDF=Y")</f>
        <v>0</v>
      </c>
      <c r="AA27" s="25">
        <f>_xll.BDH("NBIX US Equity","CF_ACQUISITION_OF_INTANG_ASSETS","FQ4 2024","FQ4 2024","Currency=USD","Period=FQ","BEST_FPERIOD_OVERRIDE=FQ","FILING_STATUS=MR","SCALING_FORMAT=MLN","Sort=A","Dates=H","DateFormat=P","Fill=—","Direction=H","UseDPDF=Y")</f>
        <v>0</v>
      </c>
    </row>
    <row r="28" spans="1:27" x14ac:dyDescent="0.25">
      <c r="A28" s="10" t="s">
        <v>1117</v>
      </c>
      <c r="B28" s="10" t="s">
        <v>1118</v>
      </c>
      <c r="C28" s="13">
        <f>_xll.BDH("NBIX US Equity","NET_CHG_IN_LT_INVEST_DETAILED","FQ4 2018","FQ4 2018","Currency=USD","Period=FQ","BEST_FPERIOD_OVERRIDE=FQ","FILING_STATUS=MR","SCALING_FORMAT=MLN","Sort=A","Dates=H","DateFormat=P","Fill=—","Direction=H","UseDPDF=Y")</f>
        <v>0</v>
      </c>
      <c r="D28" s="13">
        <f>_xll.BDH("NBIX US Equity","NET_CHG_IN_LT_INVEST_DETAILED","FQ1 2019","FQ1 2019","Currency=USD","Period=FQ","BEST_FPERIOD_OVERRIDE=FQ","FILING_STATUS=MR","SCALING_FORMAT=MLN","Sort=A","Dates=H","DateFormat=P","Fill=—","Direction=H","UseDPDF=Y")</f>
        <v>0</v>
      </c>
      <c r="E28" s="13">
        <f>_xll.BDH("NBIX US Equity","NET_CHG_IN_LT_INVEST_DETAILED","FQ2 2019","FQ2 2019","Currency=USD","Period=FQ","BEST_FPERIOD_OVERRIDE=FQ","FILING_STATUS=MR","SCALING_FORMAT=MLN","Sort=A","Dates=H","DateFormat=P","Fill=—","Direction=H","UseDPDF=Y")</f>
        <v>0</v>
      </c>
      <c r="F28" s="13">
        <f>_xll.BDH("NBIX US Equity","NET_CHG_IN_LT_INVEST_DETAILED","FQ3 2019","FQ3 2019","Currency=USD","Period=FQ","BEST_FPERIOD_OVERRIDE=FQ","FILING_STATUS=MR","SCALING_FORMAT=MLN","Sort=A","Dates=H","DateFormat=P","Fill=—","Direction=H","UseDPDF=Y")</f>
        <v>0</v>
      </c>
      <c r="G28" s="13">
        <f>_xll.BDH("NBIX US Equity","NET_CHG_IN_LT_INVEST_DETAILED","FQ4 2019","FQ4 2019","Currency=USD","Period=FQ","BEST_FPERIOD_OVERRIDE=FQ","FILING_STATUS=MR","SCALING_FORMAT=MLN","Sort=A","Dates=H","DateFormat=P","Fill=—","Direction=H","UseDPDF=Y")</f>
        <v>0</v>
      </c>
      <c r="H28" s="13">
        <f>_xll.BDH("NBIX US Equity","NET_CHG_IN_LT_INVEST_DETAILED","FQ1 2020","FQ1 2020","Currency=USD","Period=FQ","BEST_FPERIOD_OVERRIDE=FQ","FILING_STATUS=MR","SCALING_FORMAT=MLN","Sort=A","Dates=H","DateFormat=P","Fill=—","Direction=H","UseDPDF=Y")</f>
        <v>0</v>
      </c>
      <c r="I28" s="13">
        <f>_xll.BDH("NBIX US Equity","NET_CHG_IN_LT_INVEST_DETAILED","FQ2 2020","FQ2 2020","Currency=USD","Period=FQ","BEST_FPERIOD_OVERRIDE=FQ","FILING_STATUS=MR","SCALING_FORMAT=MLN","Sort=A","Dates=H","DateFormat=P","Fill=—","Direction=H","UseDPDF=Y")</f>
        <v>0</v>
      </c>
      <c r="J28" s="13">
        <f>_xll.BDH("NBIX US Equity","NET_CHG_IN_LT_INVEST_DETAILED","FQ3 2020","FQ3 2020","Currency=USD","Period=FQ","BEST_FPERIOD_OVERRIDE=FQ","FILING_STATUS=MR","SCALING_FORMAT=MLN","Sort=A","Dates=H","DateFormat=P","Fill=—","Direction=H","UseDPDF=Y")</f>
        <v>0</v>
      </c>
      <c r="K28" s="13">
        <f>_xll.BDH("NBIX US Equity","NET_CHG_IN_LT_INVEST_DETAILED","FQ4 2020","FQ4 2020","Currency=USD","Period=FQ","BEST_FPERIOD_OVERRIDE=FQ","FILING_STATUS=MR","SCALING_FORMAT=MLN","Sort=A","Dates=H","DateFormat=P","Fill=—","Direction=H","UseDPDF=Y")</f>
        <v>0</v>
      </c>
      <c r="L28" s="13">
        <f>_xll.BDH("NBIX US Equity","NET_CHG_IN_LT_INVEST_DETAILED","FQ1 2021","FQ1 2021","Currency=USD","Period=FQ","BEST_FPERIOD_OVERRIDE=FQ","FILING_STATUS=MR","SCALING_FORMAT=MLN","Sort=A","Dates=H","DateFormat=P","Fill=—","Direction=H","UseDPDF=Y")</f>
        <v>0</v>
      </c>
      <c r="M28" s="13">
        <f>_xll.BDH("NBIX US Equity","NET_CHG_IN_LT_INVEST_DETAILED","FQ2 2021","FQ2 2021","Currency=USD","Period=FQ","BEST_FPERIOD_OVERRIDE=FQ","FILING_STATUS=MR","SCALING_FORMAT=MLN","Sort=A","Dates=H","DateFormat=P","Fill=—","Direction=H","UseDPDF=Y")</f>
        <v>0</v>
      </c>
      <c r="N28" s="13">
        <f>_xll.BDH("NBIX US Equity","NET_CHG_IN_LT_INVEST_DETAILED","FQ3 2021","FQ3 2021","Currency=USD","Period=FQ","BEST_FPERIOD_OVERRIDE=FQ","FILING_STATUS=MR","SCALING_FORMAT=MLN","Sort=A","Dates=H","DateFormat=P","Fill=—","Direction=H","UseDPDF=Y")</f>
        <v>0</v>
      </c>
      <c r="O28" s="13">
        <f>_xll.BDH("NBIX US Equity","NET_CHG_IN_LT_INVEST_DETAILED","FQ4 2021","FQ4 2021","Currency=USD","Period=FQ","BEST_FPERIOD_OVERRIDE=FQ","FILING_STATUS=MR","SCALING_FORMAT=MLN","Sort=A","Dates=H","DateFormat=P","Fill=—","Direction=H","UseDPDF=Y")</f>
        <v>0</v>
      </c>
      <c r="P28" s="13">
        <f>_xll.BDH("NBIX US Equity","NET_CHG_IN_LT_INVEST_DETAILED","FQ1 2022","FQ1 2022","Currency=USD","Period=FQ","BEST_FPERIOD_OVERRIDE=FQ","FILING_STATUS=MR","SCALING_FORMAT=MLN","Sort=A","Dates=H","DateFormat=P","Fill=—","Direction=H","UseDPDF=Y")</f>
        <v>0</v>
      </c>
      <c r="Q28" s="13">
        <f>_xll.BDH("NBIX US Equity","NET_CHG_IN_LT_INVEST_DETAILED","FQ2 2022","FQ2 2022","Currency=USD","Period=FQ","BEST_FPERIOD_OVERRIDE=FQ","FILING_STATUS=MR","SCALING_FORMAT=MLN","Sort=A","Dates=H","DateFormat=P","Fill=—","Direction=H","UseDPDF=Y")</f>
        <v>0</v>
      </c>
      <c r="R28" s="13">
        <f>_xll.BDH("NBIX US Equity","NET_CHG_IN_LT_INVEST_DETAILED","FQ3 2022","FQ3 2022","Currency=USD","Period=FQ","BEST_FPERIOD_OVERRIDE=FQ","FILING_STATUS=MR","SCALING_FORMAT=MLN","Sort=A","Dates=H","DateFormat=P","Fill=—","Direction=H","UseDPDF=Y")</f>
        <v>0</v>
      </c>
      <c r="S28" s="13">
        <f>_xll.BDH("NBIX US Equity","NET_CHG_IN_LT_INVEST_DETAILED","FQ4 2022","FQ4 2022","Currency=USD","Period=FQ","BEST_FPERIOD_OVERRIDE=FQ","FILING_STATUS=MR","SCALING_FORMAT=MLN","Sort=A","Dates=H","DateFormat=P","Fill=—","Direction=H","UseDPDF=Y")</f>
        <v>0</v>
      </c>
      <c r="T28" s="13">
        <f>_xll.BDH("NBIX US Equity","NET_CHG_IN_LT_INVEST_DETAILED","FQ1 2023","FQ1 2023","Currency=USD","Period=FQ","BEST_FPERIOD_OVERRIDE=FQ","FILING_STATUS=MR","SCALING_FORMAT=MLN","Sort=A","Dates=H","DateFormat=P","Fill=—","Direction=H","UseDPDF=Y")</f>
        <v>0</v>
      </c>
      <c r="U28" s="13">
        <f>_xll.BDH("NBIX US Equity","NET_CHG_IN_LT_INVEST_DETAILED","FQ2 2023","FQ2 2023","Currency=USD","Period=FQ","BEST_FPERIOD_OVERRIDE=FQ","FILING_STATUS=MR","SCALING_FORMAT=MLN","Sort=A","Dates=H","DateFormat=P","Fill=—","Direction=H","UseDPDF=Y")</f>
        <v>0</v>
      </c>
      <c r="V28" s="13">
        <f>_xll.BDH("NBIX US Equity","NET_CHG_IN_LT_INVEST_DETAILED","FQ3 2023","FQ3 2023","Currency=USD","Period=FQ","BEST_FPERIOD_OVERRIDE=FQ","FILING_STATUS=MR","SCALING_FORMAT=MLN","Sort=A","Dates=H","DateFormat=P","Fill=—","Direction=H","UseDPDF=Y")</f>
        <v>0</v>
      </c>
      <c r="W28" s="13">
        <f>_xll.BDH("NBIX US Equity","NET_CHG_IN_LT_INVEST_DETAILED","FQ4 2023","FQ4 2023","Currency=USD","Period=FQ","BEST_FPERIOD_OVERRIDE=FQ","FILING_STATUS=MR","SCALING_FORMAT=MLN","Sort=A","Dates=H","DateFormat=P","Fill=—","Direction=H","UseDPDF=Y")</f>
        <v>0</v>
      </c>
      <c r="X28" s="13">
        <f>_xll.BDH("NBIX US Equity","NET_CHG_IN_LT_INVEST_DETAILED","FQ1 2024","FQ1 2024","Currency=USD","Period=FQ","BEST_FPERIOD_OVERRIDE=FQ","FILING_STATUS=MR","SCALING_FORMAT=MLN","Sort=A","Dates=H","DateFormat=P","Fill=—","Direction=H","UseDPDF=Y")</f>
        <v>0</v>
      </c>
      <c r="Y28" s="13">
        <f>_xll.BDH("NBIX US Equity","NET_CHG_IN_LT_INVEST_DETAILED","FQ2 2024","FQ2 2024","Currency=USD","Period=FQ","BEST_FPERIOD_OVERRIDE=FQ","FILING_STATUS=MR","SCALING_FORMAT=MLN","Sort=A","Dates=H","DateFormat=P","Fill=—","Direction=H","UseDPDF=Y")</f>
        <v>0</v>
      </c>
      <c r="Z28" s="13">
        <f>_xll.BDH("NBIX US Equity","NET_CHG_IN_LT_INVEST_DETAILED","FQ3 2024","FQ3 2024","Currency=USD","Period=FQ","BEST_FPERIOD_OVERRIDE=FQ","FILING_STATUS=MR","SCALING_FORMAT=MLN","Sort=A","Dates=H","DateFormat=P","Fill=—","Direction=H","UseDPDF=Y")</f>
        <v>0</v>
      </c>
      <c r="AA28" s="13">
        <f>_xll.BDH("NBIX US Equity","NET_CHG_IN_LT_INVEST_DETAILED","FQ4 2024","FQ4 2024","Currency=USD","Period=FQ","BEST_FPERIOD_OVERRIDE=FQ","FILING_STATUS=MR","SCALING_FORMAT=MLN","Sort=A","Dates=H","DateFormat=P","Fill=—","Direction=H","UseDPDF=Y")</f>
        <v>0</v>
      </c>
    </row>
    <row r="29" spans="1:27" x14ac:dyDescent="0.25">
      <c r="A29" s="10" t="s">
        <v>1119</v>
      </c>
      <c r="B29" s="10" t="s">
        <v>1120</v>
      </c>
      <c r="C29" s="13">
        <f>_xll.BDH("NBIX US Equity","CF_DECR_INVEST","FQ4 2018","FQ4 2018","Currency=USD","Period=FQ","BEST_FPERIOD_OVERRIDE=FQ","FILING_STATUS=MR","SCALING_FORMAT=MLN","Sort=A","Dates=H","DateFormat=P","Fill=—","Direction=H","UseDPDF=Y")</f>
        <v>0</v>
      </c>
      <c r="D29" s="13">
        <f>_xll.BDH("NBIX US Equity","CF_DECR_INVEST","FQ1 2019","FQ1 2019","Currency=USD","Period=FQ","BEST_FPERIOD_OVERRIDE=FQ","FILING_STATUS=MR","SCALING_FORMAT=MLN","Sort=A","Dates=H","DateFormat=P","Fill=—","Direction=H","UseDPDF=Y")</f>
        <v>0</v>
      </c>
      <c r="E29" s="13">
        <f>_xll.BDH("NBIX US Equity","CF_DECR_INVEST","FQ2 2019","FQ2 2019","Currency=USD","Period=FQ","BEST_FPERIOD_OVERRIDE=FQ","FILING_STATUS=MR","SCALING_FORMAT=MLN","Sort=A","Dates=H","DateFormat=P","Fill=—","Direction=H","UseDPDF=Y")</f>
        <v>0</v>
      </c>
      <c r="F29" s="13">
        <f>_xll.BDH("NBIX US Equity","CF_DECR_INVEST","FQ3 2019","FQ3 2019","Currency=USD","Period=FQ","BEST_FPERIOD_OVERRIDE=FQ","FILING_STATUS=MR","SCALING_FORMAT=MLN","Sort=A","Dates=H","DateFormat=P","Fill=—","Direction=H","UseDPDF=Y")</f>
        <v>0</v>
      </c>
      <c r="G29" s="13">
        <f>_xll.BDH("NBIX US Equity","CF_DECR_INVEST","FQ4 2019","FQ4 2019","Currency=USD","Period=FQ","BEST_FPERIOD_OVERRIDE=FQ","FILING_STATUS=MR","SCALING_FORMAT=MLN","Sort=A","Dates=H","DateFormat=P","Fill=—","Direction=H","UseDPDF=Y")</f>
        <v>0</v>
      </c>
      <c r="H29" s="13">
        <f>_xll.BDH("NBIX US Equity","CF_DECR_INVEST","FQ1 2020","FQ1 2020","Currency=USD","Period=FQ","BEST_FPERIOD_OVERRIDE=FQ","FILING_STATUS=MR","SCALING_FORMAT=MLN","Sort=A","Dates=H","DateFormat=P","Fill=—","Direction=H","UseDPDF=Y")</f>
        <v>0</v>
      </c>
      <c r="I29" s="13">
        <f>_xll.BDH("NBIX US Equity","CF_DECR_INVEST","FQ2 2020","FQ2 2020","Currency=USD","Period=FQ","BEST_FPERIOD_OVERRIDE=FQ","FILING_STATUS=MR","SCALING_FORMAT=MLN","Sort=A","Dates=H","DateFormat=P","Fill=—","Direction=H","UseDPDF=Y")</f>
        <v>0</v>
      </c>
      <c r="J29" s="13">
        <f>_xll.BDH("NBIX US Equity","CF_DECR_INVEST","FQ3 2020","FQ3 2020","Currency=USD","Period=FQ","BEST_FPERIOD_OVERRIDE=FQ","FILING_STATUS=MR","SCALING_FORMAT=MLN","Sort=A","Dates=H","DateFormat=P","Fill=—","Direction=H","UseDPDF=Y")</f>
        <v>0</v>
      </c>
      <c r="K29" s="13">
        <f>_xll.BDH("NBIX US Equity","CF_DECR_INVEST","FQ4 2020","FQ4 2020","Currency=USD","Period=FQ","BEST_FPERIOD_OVERRIDE=FQ","FILING_STATUS=MR","SCALING_FORMAT=MLN","Sort=A","Dates=H","DateFormat=P","Fill=—","Direction=H","UseDPDF=Y")</f>
        <v>0</v>
      </c>
      <c r="L29" s="13">
        <f>_xll.BDH("NBIX US Equity","CF_DECR_INVEST","FQ1 2021","FQ1 2021","Currency=USD","Period=FQ","BEST_FPERIOD_OVERRIDE=FQ","FILING_STATUS=MR","SCALING_FORMAT=MLN","Sort=A","Dates=H","DateFormat=P","Fill=—","Direction=H","UseDPDF=Y")</f>
        <v>0</v>
      </c>
      <c r="M29" s="13">
        <f>_xll.BDH("NBIX US Equity","CF_DECR_INVEST","FQ2 2021","FQ2 2021","Currency=USD","Period=FQ","BEST_FPERIOD_OVERRIDE=FQ","FILING_STATUS=MR","SCALING_FORMAT=MLN","Sort=A","Dates=H","DateFormat=P","Fill=—","Direction=H","UseDPDF=Y")</f>
        <v>0</v>
      </c>
      <c r="N29" s="13">
        <f>_xll.BDH("NBIX US Equity","CF_DECR_INVEST","FQ3 2021","FQ3 2021","Currency=USD","Period=FQ","BEST_FPERIOD_OVERRIDE=FQ","FILING_STATUS=MR","SCALING_FORMAT=MLN","Sort=A","Dates=H","DateFormat=P","Fill=—","Direction=H","UseDPDF=Y")</f>
        <v>0</v>
      </c>
      <c r="O29" s="13">
        <f>_xll.BDH("NBIX US Equity","CF_DECR_INVEST","FQ4 2021","FQ4 2021","Currency=USD","Period=FQ","BEST_FPERIOD_OVERRIDE=FQ","FILING_STATUS=MR","SCALING_FORMAT=MLN","Sort=A","Dates=H","DateFormat=P","Fill=—","Direction=H","UseDPDF=Y")</f>
        <v>0</v>
      </c>
      <c r="P29" s="13" t="str">
        <f>_xll.BDH("NBIX US Equity","CF_DECR_INVEST","FQ1 2022","FQ1 2022","Currency=USD","Period=FQ","BEST_FPERIOD_OVERRIDE=FQ","FILING_STATUS=MR","SCALING_FORMAT=MLN","Sort=A","Dates=H","DateFormat=P","Fill=—","Direction=H","UseDPDF=Y")</f>
        <v>—</v>
      </c>
      <c r="Q29" s="13" t="str">
        <f>_xll.BDH("NBIX US Equity","CF_DECR_INVEST","FQ2 2022","FQ2 2022","Currency=USD","Period=FQ","BEST_FPERIOD_OVERRIDE=FQ","FILING_STATUS=MR","SCALING_FORMAT=MLN","Sort=A","Dates=H","DateFormat=P","Fill=—","Direction=H","UseDPDF=Y")</f>
        <v>—</v>
      </c>
      <c r="R29" s="13" t="str">
        <f>_xll.BDH("NBIX US Equity","CF_DECR_INVEST","FQ3 2022","FQ3 2022","Currency=USD","Period=FQ","BEST_FPERIOD_OVERRIDE=FQ","FILING_STATUS=MR","SCALING_FORMAT=MLN","Sort=A","Dates=H","DateFormat=P","Fill=—","Direction=H","UseDPDF=Y")</f>
        <v>—</v>
      </c>
      <c r="S29" s="13" t="str">
        <f>_xll.BDH("NBIX US Equity","CF_DECR_INVEST","FQ4 2022","FQ4 2022","Currency=USD","Period=FQ","BEST_FPERIOD_OVERRIDE=FQ","FILING_STATUS=MR","SCALING_FORMAT=MLN","Sort=A","Dates=H","DateFormat=P","Fill=—","Direction=H","UseDPDF=Y")</f>
        <v>—</v>
      </c>
      <c r="T29" s="13">
        <f>_xll.BDH("NBIX US Equity","CF_DECR_INVEST","FQ1 2023","FQ1 2023","Currency=USD","Period=FQ","BEST_FPERIOD_OVERRIDE=FQ","FILING_STATUS=MR","SCALING_FORMAT=MLN","Sort=A","Dates=H","DateFormat=P","Fill=—","Direction=H","UseDPDF=Y")</f>
        <v>0</v>
      </c>
      <c r="U29" s="13">
        <f>_xll.BDH("NBIX US Equity","CF_DECR_INVEST","FQ2 2023","FQ2 2023","Currency=USD","Period=FQ","BEST_FPERIOD_OVERRIDE=FQ","FILING_STATUS=MR","SCALING_FORMAT=MLN","Sort=A","Dates=H","DateFormat=P","Fill=—","Direction=H","UseDPDF=Y")</f>
        <v>0</v>
      </c>
      <c r="V29" s="13">
        <f>_xll.BDH("NBIX US Equity","CF_DECR_INVEST","FQ3 2023","FQ3 2023","Currency=USD","Period=FQ","BEST_FPERIOD_OVERRIDE=FQ","FILING_STATUS=MR","SCALING_FORMAT=MLN","Sort=A","Dates=H","DateFormat=P","Fill=—","Direction=H","UseDPDF=Y")</f>
        <v>0</v>
      </c>
      <c r="W29" s="13">
        <f>_xll.BDH("NBIX US Equity","CF_DECR_INVEST","FQ4 2023","FQ4 2023","Currency=USD","Period=FQ","BEST_FPERIOD_OVERRIDE=FQ","FILING_STATUS=MR","SCALING_FORMAT=MLN","Sort=A","Dates=H","DateFormat=P","Fill=—","Direction=H","UseDPDF=Y")</f>
        <v>0</v>
      </c>
      <c r="X29" s="13">
        <f>_xll.BDH("NBIX US Equity","CF_DECR_INVEST","FQ1 2024","FQ1 2024","Currency=USD","Period=FQ","BEST_FPERIOD_OVERRIDE=FQ","FILING_STATUS=MR","SCALING_FORMAT=MLN","Sort=A","Dates=H","DateFormat=P","Fill=—","Direction=H","UseDPDF=Y")</f>
        <v>0</v>
      </c>
      <c r="Y29" s="13">
        <f>_xll.BDH("NBIX US Equity","CF_DECR_INVEST","FQ2 2024","FQ2 2024","Currency=USD","Period=FQ","BEST_FPERIOD_OVERRIDE=FQ","FILING_STATUS=MR","SCALING_FORMAT=MLN","Sort=A","Dates=H","DateFormat=P","Fill=—","Direction=H","UseDPDF=Y")</f>
        <v>0</v>
      </c>
      <c r="Z29" s="13">
        <f>_xll.BDH("NBIX US Equity","CF_DECR_INVEST","FQ3 2024","FQ3 2024","Currency=USD","Period=FQ","BEST_FPERIOD_OVERRIDE=FQ","FILING_STATUS=MR","SCALING_FORMAT=MLN","Sort=A","Dates=H","DateFormat=P","Fill=—","Direction=H","UseDPDF=Y")</f>
        <v>0</v>
      </c>
      <c r="AA29" s="13">
        <f>_xll.BDH("NBIX US Equity","CF_DECR_INVEST","FQ4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0" t="s">
        <v>1121</v>
      </c>
      <c r="B30" s="10" t="s">
        <v>1122</v>
      </c>
      <c r="C30" s="13">
        <f>_xll.BDH("NBIX US Equity","CF_INCR_INVEST","FQ4 2018","FQ4 2018","Currency=USD","Period=FQ","BEST_FPERIOD_OVERRIDE=FQ","FILING_STATUS=MR","SCALING_FORMAT=MLN","Sort=A","Dates=H","DateFormat=P","Fill=—","Direction=H","UseDPDF=Y")</f>
        <v>0</v>
      </c>
      <c r="D30" s="13">
        <f>_xll.BDH("NBIX US Equity","CF_INCR_INVEST","FQ1 2019","FQ1 2019","Currency=USD","Period=FQ","BEST_FPERIOD_OVERRIDE=FQ","FILING_STATUS=MR","SCALING_FORMAT=MLN","Sort=A","Dates=H","DateFormat=P","Fill=—","Direction=H","UseDPDF=Y")</f>
        <v>0</v>
      </c>
      <c r="E30" s="13">
        <f>_xll.BDH("NBIX US Equity","CF_INCR_INVEST","FQ2 2019","FQ2 2019","Currency=USD","Period=FQ","BEST_FPERIOD_OVERRIDE=FQ","FILING_STATUS=MR","SCALING_FORMAT=MLN","Sort=A","Dates=H","DateFormat=P","Fill=—","Direction=H","UseDPDF=Y")</f>
        <v>0</v>
      </c>
      <c r="F30" s="13">
        <f>_xll.BDH("NBIX US Equity","CF_INCR_INVEST","FQ3 2019","FQ3 2019","Currency=USD","Period=FQ","BEST_FPERIOD_OVERRIDE=FQ","FILING_STATUS=MR","SCALING_FORMAT=MLN","Sort=A","Dates=H","DateFormat=P","Fill=—","Direction=H","UseDPDF=Y")</f>
        <v>0</v>
      </c>
      <c r="G30" s="13">
        <f>_xll.BDH("NBIX US Equity","CF_INCR_INVEST","FQ4 2019","FQ4 2019","Currency=USD","Period=FQ","BEST_FPERIOD_OVERRIDE=FQ","FILING_STATUS=MR","SCALING_FORMAT=MLN","Sort=A","Dates=H","DateFormat=P","Fill=—","Direction=H","UseDPDF=Y")</f>
        <v>0</v>
      </c>
      <c r="H30" s="13">
        <f>_xll.BDH("NBIX US Equity","CF_INCR_INVEST","FQ1 2020","FQ1 2020","Currency=USD","Period=FQ","BEST_FPERIOD_OVERRIDE=FQ","FILING_STATUS=MR","SCALING_FORMAT=MLN","Sort=A","Dates=H","DateFormat=P","Fill=—","Direction=H","UseDPDF=Y")</f>
        <v>0</v>
      </c>
      <c r="I30" s="13">
        <f>_xll.BDH("NBIX US Equity","CF_INCR_INVEST","FQ2 2020","FQ2 2020","Currency=USD","Period=FQ","BEST_FPERIOD_OVERRIDE=FQ","FILING_STATUS=MR","SCALING_FORMAT=MLN","Sort=A","Dates=H","DateFormat=P","Fill=—","Direction=H","UseDPDF=Y")</f>
        <v>0</v>
      </c>
      <c r="J30" s="13">
        <f>_xll.BDH("NBIX US Equity","CF_INCR_INVEST","FQ3 2020","FQ3 2020","Currency=USD","Period=FQ","BEST_FPERIOD_OVERRIDE=FQ","FILING_STATUS=MR","SCALING_FORMAT=MLN","Sort=A","Dates=H","DateFormat=P","Fill=—","Direction=H","UseDPDF=Y")</f>
        <v>0</v>
      </c>
      <c r="K30" s="13">
        <f>_xll.BDH("NBIX US Equity","CF_INCR_INVEST","FQ4 2020","FQ4 2020","Currency=USD","Period=FQ","BEST_FPERIOD_OVERRIDE=FQ","FILING_STATUS=MR","SCALING_FORMAT=MLN","Sort=A","Dates=H","DateFormat=P","Fill=—","Direction=H","UseDPDF=Y")</f>
        <v>0</v>
      </c>
      <c r="L30" s="13">
        <f>_xll.BDH("NBIX US Equity","CF_INCR_INVEST","FQ1 2021","FQ1 2021","Currency=USD","Period=FQ","BEST_FPERIOD_OVERRIDE=FQ","FILING_STATUS=MR","SCALING_FORMAT=MLN","Sort=A","Dates=H","DateFormat=P","Fill=—","Direction=H","UseDPDF=Y")</f>
        <v>0</v>
      </c>
      <c r="M30" s="13">
        <f>_xll.BDH("NBIX US Equity","CF_INCR_INVEST","FQ2 2021","FQ2 2021","Currency=USD","Period=FQ","BEST_FPERIOD_OVERRIDE=FQ","FILING_STATUS=MR","SCALING_FORMAT=MLN","Sort=A","Dates=H","DateFormat=P","Fill=—","Direction=H","UseDPDF=Y")</f>
        <v>0</v>
      </c>
      <c r="N30" s="13">
        <f>_xll.BDH("NBIX US Equity","CF_INCR_INVEST","FQ3 2021","FQ3 2021","Currency=USD","Period=FQ","BEST_FPERIOD_OVERRIDE=FQ","FILING_STATUS=MR","SCALING_FORMAT=MLN","Sort=A","Dates=H","DateFormat=P","Fill=—","Direction=H","UseDPDF=Y")</f>
        <v>0</v>
      </c>
      <c r="O30" s="13">
        <f>_xll.BDH("NBIX US Equity","CF_INCR_INVEST","FQ4 2021","FQ4 2021","Currency=USD","Period=FQ","BEST_FPERIOD_OVERRIDE=FQ","FILING_STATUS=MR","SCALING_FORMAT=MLN","Sort=A","Dates=H","DateFormat=P","Fill=—","Direction=H","UseDPDF=Y")</f>
        <v>0</v>
      </c>
      <c r="P30" s="13" t="str">
        <f>_xll.BDH("NBIX US Equity","CF_INCR_INVEST","FQ1 2022","FQ1 2022","Currency=USD","Period=FQ","BEST_FPERIOD_OVERRIDE=FQ","FILING_STATUS=MR","SCALING_FORMAT=MLN","Sort=A","Dates=H","DateFormat=P","Fill=—","Direction=H","UseDPDF=Y")</f>
        <v>—</v>
      </c>
      <c r="Q30" s="13" t="str">
        <f>_xll.BDH("NBIX US Equity","CF_INCR_INVEST","FQ2 2022","FQ2 2022","Currency=USD","Period=FQ","BEST_FPERIOD_OVERRIDE=FQ","FILING_STATUS=MR","SCALING_FORMAT=MLN","Sort=A","Dates=H","DateFormat=P","Fill=—","Direction=H","UseDPDF=Y")</f>
        <v>—</v>
      </c>
      <c r="R30" s="13" t="str">
        <f>_xll.BDH("NBIX US Equity","CF_INCR_INVEST","FQ3 2022","FQ3 2022","Currency=USD","Period=FQ","BEST_FPERIOD_OVERRIDE=FQ","FILING_STATUS=MR","SCALING_FORMAT=MLN","Sort=A","Dates=H","DateFormat=P","Fill=—","Direction=H","UseDPDF=Y")</f>
        <v>—</v>
      </c>
      <c r="S30" s="13" t="str">
        <f>_xll.BDH("NBIX US Equity","CF_INCR_INVEST","FQ4 2022","FQ4 2022","Currency=USD","Period=FQ","BEST_FPERIOD_OVERRIDE=FQ","FILING_STATUS=MR","SCALING_FORMAT=MLN","Sort=A","Dates=H","DateFormat=P","Fill=—","Direction=H","UseDPDF=Y")</f>
        <v>—</v>
      </c>
      <c r="T30" s="13">
        <f>_xll.BDH("NBIX US Equity","CF_INCR_INVEST","FQ1 2023","FQ1 2023","Currency=USD","Period=FQ","BEST_FPERIOD_OVERRIDE=FQ","FILING_STATUS=MR","SCALING_FORMAT=MLN","Sort=A","Dates=H","DateFormat=P","Fill=—","Direction=H","UseDPDF=Y")</f>
        <v>0</v>
      </c>
      <c r="U30" s="13">
        <f>_xll.BDH("NBIX US Equity","CF_INCR_INVEST","FQ2 2023","FQ2 2023","Currency=USD","Period=FQ","BEST_FPERIOD_OVERRIDE=FQ","FILING_STATUS=MR","SCALING_FORMAT=MLN","Sort=A","Dates=H","DateFormat=P","Fill=—","Direction=H","UseDPDF=Y")</f>
        <v>0</v>
      </c>
      <c r="V30" s="13">
        <f>_xll.BDH("NBIX US Equity","CF_INCR_INVEST","FQ3 2023","FQ3 2023","Currency=USD","Period=FQ","BEST_FPERIOD_OVERRIDE=FQ","FILING_STATUS=MR","SCALING_FORMAT=MLN","Sort=A","Dates=H","DateFormat=P","Fill=—","Direction=H","UseDPDF=Y")</f>
        <v>0</v>
      </c>
      <c r="W30" s="13">
        <f>_xll.BDH("NBIX US Equity","CF_INCR_INVEST","FQ4 2023","FQ4 2023","Currency=USD","Period=FQ","BEST_FPERIOD_OVERRIDE=FQ","FILING_STATUS=MR","SCALING_FORMAT=MLN","Sort=A","Dates=H","DateFormat=P","Fill=—","Direction=H","UseDPDF=Y")</f>
        <v>0</v>
      </c>
      <c r="X30" s="13">
        <f>_xll.BDH("NBIX US Equity","CF_INCR_INVEST","FQ1 2024","FQ1 2024","Currency=USD","Period=FQ","BEST_FPERIOD_OVERRIDE=FQ","FILING_STATUS=MR","SCALING_FORMAT=MLN","Sort=A","Dates=H","DateFormat=P","Fill=—","Direction=H","UseDPDF=Y")</f>
        <v>0</v>
      </c>
      <c r="Y30" s="13">
        <f>_xll.BDH("NBIX US Equity","CF_INCR_INVEST","FQ2 2024","FQ2 2024","Currency=USD","Period=FQ","BEST_FPERIOD_OVERRIDE=FQ","FILING_STATUS=MR","SCALING_FORMAT=MLN","Sort=A","Dates=H","DateFormat=P","Fill=—","Direction=H","UseDPDF=Y")</f>
        <v>0</v>
      </c>
      <c r="Z30" s="13">
        <f>_xll.BDH("NBIX US Equity","CF_INCR_INVEST","FQ3 2024","FQ3 2024","Currency=USD","Period=FQ","BEST_FPERIOD_OVERRIDE=FQ","FILING_STATUS=MR","SCALING_FORMAT=MLN","Sort=A","Dates=H","DateFormat=P","Fill=—","Direction=H","UseDPDF=Y")</f>
        <v>0</v>
      </c>
      <c r="AA30" s="13">
        <f>_xll.BDH("NBIX US Equity","CF_INCR_INVEST","FQ4 2024","FQ4 2024","Currency=USD","Period=FQ","BEST_FPERIOD_OVERRIDE=FQ","FILING_STATUS=MR","SCALING_FORMAT=MLN","Sort=A","Dates=H","DateFormat=P","Fill=—","Direction=H","UseDPDF=Y")</f>
        <v>0</v>
      </c>
    </row>
    <row r="31" spans="1:27" x14ac:dyDescent="0.25">
      <c r="A31" s="10" t="s">
        <v>1123</v>
      </c>
      <c r="B31" s="10" t="s">
        <v>1124</v>
      </c>
      <c r="C31" s="13">
        <f>_xll.BDH("NBIX US Equity","CF_NT_CSH_RCVD_PD_FOR_ACQUIS_DIV","FQ4 2018","FQ4 2018","Currency=USD","Period=FQ","BEST_FPERIOD_OVERRIDE=FQ","FILING_STATUS=MR","SCALING_FORMAT=MLN","Sort=A","Dates=H","DateFormat=P","Fill=—","Direction=H","UseDPDF=Y")</f>
        <v>0</v>
      </c>
      <c r="D31" s="13">
        <f>_xll.BDH("NBIX US Equity","CF_NT_CSH_RCVD_PD_FOR_ACQUIS_DIV","FQ1 2019","FQ1 2019","Currency=USD","Period=FQ","BEST_FPERIOD_OVERRIDE=FQ","FILING_STATUS=MR","SCALING_FORMAT=MLN","Sort=A","Dates=H","DateFormat=P","Fill=—","Direction=H","UseDPDF=Y")</f>
        <v>0</v>
      </c>
      <c r="E31" s="13">
        <f>_xll.BDH("NBIX US Equity","CF_NT_CSH_RCVD_PD_FOR_ACQUIS_DIV","FQ2 2019","FQ2 2019","Currency=USD","Period=FQ","BEST_FPERIOD_OVERRIDE=FQ","FILING_STATUS=MR","SCALING_FORMAT=MLN","Sort=A","Dates=H","DateFormat=P","Fill=—","Direction=H","UseDPDF=Y")</f>
        <v>0</v>
      </c>
      <c r="F31" s="13">
        <f>_xll.BDH("NBIX US Equity","CF_NT_CSH_RCVD_PD_FOR_ACQUIS_DIV","FQ3 2019","FQ3 2019","Currency=USD","Period=FQ","BEST_FPERIOD_OVERRIDE=FQ","FILING_STATUS=MR","SCALING_FORMAT=MLN","Sort=A","Dates=H","DateFormat=P","Fill=—","Direction=H","UseDPDF=Y")</f>
        <v>0</v>
      </c>
      <c r="G31" s="13">
        <f>_xll.BDH("NBIX US Equity","CF_NT_CSH_RCVD_PD_FOR_ACQUIS_DIV","FQ4 2019","FQ4 2019","Currency=USD","Period=FQ","BEST_FPERIOD_OVERRIDE=FQ","FILING_STATUS=MR","SCALING_FORMAT=MLN","Sort=A","Dates=H","DateFormat=P","Fill=—","Direction=H","UseDPDF=Y")</f>
        <v>0</v>
      </c>
      <c r="H31" s="13">
        <f>_xll.BDH("NBIX US Equity","CF_NT_CSH_RCVD_PD_FOR_ACQUIS_DIV","FQ1 2020","FQ1 2020","Currency=USD","Period=FQ","BEST_FPERIOD_OVERRIDE=FQ","FILING_STATUS=MR","SCALING_FORMAT=MLN","Sort=A","Dates=H","DateFormat=P","Fill=—","Direction=H","UseDPDF=Y")</f>
        <v>0</v>
      </c>
      <c r="I31" s="13">
        <f>_xll.BDH("NBIX US Equity","CF_NT_CSH_RCVD_PD_FOR_ACQUIS_DIV","FQ2 2020","FQ2 2020","Currency=USD","Period=FQ","BEST_FPERIOD_OVERRIDE=FQ","FILING_STATUS=MR","SCALING_FORMAT=MLN","Sort=A","Dates=H","DateFormat=P","Fill=—","Direction=H","UseDPDF=Y")</f>
        <v>0</v>
      </c>
      <c r="J31" s="13">
        <f>_xll.BDH("NBIX US Equity","CF_NT_CSH_RCVD_PD_FOR_ACQUIS_DIV","FQ3 2020","FQ3 2020","Currency=USD","Period=FQ","BEST_FPERIOD_OVERRIDE=FQ","FILING_STATUS=MR","SCALING_FORMAT=MLN","Sort=A","Dates=H","DateFormat=P","Fill=—","Direction=H","UseDPDF=Y")</f>
        <v>0</v>
      </c>
      <c r="K31" s="13">
        <f>_xll.BDH("NBIX US Equity","CF_NT_CSH_RCVD_PD_FOR_ACQUIS_DIV","FQ4 2020","FQ4 2020","Currency=USD","Period=FQ","BEST_FPERIOD_OVERRIDE=FQ","FILING_STATUS=MR","SCALING_FORMAT=MLN","Sort=A","Dates=H","DateFormat=P","Fill=—","Direction=H","UseDPDF=Y")</f>
        <v>0</v>
      </c>
      <c r="L31" s="13">
        <f>_xll.BDH("NBIX US Equity","CF_NT_CSH_RCVD_PD_FOR_ACQUIS_DIV","FQ1 2021","FQ1 2021","Currency=USD","Period=FQ","BEST_FPERIOD_OVERRIDE=FQ","FILING_STATUS=MR","SCALING_FORMAT=MLN","Sort=A","Dates=H","DateFormat=P","Fill=—","Direction=H","UseDPDF=Y")</f>
        <v>0</v>
      </c>
      <c r="M31" s="13">
        <f>_xll.BDH("NBIX US Equity","CF_NT_CSH_RCVD_PD_FOR_ACQUIS_DIV","FQ2 2021","FQ2 2021","Currency=USD","Period=FQ","BEST_FPERIOD_OVERRIDE=FQ","FILING_STATUS=MR","SCALING_FORMAT=MLN","Sort=A","Dates=H","DateFormat=P","Fill=—","Direction=H","UseDPDF=Y")</f>
        <v>0</v>
      </c>
      <c r="N31" s="13">
        <f>_xll.BDH("NBIX US Equity","CF_NT_CSH_RCVD_PD_FOR_ACQUIS_DIV","FQ3 2021","FQ3 2021","Currency=USD","Period=FQ","BEST_FPERIOD_OVERRIDE=FQ","FILING_STATUS=MR","SCALING_FORMAT=MLN","Sort=A","Dates=H","DateFormat=P","Fill=—","Direction=H","UseDPDF=Y")</f>
        <v>0</v>
      </c>
      <c r="O31" s="13">
        <f>_xll.BDH("NBIX US Equity","CF_NT_CSH_RCVD_PD_FOR_ACQUIS_DIV","FQ4 2021","FQ4 2021","Currency=USD","Period=FQ","BEST_FPERIOD_OVERRIDE=FQ","FILING_STATUS=MR","SCALING_FORMAT=MLN","Sort=A","Dates=H","DateFormat=P","Fill=—","Direction=H","UseDPDF=Y")</f>
        <v>0</v>
      </c>
      <c r="P31" s="13">
        <f>_xll.BDH("NBIX US Equity","CF_NT_CSH_RCVD_PD_FOR_ACQUIS_DIV","FQ1 2022","FQ1 2022","Currency=USD","Period=FQ","BEST_FPERIOD_OVERRIDE=FQ","FILING_STATUS=MR","SCALING_FORMAT=MLN","Sort=A","Dates=H","DateFormat=P","Fill=—","Direction=H","UseDPDF=Y")</f>
        <v>0</v>
      </c>
      <c r="Q31" s="13">
        <f>_xll.BDH("NBIX US Equity","CF_NT_CSH_RCVD_PD_FOR_ACQUIS_DIV","FQ2 2022","FQ2 2022","Currency=USD","Period=FQ","BEST_FPERIOD_OVERRIDE=FQ","FILING_STATUS=MR","SCALING_FORMAT=MLN","Sort=A","Dates=H","DateFormat=P","Fill=—","Direction=H","UseDPDF=Y")</f>
        <v>0</v>
      </c>
      <c r="R31" s="13">
        <f>_xll.BDH("NBIX US Equity","CF_NT_CSH_RCVD_PD_FOR_ACQUIS_DIV","FQ3 2022","FQ3 2022","Currency=USD","Period=FQ","BEST_FPERIOD_OVERRIDE=FQ","FILING_STATUS=MR","SCALING_FORMAT=MLN","Sort=A","Dates=H","DateFormat=P","Fill=—","Direction=H","UseDPDF=Y")</f>
        <v>0</v>
      </c>
      <c r="S31" s="13">
        <f>_xll.BDH("NBIX US Equity","CF_NT_CSH_RCVD_PD_FOR_ACQUIS_DIV","FQ4 2022","FQ4 2022","Currency=USD","Period=FQ","BEST_FPERIOD_OVERRIDE=FQ","FILING_STATUS=MR","SCALING_FORMAT=MLN","Sort=A","Dates=H","DateFormat=P","Fill=—","Direction=H","UseDPDF=Y")</f>
        <v>-42.7</v>
      </c>
      <c r="T31" s="13">
        <f>_xll.BDH("NBIX US Equity","CF_NT_CSH_RCVD_PD_FOR_ACQUIS_DIV","FQ1 2023","FQ1 2023","Currency=USD","Period=FQ","BEST_FPERIOD_OVERRIDE=FQ","FILING_STATUS=MR","SCALING_FORMAT=MLN","Sort=A","Dates=H","DateFormat=P","Fill=—","Direction=H","UseDPDF=Y")</f>
        <v>0</v>
      </c>
      <c r="U31" s="13">
        <f>_xll.BDH("NBIX US Equity","CF_NT_CSH_RCVD_PD_FOR_ACQUIS_DIV","FQ2 2023","FQ2 2023","Currency=USD","Period=FQ","BEST_FPERIOD_OVERRIDE=FQ","FILING_STATUS=MR","SCALING_FORMAT=MLN","Sort=A","Dates=H","DateFormat=P","Fill=—","Direction=H","UseDPDF=Y")</f>
        <v>0</v>
      </c>
      <c r="V31" s="13">
        <f>_xll.BDH("NBIX US Equity","CF_NT_CSH_RCVD_PD_FOR_ACQUIS_DIV","FQ3 2023","FQ3 2023","Currency=USD","Period=FQ","BEST_FPERIOD_OVERRIDE=FQ","FILING_STATUS=MR","SCALING_FORMAT=MLN","Sort=A","Dates=H","DateFormat=P","Fill=—","Direction=H","UseDPDF=Y")</f>
        <v>0</v>
      </c>
      <c r="W31" s="13">
        <f>_xll.BDH("NBIX US Equity","CF_NT_CSH_RCVD_PD_FOR_ACQUIS_DIV","FQ4 2023","FQ4 2023","Currency=USD","Period=FQ","BEST_FPERIOD_OVERRIDE=FQ","FILING_STATUS=MR","SCALING_FORMAT=MLN","Sort=A","Dates=H","DateFormat=P","Fill=—","Direction=H","UseDPDF=Y")</f>
        <v>0</v>
      </c>
      <c r="X31" s="13">
        <f>_xll.BDH("NBIX US Equity","CF_NT_CSH_RCVD_PD_FOR_ACQUIS_DIV","FQ1 2024","FQ1 2024","Currency=USD","Period=FQ","BEST_FPERIOD_OVERRIDE=FQ","FILING_STATUS=MR","SCALING_FORMAT=MLN","Sort=A","Dates=H","DateFormat=P","Fill=—","Direction=H","UseDPDF=Y")</f>
        <v>0</v>
      </c>
      <c r="Y31" s="13">
        <f>_xll.BDH("NBIX US Equity","CF_NT_CSH_RCVD_PD_FOR_ACQUIS_DIV","FQ2 2024","FQ2 2024","Currency=USD","Period=FQ","BEST_FPERIOD_OVERRIDE=FQ","FILING_STATUS=MR","SCALING_FORMAT=MLN","Sort=A","Dates=H","DateFormat=P","Fill=—","Direction=H","UseDPDF=Y")</f>
        <v>0</v>
      </c>
      <c r="Z31" s="13">
        <f>_xll.BDH("NBIX US Equity","CF_NT_CSH_RCVD_PD_FOR_ACQUIS_DIV","FQ3 2024","FQ3 2024","Currency=USD","Period=FQ","BEST_FPERIOD_OVERRIDE=FQ","FILING_STATUS=MR","SCALING_FORMAT=MLN","Sort=A","Dates=H","DateFormat=P","Fill=—","Direction=H","UseDPDF=Y")</f>
        <v>0</v>
      </c>
      <c r="AA31" s="13">
        <f>_xll.BDH("NBIX US Equity","CF_NT_CSH_RCVD_PD_FOR_ACQUIS_DIV","FQ4 2024","FQ4 2024","Currency=USD","Period=FQ","BEST_FPERIOD_OVERRIDE=FQ","FILING_STATUS=MR","SCALING_FORMAT=MLN","Sort=A","Dates=H","DateFormat=P","Fill=—","Direction=H","UseDPDF=Y")</f>
        <v>0</v>
      </c>
    </row>
    <row r="32" spans="1:27" x14ac:dyDescent="0.25">
      <c r="A32" s="10" t="s">
        <v>1125</v>
      </c>
      <c r="B32" s="10" t="s">
        <v>1126</v>
      </c>
      <c r="C32" s="13">
        <f>_xll.BDH("NBIX US Equity","CF_CASH_FOR_DIVESTITURES","FQ4 2018","FQ4 2018","Currency=USD","Period=FQ","BEST_FPERIOD_OVERRIDE=FQ","FILING_STATUS=MR","SCALING_FORMAT=MLN","Sort=A","Dates=H","DateFormat=P","Fill=—","Direction=H","UseDPDF=Y")</f>
        <v>0</v>
      </c>
      <c r="D32" s="13">
        <f>_xll.BDH("NBIX US Equity","CF_CASH_FOR_DIVESTITURES","FQ1 2019","FQ1 2019","Currency=USD","Period=FQ","BEST_FPERIOD_OVERRIDE=FQ","FILING_STATUS=MR","SCALING_FORMAT=MLN","Sort=A","Dates=H","DateFormat=P","Fill=—","Direction=H","UseDPDF=Y")</f>
        <v>0</v>
      </c>
      <c r="E32" s="13">
        <f>_xll.BDH("NBIX US Equity","CF_CASH_FOR_DIVESTITURES","FQ2 2019","FQ2 2019","Currency=USD","Period=FQ","BEST_FPERIOD_OVERRIDE=FQ","FILING_STATUS=MR","SCALING_FORMAT=MLN","Sort=A","Dates=H","DateFormat=P","Fill=—","Direction=H","UseDPDF=Y")</f>
        <v>0</v>
      </c>
      <c r="F32" s="13">
        <f>_xll.BDH("NBIX US Equity","CF_CASH_FOR_DIVESTITURES","FQ3 2019","FQ3 2019","Currency=USD","Period=FQ","BEST_FPERIOD_OVERRIDE=FQ","FILING_STATUS=MR","SCALING_FORMAT=MLN","Sort=A","Dates=H","DateFormat=P","Fill=—","Direction=H","UseDPDF=Y")</f>
        <v>0</v>
      </c>
      <c r="G32" s="13">
        <f>_xll.BDH("NBIX US Equity","CF_CASH_FOR_DIVESTITURES","FQ4 2019","FQ4 2019","Currency=USD","Period=FQ","BEST_FPERIOD_OVERRIDE=FQ","FILING_STATUS=MR","SCALING_FORMAT=MLN","Sort=A","Dates=H","DateFormat=P","Fill=—","Direction=H","UseDPDF=Y")</f>
        <v>0</v>
      </c>
      <c r="H32" s="13">
        <f>_xll.BDH("NBIX US Equity","CF_CASH_FOR_DIVESTITURES","FQ1 2020","FQ1 2020","Currency=USD","Period=FQ","BEST_FPERIOD_OVERRIDE=FQ","FILING_STATUS=MR","SCALING_FORMAT=MLN","Sort=A","Dates=H","DateFormat=P","Fill=—","Direction=H","UseDPDF=Y")</f>
        <v>0</v>
      </c>
      <c r="I32" s="13">
        <f>_xll.BDH("NBIX US Equity","CF_CASH_FOR_DIVESTITURES","FQ2 2020","FQ2 2020","Currency=USD","Period=FQ","BEST_FPERIOD_OVERRIDE=FQ","FILING_STATUS=MR","SCALING_FORMAT=MLN","Sort=A","Dates=H","DateFormat=P","Fill=—","Direction=H","UseDPDF=Y")</f>
        <v>0</v>
      </c>
      <c r="J32" s="13">
        <f>_xll.BDH("NBIX US Equity","CF_CASH_FOR_DIVESTITURES","FQ3 2020","FQ3 2020","Currency=USD","Period=FQ","BEST_FPERIOD_OVERRIDE=FQ","FILING_STATUS=MR","SCALING_FORMAT=MLN","Sort=A","Dates=H","DateFormat=P","Fill=—","Direction=H","UseDPDF=Y")</f>
        <v>0</v>
      </c>
      <c r="K32" s="13">
        <f>_xll.BDH("NBIX US Equity","CF_CASH_FOR_DIVESTITURES","FQ4 2020","FQ4 2020","Currency=USD","Period=FQ","BEST_FPERIOD_OVERRIDE=FQ","FILING_STATUS=MR","SCALING_FORMAT=MLN","Sort=A","Dates=H","DateFormat=P","Fill=—","Direction=H","UseDPDF=Y")</f>
        <v>0</v>
      </c>
      <c r="L32" s="13">
        <f>_xll.BDH("NBIX US Equity","CF_CASH_FOR_DIVESTITURES","FQ1 2021","FQ1 2021","Currency=USD","Period=FQ","BEST_FPERIOD_OVERRIDE=FQ","FILING_STATUS=MR","SCALING_FORMAT=MLN","Sort=A","Dates=H","DateFormat=P","Fill=—","Direction=H","UseDPDF=Y")</f>
        <v>0</v>
      </c>
      <c r="M32" s="13">
        <f>_xll.BDH("NBIX US Equity","CF_CASH_FOR_DIVESTITURES","FQ2 2021","FQ2 2021","Currency=USD","Period=FQ","BEST_FPERIOD_OVERRIDE=FQ","FILING_STATUS=MR","SCALING_FORMAT=MLN","Sort=A","Dates=H","DateFormat=P","Fill=—","Direction=H","UseDPDF=Y")</f>
        <v>0</v>
      </c>
      <c r="N32" s="13">
        <f>_xll.BDH("NBIX US Equity","CF_CASH_FOR_DIVESTITURES","FQ3 2021","FQ3 2021","Currency=USD","Period=FQ","BEST_FPERIOD_OVERRIDE=FQ","FILING_STATUS=MR","SCALING_FORMAT=MLN","Sort=A","Dates=H","DateFormat=P","Fill=—","Direction=H","UseDPDF=Y")</f>
        <v>0</v>
      </c>
      <c r="O32" s="13">
        <f>_xll.BDH("NBIX US Equity","CF_CASH_FOR_DIVESTITURES","FQ4 2021","FQ4 2021","Currency=USD","Period=FQ","BEST_FPERIOD_OVERRIDE=FQ","FILING_STATUS=MR","SCALING_FORMAT=MLN","Sort=A","Dates=H","DateFormat=P","Fill=—","Direction=H","UseDPDF=Y")</f>
        <v>0</v>
      </c>
      <c r="P32" s="13">
        <f>_xll.BDH("NBIX US Equity","CF_CASH_FOR_DIVESTITURES","FQ1 2022","FQ1 2022","Currency=USD","Period=FQ","BEST_FPERIOD_OVERRIDE=FQ","FILING_STATUS=MR","SCALING_FORMAT=MLN","Sort=A","Dates=H","DateFormat=P","Fill=—","Direction=H","UseDPDF=Y")</f>
        <v>0</v>
      </c>
      <c r="Q32" s="13">
        <f>_xll.BDH("NBIX US Equity","CF_CASH_FOR_DIVESTITURES","FQ2 2022","FQ2 2022","Currency=USD","Period=FQ","BEST_FPERIOD_OVERRIDE=FQ","FILING_STATUS=MR","SCALING_FORMAT=MLN","Sort=A","Dates=H","DateFormat=P","Fill=—","Direction=H","UseDPDF=Y")</f>
        <v>0</v>
      </c>
      <c r="R32" s="13">
        <f>_xll.BDH("NBIX US Equity","CF_CASH_FOR_DIVESTITURES","FQ3 2022","FQ3 2022","Currency=USD","Period=FQ","BEST_FPERIOD_OVERRIDE=FQ","FILING_STATUS=MR","SCALING_FORMAT=MLN","Sort=A","Dates=H","DateFormat=P","Fill=—","Direction=H","UseDPDF=Y")</f>
        <v>0</v>
      </c>
      <c r="S32" s="13">
        <f>_xll.BDH("NBIX US Equity","CF_CASH_FOR_DIVESTITURES","FQ4 2022","FQ4 2022","Currency=USD","Period=FQ","BEST_FPERIOD_OVERRIDE=FQ","FILING_STATUS=MR","SCALING_FORMAT=MLN","Sort=A","Dates=H","DateFormat=P","Fill=—","Direction=H","UseDPDF=Y")</f>
        <v>0</v>
      </c>
      <c r="T32" s="13">
        <f>_xll.BDH("NBIX US Equity","CF_CASH_FOR_DIVESTITURES","FQ1 2023","FQ1 2023","Currency=USD","Period=FQ","BEST_FPERIOD_OVERRIDE=FQ","FILING_STATUS=MR","SCALING_FORMAT=MLN","Sort=A","Dates=H","DateFormat=P","Fill=—","Direction=H","UseDPDF=Y")</f>
        <v>0</v>
      </c>
      <c r="U32" s="13">
        <f>_xll.BDH("NBIX US Equity","CF_CASH_FOR_DIVESTITURES","FQ2 2023","FQ2 2023","Currency=USD","Period=FQ","BEST_FPERIOD_OVERRIDE=FQ","FILING_STATUS=MR","SCALING_FORMAT=MLN","Sort=A","Dates=H","DateFormat=P","Fill=—","Direction=H","UseDPDF=Y")</f>
        <v>0</v>
      </c>
      <c r="V32" s="13">
        <f>_xll.BDH("NBIX US Equity","CF_CASH_FOR_DIVESTITURES","FQ3 2023","FQ3 2023","Currency=USD","Period=FQ","BEST_FPERIOD_OVERRIDE=FQ","FILING_STATUS=MR","SCALING_FORMAT=MLN","Sort=A","Dates=H","DateFormat=P","Fill=—","Direction=H","UseDPDF=Y")</f>
        <v>0</v>
      </c>
      <c r="W32" s="13">
        <f>_xll.BDH("NBIX US Equity","CF_CASH_FOR_DIVESTITURES","FQ4 2023","FQ4 2023","Currency=USD","Period=FQ","BEST_FPERIOD_OVERRIDE=FQ","FILING_STATUS=MR","SCALING_FORMAT=MLN","Sort=A","Dates=H","DateFormat=P","Fill=—","Direction=H","UseDPDF=Y")</f>
        <v>0</v>
      </c>
      <c r="X32" s="13">
        <f>_xll.BDH("NBIX US Equity","CF_CASH_FOR_DIVESTITURES","FQ1 2024","FQ1 2024","Currency=USD","Period=FQ","BEST_FPERIOD_OVERRIDE=FQ","FILING_STATUS=MR","SCALING_FORMAT=MLN","Sort=A","Dates=H","DateFormat=P","Fill=—","Direction=H","UseDPDF=Y")</f>
        <v>0</v>
      </c>
      <c r="Y32" s="13">
        <f>_xll.BDH("NBIX US Equity","CF_CASH_FOR_DIVESTITURES","FQ2 2024","FQ2 2024","Currency=USD","Period=FQ","BEST_FPERIOD_OVERRIDE=FQ","FILING_STATUS=MR","SCALING_FORMAT=MLN","Sort=A","Dates=H","DateFormat=P","Fill=—","Direction=H","UseDPDF=Y")</f>
        <v>0</v>
      </c>
      <c r="Z32" s="13">
        <f>_xll.BDH("NBIX US Equity","CF_CASH_FOR_DIVESTITURES","FQ3 2024","FQ3 2024","Currency=USD","Period=FQ","BEST_FPERIOD_OVERRIDE=FQ","FILING_STATUS=MR","SCALING_FORMAT=MLN","Sort=A","Dates=H","DateFormat=P","Fill=—","Direction=H","UseDPDF=Y")</f>
        <v>0</v>
      </c>
      <c r="AA32" s="13">
        <f>_xll.BDH("NBIX US Equity","CF_CASH_FOR_DIVESTITURES","FQ4 2024","FQ4 2024","Currency=USD","Period=FQ","BEST_FPERIOD_OVERRIDE=FQ","FILING_STATUS=MR","SCALING_FORMAT=MLN","Sort=A","Dates=H","DateFormat=P","Fill=—","Direction=H","UseDPDF=Y")</f>
        <v>0</v>
      </c>
    </row>
    <row r="33" spans="1:27" x14ac:dyDescent="0.25">
      <c r="A33" s="10" t="s">
        <v>1127</v>
      </c>
      <c r="B33" s="10" t="s">
        <v>1128</v>
      </c>
      <c r="C33" s="13">
        <f>_xll.BDH("NBIX US Equity","CF_CASH_FOR_ACQUIS_SUBSIDIARIES","FQ4 2018","FQ4 2018","Currency=USD","Period=FQ","BEST_FPERIOD_OVERRIDE=FQ","FILING_STATUS=MR","SCALING_FORMAT=MLN","Sort=A","Dates=H","DateFormat=P","Fill=—","Direction=H","UseDPDF=Y")</f>
        <v>0</v>
      </c>
      <c r="D33" s="13">
        <f>_xll.BDH("NBIX US Equity","CF_CASH_FOR_ACQUIS_SUBSIDIARIES","FQ1 2019","FQ1 2019","Currency=USD","Period=FQ","BEST_FPERIOD_OVERRIDE=FQ","FILING_STATUS=MR","SCALING_FORMAT=MLN","Sort=A","Dates=H","DateFormat=P","Fill=—","Direction=H","UseDPDF=Y")</f>
        <v>0</v>
      </c>
      <c r="E33" s="13">
        <f>_xll.BDH("NBIX US Equity","CF_CASH_FOR_ACQUIS_SUBSIDIARIES","FQ2 2019","FQ2 2019","Currency=USD","Period=FQ","BEST_FPERIOD_OVERRIDE=FQ","FILING_STATUS=MR","SCALING_FORMAT=MLN","Sort=A","Dates=H","DateFormat=P","Fill=—","Direction=H","UseDPDF=Y")</f>
        <v>0</v>
      </c>
      <c r="F33" s="13">
        <f>_xll.BDH("NBIX US Equity","CF_CASH_FOR_ACQUIS_SUBSIDIARIES","FQ3 2019","FQ3 2019","Currency=USD","Period=FQ","BEST_FPERIOD_OVERRIDE=FQ","FILING_STATUS=MR","SCALING_FORMAT=MLN","Sort=A","Dates=H","DateFormat=P","Fill=—","Direction=H","UseDPDF=Y")</f>
        <v>0</v>
      </c>
      <c r="G33" s="13">
        <f>_xll.BDH("NBIX US Equity","CF_CASH_FOR_ACQUIS_SUBSIDIARIES","FQ4 2019","FQ4 2019","Currency=USD","Period=FQ","BEST_FPERIOD_OVERRIDE=FQ","FILING_STATUS=MR","SCALING_FORMAT=MLN","Sort=A","Dates=H","DateFormat=P","Fill=—","Direction=H","UseDPDF=Y")</f>
        <v>0</v>
      </c>
      <c r="H33" s="13">
        <f>_xll.BDH("NBIX US Equity","CF_CASH_FOR_ACQUIS_SUBSIDIARIES","FQ1 2020","FQ1 2020","Currency=USD","Period=FQ","BEST_FPERIOD_OVERRIDE=FQ","FILING_STATUS=MR","SCALING_FORMAT=MLN","Sort=A","Dates=H","DateFormat=P","Fill=—","Direction=H","UseDPDF=Y")</f>
        <v>0</v>
      </c>
      <c r="I33" s="13">
        <f>_xll.BDH("NBIX US Equity","CF_CASH_FOR_ACQUIS_SUBSIDIARIES","FQ2 2020","FQ2 2020","Currency=USD","Period=FQ","BEST_FPERIOD_OVERRIDE=FQ","FILING_STATUS=MR","SCALING_FORMAT=MLN","Sort=A","Dates=H","DateFormat=P","Fill=—","Direction=H","UseDPDF=Y")</f>
        <v>0</v>
      </c>
      <c r="J33" s="13">
        <f>_xll.BDH("NBIX US Equity","CF_CASH_FOR_ACQUIS_SUBSIDIARIES","FQ3 2020","FQ3 2020","Currency=USD","Period=FQ","BEST_FPERIOD_OVERRIDE=FQ","FILING_STATUS=MR","SCALING_FORMAT=MLN","Sort=A","Dates=H","DateFormat=P","Fill=—","Direction=H","UseDPDF=Y")</f>
        <v>0</v>
      </c>
      <c r="K33" s="13">
        <f>_xll.BDH("NBIX US Equity","CF_CASH_FOR_ACQUIS_SUBSIDIARIES","FQ4 2020","FQ4 2020","Currency=USD","Period=FQ","BEST_FPERIOD_OVERRIDE=FQ","FILING_STATUS=MR","SCALING_FORMAT=MLN","Sort=A","Dates=H","DateFormat=P","Fill=—","Direction=H","UseDPDF=Y")</f>
        <v>0</v>
      </c>
      <c r="L33" s="13">
        <f>_xll.BDH("NBIX US Equity","CF_CASH_FOR_ACQUIS_SUBSIDIARIES","FQ1 2021","FQ1 2021","Currency=USD","Period=FQ","BEST_FPERIOD_OVERRIDE=FQ","FILING_STATUS=MR","SCALING_FORMAT=MLN","Sort=A","Dates=H","DateFormat=P","Fill=—","Direction=H","UseDPDF=Y")</f>
        <v>0</v>
      </c>
      <c r="M33" s="13">
        <f>_xll.BDH("NBIX US Equity","CF_CASH_FOR_ACQUIS_SUBSIDIARIES","FQ2 2021","FQ2 2021","Currency=USD","Period=FQ","BEST_FPERIOD_OVERRIDE=FQ","FILING_STATUS=MR","SCALING_FORMAT=MLN","Sort=A","Dates=H","DateFormat=P","Fill=—","Direction=H","UseDPDF=Y")</f>
        <v>0</v>
      </c>
      <c r="N33" s="13">
        <f>_xll.BDH("NBIX US Equity","CF_CASH_FOR_ACQUIS_SUBSIDIARIES","FQ3 2021","FQ3 2021","Currency=USD","Period=FQ","BEST_FPERIOD_OVERRIDE=FQ","FILING_STATUS=MR","SCALING_FORMAT=MLN","Sort=A","Dates=H","DateFormat=P","Fill=—","Direction=H","UseDPDF=Y")</f>
        <v>0</v>
      </c>
      <c r="O33" s="13">
        <f>_xll.BDH("NBIX US Equity","CF_CASH_FOR_ACQUIS_SUBSIDIARIES","FQ4 2021","FQ4 2021","Currency=USD","Period=FQ","BEST_FPERIOD_OVERRIDE=FQ","FILING_STATUS=MR","SCALING_FORMAT=MLN","Sort=A","Dates=H","DateFormat=P","Fill=—","Direction=H","UseDPDF=Y")</f>
        <v>0</v>
      </c>
      <c r="P33" s="13">
        <f>_xll.BDH("NBIX US Equity","CF_CASH_FOR_ACQUIS_SUBSIDIARIES","FQ1 2022","FQ1 2022","Currency=USD","Period=FQ","BEST_FPERIOD_OVERRIDE=FQ","FILING_STATUS=MR","SCALING_FORMAT=MLN","Sort=A","Dates=H","DateFormat=P","Fill=—","Direction=H","UseDPDF=Y")</f>
        <v>0</v>
      </c>
      <c r="Q33" s="13">
        <f>_xll.BDH("NBIX US Equity","CF_CASH_FOR_ACQUIS_SUBSIDIARIES","FQ2 2022","FQ2 2022","Currency=USD","Period=FQ","BEST_FPERIOD_OVERRIDE=FQ","FILING_STATUS=MR","SCALING_FORMAT=MLN","Sort=A","Dates=H","DateFormat=P","Fill=—","Direction=H","UseDPDF=Y")</f>
        <v>0</v>
      </c>
      <c r="R33" s="13">
        <f>_xll.BDH("NBIX US Equity","CF_CASH_FOR_ACQUIS_SUBSIDIARIES","FQ3 2022","FQ3 2022","Currency=USD","Period=FQ","BEST_FPERIOD_OVERRIDE=FQ","FILING_STATUS=MR","SCALING_FORMAT=MLN","Sort=A","Dates=H","DateFormat=P","Fill=—","Direction=H","UseDPDF=Y")</f>
        <v>0</v>
      </c>
      <c r="S33" s="13">
        <f>_xll.BDH("NBIX US Equity","CF_CASH_FOR_ACQUIS_SUBSIDIARIES","FQ4 2022","FQ4 2022","Currency=USD","Period=FQ","BEST_FPERIOD_OVERRIDE=FQ","FILING_STATUS=MR","SCALING_FORMAT=MLN","Sort=A","Dates=H","DateFormat=P","Fill=—","Direction=H","UseDPDF=Y")</f>
        <v>-42.7</v>
      </c>
      <c r="T33" s="13">
        <f>_xll.BDH("NBIX US Equity","CF_CASH_FOR_ACQUIS_SUBSIDIARIES","FQ1 2023","FQ1 2023","Currency=USD","Period=FQ","BEST_FPERIOD_OVERRIDE=FQ","FILING_STATUS=MR","SCALING_FORMAT=MLN","Sort=A","Dates=H","DateFormat=P","Fill=—","Direction=H","UseDPDF=Y")</f>
        <v>0</v>
      </c>
      <c r="U33" s="13">
        <f>_xll.BDH("NBIX US Equity","CF_CASH_FOR_ACQUIS_SUBSIDIARIES","FQ2 2023","FQ2 2023","Currency=USD","Period=FQ","BEST_FPERIOD_OVERRIDE=FQ","FILING_STATUS=MR","SCALING_FORMAT=MLN","Sort=A","Dates=H","DateFormat=P","Fill=—","Direction=H","UseDPDF=Y")</f>
        <v>0</v>
      </c>
      <c r="V33" s="13">
        <f>_xll.BDH("NBIX US Equity","CF_CASH_FOR_ACQUIS_SUBSIDIARIES","FQ3 2023","FQ3 2023","Currency=USD","Period=FQ","BEST_FPERIOD_OVERRIDE=FQ","FILING_STATUS=MR","SCALING_FORMAT=MLN","Sort=A","Dates=H","DateFormat=P","Fill=—","Direction=H","UseDPDF=Y")</f>
        <v>0</v>
      </c>
      <c r="W33" s="13">
        <f>_xll.BDH("NBIX US Equity","CF_CASH_FOR_ACQUIS_SUBSIDIARIES","FQ4 2023","FQ4 2023","Currency=USD","Period=FQ","BEST_FPERIOD_OVERRIDE=FQ","FILING_STATUS=MR","SCALING_FORMAT=MLN","Sort=A","Dates=H","DateFormat=P","Fill=—","Direction=H","UseDPDF=Y")</f>
        <v>0</v>
      </c>
      <c r="X33" s="13">
        <f>_xll.BDH("NBIX US Equity","CF_CASH_FOR_ACQUIS_SUBSIDIARIES","FQ1 2024","FQ1 2024","Currency=USD","Period=FQ","BEST_FPERIOD_OVERRIDE=FQ","FILING_STATUS=MR","SCALING_FORMAT=MLN","Sort=A","Dates=H","DateFormat=P","Fill=—","Direction=H","UseDPDF=Y")</f>
        <v>0</v>
      </c>
      <c r="Y33" s="13">
        <f>_xll.BDH("NBIX US Equity","CF_CASH_FOR_ACQUIS_SUBSIDIARIES","FQ2 2024","FQ2 2024","Currency=USD","Period=FQ","BEST_FPERIOD_OVERRIDE=FQ","FILING_STATUS=MR","SCALING_FORMAT=MLN","Sort=A","Dates=H","DateFormat=P","Fill=—","Direction=H","UseDPDF=Y")</f>
        <v>0</v>
      </c>
      <c r="Z33" s="13">
        <f>_xll.BDH("NBIX US Equity","CF_CASH_FOR_ACQUIS_SUBSIDIARIES","FQ3 2024","FQ3 2024","Currency=USD","Period=FQ","BEST_FPERIOD_OVERRIDE=FQ","FILING_STATUS=MR","SCALING_FORMAT=MLN","Sort=A","Dates=H","DateFormat=P","Fill=—","Direction=H","UseDPDF=Y")</f>
        <v>0</v>
      </c>
      <c r="AA33" s="13">
        <f>_xll.BDH("NBIX US Equity","CF_CASH_FOR_ACQUIS_SUBSIDIARIES","FQ4 2024","FQ4 2024","Currency=USD","Period=FQ","BEST_FPERIOD_OVERRIDE=FQ","FILING_STATUS=MR","SCALING_FORMAT=MLN","Sort=A","Dates=H","DateFormat=P","Fill=—","Direction=H","UseDPDF=Y")</f>
        <v>0</v>
      </c>
    </row>
    <row r="34" spans="1:27" x14ac:dyDescent="0.25">
      <c r="A34" s="10" t="s">
        <v>1129</v>
      </c>
      <c r="B34" s="10" t="s">
        <v>1130</v>
      </c>
      <c r="C34" s="13">
        <f>_xll.BDH("NBIX US Equity","CF_CASH_FOR_JOINT_VENTURES_ASSOC","FQ4 2018","FQ4 2018","Currency=USD","Period=FQ","BEST_FPERIOD_OVERRIDE=FQ","FILING_STATUS=MR","SCALING_FORMAT=MLN","Sort=A","Dates=H","DateFormat=P","Fill=—","Direction=H","UseDPDF=Y")</f>
        <v>0</v>
      </c>
      <c r="D34" s="13">
        <f>_xll.BDH("NBIX US Equity","CF_CASH_FOR_JOINT_VENTURES_ASSOC","FQ1 2019","FQ1 2019","Currency=USD","Period=FQ","BEST_FPERIOD_OVERRIDE=FQ","FILING_STATUS=MR","SCALING_FORMAT=MLN","Sort=A","Dates=H","DateFormat=P","Fill=—","Direction=H","UseDPDF=Y")</f>
        <v>0</v>
      </c>
      <c r="E34" s="13">
        <f>_xll.BDH("NBIX US Equity","CF_CASH_FOR_JOINT_VENTURES_ASSOC","FQ2 2019","FQ2 2019","Currency=USD","Period=FQ","BEST_FPERIOD_OVERRIDE=FQ","FILING_STATUS=MR","SCALING_FORMAT=MLN","Sort=A","Dates=H","DateFormat=P","Fill=—","Direction=H","UseDPDF=Y")</f>
        <v>0</v>
      </c>
      <c r="F34" s="13">
        <f>_xll.BDH("NBIX US Equity","CF_CASH_FOR_JOINT_VENTURES_ASSOC","FQ3 2019","FQ3 2019","Currency=USD","Period=FQ","BEST_FPERIOD_OVERRIDE=FQ","FILING_STATUS=MR","SCALING_FORMAT=MLN","Sort=A","Dates=H","DateFormat=P","Fill=—","Direction=H","UseDPDF=Y")</f>
        <v>0</v>
      </c>
      <c r="G34" s="13">
        <f>_xll.BDH("NBIX US Equity","CF_CASH_FOR_JOINT_VENTURES_ASSOC","FQ4 2019","FQ4 2019","Currency=USD","Period=FQ","BEST_FPERIOD_OVERRIDE=FQ","FILING_STATUS=MR","SCALING_FORMAT=MLN","Sort=A","Dates=H","DateFormat=P","Fill=—","Direction=H","UseDPDF=Y")</f>
        <v>0</v>
      </c>
      <c r="H34" s="13">
        <f>_xll.BDH("NBIX US Equity","CF_CASH_FOR_JOINT_VENTURES_ASSOC","FQ1 2020","FQ1 2020","Currency=USD","Period=FQ","BEST_FPERIOD_OVERRIDE=FQ","FILING_STATUS=MR","SCALING_FORMAT=MLN","Sort=A","Dates=H","DateFormat=P","Fill=—","Direction=H","UseDPDF=Y")</f>
        <v>0</v>
      </c>
      <c r="I34" s="13">
        <f>_xll.BDH("NBIX US Equity","CF_CASH_FOR_JOINT_VENTURES_ASSOC","FQ2 2020","FQ2 2020","Currency=USD","Period=FQ","BEST_FPERIOD_OVERRIDE=FQ","FILING_STATUS=MR","SCALING_FORMAT=MLN","Sort=A","Dates=H","DateFormat=P","Fill=—","Direction=H","UseDPDF=Y")</f>
        <v>0</v>
      </c>
      <c r="J34" s="13">
        <f>_xll.BDH("NBIX US Equity","CF_CASH_FOR_JOINT_VENTURES_ASSOC","FQ3 2020","FQ3 2020","Currency=USD","Period=FQ","BEST_FPERIOD_OVERRIDE=FQ","FILING_STATUS=MR","SCALING_FORMAT=MLN","Sort=A","Dates=H","DateFormat=P","Fill=—","Direction=H","UseDPDF=Y")</f>
        <v>0</v>
      </c>
      <c r="K34" s="13">
        <f>_xll.BDH("NBIX US Equity","CF_CASH_FOR_JOINT_VENTURES_ASSOC","FQ4 2020","FQ4 2020","Currency=USD","Period=FQ","BEST_FPERIOD_OVERRIDE=FQ","FILING_STATUS=MR","SCALING_FORMAT=MLN","Sort=A","Dates=H","DateFormat=P","Fill=—","Direction=H","UseDPDF=Y")</f>
        <v>0</v>
      </c>
      <c r="L34" s="13">
        <f>_xll.BDH("NBIX US Equity","CF_CASH_FOR_JOINT_VENTURES_ASSOC","FQ1 2021","FQ1 2021","Currency=USD","Period=FQ","BEST_FPERIOD_OVERRIDE=FQ","FILING_STATUS=MR","SCALING_FORMAT=MLN","Sort=A","Dates=H","DateFormat=P","Fill=—","Direction=H","UseDPDF=Y")</f>
        <v>0</v>
      </c>
      <c r="M34" s="13">
        <f>_xll.BDH("NBIX US Equity","CF_CASH_FOR_JOINT_VENTURES_ASSOC","FQ2 2021","FQ2 2021","Currency=USD","Period=FQ","BEST_FPERIOD_OVERRIDE=FQ","FILING_STATUS=MR","SCALING_FORMAT=MLN","Sort=A","Dates=H","DateFormat=P","Fill=—","Direction=H","UseDPDF=Y")</f>
        <v>0</v>
      </c>
      <c r="N34" s="13">
        <f>_xll.BDH("NBIX US Equity","CF_CASH_FOR_JOINT_VENTURES_ASSOC","FQ3 2021","FQ3 2021","Currency=USD","Period=FQ","BEST_FPERIOD_OVERRIDE=FQ","FILING_STATUS=MR","SCALING_FORMAT=MLN","Sort=A","Dates=H","DateFormat=P","Fill=—","Direction=H","UseDPDF=Y")</f>
        <v>0</v>
      </c>
      <c r="O34" s="13">
        <f>_xll.BDH("NBIX US Equity","CF_CASH_FOR_JOINT_VENTURES_ASSOC","FQ4 2021","FQ4 2021","Currency=USD","Period=FQ","BEST_FPERIOD_OVERRIDE=FQ","FILING_STATUS=MR","SCALING_FORMAT=MLN","Sort=A","Dates=H","DateFormat=P","Fill=—","Direction=H","UseDPDF=Y")</f>
        <v>0</v>
      </c>
      <c r="P34" s="13">
        <f>_xll.BDH("NBIX US Equity","CF_CASH_FOR_JOINT_VENTURES_ASSOC","FQ1 2022","FQ1 2022","Currency=USD","Period=FQ","BEST_FPERIOD_OVERRIDE=FQ","FILING_STATUS=MR","SCALING_FORMAT=MLN","Sort=A","Dates=H","DateFormat=P","Fill=—","Direction=H","UseDPDF=Y")</f>
        <v>0</v>
      </c>
      <c r="Q34" s="13">
        <f>_xll.BDH("NBIX US Equity","CF_CASH_FOR_JOINT_VENTURES_ASSOC","FQ2 2022","FQ2 2022","Currency=USD","Period=FQ","BEST_FPERIOD_OVERRIDE=FQ","FILING_STATUS=MR","SCALING_FORMAT=MLN","Sort=A","Dates=H","DateFormat=P","Fill=—","Direction=H","UseDPDF=Y")</f>
        <v>0</v>
      </c>
      <c r="R34" s="13">
        <f>_xll.BDH("NBIX US Equity","CF_CASH_FOR_JOINT_VENTURES_ASSOC","FQ3 2022","FQ3 2022","Currency=USD","Period=FQ","BEST_FPERIOD_OVERRIDE=FQ","FILING_STATUS=MR","SCALING_FORMAT=MLN","Sort=A","Dates=H","DateFormat=P","Fill=—","Direction=H","UseDPDF=Y")</f>
        <v>0</v>
      </c>
      <c r="S34" s="13">
        <f>_xll.BDH("NBIX US Equity","CF_CASH_FOR_JOINT_VENTURES_ASSOC","FQ4 2022","FQ4 2022","Currency=USD","Period=FQ","BEST_FPERIOD_OVERRIDE=FQ","FILING_STATUS=MR","SCALING_FORMAT=MLN","Sort=A","Dates=H","DateFormat=P","Fill=—","Direction=H","UseDPDF=Y")</f>
        <v>0</v>
      </c>
      <c r="T34" s="13">
        <f>_xll.BDH("NBIX US Equity","CF_CASH_FOR_JOINT_VENTURES_ASSOC","FQ1 2023","FQ1 2023","Currency=USD","Period=FQ","BEST_FPERIOD_OVERRIDE=FQ","FILING_STATUS=MR","SCALING_FORMAT=MLN","Sort=A","Dates=H","DateFormat=P","Fill=—","Direction=H","UseDPDF=Y")</f>
        <v>0</v>
      </c>
      <c r="U34" s="13">
        <f>_xll.BDH("NBIX US Equity","CF_CASH_FOR_JOINT_VENTURES_ASSOC","FQ2 2023","FQ2 2023","Currency=USD","Period=FQ","BEST_FPERIOD_OVERRIDE=FQ","FILING_STATUS=MR","SCALING_FORMAT=MLN","Sort=A","Dates=H","DateFormat=P","Fill=—","Direction=H","UseDPDF=Y")</f>
        <v>0</v>
      </c>
      <c r="V34" s="13">
        <f>_xll.BDH("NBIX US Equity","CF_CASH_FOR_JOINT_VENTURES_ASSOC","FQ3 2023","FQ3 2023","Currency=USD","Period=FQ","BEST_FPERIOD_OVERRIDE=FQ","FILING_STATUS=MR","SCALING_FORMAT=MLN","Sort=A","Dates=H","DateFormat=P","Fill=—","Direction=H","UseDPDF=Y")</f>
        <v>0</v>
      </c>
      <c r="W34" s="13">
        <f>_xll.BDH("NBIX US Equity","CF_CASH_FOR_JOINT_VENTURES_ASSOC","FQ4 2023","FQ4 2023","Currency=USD","Period=FQ","BEST_FPERIOD_OVERRIDE=FQ","FILING_STATUS=MR","SCALING_FORMAT=MLN","Sort=A","Dates=H","DateFormat=P","Fill=—","Direction=H","UseDPDF=Y")</f>
        <v>0</v>
      </c>
      <c r="X34" s="13">
        <f>_xll.BDH("NBIX US Equity","CF_CASH_FOR_JOINT_VENTURES_ASSOC","FQ1 2024","FQ1 2024","Currency=USD","Period=FQ","BEST_FPERIOD_OVERRIDE=FQ","FILING_STATUS=MR","SCALING_FORMAT=MLN","Sort=A","Dates=H","DateFormat=P","Fill=—","Direction=H","UseDPDF=Y")</f>
        <v>0</v>
      </c>
      <c r="Y34" s="13">
        <f>_xll.BDH("NBIX US Equity","CF_CASH_FOR_JOINT_VENTURES_ASSOC","FQ2 2024","FQ2 2024","Currency=USD","Period=FQ","BEST_FPERIOD_OVERRIDE=FQ","FILING_STATUS=MR","SCALING_FORMAT=MLN","Sort=A","Dates=H","DateFormat=P","Fill=—","Direction=H","UseDPDF=Y")</f>
        <v>0</v>
      </c>
      <c r="Z34" s="13">
        <f>_xll.BDH("NBIX US Equity","CF_CASH_FOR_JOINT_VENTURES_ASSOC","FQ3 2024","FQ3 2024","Currency=USD","Period=FQ","BEST_FPERIOD_OVERRIDE=FQ","FILING_STATUS=MR","SCALING_FORMAT=MLN","Sort=A","Dates=H","DateFormat=P","Fill=—","Direction=H","UseDPDF=Y")</f>
        <v>0</v>
      </c>
      <c r="AA34" s="13">
        <f>_xll.BDH("NBIX US Equity","CF_CASH_FOR_JOINT_VENTURES_ASSOC","FQ4 2024","FQ4 2024","Currency=USD","Period=FQ","BEST_FPERIOD_OVERRIDE=FQ","FILING_STATUS=MR","SCALING_FORMAT=MLN","Sort=A","Dates=H","DateFormat=P","Fill=—","Direction=H","UseDPDF=Y")</f>
        <v>0</v>
      </c>
    </row>
    <row r="35" spans="1:27" x14ac:dyDescent="0.25">
      <c r="A35" s="10" t="s">
        <v>1131</v>
      </c>
      <c r="B35" s="10" t="s">
        <v>1132</v>
      </c>
      <c r="C35" s="13">
        <f>_xll.BDH("NBIX US Equity","OTHER_INVESTING_ACT_DETAILED","FQ4 2018","FQ4 2018","Currency=USD","Period=FQ","BEST_FPERIOD_OVERRIDE=FQ","FILING_STATUS=MR","SCALING_FORMAT=MLN","Sort=A","Dates=H","DateFormat=P","Fill=—","Direction=H","UseDPDF=Y")</f>
        <v>-100.25</v>
      </c>
      <c r="D35" s="13">
        <f>_xll.BDH("NBIX US Equity","OTHER_INVESTING_ACT_DETAILED","FQ1 2019","FQ1 2019","Currency=USD","Period=FQ","BEST_FPERIOD_OVERRIDE=FQ","FILING_STATUS=MR","SCALING_FORMAT=MLN","Sort=A","Dates=H","DateFormat=P","Fill=—","Direction=H","UseDPDF=Y")</f>
        <v>44.908999999999999</v>
      </c>
      <c r="E35" s="13">
        <f>_xll.BDH("NBIX US Equity","OTHER_INVESTING_ACT_DETAILED","FQ2 2019","FQ2 2019","Currency=USD","Period=FQ","BEST_FPERIOD_OVERRIDE=FQ","FILING_STATUS=MR","SCALING_FORMAT=MLN","Sort=A","Dates=H","DateFormat=P","Fill=—","Direction=H","UseDPDF=Y")</f>
        <v>4.21</v>
      </c>
      <c r="F35" s="13">
        <f>_xll.BDH("NBIX US Equity","OTHER_INVESTING_ACT_DETAILED","FQ3 2019","FQ3 2019","Currency=USD","Period=FQ","BEST_FPERIOD_OVERRIDE=FQ","FILING_STATUS=MR","SCALING_FORMAT=MLN","Sort=A","Dates=H","DateFormat=P","Fill=—","Direction=H","UseDPDF=Y")</f>
        <v>-82.105999999999995</v>
      </c>
      <c r="G35" s="13">
        <f>_xll.BDH("NBIX US Equity","OTHER_INVESTING_ACT_DETAILED","FQ4 2019","FQ4 2019","Currency=USD","Period=FQ","BEST_FPERIOD_OVERRIDE=FQ","FILING_STATUS=MR","SCALING_FORMAT=MLN","Sort=A","Dates=H","DateFormat=P","Fill=—","Direction=H","UseDPDF=Y")</f>
        <v>-163.41300000000001</v>
      </c>
      <c r="H35" s="13">
        <f>_xll.BDH("NBIX US Equity","OTHER_INVESTING_ACT_DETAILED","FQ1 2020","FQ1 2020","Currency=USD","Period=FQ","BEST_FPERIOD_OVERRIDE=FQ","FILING_STATUS=MR","SCALING_FORMAT=MLN","Sort=A","Dates=H","DateFormat=P","Fill=—","Direction=H","UseDPDF=Y")</f>
        <v>34.5</v>
      </c>
      <c r="I35" s="13">
        <f>_xll.BDH("NBIX US Equity","OTHER_INVESTING_ACT_DETAILED","FQ2 2020","FQ2 2020","Currency=USD","Period=FQ","BEST_FPERIOD_OVERRIDE=FQ","FILING_STATUS=MR","SCALING_FORMAT=MLN","Sort=A","Dates=H","DateFormat=P","Fill=—","Direction=H","UseDPDF=Y")</f>
        <v>98.1</v>
      </c>
      <c r="J35" s="13">
        <f>_xll.BDH("NBIX US Equity","OTHER_INVESTING_ACT_DETAILED","FQ3 2020","FQ3 2020","Currency=USD","Period=FQ","BEST_FPERIOD_OVERRIDE=FQ","FILING_STATUS=MR","SCALING_FORMAT=MLN","Sort=A","Dates=H","DateFormat=P","Fill=—","Direction=H","UseDPDF=Y")</f>
        <v>25.6</v>
      </c>
      <c r="K35" s="13">
        <f>_xll.BDH("NBIX US Equity","OTHER_INVESTING_ACT_DETAILED","FQ4 2020","FQ4 2020","Currency=USD","Period=FQ","BEST_FPERIOD_OVERRIDE=FQ","FILING_STATUS=MR","SCALING_FORMAT=MLN","Sort=A","Dates=H","DateFormat=P","Fill=—","Direction=H","UseDPDF=Y")</f>
        <v>-143.19999999999999</v>
      </c>
      <c r="L35" s="13">
        <f>_xll.BDH("NBIX US Equity","OTHER_INVESTING_ACT_DETAILED","FQ1 2021","FQ1 2021","Currency=USD","Period=FQ","BEST_FPERIOD_OVERRIDE=FQ","FILING_STATUS=MR","SCALING_FORMAT=MLN","Sort=A","Dates=H","DateFormat=P","Fill=—","Direction=H","UseDPDF=Y")</f>
        <v>67.599999999999994</v>
      </c>
      <c r="M35" s="13">
        <f>_xll.BDH("NBIX US Equity","OTHER_INVESTING_ACT_DETAILED","FQ2 2021","FQ2 2021","Currency=USD","Period=FQ","BEST_FPERIOD_OVERRIDE=FQ","FILING_STATUS=MR","SCALING_FORMAT=MLN","Sort=A","Dates=H","DateFormat=P","Fill=—","Direction=H","UseDPDF=Y")</f>
        <v>-86.5</v>
      </c>
      <c r="N35" s="13">
        <f>_xll.BDH("NBIX US Equity","OTHER_INVESTING_ACT_DETAILED","FQ3 2021","FQ3 2021","Currency=USD","Period=FQ","BEST_FPERIOD_OVERRIDE=FQ","FILING_STATUS=MR","SCALING_FORMAT=MLN","Sort=A","Dates=H","DateFormat=P","Fill=—","Direction=H","UseDPDF=Y")</f>
        <v>-120.5</v>
      </c>
      <c r="O35" s="13">
        <f>_xll.BDH("NBIX US Equity","OTHER_INVESTING_ACT_DETAILED","FQ4 2021","FQ4 2021","Currency=USD","Period=FQ","BEST_FPERIOD_OVERRIDE=FQ","FILING_STATUS=MR","SCALING_FORMAT=MLN","Sort=A","Dates=H","DateFormat=P","Fill=—","Direction=H","UseDPDF=Y")</f>
        <v>32.6</v>
      </c>
      <c r="P35" s="13">
        <f>_xll.BDH("NBIX US Equity","OTHER_INVESTING_ACT_DETAILED","FQ1 2022","FQ1 2022","Currency=USD","Period=FQ","BEST_FPERIOD_OVERRIDE=FQ","FILING_STATUS=MR","SCALING_FORMAT=MLN","Sort=A","Dates=H","DateFormat=P","Fill=—","Direction=H","UseDPDF=Y")</f>
        <v>-24</v>
      </c>
      <c r="Q35" s="13">
        <f>_xll.BDH("NBIX US Equity","OTHER_INVESTING_ACT_DETAILED","FQ2 2022","FQ2 2022","Currency=USD","Period=FQ","BEST_FPERIOD_OVERRIDE=FQ","FILING_STATUS=MR","SCALING_FORMAT=MLN","Sort=A","Dates=H","DateFormat=P","Fill=—","Direction=H","UseDPDF=Y")</f>
        <v>40.200000000000003</v>
      </c>
      <c r="R35" s="13">
        <f>_xll.BDH("NBIX US Equity","OTHER_INVESTING_ACT_DETAILED","FQ3 2022","FQ3 2022","Currency=USD","Period=FQ","BEST_FPERIOD_OVERRIDE=FQ","FILING_STATUS=MR","SCALING_FORMAT=MLN","Sort=A","Dates=H","DateFormat=P","Fill=—","Direction=H","UseDPDF=Y")</f>
        <v>-63</v>
      </c>
      <c r="S35" s="13">
        <f>_xll.BDH("NBIX US Equity","OTHER_INVESTING_ACT_DETAILED","FQ4 2022","FQ4 2022","Currency=USD","Period=FQ","BEST_FPERIOD_OVERRIDE=FQ","FILING_STATUS=MR","SCALING_FORMAT=MLN","Sort=A","Dates=H","DateFormat=P","Fill=—","Direction=H","UseDPDF=Y")</f>
        <v>-71.099999999999994</v>
      </c>
      <c r="T35" s="13">
        <f>_xll.BDH("NBIX US Equity","OTHER_INVESTING_ACT_DETAILED","FQ1 2023","FQ1 2023","Currency=USD","Period=FQ","BEST_FPERIOD_OVERRIDE=FQ","FILING_STATUS=MR","SCALING_FORMAT=MLN","Sort=A","Dates=H","DateFormat=P","Fill=—","Direction=H","UseDPDF=Y")</f>
        <v>-33.6</v>
      </c>
      <c r="U35" s="13">
        <f>_xll.BDH("NBIX US Equity","OTHER_INVESTING_ACT_DETAILED","FQ2 2023","FQ2 2023","Currency=USD","Period=FQ","BEST_FPERIOD_OVERRIDE=FQ","FILING_STATUS=MR","SCALING_FORMAT=MLN","Sort=A","Dates=H","DateFormat=P","Fill=—","Direction=H","UseDPDF=Y")</f>
        <v>-119.1</v>
      </c>
      <c r="V35" s="13">
        <f>_xll.BDH("NBIX US Equity","OTHER_INVESTING_ACT_DETAILED","FQ3 2023","FQ3 2023","Currency=USD","Period=FQ","BEST_FPERIOD_OVERRIDE=FQ","FILING_STATUS=MR","SCALING_FORMAT=MLN","Sort=A","Dates=H","DateFormat=P","Fill=—","Direction=H","UseDPDF=Y")</f>
        <v>-89.7</v>
      </c>
      <c r="W35" s="13">
        <f>_xll.BDH("NBIX US Equity","OTHER_INVESTING_ACT_DETAILED","FQ4 2023","FQ4 2023","Currency=USD","Period=FQ","BEST_FPERIOD_OVERRIDE=FQ","FILING_STATUS=MR","SCALING_FORMAT=MLN","Sort=A","Dates=H","DateFormat=P","Fill=—","Direction=H","UseDPDF=Y")</f>
        <v>-196.4</v>
      </c>
      <c r="X35" s="13">
        <f>_xll.BDH("NBIX US Equity","OTHER_INVESTING_ACT_DETAILED","FQ1 2024","FQ1 2024","Currency=USD","Period=FQ","BEST_FPERIOD_OVERRIDE=FQ","FILING_STATUS=MR","SCALING_FORMAT=MLN","Sort=A","Dates=H","DateFormat=P","Fill=—","Direction=H","UseDPDF=Y")</f>
        <v>-43.8</v>
      </c>
      <c r="Y35" s="13">
        <f>_xll.BDH("NBIX US Equity","OTHER_INVESTING_ACT_DETAILED","FQ2 2024","FQ2 2024","Currency=USD","Period=FQ","BEST_FPERIOD_OVERRIDE=FQ","FILING_STATUS=MR","SCALING_FORMAT=MLN","Sort=A","Dates=H","DateFormat=P","Fill=—","Direction=H","UseDPDF=Y")</f>
        <v>-16.600000000000001</v>
      </c>
      <c r="Z35" s="13">
        <f>_xll.BDH("NBIX US Equity","OTHER_INVESTING_ACT_DETAILED","FQ3 2024","FQ3 2024","Currency=USD","Period=FQ","BEST_FPERIOD_OVERRIDE=FQ","FILING_STATUS=MR","SCALING_FORMAT=MLN","Sort=A","Dates=H","DateFormat=P","Fill=—","Direction=H","UseDPDF=Y")</f>
        <v>32.799999999999997</v>
      </c>
      <c r="AA35" s="13">
        <f>_xll.BDH("NBIX US Equity","OTHER_INVESTING_ACT_DETAILED","FQ4 2024","FQ4 2024","Currency=USD","Period=FQ","BEST_FPERIOD_OVERRIDE=FQ","FILING_STATUS=MR","SCALING_FORMAT=MLN","Sort=A","Dates=H","DateFormat=P","Fill=—","Direction=H","UseDPDF=Y")</f>
        <v>-61</v>
      </c>
    </row>
    <row r="36" spans="1:27" x14ac:dyDescent="0.25">
      <c r="A36" s="10" t="s">
        <v>1100</v>
      </c>
      <c r="B36" s="10" t="s">
        <v>1133</v>
      </c>
      <c r="C36" s="13">
        <f>_xll.BDH("NBIX US Equity","CF_NET_CASH_DISCONTINUED_OPS_INV","FQ4 2018","FQ4 2018","Currency=USD","Period=FQ","BEST_FPERIOD_OVERRIDE=FQ","FILING_STATUS=MR","SCALING_FORMAT=MLN","Sort=A","Dates=H","DateFormat=P","Fill=—","Direction=H","UseDPDF=Y")</f>
        <v>0</v>
      </c>
      <c r="D36" s="13">
        <f>_xll.BDH("NBIX US Equity","CF_NET_CASH_DISCONTINUED_OPS_INV","FQ1 2019","FQ1 2019","Currency=USD","Period=FQ","BEST_FPERIOD_OVERRIDE=FQ","FILING_STATUS=MR","SCALING_FORMAT=MLN","Sort=A","Dates=H","DateFormat=P","Fill=—","Direction=H","UseDPDF=Y")</f>
        <v>0</v>
      </c>
      <c r="E36" s="13">
        <f>_xll.BDH("NBIX US Equity","CF_NET_CASH_DISCONTINUED_OPS_INV","FQ2 2019","FQ2 2019","Currency=USD","Period=FQ","BEST_FPERIOD_OVERRIDE=FQ","FILING_STATUS=MR","SCALING_FORMAT=MLN","Sort=A","Dates=H","DateFormat=P","Fill=—","Direction=H","UseDPDF=Y")</f>
        <v>0</v>
      </c>
      <c r="F36" s="13">
        <f>_xll.BDH("NBIX US Equity","CF_NET_CASH_DISCONTINUED_OPS_INV","FQ3 2019","FQ3 2019","Currency=USD","Period=FQ","BEST_FPERIOD_OVERRIDE=FQ","FILING_STATUS=MR","SCALING_FORMAT=MLN","Sort=A","Dates=H","DateFormat=P","Fill=—","Direction=H","UseDPDF=Y")</f>
        <v>0</v>
      </c>
      <c r="G36" s="13">
        <f>_xll.BDH("NBIX US Equity","CF_NET_CASH_DISCONTINUED_OPS_INV","FQ4 2019","FQ4 2019","Currency=USD","Period=FQ","BEST_FPERIOD_OVERRIDE=FQ","FILING_STATUS=MR","SCALING_FORMAT=MLN","Sort=A","Dates=H","DateFormat=P","Fill=—","Direction=H","UseDPDF=Y")</f>
        <v>0</v>
      </c>
      <c r="H36" s="13">
        <f>_xll.BDH("NBIX US Equity","CF_NET_CASH_DISCONTINUED_OPS_INV","FQ1 2020","FQ1 2020","Currency=USD","Period=FQ","BEST_FPERIOD_OVERRIDE=FQ","FILING_STATUS=MR","SCALING_FORMAT=MLN","Sort=A","Dates=H","DateFormat=P","Fill=—","Direction=H","UseDPDF=Y")</f>
        <v>0</v>
      </c>
      <c r="I36" s="13">
        <f>_xll.BDH("NBIX US Equity","CF_NET_CASH_DISCONTINUED_OPS_INV","FQ2 2020","FQ2 2020","Currency=USD","Period=FQ","BEST_FPERIOD_OVERRIDE=FQ","FILING_STATUS=MR","SCALING_FORMAT=MLN","Sort=A","Dates=H","DateFormat=P","Fill=—","Direction=H","UseDPDF=Y")</f>
        <v>0</v>
      </c>
      <c r="J36" s="13">
        <f>_xll.BDH("NBIX US Equity","CF_NET_CASH_DISCONTINUED_OPS_INV","FQ3 2020","FQ3 2020","Currency=USD","Period=FQ","BEST_FPERIOD_OVERRIDE=FQ","FILING_STATUS=MR","SCALING_FORMAT=MLN","Sort=A","Dates=H","DateFormat=P","Fill=—","Direction=H","UseDPDF=Y")</f>
        <v>0</v>
      </c>
      <c r="K36" s="13">
        <f>_xll.BDH("NBIX US Equity","CF_NET_CASH_DISCONTINUED_OPS_INV","FQ4 2020","FQ4 2020","Currency=USD","Period=FQ","BEST_FPERIOD_OVERRIDE=FQ","FILING_STATUS=MR","SCALING_FORMAT=MLN","Sort=A","Dates=H","DateFormat=P","Fill=—","Direction=H","UseDPDF=Y")</f>
        <v>0</v>
      </c>
      <c r="L36" s="13">
        <f>_xll.BDH("NBIX US Equity","CF_NET_CASH_DISCONTINUED_OPS_INV","FQ1 2021","FQ1 2021","Currency=USD","Period=FQ","BEST_FPERIOD_OVERRIDE=FQ","FILING_STATUS=MR","SCALING_FORMAT=MLN","Sort=A","Dates=H","DateFormat=P","Fill=—","Direction=H","UseDPDF=Y")</f>
        <v>0</v>
      </c>
      <c r="M36" s="13">
        <f>_xll.BDH("NBIX US Equity","CF_NET_CASH_DISCONTINUED_OPS_INV","FQ2 2021","FQ2 2021","Currency=USD","Period=FQ","BEST_FPERIOD_OVERRIDE=FQ","FILING_STATUS=MR","SCALING_FORMAT=MLN","Sort=A","Dates=H","DateFormat=P","Fill=—","Direction=H","UseDPDF=Y")</f>
        <v>0</v>
      </c>
      <c r="N36" s="13">
        <f>_xll.BDH("NBIX US Equity","CF_NET_CASH_DISCONTINUED_OPS_INV","FQ3 2021","FQ3 2021","Currency=USD","Period=FQ","BEST_FPERIOD_OVERRIDE=FQ","FILING_STATUS=MR","SCALING_FORMAT=MLN","Sort=A","Dates=H","DateFormat=P","Fill=—","Direction=H","UseDPDF=Y")</f>
        <v>0</v>
      </c>
      <c r="O36" s="13">
        <f>_xll.BDH("NBIX US Equity","CF_NET_CASH_DISCONTINUED_OPS_INV","FQ4 2021","FQ4 2021","Currency=USD","Period=FQ","BEST_FPERIOD_OVERRIDE=FQ","FILING_STATUS=MR","SCALING_FORMAT=MLN","Sort=A","Dates=H","DateFormat=P","Fill=—","Direction=H","UseDPDF=Y")</f>
        <v>0</v>
      </c>
      <c r="P36" s="13">
        <f>_xll.BDH("NBIX US Equity","CF_NET_CASH_DISCONTINUED_OPS_INV","FQ1 2022","FQ1 2022","Currency=USD","Period=FQ","BEST_FPERIOD_OVERRIDE=FQ","FILING_STATUS=MR","SCALING_FORMAT=MLN","Sort=A","Dates=H","DateFormat=P","Fill=—","Direction=H","UseDPDF=Y")</f>
        <v>0</v>
      </c>
      <c r="Q36" s="13">
        <f>_xll.BDH("NBIX US Equity","CF_NET_CASH_DISCONTINUED_OPS_INV","FQ2 2022","FQ2 2022","Currency=USD","Period=FQ","BEST_FPERIOD_OVERRIDE=FQ","FILING_STATUS=MR","SCALING_FORMAT=MLN","Sort=A","Dates=H","DateFormat=P","Fill=—","Direction=H","UseDPDF=Y")</f>
        <v>0</v>
      </c>
      <c r="R36" s="13">
        <f>_xll.BDH("NBIX US Equity","CF_NET_CASH_DISCONTINUED_OPS_INV","FQ3 2022","FQ3 2022","Currency=USD","Period=FQ","BEST_FPERIOD_OVERRIDE=FQ","FILING_STATUS=MR","SCALING_FORMAT=MLN","Sort=A","Dates=H","DateFormat=P","Fill=—","Direction=H","UseDPDF=Y")</f>
        <v>0</v>
      </c>
      <c r="S36" s="13">
        <f>_xll.BDH("NBIX US Equity","CF_NET_CASH_DISCONTINUED_OPS_INV","FQ4 2022","FQ4 2022","Currency=USD","Period=FQ","BEST_FPERIOD_OVERRIDE=FQ","FILING_STATUS=MR","SCALING_FORMAT=MLN","Sort=A","Dates=H","DateFormat=P","Fill=—","Direction=H","UseDPDF=Y")</f>
        <v>0</v>
      </c>
      <c r="T36" s="13">
        <f>_xll.BDH("NBIX US Equity","CF_NET_CASH_DISCONTINUED_OPS_INV","FQ1 2023","FQ1 2023","Currency=USD","Period=FQ","BEST_FPERIOD_OVERRIDE=FQ","FILING_STATUS=MR","SCALING_FORMAT=MLN","Sort=A","Dates=H","DateFormat=P","Fill=—","Direction=H","UseDPDF=Y")</f>
        <v>0</v>
      </c>
      <c r="U36" s="13">
        <f>_xll.BDH("NBIX US Equity","CF_NET_CASH_DISCONTINUED_OPS_INV","FQ2 2023","FQ2 2023","Currency=USD","Period=FQ","BEST_FPERIOD_OVERRIDE=FQ","FILING_STATUS=MR","SCALING_FORMAT=MLN","Sort=A","Dates=H","DateFormat=P","Fill=—","Direction=H","UseDPDF=Y")</f>
        <v>0</v>
      </c>
      <c r="V36" s="13">
        <f>_xll.BDH("NBIX US Equity","CF_NET_CASH_DISCONTINUED_OPS_INV","FQ3 2023","FQ3 2023","Currency=USD","Period=FQ","BEST_FPERIOD_OVERRIDE=FQ","FILING_STATUS=MR","SCALING_FORMAT=MLN","Sort=A","Dates=H","DateFormat=P","Fill=—","Direction=H","UseDPDF=Y")</f>
        <v>0</v>
      </c>
      <c r="W36" s="13">
        <f>_xll.BDH("NBIX US Equity","CF_NET_CASH_DISCONTINUED_OPS_INV","FQ4 2023","FQ4 2023","Currency=USD","Period=FQ","BEST_FPERIOD_OVERRIDE=FQ","FILING_STATUS=MR","SCALING_FORMAT=MLN","Sort=A","Dates=H","DateFormat=P","Fill=—","Direction=H","UseDPDF=Y")</f>
        <v>0</v>
      </c>
      <c r="X36" s="13">
        <f>_xll.BDH("NBIX US Equity","CF_NET_CASH_DISCONTINUED_OPS_INV","FQ1 2024","FQ1 2024","Currency=USD","Period=FQ","BEST_FPERIOD_OVERRIDE=FQ","FILING_STATUS=MR","SCALING_FORMAT=MLN","Sort=A","Dates=H","DateFormat=P","Fill=—","Direction=H","UseDPDF=Y")</f>
        <v>0</v>
      </c>
      <c r="Y36" s="13">
        <f>_xll.BDH("NBIX US Equity","CF_NET_CASH_DISCONTINUED_OPS_INV","FQ2 2024","FQ2 2024","Currency=USD","Period=FQ","BEST_FPERIOD_OVERRIDE=FQ","FILING_STATUS=MR","SCALING_FORMAT=MLN","Sort=A","Dates=H","DateFormat=P","Fill=—","Direction=H","UseDPDF=Y")</f>
        <v>0</v>
      </c>
      <c r="Z36" s="13">
        <f>_xll.BDH("NBIX US Equity","CF_NET_CASH_DISCONTINUED_OPS_INV","FQ3 2024","FQ3 2024","Currency=USD","Period=FQ","BEST_FPERIOD_OVERRIDE=FQ","FILING_STATUS=MR","SCALING_FORMAT=MLN","Sort=A","Dates=H","DateFormat=P","Fill=—","Direction=H","UseDPDF=Y")</f>
        <v>0</v>
      </c>
      <c r="AA36" s="13">
        <f>_xll.BDH("NBIX US Equity","CF_NET_CASH_DISCONTINUED_OPS_INV","FQ4 2024","FQ4 2024","Currency=USD","Period=FQ","BEST_FPERIOD_OVERRIDE=FQ","FILING_STATUS=MR","SCALING_FORMAT=MLN","Sort=A","Dates=H","DateFormat=P","Fill=—","Direction=H","UseDPDF=Y")</f>
        <v>0</v>
      </c>
    </row>
    <row r="37" spans="1:27" x14ac:dyDescent="0.25">
      <c r="A37" s="6" t="s">
        <v>1102</v>
      </c>
      <c r="B37" s="6" t="s">
        <v>126</v>
      </c>
      <c r="C37" s="19">
        <f>_xll.BDH("NBIX US Equity","CF_CASH_FROM_INV_ACT","FQ4 2018","FQ4 2018","Currency=USD","Period=FQ","BEST_FPERIOD_OVERRIDE=FQ","FILING_STATUS=MR","SCALING_FORMAT=MLN","Sort=A","Dates=H","DateFormat=P","Fill=—","Direction=H","UseDPDF=Y")</f>
        <v>-106.256</v>
      </c>
      <c r="D37" s="19">
        <f>_xll.BDH("NBIX US Equity","CF_CASH_FROM_INV_ACT","FQ1 2019","FQ1 2019","Currency=USD","Period=FQ","BEST_FPERIOD_OVERRIDE=FQ","FILING_STATUS=MR","SCALING_FORMAT=MLN","Sort=A","Dates=H","DateFormat=P","Fill=—","Direction=H","UseDPDF=Y")</f>
        <v>40.973999999999997</v>
      </c>
      <c r="E37" s="19">
        <f>_xll.BDH("NBIX US Equity","CF_CASH_FROM_INV_ACT","FQ2 2019","FQ2 2019","Currency=USD","Period=FQ","BEST_FPERIOD_OVERRIDE=FQ","FILING_STATUS=MR","SCALING_FORMAT=MLN","Sort=A","Dates=H","DateFormat=P","Fill=—","Direction=H","UseDPDF=Y")</f>
        <v>-0.24299999999999999</v>
      </c>
      <c r="F37" s="19">
        <f>_xll.BDH("NBIX US Equity","CF_CASH_FROM_INV_ACT","FQ3 2019","FQ3 2019","Currency=USD","Period=FQ","BEST_FPERIOD_OVERRIDE=FQ","FILING_STATUS=MR","SCALING_FORMAT=MLN","Sort=A","Dates=H","DateFormat=P","Fill=—","Direction=H","UseDPDF=Y")</f>
        <v>-85.646000000000001</v>
      </c>
      <c r="G37" s="19">
        <f>_xll.BDH("NBIX US Equity","CF_CASH_FROM_INV_ACT","FQ4 2019","FQ4 2019","Currency=USD","Period=FQ","BEST_FPERIOD_OVERRIDE=FQ","FILING_STATUS=MR","SCALING_FORMAT=MLN","Sort=A","Dates=H","DateFormat=P","Fill=—","Direction=H","UseDPDF=Y")</f>
        <v>-166.185</v>
      </c>
      <c r="H37" s="19">
        <f>_xll.BDH("NBIX US Equity","CF_CASH_FROM_INV_ACT","FQ1 2020","FQ1 2020","Currency=USD","Period=FQ","BEST_FPERIOD_OVERRIDE=FQ","FILING_STATUS=MR","SCALING_FORMAT=MLN","Sort=A","Dates=H","DateFormat=P","Fill=—","Direction=H","UseDPDF=Y")</f>
        <v>33.200000000000003</v>
      </c>
      <c r="I37" s="19">
        <f>_xll.BDH("NBIX US Equity","CF_CASH_FROM_INV_ACT","FQ2 2020","FQ2 2020","Currency=USD","Period=FQ","BEST_FPERIOD_OVERRIDE=FQ","FILING_STATUS=MR","SCALING_FORMAT=MLN","Sort=A","Dates=H","DateFormat=P","Fill=—","Direction=H","UseDPDF=Y")</f>
        <v>93.4</v>
      </c>
      <c r="J37" s="19">
        <f>_xll.BDH("NBIX US Equity","CF_CASH_FROM_INV_ACT","FQ3 2020","FQ3 2020","Currency=USD","Period=FQ","BEST_FPERIOD_OVERRIDE=FQ","FILING_STATUS=MR","SCALING_FORMAT=MLN","Sort=A","Dates=H","DateFormat=P","Fill=—","Direction=H","UseDPDF=Y")</f>
        <v>25.2</v>
      </c>
      <c r="K37" s="19">
        <f>_xll.BDH("NBIX US Equity","CF_CASH_FROM_INV_ACT","FQ4 2020","FQ4 2020","Currency=USD","Period=FQ","BEST_FPERIOD_OVERRIDE=FQ","FILING_STATUS=MR","SCALING_FORMAT=MLN","Sort=A","Dates=H","DateFormat=P","Fill=—","Direction=H","UseDPDF=Y")</f>
        <v>-147.69999999999999</v>
      </c>
      <c r="L37" s="19">
        <f>_xll.BDH("NBIX US Equity","CF_CASH_FROM_INV_ACT","FQ1 2021","FQ1 2021","Currency=USD","Period=FQ","BEST_FPERIOD_OVERRIDE=FQ","FILING_STATUS=MR","SCALING_FORMAT=MLN","Sort=A","Dates=H","DateFormat=P","Fill=—","Direction=H","UseDPDF=Y")</f>
        <v>63.1</v>
      </c>
      <c r="M37" s="19">
        <f>_xll.BDH("NBIX US Equity","CF_CASH_FROM_INV_ACT","FQ2 2021","FQ2 2021","Currency=USD","Period=FQ","BEST_FPERIOD_OVERRIDE=FQ","FILING_STATUS=MR","SCALING_FORMAT=MLN","Sort=A","Dates=H","DateFormat=P","Fill=—","Direction=H","UseDPDF=Y")</f>
        <v>-90.8</v>
      </c>
      <c r="N37" s="19">
        <f>_xll.BDH("NBIX US Equity","CF_CASH_FROM_INV_ACT","FQ3 2021","FQ3 2021","Currency=USD","Period=FQ","BEST_FPERIOD_OVERRIDE=FQ","FILING_STATUS=MR","SCALING_FORMAT=MLN","Sort=A","Dates=H","DateFormat=P","Fill=—","Direction=H","UseDPDF=Y")</f>
        <v>-126.2</v>
      </c>
      <c r="O37" s="19">
        <f>_xll.BDH("NBIX US Equity","CF_CASH_FROM_INV_ACT","FQ4 2021","FQ4 2021","Currency=USD","Period=FQ","BEST_FPERIOD_OVERRIDE=FQ","FILING_STATUS=MR","SCALING_FORMAT=MLN","Sort=A","Dates=H","DateFormat=P","Fill=—","Direction=H","UseDPDF=Y")</f>
        <v>23.7</v>
      </c>
      <c r="P37" s="19">
        <f>_xll.BDH("NBIX US Equity","CF_CASH_FROM_INV_ACT","FQ1 2022","FQ1 2022","Currency=USD","Period=FQ","BEST_FPERIOD_OVERRIDE=FQ","FILING_STATUS=MR","SCALING_FORMAT=MLN","Sort=A","Dates=H","DateFormat=P","Fill=—","Direction=H","UseDPDF=Y")</f>
        <v>-31.6</v>
      </c>
      <c r="Q37" s="19">
        <f>_xll.BDH("NBIX US Equity","CF_CASH_FROM_INV_ACT","FQ2 2022","FQ2 2022","Currency=USD","Period=FQ","BEST_FPERIOD_OVERRIDE=FQ","FILING_STATUS=MR","SCALING_FORMAT=MLN","Sort=A","Dates=H","DateFormat=P","Fill=—","Direction=H","UseDPDF=Y")</f>
        <v>31.4</v>
      </c>
      <c r="R37" s="19">
        <f>_xll.BDH("NBIX US Equity","CF_CASH_FROM_INV_ACT","FQ3 2022","FQ3 2022","Currency=USD","Period=FQ","BEST_FPERIOD_OVERRIDE=FQ","FILING_STATUS=MR","SCALING_FORMAT=MLN","Sort=A","Dates=H","DateFormat=P","Fill=—","Direction=H","UseDPDF=Y")</f>
        <v>-61.3</v>
      </c>
      <c r="S37" s="19">
        <f>_xll.BDH("NBIX US Equity","CF_CASH_FROM_INV_ACT","FQ4 2022","FQ4 2022","Currency=USD","Period=FQ","BEST_FPERIOD_OVERRIDE=FQ","FILING_STATUS=MR","SCALING_FORMAT=MLN","Sort=A","Dates=H","DateFormat=P","Fill=—","Direction=H","UseDPDF=Y")</f>
        <v>-115.6</v>
      </c>
      <c r="T37" s="19">
        <f>_xll.BDH("NBIX US Equity","CF_CASH_FROM_INV_ACT","FQ1 2023","FQ1 2023","Currency=USD","Period=FQ","BEST_FPERIOD_OVERRIDE=FQ","FILING_STATUS=MR","SCALING_FORMAT=MLN","Sort=A","Dates=H","DateFormat=P","Fill=—","Direction=H","UseDPDF=Y")</f>
        <v>-42.1</v>
      </c>
      <c r="U37" s="19">
        <f>_xll.BDH("NBIX US Equity","CF_CASH_FROM_INV_ACT","FQ2 2023","FQ2 2023","Currency=USD","Period=FQ","BEST_FPERIOD_OVERRIDE=FQ","FILING_STATUS=MR","SCALING_FORMAT=MLN","Sort=A","Dates=H","DateFormat=P","Fill=—","Direction=H","UseDPDF=Y")</f>
        <v>-125.9</v>
      </c>
      <c r="V37" s="19">
        <f>_xll.BDH("NBIX US Equity","CF_CASH_FROM_INV_ACT","FQ3 2023","FQ3 2023","Currency=USD","Period=FQ","BEST_FPERIOD_OVERRIDE=FQ","FILING_STATUS=MR","SCALING_FORMAT=MLN","Sort=A","Dates=H","DateFormat=P","Fill=—","Direction=H","UseDPDF=Y")</f>
        <v>-97.3</v>
      </c>
      <c r="W37" s="19">
        <f>_xll.BDH("NBIX US Equity","CF_CASH_FROM_INV_ACT","FQ4 2023","FQ4 2023","Currency=USD","Period=FQ","BEST_FPERIOD_OVERRIDE=FQ","FILING_STATUS=MR","SCALING_FORMAT=MLN","Sort=A","Dates=H","DateFormat=P","Fill=—","Direction=H","UseDPDF=Y")</f>
        <v>-201.8</v>
      </c>
      <c r="X37" s="19">
        <f>_xll.BDH("NBIX US Equity","CF_CASH_FROM_INV_ACT","FQ1 2024","FQ1 2024","Currency=USD","Period=FQ","BEST_FPERIOD_OVERRIDE=FQ","FILING_STATUS=MR","SCALING_FORMAT=MLN","Sort=A","Dates=H","DateFormat=P","Fill=—","Direction=H","UseDPDF=Y")</f>
        <v>-55</v>
      </c>
      <c r="Y37" s="19">
        <f>_xll.BDH("NBIX US Equity","CF_CASH_FROM_INV_ACT","FQ2 2024","FQ2 2024","Currency=USD","Period=FQ","BEST_FPERIOD_OVERRIDE=FQ","FILING_STATUS=MR","SCALING_FORMAT=MLN","Sort=A","Dates=H","DateFormat=P","Fill=—","Direction=H","UseDPDF=Y")</f>
        <v>-28.2</v>
      </c>
      <c r="Z37" s="19">
        <f>_xll.BDH("NBIX US Equity","CF_CASH_FROM_INV_ACT","FQ3 2024","FQ3 2024","Currency=USD","Period=FQ","BEST_FPERIOD_OVERRIDE=FQ","FILING_STATUS=MR","SCALING_FORMAT=MLN","Sort=A","Dates=H","DateFormat=P","Fill=—","Direction=H","UseDPDF=Y")</f>
        <v>24.7</v>
      </c>
      <c r="AA37" s="19">
        <f>_xll.BDH("NBIX US Equity","CF_CASH_FROM_INV_ACT","FQ4 2024","FQ4 2024","Currency=USD","Period=FQ","BEST_FPERIOD_OVERRIDE=FQ","FILING_STATUS=MR","SCALING_FORMAT=MLN","Sort=A","Dates=H","DateFormat=P","Fill=—","Direction=H","UseDPDF=Y")</f>
        <v>-68.3</v>
      </c>
    </row>
    <row r="38" spans="1:27" x14ac:dyDescent="0.25">
      <c r="A38" s="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6" t="s">
        <v>1134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0" t="s">
        <v>1135</v>
      </c>
      <c r="B40" s="10" t="s">
        <v>1136</v>
      </c>
      <c r="C40" s="13">
        <f>_xll.BDH("NBIX US Equity","CF_DVD_PAID","FQ4 2018","FQ4 2018","Currency=USD","Period=FQ","BEST_FPERIOD_OVERRIDE=FQ","FILING_STATUS=MR","SCALING_FORMAT=MLN","Sort=A","Dates=H","DateFormat=P","Fill=—","Direction=H","UseDPDF=Y")</f>
        <v>0</v>
      </c>
      <c r="D40" s="13">
        <f>_xll.BDH("NBIX US Equity","CF_DVD_PAID","FQ1 2019","FQ1 2019","Currency=USD","Period=FQ","BEST_FPERIOD_OVERRIDE=FQ","FILING_STATUS=MR","SCALING_FORMAT=MLN","Sort=A","Dates=H","DateFormat=P","Fill=—","Direction=H","UseDPDF=Y")</f>
        <v>0</v>
      </c>
      <c r="E40" s="13">
        <f>_xll.BDH("NBIX US Equity","CF_DVD_PAID","FQ2 2019","FQ2 2019","Currency=USD","Period=FQ","BEST_FPERIOD_OVERRIDE=FQ","FILING_STATUS=MR","SCALING_FORMAT=MLN","Sort=A","Dates=H","DateFormat=P","Fill=—","Direction=H","UseDPDF=Y")</f>
        <v>0</v>
      </c>
      <c r="F40" s="13">
        <f>_xll.BDH("NBIX US Equity","CF_DVD_PAID","FQ3 2019","FQ3 2019","Currency=USD","Period=FQ","BEST_FPERIOD_OVERRIDE=FQ","FILING_STATUS=MR","SCALING_FORMAT=MLN","Sort=A","Dates=H","DateFormat=P","Fill=—","Direction=H","UseDPDF=Y")</f>
        <v>0</v>
      </c>
      <c r="G40" s="13">
        <f>_xll.BDH("NBIX US Equity","CF_DVD_PAID","FQ4 2019","FQ4 2019","Currency=USD","Period=FQ","BEST_FPERIOD_OVERRIDE=FQ","FILING_STATUS=MR","SCALING_FORMAT=MLN","Sort=A","Dates=H","DateFormat=P","Fill=—","Direction=H","UseDPDF=Y")</f>
        <v>0</v>
      </c>
      <c r="H40" s="13">
        <f>_xll.BDH("NBIX US Equity","CF_DVD_PAID","FQ1 2020","FQ1 2020","Currency=USD","Period=FQ","BEST_FPERIOD_OVERRIDE=FQ","FILING_STATUS=MR","SCALING_FORMAT=MLN","Sort=A","Dates=H","DateFormat=P","Fill=—","Direction=H","UseDPDF=Y")</f>
        <v>0</v>
      </c>
      <c r="I40" s="13">
        <f>_xll.BDH("NBIX US Equity","CF_DVD_PAID","FQ2 2020","FQ2 2020","Currency=USD","Period=FQ","BEST_FPERIOD_OVERRIDE=FQ","FILING_STATUS=MR","SCALING_FORMAT=MLN","Sort=A","Dates=H","DateFormat=P","Fill=—","Direction=H","UseDPDF=Y")</f>
        <v>0</v>
      </c>
      <c r="J40" s="13">
        <f>_xll.BDH("NBIX US Equity","CF_DVD_PAID","FQ3 2020","FQ3 2020","Currency=USD","Period=FQ","BEST_FPERIOD_OVERRIDE=FQ","FILING_STATUS=MR","SCALING_FORMAT=MLN","Sort=A","Dates=H","DateFormat=P","Fill=—","Direction=H","UseDPDF=Y")</f>
        <v>0</v>
      </c>
      <c r="K40" s="13">
        <f>_xll.BDH("NBIX US Equity","CF_DVD_PAID","FQ4 2020","FQ4 2020","Currency=USD","Period=FQ","BEST_FPERIOD_OVERRIDE=FQ","FILING_STATUS=MR","SCALING_FORMAT=MLN","Sort=A","Dates=H","DateFormat=P","Fill=—","Direction=H","UseDPDF=Y")</f>
        <v>0</v>
      </c>
      <c r="L40" s="13">
        <f>_xll.BDH("NBIX US Equity","CF_DVD_PAID","FQ1 2021","FQ1 2021","Currency=USD","Period=FQ","BEST_FPERIOD_OVERRIDE=FQ","FILING_STATUS=MR","SCALING_FORMAT=MLN","Sort=A","Dates=H","DateFormat=P","Fill=—","Direction=H","UseDPDF=Y")</f>
        <v>0</v>
      </c>
      <c r="M40" s="13">
        <f>_xll.BDH("NBIX US Equity","CF_DVD_PAID","FQ2 2021","FQ2 2021","Currency=USD","Period=FQ","BEST_FPERIOD_OVERRIDE=FQ","FILING_STATUS=MR","SCALING_FORMAT=MLN","Sort=A","Dates=H","DateFormat=P","Fill=—","Direction=H","UseDPDF=Y")</f>
        <v>0</v>
      </c>
      <c r="N40" s="13">
        <f>_xll.BDH("NBIX US Equity","CF_DVD_PAID","FQ3 2021","FQ3 2021","Currency=USD","Period=FQ","BEST_FPERIOD_OVERRIDE=FQ","FILING_STATUS=MR","SCALING_FORMAT=MLN","Sort=A","Dates=H","DateFormat=P","Fill=—","Direction=H","UseDPDF=Y")</f>
        <v>0</v>
      </c>
      <c r="O40" s="13">
        <f>_xll.BDH("NBIX US Equity","CF_DVD_PAID","FQ4 2021","FQ4 2021","Currency=USD","Period=FQ","BEST_FPERIOD_OVERRIDE=FQ","FILING_STATUS=MR","SCALING_FORMAT=MLN","Sort=A","Dates=H","DateFormat=P","Fill=—","Direction=H","UseDPDF=Y")</f>
        <v>0</v>
      </c>
      <c r="P40" s="13">
        <f>_xll.BDH("NBIX US Equity","CF_DVD_PAID","FQ1 2022","FQ1 2022","Currency=USD","Period=FQ","BEST_FPERIOD_OVERRIDE=FQ","FILING_STATUS=MR","SCALING_FORMAT=MLN","Sort=A","Dates=H","DateFormat=P","Fill=—","Direction=H","UseDPDF=Y")</f>
        <v>0</v>
      </c>
      <c r="Q40" s="13">
        <f>_xll.BDH("NBIX US Equity","CF_DVD_PAID","FQ2 2022","FQ2 2022","Currency=USD","Period=FQ","BEST_FPERIOD_OVERRIDE=FQ","FILING_STATUS=MR","SCALING_FORMAT=MLN","Sort=A","Dates=H","DateFormat=P","Fill=—","Direction=H","UseDPDF=Y")</f>
        <v>0</v>
      </c>
      <c r="R40" s="13">
        <f>_xll.BDH("NBIX US Equity","CF_DVD_PAID","FQ3 2022","FQ3 2022","Currency=USD","Period=FQ","BEST_FPERIOD_OVERRIDE=FQ","FILING_STATUS=MR","SCALING_FORMAT=MLN","Sort=A","Dates=H","DateFormat=P","Fill=—","Direction=H","UseDPDF=Y")</f>
        <v>0</v>
      </c>
      <c r="S40" s="13">
        <f>_xll.BDH("NBIX US Equity","CF_DVD_PAID","FQ4 2022","FQ4 2022","Currency=USD","Period=FQ","BEST_FPERIOD_OVERRIDE=FQ","FILING_STATUS=MR","SCALING_FORMAT=MLN","Sort=A","Dates=H","DateFormat=P","Fill=—","Direction=H","UseDPDF=Y")</f>
        <v>0</v>
      </c>
      <c r="T40" s="13">
        <f>_xll.BDH("NBIX US Equity","CF_DVD_PAID","FQ1 2023","FQ1 2023","Currency=USD","Period=FQ","BEST_FPERIOD_OVERRIDE=FQ","FILING_STATUS=MR","SCALING_FORMAT=MLN","Sort=A","Dates=H","DateFormat=P","Fill=—","Direction=H","UseDPDF=Y")</f>
        <v>0</v>
      </c>
      <c r="U40" s="13">
        <f>_xll.BDH("NBIX US Equity","CF_DVD_PAID","FQ2 2023","FQ2 2023","Currency=USD","Period=FQ","BEST_FPERIOD_OVERRIDE=FQ","FILING_STATUS=MR","SCALING_FORMAT=MLN","Sort=A","Dates=H","DateFormat=P","Fill=—","Direction=H","UseDPDF=Y")</f>
        <v>0</v>
      </c>
      <c r="V40" s="13">
        <f>_xll.BDH("NBIX US Equity","CF_DVD_PAID","FQ3 2023","FQ3 2023","Currency=USD","Period=FQ","BEST_FPERIOD_OVERRIDE=FQ","FILING_STATUS=MR","SCALING_FORMAT=MLN","Sort=A","Dates=H","DateFormat=P","Fill=—","Direction=H","UseDPDF=Y")</f>
        <v>0</v>
      </c>
      <c r="W40" s="13">
        <f>_xll.BDH("NBIX US Equity","CF_DVD_PAID","FQ4 2023","FQ4 2023","Currency=USD","Period=FQ","BEST_FPERIOD_OVERRIDE=FQ","FILING_STATUS=MR","SCALING_FORMAT=MLN","Sort=A","Dates=H","DateFormat=P","Fill=—","Direction=H","UseDPDF=Y")</f>
        <v>0</v>
      </c>
      <c r="X40" s="13">
        <f>_xll.BDH("NBIX US Equity","CF_DVD_PAID","FQ1 2024","FQ1 2024","Currency=USD","Period=FQ","BEST_FPERIOD_OVERRIDE=FQ","FILING_STATUS=MR","SCALING_FORMAT=MLN","Sort=A","Dates=H","DateFormat=P","Fill=—","Direction=H","UseDPDF=Y")</f>
        <v>0</v>
      </c>
      <c r="Y40" s="13">
        <f>_xll.BDH("NBIX US Equity","CF_DVD_PAID","FQ2 2024","FQ2 2024","Currency=USD","Period=FQ","BEST_FPERIOD_OVERRIDE=FQ","FILING_STATUS=MR","SCALING_FORMAT=MLN","Sort=A","Dates=H","DateFormat=P","Fill=—","Direction=H","UseDPDF=Y")</f>
        <v>0</v>
      </c>
      <c r="Z40" s="13">
        <f>_xll.BDH("NBIX US Equity","CF_DVD_PAID","FQ3 2024","FQ3 2024","Currency=USD","Period=FQ","BEST_FPERIOD_OVERRIDE=FQ","FILING_STATUS=MR","SCALING_FORMAT=MLN","Sort=A","Dates=H","DateFormat=P","Fill=—","Direction=H","UseDPDF=Y")</f>
        <v>0</v>
      </c>
      <c r="AA40" s="13">
        <f>_xll.BDH("NBIX US Equity","CF_DVD_PAID","FQ4 2024","FQ4 2024","Currency=USD","Period=FQ","BEST_FPERIOD_OVERRIDE=FQ","FILING_STATUS=MR","SCALING_FORMAT=MLN","Sort=A","Dates=H","DateFormat=P","Fill=—","Direction=H","UseDPDF=Y")</f>
        <v>0</v>
      </c>
    </row>
    <row r="41" spans="1:27" x14ac:dyDescent="0.25">
      <c r="A41" s="10" t="s">
        <v>1137</v>
      </c>
      <c r="B41" s="10" t="s">
        <v>1138</v>
      </c>
      <c r="C41" s="13">
        <f>_xll.BDH("NBIX US Equity","PROC_FR_REPAYMNTS_BOR_DETAILED","FQ4 2018","FQ4 2018","Currency=USD","Period=FQ","BEST_FPERIOD_OVERRIDE=FQ","FILING_STATUS=MR","SCALING_FORMAT=MLN","Sort=A","Dates=H","DateFormat=P","Fill=—","Direction=H","UseDPDF=Y")</f>
        <v>0</v>
      </c>
      <c r="D41" s="13">
        <f>_xll.BDH("NBIX US Equity","PROC_FR_REPAYMNTS_BOR_DETAILED","FQ1 2019","FQ1 2019","Currency=USD","Period=FQ","BEST_FPERIOD_OVERRIDE=FQ","FILING_STATUS=MR","SCALING_FORMAT=MLN","Sort=A","Dates=H","DateFormat=P","Fill=—","Direction=H","UseDPDF=Y")</f>
        <v>0</v>
      </c>
      <c r="E41" s="13">
        <f>_xll.BDH("NBIX US Equity","PROC_FR_REPAYMNTS_BOR_DETAILED","FQ2 2019","FQ2 2019","Currency=USD","Period=FQ","BEST_FPERIOD_OVERRIDE=FQ","FILING_STATUS=MR","SCALING_FORMAT=MLN","Sort=A","Dates=H","DateFormat=P","Fill=—","Direction=H","UseDPDF=Y")</f>
        <v>0</v>
      </c>
      <c r="F41" s="13">
        <f>_xll.BDH("NBIX US Equity","PROC_FR_REPAYMNTS_BOR_DETAILED","FQ3 2019","FQ3 2019","Currency=USD","Period=FQ","BEST_FPERIOD_OVERRIDE=FQ","FILING_STATUS=MR","SCALING_FORMAT=MLN","Sort=A","Dates=H","DateFormat=P","Fill=—","Direction=H","UseDPDF=Y")</f>
        <v>0</v>
      </c>
      <c r="G41" s="13">
        <f>_xll.BDH("NBIX US Equity","PROC_FR_REPAYMNTS_BOR_DETAILED","FQ4 2019","FQ4 2019","Currency=USD","Period=FQ","BEST_FPERIOD_OVERRIDE=FQ","FILING_STATUS=MR","SCALING_FORMAT=MLN","Sort=A","Dates=H","DateFormat=P","Fill=—","Direction=H","UseDPDF=Y")</f>
        <v>0</v>
      </c>
      <c r="H41" s="13">
        <f>_xll.BDH("NBIX US Equity","PROC_FR_REPAYMNTS_BOR_DETAILED","FQ1 2020","FQ1 2020","Currency=USD","Period=FQ","BEST_FPERIOD_OVERRIDE=FQ","FILING_STATUS=MR","SCALING_FORMAT=MLN","Sort=A","Dates=H","DateFormat=P","Fill=—","Direction=H","UseDPDF=Y")</f>
        <v>0</v>
      </c>
      <c r="I41" s="13">
        <f>_xll.BDH("NBIX US Equity","PROC_FR_REPAYMNTS_BOR_DETAILED","FQ2 2020","FQ2 2020","Currency=USD","Period=FQ","BEST_FPERIOD_OVERRIDE=FQ","FILING_STATUS=MR","SCALING_FORMAT=MLN","Sort=A","Dates=H","DateFormat=P","Fill=—","Direction=H","UseDPDF=Y")</f>
        <v>0</v>
      </c>
      <c r="J41" s="13">
        <f>_xll.BDH("NBIX US Equity","PROC_FR_REPAYMNTS_BOR_DETAILED","FQ3 2020","FQ3 2020","Currency=USD","Period=FQ","BEST_FPERIOD_OVERRIDE=FQ","FILING_STATUS=MR","SCALING_FORMAT=MLN","Sort=A","Dates=H","DateFormat=P","Fill=—","Direction=H","UseDPDF=Y")</f>
        <v>0</v>
      </c>
      <c r="K41" s="13">
        <f>_xll.BDH("NBIX US Equity","PROC_FR_REPAYMNTS_BOR_DETAILED","FQ4 2020","FQ4 2020","Currency=USD","Period=FQ","BEST_FPERIOD_OVERRIDE=FQ","FILING_STATUS=MR","SCALING_FORMAT=MLN","Sort=A","Dates=H","DateFormat=P","Fill=—","Direction=H","UseDPDF=Y")</f>
        <v>-186.9</v>
      </c>
      <c r="L41" s="13">
        <f>_xll.BDH("NBIX US Equity","PROC_FR_REPAYMNTS_BOR_DETAILED","FQ1 2021","FQ1 2021","Currency=USD","Period=FQ","BEST_FPERIOD_OVERRIDE=FQ","FILING_STATUS=MR","SCALING_FORMAT=MLN","Sort=A","Dates=H","DateFormat=P","Fill=—","Direction=H","UseDPDF=Y")</f>
        <v>-0.1</v>
      </c>
      <c r="M41" s="13">
        <f>_xll.BDH("NBIX US Equity","PROC_FR_REPAYMNTS_BOR_DETAILED","FQ2 2021","FQ2 2021","Currency=USD","Period=FQ","BEST_FPERIOD_OVERRIDE=FQ","FILING_STATUS=MR","SCALING_FORMAT=MLN","Sort=A","Dates=H","DateFormat=P","Fill=—","Direction=H","UseDPDF=Y")</f>
        <v>0.1</v>
      </c>
      <c r="N41" s="13">
        <f>_xll.BDH("NBIX US Equity","PROC_FR_REPAYMNTS_BOR_DETAILED","FQ3 2021","FQ3 2021","Currency=USD","Period=FQ","BEST_FPERIOD_OVERRIDE=FQ","FILING_STATUS=MR","SCALING_FORMAT=MLN","Sort=A","Dates=H","DateFormat=P","Fill=—","Direction=H","UseDPDF=Y")</f>
        <v>0</v>
      </c>
      <c r="O41" s="13">
        <f>_xll.BDH("NBIX US Equity","PROC_FR_REPAYMNTS_BOR_DETAILED","FQ4 2021","FQ4 2021","Currency=USD","Period=FQ","BEST_FPERIOD_OVERRIDE=FQ","FILING_STATUS=MR","SCALING_FORMAT=MLN","Sort=A","Dates=H","DateFormat=P","Fill=—","Direction=H","UseDPDF=Y")</f>
        <v>-0.1</v>
      </c>
      <c r="P41" s="13">
        <f>_xll.BDH("NBIX US Equity","PROC_FR_REPAYMNTS_BOR_DETAILED","FQ1 2022","FQ1 2022","Currency=USD","Period=FQ","BEST_FPERIOD_OVERRIDE=FQ","FILING_STATUS=MR","SCALING_FORMAT=MLN","Sort=A","Dates=H","DateFormat=P","Fill=—","Direction=H","UseDPDF=Y")</f>
        <v>0</v>
      </c>
      <c r="Q41" s="13">
        <f>_xll.BDH("NBIX US Equity","PROC_FR_REPAYMNTS_BOR_DETAILED","FQ2 2022","FQ2 2022","Currency=USD","Period=FQ","BEST_FPERIOD_OVERRIDE=FQ","FILING_STATUS=MR","SCALING_FORMAT=MLN","Sort=A","Dates=H","DateFormat=P","Fill=—","Direction=H","UseDPDF=Y")</f>
        <v>0</v>
      </c>
      <c r="R41" s="13">
        <f>_xll.BDH("NBIX US Equity","PROC_FR_REPAYMNTS_BOR_DETAILED","FQ3 2022","FQ3 2022","Currency=USD","Period=FQ","BEST_FPERIOD_OVERRIDE=FQ","FILING_STATUS=MR","SCALING_FORMAT=MLN","Sort=A","Dates=H","DateFormat=P","Fill=—","Direction=H","UseDPDF=Y")</f>
        <v>0</v>
      </c>
      <c r="S41" s="13">
        <f>_xll.BDH("NBIX US Equity","PROC_FR_REPAYMNTS_BOR_DETAILED","FQ4 2022","FQ4 2022","Currency=USD","Period=FQ","BEST_FPERIOD_OVERRIDE=FQ","FILING_STATUS=MR","SCALING_FORMAT=MLN","Sort=A","Dates=H","DateFormat=P","Fill=—","Direction=H","UseDPDF=Y")</f>
        <v>-279</v>
      </c>
      <c r="T41" s="13">
        <f>_xll.BDH("NBIX US Equity","PROC_FR_REPAYMNTS_BOR_DETAILED","FQ1 2023","FQ1 2023","Currency=USD","Period=FQ","BEST_FPERIOD_OVERRIDE=FQ","FILING_STATUS=MR","SCALING_FORMAT=MLN","Sort=A","Dates=H","DateFormat=P","Fill=—","Direction=H","UseDPDF=Y")</f>
        <v>0</v>
      </c>
      <c r="U41" s="13">
        <f>_xll.BDH("NBIX US Equity","PROC_FR_REPAYMNTS_BOR_DETAILED","FQ2 2023","FQ2 2023","Currency=USD","Period=FQ","BEST_FPERIOD_OVERRIDE=FQ","FILING_STATUS=MR","SCALING_FORMAT=MLN","Sort=A","Dates=H","DateFormat=P","Fill=—","Direction=H","UseDPDF=Y")</f>
        <v>0</v>
      </c>
      <c r="V41" s="13">
        <f>_xll.BDH("NBIX US Equity","PROC_FR_REPAYMNTS_BOR_DETAILED","FQ3 2023","FQ3 2023","Currency=USD","Period=FQ","BEST_FPERIOD_OVERRIDE=FQ","FILING_STATUS=MR","SCALING_FORMAT=MLN","Sort=A","Dates=H","DateFormat=P","Fill=—","Direction=H","UseDPDF=Y")</f>
        <v>0</v>
      </c>
      <c r="W41" s="13">
        <f>_xll.BDH("NBIX US Equity","PROC_FR_REPAYMNTS_BOR_DETAILED","FQ4 2023","FQ4 2023","Currency=USD","Period=FQ","BEST_FPERIOD_OVERRIDE=FQ","FILING_STATUS=MR","SCALING_FORMAT=MLN","Sort=A","Dates=H","DateFormat=P","Fill=—","Direction=H","UseDPDF=Y")</f>
        <v>0</v>
      </c>
      <c r="X41" s="13">
        <f>_xll.BDH("NBIX US Equity","PROC_FR_REPAYMNTS_BOR_DETAILED","FQ1 2024","FQ1 2024","Currency=USD","Period=FQ","BEST_FPERIOD_OVERRIDE=FQ","FILING_STATUS=MR","SCALING_FORMAT=MLN","Sort=A","Dates=H","DateFormat=P","Fill=—","Direction=H","UseDPDF=Y")</f>
        <v>0</v>
      </c>
      <c r="Y41" s="13">
        <f>_xll.BDH("NBIX US Equity","PROC_FR_REPAYMNTS_BOR_DETAILED","FQ2 2024","FQ2 2024","Currency=USD","Period=FQ","BEST_FPERIOD_OVERRIDE=FQ","FILING_STATUS=MR","SCALING_FORMAT=MLN","Sort=A","Dates=H","DateFormat=P","Fill=—","Direction=H","UseDPDF=Y")</f>
        <v>0</v>
      </c>
      <c r="Z41" s="13">
        <f>_xll.BDH("NBIX US Equity","PROC_FR_REPAYMNTS_BOR_DETAILED","FQ3 2024","FQ3 2024","Currency=USD","Period=FQ","BEST_FPERIOD_OVERRIDE=FQ","FILING_STATUS=MR","SCALING_FORMAT=MLN","Sort=A","Dates=H","DateFormat=P","Fill=—","Direction=H","UseDPDF=Y")</f>
        <v>0</v>
      </c>
      <c r="AA41" s="13">
        <f>_xll.BDH("NBIX US Equity","PROC_FR_REPAYMNTS_BOR_DETAILED","FQ4 2024","FQ4 2024","Currency=USD","Period=FQ","BEST_FPERIOD_OVERRIDE=FQ","FILING_STATUS=MR","SCALING_FORMAT=MLN","Sort=A","Dates=H","DateFormat=P","Fill=—","Direction=H","UseDPDF=Y")</f>
        <v>-308.8</v>
      </c>
    </row>
    <row r="42" spans="1:27" x14ac:dyDescent="0.25">
      <c r="A42" s="10" t="s">
        <v>1139</v>
      </c>
      <c r="B42" s="10" t="s">
        <v>1140</v>
      </c>
      <c r="C42" s="13">
        <f>_xll.BDH("NBIX US Equity","CF_NET_CHG_ST_DEBT_CPTL_LEAS","FQ4 2018","FQ4 2018","Currency=USD","Period=FQ","BEST_FPERIOD_OVERRIDE=FQ","FILING_STATUS=MR","SCALING_FORMAT=MLN","Sort=A","Dates=H","DateFormat=P","Fill=—","Direction=H","UseDPDF=Y")</f>
        <v>0</v>
      </c>
      <c r="D42" s="13">
        <f>_xll.BDH("NBIX US Equity","CF_NET_CHG_ST_DEBT_CPTL_LEAS","FQ1 2019","FQ1 2019","Currency=USD","Period=FQ","BEST_FPERIOD_OVERRIDE=FQ","FILING_STATUS=MR","SCALING_FORMAT=MLN","Sort=A","Dates=H","DateFormat=P","Fill=—","Direction=H","UseDPDF=Y")</f>
        <v>0</v>
      </c>
      <c r="E42" s="13">
        <f>_xll.BDH("NBIX US Equity","CF_NET_CHG_ST_DEBT_CPTL_LEAS","FQ2 2019","FQ2 2019","Currency=USD","Period=FQ","BEST_FPERIOD_OVERRIDE=FQ","FILING_STATUS=MR","SCALING_FORMAT=MLN","Sort=A","Dates=H","DateFormat=P","Fill=—","Direction=H","UseDPDF=Y")</f>
        <v>0</v>
      </c>
      <c r="F42" s="13">
        <f>_xll.BDH("NBIX US Equity","CF_NET_CHG_ST_DEBT_CPTL_LEAS","FQ3 2019","FQ3 2019","Currency=USD","Period=FQ","BEST_FPERIOD_OVERRIDE=FQ","FILING_STATUS=MR","SCALING_FORMAT=MLN","Sort=A","Dates=H","DateFormat=P","Fill=—","Direction=H","UseDPDF=Y")</f>
        <v>0</v>
      </c>
      <c r="G42" s="13">
        <f>_xll.BDH("NBIX US Equity","CF_NET_CHG_ST_DEBT_CPTL_LEAS","FQ4 2019","FQ4 2019","Currency=USD","Period=FQ","BEST_FPERIOD_OVERRIDE=FQ","FILING_STATUS=MR","SCALING_FORMAT=MLN","Sort=A","Dates=H","DateFormat=P","Fill=—","Direction=H","UseDPDF=Y")</f>
        <v>0</v>
      </c>
      <c r="H42" s="13" t="str">
        <f>_xll.BDH("NBIX US Equity","CF_NET_CHG_ST_DEBT_CPTL_LEAS","FQ1 2020","FQ1 2020","Currency=USD","Period=FQ","BEST_FPERIOD_OVERRIDE=FQ","FILING_STATUS=MR","SCALING_FORMAT=MLN","Sort=A","Dates=H","DateFormat=P","Fill=—","Direction=H","UseDPDF=Y")</f>
        <v>—</v>
      </c>
      <c r="I42" s="13" t="str">
        <f>_xll.BDH("NBIX US Equity","CF_NET_CHG_ST_DEBT_CPTL_LEAS","FQ2 2020","FQ2 2020","Currency=USD","Period=FQ","BEST_FPERIOD_OVERRIDE=FQ","FILING_STATUS=MR","SCALING_FORMAT=MLN","Sort=A","Dates=H","DateFormat=P","Fill=—","Direction=H","UseDPDF=Y")</f>
        <v>—</v>
      </c>
      <c r="J42" s="13">
        <f>_xll.BDH("NBIX US Equity","CF_NET_CHG_ST_DEBT_CPTL_LEAS","FQ3 2020","FQ3 2020","Currency=USD","Period=FQ","BEST_FPERIOD_OVERRIDE=FQ","FILING_STATUS=MR","SCALING_FORMAT=MLN","Sort=A","Dates=H","DateFormat=P","Fill=—","Direction=H","UseDPDF=Y")</f>
        <v>0</v>
      </c>
      <c r="K42" s="13" t="str">
        <f>_xll.BDH("NBIX US Equity","CF_NET_CHG_ST_DEBT_CPTL_LEAS","FQ4 2020","FQ4 2020","Currency=USD","Period=FQ","BEST_FPERIOD_OVERRIDE=FQ","FILING_STATUS=MR","SCALING_FORMAT=MLN","Sort=A","Dates=H","DateFormat=P","Fill=—","Direction=H","UseDPDF=Y")</f>
        <v>—</v>
      </c>
      <c r="L42" s="13" t="str">
        <f>_xll.BDH("NBIX US Equity","CF_NET_CHG_ST_DEBT_CPTL_LEAS","FQ1 2021","FQ1 2021","Currency=USD","Period=FQ","BEST_FPERIOD_OVERRIDE=FQ","FILING_STATUS=MR","SCALING_FORMAT=MLN","Sort=A","Dates=H","DateFormat=P","Fill=—","Direction=H","UseDPDF=Y")</f>
        <v>—</v>
      </c>
      <c r="M42" s="13" t="str">
        <f>_xll.BDH("NBIX US Equity","CF_NET_CHG_ST_DEBT_CPTL_LEAS","FQ2 2021","FQ2 2021","Currency=USD","Period=FQ","BEST_FPERIOD_OVERRIDE=FQ","FILING_STATUS=MR","SCALING_FORMAT=MLN","Sort=A","Dates=H","DateFormat=P","Fill=—","Direction=H","UseDPDF=Y")</f>
        <v>—</v>
      </c>
      <c r="N42" s="13">
        <f>_xll.BDH("NBIX US Equity","CF_NET_CHG_ST_DEBT_CPTL_LEAS","FQ3 2021","FQ3 2021","Currency=USD","Period=FQ","BEST_FPERIOD_OVERRIDE=FQ","FILING_STATUS=MR","SCALING_FORMAT=MLN","Sort=A","Dates=H","DateFormat=P","Fill=—","Direction=H","UseDPDF=Y")</f>
        <v>0</v>
      </c>
      <c r="O42" s="13">
        <f>_xll.BDH("NBIX US Equity","CF_NET_CHG_ST_DEBT_CPTL_LEAS","FQ4 2021","FQ4 2021","Currency=USD","Period=FQ","BEST_FPERIOD_OVERRIDE=FQ","FILING_STATUS=MR","SCALING_FORMAT=MLN","Sort=A","Dates=H","DateFormat=P","Fill=—","Direction=H","UseDPDF=Y")</f>
        <v>0</v>
      </c>
      <c r="P42" s="13" t="str">
        <f>_xll.BDH("NBIX US Equity","CF_NET_CHG_ST_DEBT_CPTL_LEAS","FQ1 2022","FQ1 2022","Currency=USD","Period=FQ","BEST_FPERIOD_OVERRIDE=FQ","FILING_STATUS=MR","SCALING_FORMAT=MLN","Sort=A","Dates=H","DateFormat=P","Fill=—","Direction=H","UseDPDF=Y")</f>
        <v>—</v>
      </c>
      <c r="Q42" s="13" t="str">
        <f>_xll.BDH("NBIX US Equity","CF_NET_CHG_ST_DEBT_CPTL_LEAS","FQ2 2022","FQ2 2022","Currency=USD","Period=FQ","BEST_FPERIOD_OVERRIDE=FQ","FILING_STATUS=MR","SCALING_FORMAT=MLN","Sort=A","Dates=H","DateFormat=P","Fill=—","Direction=H","UseDPDF=Y")</f>
        <v>—</v>
      </c>
      <c r="R42" s="13" t="str">
        <f>_xll.BDH("NBIX US Equity","CF_NET_CHG_ST_DEBT_CPTL_LEAS","FQ3 2022","FQ3 2022","Currency=USD","Period=FQ","BEST_FPERIOD_OVERRIDE=FQ","FILING_STATUS=MR","SCALING_FORMAT=MLN","Sort=A","Dates=H","DateFormat=P","Fill=—","Direction=H","UseDPDF=Y")</f>
        <v>—</v>
      </c>
      <c r="S42" s="13" t="str">
        <f>_xll.BDH("NBIX US Equity","CF_NET_CHG_ST_DEBT_CPTL_LEAS","FQ4 2022","FQ4 2022","Currency=USD","Period=FQ","BEST_FPERIOD_OVERRIDE=FQ","FILING_STATUS=MR","SCALING_FORMAT=MLN","Sort=A","Dates=H","DateFormat=P","Fill=—","Direction=H","UseDPDF=Y")</f>
        <v>—</v>
      </c>
      <c r="T42" s="13">
        <f>_xll.BDH("NBIX US Equity","CF_NET_CHG_ST_DEBT_CPTL_LEAS","FQ1 2023","FQ1 2023","Currency=USD","Period=FQ","BEST_FPERIOD_OVERRIDE=FQ","FILING_STATUS=MR","SCALING_FORMAT=MLN","Sort=A","Dates=H","DateFormat=P","Fill=—","Direction=H","UseDPDF=Y")</f>
        <v>0</v>
      </c>
      <c r="U42" s="13">
        <f>_xll.BDH("NBIX US Equity","CF_NET_CHG_ST_DEBT_CPTL_LEAS","FQ2 2023","FQ2 2023","Currency=USD","Period=FQ","BEST_FPERIOD_OVERRIDE=FQ","FILING_STATUS=MR","SCALING_FORMAT=MLN","Sort=A","Dates=H","DateFormat=P","Fill=—","Direction=H","UseDPDF=Y")</f>
        <v>0</v>
      </c>
      <c r="V42" s="13">
        <f>_xll.BDH("NBIX US Equity","CF_NET_CHG_ST_DEBT_CPTL_LEAS","FQ3 2023","FQ3 2023","Currency=USD","Period=FQ","BEST_FPERIOD_OVERRIDE=FQ","FILING_STATUS=MR","SCALING_FORMAT=MLN","Sort=A","Dates=H","DateFormat=P","Fill=—","Direction=H","UseDPDF=Y")</f>
        <v>0</v>
      </c>
      <c r="W42" s="13">
        <f>_xll.BDH("NBIX US Equity","CF_NET_CHG_ST_DEBT_CPTL_LEAS","FQ4 2023","FQ4 2023","Currency=USD","Period=FQ","BEST_FPERIOD_OVERRIDE=FQ","FILING_STATUS=MR","SCALING_FORMAT=MLN","Sort=A","Dates=H","DateFormat=P","Fill=—","Direction=H","UseDPDF=Y")</f>
        <v>0</v>
      </c>
      <c r="X42" s="13">
        <f>_xll.BDH("NBIX US Equity","CF_NET_CHG_ST_DEBT_CPTL_LEAS","FQ1 2024","FQ1 2024","Currency=USD","Period=FQ","BEST_FPERIOD_OVERRIDE=FQ","FILING_STATUS=MR","SCALING_FORMAT=MLN","Sort=A","Dates=H","DateFormat=P","Fill=—","Direction=H","UseDPDF=Y")</f>
        <v>0</v>
      </c>
      <c r="Y42" s="13">
        <f>_xll.BDH("NBIX US Equity","CF_NET_CHG_ST_DEBT_CPTL_LEAS","FQ2 2024","FQ2 2024","Currency=USD","Period=FQ","BEST_FPERIOD_OVERRIDE=FQ","FILING_STATUS=MR","SCALING_FORMAT=MLN","Sort=A","Dates=H","DateFormat=P","Fill=—","Direction=H","UseDPDF=Y")</f>
        <v>0</v>
      </c>
      <c r="Z42" s="13">
        <f>_xll.BDH("NBIX US Equity","CF_NET_CHG_ST_DEBT_CPTL_LEAS","FQ3 2024","FQ3 2024","Currency=USD","Period=FQ","BEST_FPERIOD_OVERRIDE=FQ","FILING_STATUS=MR","SCALING_FORMAT=MLN","Sort=A","Dates=H","DateFormat=P","Fill=—","Direction=H","UseDPDF=Y")</f>
        <v>0</v>
      </c>
      <c r="AA42" s="13">
        <f>_xll.BDH("NBIX US Equity","CF_NET_CHG_ST_DEBT_CPTL_LEAS","FQ4 2024","FQ4 2024","Currency=USD","Period=FQ","BEST_FPERIOD_OVERRIDE=FQ","FILING_STATUS=MR","SCALING_FORMAT=MLN","Sort=A","Dates=H","DateFormat=P","Fill=—","Direction=H","UseDPDF=Y")</f>
        <v>0</v>
      </c>
    </row>
    <row r="43" spans="1:27" x14ac:dyDescent="0.25">
      <c r="A43" s="10" t="s">
        <v>1141</v>
      </c>
      <c r="B43" s="10" t="s">
        <v>1142</v>
      </c>
      <c r="C43" s="13">
        <f>_xll.BDH("NBIX US Equity","CF_LT_DEBT_CAP_LEAS_PROCEEDS","FQ4 2018","FQ4 2018","Currency=USD","Period=FQ","BEST_FPERIOD_OVERRIDE=FQ","FILING_STATUS=MR","SCALING_FORMAT=MLN","Sort=A","Dates=H","DateFormat=P","Fill=—","Direction=H","UseDPDF=Y")</f>
        <v>0</v>
      </c>
      <c r="D43" s="13">
        <f>_xll.BDH("NBIX US Equity","CF_LT_DEBT_CAP_LEAS_PROCEEDS","FQ1 2019","FQ1 2019","Currency=USD","Period=FQ","BEST_FPERIOD_OVERRIDE=FQ","FILING_STATUS=MR","SCALING_FORMAT=MLN","Sort=A","Dates=H","DateFormat=P","Fill=—","Direction=H","UseDPDF=Y")</f>
        <v>0</v>
      </c>
      <c r="E43" s="13">
        <f>_xll.BDH("NBIX US Equity","CF_LT_DEBT_CAP_LEAS_PROCEEDS","FQ2 2019","FQ2 2019","Currency=USD","Period=FQ","BEST_FPERIOD_OVERRIDE=FQ","FILING_STATUS=MR","SCALING_FORMAT=MLN","Sort=A","Dates=H","DateFormat=P","Fill=—","Direction=H","UseDPDF=Y")</f>
        <v>0</v>
      </c>
      <c r="F43" s="13">
        <f>_xll.BDH("NBIX US Equity","CF_LT_DEBT_CAP_LEAS_PROCEEDS","FQ3 2019","FQ3 2019","Currency=USD","Period=FQ","BEST_FPERIOD_OVERRIDE=FQ","FILING_STATUS=MR","SCALING_FORMAT=MLN","Sort=A","Dates=H","DateFormat=P","Fill=—","Direction=H","UseDPDF=Y")</f>
        <v>0</v>
      </c>
      <c r="G43" s="13">
        <f>_xll.BDH("NBIX US Equity","CF_LT_DEBT_CAP_LEAS_PROCEEDS","FQ4 2019","FQ4 2019","Currency=USD","Period=FQ","BEST_FPERIOD_OVERRIDE=FQ","FILING_STATUS=MR","SCALING_FORMAT=MLN","Sort=A","Dates=H","DateFormat=P","Fill=—","Direction=H","UseDPDF=Y")</f>
        <v>0</v>
      </c>
      <c r="H43" s="13" t="str">
        <f>_xll.BDH("NBIX US Equity","CF_LT_DEBT_CAP_LEAS_PROCEEDS","FQ1 2020","FQ1 2020","Currency=USD","Period=FQ","BEST_FPERIOD_OVERRIDE=FQ","FILING_STATUS=MR","SCALING_FORMAT=MLN","Sort=A","Dates=H","DateFormat=P","Fill=—","Direction=H","UseDPDF=Y")</f>
        <v>—</v>
      </c>
      <c r="I43" s="13" t="str">
        <f>_xll.BDH("NBIX US Equity","CF_LT_DEBT_CAP_LEAS_PROCEEDS","FQ2 2020","FQ2 2020","Currency=USD","Period=FQ","BEST_FPERIOD_OVERRIDE=FQ","FILING_STATUS=MR","SCALING_FORMAT=MLN","Sort=A","Dates=H","DateFormat=P","Fill=—","Direction=H","UseDPDF=Y")</f>
        <v>—</v>
      </c>
      <c r="J43" s="13">
        <f>_xll.BDH("NBIX US Equity","CF_LT_DEBT_CAP_LEAS_PROCEEDS","FQ3 2020","FQ3 2020","Currency=USD","Period=FQ","BEST_FPERIOD_OVERRIDE=FQ","FILING_STATUS=MR","SCALING_FORMAT=MLN","Sort=A","Dates=H","DateFormat=P","Fill=—","Direction=H","UseDPDF=Y")</f>
        <v>0</v>
      </c>
      <c r="K43" s="13" t="str">
        <f>_xll.BDH("NBIX US Equity","CF_LT_DEBT_CAP_LEAS_PROCEEDS","FQ4 2020","FQ4 2020","Currency=USD","Period=FQ","BEST_FPERIOD_OVERRIDE=FQ","FILING_STATUS=MR","SCALING_FORMAT=MLN","Sort=A","Dates=H","DateFormat=P","Fill=—","Direction=H","UseDPDF=Y")</f>
        <v>—</v>
      </c>
      <c r="L43" s="13" t="str">
        <f>_xll.BDH("NBIX US Equity","CF_LT_DEBT_CAP_LEAS_PROCEEDS","FQ1 2021","FQ1 2021","Currency=USD","Period=FQ","BEST_FPERIOD_OVERRIDE=FQ","FILING_STATUS=MR","SCALING_FORMAT=MLN","Sort=A","Dates=H","DateFormat=P","Fill=—","Direction=H","UseDPDF=Y")</f>
        <v>—</v>
      </c>
      <c r="M43" s="13" t="str">
        <f>_xll.BDH("NBIX US Equity","CF_LT_DEBT_CAP_LEAS_PROCEEDS","FQ2 2021","FQ2 2021","Currency=USD","Period=FQ","BEST_FPERIOD_OVERRIDE=FQ","FILING_STATUS=MR","SCALING_FORMAT=MLN","Sort=A","Dates=H","DateFormat=P","Fill=—","Direction=H","UseDPDF=Y")</f>
        <v>—</v>
      </c>
      <c r="N43" s="13">
        <f>_xll.BDH("NBIX US Equity","CF_LT_DEBT_CAP_LEAS_PROCEEDS","FQ3 2021","FQ3 2021","Currency=USD","Period=FQ","BEST_FPERIOD_OVERRIDE=FQ","FILING_STATUS=MR","SCALING_FORMAT=MLN","Sort=A","Dates=H","DateFormat=P","Fill=—","Direction=H","UseDPDF=Y")</f>
        <v>0</v>
      </c>
      <c r="O43" s="13">
        <f>_xll.BDH("NBIX US Equity","CF_LT_DEBT_CAP_LEAS_PROCEEDS","FQ4 2021","FQ4 2021","Currency=USD","Period=FQ","BEST_FPERIOD_OVERRIDE=FQ","FILING_STATUS=MR","SCALING_FORMAT=MLN","Sort=A","Dates=H","DateFormat=P","Fill=—","Direction=H","UseDPDF=Y")</f>
        <v>0</v>
      </c>
      <c r="P43" s="13" t="str">
        <f>_xll.BDH("NBIX US Equity","CF_LT_DEBT_CAP_LEAS_PROCEEDS","FQ1 2022","FQ1 2022","Currency=USD","Period=FQ","BEST_FPERIOD_OVERRIDE=FQ","FILING_STATUS=MR","SCALING_FORMAT=MLN","Sort=A","Dates=H","DateFormat=P","Fill=—","Direction=H","UseDPDF=Y")</f>
        <v>—</v>
      </c>
      <c r="Q43" s="13" t="str">
        <f>_xll.BDH("NBIX US Equity","CF_LT_DEBT_CAP_LEAS_PROCEEDS","FQ2 2022","FQ2 2022","Currency=USD","Period=FQ","BEST_FPERIOD_OVERRIDE=FQ","FILING_STATUS=MR","SCALING_FORMAT=MLN","Sort=A","Dates=H","DateFormat=P","Fill=—","Direction=H","UseDPDF=Y")</f>
        <v>—</v>
      </c>
      <c r="R43" s="13" t="str">
        <f>_xll.BDH("NBIX US Equity","CF_LT_DEBT_CAP_LEAS_PROCEEDS","FQ3 2022","FQ3 2022","Currency=USD","Period=FQ","BEST_FPERIOD_OVERRIDE=FQ","FILING_STATUS=MR","SCALING_FORMAT=MLN","Sort=A","Dates=H","DateFormat=P","Fill=—","Direction=H","UseDPDF=Y")</f>
        <v>—</v>
      </c>
      <c r="S43" s="13" t="str">
        <f>_xll.BDH("NBIX US Equity","CF_LT_DEBT_CAP_LEAS_PROCEEDS","FQ4 2022","FQ4 2022","Currency=USD","Period=FQ","BEST_FPERIOD_OVERRIDE=FQ","FILING_STATUS=MR","SCALING_FORMAT=MLN","Sort=A","Dates=H","DateFormat=P","Fill=—","Direction=H","UseDPDF=Y")</f>
        <v>—</v>
      </c>
      <c r="T43" s="13">
        <f>_xll.BDH("NBIX US Equity","CF_LT_DEBT_CAP_LEAS_PROCEEDS","FQ1 2023","FQ1 2023","Currency=USD","Period=FQ","BEST_FPERIOD_OVERRIDE=FQ","FILING_STATUS=MR","SCALING_FORMAT=MLN","Sort=A","Dates=H","DateFormat=P","Fill=—","Direction=H","UseDPDF=Y")</f>
        <v>0</v>
      </c>
      <c r="U43" s="13">
        <f>_xll.BDH("NBIX US Equity","CF_LT_DEBT_CAP_LEAS_PROCEEDS","FQ2 2023","FQ2 2023","Currency=USD","Period=FQ","BEST_FPERIOD_OVERRIDE=FQ","FILING_STATUS=MR","SCALING_FORMAT=MLN","Sort=A","Dates=H","DateFormat=P","Fill=—","Direction=H","UseDPDF=Y")</f>
        <v>0</v>
      </c>
      <c r="V43" s="13">
        <f>_xll.BDH("NBIX US Equity","CF_LT_DEBT_CAP_LEAS_PROCEEDS","FQ3 2023","FQ3 2023","Currency=USD","Period=FQ","BEST_FPERIOD_OVERRIDE=FQ","FILING_STATUS=MR","SCALING_FORMAT=MLN","Sort=A","Dates=H","DateFormat=P","Fill=—","Direction=H","UseDPDF=Y")</f>
        <v>0</v>
      </c>
      <c r="W43" s="13">
        <f>_xll.BDH("NBIX US Equity","CF_LT_DEBT_CAP_LEAS_PROCEEDS","FQ4 2023","FQ4 2023","Currency=USD","Period=FQ","BEST_FPERIOD_OVERRIDE=FQ","FILING_STATUS=MR","SCALING_FORMAT=MLN","Sort=A","Dates=H","DateFormat=P","Fill=—","Direction=H","UseDPDF=Y")</f>
        <v>0</v>
      </c>
      <c r="X43" s="13">
        <f>_xll.BDH("NBIX US Equity","CF_LT_DEBT_CAP_LEAS_PROCEEDS","FQ1 2024","FQ1 2024","Currency=USD","Period=FQ","BEST_FPERIOD_OVERRIDE=FQ","FILING_STATUS=MR","SCALING_FORMAT=MLN","Sort=A","Dates=H","DateFormat=P","Fill=—","Direction=H","UseDPDF=Y")</f>
        <v>0</v>
      </c>
      <c r="Y43" s="13">
        <f>_xll.BDH("NBIX US Equity","CF_LT_DEBT_CAP_LEAS_PROCEEDS","FQ2 2024","FQ2 2024","Currency=USD","Period=FQ","BEST_FPERIOD_OVERRIDE=FQ","FILING_STATUS=MR","SCALING_FORMAT=MLN","Sort=A","Dates=H","DateFormat=P","Fill=—","Direction=H","UseDPDF=Y")</f>
        <v>0</v>
      </c>
      <c r="Z43" s="13">
        <f>_xll.BDH("NBIX US Equity","CF_LT_DEBT_CAP_LEAS_PROCEEDS","FQ3 2024","FQ3 2024","Currency=USD","Period=FQ","BEST_FPERIOD_OVERRIDE=FQ","FILING_STATUS=MR","SCALING_FORMAT=MLN","Sort=A","Dates=H","DateFormat=P","Fill=—","Direction=H","UseDPDF=Y")</f>
        <v>0</v>
      </c>
      <c r="AA43" s="13">
        <f>_xll.BDH("NBIX US Equity","CF_LT_DEBT_CAP_LEAS_PROCEEDS","FQ4 2024","FQ4 2024","Currency=USD","Period=FQ","BEST_FPERIOD_OVERRIDE=FQ","FILING_STATUS=MR","SCALING_FORMAT=MLN","Sort=A","Dates=H","DateFormat=P","Fill=—","Direction=H","UseDPDF=Y")</f>
        <v>0</v>
      </c>
    </row>
    <row r="44" spans="1:27" x14ac:dyDescent="0.25">
      <c r="A44" s="10" t="s">
        <v>1143</v>
      </c>
      <c r="B44" s="10" t="s">
        <v>1144</v>
      </c>
      <c r="C44" s="13">
        <f>_xll.BDH("NBIX US Equity","CF_LT_DEBT_CAP_LEAS_PAYMENT","FQ4 2018","FQ4 2018","Currency=USD","Period=FQ","BEST_FPERIOD_OVERRIDE=FQ","FILING_STATUS=MR","SCALING_FORMAT=MLN","Sort=A","Dates=H","DateFormat=P","Fill=—","Direction=H","UseDPDF=Y")</f>
        <v>0</v>
      </c>
      <c r="D44" s="13">
        <f>_xll.BDH("NBIX US Equity","CF_LT_DEBT_CAP_LEAS_PAYMENT","FQ1 2019","FQ1 2019","Currency=USD","Period=FQ","BEST_FPERIOD_OVERRIDE=FQ","FILING_STATUS=MR","SCALING_FORMAT=MLN","Sort=A","Dates=H","DateFormat=P","Fill=—","Direction=H","UseDPDF=Y")</f>
        <v>0</v>
      </c>
      <c r="E44" s="13">
        <f>_xll.BDH("NBIX US Equity","CF_LT_DEBT_CAP_LEAS_PAYMENT","FQ2 2019","FQ2 2019","Currency=USD","Period=FQ","BEST_FPERIOD_OVERRIDE=FQ","FILING_STATUS=MR","SCALING_FORMAT=MLN","Sort=A","Dates=H","DateFormat=P","Fill=—","Direction=H","UseDPDF=Y")</f>
        <v>0</v>
      </c>
      <c r="F44" s="13">
        <f>_xll.BDH("NBIX US Equity","CF_LT_DEBT_CAP_LEAS_PAYMENT","FQ3 2019","FQ3 2019","Currency=USD","Period=FQ","BEST_FPERIOD_OVERRIDE=FQ","FILING_STATUS=MR","SCALING_FORMAT=MLN","Sort=A","Dates=H","DateFormat=P","Fill=—","Direction=H","UseDPDF=Y")</f>
        <v>0</v>
      </c>
      <c r="G44" s="13">
        <f>_xll.BDH("NBIX US Equity","CF_LT_DEBT_CAP_LEAS_PAYMENT","FQ4 2019","FQ4 2019","Currency=USD","Period=FQ","BEST_FPERIOD_OVERRIDE=FQ","FILING_STATUS=MR","SCALING_FORMAT=MLN","Sort=A","Dates=H","DateFormat=P","Fill=—","Direction=H","UseDPDF=Y")</f>
        <v>0</v>
      </c>
      <c r="H44" s="13">
        <f>_xll.BDH("NBIX US Equity","CF_LT_DEBT_CAP_LEAS_PAYMENT","FQ1 2020","FQ1 2020","Currency=USD","Period=FQ","BEST_FPERIOD_OVERRIDE=FQ","FILING_STATUS=MR","SCALING_FORMAT=MLN","Sort=A","Dates=H","DateFormat=P","Fill=—","Direction=H","UseDPDF=Y")</f>
        <v>0</v>
      </c>
      <c r="I44" s="13">
        <f>_xll.BDH("NBIX US Equity","CF_LT_DEBT_CAP_LEAS_PAYMENT","FQ2 2020","FQ2 2020","Currency=USD","Period=FQ","BEST_FPERIOD_OVERRIDE=FQ","FILING_STATUS=MR","SCALING_FORMAT=MLN","Sort=A","Dates=H","DateFormat=P","Fill=—","Direction=H","UseDPDF=Y")</f>
        <v>0</v>
      </c>
      <c r="J44" s="13">
        <f>_xll.BDH("NBIX US Equity","CF_LT_DEBT_CAP_LEAS_PAYMENT","FQ3 2020","FQ3 2020","Currency=USD","Period=FQ","BEST_FPERIOD_OVERRIDE=FQ","FILING_STATUS=MR","SCALING_FORMAT=MLN","Sort=A","Dates=H","DateFormat=P","Fill=—","Direction=H","UseDPDF=Y")</f>
        <v>0</v>
      </c>
      <c r="K44" s="13">
        <f>_xll.BDH("NBIX US Equity","CF_LT_DEBT_CAP_LEAS_PAYMENT","FQ4 2020","FQ4 2020","Currency=USD","Period=FQ","BEST_FPERIOD_OVERRIDE=FQ","FILING_STATUS=MR","SCALING_FORMAT=MLN","Sort=A","Dates=H","DateFormat=P","Fill=—","Direction=H","UseDPDF=Y")</f>
        <v>-186.9</v>
      </c>
      <c r="L44" s="13">
        <f>_xll.BDH("NBIX US Equity","CF_LT_DEBT_CAP_LEAS_PAYMENT","FQ1 2021","FQ1 2021","Currency=USD","Period=FQ","BEST_FPERIOD_OVERRIDE=FQ","FILING_STATUS=MR","SCALING_FORMAT=MLN","Sort=A","Dates=H","DateFormat=P","Fill=—","Direction=H","UseDPDF=Y")</f>
        <v>-0.1</v>
      </c>
      <c r="M44" s="13" t="str">
        <f>_xll.BDH("NBIX US Equity","CF_LT_DEBT_CAP_LEAS_PAYMENT","FQ2 2021","FQ2 2021","Currency=USD","Period=FQ","BEST_FPERIOD_OVERRIDE=FQ","FILING_STATUS=MR","SCALING_FORMAT=MLN","Sort=A","Dates=H","DateFormat=P","Fill=—","Direction=H","UseDPDF=Y")</f>
        <v>—</v>
      </c>
      <c r="N44" s="13">
        <f>_xll.BDH("NBIX US Equity","CF_LT_DEBT_CAP_LEAS_PAYMENT","FQ3 2021","FQ3 2021","Currency=USD","Period=FQ","BEST_FPERIOD_OVERRIDE=FQ","FILING_STATUS=MR","SCALING_FORMAT=MLN","Sort=A","Dates=H","DateFormat=P","Fill=—","Direction=H","UseDPDF=Y")</f>
        <v>0</v>
      </c>
      <c r="O44" s="13">
        <f>_xll.BDH("NBIX US Equity","CF_LT_DEBT_CAP_LEAS_PAYMENT","FQ4 2021","FQ4 2021","Currency=USD","Period=FQ","BEST_FPERIOD_OVERRIDE=FQ","FILING_STATUS=MR","SCALING_FORMAT=MLN","Sort=A","Dates=H","DateFormat=P","Fill=—","Direction=H","UseDPDF=Y")</f>
        <v>-0.1</v>
      </c>
      <c r="P44" s="13">
        <f>_xll.BDH("NBIX US Equity","CF_LT_DEBT_CAP_LEAS_PAYMENT","FQ1 2022","FQ1 2022","Currency=USD","Period=FQ","BEST_FPERIOD_OVERRIDE=FQ","FILING_STATUS=MR","SCALING_FORMAT=MLN","Sort=A","Dates=H","DateFormat=P","Fill=—","Direction=H","UseDPDF=Y")</f>
        <v>0</v>
      </c>
      <c r="Q44" s="13">
        <f>_xll.BDH("NBIX US Equity","CF_LT_DEBT_CAP_LEAS_PAYMENT","FQ2 2022","FQ2 2022","Currency=USD","Period=FQ","BEST_FPERIOD_OVERRIDE=FQ","FILING_STATUS=MR","SCALING_FORMAT=MLN","Sort=A","Dates=H","DateFormat=P","Fill=—","Direction=H","UseDPDF=Y")</f>
        <v>0</v>
      </c>
      <c r="R44" s="13">
        <f>_xll.BDH("NBIX US Equity","CF_LT_DEBT_CAP_LEAS_PAYMENT","FQ3 2022","FQ3 2022","Currency=USD","Period=FQ","BEST_FPERIOD_OVERRIDE=FQ","FILING_STATUS=MR","SCALING_FORMAT=MLN","Sort=A","Dates=H","DateFormat=P","Fill=—","Direction=H","UseDPDF=Y")</f>
        <v>0</v>
      </c>
      <c r="S44" s="13">
        <f>_xll.BDH("NBIX US Equity","CF_LT_DEBT_CAP_LEAS_PAYMENT","FQ4 2022","FQ4 2022","Currency=USD","Period=FQ","BEST_FPERIOD_OVERRIDE=FQ","FILING_STATUS=MR","SCALING_FORMAT=MLN","Sort=A","Dates=H","DateFormat=P","Fill=—","Direction=H","UseDPDF=Y")</f>
        <v>-279</v>
      </c>
      <c r="T44" s="13">
        <f>_xll.BDH("NBIX US Equity","CF_LT_DEBT_CAP_LEAS_PAYMENT","FQ1 2023","FQ1 2023","Currency=USD","Period=FQ","BEST_FPERIOD_OVERRIDE=FQ","FILING_STATUS=MR","SCALING_FORMAT=MLN","Sort=A","Dates=H","DateFormat=P","Fill=—","Direction=H","UseDPDF=Y")</f>
        <v>0</v>
      </c>
      <c r="U44" s="13">
        <f>_xll.BDH("NBIX US Equity","CF_LT_DEBT_CAP_LEAS_PAYMENT","FQ2 2023","FQ2 2023","Currency=USD","Period=FQ","BEST_FPERIOD_OVERRIDE=FQ","FILING_STATUS=MR","SCALING_FORMAT=MLN","Sort=A","Dates=H","DateFormat=P","Fill=—","Direction=H","UseDPDF=Y")</f>
        <v>0</v>
      </c>
      <c r="V44" s="13">
        <f>_xll.BDH("NBIX US Equity","CF_LT_DEBT_CAP_LEAS_PAYMENT","FQ3 2023","FQ3 2023","Currency=USD","Period=FQ","BEST_FPERIOD_OVERRIDE=FQ","FILING_STATUS=MR","SCALING_FORMAT=MLN","Sort=A","Dates=H","DateFormat=P","Fill=—","Direction=H","UseDPDF=Y")</f>
        <v>0</v>
      </c>
      <c r="W44" s="13">
        <f>_xll.BDH("NBIX US Equity","CF_LT_DEBT_CAP_LEAS_PAYMENT","FQ4 2023","FQ4 2023","Currency=USD","Period=FQ","BEST_FPERIOD_OVERRIDE=FQ","FILING_STATUS=MR","SCALING_FORMAT=MLN","Sort=A","Dates=H","DateFormat=P","Fill=—","Direction=H","UseDPDF=Y")</f>
        <v>0</v>
      </c>
      <c r="X44" s="13">
        <f>_xll.BDH("NBIX US Equity","CF_LT_DEBT_CAP_LEAS_PAYMENT","FQ1 2024","FQ1 2024","Currency=USD","Period=FQ","BEST_FPERIOD_OVERRIDE=FQ","FILING_STATUS=MR","SCALING_FORMAT=MLN","Sort=A","Dates=H","DateFormat=P","Fill=—","Direction=H","UseDPDF=Y")</f>
        <v>0</v>
      </c>
      <c r="Y44" s="13">
        <f>_xll.BDH("NBIX US Equity","CF_LT_DEBT_CAP_LEAS_PAYMENT","FQ2 2024","FQ2 2024","Currency=USD","Period=FQ","BEST_FPERIOD_OVERRIDE=FQ","FILING_STATUS=MR","SCALING_FORMAT=MLN","Sort=A","Dates=H","DateFormat=P","Fill=—","Direction=H","UseDPDF=Y")</f>
        <v>0</v>
      </c>
      <c r="Z44" s="13">
        <f>_xll.BDH("NBIX US Equity","CF_LT_DEBT_CAP_LEAS_PAYMENT","FQ3 2024","FQ3 2024","Currency=USD","Period=FQ","BEST_FPERIOD_OVERRIDE=FQ","FILING_STATUS=MR","SCALING_FORMAT=MLN","Sort=A","Dates=H","DateFormat=P","Fill=—","Direction=H","UseDPDF=Y")</f>
        <v>0</v>
      </c>
      <c r="AA44" s="13">
        <f>_xll.BDH("NBIX US Equity","CF_LT_DEBT_CAP_LEAS_PAYMENT","FQ4 2024","FQ4 2024","Currency=USD","Period=FQ","BEST_FPERIOD_OVERRIDE=FQ","FILING_STATUS=MR","SCALING_FORMAT=MLN","Sort=A","Dates=H","DateFormat=P","Fill=—","Direction=H","UseDPDF=Y")</f>
        <v>-308.8</v>
      </c>
    </row>
    <row r="45" spans="1:27" x14ac:dyDescent="0.25">
      <c r="A45" s="10" t="s">
        <v>1145</v>
      </c>
      <c r="B45" s="10" t="s">
        <v>1146</v>
      </c>
      <c r="C45" s="13">
        <f>_xll.BDH("NBIX US Equity","PROC_FR_REPURCH_EQTY_DETAILED","FQ4 2018","FQ4 2018","Currency=USD","Period=FQ","BEST_FPERIOD_OVERRIDE=FQ","FILING_STATUS=MR","SCALING_FORMAT=MLN","Sort=A","Dates=H","DateFormat=P","Fill=—","Direction=H","UseDPDF=Y")</f>
        <v>1.782</v>
      </c>
      <c r="D45" s="13">
        <f>_xll.BDH("NBIX US Equity","PROC_FR_REPURCH_EQTY_DETAILED","FQ1 2019","FQ1 2019","Currency=USD","Period=FQ","BEST_FPERIOD_OVERRIDE=FQ","FILING_STATUS=MR","SCALING_FORMAT=MLN","Sort=A","Dates=H","DateFormat=P","Fill=—","Direction=H","UseDPDF=Y")</f>
        <v>2.581</v>
      </c>
      <c r="E45" s="13">
        <f>_xll.BDH("NBIX US Equity","PROC_FR_REPURCH_EQTY_DETAILED","FQ2 2019","FQ2 2019","Currency=USD","Period=FQ","BEST_FPERIOD_OVERRIDE=FQ","FILING_STATUS=MR","SCALING_FORMAT=MLN","Sort=A","Dates=H","DateFormat=P","Fill=—","Direction=H","UseDPDF=Y")</f>
        <v>4.2839999999999998</v>
      </c>
      <c r="F45" s="13">
        <f>_xll.BDH("NBIX US Equity","PROC_FR_REPURCH_EQTY_DETAILED","FQ3 2019","FQ3 2019","Currency=USD","Period=FQ","BEST_FPERIOD_OVERRIDE=FQ","FILING_STATUS=MR","SCALING_FORMAT=MLN","Sort=A","Dates=H","DateFormat=P","Fill=—","Direction=H","UseDPDF=Y")</f>
        <v>13.164</v>
      </c>
      <c r="G45" s="13">
        <f>_xll.BDH("NBIX US Equity","PROC_FR_REPURCH_EQTY_DETAILED","FQ4 2019","FQ4 2019","Currency=USD","Period=FQ","BEST_FPERIOD_OVERRIDE=FQ","FILING_STATUS=MR","SCALING_FORMAT=MLN","Sort=A","Dates=H","DateFormat=P","Fill=—","Direction=H","UseDPDF=Y")</f>
        <v>12.371</v>
      </c>
      <c r="H45" s="13">
        <f>_xll.BDH("NBIX US Equity","PROC_FR_REPURCH_EQTY_DETAILED","FQ1 2020","FQ1 2020","Currency=USD","Period=FQ","BEST_FPERIOD_OVERRIDE=FQ","FILING_STATUS=MR","SCALING_FORMAT=MLN","Sort=A","Dates=H","DateFormat=P","Fill=—","Direction=H","UseDPDF=Y")</f>
        <v>6</v>
      </c>
      <c r="I45" s="13">
        <f>_xll.BDH("NBIX US Equity","PROC_FR_REPURCH_EQTY_DETAILED","FQ2 2020","FQ2 2020","Currency=USD","Period=FQ","BEST_FPERIOD_OVERRIDE=FQ","FILING_STATUS=MR","SCALING_FORMAT=MLN","Sort=A","Dates=H","DateFormat=P","Fill=—","Direction=H","UseDPDF=Y")</f>
        <v>15.8</v>
      </c>
      <c r="J45" s="13">
        <f>_xll.BDH("NBIX US Equity","PROC_FR_REPURCH_EQTY_DETAILED","FQ3 2020","FQ3 2020","Currency=USD","Period=FQ","BEST_FPERIOD_OVERRIDE=FQ","FILING_STATUS=MR","SCALING_FORMAT=MLN","Sort=A","Dates=H","DateFormat=P","Fill=—","Direction=H","UseDPDF=Y")</f>
        <v>5.4</v>
      </c>
      <c r="K45" s="13">
        <f>_xll.BDH("NBIX US Equity","PROC_FR_REPURCH_EQTY_DETAILED","FQ4 2020","FQ4 2020","Currency=USD","Period=FQ","BEST_FPERIOD_OVERRIDE=FQ","FILING_STATUS=MR","SCALING_FORMAT=MLN","Sort=A","Dates=H","DateFormat=P","Fill=—","Direction=H","UseDPDF=Y")</f>
        <v>1.9</v>
      </c>
      <c r="L45" s="13">
        <f>_xll.BDH("NBIX US Equity","PROC_FR_REPURCH_EQTY_DETAILED","FQ1 2021","FQ1 2021","Currency=USD","Period=FQ","BEST_FPERIOD_OVERRIDE=FQ","FILING_STATUS=MR","SCALING_FORMAT=MLN","Sort=A","Dates=H","DateFormat=P","Fill=—","Direction=H","UseDPDF=Y")</f>
        <v>15.2</v>
      </c>
      <c r="M45" s="13">
        <f>_xll.BDH("NBIX US Equity","PROC_FR_REPURCH_EQTY_DETAILED","FQ2 2021","FQ2 2021","Currency=USD","Period=FQ","BEST_FPERIOD_OVERRIDE=FQ","FILING_STATUS=MR","SCALING_FORMAT=MLN","Sort=A","Dates=H","DateFormat=P","Fill=—","Direction=H","UseDPDF=Y")</f>
        <v>3</v>
      </c>
      <c r="N45" s="13">
        <f>_xll.BDH("NBIX US Equity","PROC_FR_REPURCH_EQTY_DETAILED","FQ3 2021","FQ3 2021","Currency=USD","Period=FQ","BEST_FPERIOD_OVERRIDE=FQ","FILING_STATUS=MR","SCALING_FORMAT=MLN","Sort=A","Dates=H","DateFormat=P","Fill=—","Direction=H","UseDPDF=Y")</f>
        <v>7.5</v>
      </c>
      <c r="O45" s="13">
        <f>_xll.BDH("NBIX US Equity","PROC_FR_REPURCH_EQTY_DETAILED","FQ4 2021","FQ4 2021","Currency=USD","Period=FQ","BEST_FPERIOD_OVERRIDE=FQ","FILING_STATUS=MR","SCALING_FORMAT=MLN","Sort=A","Dates=H","DateFormat=P","Fill=—","Direction=H","UseDPDF=Y")</f>
        <v>1.8</v>
      </c>
      <c r="P45" s="13">
        <f>_xll.BDH("NBIX US Equity","PROC_FR_REPURCH_EQTY_DETAILED","FQ1 2022","FQ1 2022","Currency=USD","Period=FQ","BEST_FPERIOD_OVERRIDE=FQ","FILING_STATUS=MR","SCALING_FORMAT=MLN","Sort=A","Dates=H","DateFormat=P","Fill=—","Direction=H","UseDPDF=Y")</f>
        <v>6.1</v>
      </c>
      <c r="Q45" s="13">
        <f>_xll.BDH("NBIX US Equity","PROC_FR_REPURCH_EQTY_DETAILED","FQ2 2022","FQ2 2022","Currency=USD","Period=FQ","BEST_FPERIOD_OVERRIDE=FQ","FILING_STATUS=MR","SCALING_FORMAT=MLN","Sort=A","Dates=H","DateFormat=P","Fill=—","Direction=H","UseDPDF=Y")</f>
        <v>2.6</v>
      </c>
      <c r="R45" s="13">
        <f>_xll.BDH("NBIX US Equity","PROC_FR_REPURCH_EQTY_DETAILED","FQ3 2022","FQ3 2022","Currency=USD","Period=FQ","BEST_FPERIOD_OVERRIDE=FQ","FILING_STATUS=MR","SCALING_FORMAT=MLN","Sort=A","Dates=H","DateFormat=P","Fill=—","Direction=H","UseDPDF=Y")</f>
        <v>11.4</v>
      </c>
      <c r="S45" s="13">
        <f>_xll.BDH("NBIX US Equity","PROC_FR_REPURCH_EQTY_DETAILED","FQ4 2022","FQ4 2022","Currency=USD","Period=FQ","BEST_FPERIOD_OVERRIDE=FQ","FILING_STATUS=MR","SCALING_FORMAT=MLN","Sort=A","Dates=H","DateFormat=P","Fill=—","Direction=H","UseDPDF=Y")</f>
        <v>24.6</v>
      </c>
      <c r="T45" s="13">
        <f>_xll.BDH("NBIX US Equity","PROC_FR_REPURCH_EQTY_DETAILED","FQ1 2023","FQ1 2023","Currency=USD","Period=FQ","BEST_FPERIOD_OVERRIDE=FQ","FILING_STATUS=MR","SCALING_FORMAT=MLN","Sort=A","Dates=H","DateFormat=P","Fill=—","Direction=H","UseDPDF=Y")</f>
        <v>8.1999999999999993</v>
      </c>
      <c r="U45" s="13">
        <f>_xll.BDH("NBIX US Equity","PROC_FR_REPURCH_EQTY_DETAILED","FQ2 2023","FQ2 2023","Currency=USD","Period=FQ","BEST_FPERIOD_OVERRIDE=FQ","FILING_STATUS=MR","SCALING_FORMAT=MLN","Sort=A","Dates=H","DateFormat=P","Fill=—","Direction=H","UseDPDF=Y")</f>
        <v>2.9</v>
      </c>
      <c r="V45" s="13">
        <f>_xll.BDH("NBIX US Equity","PROC_FR_REPURCH_EQTY_DETAILED","FQ3 2023","FQ3 2023","Currency=USD","Period=FQ","BEST_FPERIOD_OVERRIDE=FQ","FILING_STATUS=MR","SCALING_FORMAT=MLN","Sort=A","Dates=H","DateFormat=P","Fill=—","Direction=H","UseDPDF=Y")</f>
        <v>18.8</v>
      </c>
      <c r="W45" s="13">
        <f>_xll.BDH("NBIX US Equity","PROC_FR_REPURCH_EQTY_DETAILED","FQ4 2023","FQ4 2023","Currency=USD","Period=FQ","BEST_FPERIOD_OVERRIDE=FQ","FILING_STATUS=MR","SCALING_FORMAT=MLN","Sort=A","Dates=H","DateFormat=P","Fill=—","Direction=H","UseDPDF=Y")</f>
        <v>35.4</v>
      </c>
      <c r="X45" s="13">
        <f>_xll.BDH("NBIX US Equity","PROC_FR_REPURCH_EQTY_DETAILED","FQ1 2024","FQ1 2024","Currency=USD","Period=FQ","BEST_FPERIOD_OVERRIDE=FQ","FILING_STATUS=MR","SCALING_FORMAT=MLN","Sort=A","Dates=H","DateFormat=P","Fill=—","Direction=H","UseDPDF=Y")</f>
        <v>69.900000000000006</v>
      </c>
      <c r="Y45" s="13">
        <f>_xll.BDH("NBIX US Equity","PROC_FR_REPURCH_EQTY_DETAILED","FQ2 2024","FQ2 2024","Currency=USD","Period=FQ","BEST_FPERIOD_OVERRIDE=FQ","FILING_STATUS=MR","SCALING_FORMAT=MLN","Sort=A","Dates=H","DateFormat=P","Fill=—","Direction=H","UseDPDF=Y")</f>
        <v>15.8</v>
      </c>
      <c r="Z45" s="13">
        <f>_xll.BDH("NBIX US Equity","PROC_FR_REPURCH_EQTY_DETAILED","FQ3 2024","FQ3 2024","Currency=USD","Period=FQ","BEST_FPERIOD_OVERRIDE=FQ","FILING_STATUS=MR","SCALING_FORMAT=MLN","Sort=A","Dates=H","DateFormat=P","Fill=—","Direction=H","UseDPDF=Y")</f>
        <v>26.4</v>
      </c>
      <c r="AA45" s="13">
        <f>_xll.BDH("NBIX US Equity","PROC_FR_REPURCH_EQTY_DETAILED","FQ4 2024","FQ4 2024","Currency=USD","Period=FQ","BEST_FPERIOD_OVERRIDE=FQ","FILING_STATUS=MR","SCALING_FORMAT=MLN","Sort=A","Dates=H","DateFormat=P","Fill=—","Direction=H","UseDPDF=Y")</f>
        <v>-290</v>
      </c>
    </row>
    <row r="46" spans="1:27" x14ac:dyDescent="0.25">
      <c r="A46" s="10" t="s">
        <v>1147</v>
      </c>
      <c r="B46" s="10" t="s">
        <v>1148</v>
      </c>
      <c r="C46" s="13">
        <f>_xll.BDH("NBIX US Equity","CF_INCR_CAP_STOCK","FQ4 2018","FQ4 2018","Currency=USD","Period=FQ","BEST_FPERIOD_OVERRIDE=FQ","FILING_STATUS=MR","SCALING_FORMAT=MLN","Sort=A","Dates=H","DateFormat=P","Fill=—","Direction=H","UseDPDF=Y")</f>
        <v>1.782</v>
      </c>
      <c r="D46" s="13">
        <f>_xll.BDH("NBIX US Equity","CF_INCR_CAP_STOCK","FQ1 2019","FQ1 2019","Currency=USD","Period=FQ","BEST_FPERIOD_OVERRIDE=FQ","FILING_STATUS=MR","SCALING_FORMAT=MLN","Sort=A","Dates=H","DateFormat=P","Fill=—","Direction=H","UseDPDF=Y")</f>
        <v>2.581</v>
      </c>
      <c r="E46" s="13">
        <f>_xll.BDH("NBIX US Equity","CF_INCR_CAP_STOCK","FQ2 2019","FQ2 2019","Currency=USD","Period=FQ","BEST_FPERIOD_OVERRIDE=FQ","FILING_STATUS=MR","SCALING_FORMAT=MLN","Sort=A","Dates=H","DateFormat=P","Fill=—","Direction=H","UseDPDF=Y")</f>
        <v>4.2839999999999998</v>
      </c>
      <c r="F46" s="13">
        <f>_xll.BDH("NBIX US Equity","CF_INCR_CAP_STOCK","FQ3 2019","FQ3 2019","Currency=USD","Period=FQ","BEST_FPERIOD_OVERRIDE=FQ","FILING_STATUS=MR","SCALING_FORMAT=MLN","Sort=A","Dates=H","DateFormat=P","Fill=—","Direction=H","UseDPDF=Y")</f>
        <v>13.164</v>
      </c>
      <c r="G46" s="13">
        <f>_xll.BDH("NBIX US Equity","CF_INCR_CAP_STOCK","FQ4 2019","FQ4 2019","Currency=USD","Period=FQ","BEST_FPERIOD_OVERRIDE=FQ","FILING_STATUS=MR","SCALING_FORMAT=MLN","Sort=A","Dates=H","DateFormat=P","Fill=—","Direction=H","UseDPDF=Y")</f>
        <v>12.371</v>
      </c>
      <c r="H46" s="13">
        <f>_xll.BDH("NBIX US Equity","CF_INCR_CAP_STOCK","FQ1 2020","FQ1 2020","Currency=USD","Period=FQ","BEST_FPERIOD_OVERRIDE=FQ","FILING_STATUS=MR","SCALING_FORMAT=MLN","Sort=A","Dates=H","DateFormat=P","Fill=—","Direction=H","UseDPDF=Y")</f>
        <v>6</v>
      </c>
      <c r="I46" s="13">
        <f>_xll.BDH("NBIX US Equity","CF_INCR_CAP_STOCK","FQ2 2020","FQ2 2020","Currency=USD","Period=FQ","BEST_FPERIOD_OVERRIDE=FQ","FILING_STATUS=MR","SCALING_FORMAT=MLN","Sort=A","Dates=H","DateFormat=P","Fill=—","Direction=H","UseDPDF=Y")</f>
        <v>15.8</v>
      </c>
      <c r="J46" s="13">
        <f>_xll.BDH("NBIX US Equity","CF_INCR_CAP_STOCK","FQ3 2020","FQ3 2020","Currency=USD","Period=FQ","BEST_FPERIOD_OVERRIDE=FQ","FILING_STATUS=MR","SCALING_FORMAT=MLN","Sort=A","Dates=H","DateFormat=P","Fill=—","Direction=H","UseDPDF=Y")</f>
        <v>5.4</v>
      </c>
      <c r="K46" s="13">
        <f>_xll.BDH("NBIX US Equity","CF_INCR_CAP_STOCK","FQ4 2020","FQ4 2020","Currency=USD","Period=FQ","BEST_FPERIOD_OVERRIDE=FQ","FILING_STATUS=MR","SCALING_FORMAT=MLN","Sort=A","Dates=H","DateFormat=P","Fill=—","Direction=H","UseDPDF=Y")</f>
        <v>1.9</v>
      </c>
      <c r="L46" s="13">
        <f>_xll.BDH("NBIX US Equity","CF_INCR_CAP_STOCK","FQ1 2021","FQ1 2021","Currency=USD","Period=FQ","BEST_FPERIOD_OVERRIDE=FQ","FILING_STATUS=MR","SCALING_FORMAT=MLN","Sort=A","Dates=H","DateFormat=P","Fill=—","Direction=H","UseDPDF=Y")</f>
        <v>15.2</v>
      </c>
      <c r="M46" s="13">
        <f>_xll.BDH("NBIX US Equity","CF_INCR_CAP_STOCK","FQ2 2021","FQ2 2021","Currency=USD","Period=FQ","BEST_FPERIOD_OVERRIDE=FQ","FILING_STATUS=MR","SCALING_FORMAT=MLN","Sort=A","Dates=H","DateFormat=P","Fill=—","Direction=H","UseDPDF=Y")</f>
        <v>3</v>
      </c>
      <c r="N46" s="13">
        <f>_xll.BDH("NBIX US Equity","CF_INCR_CAP_STOCK","FQ3 2021","FQ3 2021","Currency=USD","Period=FQ","BEST_FPERIOD_OVERRIDE=FQ","FILING_STATUS=MR","SCALING_FORMAT=MLN","Sort=A","Dates=H","DateFormat=P","Fill=—","Direction=H","UseDPDF=Y")</f>
        <v>7.5</v>
      </c>
      <c r="O46" s="13">
        <f>_xll.BDH("NBIX US Equity","CF_INCR_CAP_STOCK","FQ4 2021","FQ4 2021","Currency=USD","Period=FQ","BEST_FPERIOD_OVERRIDE=FQ","FILING_STATUS=MR","SCALING_FORMAT=MLN","Sort=A","Dates=H","DateFormat=P","Fill=—","Direction=H","UseDPDF=Y")</f>
        <v>1.8</v>
      </c>
      <c r="P46" s="13">
        <f>_xll.BDH("NBIX US Equity","CF_INCR_CAP_STOCK","FQ1 2022","FQ1 2022","Currency=USD","Period=FQ","BEST_FPERIOD_OVERRIDE=FQ","FILING_STATUS=MR","SCALING_FORMAT=MLN","Sort=A","Dates=H","DateFormat=P","Fill=—","Direction=H","UseDPDF=Y")</f>
        <v>6.1</v>
      </c>
      <c r="Q46" s="13">
        <f>_xll.BDH("NBIX US Equity","CF_INCR_CAP_STOCK","FQ2 2022","FQ2 2022","Currency=USD","Period=FQ","BEST_FPERIOD_OVERRIDE=FQ","FILING_STATUS=MR","SCALING_FORMAT=MLN","Sort=A","Dates=H","DateFormat=P","Fill=—","Direction=H","UseDPDF=Y")</f>
        <v>2.6</v>
      </c>
      <c r="R46" s="13">
        <f>_xll.BDH("NBIX US Equity","CF_INCR_CAP_STOCK","FQ3 2022","FQ3 2022","Currency=USD","Period=FQ","BEST_FPERIOD_OVERRIDE=FQ","FILING_STATUS=MR","SCALING_FORMAT=MLN","Sort=A","Dates=H","DateFormat=P","Fill=—","Direction=H","UseDPDF=Y")</f>
        <v>11.4</v>
      </c>
      <c r="S46" s="13">
        <f>_xll.BDH("NBIX US Equity","CF_INCR_CAP_STOCK","FQ4 2022","FQ4 2022","Currency=USD","Period=FQ","BEST_FPERIOD_OVERRIDE=FQ","FILING_STATUS=MR","SCALING_FORMAT=MLN","Sort=A","Dates=H","DateFormat=P","Fill=—","Direction=H","UseDPDF=Y")</f>
        <v>24.6</v>
      </c>
      <c r="T46" s="13">
        <f>_xll.BDH("NBIX US Equity","CF_INCR_CAP_STOCK","FQ1 2023","FQ1 2023","Currency=USD","Period=FQ","BEST_FPERIOD_OVERRIDE=FQ","FILING_STATUS=MR","SCALING_FORMAT=MLN","Sort=A","Dates=H","DateFormat=P","Fill=—","Direction=H","UseDPDF=Y")</f>
        <v>8.1999999999999993</v>
      </c>
      <c r="U46" s="13">
        <f>_xll.BDH("NBIX US Equity","CF_INCR_CAP_STOCK","FQ2 2023","FQ2 2023","Currency=USD","Period=FQ","BEST_FPERIOD_OVERRIDE=FQ","FILING_STATUS=MR","SCALING_FORMAT=MLN","Sort=A","Dates=H","DateFormat=P","Fill=—","Direction=H","UseDPDF=Y")</f>
        <v>2.9</v>
      </c>
      <c r="V46" s="13">
        <f>_xll.BDH("NBIX US Equity","CF_INCR_CAP_STOCK","FQ3 2023","FQ3 2023","Currency=USD","Period=FQ","BEST_FPERIOD_OVERRIDE=FQ","FILING_STATUS=MR","SCALING_FORMAT=MLN","Sort=A","Dates=H","DateFormat=P","Fill=—","Direction=H","UseDPDF=Y")</f>
        <v>18.8</v>
      </c>
      <c r="W46" s="13">
        <f>_xll.BDH("NBIX US Equity","CF_INCR_CAP_STOCK","FQ4 2023","FQ4 2023","Currency=USD","Period=FQ","BEST_FPERIOD_OVERRIDE=FQ","FILING_STATUS=MR","SCALING_FORMAT=MLN","Sort=A","Dates=H","DateFormat=P","Fill=—","Direction=H","UseDPDF=Y")</f>
        <v>35.4</v>
      </c>
      <c r="X46" s="13">
        <f>_xll.BDH("NBIX US Equity","CF_INCR_CAP_STOCK","FQ1 2024","FQ1 2024","Currency=USD","Period=FQ","BEST_FPERIOD_OVERRIDE=FQ","FILING_STATUS=MR","SCALING_FORMAT=MLN","Sort=A","Dates=H","DateFormat=P","Fill=—","Direction=H","UseDPDF=Y")</f>
        <v>69.900000000000006</v>
      </c>
      <c r="Y46" s="13">
        <f>_xll.BDH("NBIX US Equity","CF_INCR_CAP_STOCK","FQ2 2024","FQ2 2024","Currency=USD","Period=FQ","BEST_FPERIOD_OVERRIDE=FQ","FILING_STATUS=MR","SCALING_FORMAT=MLN","Sort=A","Dates=H","DateFormat=P","Fill=—","Direction=H","UseDPDF=Y")</f>
        <v>15.8</v>
      </c>
      <c r="Z46" s="13">
        <f>_xll.BDH("NBIX US Equity","CF_INCR_CAP_STOCK","FQ3 2024","FQ3 2024","Currency=USD","Period=FQ","BEST_FPERIOD_OVERRIDE=FQ","FILING_STATUS=MR","SCALING_FORMAT=MLN","Sort=A","Dates=H","DateFormat=P","Fill=—","Direction=H","UseDPDF=Y")</f>
        <v>26.4</v>
      </c>
      <c r="AA46" s="13">
        <f>_xll.BDH("NBIX US Equity","CF_INCR_CAP_STOCK","FQ4 2024","FQ4 2024","Currency=USD","Period=FQ","BEST_FPERIOD_OVERRIDE=FQ","FILING_STATUS=MR","SCALING_FORMAT=MLN","Sort=A","Dates=H","DateFormat=P","Fill=—","Direction=H","UseDPDF=Y")</f>
        <v>10</v>
      </c>
    </row>
    <row r="47" spans="1:27" x14ac:dyDescent="0.25">
      <c r="A47" s="10" t="s">
        <v>1149</v>
      </c>
      <c r="B47" s="10" t="s">
        <v>1150</v>
      </c>
      <c r="C47" s="13">
        <f>_xll.BDH("NBIX US Equity","CF_DECR_CAP_STOCK","FQ4 2018","FQ4 2018","Currency=USD","Period=FQ","BEST_FPERIOD_OVERRIDE=FQ","FILING_STATUS=MR","SCALING_FORMAT=MLN","Sort=A","Dates=H","DateFormat=P","Fill=—","Direction=H","UseDPDF=Y")</f>
        <v>0</v>
      </c>
      <c r="D47" s="13">
        <f>_xll.BDH("NBIX US Equity","CF_DECR_CAP_STOCK","FQ1 2019","FQ1 2019","Currency=USD","Period=FQ","BEST_FPERIOD_OVERRIDE=FQ","FILING_STATUS=MR","SCALING_FORMAT=MLN","Sort=A","Dates=H","DateFormat=P","Fill=—","Direction=H","UseDPDF=Y")</f>
        <v>0</v>
      </c>
      <c r="E47" s="13">
        <f>_xll.BDH("NBIX US Equity","CF_DECR_CAP_STOCK","FQ2 2019","FQ2 2019","Currency=USD","Period=FQ","BEST_FPERIOD_OVERRIDE=FQ","FILING_STATUS=MR","SCALING_FORMAT=MLN","Sort=A","Dates=H","DateFormat=P","Fill=—","Direction=H","UseDPDF=Y")</f>
        <v>0</v>
      </c>
      <c r="F47" s="13">
        <f>_xll.BDH("NBIX US Equity","CF_DECR_CAP_STOCK","FQ3 2019","FQ3 2019","Currency=USD","Period=FQ","BEST_FPERIOD_OVERRIDE=FQ","FILING_STATUS=MR","SCALING_FORMAT=MLN","Sort=A","Dates=H","DateFormat=P","Fill=—","Direction=H","UseDPDF=Y")</f>
        <v>0</v>
      </c>
      <c r="G47" s="13">
        <f>_xll.BDH("NBIX US Equity","CF_DECR_CAP_STOCK","FQ4 2019","FQ4 2019","Currency=USD","Period=FQ","BEST_FPERIOD_OVERRIDE=FQ","FILING_STATUS=MR","SCALING_FORMAT=MLN","Sort=A","Dates=H","DateFormat=P","Fill=—","Direction=H","UseDPDF=Y")</f>
        <v>0</v>
      </c>
      <c r="H47" s="13">
        <f>_xll.BDH("NBIX US Equity","CF_DECR_CAP_STOCK","FQ1 2020","FQ1 2020","Currency=USD","Period=FQ","BEST_FPERIOD_OVERRIDE=FQ","FILING_STATUS=MR","SCALING_FORMAT=MLN","Sort=A","Dates=H","DateFormat=P","Fill=—","Direction=H","UseDPDF=Y")</f>
        <v>0</v>
      </c>
      <c r="I47" s="13">
        <f>_xll.BDH("NBIX US Equity","CF_DECR_CAP_STOCK","FQ2 2020","FQ2 2020","Currency=USD","Period=FQ","BEST_FPERIOD_OVERRIDE=FQ","FILING_STATUS=MR","SCALING_FORMAT=MLN","Sort=A","Dates=H","DateFormat=P","Fill=—","Direction=H","UseDPDF=Y")</f>
        <v>0</v>
      </c>
      <c r="J47" s="13">
        <f>_xll.BDH("NBIX US Equity","CF_DECR_CAP_STOCK","FQ3 2020","FQ3 2020","Currency=USD","Period=FQ","BEST_FPERIOD_OVERRIDE=FQ","FILING_STATUS=MR","SCALING_FORMAT=MLN","Sort=A","Dates=H","DateFormat=P","Fill=—","Direction=H","UseDPDF=Y")</f>
        <v>0</v>
      </c>
      <c r="K47" s="13">
        <f>_xll.BDH("NBIX US Equity","CF_DECR_CAP_STOCK","FQ4 2020","FQ4 2020","Currency=USD","Period=FQ","BEST_FPERIOD_OVERRIDE=FQ","FILING_STATUS=MR","SCALING_FORMAT=MLN","Sort=A","Dates=H","DateFormat=P","Fill=—","Direction=H","UseDPDF=Y")</f>
        <v>0</v>
      </c>
      <c r="L47" s="13">
        <f>_xll.BDH("NBIX US Equity","CF_DECR_CAP_STOCK","FQ1 2021","FQ1 2021","Currency=USD","Period=FQ","BEST_FPERIOD_OVERRIDE=FQ","FILING_STATUS=MR","SCALING_FORMAT=MLN","Sort=A","Dates=H","DateFormat=P","Fill=—","Direction=H","UseDPDF=Y")</f>
        <v>0</v>
      </c>
      <c r="M47" s="13">
        <f>_xll.BDH("NBIX US Equity","CF_DECR_CAP_STOCK","FQ2 2021","FQ2 2021","Currency=USD","Period=FQ","BEST_FPERIOD_OVERRIDE=FQ","FILING_STATUS=MR","SCALING_FORMAT=MLN","Sort=A","Dates=H","DateFormat=P","Fill=—","Direction=H","UseDPDF=Y")</f>
        <v>0</v>
      </c>
      <c r="N47" s="13">
        <f>_xll.BDH("NBIX US Equity","CF_DECR_CAP_STOCK","FQ3 2021","FQ3 2021","Currency=USD","Period=FQ","BEST_FPERIOD_OVERRIDE=FQ","FILING_STATUS=MR","SCALING_FORMAT=MLN","Sort=A","Dates=H","DateFormat=P","Fill=—","Direction=H","UseDPDF=Y")</f>
        <v>0</v>
      </c>
      <c r="O47" s="13">
        <f>_xll.BDH("NBIX US Equity","CF_DECR_CAP_STOCK","FQ4 2021","FQ4 2021","Currency=USD","Period=FQ","BEST_FPERIOD_OVERRIDE=FQ","FILING_STATUS=MR","SCALING_FORMAT=MLN","Sort=A","Dates=H","DateFormat=P","Fill=—","Direction=H","UseDPDF=Y")</f>
        <v>0</v>
      </c>
      <c r="P47" s="13">
        <f>_xll.BDH("NBIX US Equity","CF_DECR_CAP_STOCK","FQ1 2022","FQ1 2022","Currency=USD","Period=FQ","BEST_FPERIOD_OVERRIDE=FQ","FILING_STATUS=MR","SCALING_FORMAT=MLN","Sort=A","Dates=H","DateFormat=P","Fill=—","Direction=H","UseDPDF=Y")</f>
        <v>0</v>
      </c>
      <c r="Q47" s="13">
        <f>_xll.BDH("NBIX US Equity","CF_DECR_CAP_STOCK","FQ2 2022","FQ2 2022","Currency=USD","Period=FQ","BEST_FPERIOD_OVERRIDE=FQ","FILING_STATUS=MR","SCALING_FORMAT=MLN","Sort=A","Dates=H","DateFormat=P","Fill=—","Direction=H","UseDPDF=Y")</f>
        <v>0</v>
      </c>
      <c r="R47" s="13">
        <f>_xll.BDH("NBIX US Equity","CF_DECR_CAP_STOCK","FQ3 2022","FQ3 2022","Currency=USD","Period=FQ","BEST_FPERIOD_OVERRIDE=FQ","FILING_STATUS=MR","SCALING_FORMAT=MLN","Sort=A","Dates=H","DateFormat=P","Fill=—","Direction=H","UseDPDF=Y")</f>
        <v>0</v>
      </c>
      <c r="S47" s="13">
        <f>_xll.BDH("NBIX US Equity","CF_DECR_CAP_STOCK","FQ4 2022","FQ4 2022","Currency=USD","Period=FQ","BEST_FPERIOD_OVERRIDE=FQ","FILING_STATUS=MR","SCALING_FORMAT=MLN","Sort=A","Dates=H","DateFormat=P","Fill=—","Direction=H","UseDPDF=Y")</f>
        <v>0</v>
      </c>
      <c r="T47" s="13">
        <f>_xll.BDH("NBIX US Equity","CF_DECR_CAP_STOCK","FQ1 2023","FQ1 2023","Currency=USD","Period=FQ","BEST_FPERIOD_OVERRIDE=FQ","FILING_STATUS=MR","SCALING_FORMAT=MLN","Sort=A","Dates=H","DateFormat=P","Fill=—","Direction=H","UseDPDF=Y")</f>
        <v>0</v>
      </c>
      <c r="U47" s="13">
        <f>_xll.BDH("NBIX US Equity","CF_DECR_CAP_STOCK","FQ2 2023","FQ2 2023","Currency=USD","Period=FQ","BEST_FPERIOD_OVERRIDE=FQ","FILING_STATUS=MR","SCALING_FORMAT=MLN","Sort=A","Dates=H","DateFormat=P","Fill=—","Direction=H","UseDPDF=Y")</f>
        <v>0</v>
      </c>
      <c r="V47" s="13">
        <f>_xll.BDH("NBIX US Equity","CF_DECR_CAP_STOCK","FQ3 2023","FQ3 2023","Currency=USD","Period=FQ","BEST_FPERIOD_OVERRIDE=FQ","FILING_STATUS=MR","SCALING_FORMAT=MLN","Sort=A","Dates=H","DateFormat=P","Fill=—","Direction=H","UseDPDF=Y")</f>
        <v>0</v>
      </c>
      <c r="W47" s="13">
        <f>_xll.BDH("NBIX US Equity","CF_DECR_CAP_STOCK","FQ4 2023","FQ4 2023","Currency=USD","Period=FQ","BEST_FPERIOD_OVERRIDE=FQ","FILING_STATUS=MR","SCALING_FORMAT=MLN","Sort=A","Dates=H","DateFormat=P","Fill=—","Direction=H","UseDPDF=Y")</f>
        <v>0</v>
      </c>
      <c r="X47" s="13">
        <f>_xll.BDH("NBIX US Equity","CF_DECR_CAP_STOCK","FQ1 2024","FQ1 2024","Currency=USD","Period=FQ","BEST_FPERIOD_OVERRIDE=FQ","FILING_STATUS=MR","SCALING_FORMAT=MLN","Sort=A","Dates=H","DateFormat=P","Fill=—","Direction=H","UseDPDF=Y")</f>
        <v>0</v>
      </c>
      <c r="Y47" s="13">
        <f>_xll.BDH("NBIX US Equity","CF_DECR_CAP_STOCK","FQ2 2024","FQ2 2024","Currency=USD","Period=FQ","BEST_FPERIOD_OVERRIDE=FQ","FILING_STATUS=MR","SCALING_FORMAT=MLN","Sort=A","Dates=H","DateFormat=P","Fill=—","Direction=H","UseDPDF=Y")</f>
        <v>0</v>
      </c>
      <c r="Z47" s="13">
        <f>_xll.BDH("NBIX US Equity","CF_DECR_CAP_STOCK","FQ3 2024","FQ3 2024","Currency=USD","Period=FQ","BEST_FPERIOD_OVERRIDE=FQ","FILING_STATUS=MR","SCALING_FORMAT=MLN","Sort=A","Dates=H","DateFormat=P","Fill=—","Direction=H","UseDPDF=Y")</f>
        <v>0</v>
      </c>
      <c r="AA47" s="13">
        <f>_xll.BDH("NBIX US Equity","CF_DECR_CAP_STOCK","FQ4 2024","FQ4 2024","Currency=USD","Period=FQ","BEST_FPERIOD_OVERRIDE=FQ","FILING_STATUS=MR","SCALING_FORMAT=MLN","Sort=A","Dates=H","DateFormat=P","Fill=—","Direction=H","UseDPDF=Y")</f>
        <v>-300</v>
      </c>
    </row>
    <row r="48" spans="1:27" x14ac:dyDescent="0.25">
      <c r="A48" s="10" t="s">
        <v>1151</v>
      </c>
      <c r="B48" s="10" t="s">
        <v>1152</v>
      </c>
      <c r="C48" s="13">
        <f>_xll.BDH("NBIX US Equity","OTHER_FIN_AND_DEC_CAP","FQ4 2018","FQ4 2018","Currency=USD","Period=FQ","BEST_FPERIOD_OVERRIDE=FQ","FILING_STATUS=MR","SCALING_FORMAT=MLN","Sort=A","Dates=H","DateFormat=P","Fill=—","Direction=H","UseDPDF=Y")</f>
        <v>0</v>
      </c>
      <c r="D48" s="13">
        <f>_xll.BDH("NBIX US Equity","OTHER_FIN_AND_DEC_CAP","FQ1 2019","FQ1 2019","Currency=USD","Period=FQ","BEST_FPERIOD_OVERRIDE=FQ","FILING_STATUS=MR","SCALING_FORMAT=MLN","Sort=A","Dates=H","DateFormat=P","Fill=—","Direction=H","UseDPDF=Y")</f>
        <v>0</v>
      </c>
      <c r="E48" s="13">
        <f>_xll.BDH("NBIX US Equity","OTHER_FIN_AND_DEC_CAP","FQ2 2019","FQ2 2019","Currency=USD","Period=FQ","BEST_FPERIOD_OVERRIDE=FQ","FILING_STATUS=MR","SCALING_FORMAT=MLN","Sort=A","Dates=H","DateFormat=P","Fill=—","Direction=H","UseDPDF=Y")</f>
        <v>0</v>
      </c>
      <c r="F48" s="13">
        <f>_xll.BDH("NBIX US Equity","OTHER_FIN_AND_DEC_CAP","FQ3 2019","FQ3 2019","Currency=USD","Period=FQ","BEST_FPERIOD_OVERRIDE=FQ","FILING_STATUS=MR","SCALING_FORMAT=MLN","Sort=A","Dates=H","DateFormat=P","Fill=—","Direction=H","UseDPDF=Y")</f>
        <v>0</v>
      </c>
      <c r="G48" s="13">
        <f>_xll.BDH("NBIX US Equity","OTHER_FIN_AND_DEC_CAP","FQ4 2019","FQ4 2019","Currency=USD","Period=FQ","BEST_FPERIOD_OVERRIDE=FQ","FILING_STATUS=MR","SCALING_FORMAT=MLN","Sort=A","Dates=H","DateFormat=P","Fill=—","Direction=H","UseDPDF=Y")</f>
        <v>0</v>
      </c>
      <c r="H48" s="13">
        <f>_xll.BDH("NBIX US Equity","OTHER_FIN_AND_DEC_CAP","FQ1 2020","FQ1 2020","Currency=USD","Period=FQ","BEST_FPERIOD_OVERRIDE=FQ","FILING_STATUS=MR","SCALING_FORMAT=MLN","Sort=A","Dates=H","DateFormat=P","Fill=—","Direction=H","UseDPDF=Y")</f>
        <v>0</v>
      </c>
      <c r="I48" s="13">
        <f>_xll.BDH("NBIX US Equity","OTHER_FIN_AND_DEC_CAP","FQ2 2020","FQ2 2020","Currency=USD","Period=FQ","BEST_FPERIOD_OVERRIDE=FQ","FILING_STATUS=MR","SCALING_FORMAT=MLN","Sort=A","Dates=H","DateFormat=P","Fill=—","Direction=H","UseDPDF=Y")</f>
        <v>0</v>
      </c>
      <c r="J48" s="13">
        <f>_xll.BDH("NBIX US Equity","OTHER_FIN_AND_DEC_CAP","FQ3 2020","FQ3 2020","Currency=USD","Period=FQ","BEST_FPERIOD_OVERRIDE=FQ","FILING_STATUS=MR","SCALING_FORMAT=MLN","Sort=A","Dates=H","DateFormat=P","Fill=—","Direction=H","UseDPDF=Y")</f>
        <v>0</v>
      </c>
      <c r="K48" s="13">
        <f>_xll.BDH("NBIX US Equity","OTHER_FIN_AND_DEC_CAP","FQ4 2020","FQ4 2020","Currency=USD","Period=FQ","BEST_FPERIOD_OVERRIDE=FQ","FILING_STATUS=MR","SCALING_FORMAT=MLN","Sort=A","Dates=H","DateFormat=P","Fill=—","Direction=H","UseDPDF=Y")</f>
        <v>0</v>
      </c>
      <c r="L48" s="13">
        <f>_xll.BDH("NBIX US Equity","OTHER_FIN_AND_DEC_CAP","FQ1 2021","FQ1 2021","Currency=USD","Period=FQ","BEST_FPERIOD_OVERRIDE=FQ","FILING_STATUS=MR","SCALING_FORMAT=MLN","Sort=A","Dates=H","DateFormat=P","Fill=—","Direction=H","UseDPDF=Y")</f>
        <v>0</v>
      </c>
      <c r="M48" s="13">
        <f>_xll.BDH("NBIX US Equity","OTHER_FIN_AND_DEC_CAP","FQ2 2021","FQ2 2021","Currency=USD","Period=FQ","BEST_FPERIOD_OVERRIDE=FQ","FILING_STATUS=MR","SCALING_FORMAT=MLN","Sort=A","Dates=H","DateFormat=P","Fill=—","Direction=H","UseDPDF=Y")</f>
        <v>-0.1</v>
      </c>
      <c r="N48" s="13">
        <f>_xll.BDH("NBIX US Equity","OTHER_FIN_AND_DEC_CAP","FQ3 2021","FQ3 2021","Currency=USD","Period=FQ","BEST_FPERIOD_OVERRIDE=FQ","FILING_STATUS=MR","SCALING_FORMAT=MLN","Sort=A","Dates=H","DateFormat=P","Fill=—","Direction=H","UseDPDF=Y")</f>
        <v>0</v>
      </c>
      <c r="O48" s="13">
        <f>_xll.BDH("NBIX US Equity","OTHER_FIN_AND_DEC_CAP","FQ4 2021","FQ4 2021","Currency=USD","Period=FQ","BEST_FPERIOD_OVERRIDE=FQ","FILING_STATUS=MR","SCALING_FORMAT=MLN","Sort=A","Dates=H","DateFormat=P","Fill=—","Direction=H","UseDPDF=Y")</f>
        <v>0.1</v>
      </c>
      <c r="P48" s="13">
        <f>_xll.BDH("NBIX US Equity","OTHER_FIN_AND_DEC_CAP","FQ1 2022","FQ1 2022","Currency=USD","Period=FQ","BEST_FPERIOD_OVERRIDE=FQ","FILING_STATUS=MR","SCALING_FORMAT=MLN","Sort=A","Dates=H","DateFormat=P","Fill=—","Direction=H","UseDPDF=Y")</f>
        <v>0</v>
      </c>
      <c r="Q48" s="13">
        <f>_xll.BDH("NBIX US Equity","OTHER_FIN_AND_DEC_CAP","FQ2 2022","FQ2 2022","Currency=USD","Period=FQ","BEST_FPERIOD_OVERRIDE=FQ","FILING_STATUS=MR","SCALING_FORMAT=MLN","Sort=A","Dates=H","DateFormat=P","Fill=—","Direction=H","UseDPDF=Y")</f>
        <v>-279</v>
      </c>
      <c r="R48" s="13">
        <f>_xll.BDH("NBIX US Equity","OTHER_FIN_AND_DEC_CAP","FQ3 2022","FQ3 2022","Currency=USD","Period=FQ","BEST_FPERIOD_OVERRIDE=FQ","FILING_STATUS=MR","SCALING_FORMAT=MLN","Sort=A","Dates=H","DateFormat=P","Fill=—","Direction=H","UseDPDF=Y")</f>
        <v>0</v>
      </c>
      <c r="S48" s="13">
        <f>_xll.BDH("NBIX US Equity","OTHER_FIN_AND_DEC_CAP","FQ4 2022","FQ4 2022","Currency=USD","Period=FQ","BEST_FPERIOD_OVERRIDE=FQ","FILING_STATUS=MR","SCALING_FORMAT=MLN","Sort=A","Dates=H","DateFormat=P","Fill=—","Direction=H","UseDPDF=Y")</f>
        <v>279</v>
      </c>
      <c r="T48" s="13">
        <f>_xll.BDH("NBIX US Equity","OTHER_FIN_AND_DEC_CAP","FQ1 2023","FQ1 2023","Currency=USD","Period=FQ","BEST_FPERIOD_OVERRIDE=FQ","FILING_STATUS=MR","SCALING_FORMAT=MLN","Sort=A","Dates=H","DateFormat=P","Fill=—","Direction=H","UseDPDF=Y")</f>
        <v>0</v>
      </c>
      <c r="U48" s="13">
        <f>_xll.BDH("NBIX US Equity","OTHER_FIN_AND_DEC_CAP","FQ2 2023","FQ2 2023","Currency=USD","Period=FQ","BEST_FPERIOD_OVERRIDE=FQ","FILING_STATUS=MR","SCALING_FORMAT=MLN","Sort=A","Dates=H","DateFormat=P","Fill=—","Direction=H","UseDPDF=Y")</f>
        <v>0</v>
      </c>
      <c r="V48" s="13">
        <f>_xll.BDH("NBIX US Equity","OTHER_FIN_AND_DEC_CAP","FQ3 2023","FQ3 2023","Currency=USD","Period=FQ","BEST_FPERIOD_OVERRIDE=FQ","FILING_STATUS=MR","SCALING_FORMAT=MLN","Sort=A","Dates=H","DateFormat=P","Fill=—","Direction=H","UseDPDF=Y")</f>
        <v>0</v>
      </c>
      <c r="W48" s="13">
        <f>_xll.BDH("NBIX US Equity","OTHER_FIN_AND_DEC_CAP","FQ4 2023","FQ4 2023","Currency=USD","Period=FQ","BEST_FPERIOD_OVERRIDE=FQ","FILING_STATUS=MR","SCALING_FORMAT=MLN","Sort=A","Dates=H","DateFormat=P","Fill=—","Direction=H","UseDPDF=Y")</f>
        <v>0</v>
      </c>
      <c r="X48" s="13">
        <f>_xll.BDH("NBIX US Equity","OTHER_FIN_AND_DEC_CAP","FQ1 2024","FQ1 2024","Currency=USD","Period=FQ","BEST_FPERIOD_OVERRIDE=FQ","FILING_STATUS=MR","SCALING_FORMAT=MLN","Sort=A","Dates=H","DateFormat=P","Fill=—","Direction=H","UseDPDF=Y")</f>
        <v>0</v>
      </c>
      <c r="Y48" s="13">
        <f>_xll.BDH("NBIX US Equity","OTHER_FIN_AND_DEC_CAP","FQ2 2024","FQ2 2024","Currency=USD","Period=FQ","BEST_FPERIOD_OVERRIDE=FQ","FILING_STATUS=MR","SCALING_FORMAT=MLN","Sort=A","Dates=H","DateFormat=P","Fill=—","Direction=H","UseDPDF=Y")</f>
        <v>-308.8</v>
      </c>
      <c r="Z48" s="13">
        <f>_xll.BDH("NBIX US Equity","OTHER_FIN_AND_DEC_CAP","FQ3 2024","FQ3 2024","Currency=USD","Period=FQ","BEST_FPERIOD_OVERRIDE=FQ","FILING_STATUS=MR","SCALING_FORMAT=MLN","Sort=A","Dates=H","DateFormat=P","Fill=—","Direction=H","UseDPDF=Y")</f>
        <v>0</v>
      </c>
      <c r="AA48" s="13">
        <f>_xll.BDH("NBIX US Equity","OTHER_FIN_AND_DEC_CAP","FQ4 2024","FQ4 2024","Currency=USD","Period=FQ","BEST_FPERIOD_OVERRIDE=FQ","FILING_STATUS=MR","SCALING_FORMAT=MLN","Sort=A","Dates=H","DateFormat=P","Fill=—","Direction=H","UseDPDF=Y")</f>
        <v>308.8</v>
      </c>
    </row>
    <row r="49" spans="1:27" x14ac:dyDescent="0.25">
      <c r="A49" s="10" t="s">
        <v>1100</v>
      </c>
      <c r="B49" s="10" t="s">
        <v>1153</v>
      </c>
      <c r="C49" s="13">
        <f>_xll.BDH("NBIX US Equity","CF_NET_CASH_DISCONTINUED_OPS_FIN","FQ4 2018","FQ4 2018","Currency=USD","Period=FQ","BEST_FPERIOD_OVERRIDE=FQ","FILING_STATUS=MR","SCALING_FORMAT=MLN","Sort=A","Dates=H","DateFormat=P","Fill=—","Direction=H","UseDPDF=Y")</f>
        <v>0</v>
      </c>
      <c r="D49" s="13">
        <f>_xll.BDH("NBIX US Equity","CF_NET_CASH_DISCONTINUED_OPS_FIN","FQ1 2019","FQ1 2019","Currency=USD","Period=FQ","BEST_FPERIOD_OVERRIDE=FQ","FILING_STATUS=MR","SCALING_FORMAT=MLN","Sort=A","Dates=H","DateFormat=P","Fill=—","Direction=H","UseDPDF=Y")</f>
        <v>0</v>
      </c>
      <c r="E49" s="13">
        <f>_xll.BDH("NBIX US Equity","CF_NET_CASH_DISCONTINUED_OPS_FIN","FQ2 2019","FQ2 2019","Currency=USD","Period=FQ","BEST_FPERIOD_OVERRIDE=FQ","FILING_STATUS=MR","SCALING_FORMAT=MLN","Sort=A","Dates=H","DateFormat=P","Fill=—","Direction=H","UseDPDF=Y")</f>
        <v>0</v>
      </c>
      <c r="F49" s="13">
        <f>_xll.BDH("NBIX US Equity","CF_NET_CASH_DISCONTINUED_OPS_FIN","FQ3 2019","FQ3 2019","Currency=USD","Period=FQ","BEST_FPERIOD_OVERRIDE=FQ","FILING_STATUS=MR","SCALING_FORMAT=MLN","Sort=A","Dates=H","DateFormat=P","Fill=—","Direction=H","UseDPDF=Y")</f>
        <v>0</v>
      </c>
      <c r="G49" s="13">
        <f>_xll.BDH("NBIX US Equity","CF_NET_CASH_DISCONTINUED_OPS_FIN","FQ4 2019","FQ4 2019","Currency=USD","Period=FQ","BEST_FPERIOD_OVERRIDE=FQ","FILING_STATUS=MR","SCALING_FORMAT=MLN","Sort=A","Dates=H","DateFormat=P","Fill=—","Direction=H","UseDPDF=Y")</f>
        <v>0</v>
      </c>
      <c r="H49" s="13">
        <f>_xll.BDH("NBIX US Equity","CF_NET_CASH_DISCONTINUED_OPS_FIN","FQ1 2020","FQ1 2020","Currency=USD","Period=FQ","BEST_FPERIOD_OVERRIDE=FQ","FILING_STATUS=MR","SCALING_FORMAT=MLN","Sort=A","Dates=H","DateFormat=P","Fill=—","Direction=H","UseDPDF=Y")</f>
        <v>0</v>
      </c>
      <c r="I49" s="13">
        <f>_xll.BDH("NBIX US Equity","CF_NET_CASH_DISCONTINUED_OPS_FIN","FQ2 2020","FQ2 2020","Currency=USD","Period=FQ","BEST_FPERIOD_OVERRIDE=FQ","FILING_STATUS=MR","SCALING_FORMAT=MLN","Sort=A","Dates=H","DateFormat=P","Fill=—","Direction=H","UseDPDF=Y")</f>
        <v>0</v>
      </c>
      <c r="J49" s="13">
        <f>_xll.BDH("NBIX US Equity","CF_NET_CASH_DISCONTINUED_OPS_FIN","FQ3 2020","FQ3 2020","Currency=USD","Period=FQ","BEST_FPERIOD_OVERRIDE=FQ","FILING_STATUS=MR","SCALING_FORMAT=MLN","Sort=A","Dates=H","DateFormat=P","Fill=—","Direction=H","UseDPDF=Y")</f>
        <v>0</v>
      </c>
      <c r="K49" s="13">
        <f>_xll.BDH("NBIX US Equity","CF_NET_CASH_DISCONTINUED_OPS_FIN","FQ4 2020","FQ4 2020","Currency=USD","Period=FQ","BEST_FPERIOD_OVERRIDE=FQ","FILING_STATUS=MR","SCALING_FORMAT=MLN","Sort=A","Dates=H","DateFormat=P","Fill=—","Direction=H","UseDPDF=Y")</f>
        <v>0</v>
      </c>
      <c r="L49" s="13">
        <f>_xll.BDH("NBIX US Equity","CF_NET_CASH_DISCONTINUED_OPS_FIN","FQ1 2021","FQ1 2021","Currency=USD","Period=FQ","BEST_FPERIOD_OVERRIDE=FQ","FILING_STATUS=MR","SCALING_FORMAT=MLN","Sort=A","Dates=H","DateFormat=P","Fill=—","Direction=H","UseDPDF=Y")</f>
        <v>0</v>
      </c>
      <c r="M49" s="13">
        <f>_xll.BDH("NBIX US Equity","CF_NET_CASH_DISCONTINUED_OPS_FIN","FQ2 2021","FQ2 2021","Currency=USD","Period=FQ","BEST_FPERIOD_OVERRIDE=FQ","FILING_STATUS=MR","SCALING_FORMAT=MLN","Sort=A","Dates=H","DateFormat=P","Fill=—","Direction=H","UseDPDF=Y")</f>
        <v>0</v>
      </c>
      <c r="N49" s="13">
        <f>_xll.BDH("NBIX US Equity","CF_NET_CASH_DISCONTINUED_OPS_FIN","FQ3 2021","FQ3 2021","Currency=USD","Period=FQ","BEST_FPERIOD_OVERRIDE=FQ","FILING_STATUS=MR","SCALING_FORMAT=MLN","Sort=A","Dates=H","DateFormat=P","Fill=—","Direction=H","UseDPDF=Y")</f>
        <v>0</v>
      </c>
      <c r="O49" s="13">
        <f>_xll.BDH("NBIX US Equity","CF_NET_CASH_DISCONTINUED_OPS_FIN","FQ4 2021","FQ4 2021","Currency=USD","Period=FQ","BEST_FPERIOD_OVERRIDE=FQ","FILING_STATUS=MR","SCALING_FORMAT=MLN","Sort=A","Dates=H","DateFormat=P","Fill=—","Direction=H","UseDPDF=Y")</f>
        <v>0</v>
      </c>
      <c r="P49" s="13">
        <f>_xll.BDH("NBIX US Equity","CF_NET_CASH_DISCONTINUED_OPS_FIN","FQ1 2022","FQ1 2022","Currency=USD","Period=FQ","BEST_FPERIOD_OVERRIDE=FQ","FILING_STATUS=MR","SCALING_FORMAT=MLN","Sort=A","Dates=H","DateFormat=P","Fill=—","Direction=H","UseDPDF=Y")</f>
        <v>0</v>
      </c>
      <c r="Q49" s="13">
        <f>_xll.BDH("NBIX US Equity","CF_NET_CASH_DISCONTINUED_OPS_FIN","FQ2 2022","FQ2 2022","Currency=USD","Period=FQ","BEST_FPERIOD_OVERRIDE=FQ","FILING_STATUS=MR","SCALING_FORMAT=MLN","Sort=A","Dates=H","DateFormat=P","Fill=—","Direction=H","UseDPDF=Y")</f>
        <v>0</v>
      </c>
      <c r="R49" s="13">
        <f>_xll.BDH("NBIX US Equity","CF_NET_CASH_DISCONTINUED_OPS_FIN","FQ3 2022","FQ3 2022","Currency=USD","Period=FQ","BEST_FPERIOD_OVERRIDE=FQ","FILING_STATUS=MR","SCALING_FORMAT=MLN","Sort=A","Dates=H","DateFormat=P","Fill=—","Direction=H","UseDPDF=Y")</f>
        <v>0</v>
      </c>
      <c r="S49" s="13">
        <f>_xll.BDH("NBIX US Equity","CF_NET_CASH_DISCONTINUED_OPS_FIN","FQ4 2022","FQ4 2022","Currency=USD","Period=FQ","BEST_FPERIOD_OVERRIDE=FQ","FILING_STATUS=MR","SCALING_FORMAT=MLN","Sort=A","Dates=H","DateFormat=P","Fill=—","Direction=H","UseDPDF=Y")</f>
        <v>0</v>
      </c>
      <c r="T49" s="13">
        <f>_xll.BDH("NBIX US Equity","CF_NET_CASH_DISCONTINUED_OPS_FIN","FQ1 2023","FQ1 2023","Currency=USD","Period=FQ","BEST_FPERIOD_OVERRIDE=FQ","FILING_STATUS=MR","SCALING_FORMAT=MLN","Sort=A","Dates=H","DateFormat=P","Fill=—","Direction=H","UseDPDF=Y")</f>
        <v>0</v>
      </c>
      <c r="U49" s="13">
        <f>_xll.BDH("NBIX US Equity","CF_NET_CASH_DISCONTINUED_OPS_FIN","FQ2 2023","FQ2 2023","Currency=USD","Period=FQ","BEST_FPERIOD_OVERRIDE=FQ","FILING_STATUS=MR","SCALING_FORMAT=MLN","Sort=A","Dates=H","DateFormat=P","Fill=—","Direction=H","UseDPDF=Y")</f>
        <v>0</v>
      </c>
      <c r="V49" s="13">
        <f>_xll.BDH("NBIX US Equity","CF_NET_CASH_DISCONTINUED_OPS_FIN","FQ3 2023","FQ3 2023","Currency=USD","Period=FQ","BEST_FPERIOD_OVERRIDE=FQ","FILING_STATUS=MR","SCALING_FORMAT=MLN","Sort=A","Dates=H","DateFormat=P","Fill=—","Direction=H","UseDPDF=Y")</f>
        <v>0</v>
      </c>
      <c r="W49" s="13">
        <f>_xll.BDH("NBIX US Equity","CF_NET_CASH_DISCONTINUED_OPS_FIN","FQ4 2023","FQ4 2023","Currency=USD","Period=FQ","BEST_FPERIOD_OVERRIDE=FQ","FILING_STATUS=MR","SCALING_FORMAT=MLN","Sort=A","Dates=H","DateFormat=P","Fill=—","Direction=H","UseDPDF=Y")</f>
        <v>0</v>
      </c>
      <c r="X49" s="13">
        <f>_xll.BDH("NBIX US Equity","CF_NET_CASH_DISCONTINUED_OPS_FIN","FQ1 2024","FQ1 2024","Currency=USD","Period=FQ","BEST_FPERIOD_OVERRIDE=FQ","FILING_STATUS=MR","SCALING_FORMAT=MLN","Sort=A","Dates=H","DateFormat=P","Fill=—","Direction=H","UseDPDF=Y")</f>
        <v>0</v>
      </c>
      <c r="Y49" s="13">
        <f>_xll.BDH("NBIX US Equity","CF_NET_CASH_DISCONTINUED_OPS_FIN","FQ2 2024","FQ2 2024","Currency=USD","Period=FQ","BEST_FPERIOD_OVERRIDE=FQ","FILING_STATUS=MR","SCALING_FORMAT=MLN","Sort=A","Dates=H","DateFormat=P","Fill=—","Direction=H","UseDPDF=Y")</f>
        <v>0</v>
      </c>
      <c r="Z49" s="13">
        <f>_xll.BDH("NBIX US Equity","CF_NET_CASH_DISCONTINUED_OPS_FIN","FQ3 2024","FQ3 2024","Currency=USD","Period=FQ","BEST_FPERIOD_OVERRIDE=FQ","FILING_STATUS=MR","SCALING_FORMAT=MLN","Sort=A","Dates=H","DateFormat=P","Fill=—","Direction=H","UseDPDF=Y")</f>
        <v>0</v>
      </c>
      <c r="AA49" s="13">
        <f>_xll.BDH("NBIX US Equity","CF_NET_CASH_DISCONTINUED_OPS_FIN","FQ4 2024","FQ4 2024","Currency=USD","Period=FQ","BEST_FPERIOD_OVERRIDE=FQ","FILING_STATUS=MR","SCALING_FORMAT=MLN","Sort=A","Dates=H","DateFormat=P","Fill=—","Direction=H","UseDPDF=Y")</f>
        <v>0</v>
      </c>
    </row>
    <row r="50" spans="1:27" x14ac:dyDescent="0.25">
      <c r="A50" s="6" t="s">
        <v>1134</v>
      </c>
      <c r="B50" s="6" t="s">
        <v>1154</v>
      </c>
      <c r="C50" s="19">
        <f>_xll.BDH("NBIX US Equity","CFF_ACTIVITIES_DETAILED","FQ4 2018","FQ4 2018","Currency=USD","Period=FQ","BEST_FPERIOD_OVERRIDE=FQ","FILING_STATUS=MR","SCALING_FORMAT=MLN","Sort=A","Dates=H","DateFormat=P","Fill=—","Direction=H","UseDPDF=Y")</f>
        <v>1.782</v>
      </c>
      <c r="D50" s="19">
        <f>_xll.BDH("NBIX US Equity","CFF_ACTIVITIES_DETAILED","FQ1 2019","FQ1 2019","Currency=USD","Period=FQ","BEST_FPERIOD_OVERRIDE=FQ","FILING_STATUS=MR","SCALING_FORMAT=MLN","Sort=A","Dates=H","DateFormat=P","Fill=—","Direction=H","UseDPDF=Y")</f>
        <v>2.581</v>
      </c>
      <c r="E50" s="19">
        <f>_xll.BDH("NBIX US Equity","CFF_ACTIVITIES_DETAILED","FQ2 2019","FQ2 2019","Currency=USD","Period=FQ","BEST_FPERIOD_OVERRIDE=FQ","FILING_STATUS=MR","SCALING_FORMAT=MLN","Sort=A","Dates=H","DateFormat=P","Fill=—","Direction=H","UseDPDF=Y")</f>
        <v>4.2839999999999998</v>
      </c>
      <c r="F50" s="19">
        <f>_xll.BDH("NBIX US Equity","CFF_ACTIVITIES_DETAILED","FQ3 2019","FQ3 2019","Currency=USD","Period=FQ","BEST_FPERIOD_OVERRIDE=FQ","FILING_STATUS=MR","SCALING_FORMAT=MLN","Sort=A","Dates=H","DateFormat=P","Fill=—","Direction=H","UseDPDF=Y")</f>
        <v>13.164</v>
      </c>
      <c r="G50" s="19">
        <f>_xll.BDH("NBIX US Equity","CFF_ACTIVITIES_DETAILED","FQ4 2019","FQ4 2019","Currency=USD","Period=FQ","BEST_FPERIOD_OVERRIDE=FQ","FILING_STATUS=MR","SCALING_FORMAT=MLN","Sort=A","Dates=H","DateFormat=P","Fill=—","Direction=H","UseDPDF=Y")</f>
        <v>12.371</v>
      </c>
      <c r="H50" s="19">
        <f>_xll.BDH("NBIX US Equity","CFF_ACTIVITIES_DETAILED","FQ1 2020","FQ1 2020","Currency=USD","Period=FQ","BEST_FPERIOD_OVERRIDE=FQ","FILING_STATUS=MR","SCALING_FORMAT=MLN","Sort=A","Dates=H","DateFormat=P","Fill=—","Direction=H","UseDPDF=Y")</f>
        <v>6</v>
      </c>
      <c r="I50" s="19">
        <f>_xll.BDH("NBIX US Equity","CFF_ACTIVITIES_DETAILED","FQ2 2020","FQ2 2020","Currency=USD","Period=FQ","BEST_FPERIOD_OVERRIDE=FQ","FILING_STATUS=MR","SCALING_FORMAT=MLN","Sort=A","Dates=H","DateFormat=P","Fill=—","Direction=H","UseDPDF=Y")</f>
        <v>15.8</v>
      </c>
      <c r="J50" s="19">
        <f>_xll.BDH("NBIX US Equity","CFF_ACTIVITIES_DETAILED","FQ3 2020","FQ3 2020","Currency=USD","Period=FQ","BEST_FPERIOD_OVERRIDE=FQ","FILING_STATUS=MR","SCALING_FORMAT=MLN","Sort=A","Dates=H","DateFormat=P","Fill=—","Direction=H","UseDPDF=Y")</f>
        <v>5.4</v>
      </c>
      <c r="K50" s="19">
        <f>_xll.BDH("NBIX US Equity","CFF_ACTIVITIES_DETAILED","FQ4 2020","FQ4 2020","Currency=USD","Period=FQ","BEST_FPERIOD_OVERRIDE=FQ","FILING_STATUS=MR","SCALING_FORMAT=MLN","Sort=A","Dates=H","DateFormat=P","Fill=—","Direction=H","UseDPDF=Y")</f>
        <v>-185</v>
      </c>
      <c r="L50" s="19">
        <f>_xll.BDH("NBIX US Equity","CFF_ACTIVITIES_DETAILED","FQ1 2021","FQ1 2021","Currency=USD","Period=FQ","BEST_FPERIOD_OVERRIDE=FQ","FILING_STATUS=MR","SCALING_FORMAT=MLN","Sort=A","Dates=H","DateFormat=P","Fill=—","Direction=H","UseDPDF=Y")</f>
        <v>15.1</v>
      </c>
      <c r="M50" s="19">
        <f>_xll.BDH("NBIX US Equity","CFF_ACTIVITIES_DETAILED","FQ2 2021","FQ2 2021","Currency=USD","Period=FQ","BEST_FPERIOD_OVERRIDE=FQ","FILING_STATUS=MR","SCALING_FORMAT=MLN","Sort=A","Dates=H","DateFormat=P","Fill=—","Direction=H","UseDPDF=Y")</f>
        <v>3</v>
      </c>
      <c r="N50" s="19">
        <f>_xll.BDH("NBIX US Equity","CFF_ACTIVITIES_DETAILED","FQ3 2021","FQ3 2021","Currency=USD","Period=FQ","BEST_FPERIOD_OVERRIDE=FQ","FILING_STATUS=MR","SCALING_FORMAT=MLN","Sort=A","Dates=H","DateFormat=P","Fill=—","Direction=H","UseDPDF=Y")</f>
        <v>7.5</v>
      </c>
      <c r="O50" s="19">
        <f>_xll.BDH("NBIX US Equity","CFF_ACTIVITIES_DETAILED","FQ4 2021","FQ4 2021","Currency=USD","Period=FQ","BEST_FPERIOD_OVERRIDE=FQ","FILING_STATUS=MR","SCALING_FORMAT=MLN","Sort=A","Dates=H","DateFormat=P","Fill=—","Direction=H","UseDPDF=Y")</f>
        <v>1.8</v>
      </c>
      <c r="P50" s="19">
        <f>_xll.BDH("NBIX US Equity","CFF_ACTIVITIES_DETAILED","FQ1 2022","FQ1 2022","Currency=USD","Period=FQ","BEST_FPERIOD_OVERRIDE=FQ","FILING_STATUS=MR","SCALING_FORMAT=MLN","Sort=A","Dates=H","DateFormat=P","Fill=—","Direction=H","UseDPDF=Y")</f>
        <v>6.1</v>
      </c>
      <c r="Q50" s="19">
        <f>_xll.BDH("NBIX US Equity","CFF_ACTIVITIES_DETAILED","FQ2 2022","FQ2 2022","Currency=USD","Period=FQ","BEST_FPERIOD_OVERRIDE=FQ","FILING_STATUS=MR","SCALING_FORMAT=MLN","Sort=A","Dates=H","DateFormat=P","Fill=—","Direction=H","UseDPDF=Y")</f>
        <v>-276.39999999999998</v>
      </c>
      <c r="R50" s="19">
        <f>_xll.BDH("NBIX US Equity","CFF_ACTIVITIES_DETAILED","FQ3 2022","FQ3 2022","Currency=USD","Period=FQ","BEST_FPERIOD_OVERRIDE=FQ","FILING_STATUS=MR","SCALING_FORMAT=MLN","Sort=A","Dates=H","DateFormat=P","Fill=—","Direction=H","UseDPDF=Y")</f>
        <v>11.4</v>
      </c>
      <c r="S50" s="19">
        <f>_xll.BDH("NBIX US Equity","CFF_ACTIVITIES_DETAILED","FQ4 2022","FQ4 2022","Currency=USD","Period=FQ","BEST_FPERIOD_OVERRIDE=FQ","FILING_STATUS=MR","SCALING_FORMAT=MLN","Sort=A","Dates=H","DateFormat=P","Fill=—","Direction=H","UseDPDF=Y")</f>
        <v>24.6</v>
      </c>
      <c r="T50" s="19">
        <f>_xll.BDH("NBIX US Equity","CFF_ACTIVITIES_DETAILED","FQ1 2023","FQ1 2023","Currency=USD","Period=FQ","BEST_FPERIOD_OVERRIDE=FQ","FILING_STATUS=MR","SCALING_FORMAT=MLN","Sort=A","Dates=H","DateFormat=P","Fill=—","Direction=H","UseDPDF=Y")</f>
        <v>8.1999999999999993</v>
      </c>
      <c r="U50" s="19">
        <f>_xll.BDH("NBIX US Equity","CFF_ACTIVITIES_DETAILED","FQ2 2023","FQ2 2023","Currency=USD","Period=FQ","BEST_FPERIOD_OVERRIDE=FQ","FILING_STATUS=MR","SCALING_FORMAT=MLN","Sort=A","Dates=H","DateFormat=P","Fill=—","Direction=H","UseDPDF=Y")</f>
        <v>2.9</v>
      </c>
      <c r="V50" s="19">
        <f>_xll.BDH("NBIX US Equity","CFF_ACTIVITIES_DETAILED","FQ3 2023","FQ3 2023","Currency=USD","Period=FQ","BEST_FPERIOD_OVERRIDE=FQ","FILING_STATUS=MR","SCALING_FORMAT=MLN","Sort=A","Dates=H","DateFormat=P","Fill=—","Direction=H","UseDPDF=Y")</f>
        <v>18.8</v>
      </c>
      <c r="W50" s="19">
        <f>_xll.BDH("NBIX US Equity","CFF_ACTIVITIES_DETAILED","FQ4 2023","FQ4 2023","Currency=USD","Period=FQ","BEST_FPERIOD_OVERRIDE=FQ","FILING_STATUS=MR","SCALING_FORMAT=MLN","Sort=A","Dates=H","DateFormat=P","Fill=—","Direction=H","UseDPDF=Y")</f>
        <v>35.4</v>
      </c>
      <c r="X50" s="19">
        <f>_xll.BDH("NBIX US Equity","CFF_ACTIVITIES_DETAILED","FQ1 2024","FQ1 2024","Currency=USD","Period=FQ","BEST_FPERIOD_OVERRIDE=FQ","FILING_STATUS=MR","SCALING_FORMAT=MLN","Sort=A","Dates=H","DateFormat=P","Fill=—","Direction=H","UseDPDF=Y")</f>
        <v>69.900000000000006</v>
      </c>
      <c r="Y50" s="19">
        <f>_xll.BDH("NBIX US Equity","CFF_ACTIVITIES_DETAILED","FQ2 2024","FQ2 2024","Currency=USD","Period=FQ","BEST_FPERIOD_OVERRIDE=FQ","FILING_STATUS=MR","SCALING_FORMAT=MLN","Sort=A","Dates=H","DateFormat=P","Fill=—","Direction=H","UseDPDF=Y")</f>
        <v>-293</v>
      </c>
      <c r="Z50" s="19">
        <f>_xll.BDH("NBIX US Equity","CFF_ACTIVITIES_DETAILED","FQ3 2024","FQ3 2024","Currency=USD","Period=FQ","BEST_FPERIOD_OVERRIDE=FQ","FILING_STATUS=MR","SCALING_FORMAT=MLN","Sort=A","Dates=H","DateFormat=P","Fill=—","Direction=H","UseDPDF=Y")</f>
        <v>26.4</v>
      </c>
      <c r="AA50" s="19">
        <f>_xll.BDH("NBIX US Equity","CFF_ACTIVITIES_DETAILED","FQ4 2024","FQ4 2024","Currency=USD","Period=FQ","BEST_FPERIOD_OVERRIDE=FQ","FILING_STATUS=MR","SCALING_FORMAT=MLN","Sort=A","Dates=H","DateFormat=P","Fill=—","Direction=H","UseDPDF=Y")</f>
        <v>-290</v>
      </c>
    </row>
    <row r="51" spans="1:27" x14ac:dyDescent="0.25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0" t="s">
        <v>1155</v>
      </c>
      <c r="B52" s="10" t="s">
        <v>1156</v>
      </c>
      <c r="C52" s="13">
        <f>_xll.BDH("NBIX US Equity","CF_EFFECT_FOREIGN_EXCHANGES","FQ4 2018","FQ4 2018","Currency=USD","Period=FQ","BEST_FPERIOD_OVERRIDE=FQ","FILING_STATUS=MR","SCALING_FORMAT=MLN","Sort=A","Dates=H","DateFormat=P","Fill=—","Direction=H","UseDPDF=Y")</f>
        <v>0</v>
      </c>
      <c r="D52" s="13">
        <f>_xll.BDH("NBIX US Equity","CF_EFFECT_FOREIGN_EXCHANGES","FQ1 2019","FQ1 2019","Currency=USD","Period=FQ","BEST_FPERIOD_OVERRIDE=FQ","FILING_STATUS=MR","SCALING_FORMAT=MLN","Sort=A","Dates=H","DateFormat=P","Fill=—","Direction=H","UseDPDF=Y")</f>
        <v>0</v>
      </c>
      <c r="E52" s="13">
        <f>_xll.BDH("NBIX US Equity","CF_EFFECT_FOREIGN_EXCHANGES","FQ2 2019","FQ2 2019","Currency=USD","Period=FQ","BEST_FPERIOD_OVERRIDE=FQ","FILING_STATUS=MR","SCALING_FORMAT=MLN","Sort=A","Dates=H","DateFormat=P","Fill=—","Direction=H","UseDPDF=Y")</f>
        <v>0</v>
      </c>
      <c r="F52" s="13">
        <f>_xll.BDH("NBIX US Equity","CF_EFFECT_FOREIGN_EXCHANGES","FQ3 2019","FQ3 2019","Currency=USD","Period=FQ","BEST_FPERIOD_OVERRIDE=FQ","FILING_STATUS=MR","SCALING_FORMAT=MLN","Sort=A","Dates=H","DateFormat=P","Fill=—","Direction=H","UseDPDF=Y")</f>
        <v>0</v>
      </c>
      <c r="G52" s="13">
        <f>_xll.BDH("NBIX US Equity","CF_EFFECT_FOREIGN_EXCHANGES","FQ4 2019","FQ4 2019","Currency=USD","Period=FQ","BEST_FPERIOD_OVERRIDE=FQ","FILING_STATUS=MR","SCALING_FORMAT=MLN","Sort=A","Dates=H","DateFormat=P","Fill=—","Direction=H","UseDPDF=Y")</f>
        <v>0</v>
      </c>
      <c r="H52" s="13">
        <f>_xll.BDH("NBIX US Equity","CF_EFFECT_FOREIGN_EXCHANGES","FQ1 2020","FQ1 2020","Currency=USD","Period=FQ","BEST_FPERIOD_OVERRIDE=FQ","FILING_STATUS=MR","SCALING_FORMAT=MLN","Sort=A","Dates=H","DateFormat=P","Fill=—","Direction=H","UseDPDF=Y")</f>
        <v>0</v>
      </c>
      <c r="I52" s="13">
        <f>_xll.BDH("NBIX US Equity","CF_EFFECT_FOREIGN_EXCHANGES","FQ2 2020","FQ2 2020","Currency=USD","Period=FQ","BEST_FPERIOD_OVERRIDE=FQ","FILING_STATUS=MR","SCALING_FORMAT=MLN","Sort=A","Dates=H","DateFormat=P","Fill=—","Direction=H","UseDPDF=Y")</f>
        <v>0</v>
      </c>
      <c r="J52" s="13">
        <f>_xll.BDH("NBIX US Equity","CF_EFFECT_FOREIGN_EXCHANGES","FQ3 2020","FQ3 2020","Currency=USD","Period=FQ","BEST_FPERIOD_OVERRIDE=FQ","FILING_STATUS=MR","SCALING_FORMAT=MLN","Sort=A","Dates=H","DateFormat=P","Fill=—","Direction=H","UseDPDF=Y")</f>
        <v>0</v>
      </c>
      <c r="K52" s="13">
        <f>_xll.BDH("NBIX US Equity","CF_EFFECT_FOREIGN_EXCHANGES","FQ4 2020","FQ4 2020","Currency=USD","Period=FQ","BEST_FPERIOD_OVERRIDE=FQ","FILING_STATUS=MR","SCALING_FORMAT=MLN","Sort=A","Dates=H","DateFormat=P","Fill=—","Direction=H","UseDPDF=Y")</f>
        <v>0</v>
      </c>
      <c r="L52" s="13">
        <f>_xll.BDH("NBIX US Equity","CF_EFFECT_FOREIGN_EXCHANGES","FQ1 2021","FQ1 2021","Currency=USD","Period=FQ","BEST_FPERIOD_OVERRIDE=FQ","FILING_STATUS=MR","SCALING_FORMAT=MLN","Sort=A","Dates=H","DateFormat=P","Fill=—","Direction=H","UseDPDF=Y")</f>
        <v>0</v>
      </c>
      <c r="M52" s="13">
        <f>_xll.BDH("NBIX US Equity","CF_EFFECT_FOREIGN_EXCHANGES","FQ2 2021","FQ2 2021","Currency=USD","Period=FQ","BEST_FPERIOD_OVERRIDE=FQ","FILING_STATUS=MR","SCALING_FORMAT=MLN","Sort=A","Dates=H","DateFormat=P","Fill=—","Direction=H","UseDPDF=Y")</f>
        <v>0</v>
      </c>
      <c r="N52" s="13">
        <f>_xll.BDH("NBIX US Equity","CF_EFFECT_FOREIGN_EXCHANGES","FQ3 2021","FQ3 2021","Currency=USD","Period=FQ","BEST_FPERIOD_OVERRIDE=FQ","FILING_STATUS=MR","SCALING_FORMAT=MLN","Sort=A","Dates=H","DateFormat=P","Fill=—","Direction=H","UseDPDF=Y")</f>
        <v>0</v>
      </c>
      <c r="O52" s="13">
        <f>_xll.BDH("NBIX US Equity","CF_EFFECT_FOREIGN_EXCHANGES","FQ4 2021","FQ4 2021","Currency=USD","Period=FQ","BEST_FPERIOD_OVERRIDE=FQ","FILING_STATUS=MR","SCALING_FORMAT=MLN","Sort=A","Dates=H","DateFormat=P","Fill=—","Direction=H","UseDPDF=Y")</f>
        <v>0</v>
      </c>
      <c r="P52" s="13">
        <f>_xll.BDH("NBIX US Equity","CF_EFFECT_FOREIGN_EXCHANGES","FQ1 2022","FQ1 2022","Currency=USD","Period=FQ","BEST_FPERIOD_OVERRIDE=FQ","FILING_STATUS=MR","SCALING_FORMAT=MLN","Sort=A","Dates=H","DateFormat=P","Fill=—","Direction=H","UseDPDF=Y")</f>
        <v>0</v>
      </c>
      <c r="Q52" s="13">
        <f>_xll.BDH("NBIX US Equity","CF_EFFECT_FOREIGN_EXCHANGES","FQ2 2022","FQ2 2022","Currency=USD","Period=FQ","BEST_FPERIOD_OVERRIDE=FQ","FILING_STATUS=MR","SCALING_FORMAT=MLN","Sort=A","Dates=H","DateFormat=P","Fill=—","Direction=H","UseDPDF=Y")</f>
        <v>0</v>
      </c>
      <c r="R52" s="13">
        <f>_xll.BDH("NBIX US Equity","CF_EFFECT_FOREIGN_EXCHANGES","FQ3 2022","FQ3 2022","Currency=USD","Period=FQ","BEST_FPERIOD_OVERRIDE=FQ","FILING_STATUS=MR","SCALING_FORMAT=MLN","Sort=A","Dates=H","DateFormat=P","Fill=—","Direction=H","UseDPDF=Y")</f>
        <v>0</v>
      </c>
      <c r="S52" s="13">
        <f>_xll.BDH("NBIX US Equity","CF_EFFECT_FOREIGN_EXCHANGES","FQ4 2022","FQ4 2022","Currency=USD","Period=FQ","BEST_FPERIOD_OVERRIDE=FQ","FILING_STATUS=MR","SCALING_FORMAT=MLN","Sort=A","Dates=H","DateFormat=P","Fill=—","Direction=H","UseDPDF=Y")</f>
        <v>-1.3</v>
      </c>
      <c r="T52" s="13">
        <f>_xll.BDH("NBIX US Equity","CF_EFFECT_FOREIGN_EXCHANGES","FQ1 2023","FQ1 2023","Currency=USD","Period=FQ","BEST_FPERIOD_OVERRIDE=FQ","FILING_STATUS=MR","SCALING_FORMAT=MLN","Sort=A","Dates=H","DateFormat=P","Fill=—","Direction=H","UseDPDF=Y")</f>
        <v>0</v>
      </c>
      <c r="U52" s="13">
        <f>_xll.BDH("NBIX US Equity","CF_EFFECT_FOREIGN_EXCHANGES","FQ2 2023","FQ2 2023","Currency=USD","Period=FQ","BEST_FPERIOD_OVERRIDE=FQ","FILING_STATUS=MR","SCALING_FORMAT=MLN","Sort=A","Dates=H","DateFormat=P","Fill=—","Direction=H","UseDPDF=Y")</f>
        <v>0</v>
      </c>
      <c r="V52" s="13">
        <f>_xll.BDH("NBIX US Equity","CF_EFFECT_FOREIGN_EXCHANGES","FQ3 2023","FQ3 2023","Currency=USD","Period=FQ","BEST_FPERIOD_OVERRIDE=FQ","FILING_STATUS=MR","SCALING_FORMAT=MLN","Sort=A","Dates=H","DateFormat=P","Fill=—","Direction=H","UseDPDF=Y")</f>
        <v>0</v>
      </c>
      <c r="W52" s="13">
        <f>_xll.BDH("NBIX US Equity","CF_EFFECT_FOREIGN_EXCHANGES","FQ4 2023","FQ4 2023","Currency=USD","Period=FQ","BEST_FPERIOD_OVERRIDE=FQ","FILING_STATUS=MR","SCALING_FORMAT=MLN","Sort=A","Dates=H","DateFormat=P","Fill=—","Direction=H","UseDPDF=Y")</f>
        <v>0.3</v>
      </c>
      <c r="X52" s="13">
        <f>_xll.BDH("NBIX US Equity","CF_EFFECT_FOREIGN_EXCHANGES","FQ1 2024","FQ1 2024","Currency=USD","Period=FQ","BEST_FPERIOD_OVERRIDE=FQ","FILING_STATUS=MR","SCALING_FORMAT=MLN","Sort=A","Dates=H","DateFormat=P","Fill=—","Direction=H","UseDPDF=Y")</f>
        <v>0</v>
      </c>
      <c r="Y52" s="13">
        <f>_xll.BDH("NBIX US Equity","CF_EFFECT_FOREIGN_EXCHANGES","FQ2 2024","FQ2 2024","Currency=USD","Period=FQ","BEST_FPERIOD_OVERRIDE=FQ","FILING_STATUS=MR","SCALING_FORMAT=MLN","Sort=A","Dates=H","DateFormat=P","Fill=—","Direction=H","UseDPDF=Y")</f>
        <v>0</v>
      </c>
      <c r="Z52" s="13">
        <f>_xll.BDH("NBIX US Equity","CF_EFFECT_FOREIGN_EXCHANGES","FQ3 2024","FQ3 2024","Currency=USD","Period=FQ","BEST_FPERIOD_OVERRIDE=FQ","FILING_STATUS=MR","SCALING_FORMAT=MLN","Sort=A","Dates=H","DateFormat=P","Fill=—","Direction=H","UseDPDF=Y")</f>
        <v>0.3</v>
      </c>
      <c r="AA52" s="13">
        <f>_xll.BDH("NBIX US Equity","CF_EFFECT_FOREIGN_EXCHANGES","FQ4 2024","FQ4 2024","Currency=USD","Period=FQ","BEST_FPERIOD_OVERRIDE=FQ","FILING_STATUS=MR","SCALING_FORMAT=MLN","Sort=A","Dates=H","DateFormat=P","Fill=—","Direction=H","UseDPDF=Y")</f>
        <v>-0.3</v>
      </c>
    </row>
    <row r="53" spans="1:27" x14ac:dyDescent="0.25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6" t="s">
        <v>1157</v>
      </c>
      <c r="B54" s="6" t="s">
        <v>1158</v>
      </c>
      <c r="C54" s="19">
        <f>_xll.BDH("NBIX US Equity","CF_NET_CHNG_CASH","FQ4 2018","FQ4 2018","Currency=USD","Period=FQ","BEST_FPERIOD_OVERRIDE=FQ","FILING_STATUS=MR","SCALING_FORMAT=MLN","Sort=A","Dates=H","DateFormat=P","Fill=—","Direction=H","UseDPDF=Y")</f>
        <v>-54.02</v>
      </c>
      <c r="D54" s="19">
        <f>_xll.BDH("NBIX US Equity","CF_NET_CHNG_CASH","FQ1 2019","FQ1 2019","Currency=USD","Period=FQ","BEST_FPERIOD_OVERRIDE=FQ","FILING_STATUS=MR","SCALING_FORMAT=MLN","Sort=A","Dates=H","DateFormat=P","Fill=—","Direction=H","UseDPDF=Y")</f>
        <v>-68.936000000000007</v>
      </c>
      <c r="E54" s="19">
        <f>_xll.BDH("NBIX US Equity","CF_NET_CHNG_CASH","FQ2 2019","FQ2 2019","Currency=USD","Period=FQ","BEST_FPERIOD_OVERRIDE=FQ","FILING_STATUS=MR","SCALING_FORMAT=MLN","Sort=A","Dates=H","DateFormat=P","Fill=—","Direction=H","UseDPDF=Y")</f>
        <v>68.206999999999994</v>
      </c>
      <c r="F54" s="19">
        <f>_xll.BDH("NBIX US Equity","CF_NET_CHNG_CASH","FQ3 2019","FQ3 2019","Currency=USD","Period=FQ","BEST_FPERIOD_OVERRIDE=FQ","FILING_STATUS=MR","SCALING_FORMAT=MLN","Sort=A","Dates=H","DateFormat=P","Fill=—","Direction=H","UseDPDF=Y")</f>
        <v>25.344000000000001</v>
      </c>
      <c r="G54" s="19">
        <f>_xll.BDH("NBIX US Equity","CF_NET_CHNG_CASH","FQ4 2019","FQ4 2019","Currency=USD","Period=FQ","BEST_FPERIOD_OVERRIDE=FQ","FILING_STATUS=MR","SCALING_FORMAT=MLN","Sort=A","Dates=H","DateFormat=P","Fill=—","Direction=H","UseDPDF=Y")</f>
        <v>-56.314999999999998</v>
      </c>
      <c r="H54" s="19">
        <f>_xll.BDH("NBIX US Equity","CF_NET_CHNG_CASH","FQ1 2020","FQ1 2020","Currency=USD","Period=FQ","BEST_FPERIOD_OVERRIDE=FQ","FILING_STATUS=MR","SCALING_FORMAT=MLN","Sort=A","Dates=H","DateFormat=P","Fill=—","Direction=H","UseDPDF=Y")</f>
        <v>74.7</v>
      </c>
      <c r="I54" s="19">
        <f>_xll.BDH("NBIX US Equity","CF_NET_CHNG_CASH","FQ2 2020","FQ2 2020","Currency=USD","Period=FQ","BEST_FPERIOD_OVERRIDE=FQ","FILING_STATUS=MR","SCALING_FORMAT=MLN","Sort=A","Dates=H","DateFormat=P","Fill=—","Direction=H","UseDPDF=Y")</f>
        <v>228.1</v>
      </c>
      <c r="J54" s="19">
        <f>_xll.BDH("NBIX US Equity","CF_NET_CHNG_CASH","FQ3 2020","FQ3 2020","Currency=USD","Period=FQ","BEST_FPERIOD_OVERRIDE=FQ","FILING_STATUS=MR","SCALING_FORMAT=MLN","Sort=A","Dates=H","DateFormat=P","Fill=—","Direction=H","UseDPDF=Y")</f>
        <v>10.199999999999999</v>
      </c>
      <c r="K54" s="19">
        <f>_xll.BDH("NBIX US Equity","CF_NET_CHNG_CASH","FQ4 2020","FQ4 2020","Currency=USD","Period=FQ","BEST_FPERIOD_OVERRIDE=FQ","FILING_STATUS=MR","SCALING_FORMAT=MLN","Sort=A","Dates=H","DateFormat=P","Fill=—","Direction=H","UseDPDF=Y")</f>
        <v>-238.2</v>
      </c>
      <c r="L54" s="19">
        <f>_xll.BDH("NBIX US Equity","CF_NET_CHNG_CASH","FQ1 2021","FQ1 2021","Currency=USD","Period=FQ","BEST_FPERIOD_OVERRIDE=FQ","FILING_STATUS=MR","SCALING_FORMAT=MLN","Sort=A","Dates=H","DateFormat=P","Fill=—","Direction=H","UseDPDF=Y")</f>
        <v>165.5</v>
      </c>
      <c r="M54" s="19">
        <f>_xll.BDH("NBIX US Equity","CF_NET_CHNG_CASH","FQ2 2021","FQ2 2021","Currency=USD","Period=FQ","BEST_FPERIOD_OVERRIDE=FQ","FILING_STATUS=MR","SCALING_FORMAT=MLN","Sort=A","Dates=H","DateFormat=P","Fill=—","Direction=H","UseDPDF=Y")</f>
        <v>15.4</v>
      </c>
      <c r="N54" s="19">
        <f>_xll.BDH("NBIX US Equity","CF_NET_CHNG_CASH","FQ3 2021","FQ3 2021","Currency=USD","Period=FQ","BEST_FPERIOD_OVERRIDE=FQ","FILING_STATUS=MR","SCALING_FORMAT=MLN","Sort=A","Dates=H","DateFormat=P","Fill=—","Direction=H","UseDPDF=Y")</f>
        <v>-56.9</v>
      </c>
      <c r="O54" s="19">
        <f>_xll.BDH("NBIX US Equity","CF_NET_CHNG_CASH","FQ4 2021","FQ4 2021","Currency=USD","Period=FQ","BEST_FPERIOD_OVERRIDE=FQ","FILING_STATUS=MR","SCALING_FORMAT=MLN","Sort=A","Dates=H","DateFormat=P","Fill=—","Direction=H","UseDPDF=Y")</f>
        <v>29.7</v>
      </c>
      <c r="P54" s="19">
        <f>_xll.BDH("NBIX US Equity","CF_NET_CHNG_CASH","FQ1 2022","FQ1 2022","Currency=USD","Period=FQ","BEST_FPERIOD_OVERRIDE=FQ","FILING_STATUS=MR","SCALING_FORMAT=MLN","Sort=A","Dates=H","DateFormat=P","Fill=—","Direction=H","UseDPDF=Y")</f>
        <v>-66</v>
      </c>
      <c r="Q54" s="19">
        <f>_xll.BDH("NBIX US Equity","CF_NET_CHNG_CASH","FQ2 2022","FQ2 2022","Currency=USD","Period=FQ","BEST_FPERIOD_OVERRIDE=FQ","FILING_STATUS=MR","SCALING_FORMAT=MLN","Sort=A","Dates=H","DateFormat=P","Fill=—","Direction=H","UseDPDF=Y")</f>
        <v>-106.9</v>
      </c>
      <c r="R54" s="19">
        <f>_xll.BDH("NBIX US Equity","CF_NET_CHNG_CASH","FQ3 2022","FQ3 2022","Currency=USD","Period=FQ","BEST_FPERIOD_OVERRIDE=FQ","FILING_STATUS=MR","SCALING_FORMAT=MLN","Sort=A","Dates=H","DateFormat=P","Fill=—","Direction=H","UseDPDF=Y")</f>
        <v>48.9</v>
      </c>
      <c r="S54" s="19">
        <f>_xll.BDH("NBIX US Equity","CF_NET_CHNG_CASH","FQ4 2022","FQ4 2022","Currency=USD","Period=FQ","BEST_FPERIOD_OVERRIDE=FQ","FILING_STATUS=MR","SCALING_FORMAT=MLN","Sort=A","Dates=H","DateFormat=P","Fill=—","Direction=H","UseDPDF=Y")</f>
        <v>50.7</v>
      </c>
      <c r="T54" s="19">
        <f>_xll.BDH("NBIX US Equity","CF_NET_CHNG_CASH","FQ1 2023","FQ1 2023","Currency=USD","Period=FQ","BEST_FPERIOD_OVERRIDE=FQ","FILING_STATUS=MR","SCALING_FORMAT=MLN","Sort=A","Dates=H","DateFormat=P","Fill=—","Direction=H","UseDPDF=Y")</f>
        <v>-159.1</v>
      </c>
      <c r="U54" s="19">
        <f>_xll.BDH("NBIX US Equity","CF_NET_CHNG_CASH","FQ2 2023","FQ2 2023","Currency=USD","Period=FQ","BEST_FPERIOD_OVERRIDE=FQ","FILING_STATUS=MR","SCALING_FORMAT=MLN","Sort=A","Dates=H","DateFormat=P","Fill=—","Direction=H","UseDPDF=Y")</f>
        <v>56.6</v>
      </c>
      <c r="V54" s="19">
        <f>_xll.BDH("NBIX US Equity","CF_NET_CHNG_CASH","FQ3 2023","FQ3 2023","Currency=USD","Period=FQ","BEST_FPERIOD_OVERRIDE=FQ","FILING_STATUS=MR","SCALING_FORMAT=MLN","Sort=A","Dates=H","DateFormat=P","Fill=—","Direction=H","UseDPDF=Y")</f>
        <v>133.5</v>
      </c>
      <c r="W54" s="19">
        <f>_xll.BDH("NBIX US Equity","CF_NET_CHNG_CASH","FQ4 2023","FQ4 2023","Currency=USD","Period=FQ","BEST_FPERIOD_OVERRIDE=FQ","FILING_STATUS=MR","SCALING_FORMAT=MLN","Sort=A","Dates=H","DateFormat=P","Fill=—","Direction=H","UseDPDF=Y")</f>
        <v>-42.6</v>
      </c>
      <c r="X54" s="19">
        <f>_xll.BDH("NBIX US Equity","CF_NET_CHNG_CASH","FQ1 2024","FQ1 2024","Currency=USD","Period=FQ","BEST_FPERIOD_OVERRIDE=FQ","FILING_STATUS=MR","SCALING_FORMAT=MLN","Sort=A","Dates=H","DateFormat=P","Fill=—","Direction=H","UseDPDF=Y")</f>
        <v>145.19999999999999</v>
      </c>
      <c r="Y54" s="19">
        <f>_xll.BDH("NBIX US Equity","CF_NET_CHNG_CASH","FQ2 2024","FQ2 2024","Currency=USD","Period=FQ","BEST_FPERIOD_OVERRIDE=FQ","FILING_STATUS=MR","SCALING_FORMAT=MLN","Sort=A","Dates=H","DateFormat=P","Fill=—","Direction=H","UseDPDF=Y")</f>
        <v>-256.60000000000002</v>
      </c>
      <c r="Z54" s="19">
        <f>_xll.BDH("NBIX US Equity","CF_NET_CHNG_CASH","FQ3 2024","FQ3 2024","Currency=USD","Period=FQ","BEST_FPERIOD_OVERRIDE=FQ","FILING_STATUS=MR","SCALING_FORMAT=MLN","Sort=A","Dates=H","DateFormat=P","Fill=—","Direction=H","UseDPDF=Y")</f>
        <v>209.4</v>
      </c>
      <c r="AA54" s="19">
        <f>_xll.BDH("NBIX US Equity","CF_NET_CHNG_CASH","FQ4 2024","FQ4 2024","Currency=USD","Period=FQ","BEST_FPERIOD_OVERRIDE=FQ","FILING_STATUS=MR","SCALING_FORMAT=MLN","Sort=A","Dates=H","DateFormat=P","Fill=—","Direction=H","UseDPDF=Y")</f>
        <v>-116.1</v>
      </c>
    </row>
    <row r="55" spans="1:27" x14ac:dyDescent="0.25">
      <c r="A55" s="6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2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6" t="s">
        <v>4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10" t="s">
        <v>78</v>
      </c>
      <c r="B58" s="10" t="s">
        <v>78</v>
      </c>
      <c r="C58" s="13">
        <f>_xll.BDH("NBIX US Equity","EBITDA","FQ4 2018","FQ4 2018","Currency=USD","Period=FQ","BEST_FPERIOD_OVERRIDE=FQ","FILING_STATUS=MR","SCALING_FORMAT=MLN","FA_ADJUSTED=GAAP","Sort=A","Dates=H","DateFormat=P","Fill=—","Direction=H","UseDPDF=Y")</f>
        <v>23.146000000000001</v>
      </c>
      <c r="D58" s="13">
        <f>_xll.BDH("NBIX US Equity","EBITDA","FQ1 2019","FQ1 2019","Currency=USD","Period=FQ","BEST_FPERIOD_OVERRIDE=FQ","FILING_STATUS=MR","SCALING_FORMAT=MLN","FA_ADJUSTED=GAAP","Sort=A","Dates=H","DateFormat=P","Fill=—","Direction=H","UseDPDF=Y")</f>
        <v>-97.531000000000006</v>
      </c>
      <c r="E58" s="13">
        <f>_xll.BDH("NBIX US Equity","EBITDA","FQ2 2019","FQ2 2019","Currency=USD","Period=FQ","BEST_FPERIOD_OVERRIDE=FQ","FILING_STATUS=MR","SCALING_FORMAT=MLN","FA_ADJUSTED=GAAP","Sort=A","Dates=H","DateFormat=P","Fill=—","Direction=H","UseDPDF=Y")</f>
        <v>38.247</v>
      </c>
      <c r="F58" s="13">
        <f>_xll.BDH("NBIX US Equity","EBITDA","FQ3 2019","FQ3 2019","Currency=USD","Period=FQ","BEST_FPERIOD_OVERRIDE=FQ","FILING_STATUS=MR","SCALING_FORMAT=MLN","FA_ADJUSTED=GAAP","Sort=A","Dates=H","DateFormat=P","Fill=—","Direction=H","UseDPDF=Y")</f>
        <v>94.106999999999999</v>
      </c>
      <c r="G58" s="13">
        <f>_xll.BDH("NBIX US Equity","EBITDA","FQ4 2019","FQ4 2019","Currency=USD","Period=FQ","BEST_FPERIOD_OVERRIDE=FQ","FILING_STATUS=MR","SCALING_FORMAT=MLN","FA_ADJUSTED=GAAP","Sort=A","Dates=H","DateFormat=P","Fill=—","Direction=H","UseDPDF=Y")</f>
        <v>53.039000000000001</v>
      </c>
      <c r="H58" s="13">
        <f>_xll.BDH("NBIX US Equity","EBITDA","FQ1 2020","FQ1 2020","Currency=USD","Period=FQ","BEST_FPERIOD_OVERRIDE=FQ","FILING_STATUS=MR","SCALING_FORMAT=MLN","FA_ADJUSTED=GAAP","Sort=A","Dates=H","DateFormat=P","Fill=—","Direction=H","UseDPDF=Y")</f>
        <v>63.5</v>
      </c>
      <c r="I58" s="13">
        <f>_xll.BDH("NBIX US Equity","EBITDA","FQ2 2020","FQ2 2020","Currency=USD","Period=FQ","BEST_FPERIOD_OVERRIDE=FQ","FILING_STATUS=MR","SCALING_FORMAT=MLN","FA_ADJUSTED=GAAP","Sort=A","Dates=H","DateFormat=P","Fill=—","Direction=H","UseDPDF=Y")</f>
        <v>81.2</v>
      </c>
      <c r="J58" s="13">
        <f>_xll.BDH("NBIX US Equity","EBITDA","FQ3 2020","FQ3 2020","Currency=USD","Period=FQ","BEST_FPERIOD_OVERRIDE=FQ","FILING_STATUS=MR","SCALING_FORMAT=MLN","FA_ADJUSTED=GAAP","Sort=A","Dates=H","DateFormat=P","Fill=—","Direction=H","UseDPDF=Y")</f>
        <v>-39.700000000000003</v>
      </c>
      <c r="K58" s="13">
        <f>_xll.BDH("NBIX US Equity","EBITDA","FQ4 2020","FQ4 2020","Currency=USD","Period=FQ","BEST_FPERIOD_OVERRIDE=FQ","FILING_STATUS=MR","SCALING_FORMAT=MLN","FA_ADJUSTED=GAAP","Sort=A","Dates=H","DateFormat=P","Fill=—","Direction=H","UseDPDF=Y")</f>
        <v>76.7</v>
      </c>
      <c r="L58" s="13">
        <f>_xll.BDH("NBIX US Equity","EBITDA","FQ1 2021","FQ1 2021","Currency=USD","Period=FQ","BEST_FPERIOD_OVERRIDE=FQ","FILING_STATUS=MR","SCALING_FORMAT=MLN","FA_ADJUSTED=GAAP","Sort=A","Dates=H","DateFormat=P","Fill=—","Direction=H","UseDPDF=Y")</f>
        <v>37.4</v>
      </c>
      <c r="M58" s="13">
        <f>_xll.BDH("NBIX US Equity","EBITDA","FQ2 2021","FQ2 2021","Currency=USD","Period=FQ","BEST_FPERIOD_OVERRIDE=FQ","FILING_STATUS=MR","SCALING_FORMAT=MLN","FA_ADJUSTED=GAAP","Sort=A","Dates=H","DateFormat=P","Fill=—","Direction=H","UseDPDF=Y")</f>
        <v>69.3</v>
      </c>
      <c r="N58" s="13">
        <f>_xll.BDH("NBIX US Equity","EBITDA","FQ3 2021","FQ3 2021","Currency=USD","Period=FQ","BEST_FPERIOD_OVERRIDE=FQ","FILING_STATUS=MR","SCALING_FORMAT=MLN","FA_ADJUSTED=GAAP","Sort=A","Dates=H","DateFormat=P","Fill=—","Direction=H","UseDPDF=Y")</f>
        <v>51.2</v>
      </c>
      <c r="O58" s="13">
        <f>_xll.BDH("NBIX US Equity","EBITDA","FQ4 2021","FQ4 2021","Currency=USD","Period=FQ","BEST_FPERIOD_OVERRIDE=FQ","FILING_STATUS=MR","SCALING_FORMAT=MLN","FA_ADJUSTED=GAAP","Sort=A","Dates=H","DateFormat=P","Fill=—","Direction=H","UseDPDF=Y")</f>
        <v>-29.2</v>
      </c>
      <c r="P58" s="13">
        <f>_xll.BDH("NBIX US Equity","EBITDA","FQ1 2022","FQ1 2022","Currency=USD","Period=FQ","BEST_FPERIOD_OVERRIDE=FQ","FILING_STATUS=MR","SCALING_FORMAT=MLN","FA_ADJUSTED=GAAP","Sort=A","Dates=H","DateFormat=P","Fill=—","Direction=H","UseDPDF=Y")</f>
        <v>10.5</v>
      </c>
      <c r="Q58" s="13">
        <f>_xll.BDH("NBIX US Equity","EBITDA","FQ2 2022","FQ2 2022","Currency=USD","Period=FQ","BEST_FPERIOD_OVERRIDE=FQ","FILING_STATUS=MR","SCALING_FORMAT=MLN","FA_ADJUSTED=GAAP","Sort=A","Dates=H","DateFormat=P","Fill=—","Direction=H","UseDPDF=Y")</f>
        <v>62.7</v>
      </c>
      <c r="R58" s="13">
        <f>_xll.BDH("NBIX US Equity","EBITDA","FQ3 2022","FQ3 2022","Currency=USD","Period=FQ","BEST_FPERIOD_OVERRIDE=FQ","FILING_STATUS=MR","SCALING_FORMAT=MLN","FA_ADJUSTED=GAAP","Sort=A","Dates=H","DateFormat=P","Fill=—","Direction=H","UseDPDF=Y")</f>
        <v>96.1</v>
      </c>
      <c r="S58" s="13">
        <f>_xll.BDH("NBIX US Equity","EBITDA","FQ4 2022","FQ4 2022","Currency=USD","Period=FQ","BEST_FPERIOD_OVERRIDE=FQ","FILING_STATUS=MR","SCALING_FORMAT=MLN","FA_ADJUSTED=GAAP","Sort=A","Dates=H","DateFormat=P","Fill=—","Direction=H","UseDPDF=Y")</f>
        <v>111.6</v>
      </c>
      <c r="T58" s="13">
        <f>_xll.BDH("NBIX US Equity","EBITDA","FQ1 2023","FQ1 2023","Currency=USD","Period=FQ","BEST_FPERIOD_OVERRIDE=FQ","FILING_STATUS=MR","SCALING_FORMAT=MLN","FA_ADJUSTED=GAAP","Sort=A","Dates=H","DateFormat=P","Fill=—","Direction=H","UseDPDF=Y")</f>
        <v>-105.1</v>
      </c>
      <c r="U58" s="13">
        <f>_xll.BDH("NBIX US Equity","EBITDA","FQ2 2023","FQ2 2023","Currency=USD","Period=FQ","BEST_FPERIOD_OVERRIDE=FQ","FILING_STATUS=MR","SCALING_FORMAT=MLN","FA_ADJUSTED=GAAP","Sort=A","Dates=H","DateFormat=P","Fill=—","Direction=H","UseDPDF=Y")</f>
        <v>82.8</v>
      </c>
      <c r="V58" s="13">
        <f>_xll.BDH("NBIX US Equity","EBITDA","FQ3 2023","FQ3 2023","Currency=USD","Period=FQ","BEST_FPERIOD_OVERRIDE=FQ","FILING_STATUS=MR","SCALING_FORMAT=MLN","FA_ADJUSTED=GAAP","Sort=A","Dates=H","DateFormat=P","Fill=—","Direction=H","UseDPDF=Y")</f>
        <v>150.5</v>
      </c>
      <c r="W58" s="13">
        <f>_xll.BDH("NBIX US Equity","EBITDA","FQ4 2023","FQ4 2023","Currency=USD","Period=FQ","BEST_FPERIOD_OVERRIDE=FQ","FILING_STATUS=MR","SCALING_FORMAT=MLN","FA_ADJUSTED=GAAP","Sort=A","Dates=H","DateFormat=P","Fill=—","Direction=H","UseDPDF=Y")</f>
        <v>160.4</v>
      </c>
      <c r="X58" s="13">
        <f>_xll.BDH("NBIX US Equity","EBITDA","FQ1 2024","FQ1 2024","Currency=USD","Period=FQ","BEST_FPERIOD_OVERRIDE=FQ","FILING_STATUS=MR","SCALING_FORMAT=MLN","FA_ADJUSTED=GAAP","Sort=A","Dates=H","DateFormat=P","Fill=—","Direction=H","UseDPDF=Y")</f>
        <v>114.5</v>
      </c>
      <c r="Y58" s="13">
        <f>_xll.BDH("NBIX US Equity","EBITDA","FQ2 2024","FQ2 2024","Currency=USD","Period=FQ","BEST_FPERIOD_OVERRIDE=FQ","FILING_STATUS=MR","SCALING_FORMAT=MLN","FA_ADJUSTED=GAAP","Sort=A","Dates=H","DateFormat=P","Fill=—","Direction=H","UseDPDF=Y")</f>
        <v>161.9</v>
      </c>
      <c r="Z58" s="13">
        <f>_xll.BDH("NBIX US Equity","EBITDA","FQ3 2024","FQ3 2024","Currency=USD","Period=FQ","BEST_FPERIOD_OVERRIDE=FQ","FILING_STATUS=MR","SCALING_FORMAT=MLN","FA_ADJUSTED=GAAP","Sort=A","Dates=H","DateFormat=P","Fill=—","Direction=H","UseDPDF=Y")</f>
        <v>199.1</v>
      </c>
      <c r="AA58" s="13">
        <f>_xll.BDH("NBIX US Equity","EBITDA","FQ4 2024","FQ4 2024","Currency=USD","Period=FQ","BEST_FPERIOD_OVERRIDE=FQ","FILING_STATUS=MR","SCALING_FORMAT=MLN","FA_ADJUSTED=GAAP","Sort=A","Dates=H","DateFormat=P","Fill=—","Direction=H","UseDPDF=Y")</f>
        <v>164.1</v>
      </c>
    </row>
    <row r="59" spans="1:27" x14ac:dyDescent="0.25">
      <c r="A59" s="10" t="s">
        <v>1159</v>
      </c>
      <c r="B59" s="10" t="s">
        <v>395</v>
      </c>
      <c r="C59" s="14">
        <f>_xll.BDH("NBIX US Equity","EBITDA_MARGIN","FQ4 2018","FQ4 2018","Currency=USD","Period=FQ","BEST_FPERIOD_OVERRIDE=FQ","FILING_STATUS=MR","FA_ADJUSTED=GAAP","Sort=A","Dates=H","DateFormat=P","Fill=—","Direction=H","UseDPDF=Y")</f>
        <v>9.0680999999999994</v>
      </c>
      <c r="D59" s="14">
        <f>_xll.BDH("NBIX US Equity","EBITDA_MARGIN","FQ1 2019","FQ1 2019","Currency=USD","Period=FQ","BEST_FPERIOD_OVERRIDE=FQ","FILING_STATUS=MR","FA_ADJUSTED=GAAP","Sort=A","Dates=H","DateFormat=P","Fill=—","Direction=H","UseDPDF=Y")</f>
        <v>-3.8473999999999999</v>
      </c>
      <c r="E59" s="14">
        <f>_xll.BDH("NBIX US Equity","EBITDA_MARGIN","FQ2 2019","FQ2 2019","Currency=USD","Period=FQ","BEST_FPERIOD_OVERRIDE=FQ","FILING_STATUS=MR","FA_ADJUSTED=GAAP","Sort=A","Dates=H","DateFormat=P","Fill=—","Direction=H","UseDPDF=Y")</f>
        <v>3.1831</v>
      </c>
      <c r="F59" s="14">
        <f>_xll.BDH("NBIX US Equity","EBITDA_MARGIN","FQ3 2019","FQ3 2019","Currency=USD","Period=FQ","BEST_FPERIOD_OVERRIDE=FQ","FILING_STATUS=MR","FA_ADJUSTED=GAAP","Sort=A","Dates=H","DateFormat=P","Fill=—","Direction=H","UseDPDF=Y")</f>
        <v>8.5808</v>
      </c>
      <c r="G59" s="14">
        <f>_xll.BDH("NBIX US Equity","EBITDA_MARGIN","FQ4 2019","FQ4 2019","Currency=USD","Period=FQ","BEST_FPERIOD_OVERRIDE=FQ","FILING_STATUS=MR","FA_ADJUSTED=GAAP","Sort=A","Dates=H","DateFormat=P","Fill=—","Direction=H","UseDPDF=Y")</f>
        <v>11.147500000000001</v>
      </c>
      <c r="H59" s="14">
        <f>_xll.BDH("NBIX US Equity","EBITDA_MARGIN","FQ1 2020","FQ1 2020","Currency=USD","Period=FQ","BEST_FPERIOD_OVERRIDE=FQ","FILING_STATUS=MR","FA_ADJUSTED=GAAP","Sort=A","Dates=H","DateFormat=P","Fill=—","Direction=H","UseDPDF=Y")</f>
        <v>28.0641</v>
      </c>
      <c r="I59" s="14">
        <f>_xll.BDH("NBIX US Equity","EBITDA_MARGIN","FQ2 2020","FQ2 2020","Currency=USD","Period=FQ","BEST_FPERIOD_OVERRIDE=FQ","FILING_STATUS=MR","FA_ADJUSTED=GAAP","Sort=A","Dates=H","DateFormat=P","Fill=—","Direction=H","UseDPDF=Y")</f>
        <v>29.019400000000001</v>
      </c>
      <c r="J59" s="14">
        <f>_xll.BDH("NBIX US Equity","EBITDA_MARGIN","FQ3 2020","FQ3 2020","Currency=USD","Period=FQ","BEST_FPERIOD_OVERRIDE=FQ","FILING_STATUS=MR","FA_ADJUSTED=GAAP","Sort=A","Dates=H","DateFormat=P","Fill=—","Direction=H","UseDPDF=Y")</f>
        <v>15.1654</v>
      </c>
      <c r="K59" s="14">
        <f>_xll.BDH("NBIX US Equity","EBITDA_MARGIN","FQ4 2020","FQ4 2020","Currency=USD","Period=FQ","BEST_FPERIOD_OVERRIDE=FQ","FILING_STATUS=MR","FA_ADJUSTED=GAAP","Sort=A","Dates=H","DateFormat=P","Fill=—","Direction=H","UseDPDF=Y")</f>
        <v>17.372599999999998</v>
      </c>
      <c r="L59" s="14">
        <f>_xll.BDH("NBIX US Equity","EBITDA_MARGIN","FQ1 2021","FQ1 2021","Currency=USD","Period=FQ","BEST_FPERIOD_OVERRIDE=FQ","FILING_STATUS=MR","FA_ADJUSTED=GAAP","Sort=A","Dates=H","DateFormat=P","Fill=—","Direction=H","UseDPDF=Y")</f>
        <v>14.8843</v>
      </c>
      <c r="M59" s="14">
        <f>_xll.BDH("NBIX US Equity","EBITDA_MARGIN","FQ2 2021","FQ2 2021","Currency=USD","Period=FQ","BEST_FPERIOD_OVERRIDE=FQ","FILING_STATUS=MR","FA_ADJUSTED=GAAP","Sort=A","Dates=H","DateFormat=P","Fill=—","Direction=H","UseDPDF=Y")</f>
        <v>13.925800000000001</v>
      </c>
      <c r="N59" s="14">
        <f>_xll.BDH("NBIX US Equity","EBITDA_MARGIN","FQ3 2021","FQ3 2021","Currency=USD","Period=FQ","BEST_FPERIOD_OVERRIDE=FQ","FILING_STATUS=MR","FA_ADJUSTED=GAAP","Sort=A","Dates=H","DateFormat=P","Fill=—","Direction=H","UseDPDF=Y")</f>
        <v>21.9375</v>
      </c>
      <c r="O59" s="14">
        <f>_xll.BDH("NBIX US Equity","EBITDA_MARGIN","FQ4 2021","FQ4 2021","Currency=USD","Period=FQ","BEST_FPERIOD_OVERRIDE=FQ","FILING_STATUS=MR","FA_ADJUSTED=GAAP","Sort=A","Dates=H","DateFormat=P","Fill=—","Direction=H","UseDPDF=Y")</f>
        <v>11.354200000000001</v>
      </c>
      <c r="P59" s="14">
        <f>_xll.BDH("NBIX US Equity","EBITDA_MARGIN","FQ1 2022","FQ1 2022","Currency=USD","Period=FQ","BEST_FPERIOD_OVERRIDE=FQ","FILING_STATUS=MR","FA_ADJUSTED=GAAP","Sort=A","Dates=H","DateFormat=P","Fill=—","Direction=H","UseDPDF=Y")</f>
        <v>8.4306000000000001</v>
      </c>
      <c r="Q59" s="14">
        <f>_xll.BDH("NBIX US Equity","EBITDA_MARGIN","FQ2 2022","FQ2 2022","Currency=USD","Period=FQ","BEST_FPERIOD_OVERRIDE=FQ","FILING_STATUS=MR","FA_ADJUSTED=GAAP","Sort=A","Dates=H","DateFormat=P","Fill=—","Direction=H","UseDPDF=Y")</f>
        <v>7.3411</v>
      </c>
      <c r="R59" s="14">
        <f>_xll.BDH("NBIX US Equity","EBITDA_MARGIN","FQ3 2022","FQ3 2022","Currency=USD","Period=FQ","BEST_FPERIOD_OVERRIDE=FQ","FILING_STATUS=MR","FA_ADJUSTED=GAAP","Sort=A","Dates=H","DateFormat=P","Fill=—","Direction=H","UseDPDF=Y")</f>
        <v>10.0886</v>
      </c>
      <c r="S59" s="14">
        <f>_xll.BDH("NBIX US Equity","EBITDA_MARGIN","FQ4 2022","FQ4 2022","Currency=USD","Period=FQ","BEST_FPERIOD_OVERRIDE=FQ","FILING_STATUS=MR","FA_ADJUSTED=GAAP","Sort=A","Dates=H","DateFormat=P","Fill=—","Direction=H","UseDPDF=Y")</f>
        <v>18.8688</v>
      </c>
      <c r="T59" s="14">
        <f>_xll.BDH("NBIX US Equity","EBITDA_MARGIN","FQ1 2023","FQ1 2023","Currency=USD","Period=FQ","BEST_FPERIOD_OVERRIDE=FQ","FILING_STATUS=MR","FA_ADJUSTED=GAAP","Sort=A","Dates=H","DateFormat=P","Fill=—","Direction=H","UseDPDF=Y")</f>
        <v>10.3409</v>
      </c>
      <c r="U59" s="14">
        <f>_xll.BDH("NBIX US Equity","EBITDA_MARGIN","FQ2 2023","FQ2 2023","Currency=USD","Period=FQ","BEST_FPERIOD_OVERRIDE=FQ","FILING_STATUS=MR","FA_ADJUSTED=GAAP","Sort=A","Dates=H","DateFormat=P","Fill=—","Direction=H","UseDPDF=Y")</f>
        <v>11.081899999999999</v>
      </c>
      <c r="V59" s="14">
        <f>_xll.BDH("NBIX US Equity","EBITDA_MARGIN","FQ3 2023","FQ3 2023","Currency=USD","Period=FQ","BEST_FPERIOD_OVERRIDE=FQ","FILING_STATUS=MR","FA_ADJUSTED=GAAP","Sort=A","Dates=H","DateFormat=P","Fill=—","Direction=H","UseDPDF=Y")</f>
        <v>13.442500000000001</v>
      </c>
      <c r="W59" s="14">
        <f>_xll.BDH("NBIX US Equity","EBITDA_MARGIN","FQ4 2023","FQ4 2023","Currency=USD","Period=FQ","BEST_FPERIOD_OVERRIDE=FQ","FILING_STATUS=MR","FA_ADJUSTED=GAAP","Sort=A","Dates=H","DateFormat=P","Fill=—","Direction=H","UseDPDF=Y")</f>
        <v>15.2933</v>
      </c>
      <c r="X59" s="14">
        <f>_xll.BDH("NBIX US Equity","EBITDA_MARGIN","FQ1 2024","FQ1 2024","Currency=USD","Period=FQ","BEST_FPERIOD_OVERRIDE=FQ","FILING_STATUS=MR","FA_ADJUSTED=GAAP","Sort=A","Dates=H","DateFormat=P","Fill=—","Direction=H","UseDPDF=Y")</f>
        <v>25.640799999999999</v>
      </c>
      <c r="Y59" s="14">
        <f>_xll.BDH("NBIX US Equity","EBITDA_MARGIN","FQ2 2024","FQ2 2024","Currency=USD","Period=FQ","BEST_FPERIOD_OVERRIDE=FQ","FILING_STATUS=MR","FA_ADJUSTED=GAAP","Sort=A","Dates=H","DateFormat=P","Fill=—","Direction=H","UseDPDF=Y")</f>
        <v>27.709399999999999</v>
      </c>
      <c r="Z59" s="14">
        <f>_xll.BDH("NBIX US Equity","EBITDA_MARGIN","FQ3 2024","FQ3 2024","Currency=USD","Period=FQ","BEST_FPERIOD_OVERRIDE=FQ","FILING_STATUS=MR","FA_ADJUSTED=GAAP","Sort=A","Dates=H","DateFormat=P","Fill=—","Direction=H","UseDPDF=Y")</f>
        <v>28.353000000000002</v>
      </c>
      <c r="AA59" s="14">
        <f>_xll.BDH("NBIX US Equity","EBITDA_MARGIN","FQ4 2024","FQ4 2024","Currency=USD","Period=FQ","BEST_FPERIOD_OVERRIDE=FQ","FILING_STATUS=MR","FA_ADJUSTED=GAAP","Sort=A","Dates=H","DateFormat=P","Fill=—","Direction=H","UseDPDF=Y")</f>
        <v>27.155799999999999</v>
      </c>
    </row>
    <row r="60" spans="1:27" x14ac:dyDescent="0.25">
      <c r="A60" s="10" t="s">
        <v>88</v>
      </c>
      <c r="B60" s="10" t="s">
        <v>89</v>
      </c>
      <c r="C60" s="13">
        <f>_xll.BDH("NBIX US Equity","CF_FREE_CASH_FLOW","FQ4 2018","FQ4 2018","Currency=USD","Period=FQ","BEST_FPERIOD_OVERRIDE=FQ","FILING_STATUS=MR","SCALING_FORMAT=MLN","Sort=A","Dates=H","DateFormat=P","Fill=—","Direction=H","UseDPDF=Y")</f>
        <v>44.444000000000003</v>
      </c>
      <c r="D60" s="13">
        <f>_xll.BDH("NBIX US Equity","CF_FREE_CASH_FLOW","FQ1 2019","FQ1 2019","Currency=USD","Period=FQ","BEST_FPERIOD_OVERRIDE=FQ","FILING_STATUS=MR","SCALING_FORMAT=MLN","Sort=A","Dates=H","DateFormat=P","Fill=—","Direction=H","UseDPDF=Y")</f>
        <v>-116.43</v>
      </c>
      <c r="E60" s="13">
        <f>_xll.BDH("NBIX US Equity","CF_FREE_CASH_FLOW","FQ2 2019","FQ2 2019","Currency=USD","Period=FQ","BEST_FPERIOD_OVERRIDE=FQ","FILING_STATUS=MR","SCALING_FORMAT=MLN","Sort=A","Dates=H","DateFormat=P","Fill=—","Direction=H","UseDPDF=Y")</f>
        <v>59.713000000000001</v>
      </c>
      <c r="F60" s="13">
        <f>_xll.BDH("NBIX US Equity","CF_FREE_CASH_FLOW","FQ3 2019","FQ3 2019","Currency=USD","Period=FQ","BEST_FPERIOD_OVERRIDE=FQ","FILING_STATUS=MR","SCALING_FORMAT=MLN","Sort=A","Dates=H","DateFormat=P","Fill=—","Direction=H","UseDPDF=Y")</f>
        <v>94.281999999999996</v>
      </c>
      <c r="G60" s="13">
        <f>_xll.BDH("NBIX US Equity","CF_FREE_CASH_FLOW","FQ4 2019","FQ4 2019","Currency=USD","Period=FQ","BEST_FPERIOD_OVERRIDE=FQ","FILING_STATUS=MR","SCALING_FORMAT=MLN","Sort=A","Dates=H","DateFormat=P","Fill=—","Direction=H","UseDPDF=Y")</f>
        <v>94.727000000000004</v>
      </c>
      <c r="H60" s="13">
        <f>_xll.BDH("NBIX US Equity","CF_FREE_CASH_FLOW","FQ1 2020","FQ1 2020","Currency=USD","Period=FQ","BEST_FPERIOD_OVERRIDE=FQ","FILING_STATUS=MR","SCALING_FORMAT=MLN","Sort=A","Dates=H","DateFormat=P","Fill=—","Direction=H","UseDPDF=Y")</f>
        <v>34.200000000000003</v>
      </c>
      <c r="I60" s="13">
        <f>_xll.BDH("NBIX US Equity","CF_FREE_CASH_FLOW","FQ2 2020","FQ2 2020","Currency=USD","Period=FQ","BEST_FPERIOD_OVERRIDE=FQ","FILING_STATUS=MR","SCALING_FORMAT=MLN","Sort=A","Dates=H","DateFormat=P","Fill=—","Direction=H","UseDPDF=Y")</f>
        <v>114.2</v>
      </c>
      <c r="J60" s="13">
        <f>_xll.BDH("NBIX US Equity","CF_FREE_CASH_FLOW","FQ3 2020","FQ3 2020","Currency=USD","Period=FQ","BEST_FPERIOD_OVERRIDE=FQ","FILING_STATUS=MR","SCALING_FORMAT=MLN","Sort=A","Dates=H","DateFormat=P","Fill=—","Direction=H","UseDPDF=Y")</f>
        <v>-20.8</v>
      </c>
      <c r="K60" s="13">
        <f>_xll.BDH("NBIX US Equity","CF_FREE_CASH_FLOW","FQ4 2020","FQ4 2020","Currency=USD","Period=FQ","BEST_FPERIOD_OVERRIDE=FQ","FILING_STATUS=MR","SCALING_FORMAT=MLN","Sort=A","Dates=H","DateFormat=P","Fill=—","Direction=H","UseDPDF=Y")</f>
        <v>90</v>
      </c>
      <c r="L60" s="13">
        <f>_xll.BDH("NBIX US Equity","CF_FREE_CASH_FLOW","FQ1 2021","FQ1 2021","Currency=USD","Period=FQ","BEST_FPERIOD_OVERRIDE=FQ","FILING_STATUS=MR","SCALING_FORMAT=MLN","Sort=A","Dates=H","DateFormat=P","Fill=—","Direction=H","UseDPDF=Y")</f>
        <v>82.8</v>
      </c>
      <c r="M60" s="13">
        <f>_xll.BDH("NBIX US Equity","CF_FREE_CASH_FLOW","FQ2 2021","FQ2 2021","Currency=USD","Period=FQ","BEST_FPERIOD_OVERRIDE=FQ","FILING_STATUS=MR","SCALING_FORMAT=MLN","Sort=A","Dates=H","DateFormat=P","Fill=—","Direction=H","UseDPDF=Y")</f>
        <v>98.9</v>
      </c>
      <c r="N60" s="13">
        <f>_xll.BDH("NBIX US Equity","CF_FREE_CASH_FLOW","FQ3 2021","FQ3 2021","Currency=USD","Period=FQ","BEST_FPERIOD_OVERRIDE=FQ","FILING_STATUS=MR","SCALING_FORMAT=MLN","Sort=A","Dates=H","DateFormat=P","Fill=—","Direction=H","UseDPDF=Y")</f>
        <v>56.1</v>
      </c>
      <c r="O60" s="13">
        <f>_xll.BDH("NBIX US Equity","CF_FREE_CASH_FLOW","FQ4 2021","FQ4 2021","Currency=USD","Period=FQ","BEST_FPERIOD_OVERRIDE=FQ","FILING_STATUS=MR","SCALING_FORMAT=MLN","Sort=A","Dates=H","DateFormat=P","Fill=—","Direction=H","UseDPDF=Y")</f>
        <v>-4.7</v>
      </c>
      <c r="P60" s="13">
        <f>_xll.BDH("NBIX US Equity","CF_FREE_CASH_FLOW","FQ1 2022","FQ1 2022","Currency=USD","Period=FQ","BEST_FPERIOD_OVERRIDE=FQ","FILING_STATUS=MR","SCALING_FORMAT=MLN","Sort=A","Dates=H","DateFormat=P","Fill=—","Direction=H","UseDPDF=Y")</f>
        <v>-48.1</v>
      </c>
      <c r="Q60" s="13">
        <f>_xll.BDH("NBIX US Equity","CF_FREE_CASH_FLOW","FQ2 2022","FQ2 2022","Currency=USD","Period=FQ","BEST_FPERIOD_OVERRIDE=FQ","FILING_STATUS=MR","SCALING_FORMAT=MLN","Sort=A","Dates=H","DateFormat=P","Fill=—","Direction=H","UseDPDF=Y")</f>
        <v>129.30000000000001</v>
      </c>
      <c r="R60" s="13" t="str">
        <f>_xll.BDH("NBIX US Equity","CF_FREE_CASH_FLOW","FQ3 2022","FQ3 2022","Currency=USD","Period=FQ","BEST_FPERIOD_OVERRIDE=FQ","FILING_STATUS=MR","SCALING_FORMAT=MLN","Sort=A","Dates=H","DateFormat=P","Fill=—","Direction=H","UseDPDF=Y")</f>
        <v>—</v>
      </c>
      <c r="S60" s="13">
        <f>_xll.BDH("NBIX US Equity","CF_FREE_CASH_FLOW","FQ4 2022","FQ4 2022","Currency=USD","Period=FQ","BEST_FPERIOD_OVERRIDE=FQ","FILING_STATUS=MR","SCALING_FORMAT=MLN","Sort=A","Dates=H","DateFormat=P","Fill=—","Direction=H","UseDPDF=Y")</f>
        <v>141.19999999999999</v>
      </c>
      <c r="T60" s="13">
        <f>_xll.BDH("NBIX US Equity","CF_FREE_CASH_FLOW","FQ1 2023","FQ1 2023","Currency=USD","Period=FQ","BEST_FPERIOD_OVERRIDE=FQ","FILING_STATUS=MR","SCALING_FORMAT=MLN","Sort=A","Dates=H","DateFormat=P","Fill=—","Direction=H","UseDPDF=Y")</f>
        <v>-133.69999999999999</v>
      </c>
      <c r="U60" s="13">
        <f>_xll.BDH("NBIX US Equity","CF_FREE_CASH_FLOW","FQ2 2023","FQ2 2023","Currency=USD","Period=FQ","BEST_FPERIOD_OVERRIDE=FQ","FILING_STATUS=MR","SCALING_FORMAT=MLN","Sort=A","Dates=H","DateFormat=P","Fill=—","Direction=H","UseDPDF=Y")</f>
        <v>172.8</v>
      </c>
      <c r="V60" s="13">
        <f>_xll.BDH("NBIX US Equity","CF_FREE_CASH_FLOW","FQ3 2023","FQ3 2023","Currency=USD","Period=FQ","BEST_FPERIOD_OVERRIDE=FQ","FILING_STATUS=MR","SCALING_FORMAT=MLN","Sort=A","Dates=H","DateFormat=P","Fill=—","Direction=H","UseDPDF=Y")</f>
        <v>204.4</v>
      </c>
      <c r="W60" s="13">
        <f>_xll.BDH("NBIX US Equity","CF_FREE_CASH_FLOW","FQ4 2023","FQ4 2023","Currency=USD","Period=FQ","BEST_FPERIOD_OVERRIDE=FQ","FILING_STATUS=MR","SCALING_FORMAT=MLN","Sort=A","Dates=H","DateFormat=P","Fill=—","Direction=H","UseDPDF=Y")</f>
        <v>118.1</v>
      </c>
      <c r="X60" s="13">
        <f>_xll.BDH("NBIX US Equity","CF_FREE_CASH_FLOW","FQ1 2024","FQ1 2024","Currency=USD","Period=FQ","BEST_FPERIOD_OVERRIDE=FQ","FILING_STATUS=MR","SCALING_FORMAT=MLN","Sort=A","Dates=H","DateFormat=P","Fill=—","Direction=H","UseDPDF=Y")</f>
        <v>119.1</v>
      </c>
      <c r="Y60" s="13">
        <f>_xll.BDH("NBIX US Equity","CF_FREE_CASH_FLOW","FQ2 2024","FQ2 2024","Currency=USD","Period=FQ","BEST_FPERIOD_OVERRIDE=FQ","FILING_STATUS=MR","SCALING_FORMAT=MLN","Sort=A","Dates=H","DateFormat=P","Fill=—","Direction=H","UseDPDF=Y")</f>
        <v>53</v>
      </c>
      <c r="Z60" s="13">
        <f>_xll.BDH("NBIX US Equity","CF_FREE_CASH_FLOW","FQ3 2024","FQ3 2024","Currency=USD","Period=FQ","BEST_FPERIOD_OVERRIDE=FQ","FILING_STATUS=MR","SCALING_FORMAT=MLN","Sort=A","Dates=H","DateFormat=P","Fill=—","Direction=H","UseDPDF=Y")</f>
        <v>149.9</v>
      </c>
      <c r="AA60" s="13">
        <f>_xll.BDH("NBIX US Equity","CF_FREE_CASH_FLOW","FQ4 2024","FQ4 2024","Currency=USD","Period=FQ","BEST_FPERIOD_OVERRIDE=FQ","FILING_STATUS=MR","SCALING_FORMAT=MLN","Sort=A","Dates=H","DateFormat=P","Fill=—","Direction=H","UseDPDF=Y")</f>
        <v>235.2</v>
      </c>
    </row>
    <row r="61" spans="1:27" x14ac:dyDescent="0.25">
      <c r="A61" s="10" t="s">
        <v>1160</v>
      </c>
      <c r="B61" s="10" t="s">
        <v>1161</v>
      </c>
      <c r="C61" s="13">
        <f>_xll.BDH("NBIX US Equity","CF_FREE_CASH_FLOW_FIRM","FQ4 2018","FQ4 2018","Currency=USD","Period=FQ","BEST_FPERIOD_OVERRIDE=FQ","FILING_STATUS=MR","SCALING_FORMAT=MLN","FA_ADJUSTED=GAAP","Sort=A","Dates=H","DateFormat=P","Fill=—","Direction=H","UseDPDF=Y")</f>
        <v>51.905700000000003</v>
      </c>
      <c r="D61" s="13" t="str">
        <f>_xll.BDH("NBIX US Equity","CF_FREE_CASH_FLOW_FIRM","FQ1 2019","FQ1 2019","Currency=USD","Period=FQ","BEST_FPERIOD_OVERRIDE=FQ","FILING_STATUS=MR","SCALING_FORMAT=MLN","FA_ADJUSTED=GAAP","Sort=A","Dates=H","DateFormat=P","Fill=—","Direction=H","UseDPDF=Y")</f>
        <v>—</v>
      </c>
      <c r="E61" s="13">
        <f>_xll.BDH("NBIX US Equity","CF_FREE_CASH_FLOW_FIRM","FQ2 2019","FQ2 2019","Currency=USD","Period=FQ","BEST_FPERIOD_OVERRIDE=FQ","FILING_STATUS=MR","SCALING_FORMAT=MLN","FA_ADJUSTED=GAAP","Sort=A","Dates=H","DateFormat=P","Fill=—","Direction=H","UseDPDF=Y")</f>
        <v>67.540199999999999</v>
      </c>
      <c r="F61" s="13">
        <f>_xll.BDH("NBIX US Equity","CF_FREE_CASH_FLOW_FIRM","FQ3 2019","FQ3 2019","Currency=USD","Period=FQ","BEST_FPERIOD_OVERRIDE=FQ","FILING_STATUS=MR","SCALING_FORMAT=MLN","FA_ADJUSTED=GAAP","Sort=A","Dates=H","DateFormat=P","Fill=—","Direction=H","UseDPDF=Y")</f>
        <v>101.6845</v>
      </c>
      <c r="G61" s="13">
        <f>_xll.BDH("NBIX US Equity","CF_FREE_CASH_FLOW_FIRM","FQ4 2019","FQ4 2019","Currency=USD","Period=FQ","BEST_FPERIOD_OVERRIDE=FQ","FILING_STATUS=MR","SCALING_FORMAT=MLN","FA_ADJUSTED=GAAP","Sort=A","Dates=H","DateFormat=P","Fill=—","Direction=H","UseDPDF=Y")</f>
        <v>101.9498</v>
      </c>
      <c r="H61" s="13">
        <f>_xll.BDH("NBIX US Equity","CF_FREE_CASH_FLOW_FIRM","FQ1 2020","FQ1 2020","Currency=USD","Period=FQ","BEST_FPERIOD_OVERRIDE=FQ","FILING_STATUS=MR","SCALING_FORMAT=MLN","FA_ADJUSTED=GAAP","Sort=A","Dates=H","DateFormat=P","Fill=—","Direction=H","UseDPDF=Y")</f>
        <v>42.083799999999997</v>
      </c>
      <c r="I61" s="13">
        <f>_xll.BDH("NBIX US Equity","CF_FREE_CASH_FLOW_FIRM","FQ2 2020","FQ2 2020","Currency=USD","Period=FQ","BEST_FPERIOD_OVERRIDE=FQ","FILING_STATUS=MR","SCALING_FORMAT=MLN","FA_ADJUSTED=GAAP","Sort=A","Dates=H","DateFormat=P","Fill=—","Direction=H","UseDPDF=Y")</f>
        <v>122.1409</v>
      </c>
      <c r="J61" s="13">
        <f>_xll.BDH("NBIX US Equity","CF_FREE_CASH_FLOW_FIRM","FQ3 2020","FQ3 2020","Currency=USD","Period=FQ","BEST_FPERIOD_OVERRIDE=FQ","FILING_STATUS=MR","SCALING_FORMAT=MLN","FA_ADJUSTED=GAAP","Sort=A","Dates=H","DateFormat=P","Fill=—","Direction=H","UseDPDF=Y")</f>
        <v>-13.136900000000001</v>
      </c>
      <c r="K61" s="13" t="str">
        <f>_xll.BDH("NBIX US Equity","CF_FREE_CASH_FLOW_FIRM","FQ4 2020","FQ4 2020","Currency=USD","Period=FQ","BEST_FPERIOD_OVERRIDE=FQ","FILING_STATUS=MR","SCALING_FORMAT=MLN","FA_ADJUSTED=GAAP","Sort=A","Dates=H","DateFormat=P","Fill=—","Direction=H","UseDPDF=Y")</f>
        <v>—</v>
      </c>
      <c r="L61" s="13" t="str">
        <f>_xll.BDH("NBIX US Equity","CF_FREE_CASH_FLOW_FIRM","FQ1 2021","FQ1 2021","Currency=USD","Period=FQ","BEST_FPERIOD_OVERRIDE=FQ","FILING_STATUS=MR","SCALING_FORMAT=MLN","FA_ADJUSTED=GAAP","Sort=A","Dates=H","DateFormat=P","Fill=—","Direction=H","UseDPDF=Y")</f>
        <v>—</v>
      </c>
      <c r="M61" s="13">
        <f>_xll.BDH("NBIX US Equity","CF_FREE_CASH_FLOW_FIRM","FQ2 2021","FQ2 2021","Currency=USD","Period=FQ","BEST_FPERIOD_OVERRIDE=FQ","FILING_STATUS=MR","SCALING_FORMAT=MLN","FA_ADJUSTED=GAAP","Sort=A","Dates=H","DateFormat=P","Fill=—","Direction=H","UseDPDF=Y")</f>
        <v>103.461</v>
      </c>
      <c r="N61" s="13">
        <f>_xll.BDH("NBIX US Equity","CF_FREE_CASH_FLOW_FIRM","FQ3 2021","FQ3 2021","Currency=USD","Period=FQ","BEST_FPERIOD_OVERRIDE=FQ","FILING_STATUS=MR","SCALING_FORMAT=MLN","FA_ADJUSTED=GAAP","Sort=A","Dates=H","DateFormat=P","Fill=—","Direction=H","UseDPDF=Y")</f>
        <v>60.968899999999998</v>
      </c>
      <c r="O61" s="13">
        <f>_xll.BDH("NBIX US Equity","CF_FREE_CASH_FLOW_FIRM","FQ4 2021","FQ4 2021","Currency=USD","Period=FQ","BEST_FPERIOD_OVERRIDE=FQ","FILING_STATUS=MR","SCALING_FORMAT=MLN","FA_ADJUSTED=GAAP","Sort=A","Dates=H","DateFormat=P","Fill=—","Direction=H","UseDPDF=Y")</f>
        <v>1.1319999999999999</v>
      </c>
      <c r="P61" s="13">
        <f>_xll.BDH("NBIX US Equity","CF_FREE_CASH_FLOW_FIRM","FQ1 2022","FQ1 2022","Currency=USD","Period=FQ","BEST_FPERIOD_OVERRIDE=FQ","FILING_STATUS=MR","SCALING_FORMAT=MLN","FA_ADJUSTED=GAAP","Sort=A","Dates=H","DateFormat=P","Fill=—","Direction=H","UseDPDF=Y")</f>
        <v>-46.411200000000001</v>
      </c>
      <c r="Q61" s="13">
        <f>_xll.BDH("NBIX US Equity","CF_FREE_CASH_FLOW_FIRM","FQ2 2022","FQ2 2022","Currency=USD","Period=FQ","BEST_FPERIOD_OVERRIDE=FQ","FILING_STATUS=MR","SCALING_FORMAT=MLN","FA_ADJUSTED=GAAP","Sort=A","Dates=H","DateFormat=P","Fill=—","Direction=H","UseDPDF=Y")</f>
        <v>131.11349999999999</v>
      </c>
      <c r="R61" s="13" t="str">
        <f>_xll.BDH("NBIX US Equity","CF_FREE_CASH_FLOW_FIRM","FQ3 2022","FQ3 2022","Currency=USD","Period=FQ","BEST_FPERIOD_OVERRIDE=FQ","FILING_STATUS=MR","SCALING_FORMAT=MLN","FA_ADJUSTED=GAAP","Sort=A","Dates=H","DateFormat=P","Fill=—","Direction=H","UseDPDF=Y")</f>
        <v>—</v>
      </c>
      <c r="S61" s="13">
        <f>_xll.BDH("NBIX US Equity","CF_FREE_CASH_FLOW_FIRM","FQ4 2022","FQ4 2022","Currency=USD","Period=FQ","BEST_FPERIOD_OVERRIDE=FQ","FILING_STATUS=MR","SCALING_FORMAT=MLN","FA_ADJUSTED=GAAP","Sort=A","Dates=H","DateFormat=P","Fill=—","Direction=H","UseDPDF=Y")</f>
        <v>142.03039999999999</v>
      </c>
      <c r="T61" s="13">
        <f>_xll.BDH("NBIX US Equity","CF_FREE_CASH_FLOW_FIRM","FQ1 2023","FQ1 2023","Currency=USD","Period=FQ","BEST_FPERIOD_OVERRIDE=FQ","FILING_STATUS=MR","SCALING_FORMAT=MLN","FA_ADJUSTED=GAAP","Sort=A","Dates=H","DateFormat=P","Fill=—","Direction=H","UseDPDF=Y")</f>
        <v>-132.91079999999999</v>
      </c>
      <c r="U61" s="13">
        <f>_xll.BDH("NBIX US Equity","CF_FREE_CASH_FLOW_FIRM","FQ2 2023","FQ2 2023","Currency=USD","Period=FQ","BEST_FPERIOD_OVERRIDE=FQ","FILING_STATUS=MR","SCALING_FORMAT=MLN","FA_ADJUSTED=GAAP","Sort=A","Dates=H","DateFormat=P","Fill=—","Direction=H","UseDPDF=Y")</f>
        <v>173.821</v>
      </c>
      <c r="V61" s="13">
        <f>_xll.BDH("NBIX US Equity","CF_FREE_CASH_FLOW_FIRM","FQ3 2023","FQ3 2023","Currency=USD","Period=FQ","BEST_FPERIOD_OVERRIDE=FQ","FILING_STATUS=MR","SCALING_FORMAT=MLN","FA_ADJUSTED=GAAP","Sort=A","Dates=H","DateFormat=P","Fill=—","Direction=H","UseDPDF=Y")</f>
        <v>205.19069999999999</v>
      </c>
      <c r="W61" s="13">
        <f>_xll.BDH("NBIX US Equity","CF_FREE_CASH_FLOW_FIRM","FQ4 2023","FQ4 2023","Currency=USD","Period=FQ","BEST_FPERIOD_OVERRIDE=FQ","FILING_STATUS=MR","SCALING_FORMAT=MLN","FA_ADJUSTED=GAAP","Sort=A","Dates=H","DateFormat=P","Fill=—","Direction=H","UseDPDF=Y")</f>
        <v>118.91970000000001</v>
      </c>
      <c r="X61" s="13">
        <f>_xll.BDH("NBIX US Equity","CF_FREE_CASH_FLOW_FIRM","FQ1 2024","FQ1 2024","Currency=USD","Period=FQ","BEST_FPERIOD_OVERRIDE=FQ","FILING_STATUS=MR","SCALING_FORMAT=MLN","FA_ADJUSTED=GAAP","Sort=A","Dates=H","DateFormat=P","Fill=—","Direction=H","UseDPDF=Y")</f>
        <v>119.9654</v>
      </c>
      <c r="Y61" s="13" t="str">
        <f>_xll.BDH("NBIX US Equity","CF_FREE_CASH_FLOW_FIRM","FQ2 2024","FQ2 2024","Currency=USD","Period=FQ","BEST_FPERIOD_OVERRIDE=FQ","FILING_STATUS=MR","SCALING_FORMAT=MLN","FA_ADJUSTED=GAAP","Sort=A","Dates=H","DateFormat=P","Fill=—","Direction=H","UseDPDF=Y")</f>
        <v>—</v>
      </c>
      <c r="Z61" s="13" t="str">
        <f>_xll.BDH("NBIX US Equity","CF_FREE_CASH_FLOW_FIRM","FQ3 2024","FQ3 2024","Currency=USD","Period=FQ","BEST_FPERIOD_OVERRIDE=FQ","FILING_STATUS=MR","SCALING_FORMAT=MLN","FA_ADJUSTED=GAAP","Sort=A","Dates=H","DateFormat=P","Fill=—","Direction=H","UseDPDF=Y")</f>
        <v>—</v>
      </c>
      <c r="AA61" s="13" t="str">
        <f>_xll.BDH("NBIX US Equity","CF_FREE_CASH_FLOW_FIRM","FQ4 2024","FQ4 2024","Currency=USD","Period=FQ","BEST_FPERIOD_OVERRIDE=FQ","FILING_STATUS=MR","SCALING_FORMAT=MLN","FA_ADJUSTED=GAAP","Sort=A","Dates=H","DateFormat=P","Fill=—","Direction=H","UseDPDF=Y")</f>
        <v>—</v>
      </c>
    </row>
    <row r="62" spans="1:27" x14ac:dyDescent="0.25">
      <c r="A62" s="10" t="s">
        <v>1162</v>
      </c>
      <c r="B62" s="10" t="s">
        <v>1163</v>
      </c>
      <c r="C62" s="13">
        <f>_xll.BDH("NBIX US Equity","FREE_CASH_FLOW_EQUITY","FQ4 2018","FQ4 2018","Currency=USD","Period=FQ","BEST_FPERIOD_OVERRIDE=FQ","FILING_STATUS=MR","SCALING_FORMAT=MLN","Sort=A","Dates=H","DateFormat=P","Fill=—","Direction=H","UseDPDF=Y")</f>
        <v>44.448</v>
      </c>
      <c r="D62" s="13">
        <f>_xll.BDH("NBIX US Equity","FREE_CASH_FLOW_EQUITY","FQ1 2019","FQ1 2019","Currency=USD","Period=FQ","BEST_FPERIOD_OVERRIDE=FQ","FILING_STATUS=MR","SCALING_FORMAT=MLN","Sort=A","Dates=H","DateFormat=P","Fill=—","Direction=H","UseDPDF=Y")</f>
        <v>-116.426</v>
      </c>
      <c r="E62" s="13">
        <f>_xll.BDH("NBIX US Equity","FREE_CASH_FLOW_EQUITY","FQ2 2019","FQ2 2019","Currency=USD","Period=FQ","BEST_FPERIOD_OVERRIDE=FQ","FILING_STATUS=MR","SCALING_FORMAT=MLN","Sort=A","Dates=H","DateFormat=P","Fill=—","Direction=H","UseDPDF=Y")</f>
        <v>59.713000000000001</v>
      </c>
      <c r="F62" s="13">
        <f>_xll.BDH("NBIX US Equity","FREE_CASH_FLOW_EQUITY","FQ3 2019","FQ3 2019","Currency=USD","Period=FQ","BEST_FPERIOD_OVERRIDE=FQ","FILING_STATUS=MR","SCALING_FORMAT=MLN","Sort=A","Dates=H","DateFormat=P","Fill=—","Direction=H","UseDPDF=Y")</f>
        <v>94.286000000000001</v>
      </c>
      <c r="G62" s="13">
        <f>_xll.BDH("NBIX US Equity","FREE_CASH_FLOW_EQUITY","FQ4 2019","FQ4 2019","Currency=USD","Period=FQ","BEST_FPERIOD_OVERRIDE=FQ","FILING_STATUS=MR","SCALING_FORMAT=MLN","Sort=A","Dates=H","DateFormat=P","Fill=—","Direction=H","UseDPDF=Y")</f>
        <v>94.727000000000004</v>
      </c>
      <c r="H62" s="13">
        <f>_xll.BDH("NBIX US Equity","FREE_CASH_FLOW_EQUITY","FQ1 2020","FQ1 2020","Currency=USD","Period=FQ","BEST_FPERIOD_OVERRIDE=FQ","FILING_STATUS=MR","SCALING_FORMAT=MLN","Sort=A","Dates=H","DateFormat=P","Fill=—","Direction=H","UseDPDF=Y")</f>
        <v>34.200000000000003</v>
      </c>
      <c r="I62" s="13">
        <f>_xll.BDH("NBIX US Equity","FREE_CASH_FLOW_EQUITY","FQ2 2020","FQ2 2020","Currency=USD","Period=FQ","BEST_FPERIOD_OVERRIDE=FQ","FILING_STATUS=MR","SCALING_FORMAT=MLN","Sort=A","Dates=H","DateFormat=P","Fill=—","Direction=H","UseDPDF=Y")</f>
        <v>114.2</v>
      </c>
      <c r="J62" s="13">
        <f>_xll.BDH("NBIX US Equity","FREE_CASH_FLOW_EQUITY","FQ3 2020","FQ3 2020","Currency=USD","Period=FQ","BEST_FPERIOD_OVERRIDE=FQ","FILING_STATUS=MR","SCALING_FORMAT=MLN","Sort=A","Dates=H","DateFormat=P","Fill=—","Direction=H","UseDPDF=Y")</f>
        <v>-20.8</v>
      </c>
      <c r="K62" s="13">
        <f>_xll.BDH("NBIX US Equity","FREE_CASH_FLOW_EQUITY","FQ4 2020","FQ4 2020","Currency=USD","Period=FQ","BEST_FPERIOD_OVERRIDE=FQ","FILING_STATUS=MR","SCALING_FORMAT=MLN","Sort=A","Dates=H","DateFormat=P","Fill=—","Direction=H","UseDPDF=Y")</f>
        <v>-96.9</v>
      </c>
      <c r="L62" s="13">
        <f>_xll.BDH("NBIX US Equity","FREE_CASH_FLOW_EQUITY","FQ1 2021","FQ1 2021","Currency=USD","Period=FQ","BEST_FPERIOD_OVERRIDE=FQ","FILING_STATUS=MR","SCALING_FORMAT=MLN","Sort=A","Dates=H","DateFormat=P","Fill=—","Direction=H","UseDPDF=Y")</f>
        <v>82.7</v>
      </c>
      <c r="M62" s="13">
        <f>_xll.BDH("NBIX US Equity","FREE_CASH_FLOW_EQUITY","FQ2 2021","FQ2 2021","Currency=USD","Period=FQ","BEST_FPERIOD_OVERRIDE=FQ","FILING_STATUS=MR","SCALING_FORMAT=MLN","Sort=A","Dates=H","DateFormat=P","Fill=—","Direction=H","UseDPDF=Y")</f>
        <v>99</v>
      </c>
      <c r="N62" s="13">
        <f>_xll.BDH("NBIX US Equity","FREE_CASH_FLOW_EQUITY","FQ3 2021","FQ3 2021","Currency=USD","Period=FQ","BEST_FPERIOD_OVERRIDE=FQ","FILING_STATUS=MR","SCALING_FORMAT=MLN","Sort=A","Dates=H","DateFormat=P","Fill=—","Direction=H","UseDPDF=Y")</f>
        <v>56.1</v>
      </c>
      <c r="O62" s="13">
        <f>_xll.BDH("NBIX US Equity","FREE_CASH_FLOW_EQUITY","FQ4 2021","FQ4 2021","Currency=USD","Period=FQ","BEST_FPERIOD_OVERRIDE=FQ","FILING_STATUS=MR","SCALING_FORMAT=MLN","Sort=A","Dates=H","DateFormat=P","Fill=—","Direction=H","UseDPDF=Y")</f>
        <v>-4.8</v>
      </c>
      <c r="P62" s="13">
        <f>_xll.BDH("NBIX US Equity","FREE_CASH_FLOW_EQUITY","FQ1 2022","FQ1 2022","Currency=USD","Period=FQ","BEST_FPERIOD_OVERRIDE=FQ","FILING_STATUS=MR","SCALING_FORMAT=MLN","Sort=A","Dates=H","DateFormat=P","Fill=—","Direction=H","UseDPDF=Y")</f>
        <v>-48.1</v>
      </c>
      <c r="Q62" s="13">
        <f>_xll.BDH("NBIX US Equity","FREE_CASH_FLOW_EQUITY","FQ2 2022","FQ2 2022","Currency=USD","Period=FQ","BEST_FPERIOD_OVERRIDE=FQ","FILING_STATUS=MR","SCALING_FORMAT=MLN","Sort=A","Dates=H","DateFormat=P","Fill=—","Direction=H","UseDPDF=Y")</f>
        <v>129.30000000000001</v>
      </c>
      <c r="R62" s="13" t="str">
        <f>_xll.BDH("NBIX US Equity","FREE_CASH_FLOW_EQUITY","FQ3 2022","FQ3 2022","Currency=USD","Period=FQ","BEST_FPERIOD_OVERRIDE=FQ","FILING_STATUS=MR","SCALING_FORMAT=MLN","Sort=A","Dates=H","DateFormat=P","Fill=—","Direction=H","UseDPDF=Y")</f>
        <v>—</v>
      </c>
      <c r="S62" s="13">
        <f>_xll.BDH("NBIX US Equity","FREE_CASH_FLOW_EQUITY","FQ4 2022","FQ4 2022","Currency=USD","Period=FQ","BEST_FPERIOD_OVERRIDE=FQ","FILING_STATUS=MR","SCALING_FORMAT=MLN","Sort=A","Dates=H","DateFormat=P","Fill=—","Direction=H","UseDPDF=Y")</f>
        <v>-137.80000000000001</v>
      </c>
      <c r="T62" s="13">
        <f>_xll.BDH("NBIX US Equity","FREE_CASH_FLOW_EQUITY","FQ1 2023","FQ1 2023","Currency=USD","Period=FQ","BEST_FPERIOD_OVERRIDE=FQ","FILING_STATUS=MR","SCALING_FORMAT=MLN","Sort=A","Dates=H","DateFormat=P","Fill=—","Direction=H","UseDPDF=Y")</f>
        <v>-133.69999999999999</v>
      </c>
      <c r="U62" s="13">
        <f>_xll.BDH("NBIX US Equity","FREE_CASH_FLOW_EQUITY","FQ2 2023","FQ2 2023","Currency=USD","Period=FQ","BEST_FPERIOD_OVERRIDE=FQ","FILING_STATUS=MR","SCALING_FORMAT=MLN","Sort=A","Dates=H","DateFormat=P","Fill=—","Direction=H","UseDPDF=Y")</f>
        <v>172.8</v>
      </c>
      <c r="V62" s="13">
        <f>_xll.BDH("NBIX US Equity","FREE_CASH_FLOW_EQUITY","FQ3 2023","FQ3 2023","Currency=USD","Period=FQ","BEST_FPERIOD_OVERRIDE=FQ","FILING_STATUS=MR","SCALING_FORMAT=MLN","Sort=A","Dates=H","DateFormat=P","Fill=—","Direction=H","UseDPDF=Y")</f>
        <v>204.4</v>
      </c>
      <c r="W62" s="13">
        <f>_xll.BDH("NBIX US Equity","FREE_CASH_FLOW_EQUITY","FQ4 2023","FQ4 2023","Currency=USD","Period=FQ","BEST_FPERIOD_OVERRIDE=FQ","FILING_STATUS=MR","SCALING_FORMAT=MLN","Sort=A","Dates=H","DateFormat=P","Fill=—","Direction=H","UseDPDF=Y")</f>
        <v>118.1</v>
      </c>
      <c r="X62" s="13">
        <f>_xll.BDH("NBIX US Equity","FREE_CASH_FLOW_EQUITY","FQ1 2024","FQ1 2024","Currency=USD","Period=FQ","BEST_FPERIOD_OVERRIDE=FQ","FILING_STATUS=MR","SCALING_FORMAT=MLN","Sort=A","Dates=H","DateFormat=P","Fill=—","Direction=H","UseDPDF=Y")</f>
        <v>119.1</v>
      </c>
      <c r="Y62" s="13">
        <f>_xll.BDH("NBIX US Equity","FREE_CASH_FLOW_EQUITY","FQ2 2024","FQ2 2024","Currency=USD","Period=FQ","BEST_FPERIOD_OVERRIDE=FQ","FILING_STATUS=MR","SCALING_FORMAT=MLN","Sort=A","Dates=H","DateFormat=P","Fill=—","Direction=H","UseDPDF=Y")</f>
        <v>53</v>
      </c>
      <c r="Z62" s="13">
        <f>_xll.BDH("NBIX US Equity","FREE_CASH_FLOW_EQUITY","FQ3 2024","FQ3 2024","Currency=USD","Period=FQ","BEST_FPERIOD_OVERRIDE=FQ","FILING_STATUS=MR","SCALING_FORMAT=MLN","Sort=A","Dates=H","DateFormat=P","Fill=—","Direction=H","UseDPDF=Y")</f>
        <v>149.9</v>
      </c>
      <c r="AA62" s="13">
        <f>_xll.BDH("NBIX US Equity","FREE_CASH_FLOW_EQUITY","FQ4 2024","FQ4 2024","Currency=USD","Period=FQ","BEST_FPERIOD_OVERRIDE=FQ","FILING_STATUS=MR","SCALING_FORMAT=MLN","Sort=A","Dates=H","DateFormat=P","Fill=—","Direction=H","UseDPDF=Y")</f>
        <v>-73.599999999999994</v>
      </c>
    </row>
    <row r="63" spans="1:27" x14ac:dyDescent="0.25">
      <c r="A63" s="10" t="s">
        <v>1164</v>
      </c>
      <c r="B63" s="10" t="s">
        <v>277</v>
      </c>
      <c r="C63" s="14">
        <f>_xll.BDH("NBIX US Equity","FREE_CASH_FLOW_PER_SH","FQ4 2018","FQ4 2018","Currency=USD","Period=FQ","BEST_FPERIOD_OVERRIDE=FQ","FILING_STATUS=MR","Sort=A","Dates=H","DateFormat=P","Fill=—","Direction=H","UseDPDF=Y")</f>
        <v>0.48980000000000001</v>
      </c>
      <c r="D63" s="14">
        <f>_xll.BDH("NBIX US Equity","FREE_CASH_FLOW_PER_SH","FQ1 2019","FQ1 2019","Currency=USD","Period=FQ","BEST_FPERIOD_OVERRIDE=FQ","FILING_STATUS=MR","Sort=A","Dates=H","DateFormat=P","Fill=—","Direction=H","UseDPDF=Y")</f>
        <v>-1.2786999999999999</v>
      </c>
      <c r="E63" s="14">
        <f>_xll.BDH("NBIX US Equity","FREE_CASH_FLOW_PER_SH","FQ2 2019","FQ2 2019","Currency=USD","Period=FQ","BEST_FPERIOD_OVERRIDE=FQ","FILING_STATUS=MR","Sort=A","Dates=H","DateFormat=P","Fill=—","Direction=H","UseDPDF=Y")</f>
        <v>0.65339999999999998</v>
      </c>
      <c r="F63" s="14">
        <f>_xll.BDH("NBIX US Equity","FREE_CASH_FLOW_PER_SH","FQ3 2019","FQ3 2019","Currency=USD","Period=FQ","BEST_FPERIOD_OVERRIDE=FQ","FILING_STATUS=MR","Sort=A","Dates=H","DateFormat=P","Fill=—","Direction=H","UseDPDF=Y")</f>
        <v>1.0264</v>
      </c>
      <c r="G63" s="14">
        <f>_xll.BDH("NBIX US Equity","FREE_CASH_FLOW_PER_SH","FQ4 2019","FQ4 2019","Currency=USD","Period=FQ","BEST_FPERIOD_OVERRIDE=FQ","FILING_STATUS=MR","Sort=A","Dates=H","DateFormat=P","Fill=—","Direction=H","UseDPDF=Y")</f>
        <v>1.0274000000000001</v>
      </c>
      <c r="H63" s="14">
        <f>_xll.BDH("NBIX US Equity","FREE_CASH_FLOW_PER_SH","FQ1 2020","FQ1 2020","Currency=USD","Period=FQ","BEST_FPERIOD_OVERRIDE=FQ","FILING_STATUS=MR","Sort=A","Dates=H","DateFormat=P","Fill=—","Direction=H","UseDPDF=Y")</f>
        <v>0.36930000000000002</v>
      </c>
      <c r="I63" s="14">
        <f>_xll.BDH("NBIX US Equity","FREE_CASH_FLOW_PER_SH","FQ2 2020","FQ2 2020","Currency=USD","Period=FQ","BEST_FPERIOD_OVERRIDE=FQ","FILING_STATUS=MR","Sort=A","Dates=H","DateFormat=P","Fill=—","Direction=H","UseDPDF=Y")</f>
        <v>1.228</v>
      </c>
      <c r="J63" s="14">
        <f>_xll.BDH("NBIX US Equity","FREE_CASH_FLOW_PER_SH","FQ3 2020","FQ3 2020","Currency=USD","Period=FQ","BEST_FPERIOD_OVERRIDE=FQ","FILING_STATUS=MR","Sort=A","Dates=H","DateFormat=P","Fill=—","Direction=H","UseDPDF=Y")</f>
        <v>-0.22289999999999999</v>
      </c>
      <c r="K63" s="14">
        <f>_xll.BDH("NBIX US Equity","FREE_CASH_FLOW_PER_SH","FQ4 2020","FQ4 2020","Currency=USD","Period=FQ","BEST_FPERIOD_OVERRIDE=FQ","FILING_STATUS=MR","Sort=A","Dates=H","DateFormat=P","Fill=—","Direction=H","UseDPDF=Y")</f>
        <v>0.96260000000000001</v>
      </c>
      <c r="L63" s="14">
        <f>_xll.BDH("NBIX US Equity","FREE_CASH_FLOW_PER_SH","FQ1 2021","FQ1 2021","Currency=USD","Period=FQ","BEST_FPERIOD_OVERRIDE=FQ","FILING_STATUS=MR","Sort=A","Dates=H","DateFormat=P","Fill=—","Direction=H","UseDPDF=Y")</f>
        <v>0.879</v>
      </c>
      <c r="M63" s="14">
        <f>_xll.BDH("NBIX US Equity","FREE_CASH_FLOW_PER_SH","FQ2 2021","FQ2 2021","Currency=USD","Period=FQ","BEST_FPERIOD_OVERRIDE=FQ","FILING_STATUS=MR","Sort=A","Dates=H","DateFormat=P","Fill=—","Direction=H","UseDPDF=Y")</f>
        <v>1.0455000000000001</v>
      </c>
      <c r="N63" s="14">
        <f>_xll.BDH("NBIX US Equity","FREE_CASH_FLOW_PER_SH","FQ3 2021","FQ3 2021","Currency=USD","Period=FQ","BEST_FPERIOD_OVERRIDE=FQ","FILING_STATUS=MR","Sort=A","Dates=H","DateFormat=P","Fill=—","Direction=H","UseDPDF=Y")</f>
        <v>0.59240000000000004</v>
      </c>
      <c r="O63" s="14">
        <f>_xll.BDH("NBIX US Equity","FREE_CASH_FLOW_PER_SH","FQ4 2021","FQ4 2021","Currency=USD","Period=FQ","BEST_FPERIOD_OVERRIDE=FQ","FILING_STATUS=MR","Sort=A","Dates=H","DateFormat=P","Fill=—","Direction=H","UseDPDF=Y")</f>
        <v>-4.9500000000000002E-2</v>
      </c>
      <c r="P63" s="14">
        <f>_xll.BDH("NBIX US Equity","FREE_CASH_FLOW_PER_SH","FQ1 2022","FQ1 2022","Currency=USD","Period=FQ","BEST_FPERIOD_OVERRIDE=FQ","FILING_STATUS=MR","Sort=A","Dates=H","DateFormat=P","Fill=—","Direction=H","UseDPDF=Y")</f>
        <v>-0.50470000000000004</v>
      </c>
      <c r="Q63" s="14">
        <f>_xll.BDH("NBIX US Equity","FREE_CASH_FLOW_PER_SH","FQ2 2022","FQ2 2022","Currency=USD","Period=FQ","BEST_FPERIOD_OVERRIDE=FQ","FILING_STATUS=MR","Sort=A","Dates=H","DateFormat=P","Fill=—","Direction=H","UseDPDF=Y")</f>
        <v>1.3525</v>
      </c>
      <c r="R63" s="14" t="str">
        <f>_xll.BDH("NBIX US Equity","FREE_CASH_FLOW_PER_SH","FQ3 2022","FQ3 2022","Currency=USD","Period=FQ","BEST_FPERIOD_OVERRIDE=FQ","FILING_STATUS=MR","Sort=A","Dates=H","DateFormat=P","Fill=—","Direction=H","UseDPDF=Y")</f>
        <v>—</v>
      </c>
      <c r="S63" s="14">
        <f>_xll.BDH("NBIX US Equity","FREE_CASH_FLOW_PER_SH","FQ4 2022","FQ4 2022","Currency=USD","Period=FQ","BEST_FPERIOD_OVERRIDE=FQ","FILING_STATUS=MR","Sort=A","Dates=H","DateFormat=P","Fill=—","Direction=H","UseDPDF=Y")</f>
        <v>1.4662999999999999</v>
      </c>
      <c r="T63" s="14">
        <f>_xll.BDH("NBIX US Equity","FREE_CASH_FLOW_PER_SH","FQ1 2023","FQ1 2023","Currency=USD","Period=FQ","BEST_FPERIOD_OVERRIDE=FQ","FILING_STATUS=MR","Sort=A","Dates=H","DateFormat=P","Fill=—","Direction=H","UseDPDF=Y")</f>
        <v>-1.3769</v>
      </c>
      <c r="U63" s="14">
        <f>_xll.BDH("NBIX US Equity","FREE_CASH_FLOW_PER_SH","FQ2 2023","FQ2 2023","Currency=USD","Period=FQ","BEST_FPERIOD_OVERRIDE=FQ","FILING_STATUS=MR","Sort=A","Dates=H","DateFormat=P","Fill=—","Direction=H","UseDPDF=Y")</f>
        <v>1.7705</v>
      </c>
      <c r="V63" s="14">
        <f>_xll.BDH("NBIX US Equity","FREE_CASH_FLOW_PER_SH","FQ3 2023","FQ3 2023","Currency=USD","Period=FQ","BEST_FPERIOD_OVERRIDE=FQ","FILING_STATUS=MR","Sort=A","Dates=H","DateFormat=P","Fill=—","Direction=H","UseDPDF=Y")</f>
        <v>2.0878000000000001</v>
      </c>
      <c r="W63" s="14">
        <f>_xll.BDH("NBIX US Equity","FREE_CASH_FLOW_PER_SH","FQ4 2023","FQ4 2023","Currency=USD","Period=FQ","BEST_FPERIOD_OVERRIDE=FQ","FILING_STATUS=MR","Sort=A","Dates=H","DateFormat=P","Fill=—","Direction=H","UseDPDF=Y")</f>
        <v>1.2001999999999999</v>
      </c>
      <c r="X63" s="14">
        <f>_xll.BDH("NBIX US Equity","FREE_CASH_FLOW_PER_SH","FQ1 2024","FQ1 2024","Currency=USD","Period=FQ","BEST_FPERIOD_OVERRIDE=FQ","FILING_STATUS=MR","Sort=A","Dates=H","DateFormat=P","Fill=—","Direction=H","UseDPDF=Y")</f>
        <v>1.1934</v>
      </c>
      <c r="Y63" s="14">
        <f>_xll.BDH("NBIX US Equity","FREE_CASH_FLOW_PER_SH","FQ2 2024","FQ2 2024","Currency=USD","Period=FQ","BEST_FPERIOD_OVERRIDE=FQ","FILING_STATUS=MR","Sort=A","Dates=H","DateFormat=P","Fill=—","Direction=H","UseDPDF=Y")</f>
        <v>0.52580000000000005</v>
      </c>
      <c r="Z63" s="14">
        <f>_xll.BDH("NBIX US Equity","FREE_CASH_FLOW_PER_SH","FQ3 2024","FQ3 2024","Currency=USD","Period=FQ","BEST_FPERIOD_OVERRIDE=FQ","FILING_STATUS=MR","Sort=A","Dates=H","DateFormat=P","Fill=—","Direction=H","UseDPDF=Y")</f>
        <v>1.4826999999999999</v>
      </c>
      <c r="AA63" s="14">
        <f>_xll.BDH("NBIX US Equity","FREE_CASH_FLOW_PER_SH","FQ4 2024","FQ4 2024","Currency=USD","Period=FQ","BEST_FPERIOD_OVERRIDE=FQ","FILING_STATUS=MR","Sort=A","Dates=H","DateFormat=P","Fill=—","Direction=H","UseDPDF=Y")</f>
        <v>2.3519999999999999</v>
      </c>
    </row>
    <row r="64" spans="1:27" x14ac:dyDescent="0.25">
      <c r="A64" s="10" t="s">
        <v>1165</v>
      </c>
      <c r="B64" s="10" t="s">
        <v>236</v>
      </c>
      <c r="C64" s="14">
        <f>_xll.BDH("NBIX US Equity","PX_TO_FREE_CASH_FLOW","FQ4 2018","FQ4 2018","Currency=USD","Period=FQ","BEST_FPERIOD_OVERRIDE=FQ","FILING_STATUS=MR","Sort=A","Dates=H","DateFormat=P","Fill=—","Direction=H","UseDPDF=Y")</f>
        <v>84.999499999999998</v>
      </c>
      <c r="D64" s="14">
        <f>_xll.BDH("NBIX US Equity","PX_TO_FREE_CASH_FLOW","FQ1 2019","FQ1 2019","Currency=USD","Period=FQ","BEST_FPERIOD_OVERRIDE=FQ","FILING_STATUS=MR","Sort=A","Dates=H","DateFormat=P","Fill=—","Direction=H","UseDPDF=Y")</f>
        <v>7693.3064000000004</v>
      </c>
      <c r="E64" s="14">
        <f>_xll.BDH("NBIX US Equity","PX_TO_FREE_CASH_FLOW","FQ2 2019","FQ2 2019","Currency=USD","Period=FQ","BEST_FPERIOD_OVERRIDE=FQ","FILING_STATUS=MR","Sort=A","Dates=H","DateFormat=P","Fill=—","Direction=H","UseDPDF=Y")</f>
        <v>172.6285</v>
      </c>
      <c r="F64" s="14">
        <f>_xll.BDH("NBIX US Equity","PX_TO_FREE_CASH_FLOW","FQ3 2019","FQ3 2019","Currency=USD","Period=FQ","BEST_FPERIOD_OVERRIDE=FQ","FILING_STATUS=MR","Sort=A","Dates=H","DateFormat=P","Fill=—","Direction=H","UseDPDF=Y")</f>
        <v>101.1459</v>
      </c>
      <c r="G64" s="14">
        <f>_xll.BDH("NBIX US Equity","PX_TO_FREE_CASH_FLOW","FQ4 2019","FQ4 2019","Currency=USD","Period=FQ","BEST_FPERIOD_OVERRIDE=FQ","FILING_STATUS=MR","Sort=A","Dates=H","DateFormat=P","Fill=—","Direction=H","UseDPDF=Y")</f>
        <v>75.245999999999995</v>
      </c>
      <c r="H64" s="14">
        <f>_xll.BDH("NBIX US Equity","PX_TO_FREE_CASH_FLOW","FQ1 2020","FQ1 2020","Currency=USD","Period=FQ","BEST_FPERIOD_OVERRIDE=FQ","FILING_STATUS=MR","Sort=A","Dates=H","DateFormat=P","Fill=—","Direction=H","UseDPDF=Y")</f>
        <v>28.1325</v>
      </c>
      <c r="I64" s="14">
        <f>_xll.BDH("NBIX US Equity","PX_TO_FREE_CASH_FLOW","FQ2 2020","FQ2 2020","Currency=USD","Period=FQ","BEST_FPERIOD_OVERRIDE=FQ","FILING_STATUS=MR","Sort=A","Dates=H","DateFormat=P","Fill=—","Direction=H","UseDPDF=Y")</f>
        <v>33.4148</v>
      </c>
      <c r="J64" s="14">
        <f>_xll.BDH("NBIX US Equity","PX_TO_FREE_CASH_FLOW","FQ3 2020","FQ3 2020","Currency=USD","Period=FQ","BEST_FPERIOD_OVERRIDE=FQ","FILING_STATUS=MR","Sort=A","Dates=H","DateFormat=P","Fill=—","Direction=H","UseDPDF=Y")</f>
        <v>40.037300000000002</v>
      </c>
      <c r="K64" s="14">
        <f>_xll.BDH("NBIX US Equity","PX_TO_FREE_CASH_FLOW","FQ4 2020","FQ4 2020","Currency=USD","Period=FQ","BEST_FPERIOD_OVERRIDE=FQ","FILING_STATUS=MR","Sort=A","Dates=H","DateFormat=P","Fill=—","Direction=H","UseDPDF=Y")</f>
        <v>41.015599999999999</v>
      </c>
      <c r="L64" s="14">
        <f>_xll.BDH("NBIX US Equity","PX_TO_FREE_CASH_FLOW","FQ1 2021","FQ1 2021","Currency=USD","Period=FQ","BEST_FPERIOD_OVERRIDE=FQ","FILING_STATUS=MR","Sort=A","Dates=H","DateFormat=P","Fill=—","Direction=H","UseDPDF=Y")</f>
        <v>34.163899999999998</v>
      </c>
      <c r="M64" s="14">
        <f>_xll.BDH("NBIX US Equity","PX_TO_FREE_CASH_FLOW","FQ2 2021","FQ2 2021","Currency=USD","Period=FQ","BEST_FPERIOD_OVERRIDE=FQ","FILING_STATUS=MR","Sort=A","Dates=H","DateFormat=P","Fill=—","Direction=H","UseDPDF=Y")</f>
        <v>36.5306</v>
      </c>
      <c r="N64" s="14">
        <f>_xll.BDH("NBIX US Equity","PX_TO_FREE_CASH_FLOW","FQ3 2021","FQ3 2021","Currency=USD","Period=FQ","BEST_FPERIOD_OVERRIDE=FQ","FILING_STATUS=MR","Sort=A","Dates=H","DateFormat=P","Fill=—","Direction=H","UseDPDF=Y")</f>
        <v>27.565100000000001</v>
      </c>
      <c r="O64" s="14">
        <f>_xll.BDH("NBIX US Equity","PX_TO_FREE_CASH_FLOW","FQ4 2021","FQ4 2021","Currency=USD","Period=FQ","BEST_FPERIOD_OVERRIDE=FQ","FILING_STATUS=MR","Sort=A","Dates=H","DateFormat=P","Fill=—","Direction=H","UseDPDF=Y")</f>
        <v>34.519399999999997</v>
      </c>
      <c r="P64" s="14">
        <f>_xll.BDH("NBIX US Equity","PX_TO_FREE_CASH_FLOW","FQ1 2022","FQ1 2022","Currency=USD","Period=FQ","BEST_FPERIOD_OVERRIDE=FQ","FILING_STATUS=MR","Sort=A","Dates=H","DateFormat=P","Fill=—","Direction=H","UseDPDF=Y")</f>
        <v>86.516900000000007</v>
      </c>
      <c r="Q64" s="14">
        <f>_xll.BDH("NBIX US Equity","PX_TO_FREE_CASH_FLOW","FQ2 2022","FQ2 2022","Currency=USD","Period=FQ","BEST_FPERIOD_OVERRIDE=FQ","FILING_STATUS=MR","Sort=A","Dates=H","DateFormat=P","Fill=—","Direction=H","UseDPDF=Y")</f>
        <v>70.096199999999996</v>
      </c>
      <c r="R64" s="14" t="str">
        <f>_xll.BDH("NBIX US Equity","PX_TO_FREE_CASH_FLOW","FQ3 2022","FQ3 2022","Currency=USD","Period=FQ","BEST_FPERIOD_OVERRIDE=FQ","FILING_STATUS=MR","Sort=A","Dates=H","DateFormat=P","Fill=—","Direction=H","UseDPDF=Y")</f>
        <v>—</v>
      </c>
      <c r="S64" s="14" t="str">
        <f>_xll.BDH("NBIX US Equity","PX_TO_FREE_CASH_FLOW","FQ4 2022","FQ4 2022","Currency=USD","Period=FQ","BEST_FPERIOD_OVERRIDE=FQ","FILING_STATUS=MR","Sort=A","Dates=H","DateFormat=P","Fill=—","Direction=H","UseDPDF=Y")</f>
        <v>—</v>
      </c>
      <c r="T64" s="14" t="str">
        <f>_xll.BDH("NBIX US Equity","PX_TO_FREE_CASH_FLOW","FQ1 2023","FQ1 2023","Currency=USD","Period=FQ","BEST_FPERIOD_OVERRIDE=FQ","FILING_STATUS=MR","Sort=A","Dates=H","DateFormat=P","Fill=—","Direction=H","UseDPDF=Y")</f>
        <v>—</v>
      </c>
      <c r="U64" s="14" t="str">
        <f>_xll.BDH("NBIX US Equity","PX_TO_FREE_CASH_FLOW","FQ2 2023","FQ2 2023","Currency=USD","Period=FQ","BEST_FPERIOD_OVERRIDE=FQ","FILING_STATUS=MR","Sort=A","Dates=H","DateFormat=P","Fill=—","Direction=H","UseDPDF=Y")</f>
        <v>—</v>
      </c>
      <c r="V64" s="14">
        <f>_xll.BDH("NBIX US Equity","PX_TO_FREE_CASH_FLOW","FQ3 2023","FQ3 2023","Currency=USD","Period=FQ","BEST_FPERIOD_OVERRIDE=FQ","FILING_STATUS=MR","Sort=A","Dates=H","DateFormat=P","Fill=—","Direction=H","UseDPDF=Y")</f>
        <v>28.497900000000001</v>
      </c>
      <c r="W64" s="14">
        <f>_xll.BDH("NBIX US Equity","PX_TO_FREE_CASH_FLOW","FQ4 2023","FQ4 2023","Currency=USD","Period=FQ","BEST_FPERIOD_OVERRIDE=FQ","FILING_STATUS=MR","Sort=A","Dates=H","DateFormat=P","Fill=—","Direction=H","UseDPDF=Y")</f>
        <v>35.788699999999999</v>
      </c>
      <c r="X64" s="14">
        <f>_xll.BDH("NBIX US Equity","PX_TO_FREE_CASH_FLOW","FQ1 2024","FQ1 2024","Currency=USD","Period=FQ","BEST_FPERIOD_OVERRIDE=FQ","FILING_STATUS=MR","Sort=A","Dates=H","DateFormat=P","Fill=—","Direction=H","UseDPDF=Y")</f>
        <v>22.060400000000001</v>
      </c>
      <c r="Y64" s="14">
        <f>_xll.BDH("NBIX US Equity","PX_TO_FREE_CASH_FLOW","FQ2 2024","FQ2 2024","Currency=USD","Period=FQ","BEST_FPERIOD_OVERRIDE=FQ","FILING_STATUS=MR","Sort=A","Dates=H","DateFormat=P","Fill=—","Direction=H","UseDPDF=Y")</f>
        <v>27.494299999999999</v>
      </c>
      <c r="Z64" s="14">
        <f>_xll.BDH("NBIX US Equity","PX_TO_FREE_CASH_FLOW","FQ3 2024","FQ3 2024","Currency=USD","Period=FQ","BEST_FPERIOD_OVERRIDE=FQ","FILING_STATUS=MR","Sort=A","Dates=H","DateFormat=P","Fill=—","Direction=H","UseDPDF=Y")</f>
        <v>26.173999999999999</v>
      </c>
      <c r="AA64" s="14">
        <f>_xll.BDH("NBIX US Equity","PX_TO_FREE_CASH_FLOW","FQ4 2024","FQ4 2024","Currency=USD","Period=FQ","BEST_FPERIOD_OVERRIDE=FQ","FILING_STATUS=MR","Sort=A","Dates=H","DateFormat=P","Fill=—","Direction=H","UseDPDF=Y")</f>
        <v>24.577500000000001</v>
      </c>
    </row>
    <row r="65" spans="1:27" x14ac:dyDescent="0.25">
      <c r="A65" s="10" t="s">
        <v>1166</v>
      </c>
      <c r="B65" s="10" t="s">
        <v>1167</v>
      </c>
      <c r="C65" s="14">
        <f>_xll.BDH("NBIX US Equity","CASH_FLOW_TO_NET_INC","FQ4 2018","FQ4 2018","Currency=USD","Period=FQ","BEST_FPERIOD_OVERRIDE=FQ","FILING_STATUS=MR","FA_ADJUSTED=GAAP","Sort=A","Dates=H","DateFormat=P","Fill=—","Direction=H","UseDPDF=Y")</f>
        <v>2.7909000000000002</v>
      </c>
      <c r="D65" s="14" t="str">
        <f>_xll.BDH("NBIX US Equity","CASH_FLOW_TO_NET_INC","FQ1 2019","FQ1 2019","Currency=USD","Period=FQ","BEST_FPERIOD_OVERRIDE=FQ","FILING_STATUS=MR","FA_ADJUSTED=GAAP","Sort=A","Dates=H","DateFormat=P","Fill=—","Direction=H","UseDPDF=Y")</f>
        <v>—</v>
      </c>
      <c r="E65" s="14">
        <f>_xll.BDH("NBIX US Equity","CASH_FLOW_TO_NET_INC","FQ2 2019","FQ2 2019","Currency=USD","Period=FQ","BEST_FPERIOD_OVERRIDE=FQ","FILING_STATUS=MR","FA_ADJUSTED=GAAP","Sort=A","Dates=H","DateFormat=P","Fill=—","Direction=H","UseDPDF=Y")</f>
        <v>1.2499</v>
      </c>
      <c r="F65" s="14">
        <f>_xll.BDH("NBIX US Equity","CASH_FLOW_TO_NET_INC","FQ3 2019","FQ3 2019","Currency=USD","Period=FQ","BEST_FPERIOD_OVERRIDE=FQ","FILING_STATUS=MR","FA_ADJUSTED=GAAP","Sort=A","Dates=H","DateFormat=P","Fill=—","Direction=H","UseDPDF=Y")</f>
        <v>1.8187</v>
      </c>
      <c r="G65" s="14">
        <f>_xll.BDH("NBIX US Equity","CASH_FLOW_TO_NET_INC","FQ4 2019","FQ4 2019","Currency=USD","Period=FQ","BEST_FPERIOD_OVERRIDE=FQ","FILING_STATUS=MR","FA_ADJUSTED=GAAP","Sort=A","Dates=H","DateFormat=P","Fill=—","Direction=H","UseDPDF=Y")</f>
        <v>2.8675999999999999</v>
      </c>
      <c r="H65" s="14">
        <f>_xll.BDH("NBIX US Equity","CASH_FLOW_TO_NET_INC","FQ1 2020","FQ1 2020","Currency=USD","Period=FQ","BEST_FPERIOD_OVERRIDE=FQ","FILING_STATUS=MR","FA_ADJUSTED=GAAP","Sort=A","Dates=H","DateFormat=P","Fill=—","Direction=H","UseDPDF=Y")</f>
        <v>0.94920000000000004</v>
      </c>
      <c r="I65" s="14">
        <f>_xll.BDH("NBIX US Equity","CASH_FLOW_TO_NET_INC","FQ2 2020","FQ2 2020","Currency=USD","Period=FQ","BEST_FPERIOD_OVERRIDE=FQ","FILING_STATUS=MR","FA_ADJUSTED=GAAP","Sort=A","Dates=H","DateFormat=P","Fill=—","Direction=H","UseDPDF=Y")</f>
        <v>1.4937</v>
      </c>
      <c r="J65" s="14" t="str">
        <f>_xll.BDH("NBIX US Equity","CASH_FLOW_TO_NET_INC","FQ3 2020","FQ3 2020","Currency=USD","Period=FQ","BEST_FPERIOD_OVERRIDE=FQ","FILING_STATUS=MR","FA_ADJUSTED=GAAP","Sort=A","Dates=H","DateFormat=P","Fill=—","Direction=H","UseDPDF=Y")</f>
        <v>—</v>
      </c>
      <c r="K65" s="14">
        <f>_xll.BDH("NBIX US Equity","CASH_FLOW_TO_NET_INC","FQ4 2020","FQ4 2020","Currency=USD","Period=FQ","BEST_FPERIOD_OVERRIDE=FQ","FILING_STATUS=MR","FA_ADJUSTED=GAAP","Sort=A","Dates=H","DateFormat=P","Fill=—","Direction=H","UseDPDF=Y")</f>
        <v>0.27160000000000001</v>
      </c>
      <c r="L65" s="14">
        <f>_xll.BDH("NBIX US Equity","CASH_FLOW_TO_NET_INC","FQ1 2021","FQ1 2021","Currency=USD","Period=FQ","BEST_FPERIOD_OVERRIDE=FQ","FILING_STATUS=MR","FA_ADJUSTED=GAAP","Sort=A","Dates=H","DateFormat=P","Fill=—","Direction=H","UseDPDF=Y")</f>
        <v>2.7195999999999998</v>
      </c>
      <c r="M65" s="14">
        <f>_xll.BDH("NBIX US Equity","CASH_FLOW_TO_NET_INC","FQ2 2021","FQ2 2021","Currency=USD","Period=FQ","BEST_FPERIOD_OVERRIDE=FQ","FILING_STATUS=MR","FA_ADJUSTED=GAAP","Sort=A","Dates=H","DateFormat=P","Fill=—","Direction=H","UseDPDF=Y")</f>
        <v>2.4397000000000002</v>
      </c>
      <c r="N65" s="14">
        <f>_xll.BDH("NBIX US Equity","CASH_FLOW_TO_NET_INC","FQ3 2021","FQ3 2021","Currency=USD","Period=FQ","BEST_FPERIOD_OVERRIDE=FQ","FILING_STATUS=MR","FA_ADJUSTED=GAAP","Sort=A","Dates=H","DateFormat=P","Fill=—","Direction=H","UseDPDF=Y")</f>
        <v>2.7467000000000001</v>
      </c>
      <c r="O65" s="14" t="str">
        <f>_xll.BDH("NBIX US Equity","CASH_FLOW_TO_NET_INC","FQ4 2021","FQ4 2021","Currency=USD","Period=FQ","BEST_FPERIOD_OVERRIDE=FQ","FILING_STATUS=MR","FA_ADJUSTED=GAAP","Sort=A","Dates=H","DateFormat=P","Fill=—","Direction=H","UseDPDF=Y")</f>
        <v>—</v>
      </c>
      <c r="P65" s="14">
        <f>_xll.BDH("NBIX US Equity","CASH_FLOW_TO_NET_INC","FQ1 2022","FQ1 2022","Currency=USD","Period=FQ","BEST_FPERIOD_OVERRIDE=FQ","FILING_STATUS=MR","FA_ADJUSTED=GAAP","Sort=A","Dates=H","DateFormat=P","Fill=—","Direction=H","UseDPDF=Y")</f>
        <v>-2.9137</v>
      </c>
      <c r="Q65" s="14" t="str">
        <f>_xll.BDH("NBIX US Equity","CASH_FLOW_TO_NET_INC","FQ2 2022","FQ2 2022","Currency=USD","Period=FQ","BEST_FPERIOD_OVERRIDE=FQ","FILING_STATUS=MR","FA_ADJUSTED=GAAP","Sort=A","Dates=H","DateFormat=P","Fill=—","Direction=H","UseDPDF=Y")</f>
        <v>—</v>
      </c>
      <c r="R65" s="14">
        <f>_xll.BDH("NBIX US Equity","CASH_FLOW_TO_NET_INC","FQ3 2022","FQ3 2022","Currency=USD","Period=FQ","BEST_FPERIOD_OVERRIDE=FQ","FILING_STATUS=MR","FA_ADJUSTED=GAAP","Sort=A","Dates=H","DateFormat=P","Fill=—","Direction=H","UseDPDF=Y")</f>
        <v>1.4422999999999999</v>
      </c>
      <c r="S65" s="14">
        <f>_xll.BDH("NBIX US Equity","CASH_FLOW_TO_NET_INC","FQ4 2022","FQ4 2022","Currency=USD","Period=FQ","BEST_FPERIOD_OVERRIDE=FQ","FILING_STATUS=MR","FA_ADJUSTED=GAAP","Sort=A","Dates=H","DateFormat=P","Fill=—","Direction=H","UseDPDF=Y")</f>
        <v>1.6067</v>
      </c>
      <c r="T65" s="14" t="str">
        <f>_xll.BDH("NBIX US Equity","CASH_FLOW_TO_NET_INC","FQ1 2023","FQ1 2023","Currency=USD","Period=FQ","BEST_FPERIOD_OVERRIDE=FQ","FILING_STATUS=MR","FA_ADJUSTED=GAAP","Sort=A","Dates=H","DateFormat=P","Fill=—","Direction=H","UseDPDF=Y")</f>
        <v>—</v>
      </c>
      <c r="U65" s="14">
        <f>_xll.BDH("NBIX US Equity","CASH_FLOW_TO_NET_INC","FQ2 2023","FQ2 2023","Currency=USD","Period=FQ","BEST_FPERIOD_OVERRIDE=FQ","FILING_STATUS=MR","FA_ADJUSTED=GAAP","Sort=A","Dates=H","DateFormat=P","Fill=—","Direction=H","UseDPDF=Y")</f>
        <v>1.8806</v>
      </c>
      <c r="V65" s="14">
        <f>_xll.BDH("NBIX US Equity","CASH_FLOW_TO_NET_INC","FQ3 2023","FQ3 2023","Currency=USD","Period=FQ","BEST_FPERIOD_OVERRIDE=FQ","FILING_STATUS=MR","FA_ADJUSTED=GAAP","Sort=A","Dates=H","DateFormat=P","Fill=—","Direction=H","UseDPDF=Y")</f>
        <v>2.5510999999999999</v>
      </c>
      <c r="W65" s="14">
        <f>_xll.BDH("NBIX US Equity","CASH_FLOW_TO_NET_INC","FQ4 2023","FQ4 2023","Currency=USD","Period=FQ","BEST_FPERIOD_OVERRIDE=FQ","FILING_STATUS=MR","FA_ADJUSTED=GAAP","Sort=A","Dates=H","DateFormat=P","Fill=—","Direction=H","UseDPDF=Y")</f>
        <v>0.83620000000000005</v>
      </c>
      <c r="X65" s="14">
        <f>_xll.BDH("NBIX US Equity","CASH_FLOW_TO_NET_INC","FQ1 2024","FQ1 2024","Currency=USD","Period=FQ","BEST_FPERIOD_OVERRIDE=FQ","FILING_STATUS=MR","FA_ADJUSTED=GAAP","Sort=A","Dates=H","DateFormat=P","Fill=—","Direction=H","UseDPDF=Y")</f>
        <v>3.0023</v>
      </c>
      <c r="Y65" s="14">
        <f>_xll.BDH("NBIX US Equity","CASH_FLOW_TO_NET_INC","FQ2 2024","FQ2 2024","Currency=USD","Period=FQ","BEST_FPERIOD_OVERRIDE=FQ","FILING_STATUS=MR","FA_ADJUSTED=GAAP","Sort=A","Dates=H","DateFormat=P","Fill=—","Direction=H","UseDPDF=Y")</f>
        <v>0.99380000000000002</v>
      </c>
      <c r="Z65" s="14">
        <f>_xll.BDH("NBIX US Equity","CASH_FLOW_TO_NET_INC","FQ3 2024","FQ3 2024","Currency=USD","Period=FQ","BEST_FPERIOD_OVERRIDE=FQ","FILING_STATUS=MR","FA_ADJUSTED=GAAP","Sort=A","Dates=H","DateFormat=P","Fill=—","Direction=H","UseDPDF=Y")</f>
        <v>1.2173</v>
      </c>
      <c r="AA65" s="14">
        <f>_xll.BDH("NBIX US Equity","CASH_FLOW_TO_NET_INC","FQ4 2024","FQ4 2024","Currency=USD","Period=FQ","BEST_FPERIOD_OVERRIDE=FQ","FILING_STATUS=MR","FA_ADJUSTED=GAAP","Sort=A","Dates=H","DateFormat=P","Fill=—","Direction=H","UseDPDF=Y")</f>
        <v>2.3521000000000001</v>
      </c>
    </row>
    <row r="66" spans="1:27" x14ac:dyDescent="0.25">
      <c r="A66" s="7" t="s">
        <v>90</v>
      </c>
      <c r="B66" s="7"/>
      <c r="C66" s="7" t="s">
        <v>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275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1168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1169</v>
      </c>
      <c r="B8" s="10" t="s">
        <v>1170</v>
      </c>
      <c r="C8" s="13">
        <f>_xll.BDH("NBIX US Equity","ARD_NET_INCOME_CF","FQ4 2018","FQ4 2018","Currency=USD","Period=FQ","BEST_FPERIOD_OVERRIDE=FQ","FILING_STATUS=MR","SCALING_FORMAT=MLN","Sort=A","Dates=H","DateFormat=P","Fill=—","Direction=H","UseDPDF=Y")</f>
        <v>21.111000000000001</v>
      </c>
      <c r="D8" s="13">
        <f>_xll.BDH("NBIX US Equity","ARD_NET_INCOME_CF","FQ1 2019","FQ1 2019","Currency=USD","Period=FQ","BEST_FPERIOD_OVERRIDE=FQ","FILING_STATUS=MR","SCALING_FORMAT=MLN","Sort=A","Dates=H","DateFormat=P","Fill=—","Direction=H","UseDPDF=Y")</f>
        <v>-102.11499999999999</v>
      </c>
      <c r="E8" s="13">
        <f>_xll.BDH("NBIX US Equity","ARD_NET_INCOME_CF","FQ2 2019","FQ2 2019","Currency=USD","Period=FQ","BEST_FPERIOD_OVERRIDE=FQ","FILING_STATUS=MR","SCALING_FORMAT=MLN","Sort=A","Dates=H","DateFormat=P","Fill=—","Direction=H","UseDPDF=Y")</f>
        <v>-50.777000000000001</v>
      </c>
      <c r="F8" s="13">
        <f>_xll.BDH("NBIX US Equity","ARD_NET_INCOME_CF","FQ3 2019","FQ3 2019","Currency=USD","Period=FQ","BEST_FPERIOD_OVERRIDE=FQ","FILING_STATUS=MR","SCALING_FORMAT=MLN","Sort=A","Dates=H","DateFormat=P","Fill=—","Direction=H","UseDPDF=Y")</f>
        <v>3.012</v>
      </c>
      <c r="G8" s="13">
        <f>_xll.BDH("NBIX US Equity","ARD_NET_INCOME_CF","FQ4 2019","FQ4 2019","Currency=USD","Period=FQ","BEST_FPERIOD_OVERRIDE=FQ","FILING_STATUS=MR","SCALING_FORMAT=MLN","Sort=A","Dates=H","DateFormat=P","Fill=—","Direction=H","UseDPDF=Y")</f>
        <v>37</v>
      </c>
      <c r="H8" s="13">
        <f>_xll.BDH("NBIX US Equity","ARD_NET_INCOME_CF","FQ1 2020","FQ1 2020","Currency=USD","Period=FQ","BEST_FPERIOD_OVERRIDE=FQ","FILING_STATUS=MR","SCALING_FORMAT=MLN","Sort=A","Dates=H","DateFormat=P","Fill=—","Direction=H","UseDPDF=Y")</f>
        <v>37.4</v>
      </c>
      <c r="I8" s="13">
        <f>_xll.BDH("NBIX US Equity","ARD_NET_INCOME_CF","FQ2 2020","FQ2 2020","Currency=USD","Period=FQ","BEST_FPERIOD_OVERRIDE=FQ","FILING_STATUS=MR","SCALING_FORMAT=MLN","Sort=A","Dates=H","DateFormat=P","Fill=—","Direction=H","UseDPDF=Y")</f>
        <v>117</v>
      </c>
      <c r="J8" s="13">
        <f>_xll.BDH("NBIX US Equity","ARD_NET_INCOME_CF","FQ3 2020","FQ3 2020","Currency=USD","Period=FQ","BEST_FPERIOD_OVERRIDE=FQ","FILING_STATUS=MR","SCALING_FORMAT=MLN","Sort=A","Dates=H","DateFormat=P","Fill=—","Direction=H","UseDPDF=Y")</f>
        <v>59.4</v>
      </c>
      <c r="K8" s="13">
        <f>_xll.BDH("NBIX US Equity","ARD_NET_INCOME_CF","FQ4 2020","FQ4 2020","Currency=USD","Period=FQ","BEST_FPERIOD_OVERRIDE=FQ","FILING_STATUS=MR","SCALING_FORMAT=MLN","Sort=A","Dates=H","DateFormat=P","Fill=—","Direction=H","UseDPDF=Y")</f>
        <v>407.3</v>
      </c>
      <c r="L8" s="13">
        <f>_xll.BDH("NBIX US Equity","ARD_NET_INCOME_CF","FQ1 2021","FQ1 2021","Currency=USD","Period=FQ","BEST_FPERIOD_OVERRIDE=FQ","FILING_STATUS=MR","SCALING_FORMAT=MLN","Sort=A","Dates=H","DateFormat=P","Fill=—","Direction=H","UseDPDF=Y")</f>
        <v>32.1</v>
      </c>
      <c r="M8" s="13">
        <f>_xll.BDH("NBIX US Equity","ARD_NET_INCOME_CF","FQ2 2021","FQ2 2021","Currency=USD","Period=FQ","BEST_FPERIOD_OVERRIDE=FQ","FILING_STATUS=MR","SCALING_FORMAT=MLN","Sort=A","Dates=H","DateFormat=P","Fill=—","Direction=H","UseDPDF=Y")</f>
        <v>74.400000000000006</v>
      </c>
      <c r="N8" s="13">
        <f>_xll.BDH("NBIX US Equity","ARD_NET_INCOME_CF","FQ3 2021","FQ3 2021","Currency=USD","Period=FQ","BEST_FPERIOD_OVERRIDE=FQ","FILING_STATUS=MR","SCALING_FORMAT=MLN","Sort=A","Dates=H","DateFormat=P","Fill=—","Direction=H","UseDPDF=Y")</f>
        <v>96.9</v>
      </c>
      <c r="O8" s="13">
        <f>_xll.BDH("NBIX US Equity","ARD_NET_INCOME_CF","FQ4 2021","FQ4 2021","Currency=USD","Period=FQ","BEST_FPERIOD_OVERRIDE=FQ","FILING_STATUS=MR","SCALING_FORMAT=MLN","Sort=A","Dates=H","DateFormat=P","Fill=—","Direction=H","UseDPDF=Y")</f>
        <v>89.6</v>
      </c>
      <c r="P8" s="13">
        <f>_xll.BDH("NBIX US Equity","ARD_NET_INCOME_CF","FQ1 2022","FQ1 2022","Currency=USD","Period=FQ","BEST_FPERIOD_OVERRIDE=FQ","FILING_STATUS=MR","SCALING_FORMAT=MLN","Sort=A","Dates=H","DateFormat=P","Fill=—","Direction=H","UseDPDF=Y")</f>
        <v>13.9</v>
      </c>
      <c r="Q8" s="13">
        <f>_xll.BDH("NBIX US Equity","ARD_NET_INCOME_CF","FQ2 2022","FQ2 2022","Currency=USD","Period=FQ","BEST_FPERIOD_OVERRIDE=FQ","FILING_STATUS=MR","SCALING_FORMAT=MLN","Sort=A","Dates=H","DateFormat=P","Fill=—","Direction=H","UseDPDF=Y")</f>
        <v>-3</v>
      </c>
      <c r="R8" s="13">
        <f>_xll.BDH("NBIX US Equity","ARD_NET_INCOME_CF","FQ3 2022","FQ3 2022","Currency=USD","Period=FQ","BEST_FPERIOD_OVERRIDE=FQ","FILING_STATUS=MR","SCALING_FORMAT=MLN","Sort=A","Dates=H","DateFormat=P","Fill=—","Direction=H","UseDPDF=Y")</f>
        <v>65.5</v>
      </c>
      <c r="S8" s="13">
        <f>_xll.BDH("NBIX US Equity","ARD_NET_INCOME_CF","FQ4 2022","FQ4 2022","Currency=USD","Period=FQ","BEST_FPERIOD_OVERRIDE=FQ","FILING_STATUS=MR","SCALING_FORMAT=MLN","Sort=A","Dates=H","DateFormat=P","Fill=—","Direction=H","UseDPDF=Y")</f>
        <v>154.5</v>
      </c>
      <c r="T8" s="13">
        <f>_xll.BDH("NBIX US Equity","ARD_NET_INCOME_CF","FQ1 2023","FQ1 2023","Currency=USD","Period=FQ","BEST_FPERIOD_OVERRIDE=FQ","FILING_STATUS=MR","SCALING_FORMAT=MLN","Sort=A","Dates=H","DateFormat=P","Fill=—","Direction=H","UseDPDF=Y")</f>
        <v>-76.599999999999994</v>
      </c>
      <c r="U8" s="13">
        <f>_xll.BDH("NBIX US Equity","ARD_NET_INCOME_CF","FQ2 2023","FQ2 2023","Currency=USD","Period=FQ","BEST_FPERIOD_OVERRIDE=FQ","FILING_STATUS=MR","SCALING_FORMAT=MLN","Sort=A","Dates=H","DateFormat=P","Fill=—","Direction=H","UseDPDF=Y")</f>
        <v>18.899999999999999</v>
      </c>
      <c r="V8" s="13">
        <f>_xll.BDH("NBIX US Equity","ARD_NET_INCOME_CF","FQ3 2023","FQ3 2023","Currency=USD","Period=FQ","BEST_FPERIOD_OVERRIDE=FQ","FILING_STATUS=MR","SCALING_FORMAT=MLN","Sort=A","Dates=H","DateFormat=P","Fill=—","Direction=H","UseDPDF=Y")</f>
        <v>102</v>
      </c>
      <c r="W8" s="13">
        <f>_xll.BDH("NBIX US Equity","ARD_NET_INCOME_CF","FQ4 2023","FQ4 2023","Currency=USD","Period=FQ","BEST_FPERIOD_OVERRIDE=FQ","FILING_STATUS=MR","SCALING_FORMAT=MLN","Sort=A","Dates=H","DateFormat=P","Fill=—","Direction=H","UseDPDF=Y")</f>
        <v>249.7</v>
      </c>
      <c r="X8" s="13">
        <f>_xll.BDH("NBIX US Equity","ARD_NET_INCOME_CF","FQ1 2024","FQ1 2024","Currency=USD","Period=FQ","BEST_FPERIOD_OVERRIDE=FQ","FILING_STATUS=MR","SCALING_FORMAT=MLN","Sort=A","Dates=H","DateFormat=P","Fill=—","Direction=H","UseDPDF=Y")</f>
        <v>43.4</v>
      </c>
      <c r="Y8" s="13">
        <f>_xll.BDH("NBIX US Equity","ARD_NET_INCOME_CF","FQ2 2024","FQ2 2024","Currency=USD","Period=FQ","BEST_FPERIOD_OVERRIDE=FQ","FILING_STATUS=MR","SCALING_FORMAT=MLN","Sort=A","Dates=H","DateFormat=P","Fill=—","Direction=H","UseDPDF=Y")</f>
        <v>108.4</v>
      </c>
      <c r="Z8" s="13">
        <f>_xll.BDH("NBIX US Equity","ARD_NET_INCOME_CF","FQ3 2024","FQ3 2024","Currency=USD","Period=FQ","BEST_FPERIOD_OVERRIDE=FQ","FILING_STATUS=MR","SCALING_FORMAT=MLN","Sort=A","Dates=H","DateFormat=P","Fill=—","Direction=H","UseDPDF=Y")</f>
        <v>238.2</v>
      </c>
      <c r="AA8" s="13">
        <f>_xll.BDH("NBIX US Equity","ARD_NET_INCOME_CF","FQ4 2024","FQ4 2024","Currency=USD","Period=FQ","BEST_FPERIOD_OVERRIDE=FQ","FILING_STATUS=MR","SCALING_FORMAT=MLN","Sort=A","Dates=H","DateFormat=P","Fill=—","Direction=H","UseDPDF=Y")</f>
        <v>341.3</v>
      </c>
    </row>
    <row r="9" spans="1:27" x14ac:dyDescent="0.25">
      <c r="A9" s="10" t="s">
        <v>1171</v>
      </c>
      <c r="B9" s="10" t="s">
        <v>1172</v>
      </c>
      <c r="C9" s="13" t="str">
        <f>_xll.BDH("NBIX US Equity","ARD_DEPRECIATION_CF","FQ4 2018","FQ4 2018","Currency=USD","Period=FQ","BEST_FPERIOD_OVERRIDE=FQ","FILING_STATUS=MR","SCALING_FORMAT=MLN","Sort=A","Dates=H","DateFormat=P","Fill=—","Direction=H","UseDPDF=Y")</f>
        <v>—</v>
      </c>
      <c r="D9" s="13" t="str">
        <f>_xll.BDH("NBIX US Equity","ARD_DEPRECIATION_CF","FQ1 2019","FQ1 2019","Currency=USD","Period=FQ","BEST_FPERIOD_OVERRIDE=FQ","FILING_STATUS=MR","SCALING_FORMAT=MLN","Sort=A","Dates=H","DateFormat=P","Fill=—","Direction=H","UseDPDF=Y")</f>
        <v>—</v>
      </c>
      <c r="E9" s="13" t="str">
        <f>_xll.BDH("NBIX US Equity","ARD_DEPRECIATION_CF","FQ2 2019","FQ2 2019","Currency=USD","Period=FQ","BEST_FPERIOD_OVERRIDE=FQ","FILING_STATUS=MR","SCALING_FORMAT=MLN","Sort=A","Dates=H","DateFormat=P","Fill=—","Direction=H","UseDPDF=Y")</f>
        <v>—</v>
      </c>
      <c r="F9" s="13" t="str">
        <f>_xll.BDH("NBIX US Equity","ARD_DEPRECIATION_CF","FQ3 2019","FQ3 2019","Currency=USD","Period=FQ","BEST_FPERIOD_OVERRIDE=FQ","FILING_STATUS=MR","SCALING_FORMAT=MLN","Sort=A","Dates=H","DateFormat=P","Fill=—","Direction=H","UseDPDF=Y")</f>
        <v>—</v>
      </c>
      <c r="G9" s="13" t="str">
        <f>_xll.BDH("NBIX US Equity","ARD_DEPRECIATION_CF","FQ4 2019","FQ4 2019","Currency=USD","Period=FQ","BEST_FPERIOD_OVERRIDE=FQ","FILING_STATUS=MR","SCALING_FORMAT=MLN","Sort=A","Dates=H","DateFormat=P","Fill=—","Direction=H","UseDPDF=Y")</f>
        <v>—</v>
      </c>
      <c r="H9" s="13" t="str">
        <f>_xll.BDH("NBIX US Equity","ARD_DEPRECIATION_CF","FQ1 2020","FQ1 2020","Currency=USD","Period=FQ","BEST_FPERIOD_OVERRIDE=FQ","FILING_STATUS=MR","SCALING_FORMAT=MLN","Sort=A","Dates=H","DateFormat=P","Fill=—","Direction=H","UseDPDF=Y")</f>
        <v>—</v>
      </c>
      <c r="I9" s="13" t="str">
        <f>_xll.BDH("NBIX US Equity","ARD_DEPRECIATION_CF","FQ2 2020","FQ2 2020","Currency=USD","Period=FQ","BEST_FPERIOD_OVERRIDE=FQ","FILING_STATUS=MR","SCALING_FORMAT=MLN","Sort=A","Dates=H","DateFormat=P","Fill=—","Direction=H","UseDPDF=Y")</f>
        <v>—</v>
      </c>
      <c r="J9" s="13" t="str">
        <f>_xll.BDH("NBIX US Equity","ARD_DEPRECIATION_CF","FQ3 2020","FQ3 2020","Currency=USD","Period=FQ","BEST_FPERIOD_OVERRIDE=FQ","FILING_STATUS=MR","SCALING_FORMAT=MLN","Sort=A","Dates=H","DateFormat=P","Fill=—","Direction=H","UseDPDF=Y")</f>
        <v>—</v>
      </c>
      <c r="K9" s="13" t="str">
        <f>_xll.BDH("NBIX US Equity","ARD_DEPRECIATION_CF","FQ4 2020","FQ4 2020","Currency=USD","Period=FQ","BEST_FPERIOD_OVERRIDE=FQ","FILING_STATUS=MR","SCALING_FORMAT=MLN","Sort=A","Dates=H","DateFormat=P","Fill=—","Direction=H","UseDPDF=Y")</f>
        <v>—</v>
      </c>
      <c r="L9" s="13" t="str">
        <f>_xll.BDH("NBIX US Equity","ARD_DEPRECIATION_CF","FQ1 2021","FQ1 2021","Currency=USD","Period=FQ","BEST_FPERIOD_OVERRIDE=FQ","FILING_STATUS=MR","SCALING_FORMAT=MLN","Sort=A","Dates=H","DateFormat=P","Fill=—","Direction=H","UseDPDF=Y")</f>
        <v>—</v>
      </c>
      <c r="M9" s="13" t="str">
        <f>_xll.BDH("NBIX US Equity","ARD_DEPRECIATION_CF","FQ2 2021","FQ2 2021","Currency=USD","Period=FQ","BEST_FPERIOD_OVERRIDE=FQ","FILING_STATUS=MR","SCALING_FORMAT=MLN","Sort=A","Dates=H","DateFormat=P","Fill=—","Direction=H","UseDPDF=Y")</f>
        <v>—</v>
      </c>
      <c r="N9" s="13" t="str">
        <f>_xll.BDH("NBIX US Equity","ARD_DEPRECIATION_CF","FQ3 2021","FQ3 2021","Currency=USD","Period=FQ","BEST_FPERIOD_OVERRIDE=FQ","FILING_STATUS=MR","SCALING_FORMAT=MLN","Sort=A","Dates=H","DateFormat=P","Fill=—","Direction=H","UseDPDF=Y")</f>
        <v>—</v>
      </c>
      <c r="O9" s="13" t="str">
        <f>_xll.BDH("NBIX US Equity","ARD_DEPRECIATION_CF","FQ4 2021","FQ4 2021","Currency=USD","Period=FQ","BEST_FPERIOD_OVERRIDE=FQ","FILING_STATUS=MR","SCALING_FORMAT=MLN","Sort=A","Dates=H","DateFormat=P","Fill=—","Direction=H","UseDPDF=Y")</f>
        <v>—</v>
      </c>
      <c r="P9" s="13" t="str">
        <f>_xll.BDH("NBIX US Equity","ARD_DEPRECIATION_CF","FQ1 2022","FQ1 2022","Currency=USD","Period=FQ","BEST_FPERIOD_OVERRIDE=FQ","FILING_STATUS=MR","SCALING_FORMAT=MLN","Sort=A","Dates=H","DateFormat=P","Fill=—","Direction=H","UseDPDF=Y")</f>
        <v>—</v>
      </c>
      <c r="Q9" s="13" t="str">
        <f>_xll.BDH("NBIX US Equity","ARD_DEPRECIATION_CF","FQ2 2022","FQ2 2022","Currency=USD","Period=FQ","BEST_FPERIOD_OVERRIDE=FQ","FILING_STATUS=MR","SCALING_FORMAT=MLN","Sort=A","Dates=H","DateFormat=P","Fill=—","Direction=H","UseDPDF=Y")</f>
        <v>—</v>
      </c>
      <c r="R9" s="13" t="str">
        <f>_xll.BDH("NBIX US Equity","ARD_DEPRECIATION_CF","FQ3 2022","FQ3 2022","Currency=USD","Period=FQ","BEST_FPERIOD_OVERRIDE=FQ","FILING_STATUS=MR","SCALING_FORMAT=MLN","Sort=A","Dates=H","DateFormat=P","Fill=—","Direction=H","UseDPDF=Y")</f>
        <v>—</v>
      </c>
      <c r="S9" s="13" t="str">
        <f>_xll.BDH("NBIX US Equity","ARD_DEPRECIATION_CF","FQ4 2022","FQ4 2022","Currency=USD","Period=FQ","BEST_FPERIOD_OVERRIDE=FQ","FILING_STATUS=MR","SCALING_FORMAT=MLN","Sort=A","Dates=H","DateFormat=P","Fill=—","Direction=H","UseDPDF=Y")</f>
        <v>—</v>
      </c>
      <c r="T9" s="13" t="str">
        <f>_xll.BDH("NBIX US Equity","ARD_DEPRECIATION_CF","FQ1 2023","FQ1 2023","Currency=USD","Period=FQ","BEST_FPERIOD_OVERRIDE=FQ","FILING_STATUS=MR","SCALING_FORMAT=MLN","Sort=A","Dates=H","DateFormat=P","Fill=—","Direction=H","UseDPDF=Y")</f>
        <v>—</v>
      </c>
      <c r="U9" s="13" t="str">
        <f>_xll.BDH("NBIX US Equity","ARD_DEPRECIATION_CF","FQ2 2023","FQ2 2023","Currency=USD","Period=FQ","BEST_FPERIOD_OVERRIDE=FQ","FILING_STATUS=MR","SCALING_FORMAT=MLN","Sort=A","Dates=H","DateFormat=P","Fill=—","Direction=H","UseDPDF=Y")</f>
        <v>—</v>
      </c>
      <c r="V9" s="13" t="str">
        <f>_xll.BDH("NBIX US Equity","ARD_DEPRECIATION_CF","FQ3 2023","FQ3 2023","Currency=USD","Period=FQ","BEST_FPERIOD_OVERRIDE=FQ","FILING_STATUS=MR","SCALING_FORMAT=MLN","Sort=A","Dates=H","DateFormat=P","Fill=—","Direction=H","UseDPDF=Y")</f>
        <v>—</v>
      </c>
      <c r="W9" s="13" t="str">
        <f>_xll.BDH("NBIX US Equity","ARD_DEPRECIATION_CF","FQ4 2023","FQ4 2023","Currency=USD","Period=FQ","BEST_FPERIOD_OVERRIDE=FQ","FILING_STATUS=MR","SCALING_FORMAT=MLN","Sort=A","Dates=H","DateFormat=P","Fill=—","Direction=H","UseDPDF=Y")</f>
        <v>—</v>
      </c>
      <c r="X9" s="13" t="str">
        <f>_xll.BDH("NBIX US Equity","ARD_DEPRECIATION_CF","FQ1 2024","FQ1 2024","Currency=USD","Period=FQ","BEST_FPERIOD_OVERRIDE=FQ","FILING_STATUS=MR","SCALING_FORMAT=MLN","Sort=A","Dates=H","DateFormat=P","Fill=—","Direction=H","UseDPDF=Y")</f>
        <v>—</v>
      </c>
      <c r="Y9" s="13" t="str">
        <f>_xll.BDH("NBIX US Equity","ARD_DEPRECIATION_CF","FQ2 2024","FQ2 2024","Currency=USD","Period=FQ","BEST_FPERIOD_OVERRIDE=FQ","FILING_STATUS=MR","SCALING_FORMAT=MLN","Sort=A","Dates=H","DateFormat=P","Fill=—","Direction=H","UseDPDF=Y")</f>
        <v>—</v>
      </c>
      <c r="Z9" s="13" t="str">
        <f>_xll.BDH("NBIX US Equity","ARD_DEPRECIATION_CF","FQ3 2024","FQ3 2024","Currency=USD","Period=FQ","BEST_FPERIOD_OVERRIDE=FQ","FILING_STATUS=MR","SCALING_FORMAT=MLN","Sort=A","Dates=H","DateFormat=P","Fill=—","Direction=H","UseDPDF=Y")</f>
        <v>—</v>
      </c>
      <c r="AA9" s="13">
        <f>_xll.BDH("NBIX US Equity","ARD_DEPRECIATION_CF","FQ4 2024","FQ4 2024","Currency=USD","Period=FQ","BEST_FPERIOD_OVERRIDE=FQ","FILING_STATUS=MR","SCALING_FORMAT=MLN","Sort=A","Dates=H","DateFormat=P","Fill=—","Direction=H","UseDPDF=Y")</f>
        <v>23.5</v>
      </c>
    </row>
    <row r="10" spans="1:27" x14ac:dyDescent="0.25">
      <c r="A10" s="10" t="s">
        <v>1173</v>
      </c>
      <c r="B10" s="10" t="s">
        <v>1174</v>
      </c>
      <c r="C10" s="13">
        <f>_xll.BDH("NBIX US Equity","ARD_DEPRECIATION_AND_AMORT_CF","FQ4 2018","FQ4 2018","Currency=USD","Period=FQ","BEST_FPERIOD_OVERRIDE=FQ","FILING_STATUS=MR","SCALING_FORMAT=MLN","Sort=A","Dates=H","DateFormat=P","Fill=—","Direction=H","UseDPDF=Y")</f>
        <v>4.024</v>
      </c>
      <c r="D10" s="13">
        <f>_xll.BDH("NBIX US Equity","ARD_DEPRECIATION_AND_AMORT_CF","FQ1 2019","FQ1 2019","Currency=USD","Period=FQ","BEST_FPERIOD_OVERRIDE=FQ","FILING_STATUS=MR","SCALING_FORMAT=MLN","Sort=A","Dates=H","DateFormat=P","Fill=—","Direction=H","UseDPDF=Y")</f>
        <v>1.5660000000000001</v>
      </c>
      <c r="E10" s="13">
        <f>_xll.BDH("NBIX US Equity","ARD_DEPRECIATION_AND_AMORT_CF","FQ2 2019","FQ2 2019","Currency=USD","Period=FQ","BEST_FPERIOD_OVERRIDE=FQ","FILING_STATUS=MR","SCALING_FORMAT=MLN","Sort=A","Dates=H","DateFormat=P","Fill=—","Direction=H","UseDPDF=Y")</f>
        <v>3.3519999999999999</v>
      </c>
      <c r="F10" s="13">
        <f>_xll.BDH("NBIX US Equity","ARD_DEPRECIATION_AND_AMORT_CF","FQ3 2019","FQ3 2019","Currency=USD","Period=FQ","BEST_FPERIOD_OVERRIDE=FQ","FILING_STATUS=MR","SCALING_FORMAT=MLN","Sort=A","Dates=H","DateFormat=P","Fill=—","Direction=H","UseDPDF=Y")</f>
        <v>5.3609999999999998</v>
      </c>
      <c r="G10" s="13">
        <f>_xll.BDH("NBIX US Equity","ARD_DEPRECIATION_AND_AMORT_CF","FQ4 2019","FQ4 2019","Currency=USD","Period=FQ","BEST_FPERIOD_OVERRIDE=FQ","FILING_STATUS=MR","SCALING_FORMAT=MLN","Sort=A","Dates=H","DateFormat=P","Fill=—","Direction=H","UseDPDF=Y")</f>
        <v>7.4</v>
      </c>
      <c r="H10" s="13">
        <f>_xll.BDH("NBIX US Equity","ARD_DEPRECIATION_AND_AMORT_CF","FQ1 2020","FQ1 2020","Currency=USD","Period=FQ","BEST_FPERIOD_OVERRIDE=FQ","FILING_STATUS=MR","SCALING_FORMAT=MLN","Sort=A","Dates=H","DateFormat=P","Fill=—","Direction=H","UseDPDF=Y")</f>
        <v>2.1</v>
      </c>
      <c r="I10" s="13">
        <f>_xll.BDH("NBIX US Equity","ARD_DEPRECIATION_AND_AMORT_CF","FQ2 2020","FQ2 2020","Currency=USD","Period=FQ","BEST_FPERIOD_OVERRIDE=FQ","FILING_STATUS=MR","SCALING_FORMAT=MLN","Sort=A","Dates=H","DateFormat=P","Fill=—","Direction=H","UseDPDF=Y")</f>
        <v>4.2</v>
      </c>
      <c r="J10" s="13">
        <f>_xll.BDH("NBIX US Equity","ARD_DEPRECIATION_AND_AMORT_CF","FQ3 2020","FQ3 2020","Currency=USD","Period=FQ","BEST_FPERIOD_OVERRIDE=FQ","FILING_STATUS=MR","SCALING_FORMAT=MLN","Sort=A","Dates=H","DateFormat=P","Fill=—","Direction=H","UseDPDF=Y")</f>
        <v>6.4</v>
      </c>
      <c r="K10" s="13">
        <f>_xll.BDH("NBIX US Equity","ARD_DEPRECIATION_AND_AMORT_CF","FQ4 2020","FQ4 2020","Currency=USD","Period=FQ","BEST_FPERIOD_OVERRIDE=FQ","FILING_STATUS=MR","SCALING_FORMAT=MLN","Sort=A","Dates=H","DateFormat=P","Fill=—","Direction=H","UseDPDF=Y")</f>
        <v>8.6</v>
      </c>
      <c r="L10" s="13">
        <f>_xll.BDH("NBIX US Equity","ARD_DEPRECIATION_AND_AMORT_CF","FQ1 2021","FQ1 2021","Currency=USD","Period=FQ","BEST_FPERIOD_OVERRIDE=FQ","FILING_STATUS=MR","SCALING_FORMAT=MLN","Sort=A","Dates=H","DateFormat=P","Fill=—","Direction=H","UseDPDF=Y")</f>
        <v>2.5</v>
      </c>
      <c r="M10" s="13">
        <f>_xll.BDH("NBIX US Equity","ARD_DEPRECIATION_AND_AMORT_CF","FQ2 2021","FQ2 2021","Currency=USD","Period=FQ","BEST_FPERIOD_OVERRIDE=FQ","FILING_STATUS=MR","SCALING_FORMAT=MLN","Sort=A","Dates=H","DateFormat=P","Fill=—","Direction=H","UseDPDF=Y")</f>
        <v>5.0999999999999996</v>
      </c>
      <c r="N10" s="13">
        <f>_xll.BDH("NBIX US Equity","ARD_DEPRECIATION_AND_AMORT_CF","FQ3 2021","FQ3 2021","Currency=USD","Period=FQ","BEST_FPERIOD_OVERRIDE=FQ","FILING_STATUS=MR","SCALING_FORMAT=MLN","Sort=A","Dates=H","DateFormat=P","Fill=—","Direction=H","UseDPDF=Y")</f>
        <v>7.9</v>
      </c>
      <c r="O10" s="13">
        <f>_xll.BDH("NBIX US Equity","ARD_DEPRECIATION_AND_AMORT_CF","FQ4 2021","FQ4 2021","Currency=USD","Period=FQ","BEST_FPERIOD_OVERRIDE=FQ","FILING_STATUS=MR","SCALING_FORMAT=MLN","Sort=A","Dates=H","DateFormat=P","Fill=—","Direction=H","UseDPDF=Y")</f>
        <v>10.9</v>
      </c>
      <c r="P10" s="13">
        <f>_xll.BDH("NBIX US Equity","ARD_DEPRECIATION_AND_AMORT_CF","FQ1 2022","FQ1 2022","Currency=USD","Period=FQ","BEST_FPERIOD_OVERRIDE=FQ","FILING_STATUS=MR","SCALING_FORMAT=MLN","Sort=A","Dates=H","DateFormat=P","Fill=—","Direction=H","UseDPDF=Y")</f>
        <v>3.3</v>
      </c>
      <c r="Q10" s="13">
        <f>_xll.BDH("NBIX US Equity","ARD_DEPRECIATION_AND_AMORT_CF","FQ2 2022","FQ2 2022","Currency=USD","Period=FQ","BEST_FPERIOD_OVERRIDE=FQ","FILING_STATUS=MR","SCALING_FORMAT=MLN","Sort=A","Dates=H","DateFormat=P","Fill=—","Direction=H","UseDPDF=Y")</f>
        <v>7.2</v>
      </c>
      <c r="R10" s="13">
        <f>_xll.BDH("NBIX US Equity","ARD_DEPRECIATION_AND_AMORT_CF","FQ3 2022","FQ3 2022","Currency=USD","Period=FQ","BEST_FPERIOD_OVERRIDE=FQ","FILING_STATUS=MR","SCALING_FORMAT=MLN","Sort=A","Dates=H","DateFormat=P","Fill=—","Direction=H","UseDPDF=Y")</f>
        <v>11.2</v>
      </c>
      <c r="S10" s="13">
        <f>_xll.BDH("NBIX US Equity","ARD_DEPRECIATION_AND_AMORT_CF","FQ4 2022","FQ4 2022","Currency=USD","Period=FQ","BEST_FPERIOD_OVERRIDE=FQ","FILING_STATUS=MR","SCALING_FORMAT=MLN","Sort=A","Dates=H","DateFormat=P","Fill=—","Direction=H","UseDPDF=Y")</f>
        <v>15.1</v>
      </c>
      <c r="T10" s="13">
        <f>_xll.BDH("NBIX US Equity","ARD_DEPRECIATION_AND_AMORT_CF","FQ1 2023","FQ1 2023","Currency=USD","Period=FQ","BEST_FPERIOD_OVERRIDE=FQ","FILING_STATUS=MR","SCALING_FORMAT=MLN","Sort=A","Dates=H","DateFormat=P","Fill=—","Direction=H","UseDPDF=Y")</f>
        <v>4.0999999999999996</v>
      </c>
      <c r="U10" s="13">
        <f>_xll.BDH("NBIX US Equity","ARD_DEPRECIATION_AND_AMORT_CF","FQ2 2023","FQ2 2023","Currency=USD","Period=FQ","BEST_FPERIOD_OVERRIDE=FQ","FILING_STATUS=MR","SCALING_FORMAT=MLN","Sort=A","Dates=H","DateFormat=P","Fill=—","Direction=H","UseDPDF=Y")</f>
        <v>8.3000000000000007</v>
      </c>
      <c r="V10" s="13">
        <f>_xll.BDH("NBIX US Equity","ARD_DEPRECIATION_AND_AMORT_CF","FQ3 2023","FQ3 2023","Currency=USD","Period=FQ","BEST_FPERIOD_OVERRIDE=FQ","FILING_STATUS=MR","SCALING_FORMAT=MLN","Sort=A","Dates=H","DateFormat=P","Fill=—","Direction=H","UseDPDF=Y")</f>
        <v>12.9</v>
      </c>
      <c r="W10" s="13">
        <f>_xll.BDH("NBIX US Equity","ARD_DEPRECIATION_AND_AMORT_CF","FQ4 2023","FQ4 2023","Currency=USD","Period=FQ","BEST_FPERIOD_OVERRIDE=FQ","FILING_STATUS=MR","SCALING_FORMAT=MLN","Sort=A","Dates=H","DateFormat=P","Fill=—","Direction=H","UseDPDF=Y")</f>
        <v>17.8</v>
      </c>
      <c r="X10" s="13">
        <f>_xll.BDH("NBIX US Equity","ARD_DEPRECIATION_AND_AMORT_CF","FQ1 2024","FQ1 2024","Currency=USD","Period=FQ","BEST_FPERIOD_OVERRIDE=FQ","FILING_STATUS=MR","SCALING_FORMAT=MLN","Sort=A","Dates=H","DateFormat=P","Fill=—","Direction=H","UseDPDF=Y")</f>
        <v>5.3</v>
      </c>
      <c r="Y10" s="13">
        <f>_xll.BDH("NBIX US Equity","ARD_DEPRECIATION_AND_AMORT_CF","FQ2 2024","FQ2 2024","Currency=USD","Period=FQ","BEST_FPERIOD_OVERRIDE=FQ","FILING_STATUS=MR","SCALING_FORMAT=MLN","Sort=A","Dates=H","DateFormat=P","Fill=—","Direction=H","UseDPDF=Y")</f>
        <v>11.7</v>
      </c>
      <c r="Z10" s="13">
        <f>_xll.BDH("NBIX US Equity","ARD_DEPRECIATION_AND_AMORT_CF","FQ3 2024","FQ3 2024","Currency=USD","Period=FQ","BEST_FPERIOD_OVERRIDE=FQ","FILING_STATUS=MR","SCALING_FORMAT=MLN","Sort=A","Dates=H","DateFormat=P","Fill=—","Direction=H","UseDPDF=Y")</f>
        <v>17.3</v>
      </c>
      <c r="AA10" s="13" t="str">
        <f>_xll.BDH("NBIX US Equity","ARD_DEPRECIATION_AND_AMORT_CF","FQ4 2024","FQ4 2024","Currency=USD","Period=FQ","BEST_FPERIOD_OVERRIDE=FQ","FILING_STATUS=MR","SCALING_FORMAT=MLN","Sort=A","Dates=H","DateFormat=P","Fill=—","Direction=H","UseDPDF=Y")</f>
        <v>—</v>
      </c>
    </row>
    <row r="11" spans="1:27" x14ac:dyDescent="0.25">
      <c r="A11" s="10" t="s">
        <v>1175</v>
      </c>
      <c r="B11" s="10" t="s">
        <v>1176</v>
      </c>
      <c r="C11" s="13" t="str">
        <f>_xll.BDH("NBIX US Equity","ARD_DEFERRED_INCOME_TAXES_CF","FQ4 2018","FQ4 2018","Currency=USD","Period=FQ","BEST_FPERIOD_OVERRIDE=FQ","FILING_STATUS=MR","SCALING_FORMAT=MLN","Sort=A","Dates=H","DateFormat=P","Fill=—","Direction=H","UseDPDF=Y")</f>
        <v>—</v>
      </c>
      <c r="D11" s="13" t="str">
        <f>_xll.BDH("NBIX US Equity","ARD_DEFERRED_INCOME_TAXES_CF","FQ1 2019","FQ1 2019","Currency=USD","Period=FQ","BEST_FPERIOD_OVERRIDE=FQ","FILING_STATUS=MR","SCALING_FORMAT=MLN","Sort=A","Dates=H","DateFormat=P","Fill=—","Direction=H","UseDPDF=Y")</f>
        <v>—</v>
      </c>
      <c r="E11" s="13" t="str">
        <f>_xll.BDH("NBIX US Equity","ARD_DEFERRED_INCOME_TAXES_CF","FQ2 2019","FQ2 2019","Currency=USD","Period=FQ","BEST_FPERIOD_OVERRIDE=FQ","FILING_STATUS=MR","SCALING_FORMAT=MLN","Sort=A","Dates=H","DateFormat=P","Fill=—","Direction=H","UseDPDF=Y")</f>
        <v>—</v>
      </c>
      <c r="F11" s="13" t="str">
        <f>_xll.BDH("NBIX US Equity","ARD_DEFERRED_INCOME_TAXES_CF","FQ3 2019","FQ3 2019","Currency=USD","Period=FQ","BEST_FPERIOD_OVERRIDE=FQ","FILING_STATUS=MR","SCALING_FORMAT=MLN","Sort=A","Dates=H","DateFormat=P","Fill=—","Direction=H","UseDPDF=Y")</f>
        <v>—</v>
      </c>
      <c r="G11" s="13">
        <f>_xll.BDH("NBIX US Equity","ARD_DEFERRED_INCOME_TAXES_CF","FQ4 2019","FQ4 2019","Currency=USD","Period=FQ","BEST_FPERIOD_OVERRIDE=FQ","FILING_STATUS=MR","SCALING_FORMAT=MLN","Sort=A","Dates=H","DateFormat=P","Fill=—","Direction=H","UseDPDF=Y")</f>
        <v>0</v>
      </c>
      <c r="H11" s="13">
        <f>_xll.BDH("NBIX US Equity","ARD_DEFERRED_INCOME_TAXES_CF","FQ1 2020","FQ1 2020","Currency=USD","Period=FQ","BEST_FPERIOD_OVERRIDE=FQ","FILING_STATUS=MR","SCALING_FORMAT=MLN","Sort=A","Dates=H","DateFormat=P","Fill=—","Direction=H","UseDPDF=Y")</f>
        <v>0</v>
      </c>
      <c r="I11" s="13">
        <f>_xll.BDH("NBIX US Equity","ARD_DEFERRED_INCOME_TAXES_CF","FQ2 2020","FQ2 2020","Currency=USD","Period=FQ","BEST_FPERIOD_OVERRIDE=FQ","FILING_STATUS=MR","SCALING_FORMAT=MLN","Sort=A","Dates=H","DateFormat=P","Fill=—","Direction=H","UseDPDF=Y")</f>
        <v>0</v>
      </c>
      <c r="J11" s="13">
        <f>_xll.BDH("NBIX US Equity","ARD_DEFERRED_INCOME_TAXES_CF","FQ3 2020","FQ3 2020","Currency=USD","Period=FQ","BEST_FPERIOD_OVERRIDE=FQ","FILING_STATUS=MR","SCALING_FORMAT=MLN","Sort=A","Dates=H","DateFormat=P","Fill=—","Direction=H","UseDPDF=Y")</f>
        <v>0</v>
      </c>
      <c r="K11" s="13">
        <f>_xll.BDH("NBIX US Equity","ARD_DEFERRED_INCOME_TAXES_CF","FQ4 2020","FQ4 2020","Currency=USD","Period=FQ","BEST_FPERIOD_OVERRIDE=FQ","FILING_STATUS=MR","SCALING_FORMAT=MLN","Sort=A","Dates=H","DateFormat=P","Fill=—","Direction=H","UseDPDF=Y")</f>
        <v>-310.7</v>
      </c>
      <c r="L11" s="13">
        <f>_xll.BDH("NBIX US Equity","ARD_DEFERRED_INCOME_TAXES_CF","FQ1 2021","FQ1 2021","Currency=USD","Period=FQ","BEST_FPERIOD_OVERRIDE=FQ","FILING_STATUS=MR","SCALING_FORMAT=MLN","Sort=A","Dates=H","DateFormat=P","Fill=—","Direction=H","UseDPDF=Y")</f>
        <v>-6.2</v>
      </c>
      <c r="M11" s="13">
        <f>_xll.BDH("NBIX US Equity","ARD_DEFERRED_INCOME_TAXES_CF","FQ2 2021","FQ2 2021","Currency=USD","Period=FQ","BEST_FPERIOD_OVERRIDE=FQ","FILING_STATUS=MR","SCALING_FORMAT=MLN","Sort=A","Dates=H","DateFormat=P","Fill=—","Direction=H","UseDPDF=Y")</f>
        <v>3.3</v>
      </c>
      <c r="N11" s="13">
        <f>_xll.BDH("NBIX US Equity","ARD_DEFERRED_INCOME_TAXES_CF","FQ3 2021","FQ3 2021","Currency=USD","Period=FQ","BEST_FPERIOD_OVERRIDE=FQ","FILING_STATUS=MR","SCALING_FORMAT=MLN","Sort=A","Dates=H","DateFormat=P","Fill=—","Direction=H","UseDPDF=Y")</f>
        <v>9</v>
      </c>
      <c r="O11" s="13">
        <f>_xll.BDH("NBIX US Equity","ARD_DEFERRED_INCOME_TAXES_CF","FQ4 2021","FQ4 2021","Currency=USD","Period=FQ","BEST_FPERIOD_OVERRIDE=FQ","FILING_STATUS=MR","SCALING_FORMAT=MLN","Sort=A","Dates=H","DateFormat=P","Fill=—","Direction=H","UseDPDF=Y")</f>
        <v>4.3</v>
      </c>
      <c r="P11" s="13">
        <f>_xll.BDH("NBIX US Equity","ARD_DEFERRED_INCOME_TAXES_CF","FQ1 2022","FQ1 2022","Currency=USD","Period=FQ","BEST_FPERIOD_OVERRIDE=FQ","FILING_STATUS=MR","SCALING_FORMAT=MLN","Sort=A","Dates=H","DateFormat=P","Fill=—","Direction=H","UseDPDF=Y")</f>
        <v>-0.3</v>
      </c>
      <c r="Q11" s="13">
        <f>_xll.BDH("NBIX US Equity","ARD_DEFERRED_INCOME_TAXES_CF","FQ2 2022","FQ2 2022","Currency=USD","Period=FQ","BEST_FPERIOD_OVERRIDE=FQ","FILING_STATUS=MR","SCALING_FORMAT=MLN","Sort=A","Dates=H","DateFormat=P","Fill=—","Direction=H","UseDPDF=Y")</f>
        <v>-3.4</v>
      </c>
      <c r="R11" s="13">
        <f>_xll.BDH("NBIX US Equity","ARD_DEFERRED_INCOME_TAXES_CF","FQ3 2022","FQ3 2022","Currency=USD","Period=FQ","BEST_FPERIOD_OVERRIDE=FQ","FILING_STATUS=MR","SCALING_FORMAT=MLN","Sort=A","Dates=H","DateFormat=P","Fill=—","Direction=H","UseDPDF=Y")</f>
        <v>5.6</v>
      </c>
      <c r="S11" s="13">
        <f>_xll.BDH("NBIX US Equity","ARD_DEFERRED_INCOME_TAXES_CF","FQ4 2022","FQ4 2022","Currency=USD","Period=FQ","BEST_FPERIOD_OVERRIDE=FQ","FILING_STATUS=MR","SCALING_FORMAT=MLN","Sort=A","Dates=H","DateFormat=P","Fill=—","Direction=H","UseDPDF=Y")</f>
        <v>19.100000000000001</v>
      </c>
      <c r="T11" s="13">
        <f>_xll.BDH("NBIX US Equity","ARD_DEFERRED_INCOME_TAXES_CF","FQ1 2023","FQ1 2023","Currency=USD","Period=FQ","BEST_FPERIOD_OVERRIDE=FQ","FILING_STATUS=MR","SCALING_FORMAT=MLN","Sort=A","Dates=H","DateFormat=P","Fill=—","Direction=H","UseDPDF=Y")</f>
        <v>-31.6</v>
      </c>
      <c r="U11" s="13">
        <f>_xll.BDH("NBIX US Equity","ARD_DEFERRED_INCOME_TAXES_CF","FQ2 2023","FQ2 2023","Currency=USD","Period=FQ","BEST_FPERIOD_OVERRIDE=FQ","FILING_STATUS=MR","SCALING_FORMAT=MLN","Sort=A","Dates=H","DateFormat=P","Fill=—","Direction=H","UseDPDF=Y")</f>
        <v>-73.099999999999994</v>
      </c>
      <c r="V11" s="13">
        <f>_xll.BDH("NBIX US Equity","ARD_DEFERRED_INCOME_TAXES_CF","FQ3 2023","FQ3 2023","Currency=USD","Period=FQ","BEST_FPERIOD_OVERRIDE=FQ","FILING_STATUS=MR","SCALING_FORMAT=MLN","Sort=A","Dates=H","DateFormat=P","Fill=—","Direction=H","UseDPDF=Y")</f>
        <v>-77.3</v>
      </c>
      <c r="W11" s="13">
        <f>_xll.BDH("NBIX US Equity","ARD_DEFERRED_INCOME_TAXES_CF","FQ4 2023","FQ4 2023","Currency=USD","Period=FQ","BEST_FPERIOD_OVERRIDE=FQ","FILING_STATUS=MR","SCALING_FORMAT=MLN","Sort=A","Dates=H","DateFormat=P","Fill=—","Direction=H","UseDPDF=Y")</f>
        <v>-56.7</v>
      </c>
      <c r="X11" s="13">
        <f>_xll.BDH("NBIX US Equity","ARD_DEFERRED_INCOME_TAXES_CF","FQ1 2024","FQ1 2024","Currency=USD","Period=FQ","BEST_FPERIOD_OVERRIDE=FQ","FILING_STATUS=MR","SCALING_FORMAT=MLN","Sort=A","Dates=H","DateFormat=P","Fill=—","Direction=H","UseDPDF=Y")</f>
        <v>-15.6</v>
      </c>
      <c r="Y11" s="13">
        <f>_xll.BDH("NBIX US Equity","ARD_DEFERRED_INCOME_TAXES_CF","FQ2 2024","FQ2 2024","Currency=USD","Period=FQ","BEST_FPERIOD_OVERRIDE=FQ","FILING_STATUS=MR","SCALING_FORMAT=MLN","Sort=A","Dates=H","DateFormat=P","Fill=—","Direction=H","UseDPDF=Y")</f>
        <v>-56.9</v>
      </c>
      <c r="Z11" s="13">
        <f>_xll.BDH("NBIX US Equity","ARD_DEFERRED_INCOME_TAXES_CF","FQ3 2024","FQ3 2024","Currency=USD","Period=FQ","BEST_FPERIOD_OVERRIDE=FQ","FILING_STATUS=MR","SCALING_FORMAT=MLN","Sort=A","Dates=H","DateFormat=P","Fill=—","Direction=H","UseDPDF=Y")</f>
        <v>-91.8</v>
      </c>
      <c r="AA11" s="13">
        <f>_xll.BDH("NBIX US Equity","ARD_DEFERRED_INCOME_TAXES_CF","FQ4 2024","FQ4 2024","Currency=USD","Period=FQ","BEST_FPERIOD_OVERRIDE=FQ","FILING_STATUS=MR","SCALING_FORMAT=MLN","Sort=A","Dates=H","DateFormat=P","Fill=—","Direction=H","UseDPDF=Y")</f>
        <v>-123.1</v>
      </c>
    </row>
    <row r="12" spans="1:27" x14ac:dyDescent="0.25">
      <c r="A12" s="10" t="s">
        <v>1177</v>
      </c>
      <c r="B12" s="10" t="s">
        <v>1178</v>
      </c>
      <c r="C12" s="13">
        <f>_xll.BDH("NBIX US Equity","ARD_DISPOSAL_SALE_OF_ASSETS","FQ4 2018","FQ4 2018","Currency=USD","Period=FQ","BEST_FPERIOD_OVERRIDE=FQ","FILING_STATUS=MR","SCALING_FORMAT=MLN","Sort=A","Dates=H","DateFormat=P","Fill=—","Direction=H","UseDPDF=Y")</f>
        <v>-0.76</v>
      </c>
      <c r="D12" s="13" t="str">
        <f>_xll.BDH("NBIX US Equity","ARD_DISPOSAL_SALE_OF_ASSETS","FQ1 2019","FQ1 2019","Currency=USD","Period=FQ","BEST_FPERIOD_OVERRIDE=FQ","FILING_STATUS=MR","SCALING_FORMAT=MLN","Sort=A","Dates=H","DateFormat=P","Fill=—","Direction=H","UseDPDF=Y")</f>
        <v>—</v>
      </c>
      <c r="E12" s="13" t="str">
        <f>_xll.BDH("NBIX US Equity","ARD_DISPOSAL_SALE_OF_ASSETS","FQ2 2019","FQ2 2019","Currency=USD","Period=FQ","BEST_FPERIOD_OVERRIDE=FQ","FILING_STATUS=MR","SCALING_FORMAT=MLN","Sort=A","Dates=H","DateFormat=P","Fill=—","Direction=H","UseDPDF=Y")</f>
        <v>—</v>
      </c>
      <c r="F12" s="13" t="str">
        <f>_xll.BDH("NBIX US Equity","ARD_DISPOSAL_SALE_OF_ASSETS","FQ3 2019","FQ3 2019","Currency=USD","Period=FQ","BEST_FPERIOD_OVERRIDE=FQ","FILING_STATUS=MR","SCALING_FORMAT=MLN","Sort=A","Dates=H","DateFormat=P","Fill=—","Direction=H","UseDPDF=Y")</f>
        <v>—</v>
      </c>
      <c r="G12" s="13" t="str">
        <f>_xll.BDH("NBIX US Equity","ARD_DISPOSAL_SALE_OF_ASSETS","FQ4 2019","FQ4 2019","Currency=USD","Period=FQ","BEST_FPERIOD_OVERRIDE=FQ","FILING_STATUS=MR","SCALING_FORMAT=MLN","Sort=A","Dates=H","DateFormat=P","Fill=—","Direction=H","UseDPDF=Y")</f>
        <v>—</v>
      </c>
      <c r="H12" s="13" t="str">
        <f>_xll.BDH("NBIX US Equity","ARD_DISPOSAL_SALE_OF_ASSETS","FQ1 2020","FQ1 2020","Currency=USD","Period=FQ","BEST_FPERIOD_OVERRIDE=FQ","FILING_STATUS=MR","SCALING_FORMAT=MLN","Sort=A","Dates=H","DateFormat=P","Fill=—","Direction=H","UseDPDF=Y")</f>
        <v>—</v>
      </c>
      <c r="I12" s="13" t="str">
        <f>_xll.BDH("NBIX US Equity","ARD_DISPOSAL_SALE_OF_ASSETS","FQ2 2020","FQ2 2020","Currency=USD","Period=FQ","BEST_FPERIOD_OVERRIDE=FQ","FILING_STATUS=MR","SCALING_FORMAT=MLN","Sort=A","Dates=H","DateFormat=P","Fill=—","Direction=H","UseDPDF=Y")</f>
        <v>—</v>
      </c>
      <c r="J12" s="13" t="str">
        <f>_xll.BDH("NBIX US Equity","ARD_DISPOSAL_SALE_OF_ASSETS","FQ3 2020","FQ3 2020","Currency=USD","Period=FQ","BEST_FPERIOD_OVERRIDE=FQ","FILING_STATUS=MR","SCALING_FORMAT=MLN","Sort=A","Dates=H","DateFormat=P","Fill=—","Direction=H","UseDPDF=Y")</f>
        <v>—</v>
      </c>
      <c r="K12" s="13" t="str">
        <f>_xll.BDH("NBIX US Equity","ARD_DISPOSAL_SALE_OF_ASSETS","FQ4 2020","FQ4 2020","Currency=USD","Period=FQ","BEST_FPERIOD_OVERRIDE=FQ","FILING_STATUS=MR","SCALING_FORMAT=MLN","Sort=A","Dates=H","DateFormat=P","Fill=—","Direction=H","UseDPDF=Y")</f>
        <v>—</v>
      </c>
      <c r="L12" s="13" t="str">
        <f>_xll.BDH("NBIX US Equity","ARD_DISPOSAL_SALE_OF_ASSETS","FQ1 2021","FQ1 2021","Currency=USD","Period=FQ","BEST_FPERIOD_OVERRIDE=FQ","FILING_STATUS=MR","SCALING_FORMAT=MLN","Sort=A","Dates=H","DateFormat=P","Fill=—","Direction=H","UseDPDF=Y")</f>
        <v>—</v>
      </c>
      <c r="M12" s="13" t="str">
        <f>_xll.BDH("NBIX US Equity","ARD_DISPOSAL_SALE_OF_ASSETS","FQ2 2021","FQ2 2021","Currency=USD","Period=FQ","BEST_FPERIOD_OVERRIDE=FQ","FILING_STATUS=MR","SCALING_FORMAT=MLN","Sort=A","Dates=H","DateFormat=P","Fill=—","Direction=H","UseDPDF=Y")</f>
        <v>—</v>
      </c>
      <c r="N12" s="13" t="str">
        <f>_xll.BDH("NBIX US Equity","ARD_DISPOSAL_SALE_OF_ASSETS","FQ3 2021","FQ3 2021","Currency=USD","Period=FQ","BEST_FPERIOD_OVERRIDE=FQ","FILING_STATUS=MR","SCALING_FORMAT=MLN","Sort=A","Dates=H","DateFormat=P","Fill=—","Direction=H","UseDPDF=Y")</f>
        <v>—</v>
      </c>
      <c r="O12" s="13" t="str">
        <f>_xll.BDH("NBIX US Equity","ARD_DISPOSAL_SALE_OF_ASSETS","FQ4 2021","FQ4 2021","Currency=USD","Period=FQ","BEST_FPERIOD_OVERRIDE=FQ","FILING_STATUS=MR","SCALING_FORMAT=MLN","Sort=A","Dates=H","DateFormat=P","Fill=—","Direction=H","UseDPDF=Y")</f>
        <v>—</v>
      </c>
      <c r="P12" s="13" t="str">
        <f>_xll.BDH("NBIX US Equity","ARD_DISPOSAL_SALE_OF_ASSETS","FQ1 2022","FQ1 2022","Currency=USD","Period=FQ","BEST_FPERIOD_OVERRIDE=FQ","FILING_STATUS=MR","SCALING_FORMAT=MLN","Sort=A","Dates=H","DateFormat=P","Fill=—","Direction=H","UseDPDF=Y")</f>
        <v>—</v>
      </c>
      <c r="Q12" s="13" t="str">
        <f>_xll.BDH("NBIX US Equity","ARD_DISPOSAL_SALE_OF_ASSETS","FQ2 2022","FQ2 2022","Currency=USD","Period=FQ","BEST_FPERIOD_OVERRIDE=FQ","FILING_STATUS=MR","SCALING_FORMAT=MLN","Sort=A","Dates=H","DateFormat=P","Fill=—","Direction=H","UseDPDF=Y")</f>
        <v>—</v>
      </c>
      <c r="R12" s="13" t="str">
        <f>_xll.BDH("NBIX US Equity","ARD_DISPOSAL_SALE_OF_ASSETS","FQ3 2022","FQ3 2022","Currency=USD","Period=FQ","BEST_FPERIOD_OVERRIDE=FQ","FILING_STATUS=MR","SCALING_FORMAT=MLN","Sort=A","Dates=H","DateFormat=P","Fill=—","Direction=H","UseDPDF=Y")</f>
        <v>—</v>
      </c>
      <c r="S12" s="13" t="str">
        <f>_xll.BDH("NBIX US Equity","ARD_DISPOSAL_SALE_OF_ASSETS","FQ4 2022","FQ4 2022","Currency=USD","Period=FQ","BEST_FPERIOD_OVERRIDE=FQ","FILING_STATUS=MR","SCALING_FORMAT=MLN","Sort=A","Dates=H","DateFormat=P","Fill=—","Direction=H","UseDPDF=Y")</f>
        <v>—</v>
      </c>
      <c r="T12" s="13" t="str">
        <f>_xll.BDH("NBIX US Equity","ARD_DISPOSAL_SALE_OF_ASSETS","FQ1 2023","FQ1 2023","Currency=USD","Period=FQ","BEST_FPERIOD_OVERRIDE=FQ","FILING_STATUS=MR","SCALING_FORMAT=MLN","Sort=A","Dates=H","DateFormat=P","Fill=—","Direction=H","UseDPDF=Y")</f>
        <v>—</v>
      </c>
      <c r="U12" s="13" t="str">
        <f>_xll.BDH("NBIX US Equity","ARD_DISPOSAL_SALE_OF_ASSETS","FQ2 2023","FQ2 2023","Currency=USD","Period=FQ","BEST_FPERIOD_OVERRIDE=FQ","FILING_STATUS=MR","SCALING_FORMAT=MLN","Sort=A","Dates=H","DateFormat=P","Fill=—","Direction=H","UseDPDF=Y")</f>
        <v>—</v>
      </c>
      <c r="V12" s="13" t="str">
        <f>_xll.BDH("NBIX US Equity","ARD_DISPOSAL_SALE_OF_ASSETS","FQ3 2023","FQ3 2023","Currency=USD","Period=FQ","BEST_FPERIOD_OVERRIDE=FQ","FILING_STATUS=MR","SCALING_FORMAT=MLN","Sort=A","Dates=H","DateFormat=P","Fill=—","Direction=H","UseDPDF=Y")</f>
        <v>—</v>
      </c>
      <c r="W12" s="13" t="str">
        <f>_xll.BDH("NBIX US Equity","ARD_DISPOSAL_SALE_OF_ASSETS","FQ4 2023","FQ4 2023","Currency=USD","Period=FQ","BEST_FPERIOD_OVERRIDE=FQ","FILING_STATUS=MR","SCALING_FORMAT=MLN","Sort=A","Dates=H","DateFormat=P","Fill=—","Direction=H","UseDPDF=Y")</f>
        <v>—</v>
      </c>
      <c r="X12" s="13" t="str">
        <f>_xll.BDH("NBIX US Equity","ARD_DISPOSAL_SALE_OF_ASSETS","FQ1 2024","FQ1 2024","Currency=USD","Period=FQ","BEST_FPERIOD_OVERRIDE=FQ","FILING_STATUS=MR","SCALING_FORMAT=MLN","Sort=A","Dates=H","DateFormat=P","Fill=—","Direction=H","UseDPDF=Y")</f>
        <v>—</v>
      </c>
      <c r="Y12" s="13" t="str">
        <f>_xll.BDH("NBIX US Equity","ARD_DISPOSAL_SALE_OF_ASSETS","FQ2 2024","FQ2 2024","Currency=USD","Period=FQ","BEST_FPERIOD_OVERRIDE=FQ","FILING_STATUS=MR","SCALING_FORMAT=MLN","Sort=A","Dates=H","DateFormat=P","Fill=—","Direction=H","UseDPDF=Y")</f>
        <v>—</v>
      </c>
      <c r="Z12" s="13" t="str">
        <f>_xll.BDH("NBIX US Equity","ARD_DISPOSAL_SALE_OF_ASSETS","FQ3 2024","FQ3 2024","Currency=USD","Period=FQ","BEST_FPERIOD_OVERRIDE=FQ","FILING_STATUS=MR","SCALING_FORMAT=MLN","Sort=A","Dates=H","DateFormat=P","Fill=—","Direction=H","UseDPDF=Y")</f>
        <v>—</v>
      </c>
      <c r="AA12" s="13" t="str">
        <f>_xll.BDH("NBIX US Equity","ARD_DISPOSAL_SALE_OF_ASSETS","FQ4 2024","FQ4 2024","Currency=USD","Period=FQ","BEST_FPERIOD_OVERRIDE=FQ","FILING_STATUS=MR","SCALING_FORMAT=MLN","Sort=A","Dates=H","DateFormat=P","Fill=—","Direction=H","UseDPDF=Y")</f>
        <v>—</v>
      </c>
    </row>
    <row r="13" spans="1:27" x14ac:dyDescent="0.25">
      <c r="A13" s="10" t="s">
        <v>637</v>
      </c>
      <c r="B13" s="10" t="s">
        <v>1179</v>
      </c>
      <c r="C13" s="13">
        <f>_xll.BDH("NBIX US Equity","ARD_STOCK_BASED_COMPENSATION","FQ4 2018","FQ4 2018","Currency=USD","Period=FQ","BEST_FPERIOD_OVERRIDE=FQ","FILING_STATUS=MR","SCALING_FORMAT=MLN","Sort=A","Dates=H","DateFormat=P","Fill=—","Direction=H","UseDPDF=Y")</f>
        <v>58.067999999999998</v>
      </c>
      <c r="D13" s="13">
        <f>_xll.BDH("NBIX US Equity","ARD_STOCK_BASED_COMPENSATION","FQ1 2019","FQ1 2019","Currency=USD","Period=FQ","BEST_FPERIOD_OVERRIDE=FQ","FILING_STATUS=MR","SCALING_FORMAT=MLN","Sort=A","Dates=H","DateFormat=P","Fill=—","Direction=H","UseDPDF=Y")</f>
        <v>15.763999999999999</v>
      </c>
      <c r="E13" s="13">
        <f>_xll.BDH("NBIX US Equity","ARD_STOCK_BASED_COMPENSATION","FQ2 2019","FQ2 2019","Currency=USD","Period=FQ","BEST_FPERIOD_OVERRIDE=FQ","FILING_STATUS=MR","SCALING_FORMAT=MLN","Sort=A","Dates=H","DateFormat=P","Fill=—","Direction=H","UseDPDF=Y")</f>
        <v>33.695</v>
      </c>
      <c r="F13" s="13">
        <f>_xll.BDH("NBIX US Equity","ARD_STOCK_BASED_COMPENSATION","FQ3 2019","FQ3 2019","Currency=USD","Period=FQ","BEST_FPERIOD_OVERRIDE=FQ","FILING_STATUS=MR","SCALING_FORMAT=MLN","Sort=A","Dates=H","DateFormat=P","Fill=—","Direction=H","UseDPDF=Y")</f>
        <v>53.945</v>
      </c>
      <c r="G13" s="13">
        <f>_xll.BDH("NBIX US Equity","ARD_STOCK_BASED_COMPENSATION","FQ4 2019","FQ4 2019","Currency=USD","Period=FQ","BEST_FPERIOD_OVERRIDE=FQ","FILING_STATUS=MR","SCALING_FORMAT=MLN","Sort=A","Dates=H","DateFormat=P","Fill=—","Direction=H","UseDPDF=Y")</f>
        <v>75.3</v>
      </c>
      <c r="H13" s="13">
        <f>_xll.BDH("NBIX US Equity","ARD_STOCK_BASED_COMPENSATION","FQ1 2020","FQ1 2020","Currency=USD","Period=FQ","BEST_FPERIOD_OVERRIDE=FQ","FILING_STATUS=MR","SCALING_FORMAT=MLN","Sort=A","Dates=H","DateFormat=P","Fill=—","Direction=H","UseDPDF=Y")</f>
        <v>22.8</v>
      </c>
      <c r="I13" s="13">
        <f>_xll.BDH("NBIX US Equity","ARD_STOCK_BASED_COMPENSATION","FQ2 2020","FQ2 2020","Currency=USD","Period=FQ","BEST_FPERIOD_OVERRIDE=FQ","FILING_STATUS=MR","SCALING_FORMAT=MLN","Sort=A","Dates=H","DateFormat=P","Fill=—","Direction=H","UseDPDF=Y")</f>
        <v>52.3</v>
      </c>
      <c r="J13" s="13">
        <f>_xll.BDH("NBIX US Equity","ARD_STOCK_BASED_COMPENSATION","FQ3 2020","FQ3 2020","Currency=USD","Period=FQ","BEST_FPERIOD_OVERRIDE=FQ","FILING_STATUS=MR","SCALING_FORMAT=MLN","Sort=A","Dates=H","DateFormat=P","Fill=—","Direction=H","UseDPDF=Y")</f>
        <v>79</v>
      </c>
      <c r="K13" s="13">
        <f>_xll.BDH("NBIX US Equity","ARD_STOCK_BASED_COMPENSATION","FQ4 2020","FQ4 2020","Currency=USD","Period=FQ","BEST_FPERIOD_OVERRIDE=FQ","FILING_STATUS=MR","SCALING_FORMAT=MLN","Sort=A","Dates=H","DateFormat=P","Fill=—","Direction=H","UseDPDF=Y")</f>
        <v>100</v>
      </c>
      <c r="L13" s="13">
        <f>_xll.BDH("NBIX US Equity","ARD_STOCK_BASED_COMPENSATION","FQ1 2021","FQ1 2021","Currency=USD","Period=FQ","BEST_FPERIOD_OVERRIDE=FQ","FILING_STATUS=MR","SCALING_FORMAT=MLN","Sort=A","Dates=H","DateFormat=P","Fill=—","Direction=H","UseDPDF=Y")</f>
        <v>32.9</v>
      </c>
      <c r="M13" s="13">
        <f>_xll.BDH("NBIX US Equity","ARD_STOCK_BASED_COMPENSATION","FQ2 2021","FQ2 2021","Currency=USD","Period=FQ","BEST_FPERIOD_OVERRIDE=FQ","FILING_STATUS=MR","SCALING_FORMAT=MLN","Sort=A","Dates=H","DateFormat=P","Fill=—","Direction=H","UseDPDF=Y")</f>
        <v>61.5</v>
      </c>
      <c r="N13" s="13">
        <f>_xll.BDH("NBIX US Equity","ARD_STOCK_BASED_COMPENSATION","FQ3 2021","FQ3 2021","Currency=USD","Period=FQ","BEST_FPERIOD_OVERRIDE=FQ","FILING_STATUS=MR","SCALING_FORMAT=MLN","Sort=A","Dates=H","DateFormat=P","Fill=—","Direction=H","UseDPDF=Y")</f>
        <v>98.6</v>
      </c>
      <c r="O13" s="13">
        <f>_xll.BDH("NBIX US Equity","ARD_STOCK_BASED_COMPENSATION","FQ4 2021","FQ4 2021","Currency=USD","Period=FQ","BEST_FPERIOD_OVERRIDE=FQ","FILING_STATUS=MR","SCALING_FORMAT=MLN","Sort=A","Dates=H","DateFormat=P","Fill=—","Direction=H","UseDPDF=Y")</f>
        <v>134.19999999999999</v>
      </c>
      <c r="P13" s="13">
        <f>_xll.BDH("NBIX US Equity","ARD_STOCK_BASED_COMPENSATION","FQ1 2022","FQ1 2022","Currency=USD","Period=FQ","BEST_FPERIOD_OVERRIDE=FQ","FILING_STATUS=MR","SCALING_FORMAT=MLN","Sort=A","Dates=H","DateFormat=P","Fill=—","Direction=H","UseDPDF=Y")</f>
        <v>37</v>
      </c>
      <c r="Q13" s="13">
        <f>_xll.BDH("NBIX US Equity","ARD_STOCK_BASED_COMPENSATION","FQ2 2022","FQ2 2022","Currency=USD","Period=FQ","BEST_FPERIOD_OVERRIDE=FQ","FILING_STATUS=MR","SCALING_FORMAT=MLN","Sort=A","Dates=H","DateFormat=P","Fill=—","Direction=H","UseDPDF=Y")</f>
        <v>86.5</v>
      </c>
      <c r="R13" s="13">
        <f>_xll.BDH("NBIX US Equity","ARD_STOCK_BASED_COMPENSATION","FQ3 2022","FQ3 2022","Currency=USD","Period=FQ","BEST_FPERIOD_OVERRIDE=FQ","FILING_STATUS=MR","SCALING_FORMAT=MLN","Sort=A","Dates=H","DateFormat=P","Fill=—","Direction=H","UseDPDF=Y")</f>
        <v>129.6</v>
      </c>
      <c r="S13" s="13">
        <f>_xll.BDH("NBIX US Equity","ARD_STOCK_BASED_COMPENSATION","FQ4 2022","FQ4 2022","Currency=USD","Period=FQ","BEST_FPERIOD_OVERRIDE=FQ","FILING_STATUS=MR","SCALING_FORMAT=MLN","Sort=A","Dates=H","DateFormat=P","Fill=—","Direction=H","UseDPDF=Y")</f>
        <v>173.1</v>
      </c>
      <c r="T13" s="13">
        <f>_xll.BDH("NBIX US Equity","ARD_STOCK_BASED_COMPENSATION","FQ1 2023","FQ1 2023","Currency=USD","Period=FQ","BEST_FPERIOD_OVERRIDE=FQ","FILING_STATUS=MR","SCALING_FORMAT=MLN","Sort=A","Dates=H","DateFormat=P","Fill=—","Direction=H","UseDPDF=Y")</f>
        <v>39.9</v>
      </c>
      <c r="U13" s="13">
        <f>_xll.BDH("NBIX US Equity","ARD_STOCK_BASED_COMPENSATION","FQ2 2023","FQ2 2023","Currency=USD","Period=FQ","BEST_FPERIOD_OVERRIDE=FQ","FILING_STATUS=MR","SCALING_FORMAT=MLN","Sort=A","Dates=H","DateFormat=P","Fill=—","Direction=H","UseDPDF=Y")</f>
        <v>108.4</v>
      </c>
      <c r="V13" s="13">
        <f>_xll.BDH("NBIX US Equity","ARD_STOCK_BASED_COMPENSATION","FQ3 2023","FQ3 2023","Currency=USD","Period=FQ","BEST_FPERIOD_OVERRIDE=FQ","FILING_STATUS=MR","SCALING_FORMAT=MLN","Sort=A","Dates=H","DateFormat=P","Fill=—","Direction=H","UseDPDF=Y")</f>
        <v>156.19999999999999</v>
      </c>
      <c r="W13" s="13">
        <f>_xll.BDH("NBIX US Equity","ARD_STOCK_BASED_COMPENSATION","FQ4 2023","FQ4 2023","Currency=USD","Period=FQ","BEST_FPERIOD_OVERRIDE=FQ","FILING_STATUS=MR","SCALING_FORMAT=MLN","Sort=A","Dates=H","DateFormat=P","Fill=—","Direction=H","UseDPDF=Y")</f>
        <v>194.3</v>
      </c>
      <c r="X13" s="13">
        <f>_xll.BDH("NBIX US Equity","ARD_STOCK_BASED_COMPENSATION","FQ1 2024","FQ1 2024","Currency=USD","Period=FQ","BEST_FPERIOD_OVERRIDE=FQ","FILING_STATUS=MR","SCALING_FORMAT=MLN","Sort=A","Dates=H","DateFormat=P","Fill=—","Direction=H","UseDPDF=Y")</f>
        <v>44.5</v>
      </c>
      <c r="Y13" s="13">
        <f>_xll.BDH("NBIX US Equity","ARD_STOCK_BASED_COMPENSATION","FQ2 2024","FQ2 2024","Currency=USD","Period=FQ","BEST_FPERIOD_OVERRIDE=FQ","FILING_STATUS=MR","SCALING_FORMAT=MLN","Sort=A","Dates=H","DateFormat=P","Fill=—","Direction=H","UseDPDF=Y")</f>
        <v>87.6</v>
      </c>
      <c r="Z13" s="13">
        <f>_xll.BDH("NBIX US Equity","ARD_STOCK_BASED_COMPENSATION","FQ3 2024","FQ3 2024","Currency=USD","Period=FQ","BEST_FPERIOD_OVERRIDE=FQ","FILING_STATUS=MR","SCALING_FORMAT=MLN","Sort=A","Dates=H","DateFormat=P","Fill=—","Direction=H","UseDPDF=Y")</f>
        <v>129.1</v>
      </c>
      <c r="AA13" s="13">
        <f>_xll.BDH("NBIX US Equity","ARD_STOCK_BASED_COMPENSATION","FQ4 2024","FQ4 2024","Currency=USD","Period=FQ","BEST_FPERIOD_OVERRIDE=FQ","FILING_STATUS=MR","SCALING_FORMAT=MLN","Sort=A","Dates=H","DateFormat=P","Fill=—","Direction=H","UseDPDF=Y")</f>
        <v>195.5</v>
      </c>
    </row>
    <row r="14" spans="1:27" x14ac:dyDescent="0.25">
      <c r="A14" s="10" t="s">
        <v>1180</v>
      </c>
      <c r="B14" s="10" t="s">
        <v>1181</v>
      </c>
      <c r="C14" s="13">
        <f>_xll.BDH("NBIX US Equity","ARD_OTHER_NON_CASH_ITEMS","FQ4 2018","FQ4 2018","Currency=USD","Period=FQ","BEST_FPERIOD_OVERRIDE=FQ","FILING_STATUS=MR","SCALING_FORMAT=MLN","Sort=A","Dates=H","DateFormat=P","Fill=—","Direction=H","UseDPDF=Y")</f>
        <v>0</v>
      </c>
      <c r="D14" s="13">
        <f>_xll.BDH("NBIX US Equity","ARD_OTHER_NON_CASH_ITEMS","FQ1 2019","FQ1 2019","Currency=USD","Period=FQ","BEST_FPERIOD_OVERRIDE=FQ","FILING_STATUS=MR","SCALING_FORMAT=MLN","Sort=A","Dates=H","DateFormat=P","Fill=—","Direction=H","UseDPDF=Y")</f>
        <v>-1.5640000000000001</v>
      </c>
      <c r="E14" s="13">
        <f>_xll.BDH("NBIX US Equity","ARD_OTHER_NON_CASH_ITEMS","FQ2 2019","FQ2 2019","Currency=USD","Period=FQ","BEST_FPERIOD_OVERRIDE=FQ","FILING_STATUS=MR","SCALING_FORMAT=MLN","Sort=A","Dates=H","DateFormat=P","Fill=—","Direction=H","UseDPDF=Y")</f>
        <v>-22.529</v>
      </c>
      <c r="F14" s="13">
        <f>_xll.BDH("NBIX US Equity","ARD_OTHER_NON_CASH_ITEMS","FQ3 2019","FQ3 2019","Currency=USD","Period=FQ","BEST_FPERIOD_OVERRIDE=FQ","FILING_STATUS=MR","SCALING_FORMAT=MLN","Sort=A","Dates=H","DateFormat=P","Fill=—","Direction=H","UseDPDF=Y")</f>
        <v>6.5970000000000004</v>
      </c>
      <c r="G14" s="13">
        <f>_xll.BDH("NBIX US Equity","ARD_OTHER_NON_CASH_ITEMS","FQ4 2019","FQ4 2019","Currency=USD","Period=FQ","BEST_FPERIOD_OVERRIDE=FQ","FILING_STATUS=MR","SCALING_FORMAT=MLN","Sort=A","Dates=H","DateFormat=P","Fill=—","Direction=H","UseDPDF=Y")</f>
        <v>11.8</v>
      </c>
      <c r="H14" s="13">
        <f>_xll.BDH("NBIX US Equity","ARD_OTHER_NON_CASH_ITEMS","FQ1 2020","FQ1 2020","Currency=USD","Period=FQ","BEST_FPERIOD_OVERRIDE=FQ","FILING_STATUS=MR","SCALING_FORMAT=MLN","Sort=A","Dates=H","DateFormat=P","Fill=—","Direction=H","UseDPDF=Y")</f>
        <v>16.5</v>
      </c>
      <c r="I14" s="13">
        <f>_xll.BDH("NBIX US Equity","ARD_OTHER_NON_CASH_ITEMS","FQ2 2020","FQ2 2020","Currency=USD","Period=FQ","BEST_FPERIOD_OVERRIDE=FQ","FILING_STATUS=MR","SCALING_FORMAT=MLN","Sort=A","Dates=H","DateFormat=P","Fill=—","Direction=H","UseDPDF=Y")</f>
        <v>5.9</v>
      </c>
      <c r="J14" s="13">
        <f>_xll.BDH("NBIX US Equity","ARD_OTHER_NON_CASH_ITEMS","FQ3 2020","FQ3 2020","Currency=USD","Period=FQ","BEST_FPERIOD_OVERRIDE=FQ","FILING_STATUS=MR","SCALING_FORMAT=MLN","Sort=A","Dates=H","DateFormat=P","Fill=—","Direction=H","UseDPDF=Y")</f>
        <v>13.9</v>
      </c>
      <c r="K14" s="13">
        <f>_xll.BDH("NBIX US Equity","ARD_OTHER_NON_CASH_ITEMS","FQ4 2020","FQ4 2020","Currency=USD","Period=FQ","BEST_FPERIOD_OVERRIDE=FQ","FILING_STATUS=MR","SCALING_FORMAT=MLN","Sort=A","Dates=H","DateFormat=P","Fill=—","Direction=H","UseDPDF=Y")</f>
        <v>21.4</v>
      </c>
      <c r="L14" s="13">
        <f>_xll.BDH("NBIX US Equity","ARD_OTHER_NON_CASH_ITEMS","FQ1 2021","FQ1 2021","Currency=USD","Period=FQ","BEST_FPERIOD_OVERRIDE=FQ","FILING_STATUS=MR","SCALING_FORMAT=MLN","Sort=A","Dates=H","DateFormat=P","Fill=—","Direction=H","UseDPDF=Y")</f>
        <v>1.9</v>
      </c>
      <c r="M14" s="13">
        <f>_xll.BDH("NBIX US Equity","ARD_OTHER_NON_CASH_ITEMS","FQ2 2021","FQ2 2021","Currency=USD","Period=FQ","BEST_FPERIOD_OVERRIDE=FQ","FILING_STATUS=MR","SCALING_FORMAT=MLN","Sort=A","Dates=H","DateFormat=P","Fill=—","Direction=H","UseDPDF=Y")</f>
        <v>4.9000000000000004</v>
      </c>
      <c r="N14" s="13">
        <f>_xll.BDH("NBIX US Equity","ARD_OTHER_NON_CASH_ITEMS","FQ3 2021","FQ3 2021","Currency=USD","Period=FQ","BEST_FPERIOD_OVERRIDE=FQ","FILING_STATUS=MR","SCALING_FORMAT=MLN","Sort=A","Dates=H","DateFormat=P","Fill=—","Direction=H","UseDPDF=Y")</f>
        <v>15.2</v>
      </c>
      <c r="O14" s="13">
        <f>_xll.BDH("NBIX US Equity","ARD_OTHER_NON_CASH_ITEMS","FQ4 2021","FQ4 2021","Currency=USD","Period=FQ","BEST_FPERIOD_OVERRIDE=FQ","FILING_STATUS=MR","SCALING_FORMAT=MLN","Sort=A","Dates=H","DateFormat=P","Fill=—","Direction=H","UseDPDF=Y")</f>
        <v>-16.5</v>
      </c>
      <c r="P14" s="13">
        <f>_xll.BDH("NBIX US Equity","ARD_OTHER_NON_CASH_ITEMS","FQ1 2022","FQ1 2022","Currency=USD","Period=FQ","BEST_FPERIOD_OVERRIDE=FQ","FILING_STATUS=MR","SCALING_FORMAT=MLN","Sort=A","Dates=H","DateFormat=P","Fill=—","Direction=H","UseDPDF=Y")</f>
        <v>-19.100000000000001</v>
      </c>
      <c r="Q14" s="13">
        <f>_xll.BDH("NBIX US Equity","ARD_OTHER_NON_CASH_ITEMS","FQ2 2022","FQ2 2022","Currency=USD","Period=FQ","BEST_FPERIOD_OVERRIDE=FQ","FILING_STATUS=MR","SCALING_FORMAT=MLN","Sort=A","Dates=H","DateFormat=P","Fill=—","Direction=H","UseDPDF=Y")</f>
        <v>59.8</v>
      </c>
      <c r="R14" s="13">
        <f>_xll.BDH("NBIX US Equity","ARD_OTHER_NON_CASH_ITEMS","FQ3 2022","FQ3 2022","Currency=USD","Period=FQ","BEST_FPERIOD_OVERRIDE=FQ","FILING_STATUS=MR","SCALING_FORMAT=MLN","Sort=A","Dates=H","DateFormat=P","Fill=—","Direction=H","UseDPDF=Y")</f>
        <v>49.4</v>
      </c>
      <c r="S14" s="13">
        <f>_xll.BDH("NBIX US Equity","ARD_OTHER_NON_CASH_ITEMS","FQ4 2022","FQ4 2022","Currency=USD","Period=FQ","BEST_FPERIOD_OVERRIDE=FQ","FILING_STATUS=MR","SCALING_FORMAT=MLN","Sort=A","Dates=H","DateFormat=P","Fill=—","Direction=H","UseDPDF=Y")</f>
        <v>-26.7</v>
      </c>
      <c r="T14" s="13">
        <f>_xll.BDH("NBIX US Equity","ARD_OTHER_NON_CASH_ITEMS","FQ1 2023","FQ1 2023","Currency=USD","Period=FQ","BEST_FPERIOD_OVERRIDE=FQ","FILING_STATUS=MR","SCALING_FORMAT=MLN","Sort=A","Dates=H","DateFormat=P","Fill=—","Direction=H","UseDPDF=Y")</f>
        <v>-4.5999999999999996</v>
      </c>
      <c r="U14" s="13">
        <f>_xll.BDH("NBIX US Equity","ARD_OTHER_NON_CASH_ITEMS","FQ2 2023","FQ2 2023","Currency=USD","Period=FQ","BEST_FPERIOD_OVERRIDE=FQ","FILING_STATUS=MR","SCALING_FORMAT=MLN","Sort=A","Dates=H","DateFormat=P","Fill=—","Direction=H","UseDPDF=Y")</f>
        <v>-6.7</v>
      </c>
      <c r="V14" s="13">
        <f>_xll.BDH("NBIX US Equity","ARD_OTHER_NON_CASH_ITEMS","FQ3 2023","FQ3 2023","Currency=USD","Period=FQ","BEST_FPERIOD_OVERRIDE=FQ","FILING_STATUS=MR","SCALING_FORMAT=MLN","Sort=A","Dates=H","DateFormat=P","Fill=—","Direction=H","UseDPDF=Y")</f>
        <v>-12.6</v>
      </c>
      <c r="W14" s="13">
        <f>_xll.BDH("NBIX US Equity","ARD_OTHER_NON_CASH_ITEMS","FQ4 2023","FQ4 2023","Currency=USD","Period=FQ","BEST_FPERIOD_OVERRIDE=FQ","FILING_STATUS=MR","SCALING_FORMAT=MLN","Sort=A","Dates=H","DateFormat=P","Fill=—","Direction=H","UseDPDF=Y")</f>
        <v>-47.6</v>
      </c>
      <c r="X14" s="13">
        <f>_xll.BDH("NBIX US Equity","ARD_OTHER_NON_CASH_ITEMS","FQ1 2024","FQ1 2024","Currency=USD","Period=FQ","BEST_FPERIOD_OVERRIDE=FQ","FILING_STATUS=MR","SCALING_FORMAT=MLN","Sort=A","Dates=H","DateFormat=P","Fill=—","Direction=H","UseDPDF=Y")</f>
        <v>-5.3</v>
      </c>
      <c r="Y14" s="13">
        <f>_xll.BDH("NBIX US Equity","ARD_OTHER_NON_CASH_ITEMS","FQ2 2024","FQ2 2024","Currency=USD","Period=FQ","BEST_FPERIOD_OVERRIDE=FQ","FILING_STATUS=MR","SCALING_FORMAT=MLN","Sort=A","Dates=H","DateFormat=P","Fill=—","Direction=H","UseDPDF=Y")</f>
        <v>3.5</v>
      </c>
      <c r="Z14" s="13">
        <f>_xll.BDH("NBIX US Equity","ARD_OTHER_NON_CASH_ITEMS","FQ3 2024","FQ3 2024","Currency=USD","Period=FQ","BEST_FPERIOD_OVERRIDE=FQ","FILING_STATUS=MR","SCALING_FORMAT=MLN","Sort=A","Dates=H","DateFormat=P","Fill=—","Direction=H","UseDPDF=Y")</f>
        <v>-2.7</v>
      </c>
      <c r="AA14" s="13">
        <f>_xll.BDH("NBIX US Equity","ARD_OTHER_NON_CASH_ITEMS","FQ4 2024","FQ4 2024","Currency=USD","Period=FQ","BEST_FPERIOD_OVERRIDE=FQ","FILING_STATUS=MR","SCALING_FORMAT=MLN","Sort=A","Dates=H","DateFormat=P","Fill=—","Direction=H","UseDPDF=Y")</f>
        <v>200</v>
      </c>
    </row>
    <row r="15" spans="1:27" x14ac:dyDescent="0.25">
      <c r="A15" s="10" t="s">
        <v>1182</v>
      </c>
      <c r="B15" s="10" t="s">
        <v>1183</v>
      </c>
      <c r="C15" s="13">
        <f>_xll.BDH("NBIX US Equity","ARD_CHANGE_IN_INVENTORIES","FQ4 2018","FQ4 2018","Currency=USD","Period=FQ","BEST_FPERIOD_OVERRIDE=FQ","FILING_STATUS=MR","SCALING_FORMAT=MLN","Sort=A","Dates=H","DateFormat=P","Fill=—","Direction=H","UseDPDF=Y")</f>
        <v>-3.524</v>
      </c>
      <c r="D15" s="13">
        <f>_xll.BDH("NBIX US Equity","ARD_CHANGE_IN_INVENTORIES","FQ1 2019","FQ1 2019","Currency=USD","Period=FQ","BEST_FPERIOD_OVERRIDE=FQ","FILING_STATUS=MR","SCALING_FORMAT=MLN","Sort=A","Dates=H","DateFormat=P","Fill=—","Direction=H","UseDPDF=Y")</f>
        <v>-1.7529999999999999</v>
      </c>
      <c r="E15" s="13">
        <f>_xll.BDH("NBIX US Equity","ARD_CHANGE_IN_INVENTORIES","FQ2 2019","FQ2 2019","Currency=USD","Period=FQ","BEST_FPERIOD_OVERRIDE=FQ","FILING_STATUS=MR","SCALING_FORMAT=MLN","Sort=A","Dates=H","DateFormat=P","Fill=—","Direction=H","UseDPDF=Y")</f>
        <v>-1.1539999999999999</v>
      </c>
      <c r="F15" s="13">
        <f>_xll.BDH("NBIX US Equity","ARD_CHANGE_IN_INVENTORIES","FQ3 2019","FQ3 2019","Currency=USD","Period=FQ","BEST_FPERIOD_OVERRIDE=FQ","FILING_STATUS=MR","SCALING_FORMAT=MLN","Sort=A","Dates=H","DateFormat=P","Fill=—","Direction=H","UseDPDF=Y")</f>
        <v>6.6000000000000003E-2</v>
      </c>
      <c r="G15" s="13">
        <f>_xll.BDH("NBIX US Equity","ARD_CHANGE_IN_INVENTORIES","FQ4 2019","FQ4 2019","Currency=USD","Period=FQ","BEST_FPERIOD_OVERRIDE=FQ","FILING_STATUS=MR","SCALING_FORMAT=MLN","Sort=A","Dates=H","DateFormat=P","Fill=—","Direction=H","UseDPDF=Y")</f>
        <v>-6.4</v>
      </c>
      <c r="H15" s="13">
        <f>_xll.BDH("NBIX US Equity","ARD_CHANGE_IN_INVENTORIES","FQ1 2020","FQ1 2020","Currency=USD","Period=FQ","BEST_FPERIOD_OVERRIDE=FQ","FILING_STATUS=MR","SCALING_FORMAT=MLN","Sort=A","Dates=H","DateFormat=P","Fill=—","Direction=H","UseDPDF=Y")</f>
        <v>-3.9</v>
      </c>
      <c r="I15" s="13">
        <f>_xll.BDH("NBIX US Equity","ARD_CHANGE_IN_INVENTORIES","FQ2 2020","FQ2 2020","Currency=USD","Period=FQ","BEST_FPERIOD_OVERRIDE=FQ","FILING_STATUS=MR","SCALING_FORMAT=MLN","Sort=A","Dates=H","DateFormat=P","Fill=—","Direction=H","UseDPDF=Y")</f>
        <v>-4.7</v>
      </c>
      <c r="J15" s="13">
        <f>_xll.BDH("NBIX US Equity","ARD_CHANGE_IN_INVENTORIES","FQ3 2020","FQ3 2020","Currency=USD","Period=FQ","BEST_FPERIOD_OVERRIDE=FQ","FILING_STATUS=MR","SCALING_FORMAT=MLN","Sort=A","Dates=H","DateFormat=P","Fill=—","Direction=H","UseDPDF=Y")</f>
        <v>-3.4</v>
      </c>
      <c r="K15" s="13">
        <f>_xll.BDH("NBIX US Equity","ARD_CHANGE_IN_INVENTORIES","FQ4 2020","FQ4 2020","Currency=USD","Period=FQ","BEST_FPERIOD_OVERRIDE=FQ","FILING_STATUS=MR","SCALING_FORMAT=MLN","Sort=A","Dates=H","DateFormat=P","Fill=—","Direction=H","UseDPDF=Y")</f>
        <v>-10.7</v>
      </c>
      <c r="L15" s="13">
        <f>_xll.BDH("NBIX US Equity","ARD_CHANGE_IN_INVENTORIES","FQ1 2021","FQ1 2021","Currency=USD","Period=FQ","BEST_FPERIOD_OVERRIDE=FQ","FILING_STATUS=MR","SCALING_FORMAT=MLN","Sort=A","Dates=H","DateFormat=P","Fill=—","Direction=H","UseDPDF=Y")</f>
        <v>-2.1</v>
      </c>
      <c r="M15" s="13">
        <f>_xll.BDH("NBIX US Equity","ARD_CHANGE_IN_INVENTORIES","FQ2 2021","FQ2 2021","Currency=USD","Period=FQ","BEST_FPERIOD_OVERRIDE=FQ","FILING_STATUS=MR","SCALING_FORMAT=MLN","Sort=A","Dates=H","DateFormat=P","Fill=—","Direction=H","UseDPDF=Y")</f>
        <v>-0.3</v>
      </c>
      <c r="N15" s="13">
        <f>_xll.BDH("NBIX US Equity","ARD_CHANGE_IN_INVENTORIES","FQ3 2021","FQ3 2021","Currency=USD","Period=FQ","BEST_FPERIOD_OVERRIDE=FQ","FILING_STATUS=MR","SCALING_FORMAT=MLN","Sort=A","Dates=H","DateFormat=P","Fill=—","Direction=H","UseDPDF=Y")</f>
        <v>2.5</v>
      </c>
      <c r="O15" s="13">
        <f>_xll.BDH("NBIX US Equity","ARD_CHANGE_IN_INVENTORIES","FQ4 2021","FQ4 2021","Currency=USD","Period=FQ","BEST_FPERIOD_OVERRIDE=FQ","FILING_STATUS=MR","SCALING_FORMAT=MLN","Sort=A","Dates=H","DateFormat=P","Fill=—","Direction=H","UseDPDF=Y")</f>
        <v>-2.5</v>
      </c>
      <c r="P15" s="13">
        <f>_xll.BDH("NBIX US Equity","ARD_CHANGE_IN_INVENTORIES","FQ1 2022","FQ1 2022","Currency=USD","Period=FQ","BEST_FPERIOD_OVERRIDE=FQ","FILING_STATUS=MR","SCALING_FORMAT=MLN","Sort=A","Dates=H","DateFormat=P","Fill=—","Direction=H","UseDPDF=Y")</f>
        <v>1.5</v>
      </c>
      <c r="Q15" s="13">
        <f>_xll.BDH("NBIX US Equity","ARD_CHANGE_IN_INVENTORIES","FQ2 2022","FQ2 2022","Currency=USD","Period=FQ","BEST_FPERIOD_OVERRIDE=FQ","FILING_STATUS=MR","SCALING_FORMAT=MLN","Sort=A","Dates=H","DateFormat=P","Fill=—","Direction=H","UseDPDF=Y")</f>
        <v>1.2</v>
      </c>
      <c r="R15" s="13">
        <f>_xll.BDH("NBIX US Equity","ARD_CHANGE_IN_INVENTORIES","FQ3 2022","FQ3 2022","Currency=USD","Period=FQ","BEST_FPERIOD_OVERRIDE=FQ","FILING_STATUS=MR","SCALING_FORMAT=MLN","Sort=A","Dates=H","DateFormat=P","Fill=—","Direction=H","UseDPDF=Y")</f>
        <v>-6.5</v>
      </c>
      <c r="S15" s="13">
        <f>_xll.BDH("NBIX US Equity","ARD_CHANGE_IN_INVENTORIES","FQ4 2022","FQ4 2022","Currency=USD","Period=FQ","BEST_FPERIOD_OVERRIDE=FQ","FILING_STATUS=MR","SCALING_FORMAT=MLN","Sort=A","Dates=H","DateFormat=P","Fill=—","Direction=H","UseDPDF=Y")</f>
        <v>-2.6</v>
      </c>
      <c r="T15" s="13">
        <f>_xll.BDH("NBIX US Equity","ARD_CHANGE_IN_INVENTORIES","FQ1 2023","FQ1 2023","Currency=USD","Period=FQ","BEST_FPERIOD_OVERRIDE=FQ","FILING_STATUS=MR","SCALING_FORMAT=MLN","Sort=A","Dates=H","DateFormat=P","Fill=—","Direction=H","UseDPDF=Y")</f>
        <v>1.8</v>
      </c>
      <c r="U15" s="13">
        <f>_xll.BDH("NBIX US Equity","ARD_CHANGE_IN_INVENTORIES","FQ2 2023","FQ2 2023","Currency=USD","Period=FQ","BEST_FPERIOD_OVERRIDE=FQ","FILING_STATUS=MR","SCALING_FORMAT=MLN","Sort=A","Dates=H","DateFormat=P","Fill=—","Direction=H","UseDPDF=Y")</f>
        <v>3.4</v>
      </c>
      <c r="V15" s="13">
        <f>_xll.BDH("NBIX US Equity","ARD_CHANGE_IN_INVENTORIES","FQ3 2023","FQ3 2023","Currency=USD","Period=FQ","BEST_FPERIOD_OVERRIDE=FQ","FILING_STATUS=MR","SCALING_FORMAT=MLN","Sort=A","Dates=H","DateFormat=P","Fill=—","Direction=H","UseDPDF=Y")</f>
        <v>6.3</v>
      </c>
      <c r="W15" s="13">
        <f>_xll.BDH("NBIX US Equity","ARD_CHANGE_IN_INVENTORIES","FQ4 2023","FQ4 2023","Currency=USD","Period=FQ","BEST_FPERIOD_OVERRIDE=FQ","FILING_STATUS=MR","SCALING_FORMAT=MLN","Sort=A","Dates=H","DateFormat=P","Fill=—","Direction=H","UseDPDF=Y")</f>
        <v>5.4</v>
      </c>
      <c r="X15" s="13">
        <f>_xll.BDH("NBIX US Equity","ARD_CHANGE_IN_INVENTORIES","FQ1 2024","FQ1 2024","Currency=USD","Period=FQ","BEST_FPERIOD_OVERRIDE=FQ","FILING_STATUS=MR","SCALING_FORMAT=MLN","Sort=A","Dates=H","DateFormat=P","Fill=—","Direction=H","UseDPDF=Y")</f>
        <v>1.1000000000000001</v>
      </c>
      <c r="Y15" s="13">
        <f>_xll.BDH("NBIX US Equity","ARD_CHANGE_IN_INVENTORIES","FQ2 2024","FQ2 2024","Currency=USD","Period=FQ","BEST_FPERIOD_OVERRIDE=FQ","FILING_STATUS=MR","SCALING_FORMAT=MLN","Sort=A","Dates=H","DateFormat=P","Fill=—","Direction=H","UseDPDF=Y")</f>
        <v>-4.2</v>
      </c>
      <c r="Z15" s="13">
        <f>_xll.BDH("NBIX US Equity","ARD_CHANGE_IN_INVENTORIES","FQ3 2024","FQ3 2024","Currency=USD","Period=FQ","BEST_FPERIOD_OVERRIDE=FQ","FILING_STATUS=MR","SCALING_FORMAT=MLN","Sort=A","Dates=H","DateFormat=P","Fill=—","Direction=H","UseDPDF=Y")</f>
        <v>-7.5</v>
      </c>
      <c r="AA15" s="13">
        <f>_xll.BDH("NBIX US Equity","ARD_CHANGE_IN_INVENTORIES","FQ4 2024","FQ4 2024","Currency=USD","Period=FQ","BEST_FPERIOD_OVERRIDE=FQ","FILING_STATUS=MR","SCALING_FORMAT=MLN","Sort=A","Dates=H","DateFormat=P","Fill=—","Direction=H","UseDPDF=Y")</f>
        <v>-19.100000000000001</v>
      </c>
    </row>
    <row r="16" spans="1:27" x14ac:dyDescent="0.25">
      <c r="A16" s="10" t="s">
        <v>1184</v>
      </c>
      <c r="B16" s="10" t="s">
        <v>1185</v>
      </c>
      <c r="C16" s="13">
        <f>_xll.BDH("NBIX US Equity","ARD_CHG_IN_ACCOUNTS_RECEIVABLE","FQ4 2018","FQ4 2018","Currency=USD","Period=FQ","BEST_FPERIOD_OVERRIDE=FQ","FILING_STATUS=MR","SCALING_FORMAT=MLN","Sort=A","Dates=H","DateFormat=P","Fill=—","Direction=H","UseDPDF=Y")</f>
        <v>-25.113</v>
      </c>
      <c r="D16" s="13">
        <f>_xll.BDH("NBIX US Equity","ARD_CHG_IN_ACCOUNTS_RECEIVABLE","FQ1 2019","FQ1 2019","Currency=USD","Period=FQ","BEST_FPERIOD_OVERRIDE=FQ","FILING_STATUS=MR","SCALING_FORMAT=MLN","Sort=A","Dates=H","DateFormat=P","Fill=—","Direction=H","UseDPDF=Y")</f>
        <v>-15.724</v>
      </c>
      <c r="E16" s="13">
        <f>_xll.BDH("NBIX US Equity","ARD_CHG_IN_ACCOUNTS_RECEIVABLE","FQ2 2019","FQ2 2019","Currency=USD","Period=FQ","BEST_FPERIOD_OVERRIDE=FQ","FILING_STATUS=MR","SCALING_FORMAT=MLN","Sort=A","Dates=H","DateFormat=P","Fill=—","Direction=H","UseDPDF=Y")</f>
        <v>-39.116999999999997</v>
      </c>
      <c r="F16" s="13">
        <f>_xll.BDH("NBIX US Equity","ARD_CHG_IN_ACCOUNTS_RECEIVABLE","FQ3 2019","FQ3 2019","Currency=USD","Period=FQ","BEST_FPERIOD_OVERRIDE=FQ","FILING_STATUS=MR","SCALING_FORMAT=MLN","Sort=A","Dates=H","DateFormat=P","Fill=—","Direction=H","UseDPDF=Y")</f>
        <v>-57.911999999999999</v>
      </c>
      <c r="G16" s="13">
        <f>_xll.BDH("NBIX US Equity","ARD_CHG_IN_ACCOUNTS_RECEIVABLE","FQ4 2019","FQ4 2019","Currency=USD","Period=FQ","BEST_FPERIOD_OVERRIDE=FQ","FILING_STATUS=MR","SCALING_FORMAT=MLN","Sort=A","Dates=H","DateFormat=P","Fill=—","Direction=H","UseDPDF=Y")</f>
        <v>-69.2</v>
      </c>
      <c r="H16" s="13">
        <f>_xll.BDH("NBIX US Equity","ARD_CHG_IN_ACCOUNTS_RECEIVABLE","FQ1 2020","FQ1 2020","Currency=USD","Period=FQ","BEST_FPERIOD_OVERRIDE=FQ","FILING_STATUS=MR","SCALING_FORMAT=MLN","Sort=A","Dates=H","DateFormat=P","Fill=—","Direction=H","UseDPDF=Y")</f>
        <v>-22.1</v>
      </c>
      <c r="I16" s="13">
        <f>_xll.BDH("NBIX US Equity","ARD_CHG_IN_ACCOUNTS_RECEIVABLE","FQ2 2020","FQ2 2020","Currency=USD","Period=FQ","BEST_FPERIOD_OVERRIDE=FQ","FILING_STATUS=MR","SCALING_FORMAT=MLN","Sort=A","Dates=H","DateFormat=P","Fill=—","Direction=H","UseDPDF=Y")</f>
        <v>-21.8</v>
      </c>
      <c r="J16" s="13">
        <f>_xll.BDH("NBIX US Equity","ARD_CHG_IN_ACCOUNTS_RECEIVABLE","FQ3 2020","FQ3 2020","Currency=USD","Period=FQ","BEST_FPERIOD_OVERRIDE=FQ","FILING_STATUS=MR","SCALING_FORMAT=MLN","Sort=A","Dates=H","DateFormat=P","Fill=—","Direction=H","UseDPDF=Y")</f>
        <v>-30.3</v>
      </c>
      <c r="K16" s="13">
        <f>_xll.BDH("NBIX US Equity","ARD_CHG_IN_ACCOUNTS_RECEIVABLE","FQ4 2020","FQ4 2020","Currency=USD","Period=FQ","BEST_FPERIOD_OVERRIDE=FQ","FILING_STATUS=MR","SCALING_FORMAT=MLN","Sort=A","Dates=H","DateFormat=P","Fill=—","Direction=H","UseDPDF=Y")</f>
        <v>-30.5</v>
      </c>
      <c r="L16" s="13">
        <f>_xll.BDH("NBIX US Equity","ARD_CHG_IN_ACCOUNTS_RECEIVABLE","FQ1 2021","FQ1 2021","Currency=USD","Period=FQ","BEST_FPERIOD_OVERRIDE=FQ","FILING_STATUS=MR","SCALING_FORMAT=MLN","Sort=A","Dates=H","DateFormat=P","Fill=—","Direction=H","UseDPDF=Y")</f>
        <v>9.3000000000000007</v>
      </c>
      <c r="M16" s="13">
        <f>_xll.BDH("NBIX US Equity","ARD_CHG_IN_ACCOUNTS_RECEIVABLE","FQ2 2021","FQ2 2021","Currency=USD","Period=FQ","BEST_FPERIOD_OVERRIDE=FQ","FILING_STATUS=MR","SCALING_FORMAT=MLN","Sort=A","Dates=H","DateFormat=P","Fill=—","Direction=H","UseDPDF=Y")</f>
        <v>-1.4</v>
      </c>
      <c r="N16" s="13">
        <f>_xll.BDH("NBIX US Equity","ARD_CHG_IN_ACCOUNTS_RECEIVABLE","FQ3 2021","FQ3 2021","Currency=USD","Period=FQ","BEST_FPERIOD_OVERRIDE=FQ","FILING_STATUS=MR","SCALING_FORMAT=MLN","Sort=A","Dates=H","DateFormat=P","Fill=—","Direction=H","UseDPDF=Y")</f>
        <v>-6.7</v>
      </c>
      <c r="O16" s="13">
        <f>_xll.BDH("NBIX US Equity","ARD_CHG_IN_ACCOUNTS_RECEIVABLE","FQ4 2021","FQ4 2021","Currency=USD","Period=FQ","BEST_FPERIOD_OVERRIDE=FQ","FILING_STATUS=MR","SCALING_FORMAT=MLN","Sort=A","Dates=H","DateFormat=P","Fill=—","Direction=H","UseDPDF=Y")</f>
        <v>-28.4</v>
      </c>
      <c r="P16" s="13">
        <f>_xll.BDH("NBIX US Equity","ARD_CHG_IN_ACCOUNTS_RECEIVABLE","FQ1 2022","FQ1 2022","Currency=USD","Period=FQ","BEST_FPERIOD_OVERRIDE=FQ","FILING_STATUS=MR","SCALING_FORMAT=MLN","Sort=A","Dates=H","DateFormat=P","Fill=—","Direction=H","UseDPDF=Y")</f>
        <v>-78</v>
      </c>
      <c r="Q16" s="13">
        <f>_xll.BDH("NBIX US Equity","ARD_CHG_IN_ACCOUNTS_RECEIVABLE","FQ2 2022","FQ2 2022","Currency=USD","Period=FQ","BEST_FPERIOD_OVERRIDE=FQ","FILING_STATUS=MR","SCALING_FORMAT=MLN","Sort=A","Dates=H","DateFormat=P","Fill=—","Direction=H","UseDPDF=Y")</f>
        <v>-93.5</v>
      </c>
      <c r="R16" s="13">
        <f>_xll.BDH("NBIX US Equity","ARD_CHG_IN_ACCOUNTS_RECEIVABLE","FQ3 2022","FQ3 2022","Currency=USD","Period=FQ","BEST_FPERIOD_OVERRIDE=FQ","FILING_STATUS=MR","SCALING_FORMAT=MLN","Sort=A","Dates=H","DateFormat=P","Fill=—","Direction=H","UseDPDF=Y")</f>
        <v>-115.7</v>
      </c>
      <c r="S16" s="13">
        <f>_xll.BDH("NBIX US Equity","ARD_CHG_IN_ACCOUNTS_RECEIVABLE","FQ4 2022","FQ4 2022","Currency=USD","Period=FQ","BEST_FPERIOD_OVERRIDE=FQ","FILING_STATUS=MR","SCALING_FORMAT=MLN","Sort=A","Dates=H","DateFormat=P","Fill=—","Direction=H","UseDPDF=Y")</f>
        <v>-162.19999999999999</v>
      </c>
      <c r="T16" s="13">
        <f>_xll.BDH("NBIX US Equity","ARD_CHG_IN_ACCOUNTS_RECEIVABLE","FQ1 2023","FQ1 2023","Currency=USD","Period=FQ","BEST_FPERIOD_OVERRIDE=FQ","FILING_STATUS=MR","SCALING_FORMAT=MLN","Sort=A","Dates=H","DateFormat=P","Fill=—","Direction=H","UseDPDF=Y")</f>
        <v>-41.7</v>
      </c>
      <c r="U16" s="13">
        <f>_xll.BDH("NBIX US Equity","ARD_CHG_IN_ACCOUNTS_RECEIVABLE","FQ2 2023","FQ2 2023","Currency=USD","Period=FQ","BEST_FPERIOD_OVERRIDE=FQ","FILING_STATUS=MR","SCALING_FORMAT=MLN","Sort=A","Dates=H","DateFormat=P","Fill=—","Direction=H","UseDPDF=Y")</f>
        <v>-37.5</v>
      </c>
      <c r="V16" s="13">
        <f>_xll.BDH("NBIX US Equity","ARD_CHG_IN_ACCOUNTS_RECEIVABLE","FQ3 2023","FQ3 2023","Currency=USD","Period=FQ","BEST_FPERIOD_OVERRIDE=FQ","FILING_STATUS=MR","SCALING_FORMAT=MLN","Sort=A","Dates=H","DateFormat=P","Fill=—","Direction=H","UseDPDF=Y")</f>
        <v>-67.900000000000006</v>
      </c>
      <c r="W16" s="13">
        <f>_xll.BDH("NBIX US Equity","ARD_CHG_IN_ACCOUNTS_RECEIVABLE","FQ4 2023","FQ4 2023","Currency=USD","Period=FQ","BEST_FPERIOD_OVERRIDE=FQ","FILING_STATUS=MR","SCALING_FORMAT=MLN","Sort=A","Dates=H","DateFormat=P","Fill=—","Direction=H","UseDPDF=Y")</f>
        <v>-89.3</v>
      </c>
      <c r="X16" s="13">
        <f>_xll.BDH("NBIX US Equity","ARD_CHG_IN_ACCOUNTS_RECEIVABLE","FQ1 2024","FQ1 2024","Currency=USD","Period=FQ","BEST_FPERIOD_OVERRIDE=FQ","FILING_STATUS=MR","SCALING_FORMAT=MLN","Sort=A","Dates=H","DateFormat=P","Fill=—","Direction=H","UseDPDF=Y")</f>
        <v>-11.3</v>
      </c>
      <c r="Y16" s="13">
        <f>_xll.BDH("NBIX US Equity","ARD_CHG_IN_ACCOUNTS_RECEIVABLE","FQ2 2024","FQ2 2024","Currency=USD","Period=FQ","BEST_FPERIOD_OVERRIDE=FQ","FILING_STATUS=MR","SCALING_FORMAT=MLN","Sort=A","Dates=H","DateFormat=P","Fill=—","Direction=H","UseDPDF=Y")</f>
        <v>-28.9</v>
      </c>
      <c r="Z16" s="13">
        <f>_xll.BDH("NBIX US Equity","ARD_CHG_IN_ACCOUNTS_RECEIVABLE","FQ3 2024","FQ3 2024","Currency=USD","Period=FQ","BEST_FPERIOD_OVERRIDE=FQ","FILING_STATUS=MR","SCALING_FORMAT=MLN","Sort=A","Dates=H","DateFormat=P","Fill=—","Direction=H","UseDPDF=Y")</f>
        <v>-41.8</v>
      </c>
      <c r="AA16" s="13">
        <f>_xll.BDH("NBIX US Equity","ARD_CHG_IN_ACCOUNTS_RECEIVABLE","FQ4 2024","FQ4 2024","Currency=USD","Period=FQ","BEST_FPERIOD_OVERRIDE=FQ","FILING_STATUS=MR","SCALING_FORMAT=MLN","Sort=A","Dates=H","DateFormat=P","Fill=—","Direction=H","UseDPDF=Y")</f>
        <v>-39.799999999999997</v>
      </c>
    </row>
    <row r="17" spans="1:27" x14ac:dyDescent="0.25">
      <c r="A17" s="10" t="s">
        <v>1186</v>
      </c>
      <c r="B17" s="10" t="s">
        <v>1187</v>
      </c>
      <c r="C17" s="13">
        <f>_xll.BDH("NBIX US Equity","ARD_CHG_IN_DEF_UNEARN_REVENUE_ST","FQ4 2018","FQ4 2018","Currency=USD","Period=FQ","BEST_FPERIOD_OVERRIDE=FQ","FILING_STATUS=MR","SCALING_FORMAT=MLN","Sort=A","Dates=H","DateFormat=P","Fill=—","Direction=H","UseDPDF=Y")</f>
        <v>0.35099999999999998</v>
      </c>
      <c r="D17" s="13" t="str">
        <f>_xll.BDH("NBIX US Equity","ARD_CHG_IN_DEF_UNEARN_REVENUE_ST","FQ1 2019","FQ1 2019","Currency=USD","Period=FQ","BEST_FPERIOD_OVERRIDE=FQ","FILING_STATUS=MR","SCALING_FORMAT=MLN","Sort=A","Dates=H","DateFormat=P","Fill=—","Direction=H","UseDPDF=Y")</f>
        <v>—</v>
      </c>
      <c r="E17" s="13" t="str">
        <f>_xll.BDH("NBIX US Equity","ARD_CHG_IN_DEF_UNEARN_REVENUE_ST","FQ2 2019","FQ2 2019","Currency=USD","Period=FQ","BEST_FPERIOD_OVERRIDE=FQ","FILING_STATUS=MR","SCALING_FORMAT=MLN","Sort=A","Dates=H","DateFormat=P","Fill=—","Direction=H","UseDPDF=Y")</f>
        <v>—</v>
      </c>
      <c r="F17" s="13" t="str">
        <f>_xll.BDH("NBIX US Equity","ARD_CHG_IN_DEF_UNEARN_REVENUE_ST","FQ3 2019","FQ3 2019","Currency=USD","Period=FQ","BEST_FPERIOD_OVERRIDE=FQ","FILING_STATUS=MR","SCALING_FORMAT=MLN","Sort=A","Dates=H","DateFormat=P","Fill=—","Direction=H","UseDPDF=Y")</f>
        <v>—</v>
      </c>
      <c r="G17" s="13" t="str">
        <f>_xll.BDH("NBIX US Equity","ARD_CHG_IN_DEF_UNEARN_REVENUE_ST","FQ4 2019","FQ4 2019","Currency=USD","Period=FQ","BEST_FPERIOD_OVERRIDE=FQ","FILING_STATUS=MR","SCALING_FORMAT=MLN","Sort=A","Dates=H","DateFormat=P","Fill=—","Direction=H","UseDPDF=Y")</f>
        <v>—</v>
      </c>
      <c r="H17" s="13" t="str">
        <f>_xll.BDH("NBIX US Equity","ARD_CHG_IN_DEF_UNEARN_REVENUE_ST","FQ1 2020","FQ1 2020","Currency=USD","Period=FQ","BEST_FPERIOD_OVERRIDE=FQ","FILING_STATUS=MR","SCALING_FORMAT=MLN","Sort=A","Dates=H","DateFormat=P","Fill=—","Direction=H","UseDPDF=Y")</f>
        <v>—</v>
      </c>
      <c r="I17" s="13" t="str">
        <f>_xll.BDH("NBIX US Equity","ARD_CHG_IN_DEF_UNEARN_REVENUE_ST","FQ2 2020","FQ2 2020","Currency=USD","Period=FQ","BEST_FPERIOD_OVERRIDE=FQ","FILING_STATUS=MR","SCALING_FORMAT=MLN","Sort=A","Dates=H","DateFormat=P","Fill=—","Direction=H","UseDPDF=Y")</f>
        <v>—</v>
      </c>
      <c r="J17" s="13" t="str">
        <f>_xll.BDH("NBIX US Equity","ARD_CHG_IN_DEF_UNEARN_REVENUE_ST","FQ3 2020","FQ3 2020","Currency=USD","Period=FQ","BEST_FPERIOD_OVERRIDE=FQ","FILING_STATUS=MR","SCALING_FORMAT=MLN","Sort=A","Dates=H","DateFormat=P","Fill=—","Direction=H","UseDPDF=Y")</f>
        <v>—</v>
      </c>
      <c r="K17" s="13" t="str">
        <f>_xll.BDH("NBIX US Equity","ARD_CHG_IN_DEF_UNEARN_REVENUE_ST","FQ4 2020","FQ4 2020","Currency=USD","Period=FQ","BEST_FPERIOD_OVERRIDE=FQ","FILING_STATUS=MR","SCALING_FORMAT=MLN","Sort=A","Dates=H","DateFormat=P","Fill=—","Direction=H","UseDPDF=Y")</f>
        <v>—</v>
      </c>
      <c r="L17" s="13" t="str">
        <f>_xll.BDH("NBIX US Equity","ARD_CHG_IN_DEF_UNEARN_REVENUE_ST","FQ1 2021","FQ1 2021","Currency=USD","Period=FQ","BEST_FPERIOD_OVERRIDE=FQ","FILING_STATUS=MR","SCALING_FORMAT=MLN","Sort=A","Dates=H","DateFormat=P","Fill=—","Direction=H","UseDPDF=Y")</f>
        <v>—</v>
      </c>
      <c r="M17" s="13" t="str">
        <f>_xll.BDH("NBIX US Equity","ARD_CHG_IN_DEF_UNEARN_REVENUE_ST","FQ2 2021","FQ2 2021","Currency=USD","Period=FQ","BEST_FPERIOD_OVERRIDE=FQ","FILING_STATUS=MR","SCALING_FORMAT=MLN","Sort=A","Dates=H","DateFormat=P","Fill=—","Direction=H","UseDPDF=Y")</f>
        <v>—</v>
      </c>
      <c r="N17" s="13" t="str">
        <f>_xll.BDH("NBIX US Equity","ARD_CHG_IN_DEF_UNEARN_REVENUE_ST","FQ3 2021","FQ3 2021","Currency=USD","Period=FQ","BEST_FPERIOD_OVERRIDE=FQ","FILING_STATUS=MR","SCALING_FORMAT=MLN","Sort=A","Dates=H","DateFormat=P","Fill=—","Direction=H","UseDPDF=Y")</f>
        <v>—</v>
      </c>
      <c r="O17" s="13" t="str">
        <f>_xll.BDH("NBIX US Equity","ARD_CHG_IN_DEF_UNEARN_REVENUE_ST","FQ4 2021","FQ4 2021","Currency=USD","Period=FQ","BEST_FPERIOD_OVERRIDE=FQ","FILING_STATUS=MR","SCALING_FORMAT=MLN","Sort=A","Dates=H","DateFormat=P","Fill=—","Direction=H","UseDPDF=Y")</f>
        <v>—</v>
      </c>
      <c r="P17" s="13" t="str">
        <f>_xll.BDH("NBIX US Equity","ARD_CHG_IN_DEF_UNEARN_REVENUE_ST","FQ1 2022","FQ1 2022","Currency=USD","Period=FQ","BEST_FPERIOD_OVERRIDE=FQ","FILING_STATUS=MR","SCALING_FORMAT=MLN","Sort=A","Dates=H","DateFormat=P","Fill=—","Direction=H","UseDPDF=Y")</f>
        <v>—</v>
      </c>
      <c r="Q17" s="13" t="str">
        <f>_xll.BDH("NBIX US Equity","ARD_CHG_IN_DEF_UNEARN_REVENUE_ST","FQ2 2022","FQ2 2022","Currency=USD","Period=FQ","BEST_FPERIOD_OVERRIDE=FQ","FILING_STATUS=MR","SCALING_FORMAT=MLN","Sort=A","Dates=H","DateFormat=P","Fill=—","Direction=H","UseDPDF=Y")</f>
        <v>—</v>
      </c>
      <c r="R17" s="13" t="str">
        <f>_xll.BDH("NBIX US Equity","ARD_CHG_IN_DEF_UNEARN_REVENUE_ST","FQ3 2022","FQ3 2022","Currency=USD","Period=FQ","BEST_FPERIOD_OVERRIDE=FQ","FILING_STATUS=MR","SCALING_FORMAT=MLN","Sort=A","Dates=H","DateFormat=P","Fill=—","Direction=H","UseDPDF=Y")</f>
        <v>—</v>
      </c>
      <c r="S17" s="13" t="str">
        <f>_xll.BDH("NBIX US Equity","ARD_CHG_IN_DEF_UNEARN_REVENUE_ST","FQ4 2022","FQ4 2022","Currency=USD","Period=FQ","BEST_FPERIOD_OVERRIDE=FQ","FILING_STATUS=MR","SCALING_FORMAT=MLN","Sort=A","Dates=H","DateFormat=P","Fill=—","Direction=H","UseDPDF=Y")</f>
        <v>—</v>
      </c>
      <c r="T17" s="13" t="str">
        <f>_xll.BDH("NBIX US Equity","ARD_CHG_IN_DEF_UNEARN_REVENUE_ST","FQ1 2023","FQ1 2023","Currency=USD","Period=FQ","BEST_FPERIOD_OVERRIDE=FQ","FILING_STATUS=MR","SCALING_FORMAT=MLN","Sort=A","Dates=H","DateFormat=P","Fill=—","Direction=H","UseDPDF=Y")</f>
        <v>—</v>
      </c>
      <c r="U17" s="13" t="str">
        <f>_xll.BDH("NBIX US Equity","ARD_CHG_IN_DEF_UNEARN_REVENUE_ST","FQ2 2023","FQ2 2023","Currency=USD","Period=FQ","BEST_FPERIOD_OVERRIDE=FQ","FILING_STATUS=MR","SCALING_FORMAT=MLN","Sort=A","Dates=H","DateFormat=P","Fill=—","Direction=H","UseDPDF=Y")</f>
        <v>—</v>
      </c>
      <c r="V17" s="13" t="str">
        <f>_xll.BDH("NBIX US Equity","ARD_CHG_IN_DEF_UNEARN_REVENUE_ST","FQ3 2023","FQ3 2023","Currency=USD","Period=FQ","BEST_FPERIOD_OVERRIDE=FQ","FILING_STATUS=MR","SCALING_FORMAT=MLN","Sort=A","Dates=H","DateFormat=P","Fill=—","Direction=H","UseDPDF=Y")</f>
        <v>—</v>
      </c>
      <c r="W17" s="13" t="str">
        <f>_xll.BDH("NBIX US Equity","ARD_CHG_IN_DEF_UNEARN_REVENUE_ST","FQ4 2023","FQ4 2023","Currency=USD","Period=FQ","BEST_FPERIOD_OVERRIDE=FQ","FILING_STATUS=MR","SCALING_FORMAT=MLN","Sort=A","Dates=H","DateFormat=P","Fill=—","Direction=H","UseDPDF=Y")</f>
        <v>—</v>
      </c>
      <c r="X17" s="13" t="str">
        <f>_xll.BDH("NBIX US Equity","ARD_CHG_IN_DEF_UNEARN_REVENUE_ST","FQ1 2024","FQ1 2024","Currency=USD","Period=FQ","BEST_FPERIOD_OVERRIDE=FQ","FILING_STATUS=MR","SCALING_FORMAT=MLN","Sort=A","Dates=H","DateFormat=P","Fill=—","Direction=H","UseDPDF=Y")</f>
        <v>—</v>
      </c>
      <c r="Y17" s="13" t="str">
        <f>_xll.BDH("NBIX US Equity","ARD_CHG_IN_DEF_UNEARN_REVENUE_ST","FQ2 2024","FQ2 2024","Currency=USD","Period=FQ","BEST_FPERIOD_OVERRIDE=FQ","FILING_STATUS=MR","SCALING_FORMAT=MLN","Sort=A","Dates=H","DateFormat=P","Fill=—","Direction=H","UseDPDF=Y")</f>
        <v>—</v>
      </c>
      <c r="Z17" s="13" t="str">
        <f>_xll.BDH("NBIX US Equity","ARD_CHG_IN_DEF_UNEARN_REVENUE_ST","FQ3 2024","FQ3 2024","Currency=USD","Period=FQ","BEST_FPERIOD_OVERRIDE=FQ","FILING_STATUS=MR","SCALING_FORMAT=MLN","Sort=A","Dates=H","DateFormat=P","Fill=—","Direction=H","UseDPDF=Y")</f>
        <v>—</v>
      </c>
      <c r="AA17" s="13" t="str">
        <f>_xll.BDH("NBIX US Equity","ARD_CHG_IN_DEF_UNEARN_REVENUE_ST","FQ4 2024","FQ4 2024","Currency=USD","Period=FQ","BEST_FPERIOD_OVERRIDE=FQ","FILING_STATUS=MR","SCALING_FORMAT=MLN","Sort=A","Dates=H","DateFormat=P","Fill=—","Direction=H","UseDPDF=Y")</f>
        <v>—</v>
      </c>
    </row>
    <row r="18" spans="1:27" x14ac:dyDescent="0.25">
      <c r="A18" s="10" t="s">
        <v>1188</v>
      </c>
      <c r="B18" s="10" t="s">
        <v>1189</v>
      </c>
      <c r="C18" s="13">
        <f>_xll.BDH("NBIX US Equity","ARD_CHG_IN_ACCT_PAY_ACC_EXP","FQ4 2018","FQ4 2018","Currency=USD","Period=FQ","BEST_FPERIOD_OVERRIDE=FQ","FILING_STATUS=MR","SCALING_FORMAT=MLN","Sort=A","Dates=H","DateFormat=P","Fill=—","Direction=H","UseDPDF=Y")</f>
        <v>24.222999999999999</v>
      </c>
      <c r="D18" s="13">
        <f>_xll.BDH("NBIX US Equity","ARD_CHG_IN_ACCT_PAY_ACC_EXP","FQ1 2019","FQ1 2019","Currency=USD","Period=FQ","BEST_FPERIOD_OVERRIDE=FQ","FILING_STATUS=MR","SCALING_FORMAT=MLN","Sort=A","Dates=H","DateFormat=P","Fill=—","Direction=H","UseDPDF=Y")</f>
        <v>-16.567</v>
      </c>
      <c r="E18" s="13">
        <f>_xll.BDH("NBIX US Equity","ARD_CHG_IN_ACCT_PAY_ACC_EXP","FQ2 2019","FQ2 2019","Currency=USD","Period=FQ","BEST_FPERIOD_OVERRIDE=FQ","FILING_STATUS=MR","SCALING_FORMAT=MLN","Sort=A","Dates=H","DateFormat=P","Fill=—","Direction=H","UseDPDF=Y")</f>
        <v>7.7389999999999999</v>
      </c>
      <c r="F18" s="13">
        <f>_xll.BDH("NBIX US Equity","ARD_CHG_IN_ACCT_PAY_ACC_EXP","FQ3 2019","FQ3 2019","Currency=USD","Period=FQ","BEST_FPERIOD_OVERRIDE=FQ","FILING_STATUS=MR","SCALING_FORMAT=MLN","Sort=A","Dates=H","DateFormat=P","Fill=—","Direction=H","UseDPDF=Y")</f>
        <v>12.343999999999999</v>
      </c>
      <c r="G18" s="13">
        <f>_xll.BDH("NBIX US Equity","ARD_CHG_IN_ACCT_PAY_ACC_EXP","FQ4 2019","FQ4 2019","Currency=USD","Period=FQ","BEST_FPERIOD_OVERRIDE=FQ","FILING_STATUS=MR","SCALING_FORMAT=MLN","Sort=A","Dates=H","DateFormat=P","Fill=—","Direction=H","UseDPDF=Y")</f>
        <v>54</v>
      </c>
      <c r="H18" s="13">
        <f>_xll.BDH("NBIX US Equity","ARD_CHG_IN_ACCT_PAY_ACC_EXP","FQ1 2020","FQ1 2020","Currency=USD","Period=FQ","BEST_FPERIOD_OVERRIDE=FQ","FILING_STATUS=MR","SCALING_FORMAT=MLN","Sort=A","Dates=H","DateFormat=P","Fill=—","Direction=H","UseDPDF=Y")</f>
        <v>-16.2</v>
      </c>
      <c r="I18" s="13">
        <f>_xll.BDH("NBIX US Equity","ARD_CHG_IN_ACCT_PAY_ACC_EXP","FQ2 2020","FQ2 2020","Currency=USD","Period=FQ","BEST_FPERIOD_OVERRIDE=FQ","FILING_STATUS=MR","SCALING_FORMAT=MLN","Sort=A","Dates=H","DateFormat=P","Fill=—","Direction=H","UseDPDF=Y")</f>
        <v>-5.0999999999999996</v>
      </c>
      <c r="J18" s="13">
        <f>_xll.BDH("NBIX US Equity","ARD_CHG_IN_ACCT_PAY_ACC_EXP","FQ3 2020","FQ3 2020","Currency=USD","Period=FQ","BEST_FPERIOD_OVERRIDE=FQ","FILING_STATUS=MR","SCALING_FORMAT=MLN","Sort=A","Dates=H","DateFormat=P","Fill=—","Direction=H","UseDPDF=Y")</f>
        <v>28.1</v>
      </c>
      <c r="K18" s="13">
        <f>_xll.BDH("NBIX US Equity","ARD_CHG_IN_ACCT_PAY_ACC_EXP","FQ4 2020","FQ4 2020","Currency=USD","Period=FQ","BEST_FPERIOD_OVERRIDE=FQ","FILING_STATUS=MR","SCALING_FORMAT=MLN","Sort=A","Dates=H","DateFormat=P","Fill=—","Direction=H","UseDPDF=Y")</f>
        <v>26.9</v>
      </c>
      <c r="L18" s="13">
        <f>_xll.BDH("NBIX US Equity","ARD_CHG_IN_ACCT_PAY_ACC_EXP","FQ1 2021","FQ1 2021","Currency=USD","Period=FQ","BEST_FPERIOD_OVERRIDE=FQ","FILING_STATUS=MR","SCALING_FORMAT=MLN","Sort=A","Dates=H","DateFormat=P","Fill=—","Direction=H","UseDPDF=Y")</f>
        <v>11</v>
      </c>
      <c r="M18" s="13">
        <f>_xll.BDH("NBIX US Equity","ARD_CHG_IN_ACCT_PAY_ACC_EXP","FQ2 2021","FQ2 2021","Currency=USD","Period=FQ","BEST_FPERIOD_OVERRIDE=FQ","FILING_STATUS=MR","SCALING_FORMAT=MLN","Sort=A","Dates=H","DateFormat=P","Fill=—","Direction=H","UseDPDF=Y")</f>
        <v>29</v>
      </c>
      <c r="N18" s="13">
        <f>_xll.BDH("NBIX US Equity","ARD_CHG_IN_ACCT_PAY_ACC_EXP","FQ3 2021","FQ3 2021","Currency=USD","Period=FQ","BEST_FPERIOD_OVERRIDE=FQ","FILING_STATUS=MR","SCALING_FORMAT=MLN","Sort=A","Dates=H","DateFormat=P","Fill=—","Direction=H","UseDPDF=Y")</f>
        <v>37.700000000000003</v>
      </c>
      <c r="O18" s="13">
        <f>_xll.BDH("NBIX US Equity","ARD_CHG_IN_ACCT_PAY_ACC_EXP","FQ4 2021","FQ4 2021","Currency=USD","Period=FQ","BEST_FPERIOD_OVERRIDE=FQ","FILING_STATUS=MR","SCALING_FORMAT=MLN","Sort=A","Dates=H","DateFormat=P","Fill=—","Direction=H","UseDPDF=Y")</f>
        <v>56.8</v>
      </c>
      <c r="P18" s="13">
        <f>_xll.BDH("NBIX US Equity","ARD_CHG_IN_ACCT_PAY_ACC_EXP","FQ1 2022","FQ1 2022","Currency=USD","Period=FQ","BEST_FPERIOD_OVERRIDE=FQ","FILING_STATUS=MR","SCALING_FORMAT=MLN","Sort=A","Dates=H","DateFormat=P","Fill=—","Direction=H","UseDPDF=Y")</f>
        <v>11.5</v>
      </c>
      <c r="Q18" s="13">
        <f>_xll.BDH("NBIX US Equity","ARD_CHG_IN_ACCT_PAY_ACC_EXP","FQ2 2022","FQ2 2022","Currency=USD","Period=FQ","BEST_FPERIOD_OVERRIDE=FQ","FILING_STATUS=MR","SCALING_FORMAT=MLN","Sort=A","Dates=H","DateFormat=P","Fill=—","Direction=H","UseDPDF=Y")</f>
        <v>44.2</v>
      </c>
      <c r="R18" s="13">
        <f>_xll.BDH("NBIX US Equity","ARD_CHG_IN_ACCT_PAY_ACC_EXP","FQ3 2022","FQ3 2022","Currency=USD","Period=FQ","BEST_FPERIOD_OVERRIDE=FQ","FILING_STATUS=MR","SCALING_FORMAT=MLN","Sort=A","Dates=H","DateFormat=P","Fill=—","Direction=H","UseDPDF=Y")</f>
        <v>77</v>
      </c>
      <c r="S18" s="13">
        <f>_xll.BDH("NBIX US Equity","ARD_CHG_IN_ACCT_PAY_ACC_EXP","FQ4 2022","FQ4 2022","Currency=USD","Period=FQ","BEST_FPERIOD_OVERRIDE=FQ","FILING_STATUS=MR","SCALING_FORMAT=MLN","Sort=A","Dates=H","DateFormat=P","Fill=—","Direction=H","UseDPDF=Y")</f>
        <v>114.6</v>
      </c>
      <c r="T18" s="13">
        <f>_xll.BDH("NBIX US Equity","ARD_CHG_IN_ACCT_PAY_ACC_EXP","FQ1 2023","FQ1 2023","Currency=USD","Period=FQ","BEST_FPERIOD_OVERRIDE=FQ","FILING_STATUS=MR","SCALING_FORMAT=MLN","Sort=A","Dates=H","DateFormat=P","Fill=—","Direction=H","UseDPDF=Y")</f>
        <v>6.7</v>
      </c>
      <c r="U18" s="13">
        <f>_xll.BDH("NBIX US Equity","ARD_CHG_IN_ACCT_PAY_ACC_EXP","FQ2 2023","FQ2 2023","Currency=USD","Period=FQ","BEST_FPERIOD_OVERRIDE=FQ","FILING_STATUS=MR","SCALING_FORMAT=MLN","Sort=A","Dates=H","DateFormat=P","Fill=—","Direction=H","UseDPDF=Y")</f>
        <v>22.9</v>
      </c>
      <c r="V18" s="13">
        <f>_xll.BDH("NBIX US Equity","ARD_CHG_IN_ACCT_PAY_ACC_EXP","FQ3 2023","FQ3 2023","Currency=USD","Period=FQ","BEST_FPERIOD_OVERRIDE=FQ","FILING_STATUS=MR","SCALING_FORMAT=MLN","Sort=A","Dates=H","DateFormat=P","Fill=—","Direction=H","UseDPDF=Y")</f>
        <v>147.30000000000001</v>
      </c>
      <c r="W18" s="13">
        <f>_xll.BDH("NBIX US Equity","ARD_CHG_IN_ACCT_PAY_ACC_EXP","FQ4 2023","FQ4 2023","Currency=USD","Period=FQ","BEST_FPERIOD_OVERRIDE=FQ","FILING_STATUS=MR","SCALING_FORMAT=MLN","Sort=A","Dates=H","DateFormat=P","Fill=—","Direction=H","UseDPDF=Y")</f>
        <v>64.3</v>
      </c>
      <c r="X18" s="13">
        <f>_xll.BDH("NBIX US Equity","ARD_CHG_IN_ACCT_PAY_ACC_EXP","FQ1 2024","FQ1 2024","Currency=USD","Period=FQ","BEST_FPERIOD_OVERRIDE=FQ","FILING_STATUS=MR","SCALING_FORMAT=MLN","Sort=A","Dates=H","DateFormat=P","Fill=—","Direction=H","UseDPDF=Y")</f>
        <v>-18.600000000000001</v>
      </c>
      <c r="Y18" s="13">
        <f>_xll.BDH("NBIX US Equity","ARD_CHG_IN_ACCT_PAY_ACC_EXP","FQ2 2024","FQ2 2024","Currency=USD","Period=FQ","BEST_FPERIOD_OVERRIDE=FQ","FILING_STATUS=MR","SCALING_FORMAT=MLN","Sort=A","Dates=H","DateFormat=P","Fill=—","Direction=H","UseDPDF=Y")</f>
        <v>-78.099999999999994</v>
      </c>
      <c r="Z18" s="13">
        <f>_xll.BDH("NBIX US Equity","ARD_CHG_IN_ACCT_PAY_ACC_EXP","FQ3 2024","FQ3 2024","Currency=USD","Period=FQ","BEST_FPERIOD_OVERRIDE=FQ","FILING_STATUS=MR","SCALING_FORMAT=MLN","Sort=A","Dates=H","DateFormat=P","Fill=—","Direction=H","UseDPDF=Y")</f>
        <v>-38.700000000000003</v>
      </c>
      <c r="AA18" s="13">
        <f>_xll.BDH("NBIX US Equity","ARD_CHG_IN_ACCT_PAY_ACC_EXP","FQ4 2024","FQ4 2024","Currency=USD","Period=FQ","BEST_FPERIOD_OVERRIDE=FQ","FILING_STATUS=MR","SCALING_FORMAT=MLN","Sort=A","Dates=H","DateFormat=P","Fill=—","Direction=H","UseDPDF=Y")</f>
        <v>29</v>
      </c>
    </row>
    <row r="19" spans="1:27" x14ac:dyDescent="0.25">
      <c r="A19" s="10" t="s">
        <v>1190</v>
      </c>
      <c r="B19" s="10" t="s">
        <v>1191</v>
      </c>
      <c r="C19" s="13">
        <f>_xll.BDH("NBIX US Equity","ARD_CHANGE_IN_OTHER_CUR_ASSETS","FQ4 2018","FQ4 2018","Currency=USD","Period=FQ","BEST_FPERIOD_OVERRIDE=FQ","FILING_STATUS=MR","SCALING_FORMAT=MLN","Sort=A","Dates=H","DateFormat=P","Fill=—","Direction=H","UseDPDF=Y")</f>
        <v>-6.0439999999999996</v>
      </c>
      <c r="D19" s="13">
        <f>_xll.BDH("NBIX US Equity","ARD_CHANGE_IN_OTHER_CUR_ASSETS","FQ1 2019","FQ1 2019","Currency=USD","Period=FQ","BEST_FPERIOD_OVERRIDE=FQ","FILING_STATUS=MR","SCALING_FORMAT=MLN","Sort=A","Dates=H","DateFormat=P","Fill=—","Direction=H","UseDPDF=Y")</f>
        <v>-2.11</v>
      </c>
      <c r="E19" s="13">
        <f>_xll.BDH("NBIX US Equity","ARD_CHANGE_IN_OTHER_CUR_ASSETS","FQ2 2019","FQ2 2019","Currency=USD","Period=FQ","BEST_FPERIOD_OVERRIDE=FQ","FILING_STATUS=MR","SCALING_FORMAT=MLN","Sort=A","Dates=H","DateFormat=P","Fill=—","Direction=H","UseDPDF=Y")</f>
        <v>1.7999999999999999E-2</v>
      </c>
      <c r="F19" s="13">
        <f>_xll.BDH("NBIX US Equity","ARD_CHANGE_IN_OTHER_CUR_ASSETS","FQ3 2019","FQ3 2019","Currency=USD","Period=FQ","BEST_FPERIOD_OVERRIDE=FQ","FILING_STATUS=MR","SCALING_FORMAT=MLN","Sort=A","Dates=H","DateFormat=P","Fill=—","Direction=H","UseDPDF=Y")</f>
        <v>-2.1800000000000002</v>
      </c>
      <c r="G19" s="13" t="str">
        <f>_xll.BDH("NBIX US Equity","ARD_CHANGE_IN_OTHER_CUR_ASSETS","FQ4 2019","FQ4 2019","Currency=USD","Period=FQ","BEST_FPERIOD_OVERRIDE=FQ","FILING_STATUS=MR","SCALING_FORMAT=MLN","Sort=A","Dates=H","DateFormat=P","Fill=—","Direction=H","UseDPDF=Y")</f>
        <v>—</v>
      </c>
      <c r="H19" s="13" t="str">
        <f>_xll.BDH("NBIX US Equity","ARD_CHANGE_IN_OTHER_CUR_ASSETS","FQ1 2020","FQ1 2020","Currency=USD","Period=FQ","BEST_FPERIOD_OVERRIDE=FQ","FILING_STATUS=MR","SCALING_FORMAT=MLN","Sort=A","Dates=H","DateFormat=P","Fill=—","Direction=H","UseDPDF=Y")</f>
        <v>—</v>
      </c>
      <c r="I19" s="13" t="str">
        <f>_xll.BDH("NBIX US Equity","ARD_CHANGE_IN_OTHER_CUR_ASSETS","FQ2 2020","FQ2 2020","Currency=USD","Period=FQ","BEST_FPERIOD_OVERRIDE=FQ","FILING_STATUS=MR","SCALING_FORMAT=MLN","Sort=A","Dates=H","DateFormat=P","Fill=—","Direction=H","UseDPDF=Y")</f>
        <v>—</v>
      </c>
      <c r="J19" s="13" t="str">
        <f>_xll.BDH("NBIX US Equity","ARD_CHANGE_IN_OTHER_CUR_ASSETS","FQ3 2020","FQ3 2020","Currency=USD","Period=FQ","BEST_FPERIOD_OVERRIDE=FQ","FILING_STATUS=MR","SCALING_FORMAT=MLN","Sort=A","Dates=H","DateFormat=P","Fill=—","Direction=H","UseDPDF=Y")</f>
        <v>—</v>
      </c>
      <c r="K19" s="13" t="str">
        <f>_xll.BDH("NBIX US Equity","ARD_CHANGE_IN_OTHER_CUR_ASSETS","FQ4 2020","FQ4 2020","Currency=USD","Period=FQ","BEST_FPERIOD_OVERRIDE=FQ","FILING_STATUS=MR","SCALING_FORMAT=MLN","Sort=A","Dates=H","DateFormat=P","Fill=—","Direction=H","UseDPDF=Y")</f>
        <v>—</v>
      </c>
      <c r="L19" s="13" t="str">
        <f>_xll.BDH("NBIX US Equity","ARD_CHANGE_IN_OTHER_CUR_ASSETS","FQ1 2021","FQ1 2021","Currency=USD","Period=FQ","BEST_FPERIOD_OVERRIDE=FQ","FILING_STATUS=MR","SCALING_FORMAT=MLN","Sort=A","Dates=H","DateFormat=P","Fill=—","Direction=H","UseDPDF=Y")</f>
        <v>—</v>
      </c>
      <c r="M19" s="13" t="str">
        <f>_xll.BDH("NBIX US Equity","ARD_CHANGE_IN_OTHER_CUR_ASSETS","FQ2 2021","FQ2 2021","Currency=USD","Period=FQ","BEST_FPERIOD_OVERRIDE=FQ","FILING_STATUS=MR","SCALING_FORMAT=MLN","Sort=A","Dates=H","DateFormat=P","Fill=—","Direction=H","UseDPDF=Y")</f>
        <v>—</v>
      </c>
      <c r="N19" s="13" t="str">
        <f>_xll.BDH("NBIX US Equity","ARD_CHANGE_IN_OTHER_CUR_ASSETS","FQ3 2021","FQ3 2021","Currency=USD","Period=FQ","BEST_FPERIOD_OVERRIDE=FQ","FILING_STATUS=MR","SCALING_FORMAT=MLN","Sort=A","Dates=H","DateFormat=P","Fill=—","Direction=H","UseDPDF=Y")</f>
        <v>—</v>
      </c>
      <c r="O19" s="13" t="str">
        <f>_xll.BDH("NBIX US Equity","ARD_CHANGE_IN_OTHER_CUR_ASSETS","FQ4 2021","FQ4 2021","Currency=USD","Period=FQ","BEST_FPERIOD_OVERRIDE=FQ","FILING_STATUS=MR","SCALING_FORMAT=MLN","Sort=A","Dates=H","DateFormat=P","Fill=—","Direction=H","UseDPDF=Y")</f>
        <v>—</v>
      </c>
      <c r="P19" s="13" t="str">
        <f>_xll.BDH("NBIX US Equity","ARD_CHANGE_IN_OTHER_CUR_ASSETS","FQ1 2022","FQ1 2022","Currency=USD","Period=FQ","BEST_FPERIOD_OVERRIDE=FQ","FILING_STATUS=MR","SCALING_FORMAT=MLN","Sort=A","Dates=H","DateFormat=P","Fill=—","Direction=H","UseDPDF=Y")</f>
        <v>—</v>
      </c>
      <c r="Q19" s="13" t="str">
        <f>_xll.BDH("NBIX US Equity","ARD_CHANGE_IN_OTHER_CUR_ASSETS","FQ2 2022","FQ2 2022","Currency=USD","Period=FQ","BEST_FPERIOD_OVERRIDE=FQ","FILING_STATUS=MR","SCALING_FORMAT=MLN","Sort=A","Dates=H","DateFormat=P","Fill=—","Direction=H","UseDPDF=Y")</f>
        <v>—</v>
      </c>
      <c r="R19" s="13" t="str">
        <f>_xll.BDH("NBIX US Equity","ARD_CHANGE_IN_OTHER_CUR_ASSETS","FQ3 2022","FQ3 2022","Currency=USD","Period=FQ","BEST_FPERIOD_OVERRIDE=FQ","FILING_STATUS=MR","SCALING_FORMAT=MLN","Sort=A","Dates=H","DateFormat=P","Fill=—","Direction=H","UseDPDF=Y")</f>
        <v>—</v>
      </c>
      <c r="S19" s="13" t="str">
        <f>_xll.BDH("NBIX US Equity","ARD_CHANGE_IN_OTHER_CUR_ASSETS","FQ4 2022","FQ4 2022","Currency=USD","Period=FQ","BEST_FPERIOD_OVERRIDE=FQ","FILING_STATUS=MR","SCALING_FORMAT=MLN","Sort=A","Dates=H","DateFormat=P","Fill=—","Direction=H","UseDPDF=Y")</f>
        <v>—</v>
      </c>
      <c r="T19" s="13" t="str">
        <f>_xll.BDH("NBIX US Equity","ARD_CHANGE_IN_OTHER_CUR_ASSETS","FQ1 2023","FQ1 2023","Currency=USD","Period=FQ","BEST_FPERIOD_OVERRIDE=FQ","FILING_STATUS=MR","SCALING_FORMAT=MLN","Sort=A","Dates=H","DateFormat=P","Fill=—","Direction=H","UseDPDF=Y")</f>
        <v>—</v>
      </c>
      <c r="U19" s="13" t="str">
        <f>_xll.BDH("NBIX US Equity","ARD_CHANGE_IN_OTHER_CUR_ASSETS","FQ2 2023","FQ2 2023","Currency=USD","Period=FQ","BEST_FPERIOD_OVERRIDE=FQ","FILING_STATUS=MR","SCALING_FORMAT=MLN","Sort=A","Dates=H","DateFormat=P","Fill=—","Direction=H","UseDPDF=Y")</f>
        <v>—</v>
      </c>
      <c r="V19" s="13" t="str">
        <f>_xll.BDH("NBIX US Equity","ARD_CHANGE_IN_OTHER_CUR_ASSETS","FQ3 2023","FQ3 2023","Currency=USD","Period=FQ","BEST_FPERIOD_OVERRIDE=FQ","FILING_STATUS=MR","SCALING_FORMAT=MLN","Sort=A","Dates=H","DateFormat=P","Fill=—","Direction=H","UseDPDF=Y")</f>
        <v>—</v>
      </c>
      <c r="W19" s="13" t="str">
        <f>_xll.BDH("NBIX US Equity","ARD_CHANGE_IN_OTHER_CUR_ASSETS","FQ4 2023","FQ4 2023","Currency=USD","Period=FQ","BEST_FPERIOD_OVERRIDE=FQ","FILING_STATUS=MR","SCALING_FORMAT=MLN","Sort=A","Dates=H","DateFormat=P","Fill=—","Direction=H","UseDPDF=Y")</f>
        <v>—</v>
      </c>
      <c r="X19" s="13" t="str">
        <f>_xll.BDH("NBIX US Equity","ARD_CHANGE_IN_OTHER_CUR_ASSETS","FQ1 2024","FQ1 2024","Currency=USD","Period=FQ","BEST_FPERIOD_OVERRIDE=FQ","FILING_STATUS=MR","SCALING_FORMAT=MLN","Sort=A","Dates=H","DateFormat=P","Fill=—","Direction=H","UseDPDF=Y")</f>
        <v>—</v>
      </c>
      <c r="Y19" s="13" t="str">
        <f>_xll.BDH("NBIX US Equity","ARD_CHANGE_IN_OTHER_CUR_ASSETS","FQ2 2024","FQ2 2024","Currency=USD","Period=FQ","BEST_FPERIOD_OVERRIDE=FQ","FILING_STATUS=MR","SCALING_FORMAT=MLN","Sort=A","Dates=H","DateFormat=P","Fill=—","Direction=H","UseDPDF=Y")</f>
        <v>—</v>
      </c>
      <c r="Z19" s="13" t="str">
        <f>_xll.BDH("NBIX US Equity","ARD_CHANGE_IN_OTHER_CUR_ASSETS","FQ3 2024","FQ3 2024","Currency=USD","Period=FQ","BEST_FPERIOD_OVERRIDE=FQ","FILING_STATUS=MR","SCALING_FORMAT=MLN","Sort=A","Dates=H","DateFormat=P","Fill=—","Direction=H","UseDPDF=Y")</f>
        <v>—</v>
      </c>
      <c r="AA19" s="13" t="str">
        <f>_xll.BDH("NBIX US Equity","ARD_CHANGE_IN_OTHER_CUR_ASSETS","FQ4 2024","FQ4 2024","Currency=USD","Period=FQ","BEST_FPERIOD_OVERRIDE=FQ","FILING_STATUS=MR","SCALING_FORMAT=MLN","Sort=A","Dates=H","DateFormat=P","Fill=—","Direction=H","UseDPDF=Y")</f>
        <v>—</v>
      </c>
    </row>
    <row r="20" spans="1:27" x14ac:dyDescent="0.25">
      <c r="A20" s="10" t="s">
        <v>1192</v>
      </c>
      <c r="B20" s="10" t="s">
        <v>1193</v>
      </c>
      <c r="C20" s="13" t="str">
        <f>_xll.BDH("NBIX US Equity","ARD_AMORTIZATION_OF_INTANGIBLE","FQ4 2018","FQ4 2018","Currency=USD","Period=FQ","BEST_FPERIOD_OVERRIDE=FQ","FILING_STATUS=MR","SCALING_FORMAT=MLN","Sort=A","Dates=H","DateFormat=P","Fill=—","Direction=H","UseDPDF=Y")</f>
        <v>—</v>
      </c>
      <c r="D20" s="13" t="str">
        <f>_xll.BDH("NBIX US Equity","ARD_AMORTIZATION_OF_INTANGIBLE","FQ1 2019","FQ1 2019","Currency=USD","Period=FQ","BEST_FPERIOD_OVERRIDE=FQ","FILING_STATUS=MR","SCALING_FORMAT=MLN","Sort=A","Dates=H","DateFormat=P","Fill=—","Direction=H","UseDPDF=Y")</f>
        <v>—</v>
      </c>
      <c r="E20" s="13" t="str">
        <f>_xll.BDH("NBIX US Equity","ARD_AMORTIZATION_OF_INTANGIBLE","FQ2 2019","FQ2 2019","Currency=USD","Period=FQ","BEST_FPERIOD_OVERRIDE=FQ","FILING_STATUS=MR","SCALING_FORMAT=MLN","Sort=A","Dates=H","DateFormat=P","Fill=—","Direction=H","UseDPDF=Y")</f>
        <v>—</v>
      </c>
      <c r="F20" s="13" t="str">
        <f>_xll.BDH("NBIX US Equity","ARD_AMORTIZATION_OF_INTANGIBLE","FQ3 2019","FQ3 2019","Currency=USD","Period=FQ","BEST_FPERIOD_OVERRIDE=FQ","FILING_STATUS=MR","SCALING_FORMAT=MLN","Sort=A","Dates=H","DateFormat=P","Fill=—","Direction=H","UseDPDF=Y")</f>
        <v>—</v>
      </c>
      <c r="G20" s="13" t="str">
        <f>_xll.BDH("NBIX US Equity","ARD_AMORTIZATION_OF_INTANGIBLE","FQ4 2019","FQ4 2019","Currency=USD","Period=FQ","BEST_FPERIOD_OVERRIDE=FQ","FILING_STATUS=MR","SCALING_FORMAT=MLN","Sort=A","Dates=H","DateFormat=P","Fill=—","Direction=H","UseDPDF=Y")</f>
        <v>—</v>
      </c>
      <c r="H20" s="13" t="str">
        <f>_xll.BDH("NBIX US Equity","ARD_AMORTIZATION_OF_INTANGIBLE","FQ1 2020","FQ1 2020","Currency=USD","Period=FQ","BEST_FPERIOD_OVERRIDE=FQ","FILING_STATUS=MR","SCALING_FORMAT=MLN","Sort=A","Dates=H","DateFormat=P","Fill=—","Direction=H","UseDPDF=Y")</f>
        <v>—</v>
      </c>
      <c r="I20" s="13" t="str">
        <f>_xll.BDH("NBIX US Equity","ARD_AMORTIZATION_OF_INTANGIBLE","FQ2 2020","FQ2 2020","Currency=USD","Period=FQ","BEST_FPERIOD_OVERRIDE=FQ","FILING_STATUS=MR","SCALING_FORMAT=MLN","Sort=A","Dates=H","DateFormat=P","Fill=—","Direction=H","UseDPDF=Y")</f>
        <v>—</v>
      </c>
      <c r="J20" s="13" t="str">
        <f>_xll.BDH("NBIX US Equity","ARD_AMORTIZATION_OF_INTANGIBLE","FQ3 2020","FQ3 2020","Currency=USD","Period=FQ","BEST_FPERIOD_OVERRIDE=FQ","FILING_STATUS=MR","SCALING_FORMAT=MLN","Sort=A","Dates=H","DateFormat=P","Fill=—","Direction=H","UseDPDF=Y")</f>
        <v>—</v>
      </c>
      <c r="K20" s="13" t="str">
        <f>_xll.BDH("NBIX US Equity","ARD_AMORTIZATION_OF_INTANGIBLE","FQ4 2020","FQ4 2020","Currency=USD","Period=FQ","BEST_FPERIOD_OVERRIDE=FQ","FILING_STATUS=MR","SCALING_FORMAT=MLN","Sort=A","Dates=H","DateFormat=P","Fill=—","Direction=H","UseDPDF=Y")</f>
        <v>—</v>
      </c>
      <c r="L20" s="13" t="str">
        <f>_xll.BDH("NBIX US Equity","ARD_AMORTIZATION_OF_INTANGIBLE","FQ1 2021","FQ1 2021","Currency=USD","Period=FQ","BEST_FPERIOD_OVERRIDE=FQ","FILING_STATUS=MR","SCALING_FORMAT=MLN","Sort=A","Dates=H","DateFormat=P","Fill=—","Direction=H","UseDPDF=Y")</f>
        <v>—</v>
      </c>
      <c r="M20" s="13" t="str">
        <f>_xll.BDH("NBIX US Equity","ARD_AMORTIZATION_OF_INTANGIBLE","FQ2 2021","FQ2 2021","Currency=USD","Period=FQ","BEST_FPERIOD_OVERRIDE=FQ","FILING_STATUS=MR","SCALING_FORMAT=MLN","Sort=A","Dates=H","DateFormat=P","Fill=—","Direction=H","UseDPDF=Y")</f>
        <v>—</v>
      </c>
      <c r="N20" s="13" t="str">
        <f>_xll.BDH("NBIX US Equity","ARD_AMORTIZATION_OF_INTANGIBLE","FQ3 2021","FQ3 2021","Currency=USD","Period=FQ","BEST_FPERIOD_OVERRIDE=FQ","FILING_STATUS=MR","SCALING_FORMAT=MLN","Sort=A","Dates=H","DateFormat=P","Fill=—","Direction=H","UseDPDF=Y")</f>
        <v>—</v>
      </c>
      <c r="O20" s="13" t="str">
        <f>_xll.BDH("NBIX US Equity","ARD_AMORTIZATION_OF_INTANGIBLE","FQ4 2021","FQ4 2021","Currency=USD","Period=FQ","BEST_FPERIOD_OVERRIDE=FQ","FILING_STATUS=MR","SCALING_FORMAT=MLN","Sort=A","Dates=H","DateFormat=P","Fill=—","Direction=H","UseDPDF=Y")</f>
        <v>—</v>
      </c>
      <c r="P20" s="13" t="str">
        <f>_xll.BDH("NBIX US Equity","ARD_AMORTIZATION_OF_INTANGIBLE","FQ1 2022","FQ1 2022","Currency=USD","Period=FQ","BEST_FPERIOD_OVERRIDE=FQ","FILING_STATUS=MR","SCALING_FORMAT=MLN","Sort=A","Dates=H","DateFormat=P","Fill=—","Direction=H","UseDPDF=Y")</f>
        <v>—</v>
      </c>
      <c r="Q20" s="13" t="str">
        <f>_xll.BDH("NBIX US Equity","ARD_AMORTIZATION_OF_INTANGIBLE","FQ2 2022","FQ2 2022","Currency=USD","Period=FQ","BEST_FPERIOD_OVERRIDE=FQ","FILING_STATUS=MR","SCALING_FORMAT=MLN","Sort=A","Dates=H","DateFormat=P","Fill=—","Direction=H","UseDPDF=Y")</f>
        <v>—</v>
      </c>
      <c r="R20" s="13" t="str">
        <f>_xll.BDH("NBIX US Equity","ARD_AMORTIZATION_OF_INTANGIBLE","FQ3 2022","FQ3 2022","Currency=USD","Period=FQ","BEST_FPERIOD_OVERRIDE=FQ","FILING_STATUS=MR","SCALING_FORMAT=MLN","Sort=A","Dates=H","DateFormat=P","Fill=—","Direction=H","UseDPDF=Y")</f>
        <v>—</v>
      </c>
      <c r="S20" s="13">
        <f>_xll.BDH("NBIX US Equity","ARD_AMORTIZATION_OF_INTANGIBLE","FQ4 2022","FQ4 2022","Currency=USD","Period=FQ","BEST_FPERIOD_OVERRIDE=FQ","FILING_STATUS=MR","SCALING_FORMAT=MLN","Sort=A","Dates=H","DateFormat=P","Fill=—","Direction=H","UseDPDF=Y")</f>
        <v>0.5</v>
      </c>
      <c r="T20" s="13">
        <f>_xll.BDH("NBIX US Equity","ARD_AMORTIZATION_OF_INTANGIBLE","FQ1 2023","FQ1 2023","Currency=USD","Period=FQ","BEST_FPERIOD_OVERRIDE=FQ","FILING_STATUS=MR","SCALING_FORMAT=MLN","Sort=A","Dates=H","DateFormat=P","Fill=—","Direction=H","UseDPDF=Y")</f>
        <v>0.9</v>
      </c>
      <c r="U20" s="13">
        <f>_xll.BDH("NBIX US Equity","ARD_AMORTIZATION_OF_INTANGIBLE","FQ2 2023","FQ2 2023","Currency=USD","Period=FQ","BEST_FPERIOD_OVERRIDE=FQ","FILING_STATUS=MR","SCALING_FORMAT=MLN","Sort=A","Dates=H","DateFormat=P","Fill=—","Direction=H","UseDPDF=Y")</f>
        <v>1.8</v>
      </c>
      <c r="V20" s="13">
        <f>_xll.BDH("NBIX US Equity","ARD_AMORTIZATION_OF_INTANGIBLE","FQ3 2023","FQ3 2023","Currency=USD","Period=FQ","BEST_FPERIOD_OVERRIDE=FQ","FILING_STATUS=MR","SCALING_FORMAT=MLN","Sort=A","Dates=H","DateFormat=P","Fill=—","Direction=H","UseDPDF=Y")</f>
        <v>2.7</v>
      </c>
      <c r="W20" s="13">
        <f>_xll.BDH("NBIX US Equity","ARD_AMORTIZATION_OF_INTANGIBLE","FQ4 2023","FQ4 2023","Currency=USD","Period=FQ","BEST_FPERIOD_OVERRIDE=FQ","FILING_STATUS=MR","SCALING_FORMAT=MLN","Sort=A","Dates=H","DateFormat=P","Fill=—","Direction=H","UseDPDF=Y")</f>
        <v>3.5</v>
      </c>
      <c r="X20" s="13">
        <f>_xll.BDH("NBIX US Equity","ARD_AMORTIZATION_OF_INTANGIBLE","FQ1 2024","FQ1 2024","Currency=USD","Period=FQ","BEST_FPERIOD_OVERRIDE=FQ","FILING_STATUS=MR","SCALING_FORMAT=MLN","Sort=A","Dates=H","DateFormat=P","Fill=—","Direction=H","UseDPDF=Y")</f>
        <v>0.9</v>
      </c>
      <c r="Y20" s="13">
        <f>_xll.BDH("NBIX US Equity","ARD_AMORTIZATION_OF_INTANGIBLE","FQ2 2024","FQ2 2024","Currency=USD","Period=FQ","BEST_FPERIOD_OVERRIDE=FQ","FILING_STATUS=MR","SCALING_FORMAT=MLN","Sort=A","Dates=H","DateFormat=P","Fill=—","Direction=H","UseDPDF=Y")</f>
        <v>1.8</v>
      </c>
      <c r="Z20" s="13">
        <f>_xll.BDH("NBIX US Equity","ARD_AMORTIZATION_OF_INTANGIBLE","FQ3 2024","FQ3 2024","Currency=USD","Period=FQ","BEST_FPERIOD_OVERRIDE=FQ","FILING_STATUS=MR","SCALING_FORMAT=MLN","Sort=A","Dates=H","DateFormat=P","Fill=—","Direction=H","UseDPDF=Y")</f>
        <v>2.7</v>
      </c>
      <c r="AA20" s="13">
        <f>_xll.BDH("NBIX US Equity","ARD_AMORTIZATION_OF_INTANGIBLE","FQ4 2024","FQ4 2024","Currency=USD","Period=FQ","BEST_FPERIOD_OVERRIDE=FQ","FILING_STATUS=MR","SCALING_FORMAT=MLN","Sort=A","Dates=H","DateFormat=P","Fill=—","Direction=H","UseDPDF=Y")</f>
        <v>3.6</v>
      </c>
    </row>
    <row r="21" spans="1:27" x14ac:dyDescent="0.25">
      <c r="A21" s="10" t="s">
        <v>1194</v>
      </c>
      <c r="B21" s="10" t="s">
        <v>1195</v>
      </c>
      <c r="C21" s="13">
        <f>_xll.BDH("NBIX US Equity","ARD_OTH_AMORT_NONCASH_EXP_GAINS","FQ4 2018","FQ4 2018","Currency=USD","Period=FQ","BEST_FPERIOD_OVERRIDE=FQ","FILING_STATUS=MR","SCALING_FORMAT=MLN","Sort=A","Dates=H","DateFormat=P","Fill=—","Direction=H","UseDPDF=Y")</f>
        <v>2.7749999999999999</v>
      </c>
      <c r="D21" s="13">
        <f>_xll.BDH("NBIX US Equity","ARD_OTH_AMORT_NONCASH_EXP_GAINS","FQ1 2019","FQ1 2019","Currency=USD","Period=FQ","BEST_FPERIOD_OVERRIDE=FQ","FILING_STATUS=MR","SCALING_FORMAT=MLN","Sort=A","Dates=H","DateFormat=P","Fill=—","Direction=H","UseDPDF=Y")</f>
        <v>5.0999999999999997E-2</v>
      </c>
      <c r="E21" s="13">
        <f>_xll.BDH("NBIX US Equity","ARD_OTH_AMORT_NONCASH_EXP_GAINS","FQ2 2019","FQ2 2019","Currency=USD","Period=FQ","BEST_FPERIOD_OVERRIDE=FQ","FILING_STATUS=MR","SCALING_FORMAT=MLN","Sort=A","Dates=H","DateFormat=P","Fill=—","Direction=H","UseDPDF=Y")</f>
        <v>-0.14499999999999999</v>
      </c>
      <c r="F21" s="13">
        <f>_xll.BDH("NBIX US Equity","ARD_OTH_AMORT_NONCASH_EXP_GAINS","FQ3 2019","FQ3 2019","Currency=USD","Period=FQ","BEST_FPERIOD_OVERRIDE=FQ","FILING_STATUS=MR","SCALING_FORMAT=MLN","Sort=A","Dates=H","DateFormat=P","Fill=—","Direction=H","UseDPDF=Y")</f>
        <v>-0.43</v>
      </c>
      <c r="G21" s="13">
        <f>_xll.BDH("NBIX US Equity","ARD_OTH_AMORT_NONCASH_EXP_GAINS","FQ4 2019","FQ4 2019","Currency=USD","Period=FQ","BEST_FPERIOD_OVERRIDE=FQ","FILING_STATUS=MR","SCALING_FORMAT=MLN","Sort=A","Dates=H","DateFormat=P","Fill=—","Direction=H","UseDPDF=Y")</f>
        <v>1.4</v>
      </c>
      <c r="H21" s="13">
        <f>_xll.BDH("NBIX US Equity","ARD_OTH_AMORT_NONCASH_EXP_GAINS","FQ1 2020","FQ1 2020","Currency=USD","Period=FQ","BEST_FPERIOD_OVERRIDE=FQ","FILING_STATUS=MR","SCALING_FORMAT=MLN","Sort=A","Dates=H","DateFormat=P","Fill=—","Direction=H","UseDPDF=Y")</f>
        <v>0.7</v>
      </c>
      <c r="I21" s="13">
        <f>_xll.BDH("NBIX US Equity","ARD_OTH_AMORT_NONCASH_EXP_GAINS","FQ2 2020","FQ2 2020","Currency=USD","Period=FQ","BEST_FPERIOD_OVERRIDE=FQ","FILING_STATUS=MR","SCALING_FORMAT=MLN","Sort=A","Dates=H","DateFormat=P","Fill=—","Direction=H","UseDPDF=Y")</f>
        <v>0.7</v>
      </c>
      <c r="J21" s="13">
        <f>_xll.BDH("NBIX US Equity","ARD_OTH_AMORT_NONCASH_EXP_GAINS","FQ3 2020","FQ3 2020","Currency=USD","Period=FQ","BEST_FPERIOD_OVERRIDE=FQ","FILING_STATUS=MR","SCALING_FORMAT=MLN","Sort=A","Dates=H","DateFormat=P","Fill=—","Direction=H","UseDPDF=Y")</f>
        <v>1</v>
      </c>
      <c r="K21" s="13">
        <f>_xll.BDH("NBIX US Equity","ARD_OTH_AMORT_NONCASH_EXP_GAINS","FQ4 2020","FQ4 2020","Currency=USD","Period=FQ","BEST_FPERIOD_OVERRIDE=FQ","FILING_STATUS=MR","SCALING_FORMAT=MLN","Sort=A","Dates=H","DateFormat=P","Fill=—","Direction=H","UseDPDF=Y")</f>
        <v>1.4</v>
      </c>
      <c r="L21" s="13">
        <f>_xll.BDH("NBIX US Equity","ARD_OTH_AMORT_NONCASH_EXP_GAINS","FQ1 2021","FQ1 2021","Currency=USD","Period=FQ","BEST_FPERIOD_OVERRIDE=FQ","FILING_STATUS=MR","SCALING_FORMAT=MLN","Sort=A","Dates=H","DateFormat=P","Fill=—","Direction=H","UseDPDF=Y")</f>
        <v>0.3</v>
      </c>
      <c r="M21" s="13">
        <f>_xll.BDH("NBIX US Equity","ARD_OTH_AMORT_NONCASH_EXP_GAINS","FQ2 2021","FQ2 2021","Currency=USD","Period=FQ","BEST_FPERIOD_OVERRIDE=FQ","FILING_STATUS=MR","SCALING_FORMAT=MLN","Sort=A","Dates=H","DateFormat=P","Fill=—","Direction=H","UseDPDF=Y")</f>
        <v>0.6</v>
      </c>
      <c r="N21" s="13">
        <f>_xll.BDH("NBIX US Equity","ARD_OTH_AMORT_NONCASH_EXP_GAINS","FQ3 2021","FQ3 2021","Currency=USD","Period=FQ","BEST_FPERIOD_OVERRIDE=FQ","FILING_STATUS=MR","SCALING_FORMAT=MLN","Sort=A","Dates=H","DateFormat=P","Fill=—","Direction=H","UseDPDF=Y")</f>
        <v>0.8</v>
      </c>
      <c r="O21" s="13">
        <f>_xll.BDH("NBIX US Equity","ARD_OTH_AMORT_NONCASH_EXP_GAINS","FQ4 2021","FQ4 2021","Currency=USD","Period=FQ","BEST_FPERIOD_OVERRIDE=FQ","FILING_STATUS=MR","SCALING_FORMAT=MLN","Sort=A","Dates=H","DateFormat=P","Fill=—","Direction=H","UseDPDF=Y")</f>
        <v>1.1000000000000001</v>
      </c>
      <c r="P21" s="13">
        <f>_xll.BDH("NBIX US Equity","ARD_OTH_AMORT_NONCASH_EXP_GAINS","FQ1 2022","FQ1 2022","Currency=USD","Period=FQ","BEST_FPERIOD_OVERRIDE=FQ","FILING_STATUS=MR","SCALING_FORMAT=MLN","Sort=A","Dates=H","DateFormat=P","Fill=—","Direction=H","UseDPDF=Y")</f>
        <v>0.4</v>
      </c>
      <c r="Q21" s="13">
        <f>_xll.BDH("NBIX US Equity","ARD_OTH_AMORT_NONCASH_EXP_GAINS","FQ2 2022","FQ2 2022","Currency=USD","Period=FQ","BEST_FPERIOD_OVERRIDE=FQ","FILING_STATUS=MR","SCALING_FORMAT=MLN","Sort=A","Dates=H","DateFormat=P","Fill=—","Direction=H","UseDPDF=Y")</f>
        <v>0.8</v>
      </c>
      <c r="R21" s="13">
        <f>_xll.BDH("NBIX US Equity","ARD_OTH_AMORT_NONCASH_EXP_GAINS","FQ3 2022","FQ3 2022","Currency=USD","Period=FQ","BEST_FPERIOD_OVERRIDE=FQ","FILING_STATUS=MR","SCALING_FORMAT=MLN","Sort=A","Dates=H","DateFormat=P","Fill=—","Direction=H","UseDPDF=Y")</f>
        <v>1</v>
      </c>
      <c r="S21" s="13">
        <f>_xll.BDH("NBIX US Equity","ARD_OTH_AMORT_NONCASH_EXP_GAINS","FQ4 2022","FQ4 2022","Currency=USD","Period=FQ","BEST_FPERIOD_OVERRIDE=FQ","FILING_STATUS=MR","SCALING_FORMAT=MLN","Sort=A","Dates=H","DateFormat=P","Fill=—","Direction=H","UseDPDF=Y")</f>
        <v>1.2</v>
      </c>
      <c r="T21" s="13">
        <f>_xll.BDH("NBIX US Equity","ARD_OTH_AMORT_NONCASH_EXP_GAINS","FQ1 2023","FQ1 2023","Currency=USD","Period=FQ","BEST_FPERIOD_OVERRIDE=FQ","FILING_STATUS=MR","SCALING_FORMAT=MLN","Sort=A","Dates=H","DateFormat=P","Fill=—","Direction=H","UseDPDF=Y")</f>
        <v>0.2</v>
      </c>
      <c r="U21" s="13">
        <f>_xll.BDH("NBIX US Equity","ARD_OTH_AMORT_NONCASH_EXP_GAINS","FQ2 2023","FQ2 2023","Currency=USD","Period=FQ","BEST_FPERIOD_OVERRIDE=FQ","FILING_STATUS=MR","SCALING_FORMAT=MLN","Sort=A","Dates=H","DateFormat=P","Fill=—","Direction=H","UseDPDF=Y")</f>
        <v>0.4</v>
      </c>
      <c r="V21" s="13">
        <f>_xll.BDH("NBIX US Equity","ARD_OTH_AMORT_NONCASH_EXP_GAINS","FQ3 2023","FQ3 2023","Currency=USD","Period=FQ","BEST_FPERIOD_OVERRIDE=FQ","FILING_STATUS=MR","SCALING_FORMAT=MLN","Sort=A","Dates=H","DateFormat=P","Fill=—","Direction=H","UseDPDF=Y")</f>
        <v>0.6</v>
      </c>
      <c r="W21" s="13">
        <f>_xll.BDH("NBIX US Equity","ARD_OTH_AMORT_NONCASH_EXP_GAINS","FQ4 2023","FQ4 2023","Currency=USD","Period=FQ","BEST_FPERIOD_OVERRIDE=FQ","FILING_STATUS=MR","SCALING_FORMAT=MLN","Sort=A","Dates=H","DateFormat=P","Fill=—","Direction=H","UseDPDF=Y")</f>
        <v>0.7</v>
      </c>
      <c r="X21" s="13">
        <f>_xll.BDH("NBIX US Equity","ARD_OTH_AMORT_NONCASH_EXP_GAINS","FQ1 2024","FQ1 2024","Currency=USD","Period=FQ","BEST_FPERIOD_OVERRIDE=FQ","FILING_STATUS=MR","SCALING_FORMAT=MLN","Sort=A","Dates=H","DateFormat=P","Fill=—","Direction=H","UseDPDF=Y")</f>
        <v>0</v>
      </c>
      <c r="Y21" s="13" t="str">
        <f>_xll.BDH("NBIX US Equity","ARD_OTH_AMORT_NONCASH_EXP_GAINS","FQ2 2024","FQ2 2024","Currency=USD","Period=FQ","BEST_FPERIOD_OVERRIDE=FQ","FILING_STATUS=MR","SCALING_FORMAT=MLN","Sort=A","Dates=H","DateFormat=P","Fill=—","Direction=H","UseDPDF=Y")</f>
        <v>—</v>
      </c>
      <c r="Z21" s="13" t="str">
        <f>_xll.BDH("NBIX US Equity","ARD_OTH_AMORT_NONCASH_EXP_GAINS","FQ3 2024","FQ3 2024","Currency=USD","Period=FQ","BEST_FPERIOD_OVERRIDE=FQ","FILING_STATUS=MR","SCALING_FORMAT=MLN","Sort=A","Dates=H","DateFormat=P","Fill=—","Direction=H","UseDPDF=Y")</f>
        <v>—</v>
      </c>
      <c r="AA21" s="13">
        <f>_xll.BDH("NBIX US Equity","ARD_OTH_AMORT_NONCASH_EXP_GAINS","FQ4 2024","FQ4 2024","Currency=USD","Period=FQ","BEST_FPERIOD_OVERRIDE=FQ","FILING_STATUS=MR","SCALING_FORMAT=MLN","Sort=A","Dates=H","DateFormat=P","Fill=—","Direction=H","UseDPDF=Y")</f>
        <v>-26.2</v>
      </c>
    </row>
    <row r="22" spans="1:27" x14ac:dyDescent="0.25">
      <c r="A22" s="10" t="s">
        <v>1196</v>
      </c>
      <c r="B22" s="10" t="s">
        <v>1197</v>
      </c>
      <c r="C22" s="13" t="str">
        <f>_xll.BDH("NBIX US Equity","ARD_CHG_IN_OTHER_LIABILITES","FQ4 2018","FQ4 2018","Currency=USD","Period=FQ","BEST_FPERIOD_OVERRIDE=FQ","FILING_STATUS=MR","SCALING_FORMAT=MLN","Sort=A","Dates=H","DateFormat=P","Fill=—","Direction=H","UseDPDF=Y")</f>
        <v>—</v>
      </c>
      <c r="D22" s="13">
        <f>_xll.BDH("NBIX US Equity","ARD_CHG_IN_OTHER_LIABILITES","FQ1 2019","FQ1 2019","Currency=USD","Period=FQ","BEST_FPERIOD_OVERRIDE=FQ","FILING_STATUS=MR","SCALING_FORMAT=MLN","Sort=A","Dates=H","DateFormat=P","Fill=—","Direction=H","UseDPDF=Y")</f>
        <v>5.3630000000000004</v>
      </c>
      <c r="E22" s="13">
        <f>_xll.BDH("NBIX US Equity","ARD_CHG_IN_OTHER_LIABILITES","FQ2 2019","FQ2 2019","Currency=USD","Period=FQ","BEST_FPERIOD_OVERRIDE=FQ","FILING_STATUS=MR","SCALING_FORMAT=MLN","Sort=A","Dates=H","DateFormat=P","Fill=—","Direction=H","UseDPDF=Y")</f>
        <v>11.31</v>
      </c>
      <c r="F22" s="13">
        <f>_xll.BDH("NBIX US Equity","ARD_CHG_IN_OTHER_LIABILITES","FQ3 2019","FQ3 2019","Currency=USD","Period=FQ","BEST_FPERIOD_OVERRIDE=FQ","FILING_STATUS=MR","SCALING_FORMAT=MLN","Sort=A","Dates=H","DateFormat=P","Fill=—","Direction=H","UseDPDF=Y")</f>
        <v>14.641</v>
      </c>
      <c r="G22" s="13" t="str">
        <f>_xll.BDH("NBIX US Equity","ARD_CHG_IN_OTHER_LIABILITES","FQ4 2019","FQ4 2019","Currency=USD","Period=FQ","BEST_FPERIOD_OVERRIDE=FQ","FILING_STATUS=MR","SCALING_FORMAT=MLN","Sort=A","Dates=H","DateFormat=P","Fill=—","Direction=H","UseDPDF=Y")</f>
        <v>—</v>
      </c>
      <c r="H22" s="13" t="str">
        <f>_xll.BDH("NBIX US Equity","ARD_CHG_IN_OTHER_LIABILITES","FQ1 2020","FQ1 2020","Currency=USD","Period=FQ","BEST_FPERIOD_OVERRIDE=FQ","FILING_STATUS=MR","SCALING_FORMAT=MLN","Sort=A","Dates=H","DateFormat=P","Fill=—","Direction=H","UseDPDF=Y")</f>
        <v>—</v>
      </c>
      <c r="I22" s="13" t="str">
        <f>_xll.BDH("NBIX US Equity","ARD_CHG_IN_OTHER_LIABILITES","FQ2 2020","FQ2 2020","Currency=USD","Period=FQ","BEST_FPERIOD_OVERRIDE=FQ","FILING_STATUS=MR","SCALING_FORMAT=MLN","Sort=A","Dates=H","DateFormat=P","Fill=—","Direction=H","UseDPDF=Y")</f>
        <v>—</v>
      </c>
      <c r="J22" s="13" t="str">
        <f>_xll.BDH("NBIX US Equity","ARD_CHG_IN_OTHER_LIABILITES","FQ3 2020","FQ3 2020","Currency=USD","Period=FQ","BEST_FPERIOD_OVERRIDE=FQ","FILING_STATUS=MR","SCALING_FORMAT=MLN","Sort=A","Dates=H","DateFormat=P","Fill=—","Direction=H","UseDPDF=Y")</f>
        <v>—</v>
      </c>
      <c r="K22" s="13" t="str">
        <f>_xll.BDH("NBIX US Equity","ARD_CHG_IN_OTHER_LIABILITES","FQ4 2020","FQ4 2020","Currency=USD","Period=FQ","BEST_FPERIOD_OVERRIDE=FQ","FILING_STATUS=MR","SCALING_FORMAT=MLN","Sort=A","Dates=H","DateFormat=P","Fill=—","Direction=H","UseDPDF=Y")</f>
        <v>—</v>
      </c>
      <c r="L22" s="13" t="str">
        <f>_xll.BDH("NBIX US Equity","ARD_CHG_IN_OTHER_LIABILITES","FQ1 2021","FQ1 2021","Currency=USD","Period=FQ","BEST_FPERIOD_OVERRIDE=FQ","FILING_STATUS=MR","SCALING_FORMAT=MLN","Sort=A","Dates=H","DateFormat=P","Fill=—","Direction=H","UseDPDF=Y")</f>
        <v>—</v>
      </c>
      <c r="M22" s="13" t="str">
        <f>_xll.BDH("NBIX US Equity","ARD_CHG_IN_OTHER_LIABILITES","FQ2 2021","FQ2 2021","Currency=USD","Period=FQ","BEST_FPERIOD_OVERRIDE=FQ","FILING_STATUS=MR","SCALING_FORMAT=MLN","Sort=A","Dates=H","DateFormat=P","Fill=—","Direction=H","UseDPDF=Y")</f>
        <v>—</v>
      </c>
      <c r="N22" s="13" t="str">
        <f>_xll.BDH("NBIX US Equity","ARD_CHG_IN_OTHER_LIABILITES","FQ3 2021","FQ3 2021","Currency=USD","Period=FQ","BEST_FPERIOD_OVERRIDE=FQ","FILING_STATUS=MR","SCALING_FORMAT=MLN","Sort=A","Dates=H","DateFormat=P","Fill=—","Direction=H","UseDPDF=Y")</f>
        <v>—</v>
      </c>
      <c r="O22" s="13" t="str">
        <f>_xll.BDH("NBIX US Equity","ARD_CHG_IN_OTHER_LIABILITES","FQ4 2021","FQ4 2021","Currency=USD","Period=FQ","BEST_FPERIOD_OVERRIDE=FQ","FILING_STATUS=MR","SCALING_FORMAT=MLN","Sort=A","Dates=H","DateFormat=P","Fill=—","Direction=H","UseDPDF=Y")</f>
        <v>—</v>
      </c>
      <c r="P22" s="13" t="str">
        <f>_xll.BDH("NBIX US Equity","ARD_CHG_IN_OTHER_LIABILITES","FQ1 2022","FQ1 2022","Currency=USD","Period=FQ","BEST_FPERIOD_OVERRIDE=FQ","FILING_STATUS=MR","SCALING_FORMAT=MLN","Sort=A","Dates=H","DateFormat=P","Fill=—","Direction=H","UseDPDF=Y")</f>
        <v>—</v>
      </c>
      <c r="Q22" s="13" t="str">
        <f>_xll.BDH("NBIX US Equity","ARD_CHG_IN_OTHER_LIABILITES","FQ2 2022","FQ2 2022","Currency=USD","Period=FQ","BEST_FPERIOD_OVERRIDE=FQ","FILING_STATUS=MR","SCALING_FORMAT=MLN","Sort=A","Dates=H","DateFormat=P","Fill=—","Direction=H","UseDPDF=Y")</f>
        <v>—</v>
      </c>
      <c r="R22" s="13" t="str">
        <f>_xll.BDH("NBIX US Equity","ARD_CHG_IN_OTHER_LIABILITES","FQ3 2022","FQ3 2022","Currency=USD","Period=FQ","BEST_FPERIOD_OVERRIDE=FQ","FILING_STATUS=MR","SCALING_FORMAT=MLN","Sort=A","Dates=H","DateFormat=P","Fill=—","Direction=H","UseDPDF=Y")</f>
        <v>—</v>
      </c>
      <c r="S22" s="13" t="str">
        <f>_xll.BDH("NBIX US Equity","ARD_CHG_IN_OTHER_LIABILITES","FQ4 2022","FQ4 2022","Currency=USD","Period=FQ","BEST_FPERIOD_OVERRIDE=FQ","FILING_STATUS=MR","SCALING_FORMAT=MLN","Sort=A","Dates=H","DateFormat=P","Fill=—","Direction=H","UseDPDF=Y")</f>
        <v>—</v>
      </c>
      <c r="T22" s="13" t="str">
        <f>_xll.BDH("NBIX US Equity","ARD_CHG_IN_OTHER_LIABILITES","FQ1 2023","FQ1 2023","Currency=USD","Period=FQ","BEST_FPERIOD_OVERRIDE=FQ","FILING_STATUS=MR","SCALING_FORMAT=MLN","Sort=A","Dates=H","DateFormat=P","Fill=—","Direction=H","UseDPDF=Y")</f>
        <v>—</v>
      </c>
      <c r="U22" s="13" t="str">
        <f>_xll.BDH("NBIX US Equity","ARD_CHG_IN_OTHER_LIABILITES","FQ2 2023","FQ2 2023","Currency=USD","Period=FQ","BEST_FPERIOD_OVERRIDE=FQ","FILING_STATUS=MR","SCALING_FORMAT=MLN","Sort=A","Dates=H","DateFormat=P","Fill=—","Direction=H","UseDPDF=Y")</f>
        <v>—</v>
      </c>
      <c r="V22" s="13" t="str">
        <f>_xll.BDH("NBIX US Equity","ARD_CHG_IN_OTHER_LIABILITES","FQ3 2023","FQ3 2023","Currency=USD","Period=FQ","BEST_FPERIOD_OVERRIDE=FQ","FILING_STATUS=MR","SCALING_FORMAT=MLN","Sort=A","Dates=H","DateFormat=P","Fill=—","Direction=H","UseDPDF=Y")</f>
        <v>—</v>
      </c>
      <c r="W22" s="13" t="str">
        <f>_xll.BDH("NBIX US Equity","ARD_CHG_IN_OTHER_LIABILITES","FQ4 2023","FQ4 2023","Currency=USD","Period=FQ","BEST_FPERIOD_OVERRIDE=FQ","FILING_STATUS=MR","SCALING_FORMAT=MLN","Sort=A","Dates=H","DateFormat=P","Fill=—","Direction=H","UseDPDF=Y")</f>
        <v>—</v>
      </c>
      <c r="X22" s="13" t="str">
        <f>_xll.BDH("NBIX US Equity","ARD_CHG_IN_OTHER_LIABILITES","FQ1 2024","FQ1 2024","Currency=USD","Period=FQ","BEST_FPERIOD_OVERRIDE=FQ","FILING_STATUS=MR","SCALING_FORMAT=MLN","Sort=A","Dates=H","DateFormat=P","Fill=—","Direction=H","UseDPDF=Y")</f>
        <v>—</v>
      </c>
      <c r="Y22" s="13" t="str">
        <f>_xll.BDH("NBIX US Equity","ARD_CHG_IN_OTHER_LIABILITES","FQ2 2024","FQ2 2024","Currency=USD","Period=FQ","BEST_FPERIOD_OVERRIDE=FQ","FILING_STATUS=MR","SCALING_FORMAT=MLN","Sort=A","Dates=H","DateFormat=P","Fill=—","Direction=H","UseDPDF=Y")</f>
        <v>—</v>
      </c>
      <c r="Z22" s="13" t="str">
        <f>_xll.BDH("NBIX US Equity","ARD_CHG_IN_OTHER_LIABILITES","FQ3 2024","FQ3 2024","Currency=USD","Period=FQ","BEST_FPERIOD_OVERRIDE=FQ","FILING_STATUS=MR","SCALING_FORMAT=MLN","Sort=A","Dates=H","DateFormat=P","Fill=—","Direction=H","UseDPDF=Y")</f>
        <v>—</v>
      </c>
      <c r="AA22" s="13" t="str">
        <f>_xll.BDH("NBIX US Equity","ARD_CHG_IN_OTHER_LIABILITES","FQ4 2024","FQ4 2024","Currency=USD","Period=FQ","BEST_FPERIOD_OVERRIDE=FQ","FILING_STATUS=MR","SCALING_FORMAT=MLN","Sort=A","Dates=H","DateFormat=P","Fill=—","Direction=H","UseDPDF=Y")</f>
        <v>—</v>
      </c>
    </row>
    <row r="23" spans="1:27" x14ac:dyDescent="0.25">
      <c r="A23" s="10" t="s">
        <v>1198</v>
      </c>
      <c r="B23" s="10" t="s">
        <v>1199</v>
      </c>
      <c r="C23" s="13">
        <f>_xll.BDH("NBIX US Equity","ARD_TOT_CASH_FLOWS_FROM_OPS","FQ4 2018","FQ4 2018","Currency=USD","Period=FQ","BEST_FPERIOD_OVERRIDE=FQ","FILING_STATUS=MR","SCALING_FORMAT=MLN","Sort=A","Dates=H","DateFormat=P","Fill=—","Direction=H","UseDPDF=Y")</f>
        <v>101.364</v>
      </c>
      <c r="D23" s="13">
        <f>_xll.BDH("NBIX US Equity","ARD_TOT_CASH_FLOWS_FROM_OPS","FQ1 2019","FQ1 2019","Currency=USD","Period=FQ","BEST_FPERIOD_OVERRIDE=FQ","FILING_STATUS=MR","SCALING_FORMAT=MLN","Sort=A","Dates=H","DateFormat=P","Fill=—","Direction=H","UseDPDF=Y")</f>
        <v>-112.491</v>
      </c>
      <c r="E23" s="13">
        <f>_xll.BDH("NBIX US Equity","ARD_TOT_CASH_FLOWS_FROM_OPS","FQ2 2019","FQ2 2019","Currency=USD","Period=FQ","BEST_FPERIOD_OVERRIDE=FQ","FILING_STATUS=MR","SCALING_FORMAT=MLN","Sort=A","Dates=H","DateFormat=P","Fill=—","Direction=H","UseDPDF=Y")</f>
        <v>-48.325000000000003</v>
      </c>
      <c r="F23" s="13">
        <f>_xll.BDH("NBIX US Equity","ARD_TOT_CASH_FLOWS_FROM_OPS","FQ3 2019","FQ3 2019","Currency=USD","Period=FQ","BEST_FPERIOD_OVERRIDE=FQ","FILING_STATUS=MR","SCALING_FORMAT=MLN","Sort=A","Dates=H","DateFormat=P","Fill=—","Direction=H","UseDPDF=Y")</f>
        <v>49.500999999999998</v>
      </c>
      <c r="G23" s="13">
        <f>_xll.BDH("NBIX US Equity","ARD_TOT_CASH_FLOWS_FROM_OPS","FQ4 2019","FQ4 2019","Currency=USD","Period=FQ","BEST_FPERIOD_OVERRIDE=FQ","FILING_STATUS=MR","SCALING_FORMAT=MLN","Sort=A","Dates=H","DateFormat=P","Fill=—","Direction=H","UseDPDF=Y")</f>
        <v>147</v>
      </c>
      <c r="H23" s="13">
        <f>_xll.BDH("NBIX US Equity","ARD_TOT_CASH_FLOWS_FROM_OPS","FQ1 2020","FQ1 2020","Currency=USD","Period=FQ","BEST_FPERIOD_OVERRIDE=FQ","FILING_STATUS=MR","SCALING_FORMAT=MLN","Sort=A","Dates=H","DateFormat=P","Fill=—","Direction=H","UseDPDF=Y")</f>
        <v>35.5</v>
      </c>
      <c r="I23" s="13">
        <f>_xll.BDH("NBIX US Equity","ARD_TOT_CASH_FLOWS_FROM_OPS","FQ2 2020","FQ2 2020","Currency=USD","Period=FQ","BEST_FPERIOD_OVERRIDE=FQ","FILING_STATUS=MR","SCALING_FORMAT=MLN","Sort=A","Dates=H","DateFormat=P","Fill=—","Direction=H","UseDPDF=Y")</f>
        <v>154.4</v>
      </c>
      <c r="J23" s="13">
        <f>_xll.BDH("NBIX US Equity","ARD_TOT_CASH_FLOWS_FROM_OPS","FQ3 2020","FQ3 2020","Currency=USD","Period=FQ","BEST_FPERIOD_OVERRIDE=FQ","FILING_STATUS=MR","SCALING_FORMAT=MLN","Sort=A","Dates=H","DateFormat=P","Fill=—","Direction=H","UseDPDF=Y")</f>
        <v>134</v>
      </c>
      <c r="K23" s="13">
        <f>_xll.BDH("NBIX US Equity","ARD_TOT_CASH_FLOWS_FROM_OPS","FQ4 2020","FQ4 2020","Currency=USD","Period=FQ","BEST_FPERIOD_OVERRIDE=FQ","FILING_STATUS=MR","SCALING_FORMAT=MLN","Sort=A","Dates=H","DateFormat=P","Fill=—","Direction=H","UseDPDF=Y")</f>
        <v>228.5</v>
      </c>
      <c r="L23" s="13">
        <f>_xll.BDH("NBIX US Equity","ARD_TOT_CASH_FLOWS_FROM_OPS","FQ1 2021","FQ1 2021","Currency=USD","Period=FQ","BEST_FPERIOD_OVERRIDE=FQ","FILING_STATUS=MR","SCALING_FORMAT=MLN","Sort=A","Dates=H","DateFormat=P","Fill=—","Direction=H","UseDPDF=Y")</f>
        <v>87.3</v>
      </c>
      <c r="M23" s="13">
        <f>_xll.BDH("NBIX US Equity","ARD_TOT_CASH_FLOWS_FROM_OPS","FQ2 2021","FQ2 2021","Currency=USD","Period=FQ","BEST_FPERIOD_OVERRIDE=FQ","FILING_STATUS=MR","SCALING_FORMAT=MLN","Sort=A","Dates=H","DateFormat=P","Fill=—","Direction=H","UseDPDF=Y")</f>
        <v>190.5</v>
      </c>
      <c r="N23" s="13">
        <f>_xll.BDH("NBIX US Equity","ARD_TOT_CASH_FLOWS_FROM_OPS","FQ3 2021","FQ3 2021","Currency=USD","Period=FQ","BEST_FPERIOD_OVERRIDE=FQ","FILING_STATUS=MR","SCALING_FORMAT=MLN","Sort=A","Dates=H","DateFormat=P","Fill=—","Direction=H","UseDPDF=Y")</f>
        <v>252.3</v>
      </c>
      <c r="O23" s="13">
        <f>_xll.BDH("NBIX US Equity","ARD_TOT_CASH_FLOWS_FROM_OPS","FQ4 2021","FQ4 2021","Currency=USD","Period=FQ","BEST_FPERIOD_OVERRIDE=FQ","FILING_STATUS=MR","SCALING_FORMAT=MLN","Sort=A","Dates=H","DateFormat=P","Fill=—","Direction=H","UseDPDF=Y")</f>
        <v>256.5</v>
      </c>
      <c r="P23" s="13">
        <f>_xll.BDH("NBIX US Equity","ARD_TOT_CASH_FLOWS_FROM_OPS","FQ1 2022","FQ1 2022","Currency=USD","Period=FQ","BEST_FPERIOD_OVERRIDE=FQ","FILING_STATUS=MR","SCALING_FORMAT=MLN","Sort=A","Dates=H","DateFormat=P","Fill=—","Direction=H","UseDPDF=Y")</f>
        <v>-40.5</v>
      </c>
      <c r="Q23" s="13">
        <f>_xll.BDH("NBIX US Equity","ARD_TOT_CASH_FLOWS_FROM_OPS","FQ2 2022","FQ2 2022","Currency=USD","Period=FQ","BEST_FPERIOD_OVERRIDE=FQ","FILING_STATUS=MR","SCALING_FORMAT=MLN","Sort=A","Dates=H","DateFormat=P","Fill=—","Direction=H","UseDPDF=Y")</f>
        <v>97.6</v>
      </c>
      <c r="R23" s="13">
        <f>_xll.BDH("NBIX US Equity","ARD_TOT_CASH_FLOWS_FROM_OPS","FQ3 2022","FQ3 2022","Currency=USD","Period=FQ","BEST_FPERIOD_OVERRIDE=FQ","FILING_STATUS=MR","SCALING_FORMAT=MLN","Sort=A","Dates=H","DateFormat=P","Fill=—","Direction=H","UseDPDF=Y")</f>
        <v>196.4</v>
      </c>
      <c r="S23" s="13">
        <f>_xll.BDH("NBIX US Equity","ARD_TOT_CASH_FLOWS_FROM_OPS","FQ4 2022","FQ4 2022","Currency=USD","Period=FQ","BEST_FPERIOD_OVERRIDE=FQ","FILING_STATUS=MR","SCALING_FORMAT=MLN","Sort=A","Dates=H","DateFormat=P","Fill=—","Direction=H","UseDPDF=Y")</f>
        <v>339.4</v>
      </c>
      <c r="T23" s="13">
        <f>_xll.BDH("NBIX US Equity","ARD_TOT_CASH_FLOWS_FROM_OPS","FQ1 2023","FQ1 2023","Currency=USD","Period=FQ","BEST_FPERIOD_OVERRIDE=FQ","FILING_STATUS=MR","SCALING_FORMAT=MLN","Sort=A","Dates=H","DateFormat=P","Fill=—","Direction=H","UseDPDF=Y")</f>
        <v>-125.2</v>
      </c>
      <c r="U23" s="13">
        <f>_xll.BDH("NBIX US Equity","ARD_TOT_CASH_FLOWS_FROM_OPS","FQ2 2023","FQ2 2023","Currency=USD","Period=FQ","BEST_FPERIOD_OVERRIDE=FQ","FILING_STATUS=MR","SCALING_FORMAT=MLN","Sort=A","Dates=H","DateFormat=P","Fill=—","Direction=H","UseDPDF=Y")</f>
        <v>54.4</v>
      </c>
      <c r="V23" s="13">
        <f>_xll.BDH("NBIX US Equity","ARD_TOT_CASH_FLOWS_FROM_OPS","FQ3 2023","FQ3 2023","Currency=USD","Period=FQ","BEST_FPERIOD_OVERRIDE=FQ","FILING_STATUS=MR","SCALING_FORMAT=MLN","Sort=A","Dates=H","DateFormat=P","Fill=—","Direction=H","UseDPDF=Y")</f>
        <v>266.39999999999998</v>
      </c>
      <c r="W23" s="13">
        <f>_xll.BDH("NBIX US Equity","ARD_TOT_CASH_FLOWS_FROM_OPS","FQ4 2023","FQ4 2023","Currency=USD","Period=FQ","BEST_FPERIOD_OVERRIDE=FQ","FILING_STATUS=MR","SCALING_FORMAT=MLN","Sort=A","Dates=H","DateFormat=P","Fill=—","Direction=H","UseDPDF=Y")</f>
        <v>389.9</v>
      </c>
      <c r="X23" s="13">
        <f>_xll.BDH("NBIX US Equity","ARD_TOT_CASH_FLOWS_FROM_OPS","FQ1 2024","FQ1 2024","Currency=USD","Period=FQ","BEST_FPERIOD_OVERRIDE=FQ","FILING_STATUS=MR","SCALING_FORMAT=MLN","Sort=A","Dates=H","DateFormat=P","Fill=—","Direction=H","UseDPDF=Y")</f>
        <v>130.30000000000001</v>
      </c>
      <c r="Y23" s="13">
        <f>_xll.BDH("NBIX US Equity","ARD_TOT_CASH_FLOWS_FROM_OPS","FQ2 2024","FQ2 2024","Currency=USD","Period=FQ","BEST_FPERIOD_OVERRIDE=FQ","FILING_STATUS=MR","SCALING_FORMAT=MLN","Sort=A","Dates=H","DateFormat=P","Fill=—","Direction=H","UseDPDF=Y")</f>
        <v>194.9</v>
      </c>
      <c r="Z23" s="13">
        <f>_xll.BDH("NBIX US Equity","ARD_TOT_CASH_FLOWS_FROM_OPS","FQ3 2024","FQ3 2024","Currency=USD","Period=FQ","BEST_FPERIOD_OVERRIDE=FQ","FILING_STATUS=MR","SCALING_FORMAT=MLN","Sort=A","Dates=H","DateFormat=P","Fill=—","Direction=H","UseDPDF=Y")</f>
        <v>352.9</v>
      </c>
      <c r="AA23" s="13">
        <f>_xll.BDH("NBIX US Equity","ARD_TOT_CASH_FLOWS_FROM_OPS","FQ4 2024","FQ4 2024","Currency=USD","Period=FQ","BEST_FPERIOD_OVERRIDE=FQ","FILING_STATUS=MR","SCALING_FORMAT=MLN","Sort=A","Dates=H","DateFormat=P","Fill=—","Direction=H","UseDPDF=Y")</f>
        <v>595.4</v>
      </c>
    </row>
    <row r="24" spans="1:27" x14ac:dyDescent="0.25">
      <c r="A24" s="10" t="s">
        <v>1200</v>
      </c>
      <c r="B24" s="10" t="s">
        <v>1201</v>
      </c>
      <c r="C24" s="13">
        <f>_xll.BDH("NBIX US Equity","ARD_AMORT_OF_DEBT_DISCOUNT","FQ4 2018","FQ4 2018","Currency=USD","Period=FQ","BEST_FPERIOD_OVERRIDE=FQ","FILING_STATUS=MR","SCALING_FORMAT=MLN","Sort=A","Dates=H","DateFormat=P","Fill=—","Direction=H","UseDPDF=Y")</f>
        <v>17.552</v>
      </c>
      <c r="D24" s="13">
        <f>_xll.BDH("NBIX US Equity","ARD_AMORT_OF_DEBT_DISCOUNT","FQ1 2019","FQ1 2019","Currency=USD","Period=FQ","BEST_FPERIOD_OVERRIDE=FQ","FILING_STATUS=MR","SCALING_FORMAT=MLN","Sort=A","Dates=H","DateFormat=P","Fill=—","Direction=H","UseDPDF=Y")</f>
        <v>4.5979999999999999</v>
      </c>
      <c r="E24" s="13">
        <f>_xll.BDH("NBIX US Equity","ARD_AMORT_OF_DEBT_DISCOUNT","FQ2 2019","FQ2 2019","Currency=USD","Period=FQ","BEST_FPERIOD_OVERRIDE=FQ","FILING_STATUS=MR","SCALING_FORMAT=MLN","Sort=A","Dates=H","DateFormat=P","Fill=—","Direction=H","UseDPDF=Y")</f>
        <v>9.2829999999999995</v>
      </c>
      <c r="F24" s="13">
        <f>_xll.BDH("NBIX US Equity","ARD_AMORT_OF_DEBT_DISCOUNT","FQ3 2019","FQ3 2019","Currency=USD","Period=FQ","BEST_FPERIOD_OVERRIDE=FQ","FILING_STATUS=MR","SCALING_FORMAT=MLN","Sort=A","Dates=H","DateFormat=P","Fill=—","Direction=H","UseDPDF=Y")</f>
        <v>14.057</v>
      </c>
      <c r="G24" s="13">
        <f>_xll.BDH("NBIX US Equity","ARD_AMORT_OF_DEBT_DISCOUNT","FQ4 2019","FQ4 2019","Currency=USD","Period=FQ","BEST_FPERIOD_OVERRIDE=FQ","FILING_STATUS=MR","SCALING_FORMAT=MLN","Sort=A","Dates=H","DateFormat=P","Fill=—","Direction=H","UseDPDF=Y")</f>
        <v>18.899999999999999</v>
      </c>
      <c r="H24" s="13">
        <f>_xll.BDH("NBIX US Equity","ARD_AMORT_OF_DEBT_DISCOUNT","FQ1 2020","FQ1 2020","Currency=USD","Period=FQ","BEST_FPERIOD_OVERRIDE=FQ","FILING_STATUS=MR","SCALING_FORMAT=MLN","Sort=A","Dates=H","DateFormat=P","Fill=—","Direction=H","UseDPDF=Y")</f>
        <v>5</v>
      </c>
      <c r="I24" s="13">
        <f>_xll.BDH("NBIX US Equity","ARD_AMORT_OF_DEBT_DISCOUNT","FQ2 2020","FQ2 2020","Currency=USD","Period=FQ","BEST_FPERIOD_OVERRIDE=FQ","FILING_STATUS=MR","SCALING_FORMAT=MLN","Sort=A","Dates=H","DateFormat=P","Fill=—","Direction=H","UseDPDF=Y")</f>
        <v>10</v>
      </c>
      <c r="J24" s="13">
        <f>_xll.BDH("NBIX US Equity","ARD_AMORT_OF_DEBT_DISCOUNT","FQ3 2020","FQ3 2020","Currency=USD","Period=FQ","BEST_FPERIOD_OVERRIDE=FQ","FILING_STATUS=MR","SCALING_FORMAT=MLN","Sort=A","Dates=H","DateFormat=P","Fill=—","Direction=H","UseDPDF=Y")</f>
        <v>15.2</v>
      </c>
      <c r="K24" s="13">
        <f>_xll.BDH("NBIX US Equity","ARD_AMORT_OF_DEBT_DISCOUNT","FQ4 2020","FQ4 2020","Currency=USD","Period=FQ","BEST_FPERIOD_OVERRIDE=FQ","FILING_STATUS=MR","SCALING_FORMAT=MLN","Sort=A","Dates=H","DateFormat=P","Fill=—","Direction=H","UseDPDF=Y")</f>
        <v>20</v>
      </c>
      <c r="L24" s="13">
        <f>_xll.BDH("NBIX US Equity","ARD_AMORT_OF_DEBT_DISCOUNT","FQ1 2021","FQ1 2021","Currency=USD","Period=FQ","BEST_FPERIOD_OVERRIDE=FQ","FILING_STATUS=MR","SCALING_FORMAT=MLN","Sort=A","Dates=H","DateFormat=P","Fill=—","Direction=H","UseDPDF=Y")</f>
        <v>3.9</v>
      </c>
      <c r="M24" s="13">
        <f>_xll.BDH("NBIX US Equity","ARD_AMORT_OF_DEBT_DISCOUNT","FQ2 2021","FQ2 2021","Currency=USD","Period=FQ","BEST_FPERIOD_OVERRIDE=FQ","FILING_STATUS=MR","SCALING_FORMAT=MLN","Sort=A","Dates=H","DateFormat=P","Fill=—","Direction=H","UseDPDF=Y")</f>
        <v>7.9</v>
      </c>
      <c r="N24" s="13">
        <f>_xll.BDH("NBIX US Equity","ARD_AMORT_OF_DEBT_DISCOUNT","FQ3 2021","FQ3 2021","Currency=USD","Period=FQ","BEST_FPERIOD_OVERRIDE=FQ","FILING_STATUS=MR","SCALING_FORMAT=MLN","Sort=A","Dates=H","DateFormat=P","Fill=—","Direction=H","UseDPDF=Y")</f>
        <v>12.1</v>
      </c>
      <c r="O24" s="13">
        <f>_xll.BDH("NBIX US Equity","ARD_AMORT_OF_DEBT_DISCOUNT","FQ4 2021","FQ4 2021","Currency=USD","Period=FQ","BEST_FPERIOD_OVERRIDE=FQ","FILING_STATUS=MR","SCALING_FORMAT=MLN","Sort=A","Dates=H","DateFormat=P","Fill=—","Direction=H","UseDPDF=Y")</f>
        <v>16.2</v>
      </c>
      <c r="P24" s="13">
        <f>_xll.BDH("NBIX US Equity","ARD_AMORT_OF_DEBT_DISCOUNT","FQ1 2022","FQ1 2022","Currency=USD","Period=FQ","BEST_FPERIOD_OVERRIDE=FQ","FILING_STATUS=MR","SCALING_FORMAT=MLN","Sort=A","Dates=H","DateFormat=P","Fill=—","Direction=H","UseDPDF=Y")</f>
        <v>0</v>
      </c>
      <c r="Q24" s="13">
        <f>_xll.BDH("NBIX US Equity","ARD_AMORT_OF_DEBT_DISCOUNT","FQ2 2022","FQ2 2022","Currency=USD","Period=FQ","BEST_FPERIOD_OVERRIDE=FQ","FILING_STATUS=MR","SCALING_FORMAT=MLN","Sort=A","Dates=H","DateFormat=P","Fill=—","Direction=H","UseDPDF=Y")</f>
        <v>0</v>
      </c>
      <c r="R24" s="13">
        <f>_xll.BDH("NBIX US Equity","ARD_AMORT_OF_DEBT_DISCOUNT","FQ3 2022","FQ3 2022","Currency=USD","Period=FQ","BEST_FPERIOD_OVERRIDE=FQ","FILING_STATUS=MR","SCALING_FORMAT=MLN","Sort=A","Dates=H","DateFormat=P","Fill=—","Direction=H","UseDPDF=Y")</f>
        <v>0</v>
      </c>
      <c r="S24" s="13">
        <f>_xll.BDH("NBIX US Equity","ARD_AMORT_OF_DEBT_DISCOUNT","FQ4 2022","FQ4 2022","Currency=USD","Period=FQ","BEST_FPERIOD_OVERRIDE=FQ","FILING_STATUS=MR","SCALING_FORMAT=MLN","Sort=A","Dates=H","DateFormat=P","Fill=—","Direction=H","UseDPDF=Y")</f>
        <v>0</v>
      </c>
      <c r="T24" s="13" t="str">
        <f>_xll.BDH("NBIX US Equity","ARD_AMORT_OF_DEBT_DISCOUNT","FQ1 2023","FQ1 2023","Currency=USD","Period=FQ","BEST_FPERIOD_OVERRIDE=FQ","FILING_STATUS=MR","SCALING_FORMAT=MLN","Sort=A","Dates=H","DateFormat=P","Fill=—","Direction=H","UseDPDF=Y")</f>
        <v>—</v>
      </c>
      <c r="U24" s="13" t="str">
        <f>_xll.BDH("NBIX US Equity","ARD_AMORT_OF_DEBT_DISCOUNT","FQ2 2023","FQ2 2023","Currency=USD","Period=FQ","BEST_FPERIOD_OVERRIDE=FQ","FILING_STATUS=MR","SCALING_FORMAT=MLN","Sort=A","Dates=H","DateFormat=P","Fill=—","Direction=H","UseDPDF=Y")</f>
        <v>—</v>
      </c>
      <c r="V24" s="13" t="str">
        <f>_xll.BDH("NBIX US Equity","ARD_AMORT_OF_DEBT_DISCOUNT","FQ3 2023","FQ3 2023","Currency=USD","Period=FQ","BEST_FPERIOD_OVERRIDE=FQ","FILING_STATUS=MR","SCALING_FORMAT=MLN","Sort=A","Dates=H","DateFormat=P","Fill=—","Direction=H","UseDPDF=Y")</f>
        <v>—</v>
      </c>
      <c r="W24" s="13">
        <f>_xll.BDH("NBIX US Equity","ARD_AMORT_OF_DEBT_DISCOUNT","FQ4 2023","FQ4 2023","Currency=USD","Period=FQ","BEST_FPERIOD_OVERRIDE=FQ","FILING_STATUS=MR","SCALING_FORMAT=MLN","Sort=A","Dates=H","DateFormat=P","Fill=—","Direction=H","UseDPDF=Y")</f>
        <v>0</v>
      </c>
      <c r="X24" s="13" t="str">
        <f>_xll.BDH("NBIX US Equity","ARD_AMORT_OF_DEBT_DISCOUNT","FQ1 2024","FQ1 2024","Currency=USD","Period=FQ","BEST_FPERIOD_OVERRIDE=FQ","FILING_STATUS=MR","SCALING_FORMAT=MLN","Sort=A","Dates=H","DateFormat=P","Fill=—","Direction=H","UseDPDF=Y")</f>
        <v>—</v>
      </c>
      <c r="Y24" s="13" t="str">
        <f>_xll.BDH("NBIX US Equity","ARD_AMORT_OF_DEBT_DISCOUNT","FQ2 2024","FQ2 2024","Currency=USD","Period=FQ","BEST_FPERIOD_OVERRIDE=FQ","FILING_STATUS=MR","SCALING_FORMAT=MLN","Sort=A","Dates=H","DateFormat=P","Fill=—","Direction=H","UseDPDF=Y")</f>
        <v>—</v>
      </c>
      <c r="Z24" s="13" t="str">
        <f>_xll.BDH("NBIX US Equity","ARD_AMORT_OF_DEBT_DISCOUNT","FQ3 2024","FQ3 2024","Currency=USD","Period=FQ","BEST_FPERIOD_OVERRIDE=FQ","FILING_STATUS=MR","SCALING_FORMAT=MLN","Sort=A","Dates=H","DateFormat=P","Fill=—","Direction=H","UseDPDF=Y")</f>
        <v>—</v>
      </c>
      <c r="AA24" s="13" t="str">
        <f>_xll.BDH("NBIX US Equity","ARD_AMORT_OF_DEBT_DISCOUNT","FQ4 2024","FQ4 2024","Currency=USD","Period=FQ","BEST_FPERIOD_OVERRIDE=FQ","FILING_STATUS=MR","SCALING_FORMAT=MLN","Sort=A","Dates=H","DateFormat=P","Fill=—","Direction=H","UseDPDF=Y")</f>
        <v>—</v>
      </c>
    </row>
    <row r="25" spans="1:27" x14ac:dyDescent="0.25">
      <c r="A25" s="10" t="s">
        <v>1202</v>
      </c>
      <c r="B25" s="10" t="s">
        <v>1203</v>
      </c>
      <c r="C25" s="13">
        <f>_xll.BDH("NBIX US Equity","ARD_CHG_OTH_ASSETS_LIAB","FQ4 2018","FQ4 2018","Currency=USD","Period=FQ","BEST_FPERIOD_OVERRIDE=FQ","FILING_STATUS=MR","SCALING_FORMAT=MLN","Sort=A","Dates=H","DateFormat=P","Fill=—","Direction=H","UseDPDF=Y")</f>
        <v>8.7010000000000005</v>
      </c>
      <c r="D25" s="13" t="str">
        <f>_xll.BDH("NBIX US Equity","ARD_CHG_OTH_ASSETS_LIAB","FQ1 2019","FQ1 2019","Currency=USD","Period=FQ","BEST_FPERIOD_OVERRIDE=FQ","FILING_STATUS=MR","SCALING_FORMAT=MLN","Sort=A","Dates=H","DateFormat=P","Fill=—","Direction=H","UseDPDF=Y")</f>
        <v>—</v>
      </c>
      <c r="E25" s="13" t="str">
        <f>_xll.BDH("NBIX US Equity","ARD_CHG_OTH_ASSETS_LIAB","FQ2 2019","FQ2 2019","Currency=USD","Period=FQ","BEST_FPERIOD_OVERRIDE=FQ","FILING_STATUS=MR","SCALING_FORMAT=MLN","Sort=A","Dates=H","DateFormat=P","Fill=—","Direction=H","UseDPDF=Y")</f>
        <v>—</v>
      </c>
      <c r="F25" s="13" t="str">
        <f>_xll.BDH("NBIX US Equity","ARD_CHG_OTH_ASSETS_LIAB","FQ3 2019","FQ3 2019","Currency=USD","Period=FQ","BEST_FPERIOD_OVERRIDE=FQ","FILING_STATUS=MR","SCALING_FORMAT=MLN","Sort=A","Dates=H","DateFormat=P","Fill=—","Direction=H","UseDPDF=Y")</f>
        <v>—</v>
      </c>
      <c r="G25" s="13">
        <f>_xll.BDH("NBIX US Equity","ARD_CHG_OTH_ASSETS_LIAB","FQ4 2019","FQ4 2019","Currency=USD","Period=FQ","BEST_FPERIOD_OVERRIDE=FQ","FILING_STATUS=MR","SCALING_FORMAT=MLN","Sort=A","Dates=H","DateFormat=P","Fill=—","Direction=H","UseDPDF=Y")</f>
        <v>16.8</v>
      </c>
      <c r="H25" s="13">
        <f>_xll.BDH("NBIX US Equity","ARD_CHG_OTH_ASSETS_LIAB","FQ1 2020","FQ1 2020","Currency=USD","Period=FQ","BEST_FPERIOD_OVERRIDE=FQ","FILING_STATUS=MR","SCALING_FORMAT=MLN","Sort=A","Dates=H","DateFormat=P","Fill=—","Direction=H","UseDPDF=Y")</f>
        <v>-6.8</v>
      </c>
      <c r="I25" s="13">
        <f>_xll.BDH("NBIX US Equity","ARD_CHG_OTH_ASSETS_LIAB","FQ2 2020","FQ2 2020","Currency=USD","Period=FQ","BEST_FPERIOD_OVERRIDE=FQ","FILING_STATUS=MR","SCALING_FORMAT=MLN","Sort=A","Dates=H","DateFormat=P","Fill=—","Direction=H","UseDPDF=Y")</f>
        <v>-4.0999999999999996</v>
      </c>
      <c r="J25" s="13">
        <f>_xll.BDH("NBIX US Equity","ARD_CHG_OTH_ASSETS_LIAB","FQ3 2020","FQ3 2020","Currency=USD","Period=FQ","BEST_FPERIOD_OVERRIDE=FQ","FILING_STATUS=MR","SCALING_FORMAT=MLN","Sort=A","Dates=H","DateFormat=P","Fill=—","Direction=H","UseDPDF=Y")</f>
        <v>-35.299999999999997</v>
      </c>
      <c r="K25" s="13">
        <f>_xll.BDH("NBIX US Equity","ARD_CHG_OTH_ASSETS_LIAB","FQ4 2020","FQ4 2020","Currency=USD","Period=FQ","BEST_FPERIOD_OVERRIDE=FQ","FILING_STATUS=MR","SCALING_FORMAT=MLN","Sort=A","Dates=H","DateFormat=P","Fill=—","Direction=H","UseDPDF=Y")</f>
        <v>-23.6</v>
      </c>
      <c r="L25" s="13">
        <f>_xll.BDH("NBIX US Equity","ARD_CHG_OTH_ASSETS_LIAB","FQ1 2021","FQ1 2021","Currency=USD","Period=FQ","BEST_FPERIOD_OVERRIDE=FQ","FILING_STATUS=MR","SCALING_FORMAT=MLN","Sort=A","Dates=H","DateFormat=P","Fill=—","Direction=H","UseDPDF=Y")</f>
        <v>1.7</v>
      </c>
      <c r="M25" s="13">
        <f>_xll.BDH("NBIX US Equity","ARD_CHG_OTH_ASSETS_LIAB","FQ2 2021","FQ2 2021","Currency=USD","Period=FQ","BEST_FPERIOD_OVERRIDE=FQ","FILING_STATUS=MR","SCALING_FORMAT=MLN","Sort=A","Dates=H","DateFormat=P","Fill=—","Direction=H","UseDPDF=Y")</f>
        <v>5.5</v>
      </c>
      <c r="N25" s="13">
        <f>_xll.BDH("NBIX US Equity","ARD_CHG_OTH_ASSETS_LIAB","FQ3 2021","FQ3 2021","Currency=USD","Period=FQ","BEST_FPERIOD_OVERRIDE=FQ","FILING_STATUS=MR","SCALING_FORMAT=MLN","Sort=A","Dates=H","DateFormat=P","Fill=—","Direction=H","UseDPDF=Y")</f>
        <v>-21.7</v>
      </c>
      <c r="O25" s="13">
        <f>_xll.BDH("NBIX US Equity","ARD_CHG_OTH_ASSETS_LIAB","FQ4 2021","FQ4 2021","Currency=USD","Period=FQ","BEST_FPERIOD_OVERRIDE=FQ","FILING_STATUS=MR","SCALING_FORMAT=MLN","Sort=A","Dates=H","DateFormat=P","Fill=—","Direction=H","UseDPDF=Y")</f>
        <v>-9.1999999999999993</v>
      </c>
      <c r="P25" s="13">
        <f>_xll.BDH("NBIX US Equity","ARD_CHG_OTH_ASSETS_LIAB","FQ1 2022","FQ1 2022","Currency=USD","Period=FQ","BEST_FPERIOD_OVERRIDE=FQ","FILING_STATUS=MR","SCALING_FORMAT=MLN","Sort=A","Dates=H","DateFormat=P","Fill=—","Direction=H","UseDPDF=Y")</f>
        <v>-10.7</v>
      </c>
      <c r="Q25" s="13">
        <f>_xll.BDH("NBIX US Equity","ARD_CHG_OTH_ASSETS_LIAB","FQ2 2022","FQ2 2022","Currency=USD","Period=FQ","BEST_FPERIOD_OVERRIDE=FQ","FILING_STATUS=MR","SCALING_FORMAT=MLN","Sort=A","Dates=H","DateFormat=P","Fill=—","Direction=H","UseDPDF=Y")</f>
        <v>-2.2000000000000002</v>
      </c>
      <c r="R25" s="13">
        <f>_xll.BDH("NBIX US Equity","ARD_CHG_OTH_ASSETS_LIAB","FQ3 2022","FQ3 2022","Currency=USD","Period=FQ","BEST_FPERIOD_OVERRIDE=FQ","FILING_STATUS=MR","SCALING_FORMAT=MLN","Sort=A","Dates=H","DateFormat=P","Fill=—","Direction=H","UseDPDF=Y")</f>
        <v>-20.7</v>
      </c>
      <c r="S25" s="13">
        <f>_xll.BDH("NBIX US Equity","ARD_CHG_OTH_ASSETS_LIAB","FQ4 2022","FQ4 2022","Currency=USD","Period=FQ","BEST_FPERIOD_OVERRIDE=FQ","FILING_STATUS=MR","SCALING_FORMAT=MLN","Sort=A","Dates=H","DateFormat=P","Fill=—","Direction=H","UseDPDF=Y")</f>
        <v>-17.2</v>
      </c>
      <c r="T25" s="13">
        <f>_xll.BDH("NBIX US Equity","ARD_CHG_OTH_ASSETS_LIAB","FQ1 2023","FQ1 2023","Currency=USD","Period=FQ","BEST_FPERIOD_OVERRIDE=FQ","FILING_STATUS=MR","SCALING_FORMAT=MLN","Sort=A","Dates=H","DateFormat=P","Fill=—","Direction=H","UseDPDF=Y")</f>
        <v>-24.3</v>
      </c>
      <c r="U25" s="13">
        <f>_xll.BDH("NBIX US Equity","ARD_CHG_OTH_ASSETS_LIAB","FQ2 2023","FQ2 2023","Currency=USD","Period=FQ","BEST_FPERIOD_OVERRIDE=FQ","FILING_STATUS=MR","SCALING_FORMAT=MLN","Sort=A","Dates=H","DateFormat=P","Fill=—","Direction=H","UseDPDF=Y")</f>
        <v>47.1</v>
      </c>
      <c r="V25" s="13">
        <f>_xll.BDH("NBIX US Equity","ARD_CHG_OTH_ASSETS_LIAB","FQ3 2023","FQ3 2023","Currency=USD","Period=FQ","BEST_FPERIOD_OVERRIDE=FQ","FILING_STATUS=MR","SCALING_FORMAT=MLN","Sort=A","Dates=H","DateFormat=P","Fill=—","Direction=H","UseDPDF=Y")</f>
        <v>-3.8</v>
      </c>
      <c r="W25" s="13">
        <f>_xll.BDH("NBIX US Equity","ARD_CHG_OTH_ASSETS_LIAB","FQ4 2023","FQ4 2023","Currency=USD","Period=FQ","BEST_FPERIOD_OVERRIDE=FQ","FILING_STATUS=MR","SCALING_FORMAT=MLN","Sort=A","Dates=H","DateFormat=P","Fill=—","Direction=H","UseDPDF=Y")</f>
        <v>47.8</v>
      </c>
      <c r="X25" s="13">
        <f>_xll.BDH("NBIX US Equity","ARD_CHG_OTH_ASSETS_LIAB","FQ1 2024","FQ1 2024","Currency=USD","Period=FQ","BEST_FPERIOD_OVERRIDE=FQ","FILING_STATUS=MR","SCALING_FORMAT=MLN","Sort=A","Dates=H","DateFormat=P","Fill=—","Direction=H","UseDPDF=Y")</f>
        <v>-2.8</v>
      </c>
      <c r="Y25" s="13">
        <f>_xll.BDH("NBIX US Equity","ARD_CHG_OTH_ASSETS_LIAB","FQ2 2024","FQ2 2024","Currency=USD","Period=FQ","BEST_FPERIOD_OVERRIDE=FQ","FILING_STATUS=MR","SCALING_FORMAT=MLN","Sort=A","Dates=H","DateFormat=P","Fill=—","Direction=H","UseDPDF=Y")</f>
        <v>-6.7</v>
      </c>
      <c r="Z25" s="13">
        <f>_xll.BDH("NBIX US Equity","ARD_CHG_OTH_ASSETS_LIAB","FQ3 2024","FQ3 2024","Currency=USD","Period=FQ","BEST_FPERIOD_OVERRIDE=FQ","FILING_STATUS=MR","SCALING_FORMAT=MLN","Sort=A","Dates=H","DateFormat=P","Fill=—","Direction=H","UseDPDF=Y")</f>
        <v>-25.5</v>
      </c>
      <c r="AA25" s="13">
        <f>_xll.BDH("NBIX US Equity","ARD_CHG_OTH_ASSETS_LIAB","FQ4 2024","FQ4 2024","Currency=USD","Period=FQ","BEST_FPERIOD_OVERRIDE=FQ","FILING_STATUS=MR","SCALING_FORMAT=MLN","Sort=A","Dates=H","DateFormat=P","Fill=—","Direction=H","UseDPDF=Y")</f>
        <v>10.7</v>
      </c>
    </row>
    <row r="26" spans="1:27" x14ac:dyDescent="0.25">
      <c r="A26" s="10" t="s">
        <v>1204</v>
      </c>
      <c r="B26" s="10" t="s">
        <v>1205</v>
      </c>
      <c r="C26" s="13" t="str">
        <f>_xll.BDH("NBIX US Equity","ARD_GL_ON_SALE_OF_INV_MKT_SEC","FQ4 2018","FQ4 2018","Currency=USD","Period=FQ","BEST_FPERIOD_OVERRIDE=FQ","FILING_STATUS=MR","SCALING_FORMAT=MLN","Sort=A","Dates=H","DateFormat=P","Fill=—","Direction=H","UseDPDF=Y")</f>
        <v>—</v>
      </c>
      <c r="D26" s="13" t="str">
        <f>_xll.BDH("NBIX US Equity","ARD_GL_ON_SALE_OF_INV_MKT_SEC","FQ1 2019","FQ1 2019","Currency=USD","Period=FQ","BEST_FPERIOD_OVERRIDE=FQ","FILING_STATUS=MR","SCALING_FORMAT=MLN","Sort=A","Dates=H","DateFormat=P","Fill=—","Direction=H","UseDPDF=Y")</f>
        <v>—</v>
      </c>
      <c r="E26" s="13" t="str">
        <f>_xll.BDH("NBIX US Equity","ARD_GL_ON_SALE_OF_INV_MKT_SEC","FQ2 2019","FQ2 2019","Currency=USD","Period=FQ","BEST_FPERIOD_OVERRIDE=FQ","FILING_STATUS=MR","SCALING_FORMAT=MLN","Sort=A","Dates=H","DateFormat=P","Fill=—","Direction=H","UseDPDF=Y")</f>
        <v>—</v>
      </c>
      <c r="F26" s="13" t="str">
        <f>_xll.BDH("NBIX US Equity","ARD_GL_ON_SALE_OF_INV_MKT_SEC","FQ3 2019","FQ3 2019","Currency=USD","Period=FQ","BEST_FPERIOD_OVERRIDE=FQ","FILING_STATUS=MR","SCALING_FORMAT=MLN","Sort=A","Dates=H","DateFormat=P","Fill=—","Direction=H","UseDPDF=Y")</f>
        <v>—</v>
      </c>
      <c r="G26" s="13" t="str">
        <f>_xll.BDH("NBIX US Equity","ARD_GL_ON_SALE_OF_INV_MKT_SEC","FQ4 2019","FQ4 2019","Currency=USD","Period=FQ","BEST_FPERIOD_OVERRIDE=FQ","FILING_STATUS=MR","SCALING_FORMAT=MLN","Sort=A","Dates=H","DateFormat=P","Fill=—","Direction=H","UseDPDF=Y")</f>
        <v>—</v>
      </c>
      <c r="H26" s="13" t="str">
        <f>_xll.BDH("NBIX US Equity","ARD_GL_ON_SALE_OF_INV_MKT_SEC","FQ1 2020","FQ1 2020","Currency=USD","Period=FQ","BEST_FPERIOD_OVERRIDE=FQ","FILING_STATUS=MR","SCALING_FORMAT=MLN","Sort=A","Dates=H","DateFormat=P","Fill=—","Direction=H","UseDPDF=Y")</f>
        <v>—</v>
      </c>
      <c r="I26" s="13" t="str">
        <f>_xll.BDH("NBIX US Equity","ARD_GL_ON_SALE_OF_INV_MKT_SEC","FQ2 2020","FQ2 2020","Currency=USD","Period=FQ","BEST_FPERIOD_OVERRIDE=FQ","FILING_STATUS=MR","SCALING_FORMAT=MLN","Sort=A","Dates=H","DateFormat=P","Fill=—","Direction=H","UseDPDF=Y")</f>
        <v>—</v>
      </c>
      <c r="J26" s="13" t="str">
        <f>_xll.BDH("NBIX US Equity","ARD_GL_ON_SALE_OF_INV_MKT_SEC","FQ3 2020","FQ3 2020","Currency=USD","Period=FQ","BEST_FPERIOD_OVERRIDE=FQ","FILING_STATUS=MR","SCALING_FORMAT=MLN","Sort=A","Dates=H","DateFormat=P","Fill=—","Direction=H","UseDPDF=Y")</f>
        <v>—</v>
      </c>
      <c r="K26" s="13" t="str">
        <f>_xll.BDH("NBIX US Equity","ARD_GL_ON_SALE_OF_INV_MKT_SEC","FQ4 2020","FQ4 2020","Currency=USD","Period=FQ","BEST_FPERIOD_OVERRIDE=FQ","FILING_STATUS=MR","SCALING_FORMAT=MLN","Sort=A","Dates=H","DateFormat=P","Fill=—","Direction=H","UseDPDF=Y")</f>
        <v>—</v>
      </c>
      <c r="L26" s="13" t="str">
        <f>_xll.BDH("NBIX US Equity","ARD_GL_ON_SALE_OF_INV_MKT_SEC","FQ1 2021","FQ1 2021","Currency=USD","Period=FQ","BEST_FPERIOD_OVERRIDE=FQ","FILING_STATUS=MR","SCALING_FORMAT=MLN","Sort=A","Dates=H","DateFormat=P","Fill=—","Direction=H","UseDPDF=Y")</f>
        <v>—</v>
      </c>
      <c r="M26" s="13" t="str">
        <f>_xll.BDH("NBIX US Equity","ARD_GL_ON_SALE_OF_INV_MKT_SEC","FQ2 2021","FQ2 2021","Currency=USD","Period=FQ","BEST_FPERIOD_OVERRIDE=FQ","FILING_STATUS=MR","SCALING_FORMAT=MLN","Sort=A","Dates=H","DateFormat=P","Fill=—","Direction=H","UseDPDF=Y")</f>
        <v>—</v>
      </c>
      <c r="N26" s="13" t="str">
        <f>_xll.BDH("NBIX US Equity","ARD_GL_ON_SALE_OF_INV_MKT_SEC","FQ3 2021","FQ3 2021","Currency=USD","Period=FQ","BEST_FPERIOD_OVERRIDE=FQ","FILING_STATUS=MR","SCALING_FORMAT=MLN","Sort=A","Dates=H","DateFormat=P","Fill=—","Direction=H","UseDPDF=Y")</f>
        <v>—</v>
      </c>
      <c r="O26" s="13" t="str">
        <f>_xll.BDH("NBIX US Equity","ARD_GL_ON_SALE_OF_INV_MKT_SEC","FQ4 2021","FQ4 2021","Currency=USD","Period=FQ","BEST_FPERIOD_OVERRIDE=FQ","FILING_STATUS=MR","SCALING_FORMAT=MLN","Sort=A","Dates=H","DateFormat=P","Fill=—","Direction=H","UseDPDF=Y")</f>
        <v>—</v>
      </c>
      <c r="P26" s="13" t="str">
        <f>_xll.BDH("NBIX US Equity","ARD_GL_ON_SALE_OF_INV_MKT_SEC","FQ1 2022","FQ1 2022","Currency=USD","Period=FQ","BEST_FPERIOD_OVERRIDE=FQ","FILING_STATUS=MR","SCALING_FORMAT=MLN","Sort=A","Dates=H","DateFormat=P","Fill=—","Direction=H","UseDPDF=Y")</f>
        <v>—</v>
      </c>
      <c r="Q26" s="13" t="str">
        <f>_xll.BDH("NBIX US Equity","ARD_GL_ON_SALE_OF_INV_MKT_SEC","FQ2 2022","FQ2 2022","Currency=USD","Period=FQ","BEST_FPERIOD_OVERRIDE=FQ","FILING_STATUS=MR","SCALING_FORMAT=MLN","Sort=A","Dates=H","DateFormat=P","Fill=—","Direction=H","UseDPDF=Y")</f>
        <v>—</v>
      </c>
      <c r="R26" s="13" t="str">
        <f>_xll.BDH("NBIX US Equity","ARD_GL_ON_SALE_OF_INV_MKT_SEC","FQ3 2022","FQ3 2022","Currency=USD","Period=FQ","BEST_FPERIOD_OVERRIDE=FQ","FILING_STATUS=MR","SCALING_FORMAT=MLN","Sort=A","Dates=H","DateFormat=P","Fill=—","Direction=H","UseDPDF=Y")</f>
        <v>—</v>
      </c>
      <c r="S26" s="13" t="str">
        <f>_xll.BDH("NBIX US Equity","ARD_GL_ON_SALE_OF_INV_MKT_SEC","FQ4 2022","FQ4 2022","Currency=USD","Period=FQ","BEST_FPERIOD_OVERRIDE=FQ","FILING_STATUS=MR","SCALING_FORMAT=MLN","Sort=A","Dates=H","DateFormat=P","Fill=—","Direction=H","UseDPDF=Y")</f>
        <v>—</v>
      </c>
      <c r="T26" s="13" t="str">
        <f>_xll.BDH("NBIX US Equity","ARD_GL_ON_SALE_OF_INV_MKT_SEC","FQ1 2023","FQ1 2023","Currency=USD","Period=FQ","BEST_FPERIOD_OVERRIDE=FQ","FILING_STATUS=MR","SCALING_FORMAT=MLN","Sort=A","Dates=H","DateFormat=P","Fill=—","Direction=H","UseDPDF=Y")</f>
        <v>—</v>
      </c>
      <c r="U26" s="13">
        <f>_xll.BDH("NBIX US Equity","ARD_GL_ON_SALE_OF_INV_MKT_SEC","FQ2 2023","FQ2 2023","Currency=USD","Period=FQ","BEST_FPERIOD_OVERRIDE=FQ","FILING_STATUS=MR","SCALING_FORMAT=MLN","Sort=A","Dates=H","DateFormat=P","Fill=—","Direction=H","UseDPDF=Y")</f>
        <v>-39.5</v>
      </c>
      <c r="V26" s="13" t="str">
        <f>_xll.BDH("NBIX US Equity","ARD_GL_ON_SALE_OF_INV_MKT_SEC","FQ3 2023","FQ3 2023","Currency=USD","Period=FQ","BEST_FPERIOD_OVERRIDE=FQ","FILING_STATUS=MR","SCALING_FORMAT=MLN","Sort=A","Dates=H","DateFormat=P","Fill=—","Direction=H","UseDPDF=Y")</f>
        <v>—</v>
      </c>
      <c r="W26" s="13" t="str">
        <f>_xll.BDH("NBIX US Equity","ARD_GL_ON_SALE_OF_INV_MKT_SEC","FQ4 2023","FQ4 2023","Currency=USD","Period=FQ","BEST_FPERIOD_OVERRIDE=FQ","FILING_STATUS=MR","SCALING_FORMAT=MLN","Sort=A","Dates=H","DateFormat=P","Fill=—","Direction=H","UseDPDF=Y")</f>
        <v>—</v>
      </c>
      <c r="X26" s="13" t="str">
        <f>_xll.BDH("NBIX US Equity","ARD_GL_ON_SALE_OF_INV_MKT_SEC","FQ1 2024","FQ1 2024","Currency=USD","Period=FQ","BEST_FPERIOD_OVERRIDE=FQ","FILING_STATUS=MR","SCALING_FORMAT=MLN","Sort=A","Dates=H","DateFormat=P","Fill=—","Direction=H","UseDPDF=Y")</f>
        <v>—</v>
      </c>
      <c r="Y26" s="13">
        <f>_xll.BDH("NBIX US Equity","ARD_GL_ON_SALE_OF_INV_MKT_SEC","FQ2 2024","FQ2 2024","Currency=USD","Period=FQ","BEST_FPERIOD_OVERRIDE=FQ","FILING_STATUS=MR","SCALING_FORMAT=MLN","Sort=A","Dates=H","DateFormat=P","Fill=—","Direction=H","UseDPDF=Y")</f>
        <v>18.3</v>
      </c>
      <c r="Z26" s="13" t="str">
        <f>_xll.BDH("NBIX US Equity","ARD_GL_ON_SALE_OF_INV_MKT_SEC","FQ3 2024","FQ3 2024","Currency=USD","Period=FQ","BEST_FPERIOD_OVERRIDE=FQ","FILING_STATUS=MR","SCALING_FORMAT=MLN","Sort=A","Dates=H","DateFormat=P","Fill=—","Direction=H","UseDPDF=Y")</f>
        <v>—</v>
      </c>
      <c r="AA26" s="13" t="str">
        <f>_xll.BDH("NBIX US Equity","ARD_GL_ON_SALE_OF_INV_MKT_SEC","FQ4 2024","FQ4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10" t="s">
        <v>1206</v>
      </c>
      <c r="B27" s="10" t="s">
        <v>1207</v>
      </c>
      <c r="C27" s="13" t="str">
        <f>_xll.BDH("NBIX US Equity","ARD_GL_ON_EARLY_EXT_OF_DEBT","FQ4 2018","FQ4 2018","Currency=USD","Period=FQ","BEST_FPERIOD_OVERRIDE=FQ","FILING_STATUS=MR","SCALING_FORMAT=MLN","Sort=A","Dates=H","DateFormat=P","Fill=—","Direction=H","UseDPDF=Y")</f>
        <v>—</v>
      </c>
      <c r="D27" s="13" t="str">
        <f>_xll.BDH("NBIX US Equity","ARD_GL_ON_EARLY_EXT_OF_DEBT","FQ1 2019","FQ1 2019","Currency=USD","Period=FQ","BEST_FPERIOD_OVERRIDE=FQ","FILING_STATUS=MR","SCALING_FORMAT=MLN","Sort=A","Dates=H","DateFormat=P","Fill=—","Direction=H","UseDPDF=Y")</f>
        <v>—</v>
      </c>
      <c r="E27" s="13" t="str">
        <f>_xll.BDH("NBIX US Equity","ARD_GL_ON_EARLY_EXT_OF_DEBT","FQ2 2019","FQ2 2019","Currency=USD","Period=FQ","BEST_FPERIOD_OVERRIDE=FQ","FILING_STATUS=MR","SCALING_FORMAT=MLN","Sort=A","Dates=H","DateFormat=P","Fill=—","Direction=H","UseDPDF=Y")</f>
        <v>—</v>
      </c>
      <c r="F27" s="13" t="str">
        <f>_xll.BDH("NBIX US Equity","ARD_GL_ON_EARLY_EXT_OF_DEBT","FQ3 2019","FQ3 2019","Currency=USD","Period=FQ","BEST_FPERIOD_OVERRIDE=FQ","FILING_STATUS=MR","SCALING_FORMAT=MLN","Sort=A","Dates=H","DateFormat=P","Fill=—","Direction=H","UseDPDF=Y")</f>
        <v>—</v>
      </c>
      <c r="G27" s="13">
        <f>_xll.BDH("NBIX US Equity","ARD_GL_ON_EARLY_EXT_OF_DEBT","FQ4 2019","FQ4 2019","Currency=USD","Period=FQ","BEST_FPERIOD_OVERRIDE=FQ","FILING_STATUS=MR","SCALING_FORMAT=MLN","Sort=A","Dates=H","DateFormat=P","Fill=—","Direction=H","UseDPDF=Y")</f>
        <v>0</v>
      </c>
      <c r="H27" s="13" t="str">
        <f>_xll.BDH("NBIX US Equity","ARD_GL_ON_EARLY_EXT_OF_DEBT","FQ1 2020","FQ1 2020","Currency=USD","Period=FQ","BEST_FPERIOD_OVERRIDE=FQ","FILING_STATUS=MR","SCALING_FORMAT=MLN","Sort=A","Dates=H","DateFormat=P","Fill=—","Direction=H","UseDPDF=Y")</f>
        <v>—</v>
      </c>
      <c r="I27" s="13" t="str">
        <f>_xll.BDH("NBIX US Equity","ARD_GL_ON_EARLY_EXT_OF_DEBT","FQ2 2020","FQ2 2020","Currency=USD","Period=FQ","BEST_FPERIOD_OVERRIDE=FQ","FILING_STATUS=MR","SCALING_FORMAT=MLN","Sort=A","Dates=H","DateFormat=P","Fill=—","Direction=H","UseDPDF=Y")</f>
        <v>—</v>
      </c>
      <c r="J27" s="13" t="str">
        <f>_xll.BDH("NBIX US Equity","ARD_GL_ON_EARLY_EXT_OF_DEBT","FQ3 2020","FQ3 2020","Currency=USD","Period=FQ","BEST_FPERIOD_OVERRIDE=FQ","FILING_STATUS=MR","SCALING_FORMAT=MLN","Sort=A","Dates=H","DateFormat=P","Fill=—","Direction=H","UseDPDF=Y")</f>
        <v>—</v>
      </c>
      <c r="K27" s="13">
        <f>_xll.BDH("NBIX US Equity","ARD_GL_ON_EARLY_EXT_OF_DEBT","FQ4 2020","FQ4 2020","Currency=USD","Period=FQ","BEST_FPERIOD_OVERRIDE=FQ","FILING_STATUS=MR","SCALING_FORMAT=MLN","Sort=A","Dates=H","DateFormat=P","Fill=—","Direction=H","UseDPDF=Y")</f>
        <v>18.399999999999999</v>
      </c>
      <c r="L27" s="13" t="str">
        <f>_xll.BDH("NBIX US Equity","ARD_GL_ON_EARLY_EXT_OF_DEBT","FQ1 2021","FQ1 2021","Currency=USD","Period=FQ","BEST_FPERIOD_OVERRIDE=FQ","FILING_STATUS=MR","SCALING_FORMAT=MLN","Sort=A","Dates=H","DateFormat=P","Fill=—","Direction=H","UseDPDF=Y")</f>
        <v>—</v>
      </c>
      <c r="M27" s="13" t="str">
        <f>_xll.BDH("NBIX US Equity","ARD_GL_ON_EARLY_EXT_OF_DEBT","FQ2 2021","FQ2 2021","Currency=USD","Period=FQ","BEST_FPERIOD_OVERRIDE=FQ","FILING_STATUS=MR","SCALING_FORMAT=MLN","Sort=A","Dates=H","DateFormat=P","Fill=—","Direction=H","UseDPDF=Y")</f>
        <v>—</v>
      </c>
      <c r="N27" s="13" t="str">
        <f>_xll.BDH("NBIX US Equity","ARD_GL_ON_EARLY_EXT_OF_DEBT","FQ3 2021","FQ3 2021","Currency=USD","Period=FQ","BEST_FPERIOD_OVERRIDE=FQ","FILING_STATUS=MR","SCALING_FORMAT=MLN","Sort=A","Dates=H","DateFormat=P","Fill=—","Direction=H","UseDPDF=Y")</f>
        <v>—</v>
      </c>
      <c r="O27" s="13">
        <f>_xll.BDH("NBIX US Equity","ARD_GL_ON_EARLY_EXT_OF_DEBT","FQ4 2021","FQ4 2021","Currency=USD","Period=FQ","BEST_FPERIOD_OVERRIDE=FQ","FILING_STATUS=MR","SCALING_FORMAT=MLN","Sort=A","Dates=H","DateFormat=P","Fill=—","Direction=H","UseDPDF=Y")</f>
        <v>0</v>
      </c>
      <c r="P27" s="13" t="str">
        <f>_xll.BDH("NBIX US Equity","ARD_GL_ON_EARLY_EXT_OF_DEBT","FQ1 2022","FQ1 2022","Currency=USD","Period=FQ","BEST_FPERIOD_OVERRIDE=FQ","FILING_STATUS=MR","SCALING_FORMAT=MLN","Sort=A","Dates=H","DateFormat=P","Fill=—","Direction=H","UseDPDF=Y")</f>
        <v>—</v>
      </c>
      <c r="Q27" s="13" t="str">
        <f>_xll.BDH("NBIX US Equity","ARD_GL_ON_EARLY_EXT_OF_DEBT","FQ2 2022","FQ2 2022","Currency=USD","Period=FQ","BEST_FPERIOD_OVERRIDE=FQ","FILING_STATUS=MR","SCALING_FORMAT=MLN","Sort=A","Dates=H","DateFormat=P","Fill=—","Direction=H","UseDPDF=Y")</f>
        <v>—</v>
      </c>
      <c r="R27" s="13" t="str">
        <f>_xll.BDH("NBIX US Equity","ARD_GL_ON_EARLY_EXT_OF_DEBT","FQ3 2022","FQ3 2022","Currency=USD","Period=FQ","BEST_FPERIOD_OVERRIDE=FQ","FILING_STATUS=MR","SCALING_FORMAT=MLN","Sort=A","Dates=H","DateFormat=P","Fill=—","Direction=H","UseDPDF=Y")</f>
        <v>—</v>
      </c>
      <c r="S27" s="13">
        <f>_xll.BDH("NBIX US Equity","ARD_GL_ON_EARLY_EXT_OF_DEBT","FQ4 2022","FQ4 2022","Currency=USD","Period=FQ","BEST_FPERIOD_OVERRIDE=FQ","FILING_STATUS=MR","SCALING_FORMAT=MLN","Sort=A","Dates=H","DateFormat=P","Fill=—","Direction=H","UseDPDF=Y")</f>
        <v>70</v>
      </c>
      <c r="T27" s="13" t="str">
        <f>_xll.BDH("NBIX US Equity","ARD_GL_ON_EARLY_EXT_OF_DEBT","FQ1 2023","FQ1 2023","Currency=USD","Period=FQ","BEST_FPERIOD_OVERRIDE=FQ","FILING_STATUS=MR","SCALING_FORMAT=MLN","Sort=A","Dates=H","DateFormat=P","Fill=—","Direction=H","UseDPDF=Y")</f>
        <v>—</v>
      </c>
      <c r="U27" s="13">
        <f>_xll.BDH("NBIX US Equity","ARD_GL_ON_EARLY_EXT_OF_DEBT","FQ2 2023","FQ2 2023","Currency=USD","Period=FQ","BEST_FPERIOD_OVERRIDE=FQ","FILING_STATUS=MR","SCALING_FORMAT=MLN","Sort=A","Dates=H","DateFormat=P","Fill=—","Direction=H","UseDPDF=Y")</f>
        <v>0</v>
      </c>
      <c r="V27" s="13" t="str">
        <f>_xll.BDH("NBIX US Equity","ARD_GL_ON_EARLY_EXT_OF_DEBT","FQ3 2023","FQ3 2023","Currency=USD","Period=FQ","BEST_FPERIOD_OVERRIDE=FQ","FILING_STATUS=MR","SCALING_FORMAT=MLN","Sort=A","Dates=H","DateFormat=P","Fill=—","Direction=H","UseDPDF=Y")</f>
        <v>—</v>
      </c>
      <c r="W27" s="13">
        <f>_xll.BDH("NBIX US Equity","ARD_GL_ON_EARLY_EXT_OF_DEBT","FQ4 2023","FQ4 2023","Currency=USD","Period=FQ","BEST_FPERIOD_OVERRIDE=FQ","FILING_STATUS=MR","SCALING_FORMAT=MLN","Sort=A","Dates=H","DateFormat=P","Fill=—","Direction=H","UseDPDF=Y")</f>
        <v>0</v>
      </c>
      <c r="X27" s="13">
        <f>_xll.BDH("NBIX US Equity","ARD_GL_ON_EARLY_EXT_OF_DEBT","FQ1 2024","FQ1 2024","Currency=USD","Period=FQ","BEST_FPERIOD_OVERRIDE=FQ","FILING_STATUS=MR","SCALING_FORMAT=MLN","Sort=A","Dates=H","DateFormat=P","Fill=—","Direction=H","UseDPDF=Y")</f>
        <v>88.7</v>
      </c>
      <c r="Y27" s="13">
        <f>_xll.BDH("NBIX US Equity","ARD_GL_ON_EARLY_EXT_OF_DEBT","FQ2 2024","FQ2 2024","Currency=USD","Period=FQ","BEST_FPERIOD_OVERRIDE=FQ","FILING_STATUS=MR","SCALING_FORMAT=MLN","Sort=A","Dates=H","DateFormat=P","Fill=—","Direction=H","UseDPDF=Y")</f>
        <v>138.4</v>
      </c>
      <c r="Z27" s="13">
        <f>_xll.BDH("NBIX US Equity","ARD_GL_ON_EARLY_EXT_OF_DEBT","FQ3 2024","FQ3 2024","Currency=USD","Period=FQ","BEST_FPERIOD_OVERRIDE=FQ","FILING_STATUS=MR","SCALING_FORMAT=MLN","Sort=A","Dates=H","DateFormat=P","Fill=—","Direction=H","UseDPDF=Y")</f>
        <v>138.4</v>
      </c>
      <c r="AA27" s="13" t="str">
        <f>_xll.BDH("NBIX US Equity","ARD_GL_ON_EARLY_EXT_OF_DEBT","FQ4 2024","FQ4 2024","Currency=USD","Period=FQ","BEST_FPERIOD_OVERRIDE=FQ","FILING_STATUS=MR","SCALING_FORMAT=MLN","Sort=A","Dates=H","DateFormat=P","Fill=—","Direction=H","UseDPDF=Y")</f>
        <v>—</v>
      </c>
    </row>
    <row r="28" spans="1:27" x14ac:dyDescent="0.25">
      <c r="A28" s="10" t="s">
        <v>1208</v>
      </c>
      <c r="B28" s="10" t="s">
        <v>1209</v>
      </c>
      <c r="C28" s="13" t="str">
        <f>_xll.BDH("NBIX US Equity","ARD_REVAL_IMPAIR_OF_INVESTMENTS","FQ4 2018","FQ4 2018","Currency=USD","Period=FQ","BEST_FPERIOD_OVERRIDE=FQ","FILING_STATUS=MR","SCALING_FORMAT=MLN","Sort=A","Dates=H","DateFormat=P","Fill=—","Direction=H","UseDPDF=Y")</f>
        <v>—</v>
      </c>
      <c r="D28" s="13" t="str">
        <f>_xll.BDH("NBIX US Equity","ARD_REVAL_IMPAIR_OF_INVESTMENTS","FQ1 2019","FQ1 2019","Currency=USD","Period=FQ","BEST_FPERIOD_OVERRIDE=FQ","FILING_STATUS=MR","SCALING_FORMAT=MLN","Sort=A","Dates=H","DateFormat=P","Fill=—","Direction=H","UseDPDF=Y")</f>
        <v>—</v>
      </c>
      <c r="E28" s="13" t="str">
        <f>_xll.BDH("NBIX US Equity","ARD_REVAL_IMPAIR_OF_INVESTMENTS","FQ2 2019","FQ2 2019","Currency=USD","Period=FQ","BEST_FPERIOD_OVERRIDE=FQ","FILING_STATUS=MR","SCALING_FORMAT=MLN","Sort=A","Dates=H","DateFormat=P","Fill=—","Direction=H","UseDPDF=Y")</f>
        <v>—</v>
      </c>
      <c r="F28" s="13" t="str">
        <f>_xll.BDH("NBIX US Equity","ARD_REVAL_IMPAIR_OF_INVESTMENTS","FQ3 2019","FQ3 2019","Currency=USD","Period=FQ","BEST_FPERIOD_OVERRIDE=FQ","FILING_STATUS=MR","SCALING_FORMAT=MLN","Sort=A","Dates=H","DateFormat=P","Fill=—","Direction=H","UseDPDF=Y")</f>
        <v>—</v>
      </c>
      <c r="G28" s="13" t="str">
        <f>_xll.BDH("NBIX US Equity","ARD_REVAL_IMPAIR_OF_INVESTMENTS","FQ4 2019","FQ4 2019","Currency=USD","Period=FQ","BEST_FPERIOD_OVERRIDE=FQ","FILING_STATUS=MR","SCALING_FORMAT=MLN","Sort=A","Dates=H","DateFormat=P","Fill=—","Direction=H","UseDPDF=Y")</f>
        <v>—</v>
      </c>
      <c r="H28" s="13" t="str">
        <f>_xll.BDH("NBIX US Equity","ARD_REVAL_IMPAIR_OF_INVESTMENTS","FQ1 2020","FQ1 2020","Currency=USD","Period=FQ","BEST_FPERIOD_OVERRIDE=FQ","FILING_STATUS=MR","SCALING_FORMAT=MLN","Sort=A","Dates=H","DateFormat=P","Fill=—","Direction=H","UseDPDF=Y")</f>
        <v>—</v>
      </c>
      <c r="I28" s="13" t="str">
        <f>_xll.BDH("NBIX US Equity","ARD_REVAL_IMPAIR_OF_INVESTMENTS","FQ2 2020","FQ2 2020","Currency=USD","Period=FQ","BEST_FPERIOD_OVERRIDE=FQ","FILING_STATUS=MR","SCALING_FORMAT=MLN","Sort=A","Dates=H","DateFormat=P","Fill=—","Direction=H","UseDPDF=Y")</f>
        <v>—</v>
      </c>
      <c r="J28" s="13" t="str">
        <f>_xll.BDH("NBIX US Equity","ARD_REVAL_IMPAIR_OF_INVESTMENTS","FQ3 2020","FQ3 2020","Currency=USD","Period=FQ","BEST_FPERIOD_OVERRIDE=FQ","FILING_STATUS=MR","SCALING_FORMAT=MLN","Sort=A","Dates=H","DateFormat=P","Fill=—","Direction=H","UseDPDF=Y")</f>
        <v>—</v>
      </c>
      <c r="K28" s="13" t="str">
        <f>_xll.BDH("NBIX US Equity","ARD_REVAL_IMPAIR_OF_INVESTMENTS","FQ4 2020","FQ4 2020","Currency=USD","Period=FQ","BEST_FPERIOD_OVERRIDE=FQ","FILING_STATUS=MR","SCALING_FORMAT=MLN","Sort=A","Dates=H","DateFormat=P","Fill=—","Direction=H","UseDPDF=Y")</f>
        <v>—</v>
      </c>
      <c r="L28" s="13" t="str">
        <f>_xll.BDH("NBIX US Equity","ARD_REVAL_IMPAIR_OF_INVESTMENTS","FQ1 2021","FQ1 2021","Currency=USD","Period=FQ","BEST_FPERIOD_OVERRIDE=FQ","FILING_STATUS=MR","SCALING_FORMAT=MLN","Sort=A","Dates=H","DateFormat=P","Fill=—","Direction=H","UseDPDF=Y")</f>
        <v>—</v>
      </c>
      <c r="M28" s="13" t="str">
        <f>_xll.BDH("NBIX US Equity","ARD_REVAL_IMPAIR_OF_INVESTMENTS","FQ2 2021","FQ2 2021","Currency=USD","Period=FQ","BEST_FPERIOD_OVERRIDE=FQ","FILING_STATUS=MR","SCALING_FORMAT=MLN","Sort=A","Dates=H","DateFormat=P","Fill=—","Direction=H","UseDPDF=Y")</f>
        <v>—</v>
      </c>
      <c r="N28" s="13" t="str">
        <f>_xll.BDH("NBIX US Equity","ARD_REVAL_IMPAIR_OF_INVESTMENTS","FQ3 2021","FQ3 2021","Currency=USD","Period=FQ","BEST_FPERIOD_OVERRIDE=FQ","FILING_STATUS=MR","SCALING_FORMAT=MLN","Sort=A","Dates=H","DateFormat=P","Fill=—","Direction=H","UseDPDF=Y")</f>
        <v>—</v>
      </c>
      <c r="O28" s="13" t="str">
        <f>_xll.BDH("NBIX US Equity","ARD_REVAL_IMPAIR_OF_INVESTMENTS","FQ4 2021","FQ4 2021","Currency=USD","Period=FQ","BEST_FPERIOD_OVERRIDE=FQ","FILING_STATUS=MR","SCALING_FORMAT=MLN","Sort=A","Dates=H","DateFormat=P","Fill=—","Direction=H","UseDPDF=Y")</f>
        <v>—</v>
      </c>
      <c r="P28" s="13" t="str">
        <f>_xll.BDH("NBIX US Equity","ARD_REVAL_IMPAIR_OF_INVESTMENTS","FQ1 2022","FQ1 2022","Currency=USD","Period=FQ","BEST_FPERIOD_OVERRIDE=FQ","FILING_STATUS=MR","SCALING_FORMAT=MLN","Sort=A","Dates=H","DateFormat=P","Fill=—","Direction=H","UseDPDF=Y")</f>
        <v>—</v>
      </c>
      <c r="Q28" s="13" t="str">
        <f>_xll.BDH("NBIX US Equity","ARD_REVAL_IMPAIR_OF_INVESTMENTS","FQ2 2022","FQ2 2022","Currency=USD","Period=FQ","BEST_FPERIOD_OVERRIDE=FQ","FILING_STATUS=MR","SCALING_FORMAT=MLN","Sort=A","Dates=H","DateFormat=P","Fill=—","Direction=H","UseDPDF=Y")</f>
        <v>—</v>
      </c>
      <c r="R28" s="13" t="str">
        <f>_xll.BDH("NBIX US Equity","ARD_REVAL_IMPAIR_OF_INVESTMENTS","FQ3 2022","FQ3 2022","Currency=USD","Period=FQ","BEST_FPERIOD_OVERRIDE=FQ","FILING_STATUS=MR","SCALING_FORMAT=MLN","Sort=A","Dates=H","DateFormat=P","Fill=—","Direction=H","UseDPDF=Y")</f>
        <v>—</v>
      </c>
      <c r="S28" s="13" t="str">
        <f>_xll.BDH("NBIX US Equity","ARD_REVAL_IMPAIR_OF_INVESTMENTS","FQ4 2022","FQ4 2022","Currency=USD","Period=FQ","BEST_FPERIOD_OVERRIDE=FQ","FILING_STATUS=MR","SCALING_FORMAT=MLN","Sort=A","Dates=H","DateFormat=P","Fill=—","Direction=H","UseDPDF=Y")</f>
        <v>—</v>
      </c>
      <c r="T28" s="13" t="str">
        <f>_xll.BDH("NBIX US Equity","ARD_REVAL_IMPAIR_OF_INVESTMENTS","FQ1 2023","FQ1 2023","Currency=USD","Period=FQ","BEST_FPERIOD_OVERRIDE=FQ","FILING_STATUS=MR","SCALING_FORMAT=MLN","Sort=A","Dates=H","DateFormat=P","Fill=—","Direction=H","UseDPDF=Y")</f>
        <v>—</v>
      </c>
      <c r="U28" s="13" t="str">
        <f>_xll.BDH("NBIX US Equity","ARD_REVAL_IMPAIR_OF_INVESTMENTS","FQ2 2023","FQ2 2023","Currency=USD","Period=FQ","BEST_FPERIOD_OVERRIDE=FQ","FILING_STATUS=MR","SCALING_FORMAT=MLN","Sort=A","Dates=H","DateFormat=P","Fill=—","Direction=H","UseDPDF=Y")</f>
        <v>—</v>
      </c>
      <c r="V28" s="13" t="str">
        <f>_xll.BDH("NBIX US Equity","ARD_REVAL_IMPAIR_OF_INVESTMENTS","FQ3 2023","FQ3 2023","Currency=USD","Period=FQ","BEST_FPERIOD_OVERRIDE=FQ","FILING_STATUS=MR","SCALING_FORMAT=MLN","Sort=A","Dates=H","DateFormat=P","Fill=—","Direction=H","UseDPDF=Y")</f>
        <v>—</v>
      </c>
      <c r="W28" s="13" t="str">
        <f>_xll.BDH("NBIX US Equity","ARD_REVAL_IMPAIR_OF_INVESTMENTS","FQ4 2023","FQ4 2023","Currency=USD","Period=FQ","BEST_FPERIOD_OVERRIDE=FQ","FILING_STATUS=MR","SCALING_FORMAT=MLN","Sort=A","Dates=H","DateFormat=P","Fill=—","Direction=H","UseDPDF=Y")</f>
        <v>—</v>
      </c>
      <c r="X28" s="13" t="str">
        <f>_xll.BDH("NBIX US Equity","ARD_REVAL_IMPAIR_OF_INVESTMENTS","FQ1 2024","FQ1 2024","Currency=USD","Period=FQ","BEST_FPERIOD_OVERRIDE=FQ","FILING_STATUS=MR","SCALING_FORMAT=MLN","Sort=A","Dates=H","DateFormat=P","Fill=—","Direction=H","UseDPDF=Y")</f>
        <v>—</v>
      </c>
      <c r="Y28" s="13" t="str">
        <f>_xll.BDH("NBIX US Equity","ARD_REVAL_IMPAIR_OF_INVESTMENTS","FQ2 2024","FQ2 2024","Currency=USD","Period=FQ","BEST_FPERIOD_OVERRIDE=FQ","FILING_STATUS=MR","SCALING_FORMAT=MLN","Sort=A","Dates=H","DateFormat=P","Fill=—","Direction=H","UseDPDF=Y")</f>
        <v>—</v>
      </c>
      <c r="Z28" s="13">
        <f>_xll.BDH("NBIX US Equity","ARD_REVAL_IMPAIR_OF_INVESTMENTS","FQ3 2024","FQ3 2024","Currency=USD","Period=FQ","BEST_FPERIOD_OVERRIDE=FQ","FILING_STATUS=MR","SCALING_FORMAT=MLN","Sort=A","Dates=H","DateFormat=P","Fill=—","Direction=H","UseDPDF=Y")</f>
        <v>35.200000000000003</v>
      </c>
      <c r="AA28" s="13" t="str">
        <f>_xll.BDH("NBIX US Equity","ARD_REVAL_IMPAIR_OF_INVESTMENTS","FQ4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10" t="s">
        <v>1210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1211</v>
      </c>
      <c r="B30" s="10" t="s">
        <v>1212</v>
      </c>
      <c r="C30" s="13">
        <f>_xll.BDH("NBIX US Equity","ARD_DISPOSAL_OF_FIXED_ASSETS","FQ4 2018","FQ4 2018","Currency=USD","Period=FQ","BEST_FPERIOD_OVERRIDE=FQ","FILING_STATUS=MR","SCALING_FORMAT=MLN","Sort=A","Dates=H","DateFormat=P","Fill=—","Direction=H","UseDPDF=Y")</f>
        <v>3.4000000000000002E-2</v>
      </c>
      <c r="D30" s="13">
        <f>_xll.BDH("NBIX US Equity","ARD_DISPOSAL_OF_FIXED_ASSETS","FQ1 2019","FQ1 2019","Currency=USD","Period=FQ","BEST_FPERIOD_OVERRIDE=FQ","FILING_STATUS=MR","SCALING_FORMAT=MLN","Sort=A","Dates=H","DateFormat=P","Fill=—","Direction=H","UseDPDF=Y")</f>
        <v>4.0000000000000001E-3</v>
      </c>
      <c r="E30" s="13">
        <f>_xll.BDH("NBIX US Equity","ARD_DISPOSAL_OF_FIXED_ASSETS","FQ2 2019","FQ2 2019","Currency=USD","Period=FQ","BEST_FPERIOD_OVERRIDE=FQ","FILING_STATUS=MR","SCALING_FORMAT=MLN","Sort=A","Dates=H","DateFormat=P","Fill=—","Direction=H","UseDPDF=Y")</f>
        <v>4.0000000000000001E-3</v>
      </c>
      <c r="F30" s="13">
        <f>_xll.BDH("NBIX US Equity","ARD_DISPOSAL_OF_FIXED_ASSETS","FQ3 2019","FQ3 2019","Currency=USD","Period=FQ","BEST_FPERIOD_OVERRIDE=FQ","FILING_STATUS=MR","SCALING_FORMAT=MLN","Sort=A","Dates=H","DateFormat=P","Fill=—","Direction=H","UseDPDF=Y")</f>
        <v>8.0000000000000002E-3</v>
      </c>
      <c r="G30" s="13" t="str">
        <f>_xll.BDH("NBIX US Equity","ARD_DISPOSAL_OF_FIXED_ASSETS","FQ4 2019","FQ4 2019","Currency=USD","Period=FQ","BEST_FPERIOD_OVERRIDE=FQ","FILING_STATUS=MR","SCALING_FORMAT=MLN","Sort=A","Dates=H","DateFormat=P","Fill=—","Direction=H","UseDPDF=Y")</f>
        <v>—</v>
      </c>
      <c r="H30" s="13" t="str">
        <f>_xll.BDH("NBIX US Equity","ARD_DISPOSAL_OF_FIXED_ASSETS","FQ1 2020","FQ1 2020","Currency=USD","Period=FQ","BEST_FPERIOD_OVERRIDE=FQ","FILING_STATUS=MR","SCALING_FORMAT=MLN","Sort=A","Dates=H","DateFormat=P","Fill=—","Direction=H","UseDPDF=Y")</f>
        <v>—</v>
      </c>
      <c r="I30" s="13" t="str">
        <f>_xll.BDH("NBIX US Equity","ARD_DISPOSAL_OF_FIXED_ASSETS","FQ2 2020","FQ2 2020","Currency=USD","Period=FQ","BEST_FPERIOD_OVERRIDE=FQ","FILING_STATUS=MR","SCALING_FORMAT=MLN","Sort=A","Dates=H","DateFormat=P","Fill=—","Direction=H","UseDPDF=Y")</f>
        <v>—</v>
      </c>
      <c r="J30" s="13" t="str">
        <f>_xll.BDH("NBIX US Equity","ARD_DISPOSAL_OF_FIXED_ASSETS","FQ3 2020","FQ3 2020","Currency=USD","Period=FQ","BEST_FPERIOD_OVERRIDE=FQ","FILING_STATUS=MR","SCALING_FORMAT=MLN","Sort=A","Dates=H","DateFormat=P","Fill=—","Direction=H","UseDPDF=Y")</f>
        <v>—</v>
      </c>
      <c r="K30" s="13" t="str">
        <f>_xll.BDH("NBIX US Equity","ARD_DISPOSAL_OF_FIXED_ASSETS","FQ4 2020","FQ4 2020","Currency=USD","Period=FQ","BEST_FPERIOD_OVERRIDE=FQ","FILING_STATUS=MR","SCALING_FORMAT=MLN","Sort=A","Dates=H","DateFormat=P","Fill=—","Direction=H","UseDPDF=Y")</f>
        <v>—</v>
      </c>
      <c r="L30" s="13" t="str">
        <f>_xll.BDH("NBIX US Equity","ARD_DISPOSAL_OF_FIXED_ASSETS","FQ1 2021","FQ1 2021","Currency=USD","Period=FQ","BEST_FPERIOD_OVERRIDE=FQ","FILING_STATUS=MR","SCALING_FORMAT=MLN","Sort=A","Dates=H","DateFormat=P","Fill=—","Direction=H","UseDPDF=Y")</f>
        <v>—</v>
      </c>
      <c r="M30" s="13" t="str">
        <f>_xll.BDH("NBIX US Equity","ARD_DISPOSAL_OF_FIXED_ASSETS","FQ2 2021","FQ2 2021","Currency=USD","Period=FQ","BEST_FPERIOD_OVERRIDE=FQ","FILING_STATUS=MR","SCALING_FORMAT=MLN","Sort=A","Dates=H","DateFormat=P","Fill=—","Direction=H","UseDPDF=Y")</f>
        <v>—</v>
      </c>
      <c r="N30" s="13" t="str">
        <f>_xll.BDH("NBIX US Equity","ARD_DISPOSAL_OF_FIXED_ASSETS","FQ3 2021","FQ3 2021","Currency=USD","Period=FQ","BEST_FPERIOD_OVERRIDE=FQ","FILING_STATUS=MR","SCALING_FORMAT=MLN","Sort=A","Dates=H","DateFormat=P","Fill=—","Direction=H","UseDPDF=Y")</f>
        <v>—</v>
      </c>
      <c r="O30" s="13" t="str">
        <f>_xll.BDH("NBIX US Equity","ARD_DISPOSAL_OF_FIXED_ASSETS","FQ4 2021","FQ4 2021","Currency=USD","Period=FQ","BEST_FPERIOD_OVERRIDE=FQ","FILING_STATUS=MR","SCALING_FORMAT=MLN","Sort=A","Dates=H","DateFormat=P","Fill=—","Direction=H","UseDPDF=Y")</f>
        <v>—</v>
      </c>
      <c r="P30" s="13" t="str">
        <f>_xll.BDH("NBIX US Equity","ARD_DISPOSAL_OF_FIXED_ASSETS","FQ1 2022","FQ1 2022","Currency=USD","Period=FQ","BEST_FPERIOD_OVERRIDE=FQ","FILING_STATUS=MR","SCALING_FORMAT=MLN","Sort=A","Dates=H","DateFormat=P","Fill=—","Direction=H","UseDPDF=Y")</f>
        <v>—</v>
      </c>
      <c r="Q30" s="13" t="str">
        <f>_xll.BDH("NBIX US Equity","ARD_DISPOSAL_OF_FIXED_ASSETS","FQ2 2022","FQ2 2022","Currency=USD","Period=FQ","BEST_FPERIOD_OVERRIDE=FQ","FILING_STATUS=MR","SCALING_FORMAT=MLN","Sort=A","Dates=H","DateFormat=P","Fill=—","Direction=H","UseDPDF=Y")</f>
        <v>—</v>
      </c>
      <c r="R30" s="13" t="str">
        <f>_xll.BDH("NBIX US Equity","ARD_DISPOSAL_OF_FIXED_ASSETS","FQ3 2022","FQ3 2022","Currency=USD","Period=FQ","BEST_FPERIOD_OVERRIDE=FQ","FILING_STATUS=MR","SCALING_FORMAT=MLN","Sort=A","Dates=H","DateFormat=P","Fill=—","Direction=H","UseDPDF=Y")</f>
        <v>—</v>
      </c>
      <c r="S30" s="13" t="str">
        <f>_xll.BDH("NBIX US Equity","ARD_DISPOSAL_OF_FIXED_ASSETS","FQ4 2022","FQ4 2022","Currency=USD","Period=FQ","BEST_FPERIOD_OVERRIDE=FQ","FILING_STATUS=MR","SCALING_FORMAT=MLN","Sort=A","Dates=H","DateFormat=P","Fill=—","Direction=H","UseDPDF=Y")</f>
        <v>—</v>
      </c>
      <c r="T30" s="13" t="str">
        <f>_xll.BDH("NBIX US Equity","ARD_DISPOSAL_OF_FIXED_ASSETS","FQ1 2023","FQ1 2023","Currency=USD","Period=FQ","BEST_FPERIOD_OVERRIDE=FQ","FILING_STATUS=MR","SCALING_FORMAT=MLN","Sort=A","Dates=H","DateFormat=P","Fill=—","Direction=H","UseDPDF=Y")</f>
        <v>—</v>
      </c>
      <c r="U30" s="13" t="str">
        <f>_xll.BDH("NBIX US Equity","ARD_DISPOSAL_OF_FIXED_ASSETS","FQ2 2023","FQ2 2023","Currency=USD","Period=FQ","BEST_FPERIOD_OVERRIDE=FQ","FILING_STATUS=MR","SCALING_FORMAT=MLN","Sort=A","Dates=H","DateFormat=P","Fill=—","Direction=H","UseDPDF=Y")</f>
        <v>—</v>
      </c>
      <c r="V30" s="13" t="str">
        <f>_xll.BDH("NBIX US Equity","ARD_DISPOSAL_OF_FIXED_ASSETS","FQ3 2023","FQ3 2023","Currency=USD","Period=FQ","BEST_FPERIOD_OVERRIDE=FQ","FILING_STATUS=MR","SCALING_FORMAT=MLN","Sort=A","Dates=H","DateFormat=P","Fill=—","Direction=H","UseDPDF=Y")</f>
        <v>—</v>
      </c>
      <c r="W30" s="13" t="str">
        <f>_xll.BDH("NBIX US Equity","ARD_DISPOSAL_OF_FIXED_ASSETS","FQ4 2023","FQ4 2023","Currency=USD","Period=FQ","BEST_FPERIOD_OVERRIDE=FQ","FILING_STATUS=MR","SCALING_FORMAT=MLN","Sort=A","Dates=H","DateFormat=P","Fill=—","Direction=H","UseDPDF=Y")</f>
        <v>—</v>
      </c>
      <c r="X30" s="13" t="str">
        <f>_xll.BDH("NBIX US Equity","ARD_DISPOSAL_OF_FIXED_ASSETS","FQ1 2024","FQ1 2024","Currency=USD","Period=FQ","BEST_FPERIOD_OVERRIDE=FQ","FILING_STATUS=MR","SCALING_FORMAT=MLN","Sort=A","Dates=H","DateFormat=P","Fill=—","Direction=H","UseDPDF=Y")</f>
        <v>—</v>
      </c>
      <c r="Y30" s="13" t="str">
        <f>_xll.BDH("NBIX US Equity","ARD_DISPOSAL_OF_FIXED_ASSETS","FQ2 2024","FQ2 2024","Currency=USD","Period=FQ","BEST_FPERIOD_OVERRIDE=FQ","FILING_STATUS=MR","SCALING_FORMAT=MLN","Sort=A","Dates=H","DateFormat=P","Fill=—","Direction=H","UseDPDF=Y")</f>
        <v>—</v>
      </c>
      <c r="Z30" s="13" t="str">
        <f>_xll.BDH("NBIX US Equity","ARD_DISPOSAL_OF_FIXED_ASSETS","FQ3 2024","FQ3 2024","Currency=USD","Period=FQ","BEST_FPERIOD_OVERRIDE=FQ","FILING_STATUS=MR","SCALING_FORMAT=MLN","Sort=A","Dates=H","DateFormat=P","Fill=—","Direction=H","UseDPDF=Y")</f>
        <v>—</v>
      </c>
      <c r="AA30" s="13" t="str">
        <f>_xll.BDH("NBIX US Equity","ARD_DISPOSAL_OF_FIXED_ASSETS","FQ4 2024","FQ4 2024","Currency=USD","Period=FQ","BEST_FPERIOD_OVERRIDE=FQ","FILING_STATUS=MR","SCALING_FORMAT=MLN","Sort=A","Dates=H","DateFormat=P","Fill=—","Direction=H","UseDPDF=Y")</f>
        <v>—</v>
      </c>
    </row>
    <row r="31" spans="1:27" x14ac:dyDescent="0.25">
      <c r="A31" s="10" t="s">
        <v>86</v>
      </c>
      <c r="B31" s="10" t="s">
        <v>1213</v>
      </c>
      <c r="C31" s="13">
        <f>_xll.BDH("NBIX US Equity","ARD_CAPITAL_EXPENDITURES","FQ4 2018","FQ4 2018","Currency=USD","Period=FQ","BEST_FPERIOD_OVERRIDE=FQ","FILING_STATUS=MR","SCALING_FORMAT=MLN","Sort=A","Dates=H","DateFormat=P","Fill=—","Direction=H","UseDPDF=Y")</f>
        <v>-24.812000000000001</v>
      </c>
      <c r="D31" s="13">
        <f>_xll.BDH("NBIX US Equity","ARD_CAPITAL_EXPENDITURES","FQ1 2019","FQ1 2019","Currency=USD","Period=FQ","BEST_FPERIOD_OVERRIDE=FQ","FILING_STATUS=MR","SCALING_FORMAT=MLN","Sort=A","Dates=H","DateFormat=P","Fill=—","Direction=H","UseDPDF=Y")</f>
        <v>-3.9390000000000001</v>
      </c>
      <c r="E31" s="13">
        <f>_xll.BDH("NBIX US Equity","ARD_CAPITAL_EXPENDITURES","FQ2 2019","FQ2 2019","Currency=USD","Period=FQ","BEST_FPERIOD_OVERRIDE=FQ","FILING_STATUS=MR","SCALING_FORMAT=MLN","Sort=A","Dates=H","DateFormat=P","Fill=—","Direction=H","UseDPDF=Y")</f>
        <v>-8.3919999999999995</v>
      </c>
      <c r="F31" s="13">
        <f>_xll.BDH("NBIX US Equity","ARD_CAPITAL_EXPENDITURES","FQ3 2019","FQ3 2019","Currency=USD","Period=FQ","BEST_FPERIOD_OVERRIDE=FQ","FILING_STATUS=MR","SCALING_FORMAT=MLN","Sort=A","Dates=H","DateFormat=P","Fill=—","Direction=H","UseDPDF=Y")</f>
        <v>-11.936</v>
      </c>
      <c r="G31" s="13">
        <f>_xll.BDH("NBIX US Equity","ARD_CAPITAL_EXPENDITURES","FQ4 2019","FQ4 2019","Currency=USD","Period=FQ","BEST_FPERIOD_OVERRIDE=FQ","FILING_STATUS=MR","SCALING_FORMAT=MLN","Sort=A","Dates=H","DateFormat=P","Fill=—","Direction=H","UseDPDF=Y")</f>
        <v>-14.7</v>
      </c>
      <c r="H31" s="13">
        <f>_xll.BDH("NBIX US Equity","ARD_CAPITAL_EXPENDITURES","FQ1 2020","FQ1 2020","Currency=USD","Period=FQ","BEST_FPERIOD_OVERRIDE=FQ","FILING_STATUS=MR","SCALING_FORMAT=MLN","Sort=A","Dates=H","DateFormat=P","Fill=—","Direction=H","UseDPDF=Y")</f>
        <v>-1.3</v>
      </c>
      <c r="I31" s="13">
        <f>_xll.BDH("NBIX US Equity","ARD_CAPITAL_EXPENDITURES","FQ2 2020","FQ2 2020","Currency=USD","Period=FQ","BEST_FPERIOD_OVERRIDE=FQ","FILING_STATUS=MR","SCALING_FORMAT=MLN","Sort=A","Dates=H","DateFormat=P","Fill=—","Direction=H","UseDPDF=Y")</f>
        <v>-6</v>
      </c>
      <c r="J31" s="13">
        <f>_xll.BDH("NBIX US Equity","ARD_CAPITAL_EXPENDITURES","FQ3 2020","FQ3 2020","Currency=USD","Period=FQ","BEST_FPERIOD_OVERRIDE=FQ","FILING_STATUS=MR","SCALING_FORMAT=MLN","Sort=A","Dates=H","DateFormat=P","Fill=—","Direction=H","UseDPDF=Y")</f>
        <v>-6.4</v>
      </c>
      <c r="K31" s="13">
        <f>_xll.BDH("NBIX US Equity","ARD_CAPITAL_EXPENDITURES","FQ4 2020","FQ4 2020","Currency=USD","Period=FQ","BEST_FPERIOD_OVERRIDE=FQ","FILING_STATUS=MR","SCALING_FORMAT=MLN","Sort=A","Dates=H","DateFormat=P","Fill=—","Direction=H","UseDPDF=Y")</f>
        <v>-10.9</v>
      </c>
      <c r="L31" s="13">
        <f>_xll.BDH("NBIX US Equity","ARD_CAPITAL_EXPENDITURES","FQ1 2021","FQ1 2021","Currency=USD","Period=FQ","BEST_FPERIOD_OVERRIDE=FQ","FILING_STATUS=MR","SCALING_FORMAT=MLN","Sort=A","Dates=H","DateFormat=P","Fill=—","Direction=H","UseDPDF=Y")</f>
        <v>-4.5</v>
      </c>
      <c r="M31" s="13">
        <f>_xll.BDH("NBIX US Equity","ARD_CAPITAL_EXPENDITURES","FQ2 2021","FQ2 2021","Currency=USD","Period=FQ","BEST_FPERIOD_OVERRIDE=FQ","FILING_STATUS=MR","SCALING_FORMAT=MLN","Sort=A","Dates=H","DateFormat=P","Fill=—","Direction=H","UseDPDF=Y")</f>
        <v>-8.8000000000000007</v>
      </c>
      <c r="N31" s="13">
        <f>_xll.BDH("NBIX US Equity","ARD_CAPITAL_EXPENDITURES","FQ3 2021","FQ3 2021","Currency=USD","Period=FQ","BEST_FPERIOD_OVERRIDE=FQ","FILING_STATUS=MR","SCALING_FORMAT=MLN","Sort=A","Dates=H","DateFormat=P","Fill=—","Direction=H","UseDPDF=Y")</f>
        <v>-14.5</v>
      </c>
      <c r="O31" s="13">
        <f>_xll.BDH("NBIX US Equity","ARD_CAPITAL_EXPENDITURES","FQ4 2021","FQ4 2021","Currency=USD","Period=FQ","BEST_FPERIOD_OVERRIDE=FQ","FILING_STATUS=MR","SCALING_FORMAT=MLN","Sort=A","Dates=H","DateFormat=P","Fill=—","Direction=H","UseDPDF=Y")</f>
        <v>-23.4</v>
      </c>
      <c r="P31" s="13">
        <f>_xll.BDH("NBIX US Equity","ARD_CAPITAL_EXPENDITURES","FQ1 2022","FQ1 2022","Currency=USD","Period=FQ","BEST_FPERIOD_OVERRIDE=FQ","FILING_STATUS=MR","SCALING_FORMAT=MLN","Sort=A","Dates=H","DateFormat=P","Fill=—","Direction=H","UseDPDF=Y")</f>
        <v>-7.6</v>
      </c>
      <c r="Q31" s="13">
        <f>_xll.BDH("NBIX US Equity","ARD_CAPITAL_EXPENDITURES","FQ2 2022","FQ2 2022","Currency=USD","Period=FQ","BEST_FPERIOD_OVERRIDE=FQ","FILING_STATUS=MR","SCALING_FORMAT=MLN","Sort=A","Dates=H","DateFormat=P","Fill=—","Direction=H","UseDPDF=Y")</f>
        <v>-16.399999999999999</v>
      </c>
      <c r="R31" s="13">
        <f>_xll.BDH("NBIX US Equity","ARD_CAPITAL_EXPENDITURES","FQ3 2022","FQ3 2022","Currency=USD","Period=FQ","BEST_FPERIOD_OVERRIDE=FQ","FILING_STATUS=MR","SCALING_FORMAT=MLN","Sort=A","Dates=H","DateFormat=P","Fill=—","Direction=H","UseDPDF=Y")</f>
        <v>-14.7</v>
      </c>
      <c r="S31" s="13">
        <f>_xll.BDH("NBIX US Equity","ARD_CAPITAL_EXPENDITURES","FQ4 2022","FQ4 2022","Currency=USD","Period=FQ","BEST_FPERIOD_OVERRIDE=FQ","FILING_STATUS=MR","SCALING_FORMAT=MLN","Sort=A","Dates=H","DateFormat=P","Fill=—","Direction=H","UseDPDF=Y")</f>
        <v>-16.5</v>
      </c>
      <c r="T31" s="13">
        <f>_xll.BDH("NBIX US Equity","ARD_CAPITAL_EXPENDITURES","FQ1 2023","FQ1 2023","Currency=USD","Period=FQ","BEST_FPERIOD_OVERRIDE=FQ","FILING_STATUS=MR","SCALING_FORMAT=MLN","Sort=A","Dates=H","DateFormat=P","Fill=—","Direction=H","UseDPDF=Y")</f>
        <v>-8.5</v>
      </c>
      <c r="U31" s="13">
        <f>_xll.BDH("NBIX US Equity","ARD_CAPITAL_EXPENDITURES","FQ2 2023","FQ2 2023","Currency=USD","Period=FQ","BEST_FPERIOD_OVERRIDE=FQ","FILING_STATUS=MR","SCALING_FORMAT=MLN","Sort=A","Dates=H","DateFormat=P","Fill=—","Direction=H","UseDPDF=Y")</f>
        <v>-15.3</v>
      </c>
      <c r="V31" s="13">
        <f>_xll.BDH("NBIX US Equity","ARD_CAPITAL_EXPENDITURES","FQ3 2023","FQ3 2023","Currency=USD","Period=FQ","BEST_FPERIOD_OVERRIDE=FQ","FILING_STATUS=MR","SCALING_FORMAT=MLN","Sort=A","Dates=H","DateFormat=P","Fill=—","Direction=H","UseDPDF=Y")</f>
        <v>-22.9</v>
      </c>
      <c r="W31" s="13">
        <f>_xll.BDH("NBIX US Equity","ARD_CAPITAL_EXPENDITURES","FQ4 2023","FQ4 2023","Currency=USD","Period=FQ","BEST_FPERIOD_OVERRIDE=FQ","FILING_STATUS=MR","SCALING_FORMAT=MLN","Sort=A","Dates=H","DateFormat=P","Fill=—","Direction=H","UseDPDF=Y")</f>
        <v>-28.3</v>
      </c>
      <c r="X31" s="13">
        <f>_xll.BDH("NBIX US Equity","ARD_CAPITAL_EXPENDITURES","FQ1 2024","FQ1 2024","Currency=USD","Period=FQ","BEST_FPERIOD_OVERRIDE=FQ","FILING_STATUS=MR","SCALING_FORMAT=MLN","Sort=A","Dates=H","DateFormat=P","Fill=—","Direction=H","UseDPDF=Y")</f>
        <v>-11.2</v>
      </c>
      <c r="Y31" s="13">
        <f>_xll.BDH("NBIX US Equity","ARD_CAPITAL_EXPENDITURES","FQ2 2024","FQ2 2024","Currency=USD","Period=FQ","BEST_FPERIOD_OVERRIDE=FQ","FILING_STATUS=MR","SCALING_FORMAT=MLN","Sort=A","Dates=H","DateFormat=P","Fill=—","Direction=H","UseDPDF=Y")</f>
        <v>-22.8</v>
      </c>
      <c r="Z31" s="13">
        <f>_xll.BDH("NBIX US Equity","ARD_CAPITAL_EXPENDITURES","FQ3 2024","FQ3 2024","Currency=USD","Period=FQ","BEST_FPERIOD_OVERRIDE=FQ","FILING_STATUS=MR","SCALING_FORMAT=MLN","Sort=A","Dates=H","DateFormat=P","Fill=—","Direction=H","UseDPDF=Y")</f>
        <v>-30.9</v>
      </c>
      <c r="AA31" s="13">
        <f>_xll.BDH("NBIX US Equity","ARD_CAPITAL_EXPENDITURES","FQ4 2024","FQ4 2024","Currency=USD","Period=FQ","BEST_FPERIOD_OVERRIDE=FQ","FILING_STATUS=MR","SCALING_FORMAT=MLN","Sort=A","Dates=H","DateFormat=P","Fill=—","Direction=H","UseDPDF=Y")</f>
        <v>-38.200000000000003</v>
      </c>
    </row>
    <row r="32" spans="1:27" x14ac:dyDescent="0.25">
      <c r="A32" s="10" t="s">
        <v>1214</v>
      </c>
      <c r="B32" s="10" t="s">
        <v>1215</v>
      </c>
      <c r="C32" s="13">
        <f>_xll.BDH("NBIX US Equity","ARD_PROCEEDS_FROM_INVESTMENTS","FQ4 2018","FQ4 2018","Currency=USD","Period=FQ","BEST_FPERIOD_OVERRIDE=FQ","FILING_STATUS=MR","SCALING_FORMAT=MLN","Sort=A","Dates=H","DateFormat=P","Fill=—","Direction=H","UseDPDF=Y")</f>
        <v>327.82499999999999</v>
      </c>
      <c r="D32" s="13">
        <f>_xll.BDH("NBIX US Equity","ARD_PROCEEDS_FROM_INVESTMENTS","FQ1 2019","FQ1 2019","Currency=USD","Period=FQ","BEST_FPERIOD_OVERRIDE=FQ","FILING_STATUS=MR","SCALING_FORMAT=MLN","Sort=A","Dates=H","DateFormat=P","Fill=—","Direction=H","UseDPDF=Y")</f>
        <v>215.93600000000001</v>
      </c>
      <c r="E32" s="13">
        <f>_xll.BDH("NBIX US Equity","ARD_PROCEEDS_FROM_INVESTMENTS","FQ2 2019","FQ2 2019","Currency=USD","Period=FQ","BEST_FPERIOD_OVERRIDE=FQ","FILING_STATUS=MR","SCALING_FORMAT=MLN","Sort=A","Dates=H","DateFormat=P","Fill=—","Direction=H","UseDPDF=Y")</f>
        <v>339.74</v>
      </c>
      <c r="F32" s="13">
        <f>_xll.BDH("NBIX US Equity","ARD_PROCEEDS_FROM_INVESTMENTS","FQ3 2019","FQ3 2019","Currency=USD","Period=FQ","BEST_FPERIOD_OVERRIDE=FQ","FILING_STATUS=MR","SCALING_FORMAT=MLN","Sort=A","Dates=H","DateFormat=P","Fill=—","Direction=H","UseDPDF=Y")</f>
        <v>488.82299999999998</v>
      </c>
      <c r="G32" s="13">
        <f>_xll.BDH("NBIX US Equity","ARD_PROCEEDS_FROM_INVESTMENTS","FQ4 2019","FQ4 2019","Currency=USD","Period=FQ","BEST_FPERIOD_OVERRIDE=FQ","FILING_STATUS=MR","SCALING_FORMAT=MLN","Sort=A","Dates=H","DateFormat=P","Fill=—","Direction=H","UseDPDF=Y")</f>
        <v>669.7</v>
      </c>
      <c r="H32" s="13">
        <f>_xll.BDH("NBIX US Equity","ARD_PROCEEDS_FROM_INVESTMENTS","FQ1 2020","FQ1 2020","Currency=USD","Period=FQ","BEST_FPERIOD_OVERRIDE=FQ","FILING_STATUS=MR","SCALING_FORMAT=MLN","Sort=A","Dates=H","DateFormat=P","Fill=—","Direction=H","UseDPDF=Y")</f>
        <v>206.5</v>
      </c>
      <c r="I32" s="13">
        <f>_xll.BDH("NBIX US Equity","ARD_PROCEEDS_FROM_INVESTMENTS","FQ2 2020","FQ2 2020","Currency=USD","Period=FQ","BEST_FPERIOD_OVERRIDE=FQ","FILING_STATUS=MR","SCALING_FORMAT=MLN","Sort=A","Dates=H","DateFormat=P","Fill=—","Direction=H","UseDPDF=Y")</f>
        <v>421.2</v>
      </c>
      <c r="J32" s="13">
        <f>_xll.BDH("NBIX US Equity","ARD_PROCEEDS_FROM_INVESTMENTS","FQ3 2020","FQ3 2020","Currency=USD","Period=FQ","BEST_FPERIOD_OVERRIDE=FQ","FILING_STATUS=MR","SCALING_FORMAT=MLN","Sort=A","Dates=H","DateFormat=P","Fill=—","Direction=H","UseDPDF=Y")</f>
        <v>557.4</v>
      </c>
      <c r="K32" s="13">
        <f>_xll.BDH("NBIX US Equity","ARD_PROCEEDS_FROM_INVESTMENTS","FQ4 2020","FQ4 2020","Currency=USD","Period=FQ","BEST_FPERIOD_OVERRIDE=FQ","FILING_STATUS=MR","SCALING_FORMAT=MLN","Sort=A","Dates=H","DateFormat=P","Fill=—","Direction=H","UseDPDF=Y")</f>
        <v>750.5</v>
      </c>
      <c r="L32" s="13">
        <f>_xll.BDH("NBIX US Equity","ARD_PROCEEDS_FROM_INVESTMENTS","FQ1 2021","FQ1 2021","Currency=USD","Period=FQ","BEST_FPERIOD_OVERRIDE=FQ","FILING_STATUS=MR","SCALING_FORMAT=MLN","Sort=A","Dates=H","DateFormat=P","Fill=—","Direction=H","UseDPDF=Y")</f>
        <v>161.30000000000001</v>
      </c>
      <c r="M32" s="13">
        <f>_xll.BDH("NBIX US Equity","ARD_PROCEEDS_FROM_INVESTMENTS","FQ2 2021","FQ2 2021","Currency=USD","Period=FQ","BEST_FPERIOD_OVERRIDE=FQ","FILING_STATUS=MR","SCALING_FORMAT=MLN","Sort=A","Dates=H","DateFormat=P","Fill=—","Direction=H","UseDPDF=Y")</f>
        <v>364.2</v>
      </c>
      <c r="N32" s="13">
        <f>_xll.BDH("NBIX US Equity","ARD_PROCEEDS_FROM_INVESTMENTS","FQ3 2021","FQ3 2021","Currency=USD","Period=FQ","BEST_FPERIOD_OVERRIDE=FQ","FILING_STATUS=MR","SCALING_FORMAT=MLN","Sort=A","Dates=H","DateFormat=P","Fill=—","Direction=H","UseDPDF=Y")</f>
        <v>523.9</v>
      </c>
      <c r="O32" s="13">
        <f>_xll.BDH("NBIX US Equity","ARD_PROCEEDS_FROM_INVESTMENTS","FQ4 2021","FQ4 2021","Currency=USD","Period=FQ","BEST_FPERIOD_OVERRIDE=FQ","FILING_STATUS=MR","SCALING_FORMAT=MLN","Sort=A","Dates=H","DateFormat=P","Fill=—","Direction=H","UseDPDF=Y")</f>
        <v>697.9</v>
      </c>
      <c r="P32" s="13">
        <f>_xll.BDH("NBIX US Equity","ARD_PROCEEDS_FROM_INVESTMENTS","FQ1 2022","FQ1 2022","Currency=USD","Period=FQ","BEST_FPERIOD_OVERRIDE=FQ","FILING_STATUS=MR","SCALING_FORMAT=MLN","Sort=A","Dates=H","DateFormat=P","Fill=—","Direction=H","UseDPDF=Y")</f>
        <v>176.5</v>
      </c>
      <c r="Q32" s="13">
        <f>_xll.BDH("NBIX US Equity","ARD_PROCEEDS_FROM_INVESTMENTS","FQ2 2022","FQ2 2022","Currency=USD","Period=FQ","BEST_FPERIOD_OVERRIDE=FQ","FILING_STATUS=MR","SCALING_FORMAT=MLN","Sort=A","Dates=H","DateFormat=P","Fill=—","Direction=H","UseDPDF=Y")</f>
        <v>277.60000000000002</v>
      </c>
      <c r="R32" s="13">
        <f>_xll.BDH("NBIX US Equity","ARD_PROCEEDS_FROM_INVESTMENTS","FQ3 2022","FQ3 2022","Currency=USD","Period=FQ","BEST_FPERIOD_OVERRIDE=FQ","FILING_STATUS=MR","SCALING_FORMAT=MLN","Sort=A","Dates=H","DateFormat=P","Fill=—","Direction=H","UseDPDF=Y")</f>
        <v>348.8</v>
      </c>
      <c r="S32" s="13">
        <f>_xll.BDH("NBIX US Equity","ARD_PROCEEDS_FROM_INVESTMENTS","FQ4 2022","FQ4 2022","Currency=USD","Period=FQ","BEST_FPERIOD_OVERRIDE=FQ","FILING_STATUS=MR","SCALING_FORMAT=MLN","Sort=A","Dates=H","DateFormat=P","Fill=—","Direction=H","UseDPDF=Y")</f>
        <v>511</v>
      </c>
      <c r="T32" s="13">
        <f>_xll.BDH("NBIX US Equity","ARD_PROCEEDS_FROM_INVESTMENTS","FQ1 2023","FQ1 2023","Currency=USD","Period=FQ","BEST_FPERIOD_OVERRIDE=FQ","FILING_STATUS=MR","SCALING_FORMAT=MLN","Sort=A","Dates=H","DateFormat=P","Fill=—","Direction=H","UseDPDF=Y")</f>
        <v>203.9</v>
      </c>
      <c r="U32" s="13">
        <f>_xll.BDH("NBIX US Equity","ARD_PROCEEDS_FROM_INVESTMENTS","FQ2 2023","FQ2 2023","Currency=USD","Period=FQ","BEST_FPERIOD_OVERRIDE=FQ","FILING_STATUS=MR","SCALING_FORMAT=MLN","Sort=A","Dates=H","DateFormat=P","Fill=—","Direction=H","UseDPDF=Y")</f>
        <v>408.6</v>
      </c>
      <c r="V32" s="13">
        <f>_xll.BDH("NBIX US Equity","ARD_PROCEEDS_FROM_INVESTMENTS","FQ3 2023","FQ3 2023","Currency=USD","Period=FQ","BEST_FPERIOD_OVERRIDE=FQ","FILING_STATUS=MR","SCALING_FORMAT=MLN","Sort=A","Dates=H","DateFormat=P","Fill=—","Direction=H","UseDPDF=Y")</f>
        <v>681.6</v>
      </c>
      <c r="W32" s="13">
        <f>_xll.BDH("NBIX US Equity","ARD_PROCEEDS_FROM_INVESTMENTS","FQ4 2023","FQ4 2023","Currency=USD","Period=FQ","BEST_FPERIOD_OVERRIDE=FQ","FILING_STATUS=MR","SCALING_FORMAT=MLN","Sort=A","Dates=H","DateFormat=P","Fill=—","Direction=H","UseDPDF=Y")</f>
        <v>972.4</v>
      </c>
      <c r="X32" s="13">
        <f>_xll.BDH("NBIX US Equity","ARD_PROCEEDS_FROM_INVESTMENTS","FQ1 2024","FQ1 2024","Currency=USD","Period=FQ","BEST_FPERIOD_OVERRIDE=FQ","FILING_STATUS=MR","SCALING_FORMAT=MLN","Sort=A","Dates=H","DateFormat=P","Fill=—","Direction=H","UseDPDF=Y")</f>
        <v>276.3</v>
      </c>
      <c r="Y32" s="13">
        <f>_xll.BDH("NBIX US Equity","ARD_PROCEEDS_FROM_INVESTMENTS","FQ2 2024","FQ2 2024","Currency=USD","Period=FQ","BEST_FPERIOD_OVERRIDE=FQ","FILING_STATUS=MR","SCALING_FORMAT=MLN","Sort=A","Dates=H","DateFormat=P","Fill=—","Direction=H","UseDPDF=Y")</f>
        <v>451.4</v>
      </c>
      <c r="Z32" s="13">
        <f>_xll.BDH("NBIX US Equity","ARD_PROCEEDS_FROM_INVESTMENTS","FQ3 2024","FQ3 2024","Currency=USD","Period=FQ","BEST_FPERIOD_OVERRIDE=FQ","FILING_STATUS=MR","SCALING_FORMAT=MLN","Sort=A","Dates=H","DateFormat=P","Fill=—","Direction=H","UseDPDF=Y")</f>
        <v>716.7</v>
      </c>
      <c r="AA32" s="13">
        <f>_xll.BDH("NBIX US Equity","ARD_PROCEEDS_FROM_INVESTMENTS","FQ4 2024","FQ4 2024","Currency=USD","Period=FQ","BEST_FPERIOD_OVERRIDE=FQ","FILING_STATUS=MR","SCALING_FORMAT=MLN","Sort=A","Dates=H","DateFormat=P","Fill=—","Direction=H","UseDPDF=Y")</f>
        <v>967.5</v>
      </c>
    </row>
    <row r="33" spans="1:27" x14ac:dyDescent="0.25">
      <c r="A33" s="10" t="s">
        <v>1216</v>
      </c>
      <c r="B33" s="10" t="s">
        <v>1217</v>
      </c>
      <c r="C33" s="13">
        <f>_xll.BDH("NBIX US Equity","ARD_PURCHASES_OF_INVESTMENTS","FQ4 2018","FQ4 2018","Currency=USD","Period=FQ","BEST_FPERIOD_OVERRIDE=FQ","FILING_STATUS=MR","SCALING_FORMAT=MLN","Sort=A","Dates=H","DateFormat=P","Fill=—","Direction=H","UseDPDF=Y")</f>
        <v>-545.96199999999999</v>
      </c>
      <c r="D33" s="13">
        <f>_xll.BDH("NBIX US Equity","ARD_PURCHASES_OF_INVESTMENTS","FQ1 2019","FQ1 2019","Currency=USD","Period=FQ","BEST_FPERIOD_OVERRIDE=FQ","FILING_STATUS=MR","SCALING_FORMAT=MLN","Sort=A","Dates=H","DateFormat=P","Fill=—","Direction=H","UseDPDF=Y")</f>
        <v>-116.307</v>
      </c>
      <c r="E33" s="13">
        <f>_xll.BDH("NBIX US Equity","ARD_PURCHASES_OF_INVESTMENTS","FQ2 2019","FQ2 2019","Currency=USD","Period=FQ","BEST_FPERIOD_OVERRIDE=FQ","FILING_STATUS=MR","SCALING_FORMAT=MLN","Sort=A","Dates=H","DateFormat=P","Fill=—","Direction=H","UseDPDF=Y")</f>
        <v>-235.90100000000001</v>
      </c>
      <c r="F33" s="13">
        <f>_xll.BDH("NBIX US Equity","ARD_PURCHASES_OF_INVESTMENTS","FQ3 2019","FQ3 2019","Currency=USD","Period=FQ","BEST_FPERIOD_OVERRIDE=FQ","FILING_STATUS=MR","SCALING_FORMAT=MLN","Sort=A","Dates=H","DateFormat=P","Fill=—","Direction=H","UseDPDF=Y")</f>
        <v>-467.09</v>
      </c>
      <c r="G33" s="13">
        <f>_xll.BDH("NBIX US Equity","ARD_PURCHASES_OF_INVESTMENTS","FQ4 2019","FQ4 2019","Currency=USD","Period=FQ","BEST_FPERIOD_OVERRIDE=FQ","FILING_STATUS=MR","SCALING_FORMAT=MLN","Sort=A","Dates=H","DateFormat=P","Fill=—","Direction=H","UseDPDF=Y")</f>
        <v>-797.2</v>
      </c>
      <c r="H33" s="13">
        <f>_xll.BDH("NBIX US Equity","ARD_PURCHASES_OF_INVESTMENTS","FQ1 2020","FQ1 2020","Currency=USD","Period=FQ","BEST_FPERIOD_OVERRIDE=FQ","FILING_STATUS=MR","SCALING_FORMAT=MLN","Sort=A","Dates=H","DateFormat=P","Fill=—","Direction=H","UseDPDF=Y")</f>
        <v>-172</v>
      </c>
      <c r="I33" s="13">
        <f>_xll.BDH("NBIX US Equity","ARD_PURCHASES_OF_INVESTMENTS","FQ2 2020","FQ2 2020","Currency=USD","Period=FQ","BEST_FPERIOD_OVERRIDE=FQ","FILING_STATUS=MR","SCALING_FORMAT=MLN","Sort=A","Dates=H","DateFormat=P","Fill=—","Direction=H","UseDPDF=Y")</f>
        <v>-288.60000000000002</v>
      </c>
      <c r="J33" s="13">
        <f>_xll.BDH("NBIX US Equity","ARD_PURCHASES_OF_INVESTMENTS","FQ3 2020","FQ3 2020","Currency=USD","Period=FQ","BEST_FPERIOD_OVERRIDE=FQ","FILING_STATUS=MR","SCALING_FORMAT=MLN","Sort=A","Dates=H","DateFormat=P","Fill=—","Direction=H","UseDPDF=Y")</f>
        <v>-399.2</v>
      </c>
      <c r="K33" s="13">
        <f>_xll.BDH("NBIX US Equity","ARD_PURCHASES_OF_INVESTMENTS","FQ4 2020","FQ4 2020","Currency=USD","Period=FQ","BEST_FPERIOD_OVERRIDE=FQ","FILING_STATUS=MR","SCALING_FORMAT=MLN","Sort=A","Dates=H","DateFormat=P","Fill=—","Direction=H","UseDPDF=Y")</f>
        <v>-735.5</v>
      </c>
      <c r="L33" s="13">
        <f>_xll.BDH("NBIX US Equity","ARD_PURCHASES_OF_INVESTMENTS","FQ1 2021","FQ1 2021","Currency=USD","Period=FQ","BEST_FPERIOD_OVERRIDE=FQ","FILING_STATUS=MR","SCALING_FORMAT=MLN","Sort=A","Dates=H","DateFormat=P","Fill=—","Direction=H","UseDPDF=Y")</f>
        <v>-93.7</v>
      </c>
      <c r="M33" s="13">
        <f>_xll.BDH("NBIX US Equity","ARD_PURCHASES_OF_INVESTMENTS","FQ2 2021","FQ2 2021","Currency=USD","Period=FQ","BEST_FPERIOD_OVERRIDE=FQ","FILING_STATUS=MR","SCALING_FORMAT=MLN","Sort=A","Dates=H","DateFormat=P","Fill=—","Direction=H","UseDPDF=Y")</f>
        <v>-383.1</v>
      </c>
      <c r="N33" s="13">
        <f>_xll.BDH("NBIX US Equity","ARD_PURCHASES_OF_INVESTMENTS","FQ3 2021","FQ3 2021","Currency=USD","Period=FQ","BEST_FPERIOD_OVERRIDE=FQ","FILING_STATUS=MR","SCALING_FORMAT=MLN","Sort=A","Dates=H","DateFormat=P","Fill=—","Direction=H","UseDPDF=Y")</f>
        <v>-658.7</v>
      </c>
      <c r="O33" s="13">
        <f>_xll.BDH("NBIX US Equity","ARD_PURCHASES_OF_INVESTMENTS","FQ4 2021","FQ4 2021","Currency=USD","Period=FQ","BEST_FPERIOD_OVERRIDE=FQ","FILING_STATUS=MR","SCALING_FORMAT=MLN","Sort=A","Dates=H","DateFormat=P","Fill=—","Direction=H","UseDPDF=Y")</f>
        <v>-800.1</v>
      </c>
      <c r="P33" s="13">
        <f>_xll.BDH("NBIX US Equity","ARD_PURCHASES_OF_INVESTMENTS","FQ1 2022","FQ1 2022","Currency=USD","Period=FQ","BEST_FPERIOD_OVERRIDE=FQ","FILING_STATUS=MR","SCALING_FORMAT=MLN","Sort=A","Dates=H","DateFormat=P","Fill=—","Direction=H","UseDPDF=Y")</f>
        <v>-192.8</v>
      </c>
      <c r="Q33" s="13">
        <f>_xll.BDH("NBIX US Equity","ARD_PURCHASES_OF_INVESTMENTS","FQ2 2022","FQ2 2022","Currency=USD","Period=FQ","BEST_FPERIOD_OVERRIDE=FQ","FILING_STATUS=MR","SCALING_FORMAT=MLN","Sort=A","Dates=H","DateFormat=P","Fill=—","Direction=H","UseDPDF=Y")</f>
        <v>-253.7</v>
      </c>
      <c r="R33" s="13">
        <f>_xll.BDH("NBIX US Equity","ARD_PURCHASES_OF_INVESTMENTS","FQ3 2022","FQ3 2022","Currency=USD","Period=FQ","BEST_FPERIOD_OVERRIDE=FQ","FILING_STATUS=MR","SCALING_FORMAT=MLN","Sort=A","Dates=H","DateFormat=P","Fill=—","Direction=H","UseDPDF=Y")</f>
        <v>-387.9</v>
      </c>
      <c r="S33" s="13">
        <f>_xll.BDH("NBIX US Equity","ARD_PURCHASES_OF_INVESTMENTS","FQ4 2022","FQ4 2022","Currency=USD","Period=FQ","BEST_FPERIOD_OVERRIDE=FQ","FILING_STATUS=MR","SCALING_FORMAT=MLN","Sort=A","Dates=H","DateFormat=P","Fill=—","Direction=H","UseDPDF=Y")</f>
        <v>-621.20000000000005</v>
      </c>
      <c r="T33" s="13">
        <f>_xll.BDH("NBIX US Equity","ARD_PURCHASES_OF_INVESTMENTS","FQ1 2023","FQ1 2023","Currency=USD","Period=FQ","BEST_FPERIOD_OVERRIDE=FQ","FILING_STATUS=MR","SCALING_FORMAT=MLN","Sort=A","Dates=H","DateFormat=P","Fill=—","Direction=H","UseDPDF=Y")</f>
        <v>-206.2</v>
      </c>
      <c r="U33" s="13">
        <f>_xll.BDH("NBIX US Equity","ARD_PURCHASES_OF_INVESTMENTS","FQ2 2023","FQ2 2023","Currency=USD","Period=FQ","BEST_FPERIOD_OVERRIDE=FQ","FILING_STATUS=MR","SCALING_FORMAT=MLN","Sort=A","Dates=H","DateFormat=P","Fill=—","Direction=H","UseDPDF=Y")</f>
        <v>-530</v>
      </c>
      <c r="V33" s="13">
        <f>_xll.BDH("NBIX US Equity","ARD_PURCHASES_OF_INVESTMENTS","FQ3 2023","FQ3 2023","Currency=USD","Period=FQ","BEST_FPERIOD_OVERRIDE=FQ","FILING_STATUS=MR","SCALING_FORMAT=MLN","Sort=A","Dates=H","DateFormat=P","Fill=—","Direction=H","UseDPDF=Y")</f>
        <v>-892.7</v>
      </c>
      <c r="W33" s="13">
        <f>_xll.BDH("NBIX US Equity","ARD_PURCHASES_OF_INVESTMENTS","FQ4 2023","FQ4 2023","Currency=USD","Period=FQ","BEST_FPERIOD_OVERRIDE=FQ","FILING_STATUS=MR","SCALING_FORMAT=MLN","Sort=A","Dates=H","DateFormat=P","Fill=—","Direction=H","UseDPDF=Y")</f>
        <v>-1379.9</v>
      </c>
      <c r="X33" s="13">
        <f>_xll.BDH("NBIX US Equity","ARD_PURCHASES_OF_INVESTMENTS","FQ1 2024","FQ1 2024","Currency=USD","Period=FQ","BEST_FPERIOD_OVERRIDE=FQ","FILING_STATUS=MR","SCALING_FORMAT=MLN","Sort=A","Dates=H","DateFormat=P","Fill=—","Direction=H","UseDPDF=Y")</f>
        <v>-320.10000000000002</v>
      </c>
      <c r="Y33" s="13">
        <f>_xll.BDH("NBIX US Equity","ARD_PURCHASES_OF_INVESTMENTS","FQ2 2024","FQ2 2024","Currency=USD","Period=FQ","BEST_FPERIOD_OVERRIDE=FQ","FILING_STATUS=MR","SCALING_FORMAT=MLN","Sort=A","Dates=H","DateFormat=P","Fill=—","Direction=H","UseDPDF=Y")</f>
        <v>-511.8</v>
      </c>
      <c r="Z33" s="13">
        <f>_xll.BDH("NBIX US Equity","ARD_PURCHASES_OF_INVESTMENTS","FQ3 2024","FQ3 2024","Currency=USD","Period=FQ","BEST_FPERIOD_OVERRIDE=FQ","FILING_STATUS=MR","SCALING_FORMAT=MLN","Sort=A","Dates=H","DateFormat=P","Fill=—","Direction=H","UseDPDF=Y")</f>
        <v>-744.3</v>
      </c>
      <c r="AA33" s="13">
        <f>_xll.BDH("NBIX US Equity","ARD_PURCHASES_OF_INVESTMENTS","FQ4 2024","FQ4 2024","Currency=USD","Period=FQ","BEST_FPERIOD_OVERRIDE=FQ","FILING_STATUS=MR","SCALING_FORMAT=MLN","Sort=A","Dates=H","DateFormat=P","Fill=—","Direction=H","UseDPDF=Y")</f>
        <v>-1056.0999999999999</v>
      </c>
    </row>
    <row r="34" spans="1:27" x14ac:dyDescent="0.25">
      <c r="A34" s="10" t="s">
        <v>1218</v>
      </c>
      <c r="B34" s="10" t="s">
        <v>1219</v>
      </c>
      <c r="C34" s="13" t="str">
        <f>_xll.BDH("NBIX US Equity","ARD_ACQUISITION_OF_BUSINESS","FQ4 2018","FQ4 2018","Currency=USD","Period=FQ","BEST_FPERIOD_OVERRIDE=FQ","FILING_STATUS=MR","SCALING_FORMAT=MLN","Sort=A","Dates=H","DateFormat=P","Fill=—","Direction=H","UseDPDF=Y")</f>
        <v>—</v>
      </c>
      <c r="D34" s="13" t="str">
        <f>_xll.BDH("NBIX US Equity","ARD_ACQUISITION_OF_BUSINESS","FQ1 2019","FQ1 2019","Currency=USD","Period=FQ","BEST_FPERIOD_OVERRIDE=FQ","FILING_STATUS=MR","SCALING_FORMAT=MLN","Sort=A","Dates=H","DateFormat=P","Fill=—","Direction=H","UseDPDF=Y")</f>
        <v>—</v>
      </c>
      <c r="E34" s="13" t="str">
        <f>_xll.BDH("NBIX US Equity","ARD_ACQUISITION_OF_BUSINESS","FQ2 2019","FQ2 2019","Currency=USD","Period=FQ","BEST_FPERIOD_OVERRIDE=FQ","FILING_STATUS=MR","SCALING_FORMAT=MLN","Sort=A","Dates=H","DateFormat=P","Fill=—","Direction=H","UseDPDF=Y")</f>
        <v>—</v>
      </c>
      <c r="F34" s="13" t="str">
        <f>_xll.BDH("NBIX US Equity","ARD_ACQUISITION_OF_BUSINESS","FQ3 2019","FQ3 2019","Currency=USD","Period=FQ","BEST_FPERIOD_OVERRIDE=FQ","FILING_STATUS=MR","SCALING_FORMAT=MLN","Sort=A","Dates=H","DateFormat=P","Fill=—","Direction=H","UseDPDF=Y")</f>
        <v>—</v>
      </c>
      <c r="G34" s="13" t="str">
        <f>_xll.BDH("NBIX US Equity","ARD_ACQUISITION_OF_BUSINESS","FQ4 2019","FQ4 2019","Currency=USD","Period=FQ","BEST_FPERIOD_OVERRIDE=FQ","FILING_STATUS=MR","SCALING_FORMAT=MLN","Sort=A","Dates=H","DateFormat=P","Fill=—","Direction=H","UseDPDF=Y")</f>
        <v>—</v>
      </c>
      <c r="H34" s="13" t="str">
        <f>_xll.BDH("NBIX US Equity","ARD_ACQUISITION_OF_BUSINESS","FQ1 2020","FQ1 2020","Currency=USD","Period=FQ","BEST_FPERIOD_OVERRIDE=FQ","FILING_STATUS=MR","SCALING_FORMAT=MLN","Sort=A","Dates=H","DateFormat=P","Fill=—","Direction=H","UseDPDF=Y")</f>
        <v>—</v>
      </c>
      <c r="I34" s="13" t="str">
        <f>_xll.BDH("NBIX US Equity","ARD_ACQUISITION_OF_BUSINESS","FQ2 2020","FQ2 2020","Currency=USD","Period=FQ","BEST_FPERIOD_OVERRIDE=FQ","FILING_STATUS=MR","SCALING_FORMAT=MLN","Sort=A","Dates=H","DateFormat=P","Fill=—","Direction=H","UseDPDF=Y")</f>
        <v>—</v>
      </c>
      <c r="J34" s="13" t="str">
        <f>_xll.BDH("NBIX US Equity","ARD_ACQUISITION_OF_BUSINESS","FQ3 2020","FQ3 2020","Currency=USD","Period=FQ","BEST_FPERIOD_OVERRIDE=FQ","FILING_STATUS=MR","SCALING_FORMAT=MLN","Sort=A","Dates=H","DateFormat=P","Fill=—","Direction=H","UseDPDF=Y")</f>
        <v>—</v>
      </c>
      <c r="K34" s="13" t="str">
        <f>_xll.BDH("NBIX US Equity","ARD_ACQUISITION_OF_BUSINESS","FQ4 2020","FQ4 2020","Currency=USD","Period=FQ","BEST_FPERIOD_OVERRIDE=FQ","FILING_STATUS=MR","SCALING_FORMAT=MLN","Sort=A","Dates=H","DateFormat=P","Fill=—","Direction=H","UseDPDF=Y")</f>
        <v>—</v>
      </c>
      <c r="L34" s="13" t="str">
        <f>_xll.BDH("NBIX US Equity","ARD_ACQUISITION_OF_BUSINESS","FQ1 2021","FQ1 2021","Currency=USD","Period=FQ","BEST_FPERIOD_OVERRIDE=FQ","FILING_STATUS=MR","SCALING_FORMAT=MLN","Sort=A","Dates=H","DateFormat=P","Fill=—","Direction=H","UseDPDF=Y")</f>
        <v>—</v>
      </c>
      <c r="M34" s="13" t="str">
        <f>_xll.BDH("NBIX US Equity","ARD_ACQUISITION_OF_BUSINESS","FQ2 2021","FQ2 2021","Currency=USD","Period=FQ","BEST_FPERIOD_OVERRIDE=FQ","FILING_STATUS=MR","SCALING_FORMAT=MLN","Sort=A","Dates=H","DateFormat=P","Fill=—","Direction=H","UseDPDF=Y")</f>
        <v>—</v>
      </c>
      <c r="N34" s="13" t="str">
        <f>_xll.BDH("NBIX US Equity","ARD_ACQUISITION_OF_BUSINESS","FQ3 2021","FQ3 2021","Currency=USD","Period=FQ","BEST_FPERIOD_OVERRIDE=FQ","FILING_STATUS=MR","SCALING_FORMAT=MLN","Sort=A","Dates=H","DateFormat=P","Fill=—","Direction=H","UseDPDF=Y")</f>
        <v>—</v>
      </c>
      <c r="O34" s="13" t="str">
        <f>_xll.BDH("NBIX US Equity","ARD_ACQUISITION_OF_BUSINESS","FQ4 2021","FQ4 2021","Currency=USD","Period=FQ","BEST_FPERIOD_OVERRIDE=FQ","FILING_STATUS=MR","SCALING_FORMAT=MLN","Sort=A","Dates=H","DateFormat=P","Fill=—","Direction=H","UseDPDF=Y")</f>
        <v>—</v>
      </c>
      <c r="P34" s="13" t="str">
        <f>_xll.BDH("NBIX US Equity","ARD_ACQUISITION_OF_BUSINESS","FQ1 2022","FQ1 2022","Currency=USD","Period=FQ","BEST_FPERIOD_OVERRIDE=FQ","FILING_STATUS=MR","SCALING_FORMAT=MLN","Sort=A","Dates=H","DateFormat=P","Fill=—","Direction=H","UseDPDF=Y")</f>
        <v>—</v>
      </c>
      <c r="Q34" s="13" t="str">
        <f>_xll.BDH("NBIX US Equity","ARD_ACQUISITION_OF_BUSINESS","FQ2 2022","FQ2 2022","Currency=USD","Period=FQ","BEST_FPERIOD_OVERRIDE=FQ","FILING_STATUS=MR","SCALING_FORMAT=MLN","Sort=A","Dates=H","DateFormat=P","Fill=—","Direction=H","UseDPDF=Y")</f>
        <v>—</v>
      </c>
      <c r="R34" s="13" t="str">
        <f>_xll.BDH("NBIX US Equity","ARD_ACQUISITION_OF_BUSINESS","FQ3 2022","FQ3 2022","Currency=USD","Period=FQ","BEST_FPERIOD_OVERRIDE=FQ","FILING_STATUS=MR","SCALING_FORMAT=MLN","Sort=A","Dates=H","DateFormat=P","Fill=—","Direction=H","UseDPDF=Y")</f>
        <v>—</v>
      </c>
      <c r="S34" s="13">
        <f>_xll.BDH("NBIX US Equity","ARD_ACQUISITION_OF_BUSINESS","FQ4 2022","FQ4 2022","Currency=USD","Period=FQ","BEST_FPERIOD_OVERRIDE=FQ","FILING_STATUS=MR","SCALING_FORMAT=MLN","Sort=A","Dates=H","DateFormat=P","Fill=—","Direction=H","UseDPDF=Y")</f>
        <v>-42.7</v>
      </c>
      <c r="T34" s="13" t="str">
        <f>_xll.BDH("NBIX US Equity","ARD_ACQUISITION_OF_BUSINESS","FQ1 2023","FQ1 2023","Currency=USD","Period=FQ","BEST_FPERIOD_OVERRIDE=FQ","FILING_STATUS=MR","SCALING_FORMAT=MLN","Sort=A","Dates=H","DateFormat=P","Fill=—","Direction=H","UseDPDF=Y")</f>
        <v>—</v>
      </c>
      <c r="U34" s="13" t="str">
        <f>_xll.BDH("NBIX US Equity","ARD_ACQUISITION_OF_BUSINESS","FQ2 2023","FQ2 2023","Currency=USD","Period=FQ","BEST_FPERIOD_OVERRIDE=FQ","FILING_STATUS=MR","SCALING_FORMAT=MLN","Sort=A","Dates=H","DateFormat=P","Fill=—","Direction=H","UseDPDF=Y")</f>
        <v>—</v>
      </c>
      <c r="V34" s="13" t="str">
        <f>_xll.BDH("NBIX US Equity","ARD_ACQUISITION_OF_BUSINESS","FQ3 2023","FQ3 2023","Currency=USD","Period=FQ","BEST_FPERIOD_OVERRIDE=FQ","FILING_STATUS=MR","SCALING_FORMAT=MLN","Sort=A","Dates=H","DateFormat=P","Fill=—","Direction=H","UseDPDF=Y")</f>
        <v>—</v>
      </c>
      <c r="W34" s="13">
        <f>_xll.BDH("NBIX US Equity","ARD_ACQUISITION_OF_BUSINESS","FQ4 2023","FQ4 2023","Currency=USD","Period=FQ","BEST_FPERIOD_OVERRIDE=FQ","FILING_STATUS=MR","SCALING_FORMAT=MLN","Sort=A","Dates=H","DateFormat=P","Fill=—","Direction=H","UseDPDF=Y")</f>
        <v>0</v>
      </c>
      <c r="X34" s="13" t="str">
        <f>_xll.BDH("NBIX US Equity","ARD_ACQUISITION_OF_BUSINESS","FQ1 2024","FQ1 2024","Currency=USD","Period=FQ","BEST_FPERIOD_OVERRIDE=FQ","FILING_STATUS=MR","SCALING_FORMAT=MLN","Sort=A","Dates=H","DateFormat=P","Fill=—","Direction=H","UseDPDF=Y")</f>
        <v>—</v>
      </c>
      <c r="Y34" s="13" t="str">
        <f>_xll.BDH("NBIX US Equity","ARD_ACQUISITION_OF_BUSINESS","FQ2 2024","FQ2 2024","Currency=USD","Period=FQ","BEST_FPERIOD_OVERRIDE=FQ","FILING_STATUS=MR","SCALING_FORMAT=MLN","Sort=A","Dates=H","DateFormat=P","Fill=—","Direction=H","UseDPDF=Y")</f>
        <v>—</v>
      </c>
      <c r="Z34" s="13" t="str">
        <f>_xll.BDH("NBIX US Equity","ARD_ACQUISITION_OF_BUSINESS","FQ3 2024","FQ3 2024","Currency=USD","Period=FQ","BEST_FPERIOD_OVERRIDE=FQ","FILING_STATUS=MR","SCALING_FORMAT=MLN","Sort=A","Dates=H","DateFormat=P","Fill=—","Direction=H","UseDPDF=Y")</f>
        <v>—</v>
      </c>
      <c r="AA34" s="13">
        <f>_xll.BDH("NBIX US Equity","ARD_ACQUISITION_OF_BUSINESS","FQ4 2024","FQ4 2024","Currency=USD","Period=FQ","BEST_FPERIOD_OVERRIDE=FQ","FILING_STATUS=MR","SCALING_FORMAT=MLN","Sort=A","Dates=H","DateFormat=P","Fill=—","Direction=H","UseDPDF=Y")</f>
        <v>0</v>
      </c>
    </row>
    <row r="35" spans="1:27" x14ac:dyDescent="0.25">
      <c r="A35" s="10" t="s">
        <v>1220</v>
      </c>
      <c r="B35" s="10" t="s">
        <v>1221</v>
      </c>
      <c r="C35" s="13" t="str">
        <f>_xll.BDH("NBIX US Equity","ARD_OTHER_INVESTING_ACTIVITIES","FQ4 2018","FQ4 2018","Currency=USD","Period=FQ","BEST_FPERIOD_OVERRIDE=FQ","FILING_STATUS=MR","SCALING_FORMAT=MLN","Sort=A","Dates=H","DateFormat=P","Fill=—","Direction=H","UseDPDF=Y")</f>
        <v>—</v>
      </c>
      <c r="D35" s="13">
        <f>_xll.BDH("NBIX US Equity","ARD_OTHER_INVESTING_ACTIVITIES","FQ1 2019","FQ1 2019","Currency=USD","Period=FQ","BEST_FPERIOD_OVERRIDE=FQ","FILING_STATUS=MR","SCALING_FORMAT=MLN","Sort=A","Dates=H","DateFormat=P","Fill=—","Direction=H","UseDPDF=Y")</f>
        <v>-54.72</v>
      </c>
      <c r="E35" s="13">
        <f>_xll.BDH("NBIX US Equity","ARD_OTHER_INVESTING_ACTIVITIES","FQ2 2019","FQ2 2019","Currency=USD","Period=FQ","BEST_FPERIOD_OVERRIDE=FQ","FILING_STATUS=MR","SCALING_FORMAT=MLN","Sort=A","Dates=H","DateFormat=P","Fill=—","Direction=H","UseDPDF=Y")</f>
        <v>-54.72</v>
      </c>
      <c r="F35" s="13">
        <f>_xll.BDH("NBIX US Equity","ARD_OTHER_INVESTING_ACTIVITIES","FQ3 2019","FQ3 2019","Currency=USD","Period=FQ","BEST_FPERIOD_OVERRIDE=FQ","FILING_STATUS=MR","SCALING_FORMAT=MLN","Sort=A","Dates=H","DateFormat=P","Fill=—","Direction=H","UseDPDF=Y")</f>
        <v>-54.72</v>
      </c>
      <c r="G35" s="13">
        <f>_xll.BDH("NBIX US Equity","ARD_OTHER_INVESTING_ACTIVITIES","FQ4 2019","FQ4 2019","Currency=USD","Period=FQ","BEST_FPERIOD_OVERRIDE=FQ","FILING_STATUS=MR","SCALING_FORMAT=MLN","Sort=A","Dates=H","DateFormat=P","Fill=—","Direction=H","UseDPDF=Y")</f>
        <v>-68.900000000000006</v>
      </c>
      <c r="H35" s="13" t="str">
        <f>_xll.BDH("NBIX US Equity","ARD_OTHER_INVESTING_ACTIVITIES","FQ1 2020","FQ1 2020","Currency=USD","Period=FQ","BEST_FPERIOD_OVERRIDE=FQ","FILING_STATUS=MR","SCALING_FORMAT=MLN","Sort=A","Dates=H","DateFormat=P","Fill=—","Direction=H","UseDPDF=Y")</f>
        <v>—</v>
      </c>
      <c r="I35" s="13" t="str">
        <f>_xll.BDH("NBIX US Equity","ARD_OTHER_INVESTING_ACTIVITIES","FQ2 2020","FQ2 2020","Currency=USD","Period=FQ","BEST_FPERIOD_OVERRIDE=FQ","FILING_STATUS=MR","SCALING_FORMAT=MLN","Sort=A","Dates=H","DateFormat=P","Fill=—","Direction=H","UseDPDF=Y")</f>
        <v>—</v>
      </c>
      <c r="J35" s="13">
        <f>_xll.BDH("NBIX US Equity","ARD_OTHER_INVESTING_ACTIVITIES","FQ3 2020","FQ3 2020","Currency=USD","Period=FQ","BEST_FPERIOD_OVERRIDE=FQ","FILING_STATUS=MR","SCALING_FORMAT=MLN","Sort=A","Dates=H","DateFormat=P","Fill=—","Direction=H","UseDPDF=Y")</f>
        <v>0</v>
      </c>
      <c r="K35" s="13">
        <f>_xll.BDH("NBIX US Equity","ARD_OTHER_INVESTING_ACTIVITIES","FQ4 2020","FQ4 2020","Currency=USD","Period=FQ","BEST_FPERIOD_OVERRIDE=FQ","FILING_STATUS=MR","SCALING_FORMAT=MLN","Sort=A","Dates=H","DateFormat=P","Fill=—","Direction=H","UseDPDF=Y")</f>
        <v>0</v>
      </c>
      <c r="L35" s="13" t="str">
        <f>_xll.BDH("NBIX US Equity","ARD_OTHER_INVESTING_ACTIVITIES","FQ1 2021","FQ1 2021","Currency=USD","Period=FQ","BEST_FPERIOD_OVERRIDE=FQ","FILING_STATUS=MR","SCALING_FORMAT=MLN","Sort=A","Dates=H","DateFormat=P","Fill=—","Direction=H","UseDPDF=Y")</f>
        <v>—</v>
      </c>
      <c r="M35" s="13" t="str">
        <f>_xll.BDH("NBIX US Equity","ARD_OTHER_INVESTING_ACTIVITIES","FQ2 2021","FQ2 2021","Currency=USD","Period=FQ","BEST_FPERIOD_OVERRIDE=FQ","FILING_STATUS=MR","SCALING_FORMAT=MLN","Sort=A","Dates=H","DateFormat=P","Fill=—","Direction=H","UseDPDF=Y")</f>
        <v>—</v>
      </c>
      <c r="N35" s="13">
        <f>_xll.BDH("NBIX US Equity","ARD_OTHER_INVESTING_ACTIVITIES","FQ3 2021","FQ3 2021","Currency=USD","Period=FQ","BEST_FPERIOD_OVERRIDE=FQ","FILING_STATUS=MR","SCALING_FORMAT=MLN","Sort=A","Dates=H","DateFormat=P","Fill=—","Direction=H","UseDPDF=Y")</f>
        <v>-4.5999999999999996</v>
      </c>
      <c r="O35" s="13">
        <f>_xll.BDH("NBIX US Equity","ARD_OTHER_INVESTING_ACTIVITIES","FQ4 2021","FQ4 2021","Currency=USD","Period=FQ","BEST_FPERIOD_OVERRIDE=FQ","FILING_STATUS=MR","SCALING_FORMAT=MLN","Sort=A","Dates=H","DateFormat=P","Fill=—","Direction=H","UseDPDF=Y")</f>
        <v>-4.5999999999999996</v>
      </c>
      <c r="P35" s="13">
        <f>_xll.BDH("NBIX US Equity","ARD_OTHER_INVESTING_ACTIVITIES","FQ1 2022","FQ1 2022","Currency=USD","Period=FQ","BEST_FPERIOD_OVERRIDE=FQ","FILING_STATUS=MR","SCALING_FORMAT=MLN","Sort=A","Dates=H","DateFormat=P","Fill=—","Direction=H","UseDPDF=Y")</f>
        <v>-7.7</v>
      </c>
      <c r="Q35" s="13">
        <f>_xll.BDH("NBIX US Equity","ARD_OTHER_INVESTING_ACTIVITIES","FQ2 2022","FQ2 2022","Currency=USD","Period=FQ","BEST_FPERIOD_OVERRIDE=FQ","FILING_STATUS=MR","SCALING_FORMAT=MLN","Sort=A","Dates=H","DateFormat=P","Fill=—","Direction=H","UseDPDF=Y")</f>
        <v>-7.7</v>
      </c>
      <c r="R35" s="13">
        <f>_xll.BDH("NBIX US Equity","ARD_OTHER_INVESTING_ACTIVITIES","FQ3 2022","FQ3 2022","Currency=USD","Period=FQ","BEST_FPERIOD_OVERRIDE=FQ","FILING_STATUS=MR","SCALING_FORMAT=MLN","Sort=A","Dates=H","DateFormat=P","Fill=—","Direction=H","UseDPDF=Y")</f>
        <v>-7.7</v>
      </c>
      <c r="S35" s="13">
        <f>_xll.BDH("NBIX US Equity","ARD_OTHER_INVESTING_ACTIVITIES","FQ4 2022","FQ4 2022","Currency=USD","Period=FQ","BEST_FPERIOD_OVERRIDE=FQ","FILING_STATUS=MR","SCALING_FORMAT=MLN","Sort=A","Dates=H","DateFormat=P","Fill=—","Direction=H","UseDPDF=Y")</f>
        <v>-7.7</v>
      </c>
      <c r="T35" s="13">
        <f>_xll.BDH("NBIX US Equity","ARD_OTHER_INVESTING_ACTIVITIES","FQ1 2023","FQ1 2023","Currency=USD","Period=FQ","BEST_FPERIOD_OVERRIDE=FQ","FILING_STATUS=MR","SCALING_FORMAT=MLN","Sort=A","Dates=H","DateFormat=P","Fill=—","Direction=H","UseDPDF=Y")</f>
        <v>-31.3</v>
      </c>
      <c r="U35" s="13">
        <f>_xll.BDH("NBIX US Equity","ARD_OTHER_INVESTING_ACTIVITIES","FQ2 2023","FQ2 2023","Currency=USD","Period=FQ","BEST_FPERIOD_OVERRIDE=FQ","FILING_STATUS=MR","SCALING_FORMAT=MLN","Sort=A","Dates=H","DateFormat=P","Fill=—","Direction=H","UseDPDF=Y")</f>
        <v>-31.3</v>
      </c>
      <c r="V35" s="13">
        <f>_xll.BDH("NBIX US Equity","ARD_OTHER_INVESTING_ACTIVITIES","FQ3 2023","FQ3 2023","Currency=USD","Period=FQ","BEST_FPERIOD_OVERRIDE=FQ","FILING_STATUS=MR","SCALING_FORMAT=MLN","Sort=A","Dates=H","DateFormat=P","Fill=—","Direction=H","UseDPDF=Y")</f>
        <v>-31.3</v>
      </c>
      <c r="W35" s="13">
        <f>_xll.BDH("NBIX US Equity","ARD_OTHER_INVESTING_ACTIVITIES","FQ4 2023","FQ4 2023","Currency=USD","Period=FQ","BEST_FPERIOD_OVERRIDE=FQ","FILING_STATUS=MR","SCALING_FORMAT=MLN","Sort=A","Dates=H","DateFormat=P","Fill=—","Direction=H","UseDPDF=Y")</f>
        <v>-31.3</v>
      </c>
      <c r="X35" s="13">
        <f>_xll.BDH("NBIX US Equity","ARD_OTHER_INVESTING_ACTIVITIES","FQ1 2024","FQ1 2024","Currency=USD","Period=FQ","BEST_FPERIOD_OVERRIDE=FQ","FILING_STATUS=MR","SCALING_FORMAT=MLN","Sort=A","Dates=H","DateFormat=P","Fill=—","Direction=H","UseDPDF=Y")</f>
        <v>0</v>
      </c>
      <c r="Y35" s="13">
        <f>_xll.BDH("NBIX US Equity","ARD_OTHER_INVESTING_ACTIVITIES","FQ2 2024","FQ2 2024","Currency=USD","Period=FQ","BEST_FPERIOD_OVERRIDE=FQ","FILING_STATUS=MR","SCALING_FORMAT=MLN","Sort=A","Dates=H","DateFormat=P","Fill=—","Direction=H","UseDPDF=Y")</f>
        <v>0</v>
      </c>
      <c r="Z35" s="13">
        <f>_xll.BDH("NBIX US Equity","ARD_OTHER_INVESTING_ACTIVITIES","FQ3 2024","FQ3 2024","Currency=USD","Period=FQ","BEST_FPERIOD_OVERRIDE=FQ","FILING_STATUS=MR","SCALING_FORMAT=MLN","Sort=A","Dates=H","DateFormat=P","Fill=—","Direction=H","UseDPDF=Y")</f>
        <v>0</v>
      </c>
      <c r="AA35" s="13" t="str">
        <f>_xll.BDH("NBIX US Equity","ARD_OTHER_INVESTING_ACTIVITIES","FQ4 2024","FQ4 2024","Currency=USD","Period=FQ","BEST_FPERIOD_OVERRIDE=FQ","FILING_STATUS=MR","SCALING_FORMAT=MLN","Sort=A","Dates=H","DateFormat=P","Fill=—","Direction=H","UseDPDF=Y")</f>
        <v>—</v>
      </c>
    </row>
    <row r="36" spans="1:27" x14ac:dyDescent="0.25">
      <c r="A36" s="6" t="s">
        <v>1222</v>
      </c>
      <c r="B36" s="6" t="s">
        <v>1223</v>
      </c>
      <c r="C36" s="19">
        <f>_xll.BDH("NBIX US Equity","ARD_TOT_CASHFLOWS_FROM_INVESTING","FQ4 2018","FQ4 2018","Currency=USD","Period=FQ","BEST_FPERIOD_OVERRIDE=FQ","FILING_STATUS=MR","SCALING_FORMAT=MLN","Sort=A","Dates=H","DateFormat=P","Fill=—","Direction=H","UseDPDF=Y")</f>
        <v>-242.91499999999999</v>
      </c>
      <c r="D36" s="19">
        <f>_xll.BDH("NBIX US Equity","ARD_TOT_CASHFLOWS_FROM_INVESTING","FQ1 2019","FQ1 2019","Currency=USD","Period=FQ","BEST_FPERIOD_OVERRIDE=FQ","FILING_STATUS=MR","SCALING_FORMAT=MLN","Sort=A","Dates=H","DateFormat=P","Fill=—","Direction=H","UseDPDF=Y")</f>
        <v>40.973999999999997</v>
      </c>
      <c r="E36" s="19">
        <f>_xll.BDH("NBIX US Equity","ARD_TOT_CASHFLOWS_FROM_INVESTING","FQ2 2019","FQ2 2019","Currency=USD","Period=FQ","BEST_FPERIOD_OVERRIDE=FQ","FILING_STATUS=MR","SCALING_FORMAT=MLN","Sort=A","Dates=H","DateFormat=P","Fill=—","Direction=H","UseDPDF=Y")</f>
        <v>40.731000000000002</v>
      </c>
      <c r="F36" s="19">
        <f>_xll.BDH("NBIX US Equity","ARD_TOT_CASHFLOWS_FROM_INVESTING","FQ3 2019","FQ3 2019","Currency=USD","Period=FQ","BEST_FPERIOD_OVERRIDE=FQ","FILING_STATUS=MR","SCALING_FORMAT=MLN","Sort=A","Dates=H","DateFormat=P","Fill=—","Direction=H","UseDPDF=Y")</f>
        <v>-44.914999999999999</v>
      </c>
      <c r="G36" s="19">
        <f>_xll.BDH("NBIX US Equity","ARD_TOT_CASHFLOWS_FROM_INVESTING","FQ4 2019","FQ4 2019","Currency=USD","Period=FQ","BEST_FPERIOD_OVERRIDE=FQ","FILING_STATUS=MR","SCALING_FORMAT=MLN","Sort=A","Dates=H","DateFormat=P","Fill=—","Direction=H","UseDPDF=Y")</f>
        <v>-211.1</v>
      </c>
      <c r="H36" s="19">
        <f>_xll.BDH("NBIX US Equity","ARD_TOT_CASHFLOWS_FROM_INVESTING","FQ1 2020","FQ1 2020","Currency=USD","Period=FQ","BEST_FPERIOD_OVERRIDE=FQ","FILING_STATUS=MR","SCALING_FORMAT=MLN","Sort=A","Dates=H","DateFormat=P","Fill=—","Direction=H","UseDPDF=Y")</f>
        <v>33.200000000000003</v>
      </c>
      <c r="I36" s="19">
        <f>_xll.BDH("NBIX US Equity","ARD_TOT_CASHFLOWS_FROM_INVESTING","FQ2 2020","FQ2 2020","Currency=USD","Period=FQ","BEST_FPERIOD_OVERRIDE=FQ","FILING_STATUS=MR","SCALING_FORMAT=MLN","Sort=A","Dates=H","DateFormat=P","Fill=—","Direction=H","UseDPDF=Y")</f>
        <v>126.6</v>
      </c>
      <c r="J36" s="19">
        <f>_xll.BDH("NBIX US Equity","ARD_TOT_CASHFLOWS_FROM_INVESTING","FQ3 2020","FQ3 2020","Currency=USD","Period=FQ","BEST_FPERIOD_OVERRIDE=FQ","FILING_STATUS=MR","SCALING_FORMAT=MLN","Sort=A","Dates=H","DateFormat=P","Fill=—","Direction=H","UseDPDF=Y")</f>
        <v>151.80000000000001</v>
      </c>
      <c r="K36" s="19">
        <f>_xll.BDH("NBIX US Equity","ARD_TOT_CASHFLOWS_FROM_INVESTING","FQ4 2020","FQ4 2020","Currency=USD","Period=FQ","BEST_FPERIOD_OVERRIDE=FQ","FILING_STATUS=MR","SCALING_FORMAT=MLN","Sort=A","Dates=H","DateFormat=P","Fill=—","Direction=H","UseDPDF=Y")</f>
        <v>4.0999999999999996</v>
      </c>
      <c r="L36" s="19">
        <f>_xll.BDH("NBIX US Equity","ARD_TOT_CASHFLOWS_FROM_INVESTING","FQ1 2021","FQ1 2021","Currency=USD","Period=FQ","BEST_FPERIOD_OVERRIDE=FQ","FILING_STATUS=MR","SCALING_FORMAT=MLN","Sort=A","Dates=H","DateFormat=P","Fill=—","Direction=H","UseDPDF=Y")</f>
        <v>63.1</v>
      </c>
      <c r="M36" s="19">
        <f>_xll.BDH("NBIX US Equity","ARD_TOT_CASHFLOWS_FROM_INVESTING","FQ2 2021","FQ2 2021","Currency=USD","Period=FQ","BEST_FPERIOD_OVERRIDE=FQ","FILING_STATUS=MR","SCALING_FORMAT=MLN","Sort=A","Dates=H","DateFormat=P","Fill=—","Direction=H","UseDPDF=Y")</f>
        <v>-27.7</v>
      </c>
      <c r="N36" s="19">
        <f>_xll.BDH("NBIX US Equity","ARD_TOT_CASHFLOWS_FROM_INVESTING","FQ3 2021","FQ3 2021","Currency=USD","Period=FQ","BEST_FPERIOD_OVERRIDE=FQ","FILING_STATUS=MR","SCALING_FORMAT=MLN","Sort=A","Dates=H","DateFormat=P","Fill=—","Direction=H","UseDPDF=Y")</f>
        <v>-153.9</v>
      </c>
      <c r="O36" s="19">
        <f>_xll.BDH("NBIX US Equity","ARD_TOT_CASHFLOWS_FROM_INVESTING","FQ4 2021","FQ4 2021","Currency=USD","Period=FQ","BEST_FPERIOD_OVERRIDE=FQ","FILING_STATUS=MR","SCALING_FORMAT=MLN","Sort=A","Dates=H","DateFormat=P","Fill=—","Direction=H","UseDPDF=Y")</f>
        <v>-130.19999999999999</v>
      </c>
      <c r="P36" s="19">
        <f>_xll.BDH("NBIX US Equity","ARD_TOT_CASHFLOWS_FROM_INVESTING","FQ1 2022","FQ1 2022","Currency=USD","Period=FQ","BEST_FPERIOD_OVERRIDE=FQ","FILING_STATUS=MR","SCALING_FORMAT=MLN","Sort=A","Dates=H","DateFormat=P","Fill=—","Direction=H","UseDPDF=Y")</f>
        <v>-31.6</v>
      </c>
      <c r="Q36" s="19">
        <f>_xll.BDH("NBIX US Equity","ARD_TOT_CASHFLOWS_FROM_INVESTING","FQ2 2022","FQ2 2022","Currency=USD","Period=FQ","BEST_FPERIOD_OVERRIDE=FQ","FILING_STATUS=MR","SCALING_FORMAT=MLN","Sort=A","Dates=H","DateFormat=P","Fill=—","Direction=H","UseDPDF=Y")</f>
        <v>-0.2</v>
      </c>
      <c r="R36" s="19">
        <f>_xll.BDH("NBIX US Equity","ARD_TOT_CASHFLOWS_FROM_INVESTING","FQ3 2022","FQ3 2022","Currency=USD","Period=FQ","BEST_FPERIOD_OVERRIDE=FQ","FILING_STATUS=MR","SCALING_FORMAT=MLN","Sort=A","Dates=H","DateFormat=P","Fill=—","Direction=H","UseDPDF=Y")</f>
        <v>-61.5</v>
      </c>
      <c r="S36" s="19">
        <f>_xll.BDH("NBIX US Equity","ARD_TOT_CASHFLOWS_FROM_INVESTING","FQ4 2022","FQ4 2022","Currency=USD","Period=FQ","BEST_FPERIOD_OVERRIDE=FQ","FILING_STATUS=MR","SCALING_FORMAT=MLN","Sort=A","Dates=H","DateFormat=P","Fill=—","Direction=H","UseDPDF=Y")</f>
        <v>-177.1</v>
      </c>
      <c r="T36" s="19">
        <f>_xll.BDH("NBIX US Equity","ARD_TOT_CASHFLOWS_FROM_INVESTING","FQ1 2023","FQ1 2023","Currency=USD","Period=FQ","BEST_FPERIOD_OVERRIDE=FQ","FILING_STATUS=MR","SCALING_FORMAT=MLN","Sort=A","Dates=H","DateFormat=P","Fill=—","Direction=H","UseDPDF=Y")</f>
        <v>-42.1</v>
      </c>
      <c r="U36" s="19">
        <f>_xll.BDH("NBIX US Equity","ARD_TOT_CASHFLOWS_FROM_INVESTING","FQ2 2023","FQ2 2023","Currency=USD","Period=FQ","BEST_FPERIOD_OVERRIDE=FQ","FILING_STATUS=MR","SCALING_FORMAT=MLN","Sort=A","Dates=H","DateFormat=P","Fill=—","Direction=H","UseDPDF=Y")</f>
        <v>-168</v>
      </c>
      <c r="V36" s="19">
        <f>_xll.BDH("NBIX US Equity","ARD_TOT_CASHFLOWS_FROM_INVESTING","FQ3 2023","FQ3 2023","Currency=USD","Period=FQ","BEST_FPERIOD_OVERRIDE=FQ","FILING_STATUS=MR","SCALING_FORMAT=MLN","Sort=A","Dates=H","DateFormat=P","Fill=—","Direction=H","UseDPDF=Y")</f>
        <v>-265.3</v>
      </c>
      <c r="W36" s="19">
        <f>_xll.BDH("NBIX US Equity","ARD_TOT_CASHFLOWS_FROM_INVESTING","FQ4 2023","FQ4 2023","Currency=USD","Period=FQ","BEST_FPERIOD_OVERRIDE=FQ","FILING_STATUS=MR","SCALING_FORMAT=MLN","Sort=A","Dates=H","DateFormat=P","Fill=—","Direction=H","UseDPDF=Y")</f>
        <v>-467.1</v>
      </c>
      <c r="X36" s="19">
        <f>_xll.BDH("NBIX US Equity","ARD_TOT_CASHFLOWS_FROM_INVESTING","FQ1 2024","FQ1 2024","Currency=USD","Period=FQ","BEST_FPERIOD_OVERRIDE=FQ","FILING_STATUS=MR","SCALING_FORMAT=MLN","Sort=A","Dates=H","DateFormat=P","Fill=—","Direction=H","UseDPDF=Y")</f>
        <v>-55</v>
      </c>
      <c r="Y36" s="19">
        <f>_xll.BDH("NBIX US Equity","ARD_TOT_CASHFLOWS_FROM_INVESTING","FQ2 2024","FQ2 2024","Currency=USD","Period=FQ","BEST_FPERIOD_OVERRIDE=FQ","FILING_STATUS=MR","SCALING_FORMAT=MLN","Sort=A","Dates=H","DateFormat=P","Fill=—","Direction=H","UseDPDF=Y")</f>
        <v>-83.2</v>
      </c>
      <c r="Z36" s="19">
        <f>_xll.BDH("NBIX US Equity","ARD_TOT_CASHFLOWS_FROM_INVESTING","FQ3 2024","FQ3 2024","Currency=USD","Period=FQ","BEST_FPERIOD_OVERRIDE=FQ","FILING_STATUS=MR","SCALING_FORMAT=MLN","Sort=A","Dates=H","DateFormat=P","Fill=—","Direction=H","UseDPDF=Y")</f>
        <v>-58.5</v>
      </c>
      <c r="AA36" s="19">
        <f>_xll.BDH("NBIX US Equity","ARD_TOT_CASHFLOWS_FROM_INVESTING","FQ4 2024","FQ4 2024","Currency=USD","Period=FQ","BEST_FPERIOD_OVERRIDE=FQ","FILING_STATUS=MR","SCALING_FORMAT=MLN","Sort=A","Dates=H","DateFormat=P","Fill=—","Direction=H","UseDPDF=Y")</f>
        <v>-126.8</v>
      </c>
    </row>
    <row r="37" spans="1:27" x14ac:dyDescent="0.25">
      <c r="A37" s="10" t="s">
        <v>1224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5">
      <c r="A38" s="10" t="s">
        <v>1225</v>
      </c>
      <c r="B38" s="10" t="s">
        <v>1226</v>
      </c>
      <c r="C38" s="13">
        <f>_xll.BDH("NBIX US Equity","ARD_INCR_IN_LT_BORROW","FQ4 2018","FQ4 2018","Currency=USD","Period=FQ","BEST_FPERIOD_OVERRIDE=FQ","FILING_STATUS=MR","SCALING_FORMAT=MLN","Sort=A","Dates=H","DateFormat=P","Fill=—","Direction=H","UseDPDF=Y")</f>
        <v>0</v>
      </c>
      <c r="D38" s="13" t="str">
        <f>_xll.BDH("NBIX US Equity","ARD_INCR_IN_LT_BORROW","FQ1 2019","FQ1 2019","Currency=USD","Period=FQ","BEST_FPERIOD_OVERRIDE=FQ","FILING_STATUS=MR","SCALING_FORMAT=MLN","Sort=A","Dates=H","DateFormat=P","Fill=—","Direction=H","UseDPDF=Y")</f>
        <v>—</v>
      </c>
      <c r="E38" s="13" t="str">
        <f>_xll.BDH("NBIX US Equity","ARD_INCR_IN_LT_BORROW","FQ2 2019","FQ2 2019","Currency=USD","Period=FQ","BEST_FPERIOD_OVERRIDE=FQ","FILING_STATUS=MR","SCALING_FORMAT=MLN","Sort=A","Dates=H","DateFormat=P","Fill=—","Direction=H","UseDPDF=Y")</f>
        <v>—</v>
      </c>
      <c r="F38" s="13" t="str">
        <f>_xll.BDH("NBIX US Equity","ARD_INCR_IN_LT_BORROW","FQ3 2019","FQ3 2019","Currency=USD","Period=FQ","BEST_FPERIOD_OVERRIDE=FQ","FILING_STATUS=MR","SCALING_FORMAT=MLN","Sort=A","Dates=H","DateFormat=P","Fill=—","Direction=H","UseDPDF=Y")</f>
        <v>—</v>
      </c>
      <c r="G38" s="13" t="str">
        <f>_xll.BDH("NBIX US Equity","ARD_INCR_IN_LT_BORROW","FQ4 2019","FQ4 2019","Currency=USD","Period=FQ","BEST_FPERIOD_OVERRIDE=FQ","FILING_STATUS=MR","SCALING_FORMAT=MLN","Sort=A","Dates=H","DateFormat=P","Fill=—","Direction=H","UseDPDF=Y")</f>
        <v>—</v>
      </c>
      <c r="H38" s="13" t="str">
        <f>_xll.BDH("NBIX US Equity","ARD_INCR_IN_LT_BORROW","FQ1 2020","FQ1 2020","Currency=USD","Period=FQ","BEST_FPERIOD_OVERRIDE=FQ","FILING_STATUS=MR","SCALING_FORMAT=MLN","Sort=A","Dates=H","DateFormat=P","Fill=—","Direction=H","UseDPDF=Y")</f>
        <v>—</v>
      </c>
      <c r="I38" s="13" t="str">
        <f>_xll.BDH("NBIX US Equity","ARD_INCR_IN_LT_BORROW","FQ2 2020","FQ2 2020","Currency=USD","Period=FQ","BEST_FPERIOD_OVERRIDE=FQ","FILING_STATUS=MR","SCALING_FORMAT=MLN","Sort=A","Dates=H","DateFormat=P","Fill=—","Direction=H","UseDPDF=Y")</f>
        <v>—</v>
      </c>
      <c r="J38" s="13" t="str">
        <f>_xll.BDH("NBIX US Equity","ARD_INCR_IN_LT_BORROW","FQ3 2020","FQ3 2020","Currency=USD","Period=FQ","BEST_FPERIOD_OVERRIDE=FQ","FILING_STATUS=MR","SCALING_FORMAT=MLN","Sort=A","Dates=H","DateFormat=P","Fill=—","Direction=H","UseDPDF=Y")</f>
        <v>—</v>
      </c>
      <c r="K38" s="13" t="str">
        <f>_xll.BDH("NBIX US Equity","ARD_INCR_IN_LT_BORROW","FQ4 2020","FQ4 2020","Currency=USD","Period=FQ","BEST_FPERIOD_OVERRIDE=FQ","FILING_STATUS=MR","SCALING_FORMAT=MLN","Sort=A","Dates=H","DateFormat=P","Fill=—","Direction=H","UseDPDF=Y")</f>
        <v>—</v>
      </c>
      <c r="L38" s="13" t="str">
        <f>_xll.BDH("NBIX US Equity","ARD_INCR_IN_LT_BORROW","FQ1 2021","FQ1 2021","Currency=USD","Period=FQ","BEST_FPERIOD_OVERRIDE=FQ","FILING_STATUS=MR","SCALING_FORMAT=MLN","Sort=A","Dates=H","DateFormat=P","Fill=—","Direction=H","UseDPDF=Y")</f>
        <v>—</v>
      </c>
      <c r="M38" s="13" t="str">
        <f>_xll.BDH("NBIX US Equity","ARD_INCR_IN_LT_BORROW","FQ2 2021","FQ2 2021","Currency=USD","Period=FQ","BEST_FPERIOD_OVERRIDE=FQ","FILING_STATUS=MR","SCALING_FORMAT=MLN","Sort=A","Dates=H","DateFormat=P","Fill=—","Direction=H","UseDPDF=Y")</f>
        <v>—</v>
      </c>
      <c r="N38" s="13" t="str">
        <f>_xll.BDH("NBIX US Equity","ARD_INCR_IN_LT_BORROW","FQ3 2021","FQ3 2021","Currency=USD","Period=FQ","BEST_FPERIOD_OVERRIDE=FQ","FILING_STATUS=MR","SCALING_FORMAT=MLN","Sort=A","Dates=H","DateFormat=P","Fill=—","Direction=H","UseDPDF=Y")</f>
        <v>—</v>
      </c>
      <c r="O38" s="13" t="str">
        <f>_xll.BDH("NBIX US Equity","ARD_INCR_IN_LT_BORROW","FQ4 2021","FQ4 2021","Currency=USD","Period=FQ","BEST_FPERIOD_OVERRIDE=FQ","FILING_STATUS=MR","SCALING_FORMAT=MLN","Sort=A","Dates=H","DateFormat=P","Fill=—","Direction=H","UseDPDF=Y")</f>
        <v>—</v>
      </c>
      <c r="P38" s="13" t="str">
        <f>_xll.BDH("NBIX US Equity","ARD_INCR_IN_LT_BORROW","FQ1 2022","FQ1 2022","Currency=USD","Period=FQ","BEST_FPERIOD_OVERRIDE=FQ","FILING_STATUS=MR","SCALING_FORMAT=MLN","Sort=A","Dates=H","DateFormat=P","Fill=—","Direction=H","UseDPDF=Y")</f>
        <v>—</v>
      </c>
      <c r="Q38" s="13" t="str">
        <f>_xll.BDH("NBIX US Equity","ARD_INCR_IN_LT_BORROW","FQ2 2022","FQ2 2022","Currency=USD","Period=FQ","BEST_FPERIOD_OVERRIDE=FQ","FILING_STATUS=MR","SCALING_FORMAT=MLN","Sort=A","Dates=H","DateFormat=P","Fill=—","Direction=H","UseDPDF=Y")</f>
        <v>—</v>
      </c>
      <c r="R38" s="13" t="str">
        <f>_xll.BDH("NBIX US Equity","ARD_INCR_IN_LT_BORROW","FQ3 2022","FQ3 2022","Currency=USD","Period=FQ","BEST_FPERIOD_OVERRIDE=FQ","FILING_STATUS=MR","SCALING_FORMAT=MLN","Sort=A","Dates=H","DateFormat=P","Fill=—","Direction=H","UseDPDF=Y")</f>
        <v>—</v>
      </c>
      <c r="S38" s="13" t="str">
        <f>_xll.BDH("NBIX US Equity","ARD_INCR_IN_LT_BORROW","FQ4 2022","FQ4 2022","Currency=USD","Period=FQ","BEST_FPERIOD_OVERRIDE=FQ","FILING_STATUS=MR","SCALING_FORMAT=MLN","Sort=A","Dates=H","DateFormat=P","Fill=—","Direction=H","UseDPDF=Y")</f>
        <v>—</v>
      </c>
      <c r="T38" s="13" t="str">
        <f>_xll.BDH("NBIX US Equity","ARD_INCR_IN_LT_BORROW","FQ1 2023","FQ1 2023","Currency=USD","Period=FQ","BEST_FPERIOD_OVERRIDE=FQ","FILING_STATUS=MR","SCALING_FORMAT=MLN","Sort=A","Dates=H","DateFormat=P","Fill=—","Direction=H","UseDPDF=Y")</f>
        <v>—</v>
      </c>
      <c r="U38" s="13" t="str">
        <f>_xll.BDH("NBIX US Equity","ARD_INCR_IN_LT_BORROW","FQ2 2023","FQ2 2023","Currency=USD","Period=FQ","BEST_FPERIOD_OVERRIDE=FQ","FILING_STATUS=MR","SCALING_FORMAT=MLN","Sort=A","Dates=H","DateFormat=P","Fill=—","Direction=H","UseDPDF=Y")</f>
        <v>—</v>
      </c>
      <c r="V38" s="13" t="str">
        <f>_xll.BDH("NBIX US Equity","ARD_INCR_IN_LT_BORROW","FQ3 2023","FQ3 2023","Currency=USD","Period=FQ","BEST_FPERIOD_OVERRIDE=FQ","FILING_STATUS=MR","SCALING_FORMAT=MLN","Sort=A","Dates=H","DateFormat=P","Fill=—","Direction=H","UseDPDF=Y")</f>
        <v>—</v>
      </c>
      <c r="W38" s="13" t="str">
        <f>_xll.BDH("NBIX US Equity","ARD_INCR_IN_LT_BORROW","FQ4 2023","FQ4 2023","Currency=USD","Period=FQ","BEST_FPERIOD_OVERRIDE=FQ","FILING_STATUS=MR","SCALING_FORMAT=MLN","Sort=A","Dates=H","DateFormat=P","Fill=—","Direction=H","UseDPDF=Y")</f>
        <v>—</v>
      </c>
      <c r="X38" s="13" t="str">
        <f>_xll.BDH("NBIX US Equity","ARD_INCR_IN_LT_BORROW","FQ1 2024","FQ1 2024","Currency=USD","Period=FQ","BEST_FPERIOD_OVERRIDE=FQ","FILING_STATUS=MR","SCALING_FORMAT=MLN","Sort=A","Dates=H","DateFormat=P","Fill=—","Direction=H","UseDPDF=Y")</f>
        <v>—</v>
      </c>
      <c r="Y38" s="13" t="str">
        <f>_xll.BDH("NBIX US Equity","ARD_INCR_IN_LT_BORROW","FQ2 2024","FQ2 2024","Currency=USD","Period=FQ","BEST_FPERIOD_OVERRIDE=FQ","FILING_STATUS=MR","SCALING_FORMAT=MLN","Sort=A","Dates=H","DateFormat=P","Fill=—","Direction=H","UseDPDF=Y")</f>
        <v>—</v>
      </c>
      <c r="Z38" s="13" t="str">
        <f>_xll.BDH("NBIX US Equity","ARD_INCR_IN_LT_BORROW","FQ3 2024","FQ3 2024","Currency=USD","Period=FQ","BEST_FPERIOD_OVERRIDE=FQ","FILING_STATUS=MR","SCALING_FORMAT=MLN","Sort=A","Dates=H","DateFormat=P","Fill=—","Direction=H","UseDPDF=Y")</f>
        <v>—</v>
      </c>
      <c r="AA38" s="13" t="str">
        <f>_xll.BDH("NBIX US Equity","ARD_INCR_IN_LT_BORROW","FQ4 2024","FQ4 2024","Currency=USD","Period=FQ","BEST_FPERIOD_OVERRIDE=FQ","FILING_STATUS=MR","SCALING_FORMAT=MLN","Sort=A","Dates=H","DateFormat=P","Fill=—","Direction=H","UseDPDF=Y")</f>
        <v>—</v>
      </c>
    </row>
    <row r="39" spans="1:27" x14ac:dyDescent="0.25">
      <c r="A39" s="10" t="s">
        <v>1227</v>
      </c>
      <c r="B39" s="10" t="s">
        <v>1228</v>
      </c>
      <c r="C39" s="13" t="str">
        <f>_xll.BDH("NBIX US Equity","ARD_DECR_IN_LT_BORROW","FQ4 2018","FQ4 2018","Currency=USD","Period=FQ","BEST_FPERIOD_OVERRIDE=FQ","FILING_STATUS=MR","SCALING_FORMAT=MLN","Sort=A","Dates=H","DateFormat=P","Fill=—","Direction=H","UseDPDF=Y")</f>
        <v>—</v>
      </c>
      <c r="D39" s="13" t="str">
        <f>_xll.BDH("NBIX US Equity","ARD_DECR_IN_LT_BORROW","FQ1 2019","FQ1 2019","Currency=USD","Period=FQ","BEST_FPERIOD_OVERRIDE=FQ","FILING_STATUS=MR","SCALING_FORMAT=MLN","Sort=A","Dates=H","DateFormat=P","Fill=—","Direction=H","UseDPDF=Y")</f>
        <v>—</v>
      </c>
      <c r="E39" s="13" t="str">
        <f>_xll.BDH("NBIX US Equity","ARD_DECR_IN_LT_BORROW","FQ2 2019","FQ2 2019","Currency=USD","Period=FQ","BEST_FPERIOD_OVERRIDE=FQ","FILING_STATUS=MR","SCALING_FORMAT=MLN","Sort=A","Dates=H","DateFormat=P","Fill=—","Direction=H","UseDPDF=Y")</f>
        <v>—</v>
      </c>
      <c r="F39" s="13" t="str">
        <f>_xll.BDH("NBIX US Equity","ARD_DECR_IN_LT_BORROW","FQ3 2019","FQ3 2019","Currency=USD","Period=FQ","BEST_FPERIOD_OVERRIDE=FQ","FILING_STATUS=MR","SCALING_FORMAT=MLN","Sort=A","Dates=H","DateFormat=P","Fill=—","Direction=H","UseDPDF=Y")</f>
        <v>—</v>
      </c>
      <c r="G39" s="13">
        <f>_xll.BDH("NBIX US Equity","ARD_DECR_IN_LT_BORROW","FQ4 2019","FQ4 2019","Currency=USD","Period=FQ","BEST_FPERIOD_OVERRIDE=FQ","FILING_STATUS=MR","SCALING_FORMAT=MLN","Sort=A","Dates=H","DateFormat=P","Fill=—","Direction=H","UseDPDF=Y")</f>
        <v>0</v>
      </c>
      <c r="H39" s="13">
        <f>_xll.BDH("NBIX US Equity","ARD_DECR_IN_LT_BORROW","FQ1 2020","FQ1 2020","Currency=USD","Period=FQ","BEST_FPERIOD_OVERRIDE=FQ","FILING_STATUS=MR","SCALING_FORMAT=MLN","Sort=A","Dates=H","DateFormat=P","Fill=—","Direction=H","UseDPDF=Y")</f>
        <v>0</v>
      </c>
      <c r="I39" s="13" t="str">
        <f>_xll.BDH("NBIX US Equity","ARD_DECR_IN_LT_BORROW","FQ2 2020","FQ2 2020","Currency=USD","Period=FQ","BEST_FPERIOD_OVERRIDE=FQ","FILING_STATUS=MR","SCALING_FORMAT=MLN","Sort=A","Dates=H","DateFormat=P","Fill=—","Direction=H","UseDPDF=Y")</f>
        <v>—</v>
      </c>
      <c r="J39" s="13" t="str">
        <f>_xll.BDH("NBIX US Equity","ARD_DECR_IN_LT_BORROW","FQ3 2020","FQ3 2020","Currency=USD","Period=FQ","BEST_FPERIOD_OVERRIDE=FQ","FILING_STATUS=MR","SCALING_FORMAT=MLN","Sort=A","Dates=H","DateFormat=P","Fill=—","Direction=H","UseDPDF=Y")</f>
        <v>—</v>
      </c>
      <c r="K39" s="13">
        <f>_xll.BDH("NBIX US Equity","ARD_DECR_IN_LT_BORROW","FQ4 2020","FQ4 2020","Currency=USD","Period=FQ","BEST_FPERIOD_OVERRIDE=FQ","FILING_STATUS=MR","SCALING_FORMAT=MLN","Sort=A","Dates=H","DateFormat=P","Fill=—","Direction=H","UseDPDF=Y")</f>
        <v>-186.9</v>
      </c>
      <c r="L39" s="13">
        <f>_xll.BDH("NBIX US Equity","ARD_DECR_IN_LT_BORROW","FQ1 2021","FQ1 2021","Currency=USD","Period=FQ","BEST_FPERIOD_OVERRIDE=FQ","FILING_STATUS=MR","SCALING_FORMAT=MLN","Sort=A","Dates=H","DateFormat=P","Fill=—","Direction=H","UseDPDF=Y")</f>
        <v>-0.1</v>
      </c>
      <c r="M39" s="13" t="str">
        <f>_xll.BDH("NBIX US Equity","ARD_DECR_IN_LT_BORROW","FQ2 2021","FQ2 2021","Currency=USD","Period=FQ","BEST_FPERIOD_OVERRIDE=FQ","FILING_STATUS=MR","SCALING_FORMAT=MLN","Sort=A","Dates=H","DateFormat=P","Fill=—","Direction=H","UseDPDF=Y")</f>
        <v>—</v>
      </c>
      <c r="N39" s="13" t="str">
        <f>_xll.BDH("NBIX US Equity","ARD_DECR_IN_LT_BORROW","FQ3 2021","FQ3 2021","Currency=USD","Period=FQ","BEST_FPERIOD_OVERRIDE=FQ","FILING_STATUS=MR","SCALING_FORMAT=MLN","Sort=A","Dates=H","DateFormat=P","Fill=—","Direction=H","UseDPDF=Y")</f>
        <v>—</v>
      </c>
      <c r="O39" s="13">
        <f>_xll.BDH("NBIX US Equity","ARD_DECR_IN_LT_BORROW","FQ4 2021","FQ4 2021","Currency=USD","Period=FQ","BEST_FPERIOD_OVERRIDE=FQ","FILING_STATUS=MR","SCALING_FORMAT=MLN","Sort=A","Dates=H","DateFormat=P","Fill=—","Direction=H","UseDPDF=Y")</f>
        <v>-0.1</v>
      </c>
      <c r="P39" s="13">
        <f>_xll.BDH("NBIX US Equity","ARD_DECR_IN_LT_BORROW","FQ1 2022","FQ1 2022","Currency=USD","Period=FQ","BEST_FPERIOD_OVERRIDE=FQ","FILING_STATUS=MR","SCALING_FORMAT=MLN","Sort=A","Dates=H","DateFormat=P","Fill=—","Direction=H","UseDPDF=Y")</f>
        <v>0</v>
      </c>
      <c r="Q39" s="13" t="str">
        <f>_xll.BDH("NBIX US Equity","ARD_DECR_IN_LT_BORROW","FQ2 2022","FQ2 2022","Currency=USD","Period=FQ","BEST_FPERIOD_OVERRIDE=FQ","FILING_STATUS=MR","SCALING_FORMAT=MLN","Sort=A","Dates=H","DateFormat=P","Fill=—","Direction=H","UseDPDF=Y")</f>
        <v>—</v>
      </c>
      <c r="R39" s="13" t="str">
        <f>_xll.BDH("NBIX US Equity","ARD_DECR_IN_LT_BORROW","FQ3 2022","FQ3 2022","Currency=USD","Period=FQ","BEST_FPERIOD_OVERRIDE=FQ","FILING_STATUS=MR","SCALING_FORMAT=MLN","Sort=A","Dates=H","DateFormat=P","Fill=—","Direction=H","UseDPDF=Y")</f>
        <v>—</v>
      </c>
      <c r="S39" s="13">
        <f>_xll.BDH("NBIX US Equity","ARD_DECR_IN_LT_BORROW","FQ4 2022","FQ4 2022","Currency=USD","Period=FQ","BEST_FPERIOD_OVERRIDE=FQ","FILING_STATUS=MR","SCALING_FORMAT=MLN","Sort=A","Dates=H","DateFormat=P","Fill=—","Direction=H","UseDPDF=Y")</f>
        <v>-279</v>
      </c>
      <c r="T39" s="13" t="str">
        <f>_xll.BDH("NBIX US Equity","ARD_DECR_IN_LT_BORROW","FQ1 2023","FQ1 2023","Currency=USD","Period=FQ","BEST_FPERIOD_OVERRIDE=FQ","FILING_STATUS=MR","SCALING_FORMAT=MLN","Sort=A","Dates=H","DateFormat=P","Fill=—","Direction=H","UseDPDF=Y")</f>
        <v>—</v>
      </c>
      <c r="U39" s="13" t="str">
        <f>_xll.BDH("NBIX US Equity","ARD_DECR_IN_LT_BORROW","FQ2 2023","FQ2 2023","Currency=USD","Period=FQ","BEST_FPERIOD_OVERRIDE=FQ","FILING_STATUS=MR","SCALING_FORMAT=MLN","Sort=A","Dates=H","DateFormat=P","Fill=—","Direction=H","UseDPDF=Y")</f>
        <v>—</v>
      </c>
      <c r="V39" s="13" t="str">
        <f>_xll.BDH("NBIX US Equity","ARD_DECR_IN_LT_BORROW","FQ3 2023","FQ3 2023","Currency=USD","Period=FQ","BEST_FPERIOD_OVERRIDE=FQ","FILING_STATUS=MR","SCALING_FORMAT=MLN","Sort=A","Dates=H","DateFormat=P","Fill=—","Direction=H","UseDPDF=Y")</f>
        <v>—</v>
      </c>
      <c r="W39" s="13">
        <f>_xll.BDH("NBIX US Equity","ARD_DECR_IN_LT_BORROW","FQ4 2023","FQ4 2023","Currency=USD","Period=FQ","BEST_FPERIOD_OVERRIDE=FQ","FILING_STATUS=MR","SCALING_FORMAT=MLN","Sort=A","Dates=H","DateFormat=P","Fill=—","Direction=H","UseDPDF=Y")</f>
        <v>0</v>
      </c>
      <c r="X39" s="13" t="str">
        <f>_xll.BDH("NBIX US Equity","ARD_DECR_IN_LT_BORROW","FQ1 2024","FQ1 2024","Currency=USD","Period=FQ","BEST_FPERIOD_OVERRIDE=FQ","FILING_STATUS=MR","SCALING_FORMAT=MLN","Sort=A","Dates=H","DateFormat=P","Fill=—","Direction=H","UseDPDF=Y")</f>
        <v>—</v>
      </c>
      <c r="Y39" s="13" t="str">
        <f>_xll.BDH("NBIX US Equity","ARD_DECR_IN_LT_BORROW","FQ2 2024","FQ2 2024","Currency=USD","Period=FQ","BEST_FPERIOD_OVERRIDE=FQ","FILING_STATUS=MR","SCALING_FORMAT=MLN","Sort=A","Dates=H","DateFormat=P","Fill=—","Direction=H","UseDPDF=Y")</f>
        <v>—</v>
      </c>
      <c r="Z39" s="13" t="str">
        <f>_xll.BDH("NBIX US Equity","ARD_DECR_IN_LT_BORROW","FQ3 2024","FQ3 2024","Currency=USD","Period=FQ","BEST_FPERIOD_OVERRIDE=FQ","FILING_STATUS=MR","SCALING_FORMAT=MLN","Sort=A","Dates=H","DateFormat=P","Fill=—","Direction=H","UseDPDF=Y")</f>
        <v>—</v>
      </c>
      <c r="AA39" s="13">
        <f>_xll.BDH("NBIX US Equity","ARD_DECR_IN_LT_BORROW","FQ4 2024","FQ4 2024","Currency=USD","Period=FQ","BEST_FPERIOD_OVERRIDE=FQ","FILING_STATUS=MR","SCALING_FORMAT=MLN","Sort=A","Dates=H","DateFormat=P","Fill=—","Direction=H","UseDPDF=Y")</f>
        <v>-308.8</v>
      </c>
    </row>
    <row r="40" spans="1:27" x14ac:dyDescent="0.25">
      <c r="A40" s="10" t="s">
        <v>1229</v>
      </c>
      <c r="B40" s="10" t="s">
        <v>1230</v>
      </c>
      <c r="C40" s="13">
        <f>_xll.BDH("NBIX US Equity","ARD_ISSUANCE_OF_COMMON_STOCK","FQ4 2018","FQ4 2018","Currency=USD","Period=FQ","BEST_FPERIOD_OVERRIDE=FQ","FILING_STATUS=MR","SCALING_FORMAT=MLN","Sort=A","Dates=H","DateFormat=P","Fill=—","Direction=H","UseDPDF=Y")</f>
        <v>29.53</v>
      </c>
      <c r="D40" s="13">
        <f>_xll.BDH("NBIX US Equity","ARD_ISSUANCE_OF_COMMON_STOCK","FQ1 2019","FQ1 2019","Currency=USD","Period=FQ","BEST_FPERIOD_OVERRIDE=FQ","FILING_STATUS=MR","SCALING_FORMAT=MLN","Sort=A","Dates=H","DateFormat=P","Fill=—","Direction=H","UseDPDF=Y")</f>
        <v>2.581</v>
      </c>
      <c r="E40" s="13">
        <f>_xll.BDH("NBIX US Equity","ARD_ISSUANCE_OF_COMMON_STOCK","FQ2 2019","FQ2 2019","Currency=USD","Period=FQ","BEST_FPERIOD_OVERRIDE=FQ","FILING_STATUS=MR","SCALING_FORMAT=MLN","Sort=A","Dates=H","DateFormat=P","Fill=—","Direction=H","UseDPDF=Y")</f>
        <v>6.8650000000000002</v>
      </c>
      <c r="F40" s="13">
        <f>_xll.BDH("NBIX US Equity","ARD_ISSUANCE_OF_COMMON_STOCK","FQ3 2019","FQ3 2019","Currency=USD","Period=FQ","BEST_FPERIOD_OVERRIDE=FQ","FILING_STATUS=MR","SCALING_FORMAT=MLN","Sort=A","Dates=H","DateFormat=P","Fill=—","Direction=H","UseDPDF=Y")</f>
        <v>20.029</v>
      </c>
      <c r="G40" s="13">
        <f>_xll.BDH("NBIX US Equity","ARD_ISSUANCE_OF_COMMON_STOCK","FQ4 2019","FQ4 2019","Currency=USD","Period=FQ","BEST_FPERIOD_OVERRIDE=FQ","FILING_STATUS=MR","SCALING_FORMAT=MLN","Sort=A","Dates=H","DateFormat=P","Fill=—","Direction=H","UseDPDF=Y")</f>
        <v>32.4</v>
      </c>
      <c r="H40" s="13">
        <f>_xll.BDH("NBIX US Equity","ARD_ISSUANCE_OF_COMMON_STOCK","FQ1 2020","FQ1 2020","Currency=USD","Period=FQ","BEST_FPERIOD_OVERRIDE=FQ","FILING_STATUS=MR","SCALING_FORMAT=MLN","Sort=A","Dates=H","DateFormat=P","Fill=—","Direction=H","UseDPDF=Y")</f>
        <v>6</v>
      </c>
      <c r="I40" s="13">
        <f>_xll.BDH("NBIX US Equity","ARD_ISSUANCE_OF_COMMON_STOCK","FQ2 2020","FQ2 2020","Currency=USD","Period=FQ","BEST_FPERIOD_OVERRIDE=FQ","FILING_STATUS=MR","SCALING_FORMAT=MLN","Sort=A","Dates=H","DateFormat=P","Fill=—","Direction=H","UseDPDF=Y")</f>
        <v>21.8</v>
      </c>
      <c r="J40" s="13">
        <f>_xll.BDH("NBIX US Equity","ARD_ISSUANCE_OF_COMMON_STOCK","FQ3 2020","FQ3 2020","Currency=USD","Period=FQ","BEST_FPERIOD_OVERRIDE=FQ","FILING_STATUS=MR","SCALING_FORMAT=MLN","Sort=A","Dates=H","DateFormat=P","Fill=—","Direction=H","UseDPDF=Y")</f>
        <v>27.2</v>
      </c>
      <c r="K40" s="13">
        <f>_xll.BDH("NBIX US Equity","ARD_ISSUANCE_OF_COMMON_STOCK","FQ4 2020","FQ4 2020","Currency=USD","Period=FQ","BEST_FPERIOD_OVERRIDE=FQ","FILING_STATUS=MR","SCALING_FORMAT=MLN","Sort=A","Dates=H","DateFormat=P","Fill=—","Direction=H","UseDPDF=Y")</f>
        <v>29.1</v>
      </c>
      <c r="L40" s="13">
        <f>_xll.BDH("NBIX US Equity","ARD_ISSUANCE_OF_COMMON_STOCK","FQ1 2021","FQ1 2021","Currency=USD","Period=FQ","BEST_FPERIOD_OVERRIDE=FQ","FILING_STATUS=MR","SCALING_FORMAT=MLN","Sort=A","Dates=H","DateFormat=P","Fill=—","Direction=H","UseDPDF=Y")</f>
        <v>15.2</v>
      </c>
      <c r="M40" s="13">
        <f>_xll.BDH("NBIX US Equity","ARD_ISSUANCE_OF_COMMON_STOCK","FQ2 2021","FQ2 2021","Currency=USD","Period=FQ","BEST_FPERIOD_OVERRIDE=FQ","FILING_STATUS=MR","SCALING_FORMAT=MLN","Sort=A","Dates=H","DateFormat=P","Fill=—","Direction=H","UseDPDF=Y")</f>
        <v>18.2</v>
      </c>
      <c r="N40" s="13">
        <f>_xll.BDH("NBIX US Equity","ARD_ISSUANCE_OF_COMMON_STOCK","FQ3 2021","FQ3 2021","Currency=USD","Period=FQ","BEST_FPERIOD_OVERRIDE=FQ","FILING_STATUS=MR","SCALING_FORMAT=MLN","Sort=A","Dates=H","DateFormat=P","Fill=—","Direction=H","UseDPDF=Y")</f>
        <v>25.7</v>
      </c>
      <c r="O40" s="13">
        <f>_xll.BDH("NBIX US Equity","ARD_ISSUANCE_OF_COMMON_STOCK","FQ4 2021","FQ4 2021","Currency=USD","Period=FQ","BEST_FPERIOD_OVERRIDE=FQ","FILING_STATUS=MR","SCALING_FORMAT=MLN","Sort=A","Dates=H","DateFormat=P","Fill=—","Direction=H","UseDPDF=Y")</f>
        <v>27.5</v>
      </c>
      <c r="P40" s="13">
        <f>_xll.BDH("NBIX US Equity","ARD_ISSUANCE_OF_COMMON_STOCK","FQ1 2022","FQ1 2022","Currency=USD","Period=FQ","BEST_FPERIOD_OVERRIDE=FQ","FILING_STATUS=MR","SCALING_FORMAT=MLN","Sort=A","Dates=H","DateFormat=P","Fill=—","Direction=H","UseDPDF=Y")</f>
        <v>6.1</v>
      </c>
      <c r="Q40" s="13">
        <f>_xll.BDH("NBIX US Equity","ARD_ISSUANCE_OF_COMMON_STOCK","FQ2 2022","FQ2 2022","Currency=USD","Period=FQ","BEST_FPERIOD_OVERRIDE=FQ","FILING_STATUS=MR","SCALING_FORMAT=MLN","Sort=A","Dates=H","DateFormat=P","Fill=—","Direction=H","UseDPDF=Y")</f>
        <v>8.6999999999999993</v>
      </c>
      <c r="R40" s="13">
        <f>_xll.BDH("NBIX US Equity","ARD_ISSUANCE_OF_COMMON_STOCK","FQ3 2022","FQ3 2022","Currency=USD","Period=FQ","BEST_FPERIOD_OVERRIDE=FQ","FILING_STATUS=MR","SCALING_FORMAT=MLN","Sort=A","Dates=H","DateFormat=P","Fill=—","Direction=H","UseDPDF=Y")</f>
        <v>20.100000000000001</v>
      </c>
      <c r="S40" s="13">
        <f>_xll.BDH("NBIX US Equity","ARD_ISSUANCE_OF_COMMON_STOCK","FQ4 2022","FQ4 2022","Currency=USD","Period=FQ","BEST_FPERIOD_OVERRIDE=FQ","FILING_STATUS=MR","SCALING_FORMAT=MLN","Sort=A","Dates=H","DateFormat=P","Fill=—","Direction=H","UseDPDF=Y")</f>
        <v>44.7</v>
      </c>
      <c r="T40" s="13">
        <f>_xll.BDH("NBIX US Equity","ARD_ISSUANCE_OF_COMMON_STOCK","FQ1 2023","FQ1 2023","Currency=USD","Period=FQ","BEST_FPERIOD_OVERRIDE=FQ","FILING_STATUS=MR","SCALING_FORMAT=MLN","Sort=A","Dates=H","DateFormat=P","Fill=—","Direction=H","UseDPDF=Y")</f>
        <v>8.1999999999999993</v>
      </c>
      <c r="U40" s="13">
        <f>_xll.BDH("NBIX US Equity","ARD_ISSUANCE_OF_COMMON_STOCK","FQ2 2023","FQ2 2023","Currency=USD","Period=FQ","BEST_FPERIOD_OVERRIDE=FQ","FILING_STATUS=MR","SCALING_FORMAT=MLN","Sort=A","Dates=H","DateFormat=P","Fill=—","Direction=H","UseDPDF=Y")</f>
        <v>11.1</v>
      </c>
      <c r="V40" s="13">
        <f>_xll.BDH("NBIX US Equity","ARD_ISSUANCE_OF_COMMON_STOCK","FQ3 2023","FQ3 2023","Currency=USD","Period=FQ","BEST_FPERIOD_OVERRIDE=FQ","FILING_STATUS=MR","SCALING_FORMAT=MLN","Sort=A","Dates=H","DateFormat=P","Fill=—","Direction=H","UseDPDF=Y")</f>
        <v>29.9</v>
      </c>
      <c r="W40" s="13">
        <f>_xll.BDH("NBIX US Equity","ARD_ISSUANCE_OF_COMMON_STOCK","FQ4 2023","FQ4 2023","Currency=USD","Period=FQ","BEST_FPERIOD_OVERRIDE=FQ","FILING_STATUS=MR","SCALING_FORMAT=MLN","Sort=A","Dates=H","DateFormat=P","Fill=—","Direction=H","UseDPDF=Y")</f>
        <v>65.3</v>
      </c>
      <c r="X40" s="13">
        <f>_xll.BDH("NBIX US Equity","ARD_ISSUANCE_OF_COMMON_STOCK","FQ1 2024","FQ1 2024","Currency=USD","Period=FQ","BEST_FPERIOD_OVERRIDE=FQ","FILING_STATUS=MR","SCALING_FORMAT=MLN","Sort=A","Dates=H","DateFormat=P","Fill=—","Direction=H","UseDPDF=Y")</f>
        <v>69.900000000000006</v>
      </c>
      <c r="Y40" s="13">
        <f>_xll.BDH("NBIX US Equity","ARD_ISSUANCE_OF_COMMON_STOCK","FQ2 2024","FQ2 2024","Currency=USD","Period=FQ","BEST_FPERIOD_OVERRIDE=FQ","FILING_STATUS=MR","SCALING_FORMAT=MLN","Sort=A","Dates=H","DateFormat=P","Fill=—","Direction=H","UseDPDF=Y")</f>
        <v>85.7</v>
      </c>
      <c r="Z40" s="13">
        <f>_xll.BDH("NBIX US Equity","ARD_ISSUANCE_OF_COMMON_STOCK","FQ3 2024","FQ3 2024","Currency=USD","Period=FQ","BEST_FPERIOD_OVERRIDE=FQ","FILING_STATUS=MR","SCALING_FORMAT=MLN","Sort=A","Dates=H","DateFormat=P","Fill=—","Direction=H","UseDPDF=Y")</f>
        <v>112.1</v>
      </c>
      <c r="AA40" s="13">
        <f>_xll.BDH("NBIX US Equity","ARD_ISSUANCE_OF_COMMON_STOCK","FQ4 2024","FQ4 2024","Currency=USD","Period=FQ","BEST_FPERIOD_OVERRIDE=FQ","FILING_STATUS=MR","SCALING_FORMAT=MLN","Sort=A","Dates=H","DateFormat=P","Fill=—","Direction=H","UseDPDF=Y")</f>
        <v>122.1</v>
      </c>
    </row>
    <row r="41" spans="1:27" x14ac:dyDescent="0.25">
      <c r="A41" s="10" t="s">
        <v>1231</v>
      </c>
      <c r="B41" s="10" t="s">
        <v>1232</v>
      </c>
      <c r="C41" s="13" t="str">
        <f>_xll.BDH("NBIX US Equity","ARD_REPURCHASE_OF_COMMON_STOCK","FQ4 2018","FQ4 2018","Currency=USD","Period=FQ","BEST_FPERIOD_OVERRIDE=FQ","FILING_STATUS=MR","SCALING_FORMAT=MLN","Sort=A","Dates=H","DateFormat=P","Fill=—","Direction=H","UseDPDF=Y")</f>
        <v>—</v>
      </c>
      <c r="D41" s="13" t="str">
        <f>_xll.BDH("NBIX US Equity","ARD_REPURCHASE_OF_COMMON_STOCK","FQ1 2019","FQ1 2019","Currency=USD","Period=FQ","BEST_FPERIOD_OVERRIDE=FQ","FILING_STATUS=MR","SCALING_FORMAT=MLN","Sort=A","Dates=H","DateFormat=P","Fill=—","Direction=H","UseDPDF=Y")</f>
        <v>—</v>
      </c>
      <c r="E41" s="13" t="str">
        <f>_xll.BDH("NBIX US Equity","ARD_REPURCHASE_OF_COMMON_STOCK","FQ2 2019","FQ2 2019","Currency=USD","Period=FQ","BEST_FPERIOD_OVERRIDE=FQ","FILING_STATUS=MR","SCALING_FORMAT=MLN","Sort=A","Dates=H","DateFormat=P","Fill=—","Direction=H","UseDPDF=Y")</f>
        <v>—</v>
      </c>
      <c r="F41" s="13" t="str">
        <f>_xll.BDH("NBIX US Equity","ARD_REPURCHASE_OF_COMMON_STOCK","FQ3 2019","FQ3 2019","Currency=USD","Period=FQ","BEST_FPERIOD_OVERRIDE=FQ","FILING_STATUS=MR","SCALING_FORMAT=MLN","Sort=A","Dates=H","DateFormat=P","Fill=—","Direction=H","UseDPDF=Y")</f>
        <v>—</v>
      </c>
      <c r="G41" s="13" t="str">
        <f>_xll.BDH("NBIX US Equity","ARD_REPURCHASE_OF_COMMON_STOCK","FQ4 2019","FQ4 2019","Currency=USD","Period=FQ","BEST_FPERIOD_OVERRIDE=FQ","FILING_STATUS=MR","SCALING_FORMAT=MLN","Sort=A","Dates=H","DateFormat=P","Fill=—","Direction=H","UseDPDF=Y")</f>
        <v>—</v>
      </c>
      <c r="H41" s="13" t="str">
        <f>_xll.BDH("NBIX US Equity","ARD_REPURCHASE_OF_COMMON_STOCK","FQ1 2020","FQ1 2020","Currency=USD","Period=FQ","BEST_FPERIOD_OVERRIDE=FQ","FILING_STATUS=MR","SCALING_FORMAT=MLN","Sort=A","Dates=H","DateFormat=P","Fill=—","Direction=H","UseDPDF=Y")</f>
        <v>—</v>
      </c>
      <c r="I41" s="13" t="str">
        <f>_xll.BDH("NBIX US Equity","ARD_REPURCHASE_OF_COMMON_STOCK","FQ2 2020","FQ2 2020","Currency=USD","Period=FQ","BEST_FPERIOD_OVERRIDE=FQ","FILING_STATUS=MR","SCALING_FORMAT=MLN","Sort=A","Dates=H","DateFormat=P","Fill=—","Direction=H","UseDPDF=Y")</f>
        <v>—</v>
      </c>
      <c r="J41" s="13" t="str">
        <f>_xll.BDH("NBIX US Equity","ARD_REPURCHASE_OF_COMMON_STOCK","FQ3 2020","FQ3 2020","Currency=USD","Period=FQ","BEST_FPERIOD_OVERRIDE=FQ","FILING_STATUS=MR","SCALING_FORMAT=MLN","Sort=A","Dates=H","DateFormat=P","Fill=—","Direction=H","UseDPDF=Y")</f>
        <v>—</v>
      </c>
      <c r="K41" s="13" t="str">
        <f>_xll.BDH("NBIX US Equity","ARD_REPURCHASE_OF_COMMON_STOCK","FQ4 2020","FQ4 2020","Currency=USD","Period=FQ","BEST_FPERIOD_OVERRIDE=FQ","FILING_STATUS=MR","SCALING_FORMAT=MLN","Sort=A","Dates=H","DateFormat=P","Fill=—","Direction=H","UseDPDF=Y")</f>
        <v>—</v>
      </c>
      <c r="L41" s="13" t="str">
        <f>_xll.BDH("NBIX US Equity","ARD_REPURCHASE_OF_COMMON_STOCK","FQ1 2021","FQ1 2021","Currency=USD","Period=FQ","BEST_FPERIOD_OVERRIDE=FQ","FILING_STATUS=MR","SCALING_FORMAT=MLN","Sort=A","Dates=H","DateFormat=P","Fill=—","Direction=H","UseDPDF=Y")</f>
        <v>—</v>
      </c>
      <c r="M41" s="13" t="str">
        <f>_xll.BDH("NBIX US Equity","ARD_REPURCHASE_OF_COMMON_STOCK","FQ2 2021","FQ2 2021","Currency=USD","Period=FQ","BEST_FPERIOD_OVERRIDE=FQ","FILING_STATUS=MR","SCALING_FORMAT=MLN","Sort=A","Dates=H","DateFormat=P","Fill=—","Direction=H","UseDPDF=Y")</f>
        <v>—</v>
      </c>
      <c r="N41" s="13" t="str">
        <f>_xll.BDH("NBIX US Equity","ARD_REPURCHASE_OF_COMMON_STOCK","FQ3 2021","FQ3 2021","Currency=USD","Period=FQ","BEST_FPERIOD_OVERRIDE=FQ","FILING_STATUS=MR","SCALING_FORMAT=MLN","Sort=A","Dates=H","DateFormat=P","Fill=—","Direction=H","UseDPDF=Y")</f>
        <v>—</v>
      </c>
      <c r="O41" s="13" t="str">
        <f>_xll.BDH("NBIX US Equity","ARD_REPURCHASE_OF_COMMON_STOCK","FQ4 2021","FQ4 2021","Currency=USD","Period=FQ","BEST_FPERIOD_OVERRIDE=FQ","FILING_STATUS=MR","SCALING_FORMAT=MLN","Sort=A","Dates=H","DateFormat=P","Fill=—","Direction=H","UseDPDF=Y")</f>
        <v>—</v>
      </c>
      <c r="P41" s="13" t="str">
        <f>_xll.BDH("NBIX US Equity","ARD_REPURCHASE_OF_COMMON_STOCK","FQ1 2022","FQ1 2022","Currency=USD","Period=FQ","BEST_FPERIOD_OVERRIDE=FQ","FILING_STATUS=MR","SCALING_FORMAT=MLN","Sort=A","Dates=H","DateFormat=P","Fill=—","Direction=H","UseDPDF=Y")</f>
        <v>—</v>
      </c>
      <c r="Q41" s="13" t="str">
        <f>_xll.BDH("NBIX US Equity","ARD_REPURCHASE_OF_COMMON_STOCK","FQ2 2022","FQ2 2022","Currency=USD","Period=FQ","BEST_FPERIOD_OVERRIDE=FQ","FILING_STATUS=MR","SCALING_FORMAT=MLN","Sort=A","Dates=H","DateFormat=P","Fill=—","Direction=H","UseDPDF=Y")</f>
        <v>—</v>
      </c>
      <c r="R41" s="13" t="str">
        <f>_xll.BDH("NBIX US Equity","ARD_REPURCHASE_OF_COMMON_STOCK","FQ3 2022","FQ3 2022","Currency=USD","Period=FQ","BEST_FPERIOD_OVERRIDE=FQ","FILING_STATUS=MR","SCALING_FORMAT=MLN","Sort=A","Dates=H","DateFormat=P","Fill=—","Direction=H","UseDPDF=Y")</f>
        <v>—</v>
      </c>
      <c r="S41" s="13" t="str">
        <f>_xll.BDH("NBIX US Equity","ARD_REPURCHASE_OF_COMMON_STOCK","FQ4 2022","FQ4 2022","Currency=USD","Period=FQ","BEST_FPERIOD_OVERRIDE=FQ","FILING_STATUS=MR","SCALING_FORMAT=MLN","Sort=A","Dates=H","DateFormat=P","Fill=—","Direction=H","UseDPDF=Y")</f>
        <v>—</v>
      </c>
      <c r="T41" s="13" t="str">
        <f>_xll.BDH("NBIX US Equity","ARD_REPURCHASE_OF_COMMON_STOCK","FQ1 2023","FQ1 2023","Currency=USD","Period=FQ","BEST_FPERIOD_OVERRIDE=FQ","FILING_STATUS=MR","SCALING_FORMAT=MLN","Sort=A","Dates=H","DateFormat=P","Fill=—","Direction=H","UseDPDF=Y")</f>
        <v>—</v>
      </c>
      <c r="U41" s="13" t="str">
        <f>_xll.BDH("NBIX US Equity","ARD_REPURCHASE_OF_COMMON_STOCK","FQ2 2023","FQ2 2023","Currency=USD","Period=FQ","BEST_FPERIOD_OVERRIDE=FQ","FILING_STATUS=MR","SCALING_FORMAT=MLN","Sort=A","Dates=H","DateFormat=P","Fill=—","Direction=H","UseDPDF=Y")</f>
        <v>—</v>
      </c>
      <c r="V41" s="13" t="str">
        <f>_xll.BDH("NBIX US Equity","ARD_REPURCHASE_OF_COMMON_STOCK","FQ3 2023","FQ3 2023","Currency=USD","Period=FQ","BEST_FPERIOD_OVERRIDE=FQ","FILING_STATUS=MR","SCALING_FORMAT=MLN","Sort=A","Dates=H","DateFormat=P","Fill=—","Direction=H","UseDPDF=Y")</f>
        <v>—</v>
      </c>
      <c r="W41" s="13" t="str">
        <f>_xll.BDH("NBIX US Equity","ARD_REPURCHASE_OF_COMMON_STOCK","FQ4 2023","FQ4 2023","Currency=USD","Period=FQ","BEST_FPERIOD_OVERRIDE=FQ","FILING_STATUS=MR","SCALING_FORMAT=MLN","Sort=A","Dates=H","DateFormat=P","Fill=—","Direction=H","UseDPDF=Y")</f>
        <v>—</v>
      </c>
      <c r="X41" s="13" t="str">
        <f>_xll.BDH("NBIX US Equity","ARD_REPURCHASE_OF_COMMON_STOCK","FQ1 2024","FQ1 2024","Currency=USD","Period=FQ","BEST_FPERIOD_OVERRIDE=FQ","FILING_STATUS=MR","SCALING_FORMAT=MLN","Sort=A","Dates=H","DateFormat=P","Fill=—","Direction=H","UseDPDF=Y")</f>
        <v>—</v>
      </c>
      <c r="Y41" s="13" t="str">
        <f>_xll.BDH("NBIX US Equity","ARD_REPURCHASE_OF_COMMON_STOCK","FQ2 2024","FQ2 2024","Currency=USD","Period=FQ","BEST_FPERIOD_OVERRIDE=FQ","FILING_STATUS=MR","SCALING_FORMAT=MLN","Sort=A","Dates=H","DateFormat=P","Fill=—","Direction=H","UseDPDF=Y")</f>
        <v>—</v>
      </c>
      <c r="Z41" s="13" t="str">
        <f>_xll.BDH("NBIX US Equity","ARD_REPURCHASE_OF_COMMON_STOCK","FQ3 2024","FQ3 2024","Currency=USD","Period=FQ","BEST_FPERIOD_OVERRIDE=FQ","FILING_STATUS=MR","SCALING_FORMAT=MLN","Sort=A","Dates=H","DateFormat=P","Fill=—","Direction=H","UseDPDF=Y")</f>
        <v>—</v>
      </c>
      <c r="AA41" s="13">
        <f>_xll.BDH("NBIX US Equity","ARD_REPURCHASE_OF_COMMON_STOCK","FQ4 2024","FQ4 2024","Currency=USD","Period=FQ","BEST_FPERIOD_OVERRIDE=FQ","FILING_STATUS=MR","SCALING_FORMAT=MLN","Sort=A","Dates=H","DateFormat=P","Fill=—","Direction=H","UseDPDF=Y")</f>
        <v>-300</v>
      </c>
    </row>
    <row r="42" spans="1:27" x14ac:dyDescent="0.25">
      <c r="A42" s="10" t="s">
        <v>1233</v>
      </c>
      <c r="B42" s="10" t="s">
        <v>1234</v>
      </c>
      <c r="C42" s="13" t="str">
        <f>_xll.BDH("NBIX US Equity","ARD_EFF_OF_EXCH_RATES_ON_CASH","FQ4 2018","FQ4 2018","Currency=USD","Period=FQ","BEST_FPERIOD_OVERRIDE=FQ","FILING_STATUS=MR","SCALING_FORMAT=MLN","Sort=A","Dates=H","DateFormat=P","Fill=—","Direction=H","UseDPDF=Y")</f>
        <v>—</v>
      </c>
      <c r="D42" s="13" t="str">
        <f>_xll.BDH("NBIX US Equity","ARD_EFF_OF_EXCH_RATES_ON_CASH","FQ1 2019","FQ1 2019","Currency=USD","Period=FQ","BEST_FPERIOD_OVERRIDE=FQ","FILING_STATUS=MR","SCALING_FORMAT=MLN","Sort=A","Dates=H","DateFormat=P","Fill=—","Direction=H","UseDPDF=Y")</f>
        <v>—</v>
      </c>
      <c r="E42" s="13" t="str">
        <f>_xll.BDH("NBIX US Equity","ARD_EFF_OF_EXCH_RATES_ON_CASH","FQ2 2019","FQ2 2019","Currency=USD","Period=FQ","BEST_FPERIOD_OVERRIDE=FQ","FILING_STATUS=MR","SCALING_FORMAT=MLN","Sort=A","Dates=H","DateFormat=P","Fill=—","Direction=H","UseDPDF=Y")</f>
        <v>—</v>
      </c>
      <c r="F42" s="13" t="str">
        <f>_xll.BDH("NBIX US Equity","ARD_EFF_OF_EXCH_RATES_ON_CASH","FQ3 2019","FQ3 2019","Currency=USD","Period=FQ","BEST_FPERIOD_OVERRIDE=FQ","FILING_STATUS=MR","SCALING_FORMAT=MLN","Sort=A","Dates=H","DateFormat=P","Fill=—","Direction=H","UseDPDF=Y")</f>
        <v>—</v>
      </c>
      <c r="G42" s="13" t="str">
        <f>_xll.BDH("NBIX US Equity","ARD_EFF_OF_EXCH_RATES_ON_CASH","FQ4 2019","FQ4 2019","Currency=USD","Period=FQ","BEST_FPERIOD_OVERRIDE=FQ","FILING_STATUS=MR","SCALING_FORMAT=MLN","Sort=A","Dates=H","DateFormat=P","Fill=—","Direction=H","UseDPDF=Y")</f>
        <v>—</v>
      </c>
      <c r="H42" s="13" t="str">
        <f>_xll.BDH("NBIX US Equity","ARD_EFF_OF_EXCH_RATES_ON_CASH","FQ1 2020","FQ1 2020","Currency=USD","Period=FQ","BEST_FPERIOD_OVERRIDE=FQ","FILING_STATUS=MR","SCALING_FORMAT=MLN","Sort=A","Dates=H","DateFormat=P","Fill=—","Direction=H","UseDPDF=Y")</f>
        <v>—</v>
      </c>
      <c r="I42" s="13" t="str">
        <f>_xll.BDH("NBIX US Equity","ARD_EFF_OF_EXCH_RATES_ON_CASH","FQ2 2020","FQ2 2020","Currency=USD","Period=FQ","BEST_FPERIOD_OVERRIDE=FQ","FILING_STATUS=MR","SCALING_FORMAT=MLN","Sort=A","Dates=H","DateFormat=P","Fill=—","Direction=H","UseDPDF=Y")</f>
        <v>—</v>
      </c>
      <c r="J42" s="13" t="str">
        <f>_xll.BDH("NBIX US Equity","ARD_EFF_OF_EXCH_RATES_ON_CASH","FQ3 2020","FQ3 2020","Currency=USD","Period=FQ","BEST_FPERIOD_OVERRIDE=FQ","FILING_STATUS=MR","SCALING_FORMAT=MLN","Sort=A","Dates=H","DateFormat=P","Fill=—","Direction=H","UseDPDF=Y")</f>
        <v>—</v>
      </c>
      <c r="K42" s="13" t="str">
        <f>_xll.BDH("NBIX US Equity","ARD_EFF_OF_EXCH_RATES_ON_CASH","FQ4 2020","FQ4 2020","Currency=USD","Period=FQ","BEST_FPERIOD_OVERRIDE=FQ","FILING_STATUS=MR","SCALING_FORMAT=MLN","Sort=A","Dates=H","DateFormat=P","Fill=—","Direction=H","UseDPDF=Y")</f>
        <v>—</v>
      </c>
      <c r="L42" s="13" t="str">
        <f>_xll.BDH("NBIX US Equity","ARD_EFF_OF_EXCH_RATES_ON_CASH","FQ1 2021","FQ1 2021","Currency=USD","Period=FQ","BEST_FPERIOD_OVERRIDE=FQ","FILING_STATUS=MR","SCALING_FORMAT=MLN","Sort=A","Dates=H","DateFormat=P","Fill=—","Direction=H","UseDPDF=Y")</f>
        <v>—</v>
      </c>
      <c r="M42" s="13" t="str">
        <f>_xll.BDH("NBIX US Equity","ARD_EFF_OF_EXCH_RATES_ON_CASH","FQ2 2021","FQ2 2021","Currency=USD","Period=FQ","BEST_FPERIOD_OVERRIDE=FQ","FILING_STATUS=MR","SCALING_FORMAT=MLN","Sort=A","Dates=H","DateFormat=P","Fill=—","Direction=H","UseDPDF=Y")</f>
        <v>—</v>
      </c>
      <c r="N42" s="13" t="str">
        <f>_xll.BDH("NBIX US Equity","ARD_EFF_OF_EXCH_RATES_ON_CASH","FQ3 2021","FQ3 2021","Currency=USD","Period=FQ","BEST_FPERIOD_OVERRIDE=FQ","FILING_STATUS=MR","SCALING_FORMAT=MLN","Sort=A","Dates=H","DateFormat=P","Fill=—","Direction=H","UseDPDF=Y")</f>
        <v>—</v>
      </c>
      <c r="O42" s="13" t="str">
        <f>_xll.BDH("NBIX US Equity","ARD_EFF_OF_EXCH_RATES_ON_CASH","FQ4 2021","FQ4 2021","Currency=USD","Period=FQ","BEST_FPERIOD_OVERRIDE=FQ","FILING_STATUS=MR","SCALING_FORMAT=MLN","Sort=A","Dates=H","DateFormat=P","Fill=—","Direction=H","UseDPDF=Y")</f>
        <v>—</v>
      </c>
      <c r="P42" s="13" t="str">
        <f>_xll.BDH("NBIX US Equity","ARD_EFF_OF_EXCH_RATES_ON_CASH","FQ1 2022","FQ1 2022","Currency=USD","Period=FQ","BEST_FPERIOD_OVERRIDE=FQ","FILING_STATUS=MR","SCALING_FORMAT=MLN","Sort=A","Dates=H","DateFormat=P","Fill=—","Direction=H","UseDPDF=Y")</f>
        <v>—</v>
      </c>
      <c r="Q42" s="13" t="str">
        <f>_xll.BDH("NBIX US Equity","ARD_EFF_OF_EXCH_RATES_ON_CASH","FQ2 2022","FQ2 2022","Currency=USD","Period=FQ","BEST_FPERIOD_OVERRIDE=FQ","FILING_STATUS=MR","SCALING_FORMAT=MLN","Sort=A","Dates=H","DateFormat=P","Fill=—","Direction=H","UseDPDF=Y")</f>
        <v>—</v>
      </c>
      <c r="R42" s="13" t="str">
        <f>_xll.BDH("NBIX US Equity","ARD_EFF_OF_EXCH_RATES_ON_CASH","FQ3 2022","FQ3 2022","Currency=USD","Period=FQ","BEST_FPERIOD_OVERRIDE=FQ","FILING_STATUS=MR","SCALING_FORMAT=MLN","Sort=A","Dates=H","DateFormat=P","Fill=—","Direction=H","UseDPDF=Y")</f>
        <v>—</v>
      </c>
      <c r="S42" s="13">
        <f>_xll.BDH("NBIX US Equity","ARD_EFF_OF_EXCH_RATES_ON_CASH","FQ4 2022","FQ4 2022","Currency=USD","Period=FQ","BEST_FPERIOD_OVERRIDE=FQ","FILING_STATUS=MR","SCALING_FORMAT=MLN","Sort=A","Dates=H","DateFormat=P","Fill=—","Direction=H","UseDPDF=Y")</f>
        <v>-1.3</v>
      </c>
      <c r="T42" s="13" t="str">
        <f>_xll.BDH("NBIX US Equity","ARD_EFF_OF_EXCH_RATES_ON_CASH","FQ1 2023","FQ1 2023","Currency=USD","Period=FQ","BEST_FPERIOD_OVERRIDE=FQ","FILING_STATUS=MR","SCALING_FORMAT=MLN","Sort=A","Dates=H","DateFormat=P","Fill=—","Direction=H","UseDPDF=Y")</f>
        <v>—</v>
      </c>
      <c r="U42" s="13" t="str">
        <f>_xll.BDH("NBIX US Equity","ARD_EFF_OF_EXCH_RATES_ON_CASH","FQ2 2023","FQ2 2023","Currency=USD","Period=FQ","BEST_FPERIOD_OVERRIDE=FQ","FILING_STATUS=MR","SCALING_FORMAT=MLN","Sort=A","Dates=H","DateFormat=P","Fill=—","Direction=H","UseDPDF=Y")</f>
        <v>—</v>
      </c>
      <c r="V42" s="13" t="str">
        <f>_xll.BDH("NBIX US Equity","ARD_EFF_OF_EXCH_RATES_ON_CASH","FQ3 2023","FQ3 2023","Currency=USD","Period=FQ","BEST_FPERIOD_OVERRIDE=FQ","FILING_STATUS=MR","SCALING_FORMAT=MLN","Sort=A","Dates=H","DateFormat=P","Fill=—","Direction=H","UseDPDF=Y")</f>
        <v>—</v>
      </c>
      <c r="W42" s="13">
        <f>_xll.BDH("NBIX US Equity","ARD_EFF_OF_EXCH_RATES_ON_CASH","FQ4 2023","FQ4 2023","Currency=USD","Period=FQ","BEST_FPERIOD_OVERRIDE=FQ","FILING_STATUS=MR","SCALING_FORMAT=MLN","Sort=A","Dates=H","DateFormat=P","Fill=—","Direction=H","UseDPDF=Y")</f>
        <v>0.3</v>
      </c>
      <c r="X42" s="13" t="str">
        <f>_xll.BDH("NBIX US Equity","ARD_EFF_OF_EXCH_RATES_ON_CASH","FQ1 2024","FQ1 2024","Currency=USD","Period=FQ","BEST_FPERIOD_OVERRIDE=FQ","FILING_STATUS=MR","SCALING_FORMAT=MLN","Sort=A","Dates=H","DateFormat=P","Fill=—","Direction=H","UseDPDF=Y")</f>
        <v>—</v>
      </c>
      <c r="Y42" s="13" t="str">
        <f>_xll.BDH("NBIX US Equity","ARD_EFF_OF_EXCH_RATES_ON_CASH","FQ2 2024","FQ2 2024","Currency=USD","Period=FQ","BEST_FPERIOD_OVERRIDE=FQ","FILING_STATUS=MR","SCALING_FORMAT=MLN","Sort=A","Dates=H","DateFormat=P","Fill=—","Direction=H","UseDPDF=Y")</f>
        <v>—</v>
      </c>
      <c r="Z42" s="13">
        <f>_xll.BDH("NBIX US Equity","ARD_EFF_OF_EXCH_RATES_ON_CASH","FQ3 2024","FQ3 2024","Currency=USD","Period=FQ","BEST_FPERIOD_OVERRIDE=FQ","FILING_STATUS=MR","SCALING_FORMAT=MLN","Sort=A","Dates=H","DateFormat=P","Fill=—","Direction=H","UseDPDF=Y")</f>
        <v>0.3</v>
      </c>
      <c r="AA42" s="13">
        <f>_xll.BDH("NBIX US Equity","ARD_EFF_OF_EXCH_RATES_ON_CASH","FQ4 2024","FQ4 2024","Currency=USD","Period=FQ","BEST_FPERIOD_OVERRIDE=FQ","FILING_STATUS=MR","SCALING_FORMAT=MLN","Sort=A","Dates=H","DateFormat=P","Fill=—","Direction=H","UseDPDF=Y")</f>
        <v>0</v>
      </c>
    </row>
    <row r="43" spans="1:27" x14ac:dyDescent="0.25">
      <c r="A43" s="10" t="s">
        <v>1235</v>
      </c>
      <c r="B43" s="10" t="s">
        <v>1236</v>
      </c>
      <c r="C43" s="13" t="str">
        <f>_xll.BDH("NBIX US Equity","ARD_OTHER_FINANCING_ACTIVITIES","FQ4 2018","FQ4 2018","Currency=USD","Period=FQ","BEST_FPERIOD_OVERRIDE=FQ","FILING_STATUS=MR","SCALING_FORMAT=MLN","Sort=A","Dates=H","DateFormat=P","Fill=—","Direction=H","UseDPDF=Y")</f>
        <v>—</v>
      </c>
      <c r="D43" s="13" t="str">
        <f>_xll.BDH("NBIX US Equity","ARD_OTHER_FINANCING_ACTIVITIES","FQ1 2019","FQ1 2019","Currency=USD","Period=FQ","BEST_FPERIOD_OVERRIDE=FQ","FILING_STATUS=MR","SCALING_FORMAT=MLN","Sort=A","Dates=H","DateFormat=P","Fill=—","Direction=H","UseDPDF=Y")</f>
        <v>—</v>
      </c>
      <c r="E43" s="13" t="str">
        <f>_xll.BDH("NBIX US Equity","ARD_OTHER_FINANCING_ACTIVITIES","FQ2 2019","FQ2 2019","Currency=USD","Period=FQ","BEST_FPERIOD_OVERRIDE=FQ","FILING_STATUS=MR","SCALING_FORMAT=MLN","Sort=A","Dates=H","DateFormat=P","Fill=—","Direction=H","UseDPDF=Y")</f>
        <v>—</v>
      </c>
      <c r="F43" s="13" t="str">
        <f>_xll.BDH("NBIX US Equity","ARD_OTHER_FINANCING_ACTIVITIES","FQ3 2019","FQ3 2019","Currency=USD","Period=FQ","BEST_FPERIOD_OVERRIDE=FQ","FILING_STATUS=MR","SCALING_FORMAT=MLN","Sort=A","Dates=H","DateFormat=P","Fill=—","Direction=H","UseDPDF=Y")</f>
        <v>—</v>
      </c>
      <c r="G43" s="13" t="str">
        <f>_xll.BDH("NBIX US Equity","ARD_OTHER_FINANCING_ACTIVITIES","FQ4 2019","FQ4 2019","Currency=USD","Period=FQ","BEST_FPERIOD_OVERRIDE=FQ","FILING_STATUS=MR","SCALING_FORMAT=MLN","Sort=A","Dates=H","DateFormat=P","Fill=—","Direction=H","UseDPDF=Y")</f>
        <v>—</v>
      </c>
      <c r="H43" s="13" t="str">
        <f>_xll.BDH("NBIX US Equity","ARD_OTHER_FINANCING_ACTIVITIES","FQ1 2020","FQ1 2020","Currency=USD","Period=FQ","BEST_FPERIOD_OVERRIDE=FQ","FILING_STATUS=MR","SCALING_FORMAT=MLN","Sort=A","Dates=H","DateFormat=P","Fill=—","Direction=H","UseDPDF=Y")</f>
        <v>—</v>
      </c>
      <c r="I43" s="13">
        <f>_xll.BDH("NBIX US Equity","ARD_OTHER_FINANCING_ACTIVITIES","FQ2 2020","FQ2 2020","Currency=USD","Period=FQ","BEST_FPERIOD_OVERRIDE=FQ","FILING_STATUS=MR","SCALING_FORMAT=MLN","Sort=A","Dates=H","DateFormat=P","Fill=—","Direction=H","UseDPDF=Y")</f>
        <v>0</v>
      </c>
      <c r="J43" s="13">
        <f>_xll.BDH("NBIX US Equity","ARD_OTHER_FINANCING_ACTIVITIES","FQ3 2020","FQ3 2020","Currency=USD","Period=FQ","BEST_FPERIOD_OVERRIDE=FQ","FILING_STATUS=MR","SCALING_FORMAT=MLN","Sort=A","Dates=H","DateFormat=P","Fill=—","Direction=H","UseDPDF=Y")</f>
        <v>0</v>
      </c>
      <c r="K43" s="13" t="str">
        <f>_xll.BDH("NBIX US Equity","ARD_OTHER_FINANCING_ACTIVITIES","FQ4 2020","FQ4 2020","Currency=USD","Period=FQ","BEST_FPERIOD_OVERRIDE=FQ","FILING_STATUS=MR","SCALING_FORMAT=MLN","Sort=A","Dates=H","DateFormat=P","Fill=—","Direction=H","UseDPDF=Y")</f>
        <v>—</v>
      </c>
      <c r="L43" s="13" t="str">
        <f>_xll.BDH("NBIX US Equity","ARD_OTHER_FINANCING_ACTIVITIES","FQ1 2021","FQ1 2021","Currency=USD","Period=FQ","BEST_FPERIOD_OVERRIDE=FQ","FILING_STATUS=MR","SCALING_FORMAT=MLN","Sort=A","Dates=H","DateFormat=P","Fill=—","Direction=H","UseDPDF=Y")</f>
        <v>—</v>
      </c>
      <c r="M43" s="13">
        <f>_xll.BDH("NBIX US Equity","ARD_OTHER_FINANCING_ACTIVITIES","FQ2 2021","FQ2 2021","Currency=USD","Period=FQ","BEST_FPERIOD_OVERRIDE=FQ","FILING_STATUS=MR","SCALING_FORMAT=MLN","Sort=A","Dates=H","DateFormat=P","Fill=—","Direction=H","UseDPDF=Y")</f>
        <v>-0.1</v>
      </c>
      <c r="N43" s="13">
        <f>_xll.BDH("NBIX US Equity","ARD_OTHER_FINANCING_ACTIVITIES","FQ3 2021","FQ3 2021","Currency=USD","Period=FQ","BEST_FPERIOD_OVERRIDE=FQ","FILING_STATUS=MR","SCALING_FORMAT=MLN","Sort=A","Dates=H","DateFormat=P","Fill=—","Direction=H","UseDPDF=Y")</f>
        <v>-0.1</v>
      </c>
      <c r="O43" s="13" t="str">
        <f>_xll.BDH("NBIX US Equity","ARD_OTHER_FINANCING_ACTIVITIES","FQ4 2021","FQ4 2021","Currency=USD","Period=FQ","BEST_FPERIOD_OVERRIDE=FQ","FILING_STATUS=MR","SCALING_FORMAT=MLN","Sort=A","Dates=H","DateFormat=P","Fill=—","Direction=H","UseDPDF=Y")</f>
        <v>—</v>
      </c>
      <c r="P43" s="13" t="str">
        <f>_xll.BDH("NBIX US Equity","ARD_OTHER_FINANCING_ACTIVITIES","FQ1 2022","FQ1 2022","Currency=USD","Period=FQ","BEST_FPERIOD_OVERRIDE=FQ","FILING_STATUS=MR","SCALING_FORMAT=MLN","Sort=A","Dates=H","DateFormat=P","Fill=—","Direction=H","UseDPDF=Y")</f>
        <v>—</v>
      </c>
      <c r="Q43" s="13">
        <f>_xll.BDH("NBIX US Equity","ARD_OTHER_FINANCING_ACTIVITIES","FQ2 2022","FQ2 2022","Currency=USD","Period=FQ","BEST_FPERIOD_OVERRIDE=FQ","FILING_STATUS=MR","SCALING_FORMAT=MLN","Sort=A","Dates=H","DateFormat=P","Fill=—","Direction=H","UseDPDF=Y")</f>
        <v>-279</v>
      </c>
      <c r="R43" s="13">
        <f>_xll.BDH("NBIX US Equity","ARD_OTHER_FINANCING_ACTIVITIES","FQ3 2022","FQ3 2022","Currency=USD","Period=FQ","BEST_FPERIOD_OVERRIDE=FQ","FILING_STATUS=MR","SCALING_FORMAT=MLN","Sort=A","Dates=H","DateFormat=P","Fill=—","Direction=H","UseDPDF=Y")</f>
        <v>-279</v>
      </c>
      <c r="S43" s="13" t="str">
        <f>_xll.BDH("NBIX US Equity","ARD_OTHER_FINANCING_ACTIVITIES","FQ4 2022","FQ4 2022","Currency=USD","Period=FQ","BEST_FPERIOD_OVERRIDE=FQ","FILING_STATUS=MR","SCALING_FORMAT=MLN","Sort=A","Dates=H","DateFormat=P","Fill=—","Direction=H","UseDPDF=Y")</f>
        <v>—</v>
      </c>
      <c r="T43" s="13" t="str">
        <f>_xll.BDH("NBIX US Equity","ARD_OTHER_FINANCING_ACTIVITIES","FQ1 2023","FQ1 2023","Currency=USD","Period=FQ","BEST_FPERIOD_OVERRIDE=FQ","FILING_STATUS=MR","SCALING_FORMAT=MLN","Sort=A","Dates=H","DateFormat=P","Fill=—","Direction=H","UseDPDF=Y")</f>
        <v>—</v>
      </c>
      <c r="U43" s="13">
        <f>_xll.BDH("NBIX US Equity","ARD_OTHER_FINANCING_ACTIVITIES","FQ2 2023","FQ2 2023","Currency=USD","Period=FQ","BEST_FPERIOD_OVERRIDE=FQ","FILING_STATUS=MR","SCALING_FORMAT=MLN","Sort=A","Dates=H","DateFormat=P","Fill=—","Direction=H","UseDPDF=Y")</f>
        <v>0</v>
      </c>
      <c r="V43" s="13">
        <f>_xll.BDH("NBIX US Equity","ARD_OTHER_FINANCING_ACTIVITIES","FQ3 2023","FQ3 2023","Currency=USD","Period=FQ","BEST_FPERIOD_OVERRIDE=FQ","FILING_STATUS=MR","SCALING_FORMAT=MLN","Sort=A","Dates=H","DateFormat=P","Fill=—","Direction=H","UseDPDF=Y")</f>
        <v>0</v>
      </c>
      <c r="W43" s="13" t="str">
        <f>_xll.BDH("NBIX US Equity","ARD_OTHER_FINANCING_ACTIVITIES","FQ4 2023","FQ4 2023","Currency=USD","Period=FQ","BEST_FPERIOD_OVERRIDE=FQ","FILING_STATUS=MR","SCALING_FORMAT=MLN","Sort=A","Dates=H","DateFormat=P","Fill=—","Direction=H","UseDPDF=Y")</f>
        <v>—</v>
      </c>
      <c r="X43" s="13" t="str">
        <f>_xll.BDH("NBIX US Equity","ARD_OTHER_FINANCING_ACTIVITIES","FQ1 2024","FQ1 2024","Currency=USD","Period=FQ","BEST_FPERIOD_OVERRIDE=FQ","FILING_STATUS=MR","SCALING_FORMAT=MLN","Sort=A","Dates=H","DateFormat=P","Fill=—","Direction=H","UseDPDF=Y")</f>
        <v>—</v>
      </c>
      <c r="Y43" s="13">
        <f>_xll.BDH("NBIX US Equity","ARD_OTHER_FINANCING_ACTIVITIES","FQ2 2024","FQ2 2024","Currency=USD","Period=FQ","BEST_FPERIOD_OVERRIDE=FQ","FILING_STATUS=MR","SCALING_FORMAT=MLN","Sort=A","Dates=H","DateFormat=P","Fill=—","Direction=H","UseDPDF=Y")</f>
        <v>-308.8</v>
      </c>
      <c r="Z43" s="13">
        <f>_xll.BDH("NBIX US Equity","ARD_OTHER_FINANCING_ACTIVITIES","FQ3 2024","FQ3 2024","Currency=USD","Period=FQ","BEST_FPERIOD_OVERRIDE=FQ","FILING_STATUS=MR","SCALING_FORMAT=MLN","Sort=A","Dates=H","DateFormat=P","Fill=—","Direction=H","UseDPDF=Y")</f>
        <v>-308.8</v>
      </c>
      <c r="AA43" s="13" t="str">
        <f>_xll.BDH("NBIX US Equity","ARD_OTHER_FINANCING_ACTIVITIES","FQ4 2024","FQ4 2024","Currency=USD","Period=FQ","BEST_FPERIOD_OVERRIDE=FQ","FILING_STATUS=MR","SCALING_FORMAT=MLN","Sort=A","Dates=H","DateFormat=P","Fill=—","Direction=H","UseDPDF=Y")</f>
        <v>—</v>
      </c>
    </row>
    <row r="44" spans="1:27" x14ac:dyDescent="0.25">
      <c r="A44" s="10" t="s">
        <v>1237</v>
      </c>
      <c r="B44" s="10" t="s">
        <v>1238</v>
      </c>
      <c r="C44" s="13" t="str">
        <f>_xll.BDH("NBIX US Equity","ARD_CASH_PAID_FOR_TAXES","FQ4 2018","FQ4 2018","Currency=USD","Period=FQ","BEST_FPERIOD_OVERRIDE=FQ","FILING_STATUS=MR","SCALING_FORMAT=MLN","Sort=A","Dates=H","DateFormat=P","Fill=—","Direction=H","UseDPDF=Y")</f>
        <v>—</v>
      </c>
      <c r="D44" s="13" t="str">
        <f>_xll.BDH("NBIX US Equity","ARD_CASH_PAID_FOR_TAXES","FQ1 2019","FQ1 2019","Currency=USD","Period=FQ","BEST_FPERIOD_OVERRIDE=FQ","FILING_STATUS=MR","SCALING_FORMAT=MLN","Sort=A","Dates=H","DateFormat=P","Fill=—","Direction=H","UseDPDF=Y")</f>
        <v>—</v>
      </c>
      <c r="E44" s="13">
        <f>_xll.BDH("NBIX US Equity","ARD_CASH_PAID_FOR_TAXES","FQ2 2019","FQ2 2019","Currency=USD","Period=FQ","BEST_FPERIOD_OVERRIDE=FQ","FILING_STATUS=MR","SCALING_FORMAT=MLN","Sort=A","Dates=H","DateFormat=P","Fill=—","Direction=H","UseDPDF=Y")</f>
        <v>0.42499999999999999</v>
      </c>
      <c r="F44" s="13">
        <f>_xll.BDH("NBIX US Equity","ARD_CASH_PAID_FOR_TAXES","FQ3 2019","FQ3 2019","Currency=USD","Period=FQ","BEST_FPERIOD_OVERRIDE=FQ","FILING_STATUS=MR","SCALING_FORMAT=MLN","Sort=A","Dates=H","DateFormat=P","Fill=—","Direction=H","UseDPDF=Y")</f>
        <v>0.50700000000000001</v>
      </c>
      <c r="G44" s="13">
        <f>_xll.BDH("NBIX US Equity","ARD_CASH_PAID_FOR_TAXES","FQ4 2019","FQ4 2019","Currency=USD","Period=FQ","BEST_FPERIOD_OVERRIDE=FQ","FILING_STATUS=MR","SCALING_FORMAT=MLN","Sort=A","Dates=H","DateFormat=P","Fill=—","Direction=H","UseDPDF=Y")</f>
        <v>0.5</v>
      </c>
      <c r="H44" s="13" t="str">
        <f>_xll.BDH("NBIX US Equity","ARD_CASH_PAID_FOR_TAXES","FQ1 2020","FQ1 2020","Currency=USD","Period=FQ","BEST_FPERIOD_OVERRIDE=FQ","FILING_STATUS=MR","SCALING_FORMAT=MLN","Sort=A","Dates=H","DateFormat=P","Fill=—","Direction=H","UseDPDF=Y")</f>
        <v>—</v>
      </c>
      <c r="I44" s="13">
        <f>_xll.BDH("NBIX US Equity","ARD_CASH_PAID_FOR_TAXES","FQ2 2020","FQ2 2020","Currency=USD","Period=FQ","BEST_FPERIOD_OVERRIDE=FQ","FILING_STATUS=MR","SCALING_FORMAT=MLN","Sort=A","Dates=H","DateFormat=P","Fill=—","Direction=H","UseDPDF=Y")</f>
        <v>0</v>
      </c>
      <c r="J44" s="13">
        <f>_xll.BDH("NBIX US Equity","ARD_CASH_PAID_FOR_TAXES","FQ3 2020","FQ3 2020","Currency=USD","Period=FQ","BEST_FPERIOD_OVERRIDE=FQ","FILING_STATUS=MR","SCALING_FORMAT=MLN","Sort=A","Dates=H","DateFormat=P","Fill=—","Direction=H","UseDPDF=Y")</f>
        <v>0.4</v>
      </c>
      <c r="K44" s="13">
        <f>_xll.BDH("NBIX US Equity","ARD_CASH_PAID_FOR_TAXES","FQ4 2020","FQ4 2020","Currency=USD","Period=FQ","BEST_FPERIOD_OVERRIDE=FQ","FILING_STATUS=MR","SCALING_FORMAT=MLN","Sort=A","Dates=H","DateFormat=P","Fill=—","Direction=H","UseDPDF=Y")</f>
        <v>15.3</v>
      </c>
      <c r="L44" s="13" t="str">
        <f>_xll.BDH("NBIX US Equity","ARD_CASH_PAID_FOR_TAXES","FQ1 2021","FQ1 2021","Currency=USD","Period=FQ","BEST_FPERIOD_OVERRIDE=FQ","FILING_STATUS=MR","SCALING_FORMAT=MLN","Sort=A","Dates=H","DateFormat=P","Fill=—","Direction=H","UseDPDF=Y")</f>
        <v>—</v>
      </c>
      <c r="M44" s="13">
        <f>_xll.BDH("NBIX US Equity","ARD_CASH_PAID_FOR_TAXES","FQ2 2021","FQ2 2021","Currency=USD","Period=FQ","BEST_FPERIOD_OVERRIDE=FQ","FILING_STATUS=MR","SCALING_FORMAT=MLN","Sort=A","Dates=H","DateFormat=P","Fill=—","Direction=H","UseDPDF=Y")</f>
        <v>1.6</v>
      </c>
      <c r="N44" s="13">
        <f>_xll.BDH("NBIX US Equity","ARD_CASH_PAID_FOR_TAXES","FQ3 2021","FQ3 2021","Currency=USD","Period=FQ","BEST_FPERIOD_OVERRIDE=FQ","FILING_STATUS=MR","SCALING_FORMAT=MLN","Sort=A","Dates=H","DateFormat=P","Fill=—","Direction=H","UseDPDF=Y")</f>
        <v>3.4</v>
      </c>
      <c r="O44" s="13">
        <f>_xll.BDH("NBIX US Equity","ARD_CASH_PAID_FOR_TAXES","FQ4 2021","FQ4 2021","Currency=USD","Period=FQ","BEST_FPERIOD_OVERRIDE=FQ","FILING_STATUS=MR","SCALING_FORMAT=MLN","Sort=A","Dates=H","DateFormat=P","Fill=—","Direction=H","UseDPDF=Y")</f>
        <v>5.0999999999999996</v>
      </c>
      <c r="P44" s="13" t="str">
        <f>_xll.BDH("NBIX US Equity","ARD_CASH_PAID_FOR_TAXES","FQ1 2022","FQ1 2022","Currency=USD","Period=FQ","BEST_FPERIOD_OVERRIDE=FQ","FILING_STATUS=MR","SCALING_FORMAT=MLN","Sort=A","Dates=H","DateFormat=P","Fill=—","Direction=H","UseDPDF=Y")</f>
        <v>—</v>
      </c>
      <c r="Q44" s="13">
        <f>_xll.BDH("NBIX US Equity","ARD_CASH_PAID_FOR_TAXES","FQ2 2022","FQ2 2022","Currency=USD","Period=FQ","BEST_FPERIOD_OVERRIDE=FQ","FILING_STATUS=MR","SCALING_FORMAT=MLN","Sort=A","Dates=H","DateFormat=P","Fill=—","Direction=H","UseDPDF=Y")</f>
        <v>3.1</v>
      </c>
      <c r="R44" s="13">
        <f>_xll.BDH("NBIX US Equity","ARD_CASH_PAID_FOR_TAXES","FQ3 2022","FQ3 2022","Currency=USD","Period=FQ","BEST_FPERIOD_OVERRIDE=FQ","FILING_STATUS=MR","SCALING_FORMAT=MLN","Sort=A","Dates=H","DateFormat=P","Fill=—","Direction=H","UseDPDF=Y")</f>
        <v>4.3</v>
      </c>
      <c r="S44" s="13">
        <f>_xll.BDH("NBIX US Equity","ARD_CASH_PAID_FOR_TAXES","FQ4 2022","FQ4 2022","Currency=USD","Period=FQ","BEST_FPERIOD_OVERRIDE=FQ","FILING_STATUS=MR","SCALING_FORMAT=MLN","Sort=A","Dates=H","DateFormat=P","Fill=—","Direction=H","UseDPDF=Y")</f>
        <v>14.4</v>
      </c>
      <c r="T44" s="13" t="str">
        <f>_xll.BDH("NBIX US Equity","ARD_CASH_PAID_FOR_TAXES","FQ1 2023","FQ1 2023","Currency=USD","Period=FQ","BEST_FPERIOD_OVERRIDE=FQ","FILING_STATUS=MR","SCALING_FORMAT=MLN","Sort=A","Dates=H","DateFormat=P","Fill=—","Direction=H","UseDPDF=Y")</f>
        <v>—</v>
      </c>
      <c r="U44" s="13">
        <f>_xll.BDH("NBIX US Equity","ARD_CASH_PAID_FOR_TAXES","FQ2 2023","FQ2 2023","Currency=USD","Period=FQ","BEST_FPERIOD_OVERRIDE=FQ","FILING_STATUS=MR","SCALING_FORMAT=MLN","Sort=A","Dates=H","DateFormat=P","Fill=—","Direction=H","UseDPDF=Y")</f>
        <v>3.4</v>
      </c>
      <c r="V44" s="13">
        <f>_xll.BDH("NBIX US Equity","ARD_CASH_PAID_FOR_TAXES","FQ3 2023","FQ3 2023","Currency=USD","Period=FQ","BEST_FPERIOD_OVERRIDE=FQ","FILING_STATUS=MR","SCALING_FORMAT=MLN","Sort=A","Dates=H","DateFormat=P","Fill=—","Direction=H","UseDPDF=Y")</f>
        <v>5</v>
      </c>
      <c r="W44" s="13">
        <f>_xll.BDH("NBIX US Equity","ARD_CASH_PAID_FOR_TAXES","FQ4 2023","FQ4 2023","Currency=USD","Period=FQ","BEST_FPERIOD_OVERRIDE=FQ","FILING_STATUS=MR","SCALING_FORMAT=MLN","Sort=A","Dates=H","DateFormat=P","Fill=—","Direction=H","UseDPDF=Y")</f>
        <v>51.5</v>
      </c>
      <c r="X44" s="13" t="str">
        <f>_xll.BDH("NBIX US Equity","ARD_CASH_PAID_FOR_TAXES","FQ1 2024","FQ1 2024","Currency=USD","Period=FQ","BEST_FPERIOD_OVERRIDE=FQ","FILING_STATUS=MR","SCALING_FORMAT=MLN","Sort=A","Dates=H","DateFormat=P","Fill=—","Direction=H","UseDPDF=Y")</f>
        <v>—</v>
      </c>
      <c r="Y44" s="13">
        <f>_xll.BDH("NBIX US Equity","ARD_CASH_PAID_FOR_TAXES","FQ2 2024","FQ2 2024","Currency=USD","Period=FQ","BEST_FPERIOD_OVERRIDE=FQ","FILING_STATUS=MR","SCALING_FORMAT=MLN","Sort=A","Dates=H","DateFormat=P","Fill=—","Direction=H","UseDPDF=Y")</f>
        <v>92.8</v>
      </c>
      <c r="Z44" s="13">
        <f>_xll.BDH("NBIX US Equity","ARD_CASH_PAID_FOR_TAXES","FQ3 2024","FQ3 2024","Currency=USD","Period=FQ","BEST_FPERIOD_OVERRIDE=FQ","FILING_STATUS=MR","SCALING_FORMAT=MLN","Sort=A","Dates=H","DateFormat=P","Fill=—","Direction=H","UseDPDF=Y")</f>
        <v>144.5</v>
      </c>
      <c r="AA44" s="13">
        <f>_xll.BDH("NBIX US Equity","ARD_CASH_PAID_FOR_TAXES","FQ4 2024","FQ4 2024","Currency=USD","Period=FQ","BEST_FPERIOD_OVERRIDE=FQ","FILING_STATUS=MR","SCALING_FORMAT=MLN","Sort=A","Dates=H","DateFormat=P","Fill=—","Direction=H","UseDPDF=Y")</f>
        <v>217.5</v>
      </c>
    </row>
    <row r="45" spans="1:27" x14ac:dyDescent="0.25">
      <c r="A45" s="10" t="s">
        <v>1239</v>
      </c>
      <c r="B45" s="10" t="s">
        <v>1240</v>
      </c>
      <c r="C45" s="13">
        <f>_xll.BDH("NBIX US Equity","ARD_CASH_PAID_FOR_INTEREST","FQ4 2018","FQ4 2018","Currency=USD","Period=FQ","BEST_FPERIOD_OVERRIDE=FQ","FILING_STATUS=MR","SCALING_FORMAT=MLN","Sort=A","Dates=H","DateFormat=P","Fill=—","Direction=H","UseDPDF=Y")</f>
        <v>11.644</v>
      </c>
      <c r="D45" s="13" t="str">
        <f>_xll.BDH("NBIX US Equity","ARD_CASH_PAID_FOR_INTEREST","FQ1 2019","FQ1 2019","Currency=USD","Period=FQ","BEST_FPERIOD_OVERRIDE=FQ","FILING_STATUS=MR","SCALING_FORMAT=MLN","Sort=A","Dates=H","DateFormat=P","Fill=—","Direction=H","UseDPDF=Y")</f>
        <v>—</v>
      </c>
      <c r="E45" s="13">
        <f>_xll.BDH("NBIX US Equity","ARD_CASH_PAID_FOR_INTEREST","FQ2 2019","FQ2 2019","Currency=USD","Period=FQ","BEST_FPERIOD_OVERRIDE=FQ","FILING_STATUS=MR","SCALING_FORMAT=MLN","Sort=A","Dates=H","DateFormat=P","Fill=—","Direction=H","UseDPDF=Y")</f>
        <v>5.8220000000000001</v>
      </c>
      <c r="F45" s="13">
        <f>_xll.BDH("NBIX US Equity","ARD_CASH_PAID_FOR_INTEREST","FQ3 2019","FQ3 2019","Currency=USD","Period=FQ","BEST_FPERIOD_OVERRIDE=FQ","FILING_STATUS=MR","SCALING_FORMAT=MLN","Sort=A","Dates=H","DateFormat=P","Fill=—","Direction=H","UseDPDF=Y")</f>
        <v>5.8220000000000001</v>
      </c>
      <c r="G45" s="13">
        <f>_xll.BDH("NBIX US Equity","ARD_CASH_PAID_FOR_INTEREST","FQ4 2019","FQ4 2019","Currency=USD","Period=FQ","BEST_FPERIOD_OVERRIDE=FQ","FILING_STATUS=MR","SCALING_FORMAT=MLN","Sort=A","Dates=H","DateFormat=P","Fill=—","Direction=H","UseDPDF=Y")</f>
        <v>11.6</v>
      </c>
      <c r="H45" s="13" t="str">
        <f>_xll.BDH("NBIX US Equity","ARD_CASH_PAID_FOR_INTEREST","FQ1 2020","FQ1 2020","Currency=USD","Period=FQ","BEST_FPERIOD_OVERRIDE=FQ","FILING_STATUS=MR","SCALING_FORMAT=MLN","Sort=A","Dates=H","DateFormat=P","Fill=—","Direction=H","UseDPDF=Y")</f>
        <v>—</v>
      </c>
      <c r="I45" s="13">
        <f>_xll.BDH("NBIX US Equity","ARD_CASH_PAID_FOR_INTEREST","FQ2 2020","FQ2 2020","Currency=USD","Period=FQ","BEST_FPERIOD_OVERRIDE=FQ","FILING_STATUS=MR","SCALING_FORMAT=MLN","Sort=A","Dates=H","DateFormat=P","Fill=—","Direction=H","UseDPDF=Y")</f>
        <v>5.8</v>
      </c>
      <c r="J45" s="13">
        <f>_xll.BDH("NBIX US Equity","ARD_CASH_PAID_FOR_INTEREST","FQ3 2020","FQ3 2020","Currency=USD","Period=FQ","BEST_FPERIOD_OVERRIDE=FQ","FILING_STATUS=MR","SCALING_FORMAT=MLN","Sort=A","Dates=H","DateFormat=P","Fill=—","Direction=H","UseDPDF=Y")</f>
        <v>5.8</v>
      </c>
      <c r="K45" s="13">
        <f>_xll.BDH("NBIX US Equity","ARD_CASH_PAID_FOR_INTEREST","FQ4 2020","FQ4 2020","Currency=USD","Period=FQ","BEST_FPERIOD_OVERRIDE=FQ","FILING_STATUS=MR","SCALING_FORMAT=MLN","Sort=A","Dates=H","DateFormat=P","Fill=—","Direction=H","UseDPDF=Y")</f>
        <v>11.6</v>
      </c>
      <c r="L45" s="13" t="str">
        <f>_xll.BDH("NBIX US Equity","ARD_CASH_PAID_FOR_INTEREST","FQ1 2021","FQ1 2021","Currency=USD","Period=FQ","BEST_FPERIOD_OVERRIDE=FQ","FILING_STATUS=MR","SCALING_FORMAT=MLN","Sort=A","Dates=H","DateFormat=P","Fill=—","Direction=H","UseDPDF=Y")</f>
        <v>—</v>
      </c>
      <c r="M45" s="13">
        <f>_xll.BDH("NBIX US Equity","ARD_CASH_PAID_FOR_INTEREST","FQ2 2021","FQ2 2021","Currency=USD","Period=FQ","BEST_FPERIOD_OVERRIDE=FQ","FILING_STATUS=MR","SCALING_FORMAT=MLN","Sort=A","Dates=H","DateFormat=P","Fill=—","Direction=H","UseDPDF=Y")</f>
        <v>4.3</v>
      </c>
      <c r="N45" s="13">
        <f>_xll.BDH("NBIX US Equity","ARD_CASH_PAID_FOR_INTEREST","FQ3 2021","FQ3 2021","Currency=USD","Period=FQ","BEST_FPERIOD_OVERRIDE=FQ","FILING_STATUS=MR","SCALING_FORMAT=MLN","Sort=A","Dates=H","DateFormat=P","Fill=—","Direction=H","UseDPDF=Y")</f>
        <v>4.3</v>
      </c>
      <c r="O45" s="13">
        <f>_xll.BDH("NBIX US Equity","ARD_CASH_PAID_FOR_INTEREST","FQ4 2021","FQ4 2021","Currency=USD","Period=FQ","BEST_FPERIOD_OVERRIDE=FQ","FILING_STATUS=MR","SCALING_FORMAT=MLN","Sort=A","Dates=H","DateFormat=P","Fill=—","Direction=H","UseDPDF=Y")</f>
        <v>8.6</v>
      </c>
      <c r="P45" s="13" t="str">
        <f>_xll.BDH("NBIX US Equity","ARD_CASH_PAID_FOR_INTEREST","FQ1 2022","FQ1 2022","Currency=USD","Period=FQ","BEST_FPERIOD_OVERRIDE=FQ","FILING_STATUS=MR","SCALING_FORMAT=MLN","Sort=A","Dates=H","DateFormat=P","Fill=—","Direction=H","UseDPDF=Y")</f>
        <v>—</v>
      </c>
      <c r="Q45" s="13">
        <f>_xll.BDH("NBIX US Equity","ARD_CASH_PAID_FOR_INTEREST","FQ2 2022","FQ2 2022","Currency=USD","Period=FQ","BEST_FPERIOD_OVERRIDE=FQ","FILING_STATUS=MR","SCALING_FORMAT=MLN","Sort=A","Dates=H","DateFormat=P","Fill=—","Direction=H","UseDPDF=Y")</f>
        <v>4.5999999999999996</v>
      </c>
      <c r="R45" s="13">
        <f>_xll.BDH("NBIX US Equity","ARD_CASH_PAID_FOR_INTEREST","FQ3 2022","FQ3 2022","Currency=USD","Period=FQ","BEST_FPERIOD_OVERRIDE=FQ","FILING_STATUS=MR","SCALING_FORMAT=MLN","Sort=A","Dates=H","DateFormat=P","Fill=—","Direction=H","UseDPDF=Y")</f>
        <v>4.5999999999999996</v>
      </c>
      <c r="S45" s="13">
        <f>_xll.BDH("NBIX US Equity","ARD_CASH_PAID_FOR_INTEREST","FQ4 2022","FQ4 2022","Currency=USD","Period=FQ","BEST_FPERIOD_OVERRIDE=FQ","FILING_STATUS=MR","SCALING_FORMAT=MLN","Sort=A","Dates=H","DateFormat=P","Fill=—","Direction=H","UseDPDF=Y")</f>
        <v>6.6</v>
      </c>
      <c r="T45" s="13" t="str">
        <f>_xll.BDH("NBIX US Equity","ARD_CASH_PAID_FOR_INTEREST","FQ1 2023","FQ1 2023","Currency=USD","Period=FQ","BEST_FPERIOD_OVERRIDE=FQ","FILING_STATUS=MR","SCALING_FORMAT=MLN","Sort=A","Dates=H","DateFormat=P","Fill=—","Direction=H","UseDPDF=Y")</f>
        <v>—</v>
      </c>
      <c r="U45" s="13">
        <f>_xll.BDH("NBIX US Equity","ARD_CASH_PAID_FOR_INTEREST","FQ2 2023","FQ2 2023","Currency=USD","Period=FQ","BEST_FPERIOD_OVERRIDE=FQ","FILING_STATUS=MR","SCALING_FORMAT=MLN","Sort=A","Dates=H","DateFormat=P","Fill=—","Direction=H","UseDPDF=Y")</f>
        <v>1.9</v>
      </c>
      <c r="V45" s="13">
        <f>_xll.BDH("NBIX US Equity","ARD_CASH_PAID_FOR_INTEREST","FQ3 2023","FQ3 2023","Currency=USD","Period=FQ","BEST_FPERIOD_OVERRIDE=FQ","FILING_STATUS=MR","SCALING_FORMAT=MLN","Sort=A","Dates=H","DateFormat=P","Fill=—","Direction=H","UseDPDF=Y")</f>
        <v>1.9</v>
      </c>
      <c r="W45" s="13">
        <f>_xll.BDH("NBIX US Equity","ARD_CASH_PAID_FOR_INTEREST","FQ4 2023","FQ4 2023","Currency=USD","Period=FQ","BEST_FPERIOD_OVERRIDE=FQ","FILING_STATUS=MR","SCALING_FORMAT=MLN","Sort=A","Dates=H","DateFormat=P","Fill=—","Direction=H","UseDPDF=Y")</f>
        <v>3.8</v>
      </c>
      <c r="X45" s="13" t="str">
        <f>_xll.BDH("NBIX US Equity","ARD_CASH_PAID_FOR_INTEREST","FQ1 2024","FQ1 2024","Currency=USD","Period=FQ","BEST_FPERIOD_OVERRIDE=FQ","FILING_STATUS=MR","SCALING_FORMAT=MLN","Sort=A","Dates=H","DateFormat=P","Fill=—","Direction=H","UseDPDF=Y")</f>
        <v>—</v>
      </c>
      <c r="Y45" s="13">
        <f>_xll.BDH("NBIX US Equity","ARD_CASH_PAID_FOR_INTEREST","FQ2 2024","FQ2 2024","Currency=USD","Period=FQ","BEST_FPERIOD_OVERRIDE=FQ","FILING_STATUS=MR","SCALING_FORMAT=MLN","Sort=A","Dates=H","DateFormat=P","Fill=—","Direction=H","UseDPDF=Y")</f>
        <v>1.6</v>
      </c>
      <c r="Z45" s="13">
        <f>_xll.BDH("NBIX US Equity","ARD_CASH_PAID_FOR_INTEREST","FQ3 2024","FQ3 2024","Currency=USD","Period=FQ","BEST_FPERIOD_OVERRIDE=FQ","FILING_STATUS=MR","SCALING_FORMAT=MLN","Sort=A","Dates=H","DateFormat=P","Fill=—","Direction=H","UseDPDF=Y")</f>
        <v>1.6</v>
      </c>
      <c r="AA45" s="13">
        <f>_xll.BDH("NBIX US Equity","ARD_CASH_PAID_FOR_INTEREST","FQ4 2024","FQ4 2024","Currency=USD","Period=FQ","BEST_FPERIOD_OVERRIDE=FQ","FILING_STATUS=MR","SCALING_FORMAT=MLN","Sort=A","Dates=H","DateFormat=P","Fill=—","Direction=H","UseDPDF=Y")</f>
        <v>1.6</v>
      </c>
    </row>
    <row r="46" spans="1:27" x14ac:dyDescent="0.25">
      <c r="A46" s="10" t="s">
        <v>1241</v>
      </c>
      <c r="B46" s="10" t="s">
        <v>1242</v>
      </c>
      <c r="C46" s="13">
        <f>_xll.BDH("NBIX US Equity","ARD_NET_CHANGE_IN_CASH","FQ4 2018","FQ4 2018","Currency=USD","Period=FQ","BEST_FPERIOD_OVERRIDE=FQ","FILING_STATUS=MR","SCALING_FORMAT=MLN","Sort=A","Dates=H","DateFormat=P","Fill=—","Direction=H","UseDPDF=Y")</f>
        <v>-112.021</v>
      </c>
      <c r="D46" s="13">
        <f>_xll.BDH("NBIX US Equity","ARD_NET_CHANGE_IN_CASH","FQ1 2019","FQ1 2019","Currency=USD","Period=FQ","BEST_FPERIOD_OVERRIDE=FQ","FILING_STATUS=MR","SCALING_FORMAT=MLN","Sort=A","Dates=H","DateFormat=P","Fill=—","Direction=H","UseDPDF=Y")</f>
        <v>-68.936000000000007</v>
      </c>
      <c r="E46" s="13">
        <f>_xll.BDH("NBIX US Equity","ARD_NET_CHANGE_IN_CASH","FQ2 2019","FQ2 2019","Currency=USD","Period=FQ","BEST_FPERIOD_OVERRIDE=FQ","FILING_STATUS=MR","SCALING_FORMAT=MLN","Sort=A","Dates=H","DateFormat=P","Fill=—","Direction=H","UseDPDF=Y")</f>
        <v>-0.72899999999999998</v>
      </c>
      <c r="F46" s="13">
        <f>_xll.BDH("NBIX US Equity","ARD_NET_CHANGE_IN_CASH","FQ3 2019","FQ3 2019","Currency=USD","Period=FQ","BEST_FPERIOD_OVERRIDE=FQ","FILING_STATUS=MR","SCALING_FORMAT=MLN","Sort=A","Dates=H","DateFormat=P","Fill=—","Direction=H","UseDPDF=Y")</f>
        <v>24.614999999999998</v>
      </c>
      <c r="G46" s="13">
        <f>_xll.BDH("NBIX US Equity","ARD_NET_CHANGE_IN_CASH","FQ4 2019","FQ4 2019","Currency=USD","Period=FQ","BEST_FPERIOD_OVERRIDE=FQ","FILING_STATUS=MR","SCALING_FORMAT=MLN","Sort=A","Dates=H","DateFormat=P","Fill=—","Direction=H","UseDPDF=Y")</f>
        <v>-31.7</v>
      </c>
      <c r="H46" s="13">
        <f>_xll.BDH("NBIX US Equity","ARD_NET_CHANGE_IN_CASH","FQ1 2020","FQ1 2020","Currency=USD","Period=FQ","BEST_FPERIOD_OVERRIDE=FQ","FILING_STATUS=MR","SCALING_FORMAT=MLN","Sort=A","Dates=H","DateFormat=P","Fill=—","Direction=H","UseDPDF=Y")</f>
        <v>74.7</v>
      </c>
      <c r="I46" s="13">
        <f>_xll.BDH("NBIX US Equity","ARD_NET_CHANGE_IN_CASH","FQ2 2020","FQ2 2020","Currency=USD","Period=FQ","BEST_FPERIOD_OVERRIDE=FQ","FILING_STATUS=MR","SCALING_FORMAT=MLN","Sort=A","Dates=H","DateFormat=P","Fill=—","Direction=H","UseDPDF=Y")</f>
        <v>302.8</v>
      </c>
      <c r="J46" s="13">
        <f>_xll.BDH("NBIX US Equity","ARD_NET_CHANGE_IN_CASH","FQ3 2020","FQ3 2020","Currency=USD","Period=FQ","BEST_FPERIOD_OVERRIDE=FQ","FILING_STATUS=MR","SCALING_FORMAT=MLN","Sort=A","Dates=H","DateFormat=P","Fill=—","Direction=H","UseDPDF=Y")</f>
        <v>313</v>
      </c>
      <c r="K46" s="13">
        <f>_xll.BDH("NBIX US Equity","ARD_NET_CHANGE_IN_CASH","FQ4 2020","FQ4 2020","Currency=USD","Period=FQ","BEST_FPERIOD_OVERRIDE=FQ","FILING_STATUS=MR","SCALING_FORMAT=MLN","Sort=A","Dates=H","DateFormat=P","Fill=—","Direction=H","UseDPDF=Y")</f>
        <v>74.8</v>
      </c>
      <c r="L46" s="13">
        <f>_xll.BDH("NBIX US Equity","ARD_NET_CHANGE_IN_CASH","FQ1 2021","FQ1 2021","Currency=USD","Period=FQ","BEST_FPERIOD_OVERRIDE=FQ","FILING_STATUS=MR","SCALING_FORMAT=MLN","Sort=A","Dates=H","DateFormat=P","Fill=—","Direction=H","UseDPDF=Y")</f>
        <v>165.5</v>
      </c>
      <c r="M46" s="13">
        <f>_xll.BDH("NBIX US Equity","ARD_NET_CHANGE_IN_CASH","FQ2 2021","FQ2 2021","Currency=USD","Period=FQ","BEST_FPERIOD_OVERRIDE=FQ","FILING_STATUS=MR","SCALING_FORMAT=MLN","Sort=A","Dates=H","DateFormat=P","Fill=—","Direction=H","UseDPDF=Y")</f>
        <v>180.9</v>
      </c>
      <c r="N46" s="13">
        <f>_xll.BDH("NBIX US Equity","ARD_NET_CHANGE_IN_CASH","FQ3 2021","FQ3 2021","Currency=USD","Period=FQ","BEST_FPERIOD_OVERRIDE=FQ","FILING_STATUS=MR","SCALING_FORMAT=MLN","Sort=A","Dates=H","DateFormat=P","Fill=—","Direction=H","UseDPDF=Y")</f>
        <v>124</v>
      </c>
      <c r="O46" s="13">
        <f>_xll.BDH("NBIX US Equity","ARD_NET_CHANGE_IN_CASH","FQ4 2021","FQ4 2021","Currency=USD","Period=FQ","BEST_FPERIOD_OVERRIDE=FQ","FILING_STATUS=MR","SCALING_FORMAT=MLN","Sort=A","Dates=H","DateFormat=P","Fill=—","Direction=H","UseDPDF=Y")</f>
        <v>153.69999999999999</v>
      </c>
      <c r="P46" s="13">
        <f>_xll.BDH("NBIX US Equity","ARD_NET_CHANGE_IN_CASH","FQ1 2022","FQ1 2022","Currency=USD","Period=FQ","BEST_FPERIOD_OVERRIDE=FQ","FILING_STATUS=MR","SCALING_FORMAT=MLN","Sort=A","Dates=H","DateFormat=P","Fill=—","Direction=H","UseDPDF=Y")</f>
        <v>-66</v>
      </c>
      <c r="Q46" s="13">
        <f>_xll.BDH("NBIX US Equity","ARD_NET_CHANGE_IN_CASH","FQ2 2022","FQ2 2022","Currency=USD","Period=FQ","BEST_FPERIOD_OVERRIDE=FQ","FILING_STATUS=MR","SCALING_FORMAT=MLN","Sort=A","Dates=H","DateFormat=P","Fill=—","Direction=H","UseDPDF=Y")</f>
        <v>-172.9</v>
      </c>
      <c r="R46" s="13">
        <f>_xll.BDH("NBIX US Equity","ARD_NET_CHANGE_IN_CASH","FQ3 2022","FQ3 2022","Currency=USD","Period=FQ","BEST_FPERIOD_OVERRIDE=FQ","FILING_STATUS=MR","SCALING_FORMAT=MLN","Sort=A","Dates=H","DateFormat=P","Fill=—","Direction=H","UseDPDF=Y")</f>
        <v>-124</v>
      </c>
      <c r="S46" s="13">
        <f>_xll.BDH("NBIX US Equity","ARD_NET_CHANGE_IN_CASH","FQ4 2022","FQ4 2022","Currency=USD","Period=FQ","BEST_FPERIOD_OVERRIDE=FQ","FILING_STATUS=MR","SCALING_FORMAT=MLN","Sort=A","Dates=H","DateFormat=P","Fill=—","Direction=H","UseDPDF=Y")</f>
        <v>-73.3</v>
      </c>
      <c r="T46" s="13">
        <f>_xll.BDH("NBIX US Equity","ARD_NET_CHANGE_IN_CASH","FQ1 2023","FQ1 2023","Currency=USD","Period=FQ","BEST_FPERIOD_OVERRIDE=FQ","FILING_STATUS=MR","SCALING_FORMAT=MLN","Sort=A","Dates=H","DateFormat=P","Fill=—","Direction=H","UseDPDF=Y")</f>
        <v>-159.1</v>
      </c>
      <c r="U46" s="13">
        <f>_xll.BDH("NBIX US Equity","ARD_NET_CHANGE_IN_CASH","FQ2 2023","FQ2 2023","Currency=USD","Period=FQ","BEST_FPERIOD_OVERRIDE=FQ","FILING_STATUS=MR","SCALING_FORMAT=MLN","Sort=A","Dates=H","DateFormat=P","Fill=—","Direction=H","UseDPDF=Y")</f>
        <v>-102.5</v>
      </c>
      <c r="V46" s="13">
        <f>_xll.BDH("NBIX US Equity","ARD_NET_CHANGE_IN_CASH","FQ3 2023","FQ3 2023","Currency=USD","Period=FQ","BEST_FPERIOD_OVERRIDE=FQ","FILING_STATUS=MR","SCALING_FORMAT=MLN","Sort=A","Dates=H","DateFormat=P","Fill=—","Direction=H","UseDPDF=Y")</f>
        <v>31</v>
      </c>
      <c r="W46" s="13">
        <f>_xll.BDH("NBIX US Equity","ARD_NET_CHANGE_IN_CASH","FQ4 2023","FQ4 2023","Currency=USD","Period=FQ","BEST_FPERIOD_OVERRIDE=FQ","FILING_STATUS=MR","SCALING_FORMAT=MLN","Sort=A","Dates=H","DateFormat=P","Fill=—","Direction=H","UseDPDF=Y")</f>
        <v>-11.6</v>
      </c>
      <c r="X46" s="13">
        <f>_xll.BDH("NBIX US Equity","ARD_NET_CHANGE_IN_CASH","FQ1 2024","FQ1 2024","Currency=USD","Period=FQ","BEST_FPERIOD_OVERRIDE=FQ","FILING_STATUS=MR","SCALING_FORMAT=MLN","Sort=A","Dates=H","DateFormat=P","Fill=—","Direction=H","UseDPDF=Y")</f>
        <v>145.19999999999999</v>
      </c>
      <c r="Y46" s="13">
        <f>_xll.BDH("NBIX US Equity","ARD_NET_CHANGE_IN_CASH","FQ2 2024","FQ2 2024","Currency=USD","Period=FQ","BEST_FPERIOD_OVERRIDE=FQ","FILING_STATUS=MR","SCALING_FORMAT=MLN","Sort=A","Dates=H","DateFormat=P","Fill=—","Direction=H","UseDPDF=Y")</f>
        <v>-111.4</v>
      </c>
      <c r="Z46" s="13">
        <f>_xll.BDH("NBIX US Equity","ARD_NET_CHANGE_IN_CASH","FQ3 2024","FQ3 2024","Currency=USD","Period=FQ","BEST_FPERIOD_OVERRIDE=FQ","FILING_STATUS=MR","SCALING_FORMAT=MLN","Sort=A","Dates=H","DateFormat=P","Fill=—","Direction=H","UseDPDF=Y")</f>
        <v>98</v>
      </c>
      <c r="AA46" s="13">
        <f>_xll.BDH("NBIX US Equity","ARD_NET_CHANGE_IN_CASH","FQ4 2024","FQ4 2024","Currency=USD","Period=FQ","BEST_FPERIOD_OVERRIDE=FQ","FILING_STATUS=MR","SCALING_FORMAT=MLN","Sort=A","Dates=H","DateFormat=P","Fill=—","Direction=H","UseDPDF=Y")</f>
        <v>-18.100000000000001</v>
      </c>
    </row>
    <row r="47" spans="1:27" x14ac:dyDescent="0.25">
      <c r="A47" s="10" t="s">
        <v>1243</v>
      </c>
      <c r="B47" s="10" t="s">
        <v>1244</v>
      </c>
      <c r="C47" s="13">
        <f>_xll.BDH("NBIX US Equity","ARD_CASH_CASH_EQUIV_END_OF_PER","FQ4 2018","FQ4 2018","Currency=USD","Period=FQ","BEST_FPERIOD_OVERRIDE=FQ","FILING_STATUS=MR","SCALING_FORMAT=MLN","Sort=A","Dates=H","DateFormat=P","Fill=—","Direction=H","UseDPDF=Y")</f>
        <v>147.191</v>
      </c>
      <c r="D47" s="13">
        <f>_xll.BDH("NBIX US Equity","ARD_CASH_CASH_EQUIV_END_OF_PER","FQ1 2019","FQ1 2019","Currency=USD","Period=FQ","BEST_FPERIOD_OVERRIDE=FQ","FILING_STATUS=MR","SCALING_FORMAT=MLN","Sort=A","Dates=H","DateFormat=P","Fill=—","Direction=H","UseDPDF=Y")</f>
        <v>78.254999999999995</v>
      </c>
      <c r="E47" s="13">
        <f>_xll.BDH("NBIX US Equity","ARD_CASH_CASH_EQUIV_END_OF_PER","FQ2 2019","FQ2 2019","Currency=USD","Period=FQ","BEST_FPERIOD_OVERRIDE=FQ","FILING_STATUS=MR","SCALING_FORMAT=MLN","Sort=A","Dates=H","DateFormat=P","Fill=—","Direction=H","UseDPDF=Y")</f>
        <v>146.46199999999999</v>
      </c>
      <c r="F47" s="13">
        <f>_xll.BDH("NBIX US Equity","ARD_CASH_CASH_EQUIV_END_OF_PER","FQ3 2019","FQ3 2019","Currency=USD","Period=FQ","BEST_FPERIOD_OVERRIDE=FQ","FILING_STATUS=MR","SCALING_FORMAT=MLN","Sort=A","Dates=H","DateFormat=P","Fill=—","Direction=H","UseDPDF=Y")</f>
        <v>171.80600000000001</v>
      </c>
      <c r="G47" s="13">
        <f>_xll.BDH("NBIX US Equity","ARD_CASH_CASH_EQUIV_END_OF_PER","FQ4 2019","FQ4 2019","Currency=USD","Period=FQ","BEST_FPERIOD_OVERRIDE=FQ","FILING_STATUS=MR","SCALING_FORMAT=MLN","Sort=A","Dates=H","DateFormat=P","Fill=—","Direction=H","UseDPDF=Y")</f>
        <v>115.5</v>
      </c>
      <c r="H47" s="13">
        <f>_xll.BDH("NBIX US Equity","ARD_CASH_CASH_EQUIV_END_OF_PER","FQ1 2020","FQ1 2020","Currency=USD","Period=FQ","BEST_FPERIOD_OVERRIDE=FQ","FILING_STATUS=MR","SCALING_FORMAT=MLN","Sort=A","Dates=H","DateFormat=P","Fill=—","Direction=H","UseDPDF=Y")</f>
        <v>190.2</v>
      </c>
      <c r="I47" s="13">
        <f>_xll.BDH("NBIX US Equity","ARD_CASH_CASH_EQUIV_END_OF_PER","FQ2 2020","FQ2 2020","Currency=USD","Period=FQ","BEST_FPERIOD_OVERRIDE=FQ","FILING_STATUS=MR","SCALING_FORMAT=MLN","Sort=A","Dates=H","DateFormat=P","Fill=—","Direction=H","UseDPDF=Y")</f>
        <v>418.3</v>
      </c>
      <c r="J47" s="13">
        <f>_xll.BDH("NBIX US Equity","ARD_CASH_CASH_EQUIV_END_OF_PER","FQ3 2020","FQ3 2020","Currency=USD","Period=FQ","BEST_FPERIOD_OVERRIDE=FQ","FILING_STATUS=MR","SCALING_FORMAT=MLN","Sort=A","Dates=H","DateFormat=P","Fill=—","Direction=H","UseDPDF=Y")</f>
        <v>428.5</v>
      </c>
      <c r="K47" s="13">
        <f>_xll.BDH("NBIX US Equity","ARD_CASH_CASH_EQUIV_END_OF_PER","FQ4 2020","FQ4 2020","Currency=USD","Period=FQ","BEST_FPERIOD_OVERRIDE=FQ","FILING_STATUS=MR","SCALING_FORMAT=MLN","Sort=A","Dates=H","DateFormat=P","Fill=—","Direction=H","UseDPDF=Y")</f>
        <v>190.3</v>
      </c>
      <c r="L47" s="13">
        <f>_xll.BDH("NBIX US Equity","ARD_CASH_CASH_EQUIV_END_OF_PER","FQ1 2021","FQ1 2021","Currency=USD","Period=FQ","BEST_FPERIOD_OVERRIDE=FQ","FILING_STATUS=MR","SCALING_FORMAT=MLN","Sort=A","Dates=H","DateFormat=P","Fill=—","Direction=H","UseDPDF=Y")</f>
        <v>355.8</v>
      </c>
      <c r="M47" s="13">
        <f>_xll.BDH("NBIX US Equity","ARD_CASH_CASH_EQUIV_END_OF_PER","FQ2 2021","FQ2 2021","Currency=USD","Period=FQ","BEST_FPERIOD_OVERRIDE=FQ","FILING_STATUS=MR","SCALING_FORMAT=MLN","Sort=A","Dates=H","DateFormat=P","Fill=—","Direction=H","UseDPDF=Y")</f>
        <v>371.2</v>
      </c>
      <c r="N47" s="13">
        <f>_xll.BDH("NBIX US Equity","ARD_CASH_CASH_EQUIV_END_OF_PER","FQ3 2021","FQ3 2021","Currency=USD","Period=FQ","BEST_FPERIOD_OVERRIDE=FQ","FILING_STATUS=MR","SCALING_FORMAT=MLN","Sort=A","Dates=H","DateFormat=P","Fill=—","Direction=H","UseDPDF=Y")</f>
        <v>314.3</v>
      </c>
      <c r="O47" s="13">
        <f>_xll.BDH("NBIX US Equity","ARD_CASH_CASH_EQUIV_END_OF_PER","FQ4 2021","FQ4 2021","Currency=USD","Period=FQ","BEST_FPERIOD_OVERRIDE=FQ","FILING_STATUS=MR","SCALING_FORMAT=MLN","Sort=A","Dates=H","DateFormat=P","Fill=—","Direction=H","UseDPDF=Y")</f>
        <v>344</v>
      </c>
      <c r="P47" s="13">
        <f>_xll.BDH("NBIX US Equity","ARD_CASH_CASH_EQUIV_END_OF_PER","FQ1 2022","FQ1 2022","Currency=USD","Period=FQ","BEST_FPERIOD_OVERRIDE=FQ","FILING_STATUS=MR","SCALING_FORMAT=MLN","Sort=A","Dates=H","DateFormat=P","Fill=—","Direction=H","UseDPDF=Y")</f>
        <v>278</v>
      </c>
      <c r="Q47" s="13">
        <f>_xll.BDH("NBIX US Equity","ARD_CASH_CASH_EQUIV_END_OF_PER","FQ2 2022","FQ2 2022","Currency=USD","Period=FQ","BEST_FPERIOD_OVERRIDE=FQ","FILING_STATUS=MR","SCALING_FORMAT=MLN","Sort=A","Dates=H","DateFormat=P","Fill=—","Direction=H","UseDPDF=Y")</f>
        <v>171.1</v>
      </c>
      <c r="R47" s="13">
        <f>_xll.BDH("NBIX US Equity","ARD_CASH_CASH_EQUIV_END_OF_PER","FQ3 2022","FQ3 2022","Currency=USD","Period=FQ","BEST_FPERIOD_OVERRIDE=FQ","FILING_STATUS=MR","SCALING_FORMAT=MLN","Sort=A","Dates=H","DateFormat=P","Fill=—","Direction=H","UseDPDF=Y")</f>
        <v>220</v>
      </c>
      <c r="S47" s="13">
        <f>_xll.BDH("NBIX US Equity","ARD_CASH_CASH_EQUIV_END_OF_PER","FQ4 2022","FQ4 2022","Currency=USD","Period=FQ","BEST_FPERIOD_OVERRIDE=FQ","FILING_STATUS=MR","SCALING_FORMAT=MLN","Sort=A","Dates=H","DateFormat=P","Fill=—","Direction=H","UseDPDF=Y")</f>
        <v>270.7</v>
      </c>
      <c r="T47" s="13">
        <f>_xll.BDH("NBIX US Equity","ARD_CASH_CASH_EQUIV_END_OF_PER","FQ1 2023","FQ1 2023","Currency=USD","Period=FQ","BEST_FPERIOD_OVERRIDE=FQ","FILING_STATUS=MR","SCALING_FORMAT=MLN","Sort=A","Dates=H","DateFormat=P","Fill=—","Direction=H","UseDPDF=Y")</f>
        <v>111.6</v>
      </c>
      <c r="U47" s="13">
        <f>_xll.BDH("NBIX US Equity","ARD_CASH_CASH_EQUIV_END_OF_PER","FQ2 2023","FQ2 2023","Currency=USD","Period=FQ","BEST_FPERIOD_OVERRIDE=FQ","FILING_STATUS=MR","SCALING_FORMAT=MLN","Sort=A","Dates=H","DateFormat=P","Fill=—","Direction=H","UseDPDF=Y")</f>
        <v>168.2</v>
      </c>
      <c r="V47" s="13">
        <f>_xll.BDH("NBIX US Equity","ARD_CASH_CASH_EQUIV_END_OF_PER","FQ3 2023","FQ3 2023","Currency=USD","Period=FQ","BEST_FPERIOD_OVERRIDE=FQ","FILING_STATUS=MR","SCALING_FORMAT=MLN","Sort=A","Dates=H","DateFormat=P","Fill=—","Direction=H","UseDPDF=Y")</f>
        <v>301.7</v>
      </c>
      <c r="W47" s="13">
        <f>_xll.BDH("NBIX US Equity","ARD_CASH_CASH_EQUIV_END_OF_PER","FQ4 2023","FQ4 2023","Currency=USD","Period=FQ","BEST_FPERIOD_OVERRIDE=FQ","FILING_STATUS=MR","SCALING_FORMAT=MLN","Sort=A","Dates=H","DateFormat=P","Fill=—","Direction=H","UseDPDF=Y")</f>
        <v>259.10000000000002</v>
      </c>
      <c r="X47" s="13">
        <f>_xll.BDH("NBIX US Equity","ARD_CASH_CASH_EQUIV_END_OF_PER","FQ1 2024","FQ1 2024","Currency=USD","Period=FQ","BEST_FPERIOD_OVERRIDE=FQ","FILING_STATUS=MR","SCALING_FORMAT=MLN","Sort=A","Dates=H","DateFormat=P","Fill=—","Direction=H","UseDPDF=Y")</f>
        <v>404.3</v>
      </c>
      <c r="Y47" s="13">
        <f>_xll.BDH("NBIX US Equity","ARD_CASH_CASH_EQUIV_END_OF_PER","FQ2 2024","FQ2 2024","Currency=USD","Period=FQ","BEST_FPERIOD_OVERRIDE=FQ","FILING_STATUS=MR","SCALING_FORMAT=MLN","Sort=A","Dates=H","DateFormat=P","Fill=—","Direction=H","UseDPDF=Y")</f>
        <v>147.69999999999999</v>
      </c>
      <c r="Z47" s="13">
        <f>_xll.BDH("NBIX US Equity","ARD_CASH_CASH_EQUIV_END_OF_PER","FQ3 2024","FQ3 2024","Currency=USD","Period=FQ","BEST_FPERIOD_OVERRIDE=FQ","FILING_STATUS=MR","SCALING_FORMAT=MLN","Sort=A","Dates=H","DateFormat=P","Fill=—","Direction=H","UseDPDF=Y")</f>
        <v>357.1</v>
      </c>
      <c r="AA47" s="13">
        <f>_xll.BDH("NBIX US Equity","ARD_CASH_CASH_EQUIV_END_OF_PER","FQ4 2024","FQ4 2024","Currency=USD","Period=FQ","BEST_FPERIOD_OVERRIDE=FQ","FILING_STATUS=MR","SCALING_FORMAT=MLN","Sort=A","Dates=H","DateFormat=P","Fill=—","Direction=H","UseDPDF=Y")</f>
        <v>241</v>
      </c>
    </row>
    <row r="48" spans="1:27" x14ac:dyDescent="0.25">
      <c r="A48" s="10" t="s">
        <v>1245</v>
      </c>
      <c r="B48" s="10" t="s">
        <v>1246</v>
      </c>
      <c r="C48" s="13">
        <f>_xll.BDH("NBIX US Equity","ARD_CASH_CASH_EQUIV_BEG_OF_PER","FQ4 2018","FQ4 2018","Currency=USD","Period=FQ","BEST_FPERIOD_OVERRIDE=FQ","FILING_STATUS=MR","SCALING_FORMAT=MLN","Sort=A","Dates=H","DateFormat=P","Fill=—","Direction=H","UseDPDF=Y")</f>
        <v>259.21199999999999</v>
      </c>
      <c r="D48" s="13">
        <f>_xll.BDH("NBIX US Equity","ARD_CASH_CASH_EQUIV_BEG_OF_PER","FQ1 2019","FQ1 2019","Currency=USD","Period=FQ","BEST_FPERIOD_OVERRIDE=FQ","FILING_STATUS=MR","SCALING_FORMAT=MLN","Sort=A","Dates=H","DateFormat=P","Fill=—","Direction=H","UseDPDF=Y")</f>
        <v>147.191</v>
      </c>
      <c r="E48" s="13">
        <f>_xll.BDH("NBIX US Equity","ARD_CASH_CASH_EQUIV_BEG_OF_PER","FQ2 2019","FQ2 2019","Currency=USD","Period=FQ","BEST_FPERIOD_OVERRIDE=FQ","FILING_STATUS=MR","SCALING_FORMAT=MLN","Sort=A","Dates=H","DateFormat=P","Fill=—","Direction=H","UseDPDF=Y")</f>
        <v>147.191</v>
      </c>
      <c r="F48" s="13">
        <f>_xll.BDH("NBIX US Equity","ARD_CASH_CASH_EQUIV_BEG_OF_PER","FQ3 2019","FQ3 2019","Currency=USD","Period=FQ","BEST_FPERIOD_OVERRIDE=FQ","FILING_STATUS=MR","SCALING_FORMAT=MLN","Sort=A","Dates=H","DateFormat=P","Fill=—","Direction=H","UseDPDF=Y")</f>
        <v>147.191</v>
      </c>
      <c r="G48" s="13">
        <f>_xll.BDH("NBIX US Equity","ARD_CASH_CASH_EQUIV_BEG_OF_PER","FQ4 2019","FQ4 2019","Currency=USD","Period=FQ","BEST_FPERIOD_OVERRIDE=FQ","FILING_STATUS=MR","SCALING_FORMAT=MLN","Sort=A","Dates=H","DateFormat=P","Fill=—","Direction=H","UseDPDF=Y")</f>
        <v>147.19999999999999</v>
      </c>
      <c r="H48" s="13">
        <f>_xll.BDH("NBIX US Equity","ARD_CASH_CASH_EQUIV_BEG_OF_PER","FQ1 2020","FQ1 2020","Currency=USD","Period=FQ","BEST_FPERIOD_OVERRIDE=FQ","FILING_STATUS=MR","SCALING_FORMAT=MLN","Sort=A","Dates=H","DateFormat=P","Fill=—","Direction=H","UseDPDF=Y")</f>
        <v>115.5</v>
      </c>
      <c r="I48" s="13">
        <f>_xll.BDH("NBIX US Equity","ARD_CASH_CASH_EQUIV_BEG_OF_PER","FQ2 2020","FQ2 2020","Currency=USD","Period=FQ","BEST_FPERIOD_OVERRIDE=FQ","FILING_STATUS=MR","SCALING_FORMAT=MLN","Sort=A","Dates=H","DateFormat=P","Fill=—","Direction=H","UseDPDF=Y")</f>
        <v>115.5</v>
      </c>
      <c r="J48" s="13">
        <f>_xll.BDH("NBIX US Equity","ARD_CASH_CASH_EQUIV_BEG_OF_PER","FQ3 2020","FQ3 2020","Currency=USD","Period=FQ","BEST_FPERIOD_OVERRIDE=FQ","FILING_STATUS=MR","SCALING_FORMAT=MLN","Sort=A","Dates=H","DateFormat=P","Fill=—","Direction=H","UseDPDF=Y")</f>
        <v>115.5</v>
      </c>
      <c r="K48" s="13">
        <f>_xll.BDH("NBIX US Equity","ARD_CASH_CASH_EQUIV_BEG_OF_PER","FQ4 2020","FQ4 2020","Currency=USD","Period=FQ","BEST_FPERIOD_OVERRIDE=FQ","FILING_STATUS=MR","SCALING_FORMAT=MLN","Sort=A","Dates=H","DateFormat=P","Fill=—","Direction=H","UseDPDF=Y")</f>
        <v>115.5</v>
      </c>
      <c r="L48" s="13">
        <f>_xll.BDH("NBIX US Equity","ARD_CASH_CASH_EQUIV_BEG_OF_PER","FQ1 2021","FQ1 2021","Currency=USD","Period=FQ","BEST_FPERIOD_OVERRIDE=FQ","FILING_STATUS=MR","SCALING_FORMAT=MLN","Sort=A","Dates=H","DateFormat=P","Fill=—","Direction=H","UseDPDF=Y")</f>
        <v>190.3</v>
      </c>
      <c r="M48" s="13">
        <f>_xll.BDH("NBIX US Equity","ARD_CASH_CASH_EQUIV_BEG_OF_PER","FQ2 2021","FQ2 2021","Currency=USD","Period=FQ","BEST_FPERIOD_OVERRIDE=FQ","FILING_STATUS=MR","SCALING_FORMAT=MLN","Sort=A","Dates=H","DateFormat=P","Fill=—","Direction=H","UseDPDF=Y")</f>
        <v>190.3</v>
      </c>
      <c r="N48" s="13">
        <f>_xll.BDH("NBIX US Equity","ARD_CASH_CASH_EQUIV_BEG_OF_PER","FQ3 2021","FQ3 2021","Currency=USD","Period=FQ","BEST_FPERIOD_OVERRIDE=FQ","FILING_STATUS=MR","SCALING_FORMAT=MLN","Sort=A","Dates=H","DateFormat=P","Fill=—","Direction=H","UseDPDF=Y")</f>
        <v>190.3</v>
      </c>
      <c r="O48" s="13">
        <f>_xll.BDH("NBIX US Equity","ARD_CASH_CASH_EQUIV_BEG_OF_PER","FQ4 2021","FQ4 2021","Currency=USD","Period=FQ","BEST_FPERIOD_OVERRIDE=FQ","FILING_STATUS=MR","SCALING_FORMAT=MLN","Sort=A","Dates=H","DateFormat=P","Fill=—","Direction=H","UseDPDF=Y")</f>
        <v>190.3</v>
      </c>
      <c r="P48" s="13">
        <f>_xll.BDH("NBIX US Equity","ARD_CASH_CASH_EQUIV_BEG_OF_PER","FQ1 2022","FQ1 2022","Currency=USD","Period=FQ","BEST_FPERIOD_OVERRIDE=FQ","FILING_STATUS=MR","SCALING_FORMAT=MLN","Sort=A","Dates=H","DateFormat=P","Fill=—","Direction=H","UseDPDF=Y")</f>
        <v>344</v>
      </c>
      <c r="Q48" s="13">
        <f>_xll.BDH("NBIX US Equity","ARD_CASH_CASH_EQUIV_BEG_OF_PER","FQ2 2022","FQ2 2022","Currency=USD","Period=FQ","BEST_FPERIOD_OVERRIDE=FQ","FILING_STATUS=MR","SCALING_FORMAT=MLN","Sort=A","Dates=H","DateFormat=P","Fill=—","Direction=H","UseDPDF=Y")</f>
        <v>344</v>
      </c>
      <c r="R48" s="13">
        <f>_xll.BDH("NBIX US Equity","ARD_CASH_CASH_EQUIV_BEG_OF_PER","FQ3 2022","FQ3 2022","Currency=USD","Period=FQ","BEST_FPERIOD_OVERRIDE=FQ","FILING_STATUS=MR","SCALING_FORMAT=MLN","Sort=A","Dates=H","DateFormat=P","Fill=—","Direction=H","UseDPDF=Y")</f>
        <v>344</v>
      </c>
      <c r="S48" s="13">
        <f>_xll.BDH("NBIX US Equity","ARD_CASH_CASH_EQUIV_BEG_OF_PER","FQ4 2022","FQ4 2022","Currency=USD","Period=FQ","BEST_FPERIOD_OVERRIDE=FQ","FILING_STATUS=MR","SCALING_FORMAT=MLN","Sort=A","Dates=H","DateFormat=P","Fill=—","Direction=H","UseDPDF=Y")</f>
        <v>344</v>
      </c>
      <c r="T48" s="13">
        <f>_xll.BDH("NBIX US Equity","ARD_CASH_CASH_EQUIV_BEG_OF_PER","FQ1 2023","FQ1 2023","Currency=USD","Period=FQ","BEST_FPERIOD_OVERRIDE=FQ","FILING_STATUS=MR","SCALING_FORMAT=MLN","Sort=A","Dates=H","DateFormat=P","Fill=—","Direction=H","UseDPDF=Y")</f>
        <v>270.7</v>
      </c>
      <c r="U48" s="13">
        <f>_xll.BDH("NBIX US Equity","ARD_CASH_CASH_EQUIV_BEG_OF_PER","FQ2 2023","FQ2 2023","Currency=USD","Period=FQ","BEST_FPERIOD_OVERRIDE=FQ","FILING_STATUS=MR","SCALING_FORMAT=MLN","Sort=A","Dates=H","DateFormat=P","Fill=—","Direction=H","UseDPDF=Y")</f>
        <v>270.7</v>
      </c>
      <c r="V48" s="13">
        <f>_xll.BDH("NBIX US Equity","ARD_CASH_CASH_EQUIV_BEG_OF_PER","FQ3 2023","FQ3 2023","Currency=USD","Period=FQ","BEST_FPERIOD_OVERRIDE=FQ","FILING_STATUS=MR","SCALING_FORMAT=MLN","Sort=A","Dates=H","DateFormat=P","Fill=—","Direction=H","UseDPDF=Y")</f>
        <v>270.7</v>
      </c>
      <c r="W48" s="13">
        <f>_xll.BDH("NBIX US Equity","ARD_CASH_CASH_EQUIV_BEG_OF_PER","FQ4 2023","FQ4 2023","Currency=USD","Period=FQ","BEST_FPERIOD_OVERRIDE=FQ","FILING_STATUS=MR","SCALING_FORMAT=MLN","Sort=A","Dates=H","DateFormat=P","Fill=—","Direction=H","UseDPDF=Y")</f>
        <v>270.7</v>
      </c>
      <c r="X48" s="13">
        <f>_xll.BDH("NBIX US Equity","ARD_CASH_CASH_EQUIV_BEG_OF_PER","FQ1 2024","FQ1 2024","Currency=USD","Period=FQ","BEST_FPERIOD_OVERRIDE=FQ","FILING_STATUS=MR","SCALING_FORMAT=MLN","Sort=A","Dates=H","DateFormat=P","Fill=—","Direction=H","UseDPDF=Y")</f>
        <v>259.10000000000002</v>
      </c>
      <c r="Y48" s="13">
        <f>_xll.BDH("NBIX US Equity","ARD_CASH_CASH_EQUIV_BEG_OF_PER","FQ2 2024","FQ2 2024","Currency=USD","Period=FQ","BEST_FPERIOD_OVERRIDE=FQ","FILING_STATUS=MR","SCALING_FORMAT=MLN","Sort=A","Dates=H","DateFormat=P","Fill=—","Direction=H","UseDPDF=Y")</f>
        <v>259.10000000000002</v>
      </c>
      <c r="Z48" s="13">
        <f>_xll.BDH("NBIX US Equity","ARD_CASH_CASH_EQUIV_BEG_OF_PER","FQ3 2024","FQ3 2024","Currency=USD","Period=FQ","BEST_FPERIOD_OVERRIDE=FQ","FILING_STATUS=MR","SCALING_FORMAT=MLN","Sort=A","Dates=H","DateFormat=P","Fill=—","Direction=H","UseDPDF=Y")</f>
        <v>259.10000000000002</v>
      </c>
      <c r="AA48" s="13">
        <f>_xll.BDH("NBIX US Equity","ARD_CASH_CASH_EQUIV_BEG_OF_PER","FQ4 2024","FQ4 2024","Currency=USD","Period=FQ","BEST_FPERIOD_OVERRIDE=FQ","FILING_STATUS=MR","SCALING_FORMAT=MLN","Sort=A","Dates=H","DateFormat=P","Fill=—","Direction=H","UseDPDF=Y")</f>
        <v>259.10000000000002</v>
      </c>
    </row>
    <row r="49" spans="1:27" x14ac:dyDescent="0.25">
      <c r="A49" s="6" t="s">
        <v>1247</v>
      </c>
      <c r="B49" s="6" t="s">
        <v>1248</v>
      </c>
      <c r="C49" s="19">
        <f>_xll.BDH("NBIX US Equity","ARD_TOT_CASHFLOWS_FROM_FINANCING","FQ4 2018","FQ4 2018","Currency=USD","Period=FQ","BEST_FPERIOD_OVERRIDE=FQ","FILING_STATUS=MR","SCALING_FORMAT=MLN","Sort=A","Dates=H","DateFormat=P","Fill=—","Direction=H","UseDPDF=Y")</f>
        <v>29.53</v>
      </c>
      <c r="D49" s="19">
        <f>_xll.BDH("NBIX US Equity","ARD_TOT_CASHFLOWS_FROM_FINANCING","FQ1 2019","FQ1 2019","Currency=USD","Period=FQ","BEST_FPERIOD_OVERRIDE=FQ","FILING_STATUS=MR","SCALING_FORMAT=MLN","Sort=A","Dates=H","DateFormat=P","Fill=—","Direction=H","UseDPDF=Y")</f>
        <v>2.581</v>
      </c>
      <c r="E49" s="19">
        <f>_xll.BDH("NBIX US Equity","ARD_TOT_CASHFLOWS_FROM_FINANCING","FQ2 2019","FQ2 2019","Currency=USD","Period=FQ","BEST_FPERIOD_OVERRIDE=FQ","FILING_STATUS=MR","SCALING_FORMAT=MLN","Sort=A","Dates=H","DateFormat=P","Fill=—","Direction=H","UseDPDF=Y")</f>
        <v>6.8650000000000002</v>
      </c>
      <c r="F49" s="19">
        <f>_xll.BDH("NBIX US Equity","ARD_TOT_CASHFLOWS_FROM_FINANCING","FQ3 2019","FQ3 2019","Currency=USD","Period=FQ","BEST_FPERIOD_OVERRIDE=FQ","FILING_STATUS=MR","SCALING_FORMAT=MLN","Sort=A","Dates=H","DateFormat=P","Fill=—","Direction=H","UseDPDF=Y")</f>
        <v>20.029</v>
      </c>
      <c r="G49" s="19">
        <f>_xll.BDH("NBIX US Equity","ARD_TOT_CASHFLOWS_FROM_FINANCING","FQ4 2019","FQ4 2019","Currency=USD","Period=FQ","BEST_FPERIOD_OVERRIDE=FQ","FILING_STATUS=MR","SCALING_FORMAT=MLN","Sort=A","Dates=H","DateFormat=P","Fill=—","Direction=H","UseDPDF=Y")</f>
        <v>32.4</v>
      </c>
      <c r="H49" s="19">
        <f>_xll.BDH("NBIX US Equity","ARD_TOT_CASHFLOWS_FROM_FINANCING","FQ1 2020","FQ1 2020","Currency=USD","Period=FQ","BEST_FPERIOD_OVERRIDE=FQ","FILING_STATUS=MR","SCALING_FORMAT=MLN","Sort=A","Dates=H","DateFormat=P","Fill=—","Direction=H","UseDPDF=Y")</f>
        <v>6</v>
      </c>
      <c r="I49" s="19">
        <f>_xll.BDH("NBIX US Equity","ARD_TOT_CASHFLOWS_FROM_FINANCING","FQ2 2020","FQ2 2020","Currency=USD","Period=FQ","BEST_FPERIOD_OVERRIDE=FQ","FILING_STATUS=MR","SCALING_FORMAT=MLN","Sort=A","Dates=H","DateFormat=P","Fill=—","Direction=H","UseDPDF=Y")</f>
        <v>21.8</v>
      </c>
      <c r="J49" s="19">
        <f>_xll.BDH("NBIX US Equity","ARD_TOT_CASHFLOWS_FROM_FINANCING","FQ3 2020","FQ3 2020","Currency=USD","Period=FQ","BEST_FPERIOD_OVERRIDE=FQ","FILING_STATUS=MR","SCALING_FORMAT=MLN","Sort=A","Dates=H","DateFormat=P","Fill=—","Direction=H","UseDPDF=Y")</f>
        <v>27.2</v>
      </c>
      <c r="K49" s="19">
        <f>_xll.BDH("NBIX US Equity","ARD_TOT_CASHFLOWS_FROM_FINANCING","FQ4 2020","FQ4 2020","Currency=USD","Period=FQ","BEST_FPERIOD_OVERRIDE=FQ","FILING_STATUS=MR","SCALING_FORMAT=MLN","Sort=A","Dates=H","DateFormat=P","Fill=—","Direction=H","UseDPDF=Y")</f>
        <v>-157.80000000000001</v>
      </c>
      <c r="L49" s="19">
        <f>_xll.BDH("NBIX US Equity","ARD_TOT_CASHFLOWS_FROM_FINANCING","FQ1 2021","FQ1 2021","Currency=USD","Period=FQ","BEST_FPERIOD_OVERRIDE=FQ","FILING_STATUS=MR","SCALING_FORMAT=MLN","Sort=A","Dates=H","DateFormat=P","Fill=—","Direction=H","UseDPDF=Y")</f>
        <v>15.1</v>
      </c>
      <c r="M49" s="19">
        <f>_xll.BDH("NBIX US Equity","ARD_TOT_CASHFLOWS_FROM_FINANCING","FQ2 2021","FQ2 2021","Currency=USD","Period=FQ","BEST_FPERIOD_OVERRIDE=FQ","FILING_STATUS=MR","SCALING_FORMAT=MLN","Sort=A","Dates=H","DateFormat=P","Fill=—","Direction=H","UseDPDF=Y")</f>
        <v>18.100000000000001</v>
      </c>
      <c r="N49" s="19">
        <f>_xll.BDH("NBIX US Equity","ARD_TOT_CASHFLOWS_FROM_FINANCING","FQ3 2021","FQ3 2021","Currency=USD","Period=FQ","BEST_FPERIOD_OVERRIDE=FQ","FILING_STATUS=MR","SCALING_FORMAT=MLN","Sort=A","Dates=H","DateFormat=P","Fill=—","Direction=H","UseDPDF=Y")</f>
        <v>25.6</v>
      </c>
      <c r="O49" s="19">
        <f>_xll.BDH("NBIX US Equity","ARD_TOT_CASHFLOWS_FROM_FINANCING","FQ4 2021","FQ4 2021","Currency=USD","Period=FQ","BEST_FPERIOD_OVERRIDE=FQ","FILING_STATUS=MR","SCALING_FORMAT=MLN","Sort=A","Dates=H","DateFormat=P","Fill=—","Direction=H","UseDPDF=Y")</f>
        <v>27.4</v>
      </c>
      <c r="P49" s="19">
        <f>_xll.BDH("NBIX US Equity","ARD_TOT_CASHFLOWS_FROM_FINANCING","FQ1 2022","FQ1 2022","Currency=USD","Period=FQ","BEST_FPERIOD_OVERRIDE=FQ","FILING_STATUS=MR","SCALING_FORMAT=MLN","Sort=A","Dates=H","DateFormat=P","Fill=—","Direction=H","UseDPDF=Y")</f>
        <v>6.1</v>
      </c>
      <c r="Q49" s="19">
        <f>_xll.BDH("NBIX US Equity","ARD_TOT_CASHFLOWS_FROM_FINANCING","FQ2 2022","FQ2 2022","Currency=USD","Period=FQ","BEST_FPERIOD_OVERRIDE=FQ","FILING_STATUS=MR","SCALING_FORMAT=MLN","Sort=A","Dates=H","DateFormat=P","Fill=—","Direction=H","UseDPDF=Y")</f>
        <v>-270.3</v>
      </c>
      <c r="R49" s="19">
        <f>_xll.BDH("NBIX US Equity","ARD_TOT_CASHFLOWS_FROM_FINANCING","FQ3 2022","FQ3 2022","Currency=USD","Period=FQ","BEST_FPERIOD_OVERRIDE=FQ","FILING_STATUS=MR","SCALING_FORMAT=MLN","Sort=A","Dates=H","DateFormat=P","Fill=—","Direction=H","UseDPDF=Y")</f>
        <v>-258.89999999999998</v>
      </c>
      <c r="S49" s="19">
        <f>_xll.BDH("NBIX US Equity","ARD_TOT_CASHFLOWS_FROM_FINANCING","FQ4 2022","FQ4 2022","Currency=USD","Period=FQ","BEST_FPERIOD_OVERRIDE=FQ","FILING_STATUS=MR","SCALING_FORMAT=MLN","Sort=A","Dates=H","DateFormat=P","Fill=—","Direction=H","UseDPDF=Y")</f>
        <v>-234.3</v>
      </c>
      <c r="T49" s="19">
        <f>_xll.BDH("NBIX US Equity","ARD_TOT_CASHFLOWS_FROM_FINANCING","FQ1 2023","FQ1 2023","Currency=USD","Period=FQ","BEST_FPERIOD_OVERRIDE=FQ","FILING_STATUS=MR","SCALING_FORMAT=MLN","Sort=A","Dates=H","DateFormat=P","Fill=—","Direction=H","UseDPDF=Y")</f>
        <v>8.1999999999999993</v>
      </c>
      <c r="U49" s="19">
        <f>_xll.BDH("NBIX US Equity","ARD_TOT_CASHFLOWS_FROM_FINANCING","FQ2 2023","FQ2 2023","Currency=USD","Period=FQ","BEST_FPERIOD_OVERRIDE=FQ","FILING_STATUS=MR","SCALING_FORMAT=MLN","Sort=A","Dates=H","DateFormat=P","Fill=—","Direction=H","UseDPDF=Y")</f>
        <v>11.1</v>
      </c>
      <c r="V49" s="19">
        <f>_xll.BDH("NBIX US Equity","ARD_TOT_CASHFLOWS_FROM_FINANCING","FQ3 2023","FQ3 2023","Currency=USD","Period=FQ","BEST_FPERIOD_OVERRIDE=FQ","FILING_STATUS=MR","SCALING_FORMAT=MLN","Sort=A","Dates=H","DateFormat=P","Fill=—","Direction=H","UseDPDF=Y")</f>
        <v>29.9</v>
      </c>
      <c r="W49" s="19">
        <f>_xll.BDH("NBIX US Equity","ARD_TOT_CASHFLOWS_FROM_FINANCING","FQ4 2023","FQ4 2023","Currency=USD","Period=FQ","BEST_FPERIOD_OVERRIDE=FQ","FILING_STATUS=MR","SCALING_FORMAT=MLN","Sort=A","Dates=H","DateFormat=P","Fill=—","Direction=H","UseDPDF=Y")</f>
        <v>65.3</v>
      </c>
      <c r="X49" s="19">
        <f>_xll.BDH("NBIX US Equity","ARD_TOT_CASHFLOWS_FROM_FINANCING","FQ1 2024","FQ1 2024","Currency=USD","Period=FQ","BEST_FPERIOD_OVERRIDE=FQ","FILING_STATUS=MR","SCALING_FORMAT=MLN","Sort=A","Dates=H","DateFormat=P","Fill=—","Direction=H","UseDPDF=Y")</f>
        <v>69.900000000000006</v>
      </c>
      <c r="Y49" s="19">
        <f>_xll.BDH("NBIX US Equity","ARD_TOT_CASHFLOWS_FROM_FINANCING","FQ2 2024","FQ2 2024","Currency=USD","Period=FQ","BEST_FPERIOD_OVERRIDE=FQ","FILING_STATUS=MR","SCALING_FORMAT=MLN","Sort=A","Dates=H","DateFormat=P","Fill=—","Direction=H","UseDPDF=Y")</f>
        <v>-223.1</v>
      </c>
      <c r="Z49" s="19">
        <f>_xll.BDH("NBIX US Equity","ARD_TOT_CASHFLOWS_FROM_FINANCING","FQ3 2024","FQ3 2024","Currency=USD","Period=FQ","BEST_FPERIOD_OVERRIDE=FQ","FILING_STATUS=MR","SCALING_FORMAT=MLN","Sort=A","Dates=H","DateFormat=P","Fill=—","Direction=H","UseDPDF=Y")</f>
        <v>-196.7</v>
      </c>
      <c r="AA49" s="19">
        <f>_xll.BDH("NBIX US Equity","ARD_TOT_CASHFLOWS_FROM_FINANCING","FQ4 2024","FQ4 2024","Currency=USD","Period=FQ","BEST_FPERIOD_OVERRIDE=FQ","FILING_STATUS=MR","SCALING_FORMAT=MLN","Sort=A","Dates=H","DateFormat=P","Fill=—","Direction=H","UseDPDF=Y")</f>
        <v>-486.7</v>
      </c>
    </row>
    <row r="50" spans="1:27" x14ac:dyDescent="0.25">
      <c r="A50" s="7" t="s">
        <v>90</v>
      </c>
      <c r="B50" s="7"/>
      <c r="C50" s="7" t="s">
        <v>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1249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1250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1251</v>
      </c>
      <c r="B7" s="10" t="s">
        <v>1252</v>
      </c>
      <c r="C7" s="14">
        <f>_xll.BDH("NBIX US Equity","RETURN_COM_EQY","FQ4 2018","FQ4 2018","Currency=USD","Period=FQ","BEST_FPERIOD_OVERRIDE=FQ","FILING_STATUS=MR","FA_ADJUSTED=GAAP","Sort=A","Dates=H","DateFormat=P","Fill=—","Direction=H","UseDPDF=Y")</f>
        <v>4.9504000000000001</v>
      </c>
      <c r="D7" s="14">
        <f>_xll.BDH("NBIX US Equity","RETURN_COM_EQY","FQ1 2019","FQ1 2019","Currency=USD","Period=FQ","BEST_FPERIOD_OVERRIDE=FQ","FILING_STATUS=MR","FA_ADJUSTED=GAAP","Sort=A","Dates=H","DateFormat=P","Fill=—","Direction=H","UseDPDF=Y")</f>
        <v>-10.1287</v>
      </c>
      <c r="E7" s="14">
        <f>_xll.BDH("NBIX US Equity","RETURN_COM_EQY","FQ2 2019","FQ2 2019","Currency=USD","Period=FQ","BEST_FPERIOD_OVERRIDE=FQ","FILING_STATUS=MR","FA_ADJUSTED=GAAP","Sort=A","Dates=H","DateFormat=P","Fill=—","Direction=H","UseDPDF=Y")</f>
        <v>4.1955999999999998</v>
      </c>
      <c r="F7" s="14">
        <f>_xll.BDH("NBIX US Equity","RETURN_COM_EQY","FQ3 2019","FQ3 2019","Currency=USD","Period=FQ","BEST_FPERIOD_OVERRIDE=FQ","FILING_STATUS=MR","FA_ADJUSTED=GAAP","Sort=A","Dates=H","DateFormat=P","Fill=—","Direction=H","UseDPDF=Y")</f>
        <v>4.1271000000000004</v>
      </c>
      <c r="G7" s="14">
        <f>_xll.BDH("NBIX US Equity","RETURN_COM_EQY","FQ4 2019","FQ4 2019","Currency=USD","Period=FQ","BEST_FPERIOD_OVERRIDE=FQ","FILING_STATUS=MR","FA_ADJUSTED=GAAP","Sort=A","Dates=H","DateFormat=P","Fill=—","Direction=H","UseDPDF=Y")</f>
        <v>6.6231</v>
      </c>
      <c r="H7" s="14">
        <f>_xll.BDH("NBIX US Equity","RETURN_COM_EQY","FQ1 2020","FQ1 2020","Currency=USD","Period=FQ","BEST_FPERIOD_OVERRIDE=FQ","FILING_STATUS=MR","FA_ADJUSTED=GAAP","Sort=A","Dates=H","DateFormat=P","Fill=—","Direction=H","UseDPDF=Y")</f>
        <v>31.8188</v>
      </c>
      <c r="I7" s="14">
        <f>_xll.BDH("NBIX US Equity","RETURN_COM_EQY","FQ2 2020","FQ2 2020","Currency=USD","Period=FQ","BEST_FPERIOD_OVERRIDE=FQ","FILING_STATUS=MR","FA_ADJUSTED=GAAP","Sort=A","Dates=H","DateFormat=P","Fill=—","Direction=H","UseDPDF=Y")</f>
        <v>31.148800000000001</v>
      </c>
      <c r="J7" s="14">
        <f>_xll.BDH("NBIX US Equity","RETURN_COM_EQY","FQ3 2020","FQ3 2020","Currency=USD","Period=FQ","BEST_FPERIOD_OVERRIDE=FQ","FILING_STATUS=MR","FA_ADJUSTED=GAAP","Sort=A","Dates=H","DateFormat=P","Fill=—","Direction=H","UseDPDF=Y")</f>
        <v>13.5479</v>
      </c>
      <c r="K7" s="14">
        <f>_xll.BDH("NBIX US Equity","RETURN_COM_EQY","FQ4 2020","FQ4 2020","Currency=USD","Period=FQ","BEST_FPERIOD_OVERRIDE=FQ","FILING_STATUS=MR","FA_ADJUSTED=GAAP","Sort=A","Dates=H","DateFormat=P","Fill=—","Direction=H","UseDPDF=Y")</f>
        <v>46.2027</v>
      </c>
      <c r="L7" s="14">
        <f>_xll.BDH("NBIX US Equity","RETURN_COM_EQY","FQ1 2021","FQ1 2021","Currency=USD","Period=FQ","BEST_FPERIOD_OVERRIDE=FQ","FILING_STATUS=MR","FA_ADJUSTED=GAAP","Sort=A","Dates=H","DateFormat=P","Fill=—","Direction=H","UseDPDF=Y")</f>
        <v>42.184800000000003</v>
      </c>
      <c r="M7" s="14">
        <f>_xll.BDH("NBIX US Equity","RETURN_COM_EQY","FQ2 2021","FQ2 2021","Currency=USD","Period=FQ","BEST_FPERIOD_OVERRIDE=FQ","FILING_STATUS=MR","FA_ADJUSTED=GAAP","Sort=A","Dates=H","DateFormat=P","Fill=—","Direction=H","UseDPDF=Y")</f>
        <v>34.562199999999997</v>
      </c>
      <c r="N7" s="14">
        <f>_xll.BDH("NBIX US Equity","RETURN_COM_EQY","FQ3 2021","FQ3 2021","Currency=USD","Period=FQ","BEST_FPERIOD_OVERRIDE=FQ","FILING_STATUS=MR","FA_ADJUSTED=GAAP","Sort=A","Dates=H","DateFormat=P","Fill=—","Direction=H","UseDPDF=Y")</f>
        <v>41.371000000000002</v>
      </c>
      <c r="O7" s="14">
        <f>_xll.BDH("NBIX US Equity","RETURN_COM_EQY","FQ4 2021","FQ4 2021","Currency=USD","Period=FQ","BEST_FPERIOD_OVERRIDE=FQ","FILING_STATUS=MR","FA_ADJUSTED=GAAP","Sort=A","Dates=H","DateFormat=P","Fill=—","Direction=H","UseDPDF=Y")</f>
        <v>7.1673999999999998</v>
      </c>
      <c r="P7" s="14">
        <f>_xll.BDH("NBIX US Equity","RETURN_COM_EQY","FQ1 2022","FQ1 2022","Currency=USD","Period=FQ","BEST_FPERIOD_OVERRIDE=FQ","FILING_STATUS=MR","FA_ADJUSTED=GAAP","Sort=A","Dates=H","DateFormat=P","Fill=—","Direction=H","UseDPDF=Y")</f>
        <v>5.4992999999999999</v>
      </c>
      <c r="Q7" s="14">
        <f>_xll.BDH("NBIX US Equity","RETURN_COM_EQY","FQ2 2022","FQ2 2022","Currency=USD","Period=FQ","BEST_FPERIOD_OVERRIDE=FQ","FILING_STATUS=MR","FA_ADJUSTED=GAAP","Sort=A","Dates=H","DateFormat=P","Fill=—","Direction=H","UseDPDF=Y")</f>
        <v>0.90280000000000005</v>
      </c>
      <c r="R7" s="14">
        <f>_xll.BDH("NBIX US Equity","RETURN_COM_EQY","FQ3 2022","FQ3 2022","Currency=USD","Period=FQ","BEST_FPERIOD_OVERRIDE=FQ","FILING_STATUS=MR","FA_ADJUSTED=GAAP","Sort=A","Dates=H","DateFormat=P","Fill=—","Direction=H","UseDPDF=Y")</f>
        <v>4.0267999999999997</v>
      </c>
      <c r="S7" s="14">
        <f>_xll.BDH("NBIX US Equity","RETURN_COM_EQY","FQ4 2022","FQ4 2022","Currency=USD","Period=FQ","BEST_FPERIOD_OVERRIDE=FQ","FILING_STATUS=MR","FA_ADJUSTED=GAAP","Sort=A","Dates=H","DateFormat=P","Fill=—","Direction=H","UseDPDF=Y")</f>
        <v>10.0266</v>
      </c>
      <c r="T7" s="14">
        <f>_xll.BDH("NBIX US Equity","RETURN_COM_EQY","FQ1 2023","FQ1 2023","Currency=USD","Period=FQ","BEST_FPERIOD_OVERRIDE=FQ","FILING_STATUS=MR","FA_ADJUSTED=GAAP","Sort=A","Dates=H","DateFormat=P","Fill=—","Direction=H","UseDPDF=Y")</f>
        <v>4.1618000000000004</v>
      </c>
      <c r="U7" s="14">
        <f>_xll.BDH("NBIX US Equity","RETURN_COM_EQY","FQ2 2023","FQ2 2023","Currency=USD","Period=FQ","BEST_FPERIOD_OVERRIDE=FQ","FILING_STATUS=MR","FA_ADJUSTED=GAAP","Sort=A","Dates=H","DateFormat=P","Fill=—","Direction=H","UseDPDF=Y")</f>
        <v>10.767899999999999</v>
      </c>
      <c r="V7" s="14">
        <f>_xll.BDH("NBIX US Equity","RETURN_COM_EQY","FQ3 2023","FQ3 2023","Currency=USD","Period=FQ","BEST_FPERIOD_OVERRIDE=FQ","FILING_STATUS=MR","FA_ADJUSTED=GAAP","Sort=A","Dates=H","DateFormat=P","Fill=—","Direction=H","UseDPDF=Y")</f>
        <v>10.7706</v>
      </c>
      <c r="W7" s="14">
        <f>_xll.BDH("NBIX US Equity","RETURN_COM_EQY","FQ4 2023","FQ4 2023","Currency=USD","Period=FQ","BEST_FPERIOD_OVERRIDE=FQ","FILING_STATUS=MR","FA_ADJUSTED=GAAP","Sort=A","Dates=H","DateFormat=P","Fill=—","Direction=H","UseDPDF=Y")</f>
        <v>12.675800000000001</v>
      </c>
      <c r="X7" s="14">
        <f>_xll.BDH("NBIX US Equity","RETURN_COM_EQY","FQ1 2024","FQ1 2024","Currency=USD","Period=FQ","BEST_FPERIOD_OVERRIDE=FQ","FILING_STATUS=MR","FA_ADJUSTED=GAAP","Sort=A","Dates=H","DateFormat=P","Fill=—","Direction=H","UseDPDF=Y")</f>
        <v>18.164400000000001</v>
      </c>
      <c r="Y7" s="14">
        <f>_xll.BDH("NBIX US Equity","RETURN_COM_EQY","FQ2 2024","FQ2 2024","Currency=USD","Period=FQ","BEST_FPERIOD_OVERRIDE=FQ","FILING_STATUS=MR","FA_ADJUSTED=GAAP","Sort=A","Dates=H","DateFormat=P","Fill=—","Direction=H","UseDPDF=Y")</f>
        <v>15.5518</v>
      </c>
      <c r="Z7" s="14">
        <f>_xll.BDH("NBIX US Equity","RETURN_COM_EQY","FQ3 2024","FQ3 2024","Currency=USD","Period=FQ","BEST_FPERIOD_OVERRIDE=FQ","FILING_STATUS=MR","FA_ADJUSTED=GAAP","Sort=A","Dates=H","DateFormat=P","Fill=—","Direction=H","UseDPDF=Y")</f>
        <v>16.348199999999999</v>
      </c>
      <c r="AA7" s="14">
        <f>_xll.BDH("NBIX US Equity","RETURN_COM_EQY","FQ4 2024","FQ4 2024","Currency=USD","Period=FQ","BEST_FPERIOD_OVERRIDE=FQ","FILING_STATUS=MR","FA_ADJUSTED=GAAP","Sort=A","Dates=H","DateFormat=P","Fill=—","Direction=H","UseDPDF=Y")</f>
        <v>14.1568</v>
      </c>
    </row>
    <row r="8" spans="1:27" x14ac:dyDescent="0.25">
      <c r="A8" s="10" t="s">
        <v>1253</v>
      </c>
      <c r="B8" s="10" t="s">
        <v>1254</v>
      </c>
      <c r="C8" s="14">
        <f>_xll.BDH("NBIX US Equity","RETURN_ON_ASSET","FQ4 2018","FQ4 2018","Currency=USD","Period=FQ","BEST_FPERIOD_OVERRIDE=FQ","FILING_STATUS=MR","FA_ADJUSTED=GAAP","Sort=A","Dates=H","DateFormat=P","Fill=—","Direction=H","UseDPDF=Y")</f>
        <v>2.3317999999999999</v>
      </c>
      <c r="D8" s="14">
        <f>_xll.BDH("NBIX US Equity","RETURN_ON_ASSET","FQ1 2019","FQ1 2019","Currency=USD","Period=FQ","BEST_FPERIOD_OVERRIDE=FQ","FILING_STATUS=MR","FA_ADJUSTED=GAAP","Sort=A","Dates=H","DateFormat=P","Fill=—","Direction=H","UseDPDF=Y")</f>
        <v>-4.4425999999999997</v>
      </c>
      <c r="E8" s="14">
        <f>_xll.BDH("NBIX US Equity","RETURN_ON_ASSET","FQ2 2019","FQ2 2019","Currency=USD","Period=FQ","BEST_FPERIOD_OVERRIDE=FQ","FILING_STATUS=MR","FA_ADJUSTED=GAAP","Sort=A","Dates=H","DateFormat=P","Fill=—","Direction=H","UseDPDF=Y")</f>
        <v>1.8934</v>
      </c>
      <c r="F8" s="14">
        <f>_xll.BDH("NBIX US Equity","RETURN_ON_ASSET","FQ3 2019","FQ3 2019","Currency=USD","Period=FQ","BEST_FPERIOD_OVERRIDE=FQ","FILING_STATUS=MR","FA_ADJUSTED=GAAP","Sort=A","Dates=H","DateFormat=P","Fill=—","Direction=H","UseDPDF=Y")</f>
        <v>1.9956</v>
      </c>
      <c r="G8" s="14">
        <f>_xll.BDH("NBIX US Equity","RETURN_ON_ASSET","FQ4 2019","FQ4 2019","Currency=USD","Period=FQ","BEST_FPERIOD_OVERRIDE=FQ","FILING_STATUS=MR","FA_ADJUSTED=GAAP","Sort=A","Dates=H","DateFormat=P","Fill=—","Direction=H","UseDPDF=Y")</f>
        <v>3.2195999999999998</v>
      </c>
      <c r="H8" s="14">
        <f>_xll.BDH("NBIX US Equity","RETURN_ON_ASSET","FQ1 2020","FQ1 2020","Currency=USD","Period=FQ","BEST_FPERIOD_OVERRIDE=FQ","FILING_STATUS=MR","FA_ADJUSTED=GAAP","Sort=A","Dates=H","DateFormat=P","Fill=—","Direction=H","UseDPDF=Y")</f>
        <v>15.2203</v>
      </c>
      <c r="I8" s="14">
        <f>_xll.BDH("NBIX US Equity","RETURN_ON_ASSET","FQ2 2020","FQ2 2020","Currency=USD","Period=FQ","BEST_FPERIOD_OVERRIDE=FQ","FILING_STATUS=MR","FA_ADJUSTED=GAAP","Sort=A","Dates=H","DateFormat=P","Fill=—","Direction=H","UseDPDF=Y")</f>
        <v>15.86</v>
      </c>
      <c r="J8" s="14">
        <f>_xll.BDH("NBIX US Equity","RETURN_ON_ASSET","FQ3 2020","FQ3 2020","Currency=USD","Period=FQ","BEST_FPERIOD_OVERRIDE=FQ","FILING_STATUS=MR","FA_ADJUSTED=GAAP","Sort=A","Dates=H","DateFormat=P","Fill=—","Direction=H","UseDPDF=Y")</f>
        <v>6.9635999999999996</v>
      </c>
      <c r="K8" s="14">
        <f>_xll.BDH("NBIX US Equity","RETURN_ON_ASSET","FQ4 2020","FQ4 2020","Currency=USD","Period=FQ","BEST_FPERIOD_OVERRIDE=FQ","FILING_STATUS=MR","FA_ADJUSTED=GAAP","Sort=A","Dates=H","DateFormat=P","Fill=—","Direction=H","UseDPDF=Y")</f>
        <v>26.789899999999999</v>
      </c>
      <c r="L8" s="14">
        <f>_xll.BDH("NBIX US Equity","RETURN_ON_ASSET","FQ1 2021","FQ1 2021","Currency=USD","Period=FQ","BEST_FPERIOD_OVERRIDE=FQ","FILING_STATUS=MR","FA_ADJUSTED=GAAP","Sort=A","Dates=H","DateFormat=P","Fill=—","Direction=H","UseDPDF=Y")</f>
        <v>25.06</v>
      </c>
      <c r="M8" s="14">
        <f>_xll.BDH("NBIX US Equity","RETURN_ON_ASSET","FQ2 2021","FQ2 2021","Currency=USD","Period=FQ","BEST_FPERIOD_OVERRIDE=FQ","FILING_STATUS=MR","FA_ADJUSTED=GAAP","Sort=A","Dates=H","DateFormat=P","Fill=—","Direction=H","UseDPDF=Y")</f>
        <v>21.008099999999999</v>
      </c>
      <c r="N8" s="14">
        <f>_xll.BDH("NBIX US Equity","RETURN_ON_ASSET","FQ3 2021","FQ3 2021","Currency=USD","Period=FQ","BEST_FPERIOD_OVERRIDE=FQ","FILING_STATUS=MR","FA_ADJUSTED=GAAP","Sort=A","Dates=H","DateFormat=P","Fill=—","Direction=H","UseDPDF=Y")</f>
        <v>25.273399999999999</v>
      </c>
      <c r="O8" s="14">
        <f>_xll.BDH("NBIX US Equity","RETURN_ON_ASSET","FQ4 2021","FQ4 2021","Currency=USD","Period=FQ","BEST_FPERIOD_OVERRIDE=FQ","FILING_STATUS=MR","FA_ADJUSTED=GAAP","Sort=A","Dates=H","DateFormat=P","Fill=—","Direction=H","UseDPDF=Y")</f>
        <v>4.7069000000000001</v>
      </c>
      <c r="P8" s="14">
        <f>_xll.BDH("NBIX US Equity","RETURN_ON_ASSET","FQ1 2022","FQ1 2022","Currency=USD","Period=FQ","BEST_FPERIOD_OVERRIDE=FQ","FILING_STATUS=MR","FA_ADJUSTED=GAAP","Sort=A","Dates=H","DateFormat=P","Fill=—","Direction=H","UseDPDF=Y")</f>
        <v>3.5781000000000001</v>
      </c>
      <c r="Q8" s="14">
        <f>_xll.BDH("NBIX US Equity","RETURN_ON_ASSET","FQ2 2022","FQ2 2022","Currency=USD","Period=FQ","BEST_FPERIOD_OVERRIDE=FQ","FILING_STATUS=MR","FA_ADJUSTED=GAAP","Sort=A","Dates=H","DateFormat=P","Fill=—","Direction=H","UseDPDF=Y")</f>
        <v>0.61580000000000001</v>
      </c>
      <c r="R8" s="14">
        <f>_xll.BDH("NBIX US Equity","RETURN_ON_ASSET","FQ3 2022","FQ3 2022","Currency=USD","Period=FQ","BEST_FPERIOD_OVERRIDE=FQ","FILING_STATUS=MR","FA_ADJUSTED=GAAP","Sort=A","Dates=H","DateFormat=P","Fill=—","Direction=H","UseDPDF=Y")</f>
        <v>2.7976000000000001</v>
      </c>
      <c r="S8" s="14">
        <f>_xll.BDH("NBIX US Equity","RETURN_ON_ASSET","FQ4 2022","FQ4 2022","Currency=USD","Period=FQ","BEST_FPERIOD_OVERRIDE=FQ","FILING_STATUS=MR","FA_ADJUSTED=GAAP","Sort=A","Dates=H","DateFormat=P","Fill=—","Direction=H","UseDPDF=Y")</f>
        <v>6.9576000000000002</v>
      </c>
      <c r="T8" s="14">
        <f>_xll.BDH("NBIX US Equity","RETURN_ON_ASSET","FQ1 2023","FQ1 2023","Currency=USD","Period=FQ","BEST_FPERIOD_OVERRIDE=FQ","FILING_STATUS=MR","FA_ADJUSTED=GAAP","Sort=A","Dates=H","DateFormat=P","Fill=—","Direction=H","UseDPDF=Y")</f>
        <v>2.8416999999999999</v>
      </c>
      <c r="U8" s="14">
        <f>_xll.BDH("NBIX US Equity","RETURN_ON_ASSET","FQ2 2023","FQ2 2023","Currency=USD","Period=FQ","BEST_FPERIOD_OVERRIDE=FQ","FILING_STATUS=MR","FA_ADJUSTED=GAAP","Sort=A","Dates=H","DateFormat=P","Fill=—","Direction=H","UseDPDF=Y")</f>
        <v>7.6383000000000001</v>
      </c>
      <c r="V8" s="14">
        <f>_xll.BDH("NBIX US Equity","RETURN_ON_ASSET","FQ3 2023","FQ3 2023","Currency=USD","Period=FQ","BEST_FPERIOD_OVERRIDE=FQ","FILING_STATUS=MR","FA_ADJUSTED=GAAP","Sort=A","Dates=H","DateFormat=P","Fill=—","Direction=H","UseDPDF=Y")</f>
        <v>7.6528999999999998</v>
      </c>
      <c r="W8" s="14">
        <f>_xll.BDH("NBIX US Equity","RETURN_ON_ASSET","FQ4 2023","FQ4 2023","Currency=USD","Period=FQ","BEST_FPERIOD_OVERRIDE=FQ","FILING_STATUS=MR","FA_ADJUSTED=GAAP","Sort=A","Dates=H","DateFormat=P","Fill=—","Direction=H","UseDPDF=Y")</f>
        <v>8.8859999999999992</v>
      </c>
      <c r="X8" s="14">
        <f>_xll.BDH("NBIX US Equity","RETURN_ON_ASSET","FQ1 2024","FQ1 2024","Currency=USD","Period=FQ","BEST_FPERIOD_OVERRIDE=FQ","FILING_STATUS=MR","FA_ADJUSTED=GAAP","Sort=A","Dates=H","DateFormat=P","Fill=—","Direction=H","UseDPDF=Y")</f>
        <v>12.677899999999999</v>
      </c>
      <c r="Y8" s="14">
        <f>_xll.BDH("NBIX US Equity","RETURN_ON_ASSET","FQ2 2024","FQ2 2024","Currency=USD","Period=FQ","BEST_FPERIOD_OVERRIDE=FQ","FILING_STATUS=MR","FA_ADJUSTED=GAAP","Sort=A","Dates=H","DateFormat=P","Fill=—","Direction=H","UseDPDF=Y")</f>
        <v>11.463100000000001</v>
      </c>
      <c r="Z8" s="14">
        <f>_xll.BDH("NBIX US Equity","RETURN_ON_ASSET","FQ3 2024","FQ3 2024","Currency=USD","Period=FQ","BEST_FPERIOD_OVERRIDE=FQ","FILING_STATUS=MR","FA_ADJUSTED=GAAP","Sort=A","Dates=H","DateFormat=P","Fill=—","Direction=H","UseDPDF=Y")</f>
        <v>12.091100000000001</v>
      </c>
      <c r="AA8" s="14">
        <f>_xll.BDH("NBIX US Equity","RETURN_ON_ASSET","FQ4 2024","FQ4 2024","Currency=USD","Period=FQ","BEST_FPERIOD_OVERRIDE=FQ","FILING_STATUS=MR","FA_ADJUSTED=GAAP","Sort=A","Dates=H","DateFormat=P","Fill=—","Direction=H","UseDPDF=Y")</f>
        <v>9.7933000000000003</v>
      </c>
    </row>
    <row r="9" spans="1:27" x14ac:dyDescent="0.25">
      <c r="A9" s="10" t="s">
        <v>1255</v>
      </c>
      <c r="B9" s="10" t="s">
        <v>1256</v>
      </c>
      <c r="C9" s="14">
        <f>_xll.BDH("NBIX US Equity","RETURN_ON_CAP","FQ4 2018","FQ4 2018","Currency=USD","Period=FQ","BEST_FPERIOD_OVERRIDE=FQ","FILING_STATUS=MR","FA_ADJUSTED=GAAP","Sort=A","Dates=H","DateFormat=P","Fill=—","Direction=H","UseDPDF=Y")</f>
        <v>6.2840999999999996</v>
      </c>
      <c r="D9" s="14">
        <f>_xll.BDH("NBIX US Equity","RETURN_ON_CAP","FQ1 2019","FQ1 2019","Currency=USD","Period=FQ","BEST_FPERIOD_OVERRIDE=FQ","FILING_STATUS=MR","FA_ADJUSTED=GAAP","Sort=A","Dates=H","DateFormat=P","Fill=—","Direction=H","UseDPDF=Y")</f>
        <v>-1.8353999999999999</v>
      </c>
      <c r="E9" s="14">
        <f>_xll.BDH("NBIX US Equity","RETURN_ON_CAP","FQ2 2019","FQ2 2019","Currency=USD","Period=FQ","BEST_FPERIOD_OVERRIDE=FQ","FILING_STATUS=MR","FA_ADJUSTED=GAAP","Sort=A","Dates=H","DateFormat=P","Fill=—","Direction=H","UseDPDF=Y")</f>
        <v>5.5782999999999996</v>
      </c>
      <c r="F9" s="14">
        <f>_xll.BDH("NBIX US Equity","RETURN_ON_CAP","FQ3 2019","FQ3 2019","Currency=USD","Period=FQ","BEST_FPERIOD_OVERRIDE=FQ","FILING_STATUS=MR","FA_ADJUSTED=GAAP","Sort=A","Dates=H","DateFormat=P","Fill=—","Direction=H","UseDPDF=Y")</f>
        <v>4.8666</v>
      </c>
      <c r="G9" s="14">
        <f>_xll.BDH("NBIX US Equity","RETURN_ON_CAP","FQ4 2019","FQ4 2019","Currency=USD","Period=FQ","BEST_FPERIOD_OVERRIDE=FQ","FILING_STATUS=MR","FA_ADJUSTED=GAAP","Sort=A","Dates=H","DateFormat=P","Fill=—","Direction=H","UseDPDF=Y")</f>
        <v>6.2196999999999996</v>
      </c>
      <c r="H9" s="14">
        <f>_xll.BDH("NBIX US Equity","RETURN_ON_CAP","FQ1 2020","FQ1 2020","Currency=USD","Period=FQ","BEST_FPERIOD_OVERRIDE=FQ","FILING_STATUS=MR","FA_ADJUSTED=GAAP","Sort=A","Dates=H","DateFormat=P","Fill=—","Direction=H","UseDPDF=Y")</f>
        <v>19.878900000000002</v>
      </c>
      <c r="I9" s="14">
        <f>_xll.BDH("NBIX US Equity","RETURN_ON_CAP","FQ2 2020","FQ2 2020","Currency=USD","Period=FQ","BEST_FPERIOD_OVERRIDE=FQ","FILING_STATUS=MR","FA_ADJUSTED=GAAP","Sort=A","Dates=H","DateFormat=P","Fill=—","Direction=H","UseDPDF=Y")</f>
        <v>20.5014</v>
      </c>
      <c r="J9" s="14">
        <f>_xll.BDH("NBIX US Equity","RETURN_ON_CAP","FQ3 2020","FQ3 2020","Currency=USD","Period=FQ","BEST_FPERIOD_OVERRIDE=FQ","FILING_STATUS=MR","FA_ADJUSTED=GAAP","Sort=A","Dates=H","DateFormat=P","Fill=—","Direction=H","UseDPDF=Y")</f>
        <v>10.352</v>
      </c>
      <c r="K9" s="14">
        <f>_xll.BDH("NBIX US Equity","RETURN_ON_CAP","FQ4 2020","FQ4 2020","Currency=USD","Period=FQ","BEST_FPERIOD_OVERRIDE=FQ","FILING_STATUS=MR","FA_ADJUSTED=GAAP","Sort=A","Dates=H","DateFormat=P","Fill=—","Direction=H","UseDPDF=Y")</f>
        <v>32.215299999999999</v>
      </c>
      <c r="L9" s="14">
        <f>_xll.BDH("NBIX US Equity","RETURN_ON_CAP","FQ1 2021","FQ1 2021","Currency=USD","Period=FQ","BEST_FPERIOD_OVERRIDE=FQ","FILING_STATUS=MR","FA_ADJUSTED=GAAP","Sort=A","Dates=H","DateFormat=P","Fill=—","Direction=H","UseDPDF=Y")</f>
        <v>29.865200000000002</v>
      </c>
      <c r="M9" s="14">
        <f>_xll.BDH("NBIX US Equity","RETURN_ON_CAP","FQ2 2021","FQ2 2021","Currency=USD","Period=FQ","BEST_FPERIOD_OVERRIDE=FQ","FILING_STATUS=MR","FA_ADJUSTED=GAAP","Sort=A","Dates=H","DateFormat=P","Fill=—","Direction=H","UseDPDF=Y")</f>
        <v>25.215900000000001</v>
      </c>
      <c r="N9" s="14">
        <f>_xll.BDH("NBIX US Equity","RETURN_ON_CAP","FQ3 2021","FQ3 2021","Currency=USD","Period=FQ","BEST_FPERIOD_OVERRIDE=FQ","FILING_STATUS=MR","FA_ADJUSTED=GAAP","Sort=A","Dates=H","DateFormat=P","Fill=—","Direction=H","UseDPDF=Y")</f>
        <v>29.874400000000001</v>
      </c>
      <c r="O9" s="14">
        <f>_xll.BDH("NBIX US Equity","RETURN_ON_CAP","FQ4 2021","FQ4 2021","Currency=USD","Period=FQ","BEST_FPERIOD_OVERRIDE=FQ","FILING_STATUS=MR","FA_ADJUSTED=GAAP","Sort=A","Dates=H","DateFormat=P","Fill=—","Direction=H","UseDPDF=Y")</f>
        <v>6.6513</v>
      </c>
      <c r="P9" s="14">
        <f>_xll.BDH("NBIX US Equity","RETURN_ON_CAP","FQ1 2022","FQ1 2022","Currency=USD","Period=FQ","BEST_FPERIOD_OVERRIDE=FQ","FILING_STATUS=MR","FA_ADJUSTED=GAAP","Sort=A","Dates=H","DateFormat=P","Fill=—","Direction=H","UseDPDF=Y")</f>
        <v>4.9684999999999997</v>
      </c>
      <c r="Q9" s="14">
        <f>_xll.BDH("NBIX US Equity","RETURN_ON_CAP","FQ2 2022","FQ2 2022","Currency=USD","Period=FQ","BEST_FPERIOD_OVERRIDE=FQ","FILING_STATUS=MR","FA_ADJUSTED=GAAP","Sort=A","Dates=H","DateFormat=P","Fill=—","Direction=H","UseDPDF=Y")</f>
        <v>1.5726</v>
      </c>
      <c r="R9" s="14">
        <f>_xll.BDH("NBIX US Equity","RETURN_ON_CAP","FQ3 2022","FQ3 2022","Currency=USD","Period=FQ","BEST_FPERIOD_OVERRIDE=FQ","FILING_STATUS=MR","FA_ADJUSTED=GAAP","Sort=A","Dates=H","DateFormat=P","Fill=—","Direction=H","UseDPDF=Y")</f>
        <v>3.7019000000000002</v>
      </c>
      <c r="S9" s="14">
        <f>_xll.BDH("NBIX US Equity","RETURN_ON_CAP","FQ4 2022","FQ4 2022","Currency=USD","Period=FQ","BEST_FPERIOD_OVERRIDE=FQ","FILING_STATUS=MR","FA_ADJUSTED=GAAP","Sort=A","Dates=H","DateFormat=P","Fill=—","Direction=H","UseDPDF=Y")</f>
        <v>8.3979999999999997</v>
      </c>
      <c r="T9" s="14">
        <f>_xll.BDH("NBIX US Equity","RETURN_ON_CAP","FQ1 2023","FQ1 2023","Currency=USD","Period=FQ","BEST_FPERIOD_OVERRIDE=FQ","FILING_STATUS=MR","FA_ADJUSTED=GAAP","Sort=A","Dates=H","DateFormat=P","Fill=—","Direction=H","UseDPDF=Y")</f>
        <v>3.5493999999999999</v>
      </c>
      <c r="U9" s="14">
        <f>_xll.BDH("NBIX US Equity","RETURN_ON_CAP","FQ2 2023","FQ2 2023","Currency=USD","Period=FQ","BEST_FPERIOD_OVERRIDE=FQ","FILING_STATUS=MR","FA_ADJUSTED=GAAP","Sort=A","Dates=H","DateFormat=P","Fill=—","Direction=H","UseDPDF=Y")</f>
        <v>9.3754000000000008</v>
      </c>
      <c r="V9" s="14">
        <f>_xll.BDH("NBIX US Equity","RETURN_ON_CAP","FQ3 2023","FQ3 2023","Currency=USD","Period=FQ","BEST_FPERIOD_OVERRIDE=FQ","FILING_STATUS=MR","FA_ADJUSTED=GAAP","Sort=A","Dates=H","DateFormat=P","Fill=—","Direction=H","UseDPDF=Y")</f>
        <v>9.4794</v>
      </c>
      <c r="W9" s="14">
        <f>_xll.BDH("NBIX US Equity","RETURN_ON_CAP","FQ4 2023","FQ4 2023","Currency=USD","Period=FQ","BEST_FPERIOD_OVERRIDE=FQ","FILING_STATUS=MR","FA_ADJUSTED=GAAP","Sort=A","Dates=H","DateFormat=P","Fill=—","Direction=H","UseDPDF=Y")</f>
        <v>10.858000000000001</v>
      </c>
      <c r="X9" s="14">
        <f>_xll.BDH("NBIX US Equity","RETURN_ON_CAP","FQ1 2024","FQ1 2024","Currency=USD","Period=FQ","BEST_FPERIOD_OVERRIDE=FQ","FILING_STATUS=MR","FA_ADJUSTED=GAAP","Sort=A","Dates=H","DateFormat=P","Fill=—","Direction=H","UseDPDF=Y")</f>
        <v>15.7479</v>
      </c>
      <c r="Y9" s="14" t="str">
        <f>_xll.BDH("NBIX US Equity","RETURN_ON_CAP","FQ2 2024","FQ2 2024","Currency=USD","Period=FQ","BEST_FPERIOD_OVERRIDE=FQ","FILING_STATUS=MR","FA_ADJUSTED=GAAP","Sort=A","Dates=H","DateFormat=P","Fill=—","Direction=H","UseDPDF=Y")</f>
        <v>—</v>
      </c>
      <c r="Z9" s="14" t="str">
        <f>_xll.BDH("NBIX US Equity","RETURN_ON_CAP","FQ3 2024","FQ3 2024","Currency=USD","Period=FQ","BEST_FPERIOD_OVERRIDE=FQ","FILING_STATUS=MR","FA_ADJUSTED=GAAP","Sort=A","Dates=H","DateFormat=P","Fill=—","Direction=H","UseDPDF=Y")</f>
        <v>—</v>
      </c>
      <c r="AA9" s="14" t="str">
        <f>_xll.BDH("NBIX US Equity","RETURN_ON_CAP","FQ4 2024","FQ4 2024","Currency=USD","Period=FQ","BEST_FPERIOD_OVERRIDE=FQ","FILING_STATUS=MR","FA_ADJUSTED=GAAP","Sort=A","Dates=H","DateFormat=P","Fill=—","Direction=H","UseDPDF=Y")</f>
        <v>—</v>
      </c>
    </row>
    <row r="10" spans="1:27" x14ac:dyDescent="0.25">
      <c r="A10" s="10" t="s">
        <v>1257</v>
      </c>
      <c r="B10" s="10" t="s">
        <v>1258</v>
      </c>
      <c r="C10" s="14">
        <f>_xll.BDH("NBIX US Equity","RETURN_ON_INV_CAPITAL","FQ4 2018","FQ4 2018","Currency=USD","Period=FQ","BEST_FPERIOD_OVERRIDE=FQ","FILING_STATUS=MR","FA_ADJUSTED=GAAP","Sort=A","Dates=H","DateFormat=P","Fill=—","Direction=H","UseDPDF=Y")</f>
        <v>4.2549999999999999</v>
      </c>
      <c r="D10" s="14">
        <f>_xll.BDH("NBIX US Equity","RETURN_ON_INV_CAPITAL","FQ1 2019","FQ1 2019","Currency=USD","Period=FQ","BEST_FPERIOD_OVERRIDE=FQ","FILING_STATUS=MR","FA_ADJUSTED=GAAP","Sort=A","Dates=H","DateFormat=P","Fill=—","Direction=H","UseDPDF=Y")</f>
        <v>-3.5007999999999999</v>
      </c>
      <c r="E10" s="14">
        <f>_xll.BDH("NBIX US Equity","RETURN_ON_INV_CAPITAL","FQ2 2019","FQ2 2019","Currency=USD","Period=FQ","BEST_FPERIOD_OVERRIDE=FQ","FILING_STATUS=MR","FA_ADJUSTED=GAAP","Sort=A","Dates=H","DateFormat=P","Fill=—","Direction=H","UseDPDF=Y")</f>
        <v>0.98980000000000001</v>
      </c>
      <c r="F10" s="14">
        <f>_xll.BDH("NBIX US Equity","RETURN_ON_INV_CAPITAL","FQ3 2019","FQ3 2019","Currency=USD","Period=FQ","BEST_FPERIOD_OVERRIDE=FQ","FILING_STATUS=MR","FA_ADJUSTED=GAAP","Sort=A","Dates=H","DateFormat=P","Fill=—","Direction=H","UseDPDF=Y")</f>
        <v>3.9226000000000001</v>
      </c>
      <c r="G10" s="14">
        <f>_xll.BDH("NBIX US Equity","RETURN_ON_INV_CAPITAL","FQ4 2019","FQ4 2019","Currency=USD","Period=FQ","BEST_FPERIOD_OVERRIDE=FQ","FILING_STATUS=MR","FA_ADJUSTED=GAAP","Sort=A","Dates=H","DateFormat=P","Fill=—","Direction=H","UseDPDF=Y")</f>
        <v>5.8776000000000002</v>
      </c>
      <c r="H10" s="14">
        <f>_xll.BDH("NBIX US Equity","RETURN_ON_INV_CAPITAL","FQ1 2020","FQ1 2020","Currency=USD","Period=FQ","BEST_FPERIOD_OVERRIDE=FQ","FILING_STATUS=MR","FA_ADJUSTED=GAAP","Sort=A","Dates=H","DateFormat=P","Fill=—","Direction=H","UseDPDF=Y")</f>
        <v>20.802900000000001</v>
      </c>
      <c r="I10" s="14">
        <f>_xll.BDH("NBIX US Equity","RETURN_ON_INV_CAPITAL","FQ2 2020","FQ2 2020","Currency=USD","Period=FQ","BEST_FPERIOD_OVERRIDE=FQ","FILING_STATUS=MR","FA_ADJUSTED=GAAP","Sort=A","Dates=H","DateFormat=P","Fill=—","Direction=H","UseDPDF=Y")</f>
        <v>22.285599999999999</v>
      </c>
      <c r="J10" s="14">
        <f>_xll.BDH("NBIX US Equity","RETURN_ON_INV_CAPITAL","FQ3 2020","FQ3 2020","Currency=USD","Period=FQ","BEST_FPERIOD_OVERRIDE=FQ","FILING_STATUS=MR","FA_ADJUSTED=GAAP","Sort=A","Dates=H","DateFormat=P","Fill=—","Direction=H","UseDPDF=Y")</f>
        <v>10.6464</v>
      </c>
      <c r="K10" s="14">
        <f>_xll.BDH("NBIX US Equity","RETURN_ON_INV_CAPITAL","FQ4 2020","FQ4 2020","Currency=USD","Period=FQ","BEST_FPERIOD_OVERRIDE=FQ","FILING_STATUS=MR","FA_ADJUSTED=GAAP","Sort=A","Dates=H","DateFormat=P","Fill=—","Direction=H","UseDPDF=Y")</f>
        <v>33.8752</v>
      </c>
      <c r="L10" s="14">
        <f>_xll.BDH("NBIX US Equity","RETURN_ON_INV_CAPITAL","FQ1 2021","FQ1 2021","Currency=USD","Period=FQ","BEST_FPERIOD_OVERRIDE=FQ","FILING_STATUS=MR","FA_ADJUSTED=GAAP","Sort=A","Dates=H","DateFormat=P","Fill=—","Direction=H","UseDPDF=Y")</f>
        <v>30.4192</v>
      </c>
      <c r="M10" s="14">
        <f>_xll.BDH("NBIX US Equity","RETURN_ON_INV_CAPITAL","FQ2 2021","FQ2 2021","Currency=USD","Period=FQ","BEST_FPERIOD_OVERRIDE=FQ","FILING_STATUS=MR","FA_ADJUSTED=GAAP","Sort=A","Dates=H","DateFormat=P","Fill=—","Direction=H","UseDPDF=Y")</f>
        <v>26.5032</v>
      </c>
      <c r="N10" s="14">
        <f>_xll.BDH("NBIX US Equity","RETURN_ON_INV_CAPITAL","FQ3 2021","FQ3 2021","Currency=USD","Period=FQ","BEST_FPERIOD_OVERRIDE=FQ","FILING_STATUS=MR","FA_ADJUSTED=GAAP","Sort=A","Dates=H","DateFormat=P","Fill=—","Direction=H","UseDPDF=Y")</f>
        <v>31.160900000000002</v>
      </c>
      <c r="O10" s="14">
        <f>_xll.BDH("NBIX US Equity","RETURN_ON_INV_CAPITAL","FQ4 2021","FQ4 2021","Currency=USD","Period=FQ","BEST_FPERIOD_OVERRIDE=FQ","FILING_STATUS=MR","FA_ADJUSTED=GAAP","Sort=A","Dates=H","DateFormat=P","Fill=—","Direction=H","UseDPDF=Y")</f>
        <v>5.1685999999999996</v>
      </c>
      <c r="P10" s="14">
        <f>_xll.BDH("NBIX US Equity","RETURN_ON_INV_CAPITAL","FQ1 2022","FQ1 2022","Currency=USD","Period=FQ","BEST_FPERIOD_OVERRIDE=FQ","FILING_STATUS=MR","FA_ADJUSTED=GAAP","Sort=A","Dates=H","DateFormat=P","Fill=—","Direction=H","UseDPDF=Y")</f>
        <v>3.0467</v>
      </c>
      <c r="Q10" s="14">
        <f>_xll.BDH("NBIX US Equity","RETURN_ON_INV_CAPITAL","FQ2 2022","FQ2 2022","Currency=USD","Period=FQ","BEST_FPERIOD_OVERRIDE=FQ","FILING_STATUS=MR","FA_ADJUSTED=GAAP","Sort=A","Dates=H","DateFormat=P","Fill=—","Direction=H","UseDPDF=Y")</f>
        <v>3.2023000000000001</v>
      </c>
      <c r="R10" s="14">
        <f>_xll.BDH("NBIX US Equity","RETURN_ON_INV_CAPITAL","FQ3 2022","FQ3 2022","Currency=USD","Period=FQ","BEST_FPERIOD_OVERRIDE=FQ","FILING_STATUS=MR","FA_ADJUSTED=GAAP","Sort=A","Dates=H","DateFormat=P","Fill=—","Direction=H","UseDPDF=Y")</f>
        <v>4.6142000000000003</v>
      </c>
      <c r="S10" s="14">
        <f>_xll.BDH("NBIX US Equity","RETURN_ON_INV_CAPITAL","FQ4 2022","FQ4 2022","Currency=USD","Period=FQ","BEST_FPERIOD_OVERRIDE=FQ","FILING_STATUS=MR","FA_ADJUSTED=GAAP","Sort=A","Dates=H","DateFormat=P","Fill=—","Direction=H","UseDPDF=Y")</f>
        <v>9.9377999999999993</v>
      </c>
      <c r="T10" s="14">
        <f>_xll.BDH("NBIX US Equity","RETURN_ON_INV_CAPITAL","FQ1 2023","FQ1 2023","Currency=USD","Period=FQ","BEST_FPERIOD_OVERRIDE=FQ","FILING_STATUS=MR","FA_ADJUSTED=GAAP","Sort=A","Dates=H","DateFormat=P","Fill=—","Direction=H","UseDPDF=Y")</f>
        <v>5.3470000000000004</v>
      </c>
      <c r="U10" s="14">
        <f>_xll.BDH("NBIX US Equity","RETURN_ON_INV_CAPITAL","FQ2 2023","FQ2 2023","Currency=USD","Period=FQ","BEST_FPERIOD_OVERRIDE=FQ","FILING_STATUS=MR","FA_ADJUSTED=GAAP","Sort=A","Dates=H","DateFormat=P","Fill=—","Direction=H","UseDPDF=Y")</f>
        <v>5.8807999999999998</v>
      </c>
      <c r="V10" s="14">
        <f>_xll.BDH("NBIX US Equity","RETURN_ON_INV_CAPITAL","FQ3 2023","FQ3 2023","Currency=USD","Period=FQ","BEST_FPERIOD_OVERRIDE=FQ","FILING_STATUS=MR","FA_ADJUSTED=GAAP","Sort=A","Dates=H","DateFormat=P","Fill=—","Direction=H","UseDPDF=Y")</f>
        <v>7.4542999999999999</v>
      </c>
      <c r="W10" s="14">
        <f>_xll.BDH("NBIX US Equity","RETURN_ON_INV_CAPITAL","FQ4 2023","FQ4 2023","Currency=USD","Period=FQ","BEST_FPERIOD_OVERRIDE=FQ","FILING_STATUS=MR","FA_ADJUSTED=GAAP","Sort=A","Dates=H","DateFormat=P","Fill=—","Direction=H","UseDPDF=Y")</f>
        <v>8.0157000000000007</v>
      </c>
      <c r="X10" s="14">
        <f>_xll.BDH("NBIX US Equity","RETURN_ON_INV_CAPITAL","FQ1 2024","FQ1 2024","Currency=USD","Period=FQ","BEST_FPERIOD_OVERRIDE=FQ","FILING_STATUS=MR","FA_ADJUSTED=GAAP","Sort=A","Dates=H","DateFormat=P","Fill=—","Direction=H","UseDPDF=Y")</f>
        <v>15.4261</v>
      </c>
      <c r="Y10" s="14">
        <f>_xll.BDH("NBIX US Equity","RETURN_ON_INV_CAPITAL","FQ2 2024","FQ2 2024","Currency=USD","Period=FQ","BEST_FPERIOD_OVERRIDE=FQ","FILING_STATUS=MR","FA_ADJUSTED=GAAP","Sort=A","Dates=H","DateFormat=P","Fill=—","Direction=H","UseDPDF=Y")</f>
        <v>16.378</v>
      </c>
      <c r="Z10" s="14">
        <f>_xll.BDH("NBIX US Equity","RETURN_ON_INV_CAPITAL","FQ3 2024","FQ3 2024","Currency=USD","Period=FQ","BEST_FPERIOD_OVERRIDE=FQ","FILING_STATUS=MR","FA_ADJUSTED=GAAP","Sort=A","Dates=H","DateFormat=P","Fill=—","Direction=H","UseDPDF=Y")</f>
        <v>16.194700000000001</v>
      </c>
      <c r="AA10" s="14">
        <f>_xll.BDH("NBIX US Equity","RETURN_ON_INV_CAPITAL","FQ4 2024","FQ4 2024","Currency=USD","Period=FQ","BEST_FPERIOD_OVERRIDE=FQ","FILING_STATUS=MR","FA_ADJUSTED=GAAP","Sort=A","Dates=H","DateFormat=P","Fill=—","Direction=H","UseDPDF=Y")</f>
        <v>14.0413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 t="s">
        <v>1259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397</v>
      </c>
      <c r="B13" s="10" t="s">
        <v>153</v>
      </c>
      <c r="C13" s="14">
        <f>_xll.BDH("NBIX US Equity","GROSS_MARGIN","FQ4 2018","FQ4 2018","Currency=USD","Period=FQ","BEST_FPERIOD_OVERRIDE=FQ","FILING_STATUS=MR","FA_ADJUSTED=GAAP","Sort=A","Dates=H","DateFormat=P","Fill=—","Direction=H","UseDPDF=Y")</f>
        <v>98.833399999999997</v>
      </c>
      <c r="D13" s="14">
        <f>_xll.BDH("NBIX US Equity","GROSS_MARGIN","FQ1 2019","FQ1 2019","Currency=USD","Period=FQ","BEST_FPERIOD_OVERRIDE=FQ","FILING_STATUS=MR","FA_ADJUSTED=GAAP","Sort=A","Dates=H","DateFormat=P","Fill=—","Direction=H","UseDPDF=Y")</f>
        <v>99.184299999999993</v>
      </c>
      <c r="E13" s="14">
        <f>_xll.BDH("NBIX US Equity","GROSS_MARGIN","FQ2 2019","FQ2 2019","Currency=USD","Period=FQ","BEST_FPERIOD_OVERRIDE=FQ","FILING_STATUS=MR","FA_ADJUSTED=GAAP","Sort=A","Dates=H","DateFormat=P","Fill=—","Direction=H","UseDPDF=Y")</f>
        <v>99.124099999999999</v>
      </c>
      <c r="F13" s="14">
        <f>_xll.BDH("NBIX US Equity","GROSS_MARGIN","FQ3 2019","FQ3 2019","Currency=USD","Period=FQ","BEST_FPERIOD_OVERRIDE=FQ","FILING_STATUS=MR","FA_ADJUSTED=GAAP","Sort=A","Dates=H","DateFormat=P","Fill=—","Direction=H","UseDPDF=Y")</f>
        <v>98.996399999999994</v>
      </c>
      <c r="G13" s="14">
        <f>_xll.BDH("NBIX US Equity","GROSS_MARGIN","FQ4 2019","FQ4 2019","Currency=USD","Period=FQ","BEST_FPERIOD_OVERRIDE=FQ","FILING_STATUS=MR","FA_ADJUSTED=GAAP","Sort=A","Dates=H","DateFormat=P","Fill=—","Direction=H","UseDPDF=Y")</f>
        <v>98.975800000000007</v>
      </c>
      <c r="H13" s="14">
        <f>_xll.BDH("NBIX US Equity","GROSS_MARGIN","FQ1 2020","FQ1 2020","Currency=USD","Period=FQ","BEST_FPERIOD_OVERRIDE=FQ","FILING_STATUS=MR","FA_ADJUSTED=GAAP","Sort=A","Dates=H","DateFormat=P","Fill=—","Direction=H","UseDPDF=Y")</f>
        <v>99.1143</v>
      </c>
      <c r="I13" s="14">
        <f>_xll.BDH("NBIX US Equity","GROSS_MARGIN","FQ2 2020","FQ2 2020","Currency=USD","Period=FQ","BEST_FPERIOD_OVERRIDE=FQ","FILING_STATUS=MR","FA_ADJUSTED=GAAP","Sort=A","Dates=H","DateFormat=P","Fill=—","Direction=H","UseDPDF=Y")</f>
        <v>99.206299999999999</v>
      </c>
      <c r="J13" s="14">
        <f>_xll.BDH("NBIX US Equity","GROSS_MARGIN","FQ3 2020","FQ3 2020","Currency=USD","Period=FQ","BEST_FPERIOD_OVERRIDE=FQ","FILING_STATUS=MR","FA_ADJUSTED=GAAP","Sort=A","Dates=H","DateFormat=P","Fill=—","Direction=H","UseDPDF=Y")</f>
        <v>98.955500000000001</v>
      </c>
      <c r="K13" s="14">
        <f>_xll.BDH("NBIX US Equity","GROSS_MARGIN","FQ4 2020","FQ4 2020","Currency=USD","Period=FQ","BEST_FPERIOD_OVERRIDE=FQ","FILING_STATUS=MR","FA_ADJUSTED=GAAP","Sort=A","Dates=H","DateFormat=P","Fill=—","Direction=H","UseDPDF=Y")</f>
        <v>98.830200000000005</v>
      </c>
      <c r="L13" s="14">
        <f>_xll.BDH("NBIX US Equity","GROSS_MARGIN","FQ1 2021","FQ1 2021","Currency=USD","Period=FQ","BEST_FPERIOD_OVERRIDE=FQ","FILING_STATUS=MR","FA_ADJUSTED=GAAP","Sort=A","Dates=H","DateFormat=P","Fill=—","Direction=H","UseDPDF=Y")</f>
        <v>98.774299999999997</v>
      </c>
      <c r="M13" s="14">
        <f>_xll.BDH("NBIX US Equity","GROSS_MARGIN","FQ2 2021","FQ2 2021","Currency=USD","Period=FQ","BEST_FPERIOD_OVERRIDE=FQ","FILING_STATUS=MR","FA_ADJUSTED=GAAP","Sort=A","Dates=H","DateFormat=P","Fill=—","Direction=H","UseDPDF=Y")</f>
        <v>98.927000000000007</v>
      </c>
      <c r="N13" s="14">
        <f>_xll.BDH("NBIX US Equity","GROSS_MARGIN","FQ3 2021","FQ3 2021","Currency=USD","Period=FQ","BEST_FPERIOD_OVERRIDE=FQ","FILING_STATUS=MR","FA_ADJUSTED=GAAP","Sort=A","Dates=H","DateFormat=P","Fill=—","Direction=H","UseDPDF=Y")</f>
        <v>98.581100000000006</v>
      </c>
      <c r="O13" s="14">
        <f>_xll.BDH("NBIX US Equity","GROSS_MARGIN","FQ4 2021","FQ4 2021","Currency=USD","Period=FQ","BEST_FPERIOD_OVERRIDE=FQ","FILING_STATUS=MR","FA_ADJUSTED=GAAP","Sort=A","Dates=H","DateFormat=P","Fill=—","Direction=H","UseDPDF=Y")</f>
        <v>98.685900000000004</v>
      </c>
      <c r="P13" s="14">
        <f>_xll.BDH("NBIX US Equity","GROSS_MARGIN","FQ1 2022","FQ1 2022","Currency=USD","Period=FQ","BEST_FPERIOD_OVERRIDE=FQ","FILING_STATUS=MR","FA_ADJUSTED=GAAP","Sort=A","Dates=H","DateFormat=P","Fill=—","Direction=H","UseDPDF=Y")</f>
        <v>98.519000000000005</v>
      </c>
      <c r="Q13" s="14">
        <f>_xll.BDH("NBIX US Equity","GROSS_MARGIN","FQ2 2022","FQ2 2022","Currency=USD","Period=FQ","BEST_FPERIOD_OVERRIDE=FQ","FILING_STATUS=MR","FA_ADJUSTED=GAAP","Sort=A","Dates=H","DateFormat=P","Fill=—","Direction=H","UseDPDF=Y")</f>
        <v>98.730800000000002</v>
      </c>
      <c r="R13" s="14">
        <f>_xll.BDH("NBIX US Equity","GROSS_MARGIN","FQ3 2022","FQ3 2022","Currency=USD","Period=FQ","BEST_FPERIOD_OVERRIDE=FQ","FILING_STATUS=MR","FA_ADJUSTED=GAAP","Sort=A","Dates=H","DateFormat=P","Fill=—","Direction=H","UseDPDF=Y")</f>
        <v>98.427400000000006</v>
      </c>
      <c r="S13" s="14">
        <f>_xll.BDH("NBIX US Equity","GROSS_MARGIN","FQ4 2022","FQ4 2022","Currency=USD","Period=FQ","BEST_FPERIOD_OVERRIDE=FQ","FILING_STATUS=MR","FA_ADJUSTED=GAAP","Sort=A","Dates=H","DateFormat=P","Fill=—","Direction=H","UseDPDF=Y")</f>
        <v>98.131100000000004</v>
      </c>
      <c r="T13" s="14">
        <f>_xll.BDH("NBIX US Equity","GROSS_MARGIN","FQ1 2023","FQ1 2023","Currency=USD","Period=FQ","BEST_FPERIOD_OVERRIDE=FQ","FILING_STATUS=MR","FA_ADJUSTED=GAAP","Sort=A","Dates=H","DateFormat=P","Fill=—","Direction=H","UseDPDF=Y")</f>
        <v>97.978099999999998</v>
      </c>
      <c r="U13" s="14">
        <f>_xll.BDH("NBIX US Equity","GROSS_MARGIN","FQ2 2023","FQ2 2023","Currency=USD","Period=FQ","BEST_FPERIOD_OVERRIDE=FQ","FILING_STATUS=MR","FA_ADJUSTED=GAAP","Sort=A","Dates=H","DateFormat=P","Fill=—","Direction=H","UseDPDF=Y")</f>
        <v>97.459699999999998</v>
      </c>
      <c r="V13" s="14">
        <f>_xll.BDH("NBIX US Equity","GROSS_MARGIN","FQ3 2023","FQ3 2023","Currency=USD","Period=FQ","BEST_FPERIOD_OVERRIDE=FQ","FILING_STATUS=MR","FA_ADJUSTED=GAAP","Sort=A","Dates=H","DateFormat=P","Fill=—","Direction=H","UseDPDF=Y")</f>
        <v>97.754599999999996</v>
      </c>
      <c r="W13" s="14">
        <f>_xll.BDH("NBIX US Equity","GROSS_MARGIN","FQ4 2023","FQ4 2023","Currency=USD","Period=FQ","BEST_FPERIOD_OVERRIDE=FQ","FILING_STATUS=MR","FA_ADJUSTED=GAAP","Sort=A","Dates=H","DateFormat=P","Fill=—","Direction=H","UseDPDF=Y")</f>
        <v>98.350200000000001</v>
      </c>
      <c r="X13" s="14">
        <f>_xll.BDH("NBIX US Equity","GROSS_MARGIN","FQ1 2024","FQ1 2024","Currency=USD","Period=FQ","BEST_FPERIOD_OVERRIDE=FQ","FILING_STATUS=MR","FA_ADJUSTED=GAAP","Sort=A","Dates=H","DateFormat=P","Fill=—","Direction=H","UseDPDF=Y")</f>
        <v>98.544499999999999</v>
      </c>
      <c r="Y13" s="14">
        <f>_xll.BDH("NBIX US Equity","GROSS_MARGIN","FQ2 2024","FQ2 2024","Currency=USD","Period=FQ","BEST_FPERIOD_OVERRIDE=FQ","FILING_STATUS=MR","FA_ADJUSTED=GAAP","Sort=A","Dates=H","DateFormat=P","Fill=—","Direction=H","UseDPDF=Y")</f>
        <v>98.441199999999995</v>
      </c>
      <c r="Z13" s="14">
        <f>_xll.BDH("NBIX US Equity","GROSS_MARGIN","FQ3 2024","FQ3 2024","Currency=USD","Period=FQ","BEST_FPERIOD_OVERRIDE=FQ","FILING_STATUS=MR","FA_ADJUSTED=GAAP","Sort=A","Dates=H","DateFormat=P","Fill=—","Direction=H","UseDPDF=Y")</f>
        <v>98.713999999999999</v>
      </c>
      <c r="AA13" s="14">
        <f>_xll.BDH("NBIX US Equity","GROSS_MARGIN","FQ4 2024","FQ4 2024","Currency=USD","Period=FQ","BEST_FPERIOD_OVERRIDE=FQ","FILING_STATUS=MR","FA_ADJUSTED=GAAP","Sort=A","Dates=H","DateFormat=P","Fill=—","Direction=H","UseDPDF=Y")</f>
        <v>98.5184</v>
      </c>
    </row>
    <row r="14" spans="1:27" x14ac:dyDescent="0.25">
      <c r="A14" s="10" t="s">
        <v>1260</v>
      </c>
      <c r="B14" s="10" t="s">
        <v>1261</v>
      </c>
      <c r="C14" s="14">
        <f>_xll.BDH("NBIX US Equity","EBITDA_TO_REVENUE","FQ4 2018","FQ4 2018","Currency=USD","Period=FQ","BEST_FPERIOD_OVERRIDE=FQ","FILING_STATUS=MR","FA_ADJUSTED=GAAP","Sort=A","Dates=H","DateFormat=P","Fill=—","Direction=H","UseDPDF=Y")</f>
        <v>17.602599999999999</v>
      </c>
      <c r="D14" s="14">
        <f>_xll.BDH("NBIX US Equity","EBITDA_TO_REVENUE","FQ1 2019","FQ1 2019","Currency=USD","Period=FQ","BEST_FPERIOD_OVERRIDE=FQ","FILING_STATUS=MR","FA_ADJUSTED=GAAP","Sort=A","Dates=H","DateFormat=P","Fill=—","Direction=H","UseDPDF=Y")</f>
        <v>-70.468800000000002</v>
      </c>
      <c r="E14" s="14">
        <f>_xll.BDH("NBIX US Equity","EBITDA_TO_REVENUE","FQ2 2019","FQ2 2019","Currency=USD","Period=FQ","BEST_FPERIOD_OVERRIDE=FQ","FILING_STATUS=MR","FA_ADJUSTED=GAAP","Sort=A","Dates=H","DateFormat=P","Fill=—","Direction=H","UseDPDF=Y")</f>
        <v>20.834</v>
      </c>
      <c r="F14" s="14">
        <f>_xll.BDH("NBIX US Equity","EBITDA_TO_REVENUE","FQ3 2019","FQ3 2019","Currency=USD","Period=FQ","BEST_FPERIOD_OVERRIDE=FQ","FILING_STATUS=MR","FA_ADJUSTED=GAAP","Sort=A","Dates=H","DateFormat=P","Fill=—","Direction=H","UseDPDF=Y")</f>
        <v>42.372599999999998</v>
      </c>
      <c r="G14" s="14">
        <f>_xll.BDH("NBIX US Equity","EBITDA_TO_REVENUE","FQ4 2019","FQ4 2019","Currency=USD","Period=FQ","BEST_FPERIOD_OVERRIDE=FQ","FILING_STATUS=MR","FA_ADJUSTED=GAAP","Sort=A","Dates=H","DateFormat=P","Fill=—","Direction=H","UseDPDF=Y")</f>
        <v>21.728400000000001</v>
      </c>
      <c r="H14" s="14">
        <f>_xll.BDH("NBIX US Equity","EBITDA_TO_REVENUE","FQ1 2020","FQ1 2020","Currency=USD","Period=FQ","BEST_FPERIOD_OVERRIDE=FQ","FILING_STATUS=MR","FA_ADJUSTED=GAAP","Sort=A","Dates=H","DateFormat=P","Fill=—","Direction=H","UseDPDF=Y")</f>
        <v>26.7819</v>
      </c>
      <c r="I14" s="14">
        <f>_xll.BDH("NBIX US Equity","EBITDA_TO_REVENUE","FQ2 2020","FQ2 2020","Currency=USD","Period=FQ","BEST_FPERIOD_OVERRIDE=FQ","FILING_STATUS=MR","FA_ADJUSTED=GAAP","Sort=A","Dates=H","DateFormat=P","Fill=—","Direction=H","UseDPDF=Y")</f>
        <v>26.851900000000001</v>
      </c>
      <c r="J14" s="14">
        <f>_xll.BDH("NBIX US Equity","EBITDA_TO_REVENUE","FQ3 2020","FQ3 2020","Currency=USD","Period=FQ","BEST_FPERIOD_OVERRIDE=FQ","FILING_STATUS=MR","FA_ADJUSTED=GAAP","Sort=A","Dates=H","DateFormat=P","Fill=—","Direction=H","UseDPDF=Y")</f>
        <v>-15.357799999999999</v>
      </c>
      <c r="K14" s="14">
        <f>_xll.BDH("NBIX US Equity","EBITDA_TO_REVENUE","FQ4 2020","FQ4 2020","Currency=USD","Period=FQ","BEST_FPERIOD_OVERRIDE=FQ","FILING_STATUS=MR","FA_ADJUSTED=GAAP","Sort=A","Dates=H","DateFormat=P","Fill=—","Direction=H","UseDPDF=Y")</f>
        <v>30.939900000000002</v>
      </c>
      <c r="L14" s="14">
        <f>_xll.BDH("NBIX US Equity","EBITDA_TO_REVENUE","FQ1 2021","FQ1 2021","Currency=USD","Period=FQ","BEST_FPERIOD_OVERRIDE=FQ","FILING_STATUS=MR","FA_ADJUSTED=GAAP","Sort=A","Dates=H","DateFormat=P","Fill=—","Direction=H","UseDPDF=Y")</f>
        <v>15.8073</v>
      </c>
      <c r="M14" s="14">
        <f>_xll.BDH("NBIX US Equity","EBITDA_TO_REVENUE","FQ2 2021","FQ2 2021","Currency=USD","Period=FQ","BEST_FPERIOD_OVERRIDE=FQ","FILING_STATUS=MR","FA_ADJUSTED=GAAP","Sort=A","Dates=H","DateFormat=P","Fill=—","Direction=H","UseDPDF=Y")</f>
        <v>23.987500000000001</v>
      </c>
      <c r="N14" s="14">
        <f>_xll.BDH("NBIX US Equity","EBITDA_TO_REVENUE","FQ3 2021","FQ3 2021","Currency=USD","Period=FQ","BEST_FPERIOD_OVERRIDE=FQ","FILING_STATUS=MR","FA_ADJUSTED=GAAP","Sort=A","Dates=H","DateFormat=P","Fill=—","Direction=H","UseDPDF=Y")</f>
        <v>17.2973</v>
      </c>
      <c r="O14" s="14">
        <f>_xll.BDH("NBIX US Equity","EBITDA_TO_REVENUE","FQ4 2021","FQ4 2021","Currency=USD","Period=FQ","BEST_FPERIOD_OVERRIDE=FQ","FILING_STATUS=MR","FA_ADJUSTED=GAAP","Sort=A","Dates=H","DateFormat=P","Fill=—","Direction=H","UseDPDF=Y")</f>
        <v>-9.359</v>
      </c>
      <c r="P14" s="14">
        <f>_xll.BDH("NBIX US Equity","EBITDA_TO_REVENUE","FQ1 2022","FQ1 2022","Currency=USD","Period=FQ","BEST_FPERIOD_OVERRIDE=FQ","FILING_STATUS=MR","FA_ADJUSTED=GAAP","Sort=A","Dates=H","DateFormat=P","Fill=—","Direction=H","UseDPDF=Y")</f>
        <v>3.3805999999999998</v>
      </c>
      <c r="Q14" s="14">
        <f>_xll.BDH("NBIX US Equity","EBITDA_TO_REVENUE","FQ2 2022","FQ2 2022","Currency=USD","Period=FQ","BEST_FPERIOD_OVERRIDE=FQ","FILING_STATUS=MR","FA_ADJUSTED=GAAP","Sort=A","Dates=H","DateFormat=P","Fill=—","Direction=H","UseDPDF=Y")</f>
        <v>16.578499999999998</v>
      </c>
      <c r="R14" s="14">
        <f>_xll.BDH("NBIX US Equity","EBITDA_TO_REVENUE","FQ3 2022","FQ3 2022","Currency=USD","Period=FQ","BEST_FPERIOD_OVERRIDE=FQ","FILING_STATUS=MR","FA_ADJUSTED=GAAP","Sort=A","Dates=H","DateFormat=P","Fill=—","Direction=H","UseDPDF=Y")</f>
        <v>24.7744</v>
      </c>
      <c r="S14" s="14">
        <f>_xll.BDH("NBIX US Equity","EBITDA_TO_REVENUE","FQ4 2022","FQ4 2022","Currency=USD","Period=FQ","BEST_FPERIOD_OVERRIDE=FQ","FILING_STATUS=MR","FA_ADJUSTED=GAAP","Sort=A","Dates=H","DateFormat=P","Fill=—","Direction=H","UseDPDF=Y")</f>
        <v>27.087399999999999</v>
      </c>
      <c r="T14" s="14">
        <f>_xll.BDH("NBIX US Equity","EBITDA_TO_REVENUE","FQ1 2023","FQ1 2023","Currency=USD","Period=FQ","BEST_FPERIOD_OVERRIDE=FQ","FILING_STATUS=MR","FA_ADJUSTED=GAAP","Sort=A","Dates=H","DateFormat=P","Fill=—","Direction=H","UseDPDF=Y")</f>
        <v>-25</v>
      </c>
      <c r="U14" s="14">
        <f>_xll.BDH("NBIX US Equity","EBITDA_TO_REVENUE","FQ2 2023","FQ2 2023","Currency=USD","Period=FQ","BEST_FPERIOD_OVERRIDE=FQ","FILING_STATUS=MR","FA_ADJUSTED=GAAP","Sort=A","Dates=H","DateFormat=P","Fill=—","Direction=H","UseDPDF=Y")</f>
        <v>18.290299999999998</v>
      </c>
      <c r="V14" s="14">
        <f>_xll.BDH("NBIX US Equity","EBITDA_TO_REVENUE","FQ3 2023","FQ3 2023","Currency=USD","Period=FQ","BEST_FPERIOD_OVERRIDE=FQ","FILING_STATUS=MR","FA_ADJUSTED=GAAP","Sort=A","Dates=H","DateFormat=P","Fill=—","Direction=H","UseDPDF=Y")</f>
        <v>30.1724</v>
      </c>
      <c r="W14" s="14">
        <f>_xll.BDH("NBIX US Equity","EBITDA_TO_REVENUE","FQ4 2023","FQ4 2023","Currency=USD","Period=FQ","BEST_FPERIOD_OVERRIDE=FQ","FILING_STATUS=MR","FA_ADJUSTED=GAAP","Sort=A","Dates=H","DateFormat=P","Fill=—","Direction=H","UseDPDF=Y")</f>
        <v>31.133500000000002</v>
      </c>
      <c r="X14" s="14">
        <f>_xll.BDH("NBIX US Equity","EBITDA_TO_REVENUE","FQ1 2024","FQ1 2024","Currency=USD","Period=FQ","BEST_FPERIOD_OVERRIDE=FQ","FILING_STATUS=MR","FA_ADJUSTED=GAAP","Sort=A","Dates=H","DateFormat=P","Fill=—","Direction=H","UseDPDF=Y")</f>
        <v>22.220099999999999</v>
      </c>
      <c r="Y14" s="14">
        <f>_xll.BDH("NBIX US Equity","EBITDA_TO_REVENUE","FQ2 2024","FQ2 2024","Currency=USD","Period=FQ","BEST_FPERIOD_OVERRIDE=FQ","FILING_STATUS=MR","FA_ADJUSTED=GAAP","Sort=A","Dates=H","DateFormat=P","Fill=—","Direction=H","UseDPDF=Y")</f>
        <v>27.4314</v>
      </c>
      <c r="Z14" s="14">
        <f>_xll.BDH("NBIX US Equity","EBITDA_TO_REVENUE","FQ3 2024","FQ3 2024","Currency=USD","Period=FQ","BEST_FPERIOD_OVERRIDE=FQ","FILING_STATUS=MR","FA_ADJUSTED=GAAP","Sort=A","Dates=H","DateFormat=P","Fill=—","Direction=H","UseDPDF=Y")</f>
        <v>32.0045</v>
      </c>
      <c r="AA14" s="14">
        <f>_xll.BDH("NBIX US Equity","EBITDA_TO_REVENUE","FQ4 2024","FQ4 2024","Currency=USD","Period=FQ","BEST_FPERIOD_OVERRIDE=FQ","FILING_STATUS=MR","FA_ADJUSTED=GAAP","Sort=A","Dates=H","DateFormat=P","Fill=—","Direction=H","UseDPDF=Y")</f>
        <v>26.1431</v>
      </c>
    </row>
    <row r="15" spans="1:27" x14ac:dyDescent="0.25">
      <c r="A15" s="10" t="s">
        <v>398</v>
      </c>
      <c r="B15" s="10" t="s">
        <v>399</v>
      </c>
      <c r="C15" s="14">
        <f>_xll.BDH("NBIX US Equity","OPER_MARGIN","FQ4 2018","FQ4 2018","Currency=USD","Period=FQ","BEST_FPERIOD_OVERRIDE=FQ","FILING_STATUS=MR","FA_ADJUSTED=GAAP","Sort=A","Dates=H","DateFormat=P","Fill=—","Direction=H","UseDPDF=Y")</f>
        <v>16.632999999999999</v>
      </c>
      <c r="D15" s="14">
        <f>_xll.BDH("NBIX US Equity","OPER_MARGIN","FQ1 2019","FQ1 2019","Currency=USD","Period=FQ","BEST_FPERIOD_OVERRIDE=FQ","FILING_STATUS=MR","FA_ADJUSTED=GAAP","Sort=A","Dates=H","DateFormat=P","Fill=—","Direction=H","UseDPDF=Y")</f>
        <v>-72.973100000000002</v>
      </c>
      <c r="E15" s="14">
        <f>_xll.BDH("NBIX US Equity","OPER_MARGIN","FQ2 2019","FQ2 2019","Currency=USD","Period=FQ","BEST_FPERIOD_OVERRIDE=FQ","FILING_STATUS=MR","FA_ADJUSTED=GAAP","Sort=A","Dates=H","DateFormat=P","Fill=—","Direction=H","UseDPDF=Y")</f>
        <v>18.771699999999999</v>
      </c>
      <c r="F15" s="14">
        <f>_xll.BDH("NBIX US Equity","OPER_MARGIN","FQ3 2019","FQ3 2019","Currency=USD","Period=FQ","BEST_FPERIOD_OVERRIDE=FQ","FILING_STATUS=MR","FA_ADJUSTED=GAAP","Sort=A","Dates=H","DateFormat=P","Fill=—","Direction=H","UseDPDF=Y")</f>
        <v>40.567500000000003</v>
      </c>
      <c r="G15" s="14">
        <f>_xll.BDH("NBIX US Equity","OPER_MARGIN","FQ4 2019","FQ4 2019","Currency=USD","Period=FQ","BEST_FPERIOD_OVERRIDE=FQ","FILING_STATUS=MR","FA_ADJUSTED=GAAP","Sort=A","Dates=H","DateFormat=P","Fill=—","Direction=H","UseDPDF=Y")</f>
        <v>19.991800000000001</v>
      </c>
      <c r="H15" s="14">
        <f>_xll.BDH("NBIX US Equity","OPER_MARGIN","FQ1 2020","FQ1 2020","Currency=USD","Period=FQ","BEST_FPERIOD_OVERRIDE=FQ","FILING_STATUS=MR","FA_ADJUSTED=GAAP","Sort=A","Dates=H","DateFormat=P","Fill=—","Direction=H","UseDPDF=Y")</f>
        <v>24.841799999999999</v>
      </c>
      <c r="I15" s="14">
        <f>_xll.BDH("NBIX US Equity","OPER_MARGIN","FQ2 2020","FQ2 2020","Currency=USD","Period=FQ","BEST_FPERIOD_OVERRIDE=FQ","FILING_STATUS=MR","FA_ADJUSTED=GAAP","Sort=A","Dates=H","DateFormat=P","Fill=—","Direction=H","UseDPDF=Y")</f>
        <v>25.3307</v>
      </c>
      <c r="J15" s="14">
        <f>_xll.BDH("NBIX US Equity","OPER_MARGIN","FQ3 2020","FQ3 2020","Currency=USD","Period=FQ","BEST_FPERIOD_OVERRIDE=FQ","FILING_STATUS=MR","FA_ADJUSTED=GAAP","Sort=A","Dates=H","DateFormat=P","Fill=—","Direction=H","UseDPDF=Y")</f>
        <v>-17.1373</v>
      </c>
      <c r="K15" s="14">
        <f>_xll.BDH("NBIX US Equity","OPER_MARGIN","FQ4 2020","FQ4 2020","Currency=USD","Period=FQ","BEST_FPERIOD_OVERRIDE=FQ","FILING_STATUS=MR","FA_ADJUSTED=GAAP","Sort=A","Dates=H","DateFormat=P","Fill=—","Direction=H","UseDPDF=Y")</f>
        <v>28.9633</v>
      </c>
      <c r="L15" s="14">
        <f>_xll.BDH("NBIX US Equity","OPER_MARGIN","FQ1 2021","FQ1 2021","Currency=USD","Period=FQ","BEST_FPERIOD_OVERRIDE=FQ","FILING_STATUS=MR","FA_ADJUSTED=GAAP","Sort=A","Dates=H","DateFormat=P","Fill=—","Direction=H","UseDPDF=Y")</f>
        <v>13.313599999999999</v>
      </c>
      <c r="M15" s="14">
        <f>_xll.BDH("NBIX US Equity","OPER_MARGIN","FQ2 2021","FQ2 2021","Currency=USD","Period=FQ","BEST_FPERIOD_OVERRIDE=FQ","FILING_STATUS=MR","FA_ADJUSTED=GAAP","Sort=A","Dates=H","DateFormat=P","Fill=—","Direction=H","UseDPDF=Y")</f>
        <v>21.7376</v>
      </c>
      <c r="N15" s="14">
        <f>_xll.BDH("NBIX US Equity","OPER_MARGIN","FQ3 2021","FQ3 2021","Currency=USD","Period=FQ","BEST_FPERIOD_OVERRIDE=FQ","FILING_STATUS=MR","FA_ADJUSTED=GAAP","Sort=A","Dates=H","DateFormat=P","Fill=—","Direction=H","UseDPDF=Y")</f>
        <v>15.033799999999999</v>
      </c>
      <c r="O15" s="14">
        <f>_xll.BDH("NBIX US Equity","OPER_MARGIN","FQ4 2021","FQ4 2021","Currency=USD","Period=FQ","BEST_FPERIOD_OVERRIDE=FQ","FILING_STATUS=MR","FA_ADJUSTED=GAAP","Sort=A","Dates=H","DateFormat=P","Fill=—","Direction=H","UseDPDF=Y")</f>
        <v>-11.634600000000001</v>
      </c>
      <c r="P15" s="14">
        <f>_xll.BDH("NBIX US Equity","OPER_MARGIN","FQ1 2022","FQ1 2022","Currency=USD","Period=FQ","BEST_FPERIOD_OVERRIDE=FQ","FILING_STATUS=MR","FA_ADJUSTED=GAAP","Sort=A","Dates=H","DateFormat=P","Fill=—","Direction=H","UseDPDF=Y")</f>
        <v>0.99809999999999999</v>
      </c>
      <c r="Q15" s="14">
        <f>_xll.BDH("NBIX US Equity","OPER_MARGIN","FQ2 2022","FQ2 2022","Currency=USD","Period=FQ","BEST_FPERIOD_OVERRIDE=FQ","FILING_STATUS=MR","FA_ADJUSTED=GAAP","Sort=A","Dates=H","DateFormat=P","Fill=—","Direction=H","UseDPDF=Y")</f>
        <v>14.463200000000001</v>
      </c>
      <c r="R15" s="14">
        <f>_xll.BDH("NBIX US Equity","OPER_MARGIN","FQ3 2022","FQ3 2022","Currency=USD","Period=FQ","BEST_FPERIOD_OVERRIDE=FQ","FILING_STATUS=MR","FA_ADJUSTED=GAAP","Sort=A","Dates=H","DateFormat=P","Fill=—","Direction=H","UseDPDF=Y")</f>
        <v>22.634699999999999</v>
      </c>
      <c r="S15" s="14">
        <f>_xll.BDH("NBIX US Equity","OPER_MARGIN","FQ4 2022","FQ4 2022","Currency=USD","Period=FQ","BEST_FPERIOD_OVERRIDE=FQ","FILING_STATUS=MR","FA_ADJUSTED=GAAP","Sort=A","Dates=H","DateFormat=P","Fill=—","Direction=H","UseDPDF=Y")</f>
        <v>25.097100000000001</v>
      </c>
      <c r="T15" s="14">
        <f>_xll.BDH("NBIX US Equity","OPER_MARGIN","FQ1 2023","FQ1 2023","Currency=USD","Period=FQ","BEST_FPERIOD_OVERRIDE=FQ","FILING_STATUS=MR","FA_ADJUSTED=GAAP","Sort=A","Dates=H","DateFormat=P","Fill=—","Direction=H","UseDPDF=Y")</f>
        <v>-27.1646</v>
      </c>
      <c r="U15" s="14">
        <f>_xll.BDH("NBIX US Equity","OPER_MARGIN","FQ2 2023","FQ2 2023","Currency=USD","Period=FQ","BEST_FPERIOD_OVERRIDE=FQ","FILING_STATUS=MR","FA_ADJUSTED=GAAP","Sort=A","Dates=H","DateFormat=P","Fill=—","Direction=H","UseDPDF=Y")</f>
        <v>16.257999999999999</v>
      </c>
      <c r="V15" s="14">
        <f>_xll.BDH("NBIX US Equity","OPER_MARGIN","FQ3 2023","FQ3 2023","Currency=USD","Period=FQ","BEST_FPERIOD_OVERRIDE=FQ","FILING_STATUS=MR","FA_ADJUSTED=GAAP","Sort=A","Dates=H","DateFormat=P","Fill=—","Direction=H","UseDPDF=Y")</f>
        <v>28.3079</v>
      </c>
      <c r="W15" s="14">
        <f>_xll.BDH("NBIX US Equity","OPER_MARGIN","FQ4 2023","FQ4 2023","Currency=USD","Period=FQ","BEST_FPERIOD_OVERRIDE=FQ","FILING_STATUS=MR","FA_ADJUSTED=GAAP","Sort=A","Dates=H","DateFormat=P","Fill=—","Direction=H","UseDPDF=Y")</f>
        <v>29.173100000000002</v>
      </c>
      <c r="X15" s="14">
        <f>_xll.BDH("NBIX US Equity","OPER_MARGIN","FQ1 2024","FQ1 2024","Currency=USD","Period=FQ","BEST_FPERIOD_OVERRIDE=FQ","FILING_STATUS=MR","FA_ADJUSTED=GAAP","Sort=A","Dates=H","DateFormat=P","Fill=—","Direction=H","UseDPDF=Y")</f>
        <v>19.270299999999999</v>
      </c>
      <c r="Y15" s="14">
        <f>_xll.BDH("NBIX US Equity","OPER_MARGIN","FQ2 2024","FQ2 2024","Currency=USD","Period=FQ","BEST_FPERIOD_OVERRIDE=FQ","FILING_STATUS=MR","FA_ADJUSTED=GAAP","Sort=A","Dates=H","DateFormat=P","Fill=—","Direction=H","UseDPDF=Y")</f>
        <v>24.6357</v>
      </c>
      <c r="Z15" s="14">
        <f>_xll.BDH("NBIX US Equity","OPER_MARGIN","FQ3 2024","FQ3 2024","Currency=USD","Period=FQ","BEST_FPERIOD_OVERRIDE=FQ","FILING_STATUS=MR","FA_ADJUSTED=GAAP","Sort=A","Dates=H","DateFormat=P","Fill=—","Direction=H","UseDPDF=Y")</f>
        <v>29.545100000000001</v>
      </c>
      <c r="AA15" s="14">
        <f>_xll.BDH("NBIX US Equity","OPER_MARGIN","FQ4 2024","FQ4 2024","Currency=USD","Period=FQ","BEST_FPERIOD_OVERRIDE=FQ","FILING_STATUS=MR","FA_ADJUSTED=GAAP","Sort=A","Dates=H","DateFormat=P","Fill=—","Direction=H","UseDPDF=Y")</f>
        <v>22.622299999999999</v>
      </c>
    </row>
    <row r="16" spans="1:27" x14ac:dyDescent="0.25">
      <c r="A16" s="10" t="s">
        <v>1262</v>
      </c>
      <c r="B16" s="10" t="s">
        <v>1263</v>
      </c>
      <c r="C16" s="14">
        <f>_xll.BDH("NBIX US Equity","INCREMENTAL_OPERATING_MARGIN","FQ4 2018","FQ4 2018","Currency=USD","Period=FQ","BEST_FPERIOD_OVERRIDE=FQ","FILING_STATUS=MR","FA_ADJUSTED=GAAP","Sort=A","Dates=H","DateFormat=P","Fill=—","Direction=H","UseDPDF=Y")</f>
        <v>27.145399999999999</v>
      </c>
      <c r="D16" s="14" t="str">
        <f>_xll.BDH("NBIX US Equity","INCREMENTAL_OPERATING_MARGIN","FQ1 2019","FQ1 2019","Currency=USD","Period=FQ","BEST_FPERIOD_OVERRIDE=FQ","FILING_STATUS=MR","FA_ADJUSTED=GAAP","Sort=A","Dates=H","DateFormat=P","Fill=—","Direction=H","UseDPDF=Y")</f>
        <v>—</v>
      </c>
      <c r="E16" s="14">
        <f>_xll.BDH("NBIX US Equity","INCREMENTAL_OPERATING_MARGIN","FQ2 2019","FQ2 2019","Currency=USD","Period=FQ","BEST_FPERIOD_OVERRIDE=FQ","FILING_STATUS=MR","FA_ADJUSTED=GAAP","Sort=A","Dates=H","DateFormat=P","Fill=—","Direction=H","UseDPDF=Y")</f>
        <v>41.895600000000002</v>
      </c>
      <c r="F16" s="14">
        <f>_xll.BDH("NBIX US Equity","INCREMENTAL_OPERATING_MARGIN","FQ3 2019","FQ3 2019","Currency=USD","Period=FQ","BEST_FPERIOD_OVERRIDE=FQ","FILING_STATUS=MR","FA_ADJUSTED=GAAP","Sort=A","Dates=H","DateFormat=P","Fill=—","Direction=H","UseDPDF=Y")</f>
        <v>50.862299999999998</v>
      </c>
      <c r="G16" s="14">
        <f>_xll.BDH("NBIX US Equity","INCREMENTAL_OPERATING_MARGIN","FQ4 2019","FQ4 2019","Currency=USD","Period=FQ","BEST_FPERIOD_OVERRIDE=FQ","FILING_STATUS=MR","FA_ADJUSTED=GAAP","Sort=A","Dates=H","DateFormat=P","Fill=—","Direction=H","UseDPDF=Y")</f>
        <v>23.913900000000002</v>
      </c>
      <c r="H16" s="14">
        <f>_xll.BDH("NBIX US Equity","INCREMENTAL_OPERATING_MARGIN","FQ1 2020","FQ1 2020","Currency=USD","Period=FQ","BEST_FPERIOD_OVERRIDE=FQ","FILING_STATUS=MR","FA_ADJUSTED=GAAP","Sort=A","Dates=H","DateFormat=P","Fill=—","Direction=H","UseDPDF=Y")</f>
        <v>162.00800000000001</v>
      </c>
      <c r="I16" s="14">
        <f>_xll.BDH("NBIX US Equity","INCREMENTAL_OPERATING_MARGIN","FQ2 2020","FQ2 2020","Currency=USD","Period=FQ","BEST_FPERIOD_OVERRIDE=FQ","FILING_STATUS=MR","FA_ADJUSTED=GAAP","Sort=A","Dates=H","DateFormat=P","Fill=—","Direction=H","UseDPDF=Y")</f>
        <v>35.464599999999997</v>
      </c>
      <c r="J16" s="14" t="str">
        <f>_xll.BDH("NBIX US Equity","INCREMENTAL_OPERATING_MARGIN","FQ3 2020","FQ3 2020","Currency=USD","Period=FQ","BEST_FPERIOD_OVERRIDE=FQ","FILING_STATUS=MR","FA_ADJUSTED=GAAP","Sort=A","Dates=H","DateFormat=P","Fill=—","Direction=H","UseDPDF=Y")</f>
        <v>—</v>
      </c>
      <c r="K16" s="14">
        <f>_xll.BDH("NBIX US Equity","INCREMENTAL_OPERATING_MARGIN","FQ4 2020","FQ4 2020","Currency=USD","Period=FQ","BEST_FPERIOD_OVERRIDE=FQ","FILING_STATUS=MR","FA_ADJUSTED=GAAP","Sort=A","Dates=H","DateFormat=P","Fill=—","Direction=H","UseDPDF=Y")</f>
        <v>605.26319999999998</v>
      </c>
      <c r="L16" s="14">
        <f>_xll.BDH("NBIX US Equity","INCREMENTAL_OPERATING_MARGIN","FQ1 2021","FQ1 2021","Currency=USD","Period=FQ","BEST_FPERIOD_OVERRIDE=FQ","FILING_STATUS=MR","FA_ADJUSTED=GAAP","Sort=A","Dates=H","DateFormat=P","Fill=—","Direction=H","UseDPDF=Y")</f>
        <v>-5480</v>
      </c>
      <c r="M16" s="14">
        <f>_xll.BDH("NBIX US Equity","INCREMENTAL_OPERATING_MARGIN","FQ2 2021","FQ2 2021","Currency=USD","Period=FQ","BEST_FPERIOD_OVERRIDE=FQ","FILING_STATUS=MR","FA_ADJUSTED=GAAP","Sort=A","Dates=H","DateFormat=P","Fill=—","Direction=H","UseDPDF=Y")</f>
        <v>-102.2222</v>
      </c>
      <c r="N16" s="14">
        <f>_xll.BDH("NBIX US Equity","INCREMENTAL_OPERATING_MARGIN","FQ3 2021","FQ3 2021","Currency=USD","Period=FQ","BEST_FPERIOD_OVERRIDE=FQ","FILING_STATUS=MR","FA_ADJUSTED=GAAP","Sort=A","Dates=H","DateFormat=P","Fill=—","Direction=H","UseDPDF=Y")</f>
        <v>236.8</v>
      </c>
      <c r="O16" s="14" t="str">
        <f>_xll.BDH("NBIX US Equity","INCREMENTAL_OPERATING_MARGIN","FQ4 2021","FQ4 2021","Currency=USD","Period=FQ","BEST_FPERIOD_OVERRIDE=FQ","FILING_STATUS=MR","FA_ADJUSTED=GAAP","Sort=A","Dates=H","DateFormat=P","Fill=—","Direction=H","UseDPDF=Y")</f>
        <v>—</v>
      </c>
      <c r="P16" s="14" t="str">
        <f>_xll.BDH("NBIX US Equity","INCREMENTAL_OPERATING_MARGIN","FQ1 2022","FQ1 2022","Currency=USD","Period=FQ","BEST_FPERIOD_OVERRIDE=FQ","FILING_STATUS=MR","FA_ADJUSTED=GAAP","Sort=A","Dates=H","DateFormat=P","Fill=—","Direction=H","UseDPDF=Y")</f>
        <v>—</v>
      </c>
      <c r="Q16" s="14" t="str">
        <f>_xll.BDH("NBIX US Equity","INCREMENTAL_OPERATING_MARGIN","FQ2 2022","FQ2 2022","Currency=USD","Period=FQ","BEST_FPERIOD_OVERRIDE=FQ","FILING_STATUS=MR","FA_ADJUSTED=GAAP","Sort=A","Dates=H","DateFormat=P","Fill=—","Direction=H","UseDPDF=Y")</f>
        <v>—</v>
      </c>
      <c r="R16" s="14">
        <f>_xll.BDH("NBIX US Equity","INCREMENTAL_OPERATING_MARGIN","FQ3 2022","FQ3 2022","Currency=USD","Period=FQ","BEST_FPERIOD_OVERRIDE=FQ","FILING_STATUS=MR","FA_ADJUSTED=GAAP","Sort=A","Dates=H","DateFormat=P","Fill=—","Direction=H","UseDPDF=Y")</f>
        <v>47.116399999999999</v>
      </c>
      <c r="S16" s="14">
        <f>_xll.BDH("NBIX US Equity","INCREMENTAL_OPERATING_MARGIN","FQ4 2022","FQ4 2022","Currency=USD","Period=FQ","BEST_FPERIOD_OVERRIDE=FQ","FILING_STATUS=MR","FA_ADJUSTED=GAAP","Sort=A","Dates=H","DateFormat=P","Fill=—","Direction=H","UseDPDF=Y")</f>
        <v>139.69999999999999</v>
      </c>
      <c r="T16" s="14" t="str">
        <f>_xll.BDH("NBIX US Equity","INCREMENTAL_OPERATING_MARGIN","FQ1 2023","FQ1 2023","Currency=USD","Period=FQ","BEST_FPERIOD_OVERRIDE=FQ","FILING_STATUS=MR","FA_ADJUSTED=GAAP","Sort=A","Dates=H","DateFormat=P","Fill=—","Direction=H","UseDPDF=Y")</f>
        <v>—</v>
      </c>
      <c r="U16" s="14">
        <f>_xll.BDH("NBIX US Equity","INCREMENTAL_OPERATING_MARGIN","FQ2 2023","FQ2 2023","Currency=USD","Period=FQ","BEST_FPERIOD_OVERRIDE=FQ","FILING_STATUS=MR","FA_ADJUSTED=GAAP","Sort=A","Dates=H","DateFormat=P","Fill=—","Direction=H","UseDPDF=Y")</f>
        <v>25.3691</v>
      </c>
      <c r="V16" s="14">
        <f>_xll.BDH("NBIX US Equity","INCREMENTAL_OPERATING_MARGIN","FQ3 2023","FQ3 2023","Currency=USD","Period=FQ","BEST_FPERIOD_OVERRIDE=FQ","FILING_STATUS=MR","FA_ADJUSTED=GAAP","Sort=A","Dates=H","DateFormat=P","Fill=—","Direction=H","UseDPDF=Y")</f>
        <v>48.151499999999999</v>
      </c>
      <c r="W16" s="14">
        <f>_xll.BDH("NBIX US Equity","INCREMENTAL_OPERATING_MARGIN","FQ4 2023","FQ4 2023","Currency=USD","Period=FQ","BEST_FPERIOD_OVERRIDE=FQ","FILING_STATUS=MR","FA_ADJUSTED=GAAP","Sort=A","Dates=H","DateFormat=P","Fill=—","Direction=H","UseDPDF=Y")</f>
        <v>45.445700000000002</v>
      </c>
      <c r="X16" s="14">
        <f>_xll.BDH("NBIX US Equity","INCREMENTAL_OPERATING_MARGIN","FQ1 2024","FQ1 2024","Currency=USD","Period=FQ","BEST_FPERIOD_OVERRIDE=FQ","FILING_STATUS=MR","FA_ADJUSTED=GAAP","Sort=A","Dates=H","DateFormat=P","Fill=—","Direction=H","UseDPDF=Y")</f>
        <v>224.97370000000001</v>
      </c>
      <c r="Y16" s="14">
        <f>_xll.BDH("NBIX US Equity","INCREMENTAL_OPERATING_MARGIN","FQ2 2024","FQ2 2024","Currency=USD","Period=FQ","BEST_FPERIOD_OVERRIDE=FQ","FILING_STATUS=MR","FA_ADJUSTED=GAAP","Sort=A","Dates=H","DateFormat=P","Fill=—","Direction=H","UseDPDF=Y")</f>
        <v>52.218200000000003</v>
      </c>
      <c r="Z16" s="14">
        <f>_xll.BDH("NBIX US Equity","INCREMENTAL_OPERATING_MARGIN","FQ3 2024","FQ3 2024","Currency=USD","Period=FQ","BEST_FPERIOD_OVERRIDE=FQ","FILING_STATUS=MR","FA_ADJUSTED=GAAP","Sort=A","Dates=H","DateFormat=P","Fill=—","Direction=H","UseDPDF=Y")</f>
        <v>34.549900000000001</v>
      </c>
      <c r="AA16" s="14" t="str">
        <f>_xll.BDH("NBIX US Equity","INCREMENTAL_OPERATING_MARGIN","FQ4 2024","FQ4 2024","Currency=USD","Period=FQ","BEST_FPERIOD_OVERRIDE=FQ","FILING_STATUS=MR","FA_ADJUSTED=GAAP","Sort=A","Dates=H","DateFormat=P","Fill=—","Direction=H","UseDPDF=Y")</f>
        <v>—</v>
      </c>
    </row>
    <row r="17" spans="1:27" x14ac:dyDescent="0.25">
      <c r="A17" s="10" t="s">
        <v>1264</v>
      </c>
      <c r="B17" s="10" t="s">
        <v>1265</v>
      </c>
      <c r="C17" s="14">
        <f>_xll.BDH("NBIX US Equity","PRETAX_INC_TO_NET_SALES","FQ4 2018","FQ4 2018","Currency=USD","Period=FQ","BEST_FPERIOD_OVERRIDE=FQ","FILING_STATUS=MR","FA_ADJUSTED=GAAP","Sort=A","Dates=H","DateFormat=P","Fill=—","Direction=H","UseDPDF=Y")</f>
        <v>14.3035</v>
      </c>
      <c r="D17" s="14">
        <f>_xll.BDH("NBIX US Equity","PRETAX_INC_TO_NET_SALES","FQ1 2019","FQ1 2019","Currency=USD","Period=FQ","BEST_FPERIOD_OVERRIDE=FQ","FILING_STATUS=MR","FA_ADJUSTED=GAAP","Sort=A","Dates=H","DateFormat=P","Fill=—","Direction=H","UseDPDF=Y")</f>
        <v>-74.126999999999995</v>
      </c>
      <c r="E17" s="14">
        <f>_xll.BDH("NBIX US Equity","PRETAX_INC_TO_NET_SALES","FQ2 2019","FQ2 2019","Currency=USD","Period=FQ","BEST_FPERIOD_OVERRIDE=FQ","FILING_STATUS=MR","FA_ADJUSTED=GAAP","Sort=A","Dates=H","DateFormat=P","Fill=—","Direction=H","UseDPDF=Y")</f>
        <v>28.3751</v>
      </c>
      <c r="F17" s="14">
        <f>_xll.BDH("NBIX US Equity","PRETAX_INC_TO_NET_SALES","FQ3 2019","FQ3 2019","Currency=USD","Period=FQ","BEST_FPERIOD_OVERRIDE=FQ","FILING_STATUS=MR","FA_ADJUSTED=GAAP","Sort=A","Dates=H","DateFormat=P","Fill=—","Direction=H","UseDPDF=Y")</f>
        <v>26.298300000000001</v>
      </c>
      <c r="G17" s="14">
        <f>_xll.BDH("NBIX US Equity","PRETAX_INC_TO_NET_SALES","FQ4 2019","FQ4 2019","Currency=USD","Period=FQ","BEST_FPERIOD_OVERRIDE=FQ","FILING_STATUS=MR","FA_ADJUSTED=GAAP","Sort=A","Dates=H","DateFormat=P","Fill=—","Direction=H","UseDPDF=Y")</f>
        <v>15.8132</v>
      </c>
      <c r="H17" s="14">
        <f>_xll.BDH("NBIX US Equity","PRETAX_INC_TO_NET_SALES","FQ1 2020","FQ1 2020","Currency=USD","Period=FQ","BEST_FPERIOD_OVERRIDE=FQ","FILING_STATUS=MR","FA_ADJUSTED=GAAP","Sort=A","Dates=H","DateFormat=P","Fill=—","Direction=H","UseDPDF=Y")</f>
        <v>16.406600000000001</v>
      </c>
      <c r="I17" s="14">
        <f>_xll.BDH("NBIX US Equity","PRETAX_INC_TO_NET_SALES","FQ2 2020","FQ2 2020","Currency=USD","Period=FQ","BEST_FPERIOD_OVERRIDE=FQ","FILING_STATUS=MR","FA_ADJUSTED=GAAP","Sort=A","Dates=H","DateFormat=P","Fill=—","Direction=H","UseDPDF=Y")</f>
        <v>27.513200000000001</v>
      </c>
      <c r="J17" s="14">
        <f>_xll.BDH("NBIX US Equity","PRETAX_INC_TO_NET_SALES","FQ3 2020","FQ3 2020","Currency=USD","Period=FQ","BEST_FPERIOD_OVERRIDE=FQ","FILING_STATUS=MR","FA_ADJUSTED=GAAP","Sort=A","Dates=H","DateFormat=P","Fill=—","Direction=H","UseDPDF=Y")</f>
        <v>-22.088999999999999</v>
      </c>
      <c r="K17" s="14">
        <f>_xll.BDH("NBIX US Equity","PRETAX_INC_TO_NET_SALES","FQ4 2020","FQ4 2020","Currency=USD","Period=FQ","BEST_FPERIOD_OVERRIDE=FQ","FILING_STATUS=MR","FA_ADJUSTED=GAAP","Sort=A","Dates=H","DateFormat=P","Fill=—","Direction=H","UseDPDF=Y")</f>
        <v>16.821300000000001</v>
      </c>
      <c r="L17" s="14">
        <f>_xll.BDH("NBIX US Equity","PRETAX_INC_TO_NET_SALES","FQ1 2021","FQ1 2021","Currency=USD","Period=FQ","BEST_FPERIOD_OVERRIDE=FQ","FILING_STATUS=MR","FA_ADJUSTED=GAAP","Sort=A","Dates=H","DateFormat=P","Fill=—","Direction=H","UseDPDF=Y")</f>
        <v>11.4962</v>
      </c>
      <c r="M17" s="14">
        <f>_xll.BDH("NBIX US Equity","PRETAX_INC_TO_NET_SALES","FQ2 2021","FQ2 2021","Currency=USD","Period=FQ","BEST_FPERIOD_OVERRIDE=FQ","FILING_STATUS=MR","FA_ADJUSTED=GAAP","Sort=A","Dates=H","DateFormat=P","Fill=—","Direction=H","UseDPDF=Y")</f>
        <v>19.903099999999998</v>
      </c>
      <c r="N17" s="14">
        <f>_xll.BDH("NBIX US Equity","PRETAX_INC_TO_NET_SALES","FQ3 2021","FQ3 2021","Currency=USD","Period=FQ","BEST_FPERIOD_OVERRIDE=FQ","FILING_STATUS=MR","FA_ADJUSTED=GAAP","Sort=A","Dates=H","DateFormat=P","Fill=—","Direction=H","UseDPDF=Y")</f>
        <v>10.3041</v>
      </c>
      <c r="O17" s="14">
        <f>_xll.BDH("NBIX US Equity","PRETAX_INC_TO_NET_SALES","FQ4 2021","FQ4 2021","Currency=USD","Period=FQ","BEST_FPERIOD_OVERRIDE=FQ","FILING_STATUS=MR","FA_ADJUSTED=GAAP","Sort=A","Dates=H","DateFormat=P","Fill=—","Direction=H","UseDPDF=Y")</f>
        <v>-4.4230999999999998</v>
      </c>
      <c r="P17" s="14">
        <f>_xll.BDH("NBIX US Equity","PRETAX_INC_TO_NET_SALES","FQ1 2022","FQ1 2022","Currency=USD","Period=FQ","BEST_FPERIOD_OVERRIDE=FQ","FILING_STATUS=MR","FA_ADJUSTED=GAAP","Sort=A","Dates=H","DateFormat=P","Fill=—","Direction=H","UseDPDF=Y")</f>
        <v>6.8898999999999999</v>
      </c>
      <c r="Q17" s="14">
        <f>_xll.BDH("NBIX US Equity","PRETAX_INC_TO_NET_SALES","FQ2 2022","FQ2 2022","Currency=USD","Period=FQ","BEST_FPERIOD_OVERRIDE=FQ","FILING_STATUS=MR","FA_ADJUSTED=GAAP","Sort=A","Dates=H","DateFormat=P","Fill=—","Direction=H","UseDPDF=Y")</f>
        <v>-6.1608000000000001</v>
      </c>
      <c r="R17" s="14">
        <f>_xll.BDH("NBIX US Equity","PRETAX_INC_TO_NET_SALES","FQ3 2022","FQ3 2022","Currency=USD","Period=FQ","BEST_FPERIOD_OVERRIDE=FQ","FILING_STATUS=MR","FA_ADJUSTED=GAAP","Sort=A","Dates=H","DateFormat=P","Fill=—","Direction=H","UseDPDF=Y")</f>
        <v>25.238499999999998</v>
      </c>
      <c r="S17" s="14">
        <f>_xll.BDH("NBIX US Equity","PRETAX_INC_TO_NET_SALES","FQ4 2022","FQ4 2022","Currency=USD","Period=FQ","BEST_FPERIOD_OVERRIDE=FQ","FILING_STATUS=MR","FA_ADJUSTED=GAAP","Sort=A","Dates=H","DateFormat=P","Fill=—","Direction=H","UseDPDF=Y")</f>
        <v>28.616499999999998</v>
      </c>
      <c r="T17" s="14">
        <f>_xll.BDH("NBIX US Equity","PRETAX_INC_TO_NET_SALES","FQ1 2023","FQ1 2023","Currency=USD","Period=FQ","BEST_FPERIOD_OVERRIDE=FQ","FILING_STATUS=MR","FA_ADJUSTED=GAAP","Sort=A","Dates=H","DateFormat=P","Fill=—","Direction=H","UseDPDF=Y")</f>
        <v>-24.5718</v>
      </c>
      <c r="U17" s="14">
        <f>_xll.BDH("NBIX US Equity","PRETAX_INC_TO_NET_SALES","FQ2 2023","FQ2 2023","Currency=USD","Period=FQ","BEST_FPERIOD_OVERRIDE=FQ","FILING_STATUS=MR","FA_ADJUSTED=GAAP","Sort=A","Dates=H","DateFormat=P","Fill=—","Direction=H","UseDPDF=Y")</f>
        <v>26.8611</v>
      </c>
      <c r="V17" s="14">
        <f>_xll.BDH("NBIX US Equity","PRETAX_INC_TO_NET_SALES","FQ3 2023","FQ3 2023","Currency=USD","Period=FQ","BEST_FPERIOD_OVERRIDE=FQ","FILING_STATUS=MR","FA_ADJUSTED=GAAP","Sort=A","Dates=H","DateFormat=P","Fill=—","Direction=H","UseDPDF=Y")</f>
        <v>23.175599999999999</v>
      </c>
      <c r="W17" s="14">
        <f>_xll.BDH("NBIX US Equity","PRETAX_INC_TO_NET_SALES","FQ4 2023","FQ4 2023","Currency=USD","Period=FQ","BEST_FPERIOD_OVERRIDE=FQ","FILING_STATUS=MR","FA_ADJUSTED=GAAP","Sort=A","Dates=H","DateFormat=P","Fill=—","Direction=H","UseDPDF=Y")</f>
        <v>38.470500000000001</v>
      </c>
      <c r="X17" s="14">
        <f>_xll.BDH("NBIX US Equity","PRETAX_INC_TO_NET_SALES","FQ1 2024","FQ1 2024","Currency=USD","Period=FQ","BEST_FPERIOD_OVERRIDE=FQ","FILING_STATUS=MR","FA_ADJUSTED=GAAP","Sort=A","Dates=H","DateFormat=P","Fill=—","Direction=H","UseDPDF=Y")</f>
        <v>6.6951000000000001</v>
      </c>
      <c r="Y17" s="14">
        <f>_xll.BDH("NBIX US Equity","PRETAX_INC_TO_NET_SALES","FQ2 2024","FQ2 2024","Currency=USD","Period=FQ","BEST_FPERIOD_OVERRIDE=FQ","FILING_STATUS=MR","FA_ADJUSTED=GAAP","Sort=A","Dates=H","DateFormat=P","Fill=—","Direction=H","UseDPDF=Y")</f>
        <v>16.706199999999999</v>
      </c>
      <c r="Z17" s="14">
        <f>_xll.BDH("NBIX US Equity","PRETAX_INC_TO_NET_SALES","FQ3 2024","FQ3 2024","Currency=USD","Period=FQ","BEST_FPERIOD_OVERRIDE=FQ","FILING_STATUS=MR","FA_ADJUSTED=GAAP","Sort=A","Dates=H","DateFormat=P","Fill=—","Direction=H","UseDPDF=Y")</f>
        <v>30.5899</v>
      </c>
      <c r="AA17" s="14">
        <f>_xll.BDH("NBIX US Equity","PRETAX_INC_TO_NET_SALES","FQ4 2024","FQ4 2024","Currency=USD","Period=FQ","BEST_FPERIOD_OVERRIDE=FQ","FILING_STATUS=MR","FA_ADJUSTED=GAAP","Sort=A","Dates=H","DateFormat=P","Fill=—","Direction=H","UseDPDF=Y")</f>
        <v>25.9041</v>
      </c>
    </row>
    <row r="18" spans="1:27" x14ac:dyDescent="0.25">
      <c r="A18" s="10" t="s">
        <v>1266</v>
      </c>
      <c r="B18" s="10" t="s">
        <v>1267</v>
      </c>
      <c r="C18" s="14">
        <f>_xll.BDH("NBIX US Equity","INC_BEF_XO_ITEMS_TO_NET_SALES","FQ4 2018","FQ4 2018","Currency=USD","Period=FQ","BEST_FPERIOD_OVERRIDE=FQ","FILING_STATUS=MR","FA_ADJUSTED=GAAP","Sort=A","Dates=H","DateFormat=P","Fill=—","Direction=H","UseDPDF=Y")</f>
        <v>13.7484</v>
      </c>
      <c r="D18" s="14">
        <f>_xll.BDH("NBIX US Equity","INC_BEF_XO_ITEMS_TO_NET_SALES","FQ1 2019","FQ1 2019","Currency=USD","Period=FQ","BEST_FPERIOD_OVERRIDE=FQ","FILING_STATUS=MR","FA_ADJUSTED=GAAP","Sort=A","Dates=H","DateFormat=P","Fill=—","Direction=H","UseDPDF=Y")</f>
        <v>-73.780900000000003</v>
      </c>
      <c r="E18" s="14">
        <f>_xll.BDH("NBIX US Equity","INC_BEF_XO_ITEMS_TO_NET_SALES","FQ2 2019","FQ2 2019","Currency=USD","Period=FQ","BEST_FPERIOD_OVERRIDE=FQ","FILING_STATUS=MR","FA_ADJUSTED=GAAP","Sort=A","Dates=H","DateFormat=P","Fill=—","Direction=H","UseDPDF=Y")</f>
        <v>27.9649</v>
      </c>
      <c r="F18" s="14">
        <f>_xll.BDH("NBIX US Equity","INC_BEF_XO_ITEMS_TO_NET_SALES","FQ3 2019","FQ3 2019","Currency=USD","Period=FQ","BEST_FPERIOD_OVERRIDE=FQ","FILING_STATUS=MR","FA_ADJUSTED=GAAP","Sort=A","Dates=H","DateFormat=P","Fill=—","Direction=H","UseDPDF=Y")</f>
        <v>24.219000000000001</v>
      </c>
      <c r="G18" s="14">
        <f>_xll.BDH("NBIX US Equity","INC_BEF_XO_ITEMS_TO_NET_SALES","FQ4 2019","FQ4 2019","Currency=USD","Period=FQ","BEST_FPERIOD_OVERRIDE=FQ","FILING_STATUS=MR","FA_ADJUSTED=GAAP","Sort=A","Dates=H","DateFormat=P","Fill=—","Direction=H","UseDPDF=Y")</f>
        <v>13.928699999999999</v>
      </c>
      <c r="H18" s="14">
        <f>_xll.BDH("NBIX US Equity","INC_BEF_XO_ITEMS_TO_NET_SALES","FQ1 2020","FQ1 2020","Currency=USD","Period=FQ","BEST_FPERIOD_OVERRIDE=FQ","FILING_STATUS=MR","FA_ADJUSTED=GAAP","Sort=A","Dates=H","DateFormat=P","Fill=—","Direction=H","UseDPDF=Y")</f>
        <v>15.773899999999999</v>
      </c>
      <c r="I18" s="14">
        <f>_xll.BDH("NBIX US Equity","INC_BEF_XO_ITEMS_TO_NET_SALES","FQ2 2020","FQ2 2020","Currency=USD","Period=FQ","BEST_FPERIOD_OVERRIDE=FQ","FILING_STATUS=MR","FA_ADJUSTED=GAAP","Sort=A","Dates=H","DateFormat=P","Fill=—","Direction=H","UseDPDF=Y")</f>
        <v>26.322800000000001</v>
      </c>
      <c r="J18" s="14">
        <f>_xll.BDH("NBIX US Equity","INC_BEF_XO_ITEMS_TO_NET_SALES","FQ3 2020","FQ3 2020","Currency=USD","Period=FQ","BEST_FPERIOD_OVERRIDE=FQ","FILING_STATUS=MR","FA_ADJUSTED=GAAP","Sort=A","Dates=H","DateFormat=P","Fill=—","Direction=H","UseDPDF=Y")</f>
        <v>-22.282399999999999</v>
      </c>
      <c r="K18" s="14">
        <f>_xll.BDH("NBIX US Equity","INC_BEF_XO_ITEMS_TO_NET_SALES","FQ4 2020","FQ4 2020","Currency=USD","Period=FQ","BEST_FPERIOD_OVERRIDE=FQ","FILING_STATUS=MR","FA_ADJUSTED=GAAP","Sort=A","Dates=H","DateFormat=P","Fill=—","Direction=H","UseDPDF=Y")</f>
        <v>140.33879999999999</v>
      </c>
      <c r="L18" s="14">
        <f>_xll.BDH("NBIX US Equity","INC_BEF_XO_ITEMS_TO_NET_SALES","FQ1 2021","FQ1 2021","Currency=USD","Period=FQ","BEST_FPERIOD_OVERRIDE=FQ","FILING_STATUS=MR","FA_ADJUSTED=GAAP","Sort=A","Dates=H","DateFormat=P","Fill=—","Direction=H","UseDPDF=Y")</f>
        <v>13.5672</v>
      </c>
      <c r="M18" s="14">
        <f>_xll.BDH("NBIX US Equity","INC_BEF_XO_ITEMS_TO_NET_SALES","FQ2 2021","FQ2 2021","Currency=USD","Period=FQ","BEST_FPERIOD_OVERRIDE=FQ","FILING_STATUS=MR","FA_ADJUSTED=GAAP","Sort=A","Dates=H","DateFormat=P","Fill=—","Direction=H","UseDPDF=Y")</f>
        <v>14.6417</v>
      </c>
      <c r="N18" s="14">
        <f>_xll.BDH("NBIX US Equity","INC_BEF_XO_ITEMS_TO_NET_SALES","FQ3 2021","FQ3 2021","Currency=USD","Period=FQ","BEST_FPERIOD_OVERRIDE=FQ","FILING_STATUS=MR","FA_ADJUSTED=GAAP","Sort=A","Dates=H","DateFormat=P","Fill=—","Direction=H","UseDPDF=Y")</f>
        <v>7.6013999999999999</v>
      </c>
      <c r="O18" s="14">
        <f>_xll.BDH("NBIX US Equity","INC_BEF_XO_ITEMS_TO_NET_SALES","FQ4 2021","FQ4 2021","Currency=USD","Period=FQ","BEST_FPERIOD_OVERRIDE=FQ","FILING_STATUS=MR","FA_ADJUSTED=GAAP","Sort=A","Dates=H","DateFormat=P","Fill=—","Direction=H","UseDPDF=Y")</f>
        <v>-2.3397000000000001</v>
      </c>
      <c r="P18" s="14">
        <f>_xll.BDH("NBIX US Equity","INC_BEF_XO_ITEMS_TO_NET_SALES","FQ1 2022","FQ1 2022","Currency=USD","Period=FQ","BEST_FPERIOD_OVERRIDE=FQ","FILING_STATUS=MR","FA_ADJUSTED=GAAP","Sort=A","Dates=H","DateFormat=P","Fill=—","Direction=H","UseDPDF=Y")</f>
        <v>4.4752000000000001</v>
      </c>
      <c r="Q18" s="14">
        <f>_xll.BDH("NBIX US Equity","INC_BEF_XO_ITEMS_TO_NET_SALES","FQ2 2022","FQ2 2022","Currency=USD","Period=FQ","BEST_FPERIOD_OVERRIDE=FQ","FILING_STATUS=MR","FA_ADJUSTED=GAAP","Sort=A","Dates=H","DateFormat=P","Fill=—","Direction=H","UseDPDF=Y")</f>
        <v>-4.4684999999999997</v>
      </c>
      <c r="R18" s="14">
        <f>_xll.BDH("NBIX US Equity","INC_BEF_XO_ITEMS_TO_NET_SALES","FQ3 2022","FQ3 2022","Currency=USD","Period=FQ","BEST_FPERIOD_OVERRIDE=FQ","FILING_STATUS=MR","FA_ADJUSTED=GAAP","Sort=A","Dates=H","DateFormat=P","Fill=—","Direction=H","UseDPDF=Y")</f>
        <v>17.659199999999998</v>
      </c>
      <c r="S18" s="14">
        <f>_xll.BDH("NBIX US Equity","INC_BEF_XO_ITEMS_TO_NET_SALES","FQ4 2022","FQ4 2022","Currency=USD","Period=FQ","BEST_FPERIOD_OVERRIDE=FQ","FILING_STATUS=MR","FA_ADJUSTED=GAAP","Sort=A","Dates=H","DateFormat=P","Fill=—","Direction=H","UseDPDF=Y")</f>
        <v>21.601900000000001</v>
      </c>
      <c r="T18" s="14">
        <f>_xll.BDH("NBIX US Equity","INC_BEF_XO_ITEMS_TO_NET_SALES","FQ1 2023","FQ1 2023","Currency=USD","Period=FQ","BEST_FPERIOD_OVERRIDE=FQ","FILING_STATUS=MR","FA_ADJUSTED=GAAP","Sort=A","Dates=H","DateFormat=P","Fill=—","Direction=H","UseDPDF=Y")</f>
        <v>-18.220700000000001</v>
      </c>
      <c r="U18" s="14">
        <f>_xll.BDH("NBIX US Equity","INC_BEF_XO_ITEMS_TO_NET_SALES","FQ2 2023","FQ2 2023","Currency=USD","Period=FQ","BEST_FPERIOD_OVERRIDE=FQ","FILING_STATUS=MR","FA_ADJUSTED=GAAP","Sort=A","Dates=H","DateFormat=P","Fill=—","Direction=H","UseDPDF=Y")</f>
        <v>21.095600000000001</v>
      </c>
      <c r="V18" s="14">
        <f>_xll.BDH("NBIX US Equity","INC_BEF_XO_ITEMS_TO_NET_SALES","FQ3 2023","FQ3 2023","Currency=USD","Period=FQ","BEST_FPERIOD_OVERRIDE=FQ","FILING_STATUS=MR","FA_ADJUSTED=GAAP","Sort=A","Dates=H","DateFormat=P","Fill=—","Direction=H","UseDPDF=Y")</f>
        <v>16.66</v>
      </c>
      <c r="W18" s="14">
        <f>_xll.BDH("NBIX US Equity","INC_BEF_XO_ITEMS_TO_NET_SALES","FQ4 2023","FQ4 2023","Currency=USD","Period=FQ","BEST_FPERIOD_OVERRIDE=FQ","FILING_STATUS=MR","FA_ADJUSTED=GAAP","Sort=A","Dates=H","DateFormat=P","Fill=—","Direction=H","UseDPDF=Y")</f>
        <v>28.668500000000002</v>
      </c>
      <c r="X18" s="14">
        <f>_xll.BDH("NBIX US Equity","INC_BEF_XO_ITEMS_TO_NET_SALES","FQ1 2024","FQ1 2024","Currency=USD","Period=FQ","BEST_FPERIOD_OVERRIDE=FQ","FILING_STATUS=MR","FA_ADJUSTED=GAAP","Sort=A","Dates=H","DateFormat=P","Fill=—","Direction=H","UseDPDF=Y")</f>
        <v>8.4222999999999999</v>
      </c>
      <c r="Y18" s="14">
        <f>_xll.BDH("NBIX US Equity","INC_BEF_XO_ITEMS_TO_NET_SALES","FQ2 2024","FQ2 2024","Currency=USD","Period=FQ","BEST_FPERIOD_OVERRIDE=FQ","FILING_STATUS=MR","FA_ADJUSTED=GAAP","Sort=A","Dates=H","DateFormat=P","Fill=—","Direction=H","UseDPDF=Y")</f>
        <v>11.013199999999999</v>
      </c>
      <c r="Z18" s="14">
        <f>_xll.BDH("NBIX US Equity","INC_BEF_XO_ITEMS_TO_NET_SALES","FQ3 2024","FQ3 2024","Currency=USD","Period=FQ","BEST_FPERIOD_OVERRIDE=FQ","FILING_STATUS=MR","FA_ADJUSTED=GAAP","Sort=A","Dates=H","DateFormat=P","Fill=—","Direction=H","UseDPDF=Y")</f>
        <v>20.864799999999999</v>
      </c>
      <c r="AA18" s="14">
        <f>_xll.BDH("NBIX US Equity","INC_BEF_XO_ITEMS_TO_NET_SALES","FQ4 2024","FQ4 2024","Currency=USD","Period=FQ","BEST_FPERIOD_OVERRIDE=FQ","FILING_STATUS=MR","FA_ADJUSTED=GAAP","Sort=A","Dates=H","DateFormat=P","Fill=—","Direction=H","UseDPDF=Y")</f>
        <v>16.425000000000001</v>
      </c>
    </row>
    <row r="19" spans="1:27" x14ac:dyDescent="0.25">
      <c r="A19" s="10" t="s">
        <v>1268</v>
      </c>
      <c r="B19" s="10" t="s">
        <v>401</v>
      </c>
      <c r="C19" s="14">
        <f>_xll.BDH("NBIX US Equity","PROF_MARGIN","FQ4 2018","FQ4 2018","Currency=USD","Period=FQ","BEST_FPERIOD_OVERRIDE=FQ","FILING_STATUS=MR","FA_ADJUSTED=GAAP","Sort=A","Dates=H","DateFormat=P","Fill=—","Direction=H","UseDPDF=Y")</f>
        <v>13.7484</v>
      </c>
      <c r="D19" s="14">
        <f>_xll.BDH("NBIX US Equity","PROF_MARGIN","FQ1 2019","FQ1 2019","Currency=USD","Period=FQ","BEST_FPERIOD_OVERRIDE=FQ","FILING_STATUS=MR","FA_ADJUSTED=GAAP","Sort=A","Dates=H","DateFormat=P","Fill=—","Direction=H","UseDPDF=Y")</f>
        <v>-73.780900000000003</v>
      </c>
      <c r="E19" s="14">
        <f>_xll.BDH("NBIX US Equity","PROF_MARGIN","FQ2 2019","FQ2 2019","Currency=USD","Period=FQ","BEST_FPERIOD_OVERRIDE=FQ","FILING_STATUS=MR","FA_ADJUSTED=GAAP","Sort=A","Dates=H","DateFormat=P","Fill=—","Direction=H","UseDPDF=Y")</f>
        <v>27.9649</v>
      </c>
      <c r="F19" s="14">
        <f>_xll.BDH("NBIX US Equity","PROF_MARGIN","FQ3 2019","FQ3 2019","Currency=USD","Period=FQ","BEST_FPERIOD_OVERRIDE=FQ","FILING_STATUS=MR","FA_ADJUSTED=GAAP","Sort=A","Dates=H","DateFormat=P","Fill=—","Direction=H","UseDPDF=Y")</f>
        <v>24.219000000000001</v>
      </c>
      <c r="G19" s="14">
        <f>_xll.BDH("NBIX US Equity","PROF_MARGIN","FQ4 2019","FQ4 2019","Currency=USD","Period=FQ","BEST_FPERIOD_OVERRIDE=FQ","FILING_STATUS=MR","FA_ADJUSTED=GAAP","Sort=A","Dates=H","DateFormat=P","Fill=—","Direction=H","UseDPDF=Y")</f>
        <v>13.928699999999999</v>
      </c>
      <c r="H19" s="14">
        <f>_xll.BDH("NBIX US Equity","PROF_MARGIN","FQ1 2020","FQ1 2020","Currency=USD","Period=FQ","BEST_FPERIOD_OVERRIDE=FQ","FILING_STATUS=MR","FA_ADJUSTED=GAAP","Sort=A","Dates=H","DateFormat=P","Fill=—","Direction=H","UseDPDF=Y")</f>
        <v>15.773899999999999</v>
      </c>
      <c r="I19" s="14">
        <f>_xll.BDH("NBIX US Equity","PROF_MARGIN","FQ2 2020","FQ2 2020","Currency=USD","Period=FQ","BEST_FPERIOD_OVERRIDE=FQ","FILING_STATUS=MR","FA_ADJUSTED=GAAP","Sort=A","Dates=H","DateFormat=P","Fill=—","Direction=H","UseDPDF=Y")</f>
        <v>26.322800000000001</v>
      </c>
      <c r="J19" s="14">
        <f>_xll.BDH("NBIX US Equity","PROF_MARGIN","FQ3 2020","FQ3 2020","Currency=USD","Period=FQ","BEST_FPERIOD_OVERRIDE=FQ","FILING_STATUS=MR","FA_ADJUSTED=GAAP","Sort=A","Dates=H","DateFormat=P","Fill=—","Direction=H","UseDPDF=Y")</f>
        <v>-22.282399999999999</v>
      </c>
      <c r="K19" s="14">
        <f>_xll.BDH("NBIX US Equity","PROF_MARGIN","FQ4 2020","FQ4 2020","Currency=USD","Period=FQ","BEST_FPERIOD_OVERRIDE=FQ","FILING_STATUS=MR","FA_ADJUSTED=GAAP","Sort=A","Dates=H","DateFormat=P","Fill=—","Direction=H","UseDPDF=Y")</f>
        <v>140.33879999999999</v>
      </c>
      <c r="L19" s="14">
        <f>_xll.BDH("NBIX US Equity","PROF_MARGIN","FQ1 2021","FQ1 2021","Currency=USD","Period=FQ","BEST_FPERIOD_OVERRIDE=FQ","FILING_STATUS=MR","FA_ADJUSTED=GAAP","Sort=A","Dates=H","DateFormat=P","Fill=—","Direction=H","UseDPDF=Y")</f>
        <v>13.5672</v>
      </c>
      <c r="M19" s="14">
        <f>_xll.BDH("NBIX US Equity","PROF_MARGIN","FQ2 2021","FQ2 2021","Currency=USD","Period=FQ","BEST_FPERIOD_OVERRIDE=FQ","FILING_STATUS=MR","FA_ADJUSTED=GAAP","Sort=A","Dates=H","DateFormat=P","Fill=—","Direction=H","UseDPDF=Y")</f>
        <v>14.6417</v>
      </c>
      <c r="N19" s="14">
        <f>_xll.BDH("NBIX US Equity","PROF_MARGIN","FQ3 2021","FQ3 2021","Currency=USD","Period=FQ","BEST_FPERIOD_OVERRIDE=FQ","FILING_STATUS=MR","FA_ADJUSTED=GAAP","Sort=A","Dates=H","DateFormat=P","Fill=—","Direction=H","UseDPDF=Y")</f>
        <v>7.6013999999999999</v>
      </c>
      <c r="O19" s="14">
        <f>_xll.BDH("NBIX US Equity","PROF_MARGIN","FQ4 2021","FQ4 2021","Currency=USD","Period=FQ","BEST_FPERIOD_OVERRIDE=FQ","FILING_STATUS=MR","FA_ADJUSTED=GAAP","Sort=A","Dates=H","DateFormat=P","Fill=—","Direction=H","UseDPDF=Y")</f>
        <v>-2.3397000000000001</v>
      </c>
      <c r="P19" s="14">
        <f>_xll.BDH("NBIX US Equity","PROF_MARGIN","FQ1 2022","FQ1 2022","Currency=USD","Period=FQ","BEST_FPERIOD_OVERRIDE=FQ","FILING_STATUS=MR","FA_ADJUSTED=GAAP","Sort=A","Dates=H","DateFormat=P","Fill=—","Direction=H","UseDPDF=Y")</f>
        <v>4.4752000000000001</v>
      </c>
      <c r="Q19" s="14">
        <f>_xll.BDH("NBIX US Equity","PROF_MARGIN","FQ2 2022","FQ2 2022","Currency=USD","Period=FQ","BEST_FPERIOD_OVERRIDE=FQ","FILING_STATUS=MR","FA_ADJUSTED=GAAP","Sort=A","Dates=H","DateFormat=P","Fill=—","Direction=H","UseDPDF=Y")</f>
        <v>-4.4684999999999997</v>
      </c>
      <c r="R19" s="14">
        <f>_xll.BDH("NBIX US Equity","PROF_MARGIN","FQ3 2022","FQ3 2022","Currency=USD","Period=FQ","BEST_FPERIOD_OVERRIDE=FQ","FILING_STATUS=MR","FA_ADJUSTED=GAAP","Sort=A","Dates=H","DateFormat=P","Fill=—","Direction=H","UseDPDF=Y")</f>
        <v>17.659199999999998</v>
      </c>
      <c r="S19" s="14">
        <f>_xll.BDH("NBIX US Equity","PROF_MARGIN","FQ4 2022","FQ4 2022","Currency=USD","Period=FQ","BEST_FPERIOD_OVERRIDE=FQ","FILING_STATUS=MR","FA_ADJUSTED=GAAP","Sort=A","Dates=H","DateFormat=P","Fill=—","Direction=H","UseDPDF=Y")</f>
        <v>21.601900000000001</v>
      </c>
      <c r="T19" s="14">
        <f>_xll.BDH("NBIX US Equity","PROF_MARGIN","FQ1 2023","FQ1 2023","Currency=USD","Period=FQ","BEST_FPERIOD_OVERRIDE=FQ","FILING_STATUS=MR","FA_ADJUSTED=GAAP","Sort=A","Dates=H","DateFormat=P","Fill=—","Direction=H","UseDPDF=Y")</f>
        <v>-18.220700000000001</v>
      </c>
      <c r="U19" s="14">
        <f>_xll.BDH("NBIX US Equity","PROF_MARGIN","FQ2 2023","FQ2 2023","Currency=USD","Period=FQ","BEST_FPERIOD_OVERRIDE=FQ","FILING_STATUS=MR","FA_ADJUSTED=GAAP","Sort=A","Dates=H","DateFormat=P","Fill=—","Direction=H","UseDPDF=Y")</f>
        <v>21.095600000000001</v>
      </c>
      <c r="V19" s="14">
        <f>_xll.BDH("NBIX US Equity","PROF_MARGIN","FQ3 2023","FQ3 2023","Currency=USD","Period=FQ","BEST_FPERIOD_OVERRIDE=FQ","FILING_STATUS=MR","FA_ADJUSTED=GAAP","Sort=A","Dates=H","DateFormat=P","Fill=—","Direction=H","UseDPDF=Y")</f>
        <v>16.66</v>
      </c>
      <c r="W19" s="14">
        <f>_xll.BDH("NBIX US Equity","PROF_MARGIN","FQ4 2023","FQ4 2023","Currency=USD","Period=FQ","BEST_FPERIOD_OVERRIDE=FQ","FILING_STATUS=MR","FA_ADJUSTED=GAAP","Sort=A","Dates=H","DateFormat=P","Fill=—","Direction=H","UseDPDF=Y")</f>
        <v>28.668500000000002</v>
      </c>
      <c r="X19" s="14">
        <f>_xll.BDH("NBIX US Equity","PROF_MARGIN","FQ1 2024","FQ1 2024","Currency=USD","Period=FQ","BEST_FPERIOD_OVERRIDE=FQ","FILING_STATUS=MR","FA_ADJUSTED=GAAP","Sort=A","Dates=H","DateFormat=P","Fill=—","Direction=H","UseDPDF=Y")</f>
        <v>8.4222999999999999</v>
      </c>
      <c r="Y19" s="14">
        <f>_xll.BDH("NBIX US Equity","PROF_MARGIN","FQ2 2024","FQ2 2024","Currency=USD","Period=FQ","BEST_FPERIOD_OVERRIDE=FQ","FILING_STATUS=MR","FA_ADJUSTED=GAAP","Sort=A","Dates=H","DateFormat=P","Fill=—","Direction=H","UseDPDF=Y")</f>
        <v>11.013199999999999</v>
      </c>
      <c r="Z19" s="14">
        <f>_xll.BDH("NBIX US Equity","PROF_MARGIN","FQ3 2024","FQ3 2024","Currency=USD","Period=FQ","BEST_FPERIOD_OVERRIDE=FQ","FILING_STATUS=MR","FA_ADJUSTED=GAAP","Sort=A","Dates=H","DateFormat=P","Fill=—","Direction=H","UseDPDF=Y")</f>
        <v>20.864799999999999</v>
      </c>
      <c r="AA19" s="14">
        <f>_xll.BDH("NBIX US Equity","PROF_MARGIN","FQ4 2024","FQ4 2024","Currency=USD","Period=FQ","BEST_FPERIOD_OVERRIDE=FQ","FILING_STATUS=MR","FA_ADJUSTED=GAAP","Sort=A","Dates=H","DateFormat=P","Fill=—","Direction=H","UseDPDF=Y")</f>
        <v>16.425000000000001</v>
      </c>
    </row>
    <row r="20" spans="1:27" x14ac:dyDescent="0.25">
      <c r="A20" s="10" t="s">
        <v>1269</v>
      </c>
      <c r="B20" s="10" t="s">
        <v>1270</v>
      </c>
      <c r="C20" s="14">
        <f>_xll.BDH("NBIX US Equity","NET_INCOME_TO_COMMON_MARGIN","FQ4 2018","FQ4 2018","Currency=USD","Period=FQ","BEST_FPERIOD_OVERRIDE=FQ","FILING_STATUS=MR","FA_ADJUSTED=GAAP","Sort=A","Dates=H","DateFormat=P","Fill=—","Direction=H","UseDPDF=Y")</f>
        <v>13.7484</v>
      </c>
      <c r="D20" s="14">
        <f>_xll.BDH("NBIX US Equity","NET_INCOME_TO_COMMON_MARGIN","FQ1 2019","FQ1 2019","Currency=USD","Period=FQ","BEST_FPERIOD_OVERRIDE=FQ","FILING_STATUS=MR","FA_ADJUSTED=GAAP","Sort=A","Dates=H","DateFormat=P","Fill=—","Direction=H","UseDPDF=Y")</f>
        <v>-73.780900000000003</v>
      </c>
      <c r="E20" s="14">
        <f>_xll.BDH("NBIX US Equity","NET_INCOME_TO_COMMON_MARGIN","FQ2 2019","FQ2 2019","Currency=USD","Period=FQ","BEST_FPERIOD_OVERRIDE=FQ","FILING_STATUS=MR","FA_ADJUSTED=GAAP","Sort=A","Dates=H","DateFormat=P","Fill=—","Direction=H","UseDPDF=Y")</f>
        <v>27.9649</v>
      </c>
      <c r="F20" s="14">
        <f>_xll.BDH("NBIX US Equity","NET_INCOME_TO_COMMON_MARGIN","FQ3 2019","FQ3 2019","Currency=USD","Period=FQ","BEST_FPERIOD_OVERRIDE=FQ","FILING_STATUS=MR","FA_ADJUSTED=GAAP","Sort=A","Dates=H","DateFormat=P","Fill=—","Direction=H","UseDPDF=Y")</f>
        <v>24.219000000000001</v>
      </c>
      <c r="G20" s="14">
        <f>_xll.BDH("NBIX US Equity","NET_INCOME_TO_COMMON_MARGIN","FQ4 2019","FQ4 2019","Currency=USD","Period=FQ","BEST_FPERIOD_OVERRIDE=FQ","FILING_STATUS=MR","FA_ADJUSTED=GAAP","Sort=A","Dates=H","DateFormat=P","Fill=—","Direction=H","UseDPDF=Y")</f>
        <v>13.928699999999999</v>
      </c>
      <c r="H20" s="14">
        <f>_xll.BDH("NBIX US Equity","NET_INCOME_TO_COMMON_MARGIN","FQ1 2020","FQ1 2020","Currency=USD","Period=FQ","BEST_FPERIOD_OVERRIDE=FQ","FILING_STATUS=MR","FA_ADJUSTED=GAAP","Sort=A","Dates=H","DateFormat=P","Fill=—","Direction=H","UseDPDF=Y")</f>
        <v>15.773899999999999</v>
      </c>
      <c r="I20" s="14">
        <f>_xll.BDH("NBIX US Equity","NET_INCOME_TO_COMMON_MARGIN","FQ2 2020","FQ2 2020","Currency=USD","Period=FQ","BEST_FPERIOD_OVERRIDE=FQ","FILING_STATUS=MR","FA_ADJUSTED=GAAP","Sort=A","Dates=H","DateFormat=P","Fill=—","Direction=H","UseDPDF=Y")</f>
        <v>26.322800000000001</v>
      </c>
      <c r="J20" s="14">
        <f>_xll.BDH("NBIX US Equity","NET_INCOME_TO_COMMON_MARGIN","FQ3 2020","FQ3 2020","Currency=USD","Period=FQ","BEST_FPERIOD_OVERRIDE=FQ","FILING_STATUS=MR","FA_ADJUSTED=GAAP","Sort=A","Dates=H","DateFormat=P","Fill=—","Direction=H","UseDPDF=Y")</f>
        <v>-22.282399999999999</v>
      </c>
      <c r="K20" s="14">
        <f>_xll.BDH("NBIX US Equity","NET_INCOME_TO_COMMON_MARGIN","FQ4 2020","FQ4 2020","Currency=USD","Period=FQ","BEST_FPERIOD_OVERRIDE=FQ","FILING_STATUS=MR","FA_ADJUSTED=GAAP","Sort=A","Dates=H","DateFormat=P","Fill=—","Direction=H","UseDPDF=Y")</f>
        <v>140.33879999999999</v>
      </c>
      <c r="L20" s="14">
        <f>_xll.BDH("NBIX US Equity","NET_INCOME_TO_COMMON_MARGIN","FQ1 2021","FQ1 2021","Currency=USD","Period=FQ","BEST_FPERIOD_OVERRIDE=FQ","FILING_STATUS=MR","FA_ADJUSTED=GAAP","Sort=A","Dates=H","DateFormat=P","Fill=—","Direction=H","UseDPDF=Y")</f>
        <v>13.5672</v>
      </c>
      <c r="M20" s="14">
        <f>_xll.BDH("NBIX US Equity","NET_INCOME_TO_COMMON_MARGIN","FQ2 2021","FQ2 2021","Currency=USD","Period=FQ","BEST_FPERIOD_OVERRIDE=FQ","FILING_STATUS=MR","FA_ADJUSTED=GAAP","Sort=A","Dates=H","DateFormat=P","Fill=—","Direction=H","UseDPDF=Y")</f>
        <v>14.6417</v>
      </c>
      <c r="N20" s="14">
        <f>_xll.BDH("NBIX US Equity","NET_INCOME_TO_COMMON_MARGIN","FQ3 2021","FQ3 2021","Currency=USD","Period=FQ","BEST_FPERIOD_OVERRIDE=FQ","FILING_STATUS=MR","FA_ADJUSTED=GAAP","Sort=A","Dates=H","DateFormat=P","Fill=—","Direction=H","UseDPDF=Y")</f>
        <v>7.6013999999999999</v>
      </c>
      <c r="O20" s="14">
        <f>_xll.BDH("NBIX US Equity","NET_INCOME_TO_COMMON_MARGIN","FQ4 2021","FQ4 2021","Currency=USD","Period=FQ","BEST_FPERIOD_OVERRIDE=FQ","FILING_STATUS=MR","FA_ADJUSTED=GAAP","Sort=A","Dates=H","DateFormat=P","Fill=—","Direction=H","UseDPDF=Y")</f>
        <v>-2.3397000000000001</v>
      </c>
      <c r="P20" s="14">
        <f>_xll.BDH("NBIX US Equity","NET_INCOME_TO_COMMON_MARGIN","FQ1 2022","FQ1 2022","Currency=USD","Period=FQ","BEST_FPERIOD_OVERRIDE=FQ","FILING_STATUS=MR","FA_ADJUSTED=GAAP","Sort=A","Dates=H","DateFormat=P","Fill=—","Direction=H","UseDPDF=Y")</f>
        <v>4.4752000000000001</v>
      </c>
      <c r="Q20" s="14">
        <f>_xll.BDH("NBIX US Equity","NET_INCOME_TO_COMMON_MARGIN","FQ2 2022","FQ2 2022","Currency=USD","Period=FQ","BEST_FPERIOD_OVERRIDE=FQ","FILING_STATUS=MR","FA_ADJUSTED=GAAP","Sort=A","Dates=H","DateFormat=P","Fill=—","Direction=H","UseDPDF=Y")</f>
        <v>-4.4684999999999997</v>
      </c>
      <c r="R20" s="14">
        <f>_xll.BDH("NBIX US Equity","NET_INCOME_TO_COMMON_MARGIN","FQ3 2022","FQ3 2022","Currency=USD","Period=FQ","BEST_FPERIOD_OVERRIDE=FQ","FILING_STATUS=MR","FA_ADJUSTED=GAAP","Sort=A","Dates=H","DateFormat=P","Fill=—","Direction=H","UseDPDF=Y")</f>
        <v>17.659199999999998</v>
      </c>
      <c r="S20" s="14">
        <f>_xll.BDH("NBIX US Equity","NET_INCOME_TO_COMMON_MARGIN","FQ4 2022","FQ4 2022","Currency=USD","Period=FQ","BEST_FPERIOD_OVERRIDE=FQ","FILING_STATUS=MR","FA_ADJUSTED=GAAP","Sort=A","Dates=H","DateFormat=P","Fill=—","Direction=H","UseDPDF=Y")</f>
        <v>21.601900000000001</v>
      </c>
      <c r="T20" s="14">
        <f>_xll.BDH("NBIX US Equity","NET_INCOME_TO_COMMON_MARGIN","FQ1 2023","FQ1 2023","Currency=USD","Period=FQ","BEST_FPERIOD_OVERRIDE=FQ","FILING_STATUS=MR","FA_ADJUSTED=GAAP","Sort=A","Dates=H","DateFormat=P","Fill=—","Direction=H","UseDPDF=Y")</f>
        <v>-18.220700000000001</v>
      </c>
      <c r="U20" s="14">
        <f>_xll.BDH("NBIX US Equity","NET_INCOME_TO_COMMON_MARGIN","FQ2 2023","FQ2 2023","Currency=USD","Period=FQ","BEST_FPERIOD_OVERRIDE=FQ","FILING_STATUS=MR","FA_ADJUSTED=GAAP","Sort=A","Dates=H","DateFormat=P","Fill=—","Direction=H","UseDPDF=Y")</f>
        <v>21.095600000000001</v>
      </c>
      <c r="V20" s="14">
        <f>_xll.BDH("NBIX US Equity","NET_INCOME_TO_COMMON_MARGIN","FQ3 2023","FQ3 2023","Currency=USD","Period=FQ","BEST_FPERIOD_OVERRIDE=FQ","FILING_STATUS=MR","FA_ADJUSTED=GAAP","Sort=A","Dates=H","DateFormat=P","Fill=—","Direction=H","UseDPDF=Y")</f>
        <v>16.66</v>
      </c>
      <c r="W20" s="14">
        <f>_xll.BDH("NBIX US Equity","NET_INCOME_TO_COMMON_MARGIN","FQ4 2023","FQ4 2023","Currency=USD","Period=FQ","BEST_FPERIOD_OVERRIDE=FQ","FILING_STATUS=MR","FA_ADJUSTED=GAAP","Sort=A","Dates=H","DateFormat=P","Fill=—","Direction=H","UseDPDF=Y")</f>
        <v>28.668500000000002</v>
      </c>
      <c r="X20" s="14">
        <f>_xll.BDH("NBIX US Equity","NET_INCOME_TO_COMMON_MARGIN","FQ1 2024","FQ1 2024","Currency=USD","Period=FQ","BEST_FPERIOD_OVERRIDE=FQ","FILING_STATUS=MR","FA_ADJUSTED=GAAP","Sort=A","Dates=H","DateFormat=P","Fill=—","Direction=H","UseDPDF=Y")</f>
        <v>8.4222999999999999</v>
      </c>
      <c r="Y20" s="14">
        <f>_xll.BDH("NBIX US Equity","NET_INCOME_TO_COMMON_MARGIN","FQ2 2024","FQ2 2024","Currency=USD","Period=FQ","BEST_FPERIOD_OVERRIDE=FQ","FILING_STATUS=MR","FA_ADJUSTED=GAAP","Sort=A","Dates=H","DateFormat=P","Fill=—","Direction=H","UseDPDF=Y")</f>
        <v>11.013199999999999</v>
      </c>
      <c r="Z20" s="14">
        <f>_xll.BDH("NBIX US Equity","NET_INCOME_TO_COMMON_MARGIN","FQ3 2024","FQ3 2024","Currency=USD","Period=FQ","BEST_FPERIOD_OVERRIDE=FQ","FILING_STATUS=MR","FA_ADJUSTED=GAAP","Sort=A","Dates=H","DateFormat=P","Fill=—","Direction=H","UseDPDF=Y")</f>
        <v>20.864799999999999</v>
      </c>
      <c r="AA20" s="14">
        <f>_xll.BDH("NBIX US Equity","NET_INCOME_TO_COMMON_MARGIN","FQ4 2024","FQ4 2024","Currency=USD","Period=FQ","BEST_FPERIOD_OVERRIDE=FQ","FILING_STATUS=MR","FA_ADJUSTED=GAAP","Sort=A","Dates=H","DateFormat=P","Fill=—","Direction=H","UseDPDF=Y")</f>
        <v>16.425000000000001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6" t="s">
        <v>1271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10" t="s">
        <v>1272</v>
      </c>
      <c r="B23" s="10" t="s">
        <v>1273</v>
      </c>
      <c r="C23" s="14">
        <f>_xll.BDH("NBIX US Equity","EFF_TAX_RATE","FQ4 2018","FQ4 2018","Currency=USD","Period=FQ","BEST_FPERIOD_OVERRIDE=FQ","FILING_STATUS=MR","FA_ADJUSTED=GAAP","Sort=A","Dates=H","DateFormat=P","Fill=—","Direction=H","UseDPDF=Y")</f>
        <v>3.8813</v>
      </c>
      <c r="D23" s="14" t="str">
        <f>_xll.BDH("NBIX US Equity","EFF_TAX_RATE","FQ1 2019","FQ1 2019","Currency=USD","Period=FQ","BEST_FPERIOD_OVERRIDE=FQ","FILING_STATUS=MR","FA_ADJUSTED=GAAP","Sort=A","Dates=H","DateFormat=P","Fill=—","Direction=H","UseDPDF=Y")</f>
        <v>—</v>
      </c>
      <c r="E23" s="14">
        <f>_xll.BDH("NBIX US Equity","EFF_TAX_RATE","FQ2 2019","FQ2 2019","Currency=USD","Period=FQ","BEST_FPERIOD_OVERRIDE=FQ","FILING_STATUS=MR","FA_ADJUSTED=GAAP","Sort=A","Dates=H","DateFormat=P","Fill=—","Direction=H","UseDPDF=Y")</f>
        <v>1.4455</v>
      </c>
      <c r="F23" s="14">
        <f>_xll.BDH("NBIX US Equity","EFF_TAX_RATE","FQ3 2019","FQ3 2019","Currency=USD","Period=FQ","BEST_FPERIOD_OVERRIDE=FQ","FILING_STATUS=MR","FA_ADJUSTED=GAAP","Sort=A","Dates=H","DateFormat=P","Fill=—","Direction=H","UseDPDF=Y")</f>
        <v>7.9066000000000001</v>
      </c>
      <c r="G23" s="14">
        <f>_xll.BDH("NBIX US Equity","EFF_TAX_RATE","FQ4 2019","FQ4 2019","Currency=USD","Period=FQ","BEST_FPERIOD_OVERRIDE=FQ","FILING_STATUS=MR","FA_ADJUSTED=GAAP","Sort=A","Dates=H","DateFormat=P","Fill=—","Direction=H","UseDPDF=Y")</f>
        <v>11.9171</v>
      </c>
      <c r="H23" s="14">
        <f>_xll.BDH("NBIX US Equity","EFF_TAX_RATE","FQ1 2020","FQ1 2020","Currency=USD","Period=FQ","BEST_FPERIOD_OVERRIDE=FQ","FILING_STATUS=MR","FA_ADJUSTED=GAAP","Sort=A","Dates=H","DateFormat=P","Fill=—","Direction=H","UseDPDF=Y")</f>
        <v>3.8559999999999999</v>
      </c>
      <c r="I23" s="14">
        <f>_xll.BDH("NBIX US Equity","EFF_TAX_RATE","FQ2 2020","FQ2 2020","Currency=USD","Period=FQ","BEST_FPERIOD_OVERRIDE=FQ","FILING_STATUS=MR","FA_ADJUSTED=GAAP","Sort=A","Dates=H","DateFormat=P","Fill=—","Direction=H","UseDPDF=Y")</f>
        <v>4.3269000000000002</v>
      </c>
      <c r="J23" s="14" t="str">
        <f>_xll.BDH("NBIX US Equity","EFF_TAX_RATE","FQ3 2020","FQ3 2020","Currency=USD","Period=FQ","BEST_FPERIOD_OVERRIDE=FQ","FILING_STATUS=MR","FA_ADJUSTED=GAAP","Sort=A","Dates=H","DateFormat=P","Fill=—","Direction=H","UseDPDF=Y")</f>
        <v>—</v>
      </c>
      <c r="K23" s="14" t="str">
        <f>_xll.BDH("NBIX US Equity","EFF_TAX_RATE","FQ4 2020","FQ4 2020","Currency=USD","Period=FQ","BEST_FPERIOD_OVERRIDE=FQ","FILING_STATUS=MR","FA_ADJUSTED=GAAP","Sort=A","Dates=H","DateFormat=P","Fill=—","Direction=H","UseDPDF=Y")</f>
        <v>—</v>
      </c>
      <c r="L23" s="14" t="str">
        <f>_xll.BDH("NBIX US Equity","EFF_TAX_RATE","FQ1 2021","FQ1 2021","Currency=USD","Period=FQ","BEST_FPERIOD_OVERRIDE=FQ","FILING_STATUS=MR","FA_ADJUSTED=GAAP","Sort=A","Dates=H","DateFormat=P","Fill=—","Direction=H","UseDPDF=Y")</f>
        <v>—</v>
      </c>
      <c r="M23" s="14">
        <f>_xll.BDH("NBIX US Equity","EFF_TAX_RATE","FQ2 2021","FQ2 2021","Currency=USD","Period=FQ","BEST_FPERIOD_OVERRIDE=FQ","FILING_STATUS=MR","FA_ADJUSTED=GAAP","Sort=A","Dates=H","DateFormat=P","Fill=—","Direction=H","UseDPDF=Y")</f>
        <v>26.434799999999999</v>
      </c>
      <c r="N23" s="14">
        <f>_xll.BDH("NBIX US Equity","EFF_TAX_RATE","FQ3 2021","FQ3 2021","Currency=USD","Period=FQ","BEST_FPERIOD_OVERRIDE=FQ","FILING_STATUS=MR","FA_ADJUSTED=GAAP","Sort=A","Dates=H","DateFormat=P","Fill=—","Direction=H","UseDPDF=Y")</f>
        <v>26.229500000000002</v>
      </c>
      <c r="O23" s="14" t="str">
        <f>_xll.BDH("NBIX US Equity","EFF_TAX_RATE","FQ4 2021","FQ4 2021","Currency=USD","Period=FQ","BEST_FPERIOD_OVERRIDE=FQ","FILING_STATUS=MR","FA_ADJUSTED=GAAP","Sort=A","Dates=H","DateFormat=P","Fill=—","Direction=H","UseDPDF=Y")</f>
        <v>—</v>
      </c>
      <c r="P23" s="14">
        <f>_xll.BDH("NBIX US Equity","EFF_TAX_RATE","FQ1 2022","FQ1 2022","Currency=USD","Period=FQ","BEST_FPERIOD_OVERRIDE=FQ","FILING_STATUS=MR","FA_ADJUSTED=GAAP","Sort=A","Dates=H","DateFormat=P","Fill=—","Direction=H","UseDPDF=Y")</f>
        <v>35.046700000000001</v>
      </c>
      <c r="Q23" s="14" t="str">
        <f>_xll.BDH("NBIX US Equity","EFF_TAX_RATE","FQ2 2022","FQ2 2022","Currency=USD","Period=FQ","BEST_FPERIOD_OVERRIDE=FQ","FILING_STATUS=MR","FA_ADJUSTED=GAAP","Sort=A","Dates=H","DateFormat=P","Fill=—","Direction=H","UseDPDF=Y")</f>
        <v>—</v>
      </c>
      <c r="R23" s="14">
        <f>_xll.BDH("NBIX US Equity","EFF_TAX_RATE","FQ3 2022","FQ3 2022","Currency=USD","Period=FQ","BEST_FPERIOD_OVERRIDE=FQ","FILING_STATUS=MR","FA_ADJUSTED=GAAP","Sort=A","Dates=H","DateFormat=P","Fill=—","Direction=H","UseDPDF=Y")</f>
        <v>30.0306</v>
      </c>
      <c r="S23" s="14">
        <f>_xll.BDH("NBIX US Equity","EFF_TAX_RATE","FQ4 2022","FQ4 2022","Currency=USD","Period=FQ","BEST_FPERIOD_OVERRIDE=FQ","FILING_STATUS=MR","FA_ADJUSTED=GAAP","Sort=A","Dates=H","DateFormat=P","Fill=—","Direction=H","UseDPDF=Y")</f>
        <v>24.5123</v>
      </c>
      <c r="T23" s="14" t="str">
        <f>_xll.BDH("NBIX US Equity","EFF_TAX_RATE","FQ1 2023","FQ1 2023","Currency=USD","Period=FQ","BEST_FPERIOD_OVERRIDE=FQ","FILING_STATUS=MR","FA_ADJUSTED=GAAP","Sort=A","Dates=H","DateFormat=P","Fill=—","Direction=H","UseDPDF=Y")</f>
        <v>—</v>
      </c>
      <c r="U23" s="14">
        <f>_xll.BDH("NBIX US Equity","EFF_TAX_RATE","FQ2 2023","FQ2 2023","Currency=USD","Period=FQ","BEST_FPERIOD_OVERRIDE=FQ","FILING_STATUS=MR","FA_ADJUSTED=GAAP","Sort=A","Dates=H","DateFormat=P","Fill=—","Direction=H","UseDPDF=Y")</f>
        <v>21.463799999999999</v>
      </c>
      <c r="V23" s="14">
        <f>_xll.BDH("NBIX US Equity","EFF_TAX_RATE","FQ3 2023","FQ3 2023","Currency=USD","Period=FQ","BEST_FPERIOD_OVERRIDE=FQ","FILING_STATUS=MR","FA_ADJUSTED=GAAP","Sort=A","Dates=H","DateFormat=P","Fill=—","Direction=H","UseDPDF=Y")</f>
        <v>28.1142</v>
      </c>
      <c r="W23" s="14">
        <f>_xll.BDH("NBIX US Equity","EFF_TAX_RATE","FQ4 2023","FQ4 2023","Currency=USD","Period=FQ","BEST_FPERIOD_OVERRIDE=FQ","FILING_STATUS=MR","FA_ADJUSTED=GAAP","Sort=A","Dates=H","DateFormat=P","Fill=—","Direction=H","UseDPDF=Y")</f>
        <v>25.479299999999999</v>
      </c>
      <c r="X23" s="14" t="str">
        <f>_xll.BDH("NBIX US Equity","EFF_TAX_RATE","FQ1 2024","FQ1 2024","Currency=USD","Period=FQ","BEST_FPERIOD_OVERRIDE=FQ","FILING_STATUS=MR","FA_ADJUSTED=GAAP","Sort=A","Dates=H","DateFormat=P","Fill=—","Direction=H","UseDPDF=Y")</f>
        <v>—</v>
      </c>
      <c r="Y23" s="14">
        <f>_xll.BDH("NBIX US Equity","EFF_TAX_RATE","FQ2 2024","FQ2 2024","Currency=USD","Period=FQ","BEST_FPERIOD_OVERRIDE=FQ","FILING_STATUS=MR","FA_ADJUSTED=GAAP","Sort=A","Dates=H","DateFormat=P","Fill=—","Direction=H","UseDPDF=Y")</f>
        <v>34.077100000000002</v>
      </c>
      <c r="Z23" s="14">
        <f>_xll.BDH("NBIX US Equity","EFF_TAX_RATE","FQ3 2024","FQ3 2024","Currency=USD","Period=FQ","BEST_FPERIOD_OVERRIDE=FQ","FILING_STATUS=MR","FA_ADJUSTED=GAAP","Sort=A","Dates=H","DateFormat=P","Fill=—","Direction=H","UseDPDF=Y")</f>
        <v>31.791899999999998</v>
      </c>
      <c r="AA23" s="14">
        <f>_xll.BDH("NBIX US Equity","EFF_TAX_RATE","FQ4 2024","FQ4 2024","Currency=USD","Period=FQ","BEST_FPERIOD_OVERRIDE=FQ","FILING_STATUS=MR","FA_ADJUSTED=GAAP","Sort=A","Dates=H","DateFormat=P","Fill=—","Direction=H","UseDPDF=Y")</f>
        <v>36.5929</v>
      </c>
    </row>
    <row r="24" spans="1:27" x14ac:dyDescent="0.25">
      <c r="A24" s="10" t="s">
        <v>1274</v>
      </c>
      <c r="B24" s="10" t="s">
        <v>1275</v>
      </c>
      <c r="C24" s="14">
        <f>_xll.BDH("NBIX US Equity","DVD_PAYOUT_RATIO","FQ4 2018","FQ4 2018","Currency=USD","Period=FQ","BEST_FPERIOD_OVERRIDE=FQ","FILING_STATUS=MR","FA_ADJUSTED=GAAP","Sort=A","Dates=H","DateFormat=P","Fill=—","Direction=H","UseDPDF=Y")</f>
        <v>0</v>
      </c>
      <c r="D24" s="14" t="str">
        <f>_xll.BDH("NBIX US Equity","DVD_PAYOUT_RATIO","FQ1 2019","FQ1 2019","Currency=USD","Period=FQ","BEST_FPERIOD_OVERRIDE=FQ","FILING_STATUS=MR","FA_ADJUSTED=GAAP","Sort=A","Dates=H","DateFormat=P","Fill=—","Direction=H","UseDPDF=Y")</f>
        <v>—</v>
      </c>
      <c r="E24" s="14">
        <f>_xll.BDH("NBIX US Equity","DVD_PAYOUT_RATIO","FQ2 2019","FQ2 2019","Currency=USD","Period=FQ","BEST_FPERIOD_OVERRIDE=FQ","FILING_STATUS=MR","FA_ADJUSTED=GAAP","Sort=A","Dates=H","DateFormat=P","Fill=—","Direction=H","UseDPDF=Y")</f>
        <v>0</v>
      </c>
      <c r="F24" s="14">
        <f>_xll.BDH("NBIX US Equity","DVD_PAYOUT_RATIO","FQ3 2019","FQ3 2019","Currency=USD","Period=FQ","BEST_FPERIOD_OVERRIDE=FQ","FILING_STATUS=MR","FA_ADJUSTED=GAAP","Sort=A","Dates=H","DateFormat=P","Fill=—","Direction=H","UseDPDF=Y")</f>
        <v>0</v>
      </c>
      <c r="G24" s="14">
        <f>_xll.BDH("NBIX US Equity","DVD_PAYOUT_RATIO","FQ4 2019","FQ4 2019","Currency=USD","Period=FQ","BEST_FPERIOD_OVERRIDE=FQ","FILING_STATUS=MR","FA_ADJUSTED=GAAP","Sort=A","Dates=H","DateFormat=P","Fill=—","Direction=H","UseDPDF=Y")</f>
        <v>0</v>
      </c>
      <c r="H24" s="14">
        <f>_xll.BDH("NBIX US Equity","DVD_PAYOUT_RATIO","FQ1 2020","FQ1 2020","Currency=USD","Period=FQ","BEST_FPERIOD_OVERRIDE=FQ","FILING_STATUS=MR","FA_ADJUSTED=GAAP","Sort=A","Dates=H","DateFormat=P","Fill=—","Direction=H","UseDPDF=Y")</f>
        <v>0</v>
      </c>
      <c r="I24" s="14">
        <f>_xll.BDH("NBIX US Equity","DVD_PAYOUT_RATIO","FQ2 2020","FQ2 2020","Currency=USD","Period=FQ","BEST_FPERIOD_OVERRIDE=FQ","FILING_STATUS=MR","FA_ADJUSTED=GAAP","Sort=A","Dates=H","DateFormat=P","Fill=—","Direction=H","UseDPDF=Y")</f>
        <v>0</v>
      </c>
      <c r="J24" s="14" t="str">
        <f>_xll.BDH("NBIX US Equity","DVD_PAYOUT_RATIO","FQ3 2020","FQ3 2020","Currency=USD","Period=FQ","BEST_FPERIOD_OVERRIDE=FQ","FILING_STATUS=MR","FA_ADJUSTED=GAAP","Sort=A","Dates=H","DateFormat=P","Fill=—","Direction=H","UseDPDF=Y")</f>
        <v>—</v>
      </c>
      <c r="K24" s="14">
        <f>_xll.BDH("NBIX US Equity","DVD_PAYOUT_RATIO","FQ4 2020","FQ4 2020","Currency=USD","Period=FQ","BEST_FPERIOD_OVERRIDE=FQ","FILING_STATUS=MR","FA_ADJUSTED=GAAP","Sort=A","Dates=H","DateFormat=P","Fill=—","Direction=H","UseDPDF=Y")</f>
        <v>0</v>
      </c>
      <c r="L24" s="14">
        <f>_xll.BDH("NBIX US Equity","DVD_PAYOUT_RATIO","FQ1 2021","FQ1 2021","Currency=USD","Period=FQ","BEST_FPERIOD_OVERRIDE=FQ","FILING_STATUS=MR","FA_ADJUSTED=GAAP","Sort=A","Dates=H","DateFormat=P","Fill=—","Direction=H","UseDPDF=Y")</f>
        <v>0</v>
      </c>
      <c r="M24" s="14">
        <f>_xll.BDH("NBIX US Equity","DVD_PAYOUT_RATIO","FQ2 2021","FQ2 2021","Currency=USD","Period=FQ","BEST_FPERIOD_OVERRIDE=FQ","FILING_STATUS=MR","FA_ADJUSTED=GAAP","Sort=A","Dates=H","DateFormat=P","Fill=—","Direction=H","UseDPDF=Y")</f>
        <v>0</v>
      </c>
      <c r="N24" s="14">
        <f>_xll.BDH("NBIX US Equity","DVD_PAYOUT_RATIO","FQ3 2021","FQ3 2021","Currency=USD","Period=FQ","BEST_FPERIOD_OVERRIDE=FQ","FILING_STATUS=MR","FA_ADJUSTED=GAAP","Sort=A","Dates=H","DateFormat=P","Fill=—","Direction=H","UseDPDF=Y")</f>
        <v>0</v>
      </c>
      <c r="O24" s="14" t="str">
        <f>_xll.BDH("NBIX US Equity","DVD_PAYOUT_RATIO","FQ4 2021","FQ4 2021","Currency=USD","Period=FQ","BEST_FPERIOD_OVERRIDE=FQ","FILING_STATUS=MR","FA_ADJUSTED=GAAP","Sort=A","Dates=H","DateFormat=P","Fill=—","Direction=H","UseDPDF=Y")</f>
        <v>—</v>
      </c>
      <c r="P24" s="14">
        <f>_xll.BDH("NBIX US Equity","DVD_PAYOUT_RATIO","FQ1 2022","FQ1 2022","Currency=USD","Period=FQ","BEST_FPERIOD_OVERRIDE=FQ","FILING_STATUS=MR","FA_ADJUSTED=GAAP","Sort=A","Dates=H","DateFormat=P","Fill=—","Direction=H","UseDPDF=Y")</f>
        <v>0</v>
      </c>
      <c r="Q24" s="14" t="str">
        <f>_xll.BDH("NBIX US Equity","DVD_PAYOUT_RATIO","FQ2 2022","FQ2 2022","Currency=USD","Period=FQ","BEST_FPERIOD_OVERRIDE=FQ","FILING_STATUS=MR","FA_ADJUSTED=GAAP","Sort=A","Dates=H","DateFormat=P","Fill=—","Direction=H","UseDPDF=Y")</f>
        <v>—</v>
      </c>
      <c r="R24" s="14">
        <f>_xll.BDH("NBIX US Equity","DVD_PAYOUT_RATIO","FQ3 2022","FQ3 2022","Currency=USD","Period=FQ","BEST_FPERIOD_OVERRIDE=FQ","FILING_STATUS=MR","FA_ADJUSTED=GAAP","Sort=A","Dates=H","DateFormat=P","Fill=—","Direction=H","UseDPDF=Y")</f>
        <v>0</v>
      </c>
      <c r="S24" s="14">
        <f>_xll.BDH("NBIX US Equity","DVD_PAYOUT_RATIO","FQ4 2022","FQ4 2022","Currency=USD","Period=FQ","BEST_FPERIOD_OVERRIDE=FQ","FILING_STATUS=MR","FA_ADJUSTED=GAAP","Sort=A","Dates=H","DateFormat=P","Fill=—","Direction=H","UseDPDF=Y")</f>
        <v>0</v>
      </c>
      <c r="T24" s="14" t="str">
        <f>_xll.BDH("NBIX US Equity","DVD_PAYOUT_RATIO","FQ1 2023","FQ1 2023","Currency=USD","Period=FQ","BEST_FPERIOD_OVERRIDE=FQ","FILING_STATUS=MR","FA_ADJUSTED=GAAP","Sort=A","Dates=H","DateFormat=P","Fill=—","Direction=H","UseDPDF=Y")</f>
        <v>—</v>
      </c>
      <c r="U24" s="14">
        <f>_xll.BDH("NBIX US Equity","DVD_PAYOUT_RATIO","FQ2 2023","FQ2 2023","Currency=USD","Period=FQ","BEST_FPERIOD_OVERRIDE=FQ","FILING_STATUS=MR","FA_ADJUSTED=GAAP","Sort=A","Dates=H","DateFormat=P","Fill=—","Direction=H","UseDPDF=Y")</f>
        <v>0</v>
      </c>
      <c r="V24" s="14">
        <f>_xll.BDH("NBIX US Equity","DVD_PAYOUT_RATIO","FQ3 2023","FQ3 2023","Currency=USD","Period=FQ","BEST_FPERIOD_OVERRIDE=FQ","FILING_STATUS=MR","FA_ADJUSTED=GAAP","Sort=A","Dates=H","DateFormat=P","Fill=—","Direction=H","UseDPDF=Y")</f>
        <v>0</v>
      </c>
      <c r="W24" s="14">
        <f>_xll.BDH("NBIX US Equity","DVD_PAYOUT_RATIO","FQ4 2023","FQ4 2023","Currency=USD","Period=FQ","BEST_FPERIOD_OVERRIDE=FQ","FILING_STATUS=MR","FA_ADJUSTED=GAAP","Sort=A","Dates=H","DateFormat=P","Fill=—","Direction=H","UseDPDF=Y")</f>
        <v>0</v>
      </c>
      <c r="X24" s="14">
        <f>_xll.BDH("NBIX US Equity","DVD_PAYOUT_RATIO","FQ1 2024","FQ1 2024","Currency=USD","Period=FQ","BEST_FPERIOD_OVERRIDE=FQ","FILING_STATUS=MR","FA_ADJUSTED=GAAP","Sort=A","Dates=H","DateFormat=P","Fill=—","Direction=H","UseDPDF=Y")</f>
        <v>0</v>
      </c>
      <c r="Y24" s="14">
        <f>_xll.BDH("NBIX US Equity","DVD_PAYOUT_RATIO","FQ2 2024","FQ2 2024","Currency=USD","Period=FQ","BEST_FPERIOD_OVERRIDE=FQ","FILING_STATUS=MR","FA_ADJUSTED=GAAP","Sort=A","Dates=H","DateFormat=P","Fill=—","Direction=H","UseDPDF=Y")</f>
        <v>0</v>
      </c>
      <c r="Z24" s="14">
        <f>_xll.BDH("NBIX US Equity","DVD_PAYOUT_RATIO","FQ3 2024","FQ3 2024","Currency=USD","Period=FQ","BEST_FPERIOD_OVERRIDE=FQ","FILING_STATUS=MR","FA_ADJUSTED=GAAP","Sort=A","Dates=H","DateFormat=P","Fill=—","Direction=H","UseDPDF=Y")</f>
        <v>0</v>
      </c>
      <c r="AA24" s="14">
        <f>_xll.BDH("NBIX US Equity","DVD_PAYOUT_RATIO","FQ4 2024","FQ4 2024","Currency=USD","Period=FQ","BEST_FPERIOD_OVERRIDE=FQ","FILING_STATUS=MR","FA_ADJUSTED=GAAP","Sort=A","Dates=H","DateFormat=P","Fill=—","Direction=H","UseDPDF=Y")</f>
        <v>0</v>
      </c>
    </row>
    <row r="25" spans="1:27" x14ac:dyDescent="0.25">
      <c r="A25" s="10" t="s">
        <v>1276</v>
      </c>
      <c r="B25" s="10" t="s">
        <v>1277</v>
      </c>
      <c r="C25" s="14">
        <f>_xll.BDH("NBIX US Equity","SUSTAIN_GROWTH_RT","FQ4 2018","FQ4 2018","Currency=USD","Period=FQ","BEST_FPERIOD_OVERRIDE=FQ","FILING_STATUS=MR","FA_ADJUSTED=GAAP","Sort=A","Dates=H","DateFormat=P","Fill=—","Direction=H","UseDPDF=Y")</f>
        <v>4.9504000000000001</v>
      </c>
      <c r="D25" s="14" t="str">
        <f>_xll.BDH("NBIX US Equity","SUSTAIN_GROWTH_RT","FQ1 2019","FQ1 2019","Currency=USD","Period=FQ","BEST_FPERIOD_OVERRIDE=FQ","FILING_STATUS=MR","FA_ADJUSTED=GAAP","Sort=A","Dates=H","DateFormat=P","Fill=—","Direction=H","UseDPDF=Y")</f>
        <v>—</v>
      </c>
      <c r="E25" s="14">
        <f>_xll.BDH("NBIX US Equity","SUSTAIN_GROWTH_RT","FQ2 2019","FQ2 2019","Currency=USD","Period=FQ","BEST_FPERIOD_OVERRIDE=FQ","FILING_STATUS=MR","FA_ADJUSTED=GAAP","Sort=A","Dates=H","DateFormat=P","Fill=—","Direction=H","UseDPDF=Y")</f>
        <v>4.1955999999999998</v>
      </c>
      <c r="F25" s="14">
        <f>_xll.BDH("NBIX US Equity","SUSTAIN_GROWTH_RT","FQ3 2019","FQ3 2019","Currency=USD","Period=FQ","BEST_FPERIOD_OVERRIDE=FQ","FILING_STATUS=MR","FA_ADJUSTED=GAAP","Sort=A","Dates=H","DateFormat=P","Fill=—","Direction=H","UseDPDF=Y")</f>
        <v>4.1271000000000004</v>
      </c>
      <c r="G25" s="14">
        <f>_xll.BDH("NBIX US Equity","SUSTAIN_GROWTH_RT","FQ4 2019","FQ4 2019","Currency=USD","Period=FQ","BEST_FPERIOD_OVERRIDE=FQ","FILING_STATUS=MR","FA_ADJUSTED=GAAP","Sort=A","Dates=H","DateFormat=P","Fill=—","Direction=H","UseDPDF=Y")</f>
        <v>6.6231</v>
      </c>
      <c r="H25" s="14">
        <f>_xll.BDH("NBIX US Equity","SUSTAIN_GROWTH_RT","FQ1 2020","FQ1 2020","Currency=USD","Period=FQ","BEST_FPERIOD_OVERRIDE=FQ","FILING_STATUS=MR","FA_ADJUSTED=GAAP","Sort=A","Dates=H","DateFormat=P","Fill=—","Direction=H","UseDPDF=Y")</f>
        <v>31.8188</v>
      </c>
      <c r="I25" s="14">
        <f>_xll.BDH("NBIX US Equity","SUSTAIN_GROWTH_RT","FQ2 2020","FQ2 2020","Currency=USD","Period=FQ","BEST_FPERIOD_OVERRIDE=FQ","FILING_STATUS=MR","FA_ADJUSTED=GAAP","Sort=A","Dates=H","DateFormat=P","Fill=—","Direction=H","UseDPDF=Y")</f>
        <v>31.148800000000001</v>
      </c>
      <c r="J25" s="14" t="str">
        <f>_xll.BDH("NBIX US Equity","SUSTAIN_GROWTH_RT","FQ3 2020","FQ3 2020","Currency=USD","Period=FQ","BEST_FPERIOD_OVERRIDE=FQ","FILING_STATUS=MR","FA_ADJUSTED=GAAP","Sort=A","Dates=H","DateFormat=P","Fill=—","Direction=H","UseDPDF=Y")</f>
        <v>—</v>
      </c>
      <c r="K25" s="14">
        <f>_xll.BDH("NBIX US Equity","SUSTAIN_GROWTH_RT","FQ4 2020","FQ4 2020","Currency=USD","Period=FQ","BEST_FPERIOD_OVERRIDE=FQ","FILING_STATUS=MR","FA_ADJUSTED=GAAP","Sort=A","Dates=H","DateFormat=P","Fill=—","Direction=H","UseDPDF=Y")</f>
        <v>46.2027</v>
      </c>
      <c r="L25" s="14">
        <f>_xll.BDH("NBIX US Equity","SUSTAIN_GROWTH_RT","FQ1 2021","FQ1 2021","Currency=USD","Period=FQ","BEST_FPERIOD_OVERRIDE=FQ","FILING_STATUS=MR","FA_ADJUSTED=GAAP","Sort=A","Dates=H","DateFormat=P","Fill=—","Direction=H","UseDPDF=Y")</f>
        <v>42.184800000000003</v>
      </c>
      <c r="M25" s="14">
        <f>_xll.BDH("NBIX US Equity","SUSTAIN_GROWTH_RT","FQ2 2021","FQ2 2021","Currency=USD","Period=FQ","BEST_FPERIOD_OVERRIDE=FQ","FILING_STATUS=MR","FA_ADJUSTED=GAAP","Sort=A","Dates=H","DateFormat=P","Fill=—","Direction=H","UseDPDF=Y")</f>
        <v>34.562199999999997</v>
      </c>
      <c r="N25" s="14">
        <f>_xll.BDH("NBIX US Equity","SUSTAIN_GROWTH_RT","FQ3 2021","FQ3 2021","Currency=USD","Period=FQ","BEST_FPERIOD_OVERRIDE=FQ","FILING_STATUS=MR","FA_ADJUSTED=GAAP","Sort=A","Dates=H","DateFormat=P","Fill=—","Direction=H","UseDPDF=Y")</f>
        <v>41.371000000000002</v>
      </c>
      <c r="O25" s="14" t="str">
        <f>_xll.BDH("NBIX US Equity","SUSTAIN_GROWTH_RT","FQ4 2021","FQ4 2021","Currency=USD","Period=FQ","BEST_FPERIOD_OVERRIDE=FQ","FILING_STATUS=MR","FA_ADJUSTED=GAAP","Sort=A","Dates=H","DateFormat=P","Fill=—","Direction=H","UseDPDF=Y")</f>
        <v>—</v>
      </c>
      <c r="P25" s="14">
        <f>_xll.BDH("NBIX US Equity","SUSTAIN_GROWTH_RT","FQ1 2022","FQ1 2022","Currency=USD","Period=FQ","BEST_FPERIOD_OVERRIDE=FQ","FILING_STATUS=MR","FA_ADJUSTED=GAAP","Sort=A","Dates=H","DateFormat=P","Fill=—","Direction=H","UseDPDF=Y")</f>
        <v>5.4992999999999999</v>
      </c>
      <c r="Q25" s="14" t="str">
        <f>_xll.BDH("NBIX US Equity","SUSTAIN_GROWTH_RT","FQ2 2022","FQ2 2022","Currency=USD","Period=FQ","BEST_FPERIOD_OVERRIDE=FQ","FILING_STATUS=MR","FA_ADJUSTED=GAAP","Sort=A","Dates=H","DateFormat=P","Fill=—","Direction=H","UseDPDF=Y")</f>
        <v>—</v>
      </c>
      <c r="R25" s="14">
        <f>_xll.BDH("NBIX US Equity","SUSTAIN_GROWTH_RT","FQ3 2022","FQ3 2022","Currency=USD","Period=FQ","BEST_FPERIOD_OVERRIDE=FQ","FILING_STATUS=MR","FA_ADJUSTED=GAAP","Sort=A","Dates=H","DateFormat=P","Fill=—","Direction=H","UseDPDF=Y")</f>
        <v>4.0267999999999997</v>
      </c>
      <c r="S25" s="14">
        <f>_xll.BDH("NBIX US Equity","SUSTAIN_GROWTH_RT","FQ4 2022","FQ4 2022","Currency=USD","Period=FQ","BEST_FPERIOD_OVERRIDE=FQ","FILING_STATUS=MR","FA_ADJUSTED=GAAP","Sort=A","Dates=H","DateFormat=P","Fill=—","Direction=H","UseDPDF=Y")</f>
        <v>10.0266</v>
      </c>
      <c r="T25" s="14" t="str">
        <f>_xll.BDH("NBIX US Equity","SUSTAIN_GROWTH_RT","FQ1 2023","FQ1 2023","Currency=USD","Period=FQ","BEST_FPERIOD_OVERRIDE=FQ","FILING_STATUS=MR","FA_ADJUSTED=GAAP","Sort=A","Dates=H","DateFormat=P","Fill=—","Direction=H","UseDPDF=Y")</f>
        <v>—</v>
      </c>
      <c r="U25" s="14">
        <f>_xll.BDH("NBIX US Equity","SUSTAIN_GROWTH_RT","FQ2 2023","FQ2 2023","Currency=USD","Period=FQ","BEST_FPERIOD_OVERRIDE=FQ","FILING_STATUS=MR","FA_ADJUSTED=GAAP","Sort=A","Dates=H","DateFormat=P","Fill=—","Direction=H","UseDPDF=Y")</f>
        <v>10.767899999999999</v>
      </c>
      <c r="V25" s="14">
        <f>_xll.BDH("NBIX US Equity","SUSTAIN_GROWTH_RT","FQ3 2023","FQ3 2023","Currency=USD","Period=FQ","BEST_FPERIOD_OVERRIDE=FQ","FILING_STATUS=MR","FA_ADJUSTED=GAAP","Sort=A","Dates=H","DateFormat=P","Fill=—","Direction=H","UseDPDF=Y")</f>
        <v>10.7706</v>
      </c>
      <c r="W25" s="14">
        <f>_xll.BDH("NBIX US Equity","SUSTAIN_GROWTH_RT","FQ4 2023","FQ4 2023","Currency=USD","Period=FQ","BEST_FPERIOD_OVERRIDE=FQ","FILING_STATUS=MR","FA_ADJUSTED=GAAP","Sort=A","Dates=H","DateFormat=P","Fill=—","Direction=H","UseDPDF=Y")</f>
        <v>12.675800000000001</v>
      </c>
      <c r="X25" s="14">
        <f>_xll.BDH("NBIX US Equity","SUSTAIN_GROWTH_RT","FQ1 2024","FQ1 2024","Currency=USD","Period=FQ","BEST_FPERIOD_OVERRIDE=FQ","FILING_STATUS=MR","FA_ADJUSTED=GAAP","Sort=A","Dates=H","DateFormat=P","Fill=—","Direction=H","UseDPDF=Y")</f>
        <v>18.164400000000001</v>
      </c>
      <c r="Y25" s="14">
        <f>_xll.BDH("NBIX US Equity","SUSTAIN_GROWTH_RT","FQ2 2024","FQ2 2024","Currency=USD","Period=FQ","BEST_FPERIOD_OVERRIDE=FQ","FILING_STATUS=MR","FA_ADJUSTED=GAAP","Sort=A","Dates=H","DateFormat=P","Fill=—","Direction=H","UseDPDF=Y")</f>
        <v>15.5518</v>
      </c>
      <c r="Z25" s="14">
        <f>_xll.BDH("NBIX US Equity","SUSTAIN_GROWTH_RT","FQ3 2024","FQ3 2024","Currency=USD","Period=FQ","BEST_FPERIOD_OVERRIDE=FQ","FILING_STATUS=MR","FA_ADJUSTED=GAAP","Sort=A","Dates=H","DateFormat=P","Fill=—","Direction=H","UseDPDF=Y")</f>
        <v>16.348199999999999</v>
      </c>
      <c r="AA25" s="14">
        <f>_xll.BDH("NBIX US Equity","SUSTAIN_GROWTH_RT","FQ4 2024","FQ4 2024","Currency=USD","Period=FQ","BEST_FPERIOD_OVERRIDE=FQ","FILING_STATUS=MR","FA_ADJUSTED=GAAP","Sort=A","Dates=H","DateFormat=P","Fill=—","Direction=H","UseDPDF=Y")</f>
        <v>14.1568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2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1278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1279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0</v>
      </c>
      <c r="B7" s="10" t="s">
        <v>73</v>
      </c>
      <c r="C7" s="14">
        <f>_xll.BDH("NBIX US Equity","SALES_GROWTH","FQ4 2018","FQ4 2018","Currency=USD","Period=FQ","BEST_FPERIOD_OVERRIDE=FQ","FILING_STATUS=MR","FA_ADJUSTED=GAAP","Sort=A","Dates=H","DateFormat=P","Fill=—","Direction=H","UseDPDF=Y")</f>
        <v>39.119900000000001</v>
      </c>
      <c r="D7" s="14">
        <f>_xll.BDH("NBIX US Equity","SALES_GROWTH","FQ1 2019","FQ1 2019","Currency=USD","Period=FQ","BEST_FPERIOD_OVERRIDE=FQ","FILING_STATUS=MR","FA_ADJUSTED=GAAP","Sort=A","Dates=H","DateFormat=P","Fill=—","Direction=H","UseDPDF=Y")</f>
        <v>94.697999999999993</v>
      </c>
      <c r="E7" s="14">
        <f>_xll.BDH("NBIX US Equity","SALES_GROWTH","FQ2 2019","FQ2 2019","Currency=USD","Period=FQ","BEST_FPERIOD_OVERRIDE=FQ","FILING_STATUS=MR","FA_ADJUSTED=GAAP","Sort=A","Dates=H","DateFormat=P","Fill=—","Direction=H","UseDPDF=Y")</f>
        <v>89.443299999999994</v>
      </c>
      <c r="F7" s="14">
        <f>_xll.BDH("NBIX US Equity","SALES_GROWTH","FQ3 2019","FQ3 2019","Currency=USD","Period=FQ","BEST_FPERIOD_OVERRIDE=FQ","FILING_STATUS=MR","FA_ADJUSTED=GAAP","Sort=A","Dates=H","DateFormat=P","Fill=—","Direction=H","UseDPDF=Y")</f>
        <v>46.348399999999998</v>
      </c>
      <c r="G7" s="14">
        <f>_xll.BDH("NBIX US Equity","SALES_GROWTH","FQ4 2019","FQ4 2019","Currency=USD","Period=FQ","BEST_FPERIOD_OVERRIDE=FQ","FILING_STATUS=MR","FA_ADJUSTED=GAAP","Sort=A","Dates=H","DateFormat=P","Fill=—","Direction=H","UseDPDF=Y")</f>
        <v>85.6387</v>
      </c>
      <c r="H7" s="14">
        <f>_xll.BDH("NBIX US Equity","SALES_GROWTH","FQ1 2020","FQ1 2020","Currency=USD","Period=FQ","BEST_FPERIOD_OVERRIDE=FQ","FILING_STATUS=MR","FA_ADJUSTED=GAAP","Sort=A","Dates=H","DateFormat=P","Fill=—","Direction=H","UseDPDF=Y")</f>
        <v>71.311300000000003</v>
      </c>
      <c r="I7" s="14">
        <f>_xll.BDH("NBIX US Equity","SALES_GROWTH","FQ2 2020","FQ2 2020","Currency=USD","Period=FQ","BEST_FPERIOD_OVERRIDE=FQ","FILING_STATUS=MR","FA_ADJUSTED=GAAP","Sort=A","Dates=H","DateFormat=P","Fill=—","Direction=H","UseDPDF=Y")</f>
        <v>64.723799999999997</v>
      </c>
      <c r="J7" s="14">
        <f>_xll.BDH("NBIX US Equity","SALES_GROWTH","FQ3 2020","FQ3 2020","Currency=USD","Period=FQ","BEST_FPERIOD_OVERRIDE=FQ","FILING_STATUS=MR","FA_ADJUSTED=GAAP","Sort=A","Dates=H","DateFormat=P","Fill=—","Direction=H","UseDPDF=Y")</f>
        <v>16.392199999999999</v>
      </c>
      <c r="K7" s="14">
        <f>_xll.BDH("NBIX US Equity","SALES_GROWTH","FQ4 2020","FQ4 2020","Currency=USD","Period=FQ","BEST_FPERIOD_OVERRIDE=FQ","FILING_STATUS=MR","FA_ADJUSTED=GAAP","Sort=A","Dates=H","DateFormat=P","Fill=—","Direction=H","UseDPDF=Y")</f>
        <v>1.5567</v>
      </c>
      <c r="L7" s="14">
        <f>_xll.BDH("NBIX US Equity","SALES_GROWTH","FQ1 2021","FQ1 2021","Currency=USD","Period=FQ","BEST_FPERIOD_OVERRIDE=FQ","FILING_STATUS=MR","FA_ADJUSTED=GAAP","Sort=A","Dates=H","DateFormat=P","Fill=—","Direction=H","UseDPDF=Y")</f>
        <v>-0.2109</v>
      </c>
      <c r="M7" s="14">
        <f>_xll.BDH("NBIX US Equity","SALES_GROWTH","FQ2 2021","FQ2 2021","Currency=USD","Period=FQ","BEST_FPERIOD_OVERRIDE=FQ","FILING_STATUS=MR","FA_ADJUSTED=GAAP","Sort=A","Dates=H","DateFormat=P","Fill=—","Direction=H","UseDPDF=Y")</f>
        <v>-4.4642999999999997</v>
      </c>
      <c r="N7" s="14">
        <f>_xll.BDH("NBIX US Equity","SALES_GROWTH","FQ3 2021","FQ3 2021","Currency=USD","Period=FQ","BEST_FPERIOD_OVERRIDE=FQ","FILING_STATUS=MR","FA_ADJUSTED=GAAP","Sort=A","Dates=H","DateFormat=P","Fill=—","Direction=H","UseDPDF=Y")</f>
        <v>14.5068</v>
      </c>
      <c r="O7" s="14">
        <f>_xll.BDH("NBIX US Equity","SALES_GROWTH","FQ4 2021","FQ4 2021","Currency=USD","Period=FQ","BEST_FPERIOD_OVERRIDE=FQ","FILING_STATUS=MR","FA_ADJUSTED=GAAP","Sort=A","Dates=H","DateFormat=P","Fill=—","Direction=H","UseDPDF=Y")</f>
        <v>25.857199999999999</v>
      </c>
      <c r="P7" s="14">
        <f>_xll.BDH("NBIX US Equity","SALES_GROWTH","FQ1 2022","FQ1 2022","Currency=USD","Period=FQ","BEST_FPERIOD_OVERRIDE=FQ","FILING_STATUS=MR","FA_ADJUSTED=GAAP","Sort=A","Dates=H","DateFormat=P","Fill=—","Direction=H","UseDPDF=Y")</f>
        <v>31.276399999999999</v>
      </c>
      <c r="Q7" s="14">
        <f>_xll.BDH("NBIX US Equity","SALES_GROWTH","FQ2 2022","FQ2 2022","Currency=USD","Period=FQ","BEST_FPERIOD_OVERRIDE=FQ","FILING_STATUS=MR","FA_ADJUSTED=GAAP","Sort=A","Dates=H","DateFormat=P","Fill=—","Direction=H","UseDPDF=Y")</f>
        <v>30.910299999999999</v>
      </c>
      <c r="R7" s="14">
        <f>_xll.BDH("NBIX US Equity","SALES_GROWTH","FQ3 2022","FQ3 2022","Currency=USD","Period=FQ","BEST_FPERIOD_OVERRIDE=FQ","FILING_STATUS=MR","FA_ADJUSTED=GAAP","Sort=A","Dates=H","DateFormat=P","Fill=—","Direction=H","UseDPDF=Y")</f>
        <v>31.0473</v>
      </c>
      <c r="S7" s="14">
        <f>_xll.BDH("NBIX US Equity","SALES_GROWTH","FQ4 2022","FQ4 2022","Currency=USD","Period=FQ","BEST_FPERIOD_OVERRIDE=FQ","FILING_STATUS=MR","FA_ADJUSTED=GAAP","Sort=A","Dates=H","DateFormat=P","Fill=—","Direction=H","UseDPDF=Y")</f>
        <v>32.051299999999998</v>
      </c>
      <c r="T7" s="14">
        <f>_xll.BDH("NBIX US Equity","SALES_GROWTH","FQ1 2023","FQ1 2023","Currency=USD","Period=FQ","BEST_FPERIOD_OVERRIDE=FQ","FILING_STATUS=MR","FA_ADJUSTED=GAAP","Sort=A","Dates=H","DateFormat=P","Fill=—","Direction=H","UseDPDF=Y")</f>
        <v>35.350900000000003</v>
      </c>
      <c r="U7" s="14">
        <f>_xll.BDH("NBIX US Equity","SALES_GROWTH","FQ2 2023","FQ2 2023","Currency=USD","Period=FQ","BEST_FPERIOD_OVERRIDE=FQ","FILING_STATUS=MR","FA_ADJUSTED=GAAP","Sort=A","Dates=H","DateFormat=P","Fill=—","Direction=H","UseDPDF=Y")</f>
        <v>19.698599999999999</v>
      </c>
      <c r="V7" s="14">
        <f>_xll.BDH("NBIX US Equity","SALES_GROWTH","FQ3 2023","FQ3 2023","Currency=USD","Period=FQ","BEST_FPERIOD_OVERRIDE=FQ","FILING_STATUS=MR","FA_ADJUSTED=GAAP","Sort=A","Dates=H","DateFormat=P","Fill=—","Direction=H","UseDPDF=Y")</f>
        <v>28.5898</v>
      </c>
      <c r="W7" s="14">
        <f>_xll.BDH("NBIX US Equity","SALES_GROWTH","FQ4 2023","FQ4 2023","Currency=USD","Period=FQ","BEST_FPERIOD_OVERRIDE=FQ","FILING_STATUS=MR","FA_ADJUSTED=GAAP","Sort=A","Dates=H","DateFormat=P","Fill=—","Direction=H","UseDPDF=Y")</f>
        <v>25.048500000000001</v>
      </c>
      <c r="X7" s="14">
        <f>_xll.BDH("NBIX US Equity","SALES_GROWTH","FQ1 2024","FQ1 2024","Currency=USD","Period=FQ","BEST_FPERIOD_OVERRIDE=FQ","FILING_STATUS=MR","FA_ADJUSTED=GAAP","Sort=A","Dates=H","DateFormat=P","Fill=—","Direction=H","UseDPDF=Y")</f>
        <v>22.573699999999999</v>
      </c>
      <c r="Y7" s="14">
        <f>_xll.BDH("NBIX US Equity","SALES_GROWTH","FQ2 2024","FQ2 2024","Currency=USD","Period=FQ","BEST_FPERIOD_OVERRIDE=FQ","FILING_STATUS=MR","FA_ADJUSTED=GAAP","Sort=A","Dates=H","DateFormat=P","Fill=—","Direction=H","UseDPDF=Y")</f>
        <v>30.3733</v>
      </c>
      <c r="Z7" s="14">
        <f>_xll.BDH("NBIX US Equity","SALES_GROWTH","FQ3 2024","FQ3 2024","Currency=USD","Period=FQ","BEST_FPERIOD_OVERRIDE=FQ","FILING_STATUS=MR","FA_ADJUSTED=GAAP","Sort=A","Dates=H","DateFormat=P","Fill=—","Direction=H","UseDPDF=Y")</f>
        <v>24.7193</v>
      </c>
      <c r="AA7" s="14">
        <f>_xll.BDH("NBIX US Equity","SALES_GROWTH","FQ4 2024","FQ4 2024","Currency=USD","Period=FQ","BEST_FPERIOD_OVERRIDE=FQ","FILING_STATUS=MR","FA_ADJUSTED=GAAP","Sort=A","Dates=H","DateFormat=P","Fill=—","Direction=H","UseDPDF=Y")</f>
        <v>21.836200000000002</v>
      </c>
    </row>
    <row r="8" spans="1:27" x14ac:dyDescent="0.25">
      <c r="A8" s="10" t="s">
        <v>78</v>
      </c>
      <c r="B8" s="10" t="s">
        <v>1280</v>
      </c>
      <c r="C8" s="14">
        <f>_xll.BDH("NBIX US Equity","EBITDA_GROWTH","FQ4 2018","FQ4 2018","Currency=USD","Period=FQ","BEST_FPERIOD_OVERRIDE=FQ","FILING_STATUS=MR","FA_ADJUSTED=GAAP","Sort=A","Dates=H","DateFormat=P","Fill=—","Direction=H","UseDPDF=Y")</f>
        <v>84.577399999999997</v>
      </c>
      <c r="D8" s="14">
        <f>_xll.BDH("NBIX US Equity","EBITDA_GROWTH","FQ1 2019","FQ1 2019","Currency=USD","Period=FQ","BEST_FPERIOD_OVERRIDE=FQ","FILING_STATUS=MR","FA_ADJUSTED=GAAP","Sort=A","Dates=H","DateFormat=P","Fill=—","Direction=H","UseDPDF=Y")</f>
        <v>-166.03479999999999</v>
      </c>
      <c r="E8" s="14" t="str">
        <f>_xll.BDH("NBIX US Equity","EBITDA_GROWTH","FQ2 2019","FQ2 2019","Currency=USD","Period=FQ","BEST_FPERIOD_OVERRIDE=FQ","FILING_STATUS=MR","FA_ADJUSTED=GAAP","Sort=A","Dates=H","DateFormat=P","Fill=—","Direction=H","UseDPDF=Y")</f>
        <v>—</v>
      </c>
      <c r="F8" s="14">
        <f>_xll.BDH("NBIX US Equity","EBITDA_GROWTH","FQ3 2019","FQ3 2019","Currency=USD","Period=FQ","BEST_FPERIOD_OVERRIDE=FQ","FILING_STATUS=MR","FA_ADJUSTED=GAAP","Sort=A","Dates=H","DateFormat=P","Fill=—","Direction=H","UseDPDF=Y")</f>
        <v>69.858999999999995</v>
      </c>
      <c r="G8" s="14">
        <f>_xll.BDH("NBIX US Equity","EBITDA_GROWTH","FQ4 2019","FQ4 2019","Currency=USD","Period=FQ","BEST_FPERIOD_OVERRIDE=FQ","FILING_STATUS=MR","FA_ADJUSTED=GAAP","Sort=A","Dates=H","DateFormat=P","Fill=—","Direction=H","UseDPDF=Y")</f>
        <v>129.1497</v>
      </c>
      <c r="H8" s="14" t="str">
        <f>_xll.BDH("NBIX US Equity","EBITDA_GROWTH","FQ1 2020","FQ1 2020","Currency=USD","Period=FQ","BEST_FPERIOD_OVERRIDE=FQ","FILING_STATUS=MR","FA_ADJUSTED=GAAP","Sort=A","Dates=H","DateFormat=P","Fill=—","Direction=H","UseDPDF=Y")</f>
        <v>—</v>
      </c>
      <c r="I8" s="14">
        <f>_xll.BDH("NBIX US Equity","EBITDA_GROWTH","FQ2 2020","FQ2 2020","Currency=USD","Period=FQ","BEST_FPERIOD_OVERRIDE=FQ","FILING_STATUS=MR","FA_ADJUSTED=GAAP","Sort=A","Dates=H","DateFormat=P","Fill=—","Direction=H","UseDPDF=Y")</f>
        <v>112.30419999999999</v>
      </c>
      <c r="J8" s="14" t="str">
        <f>_xll.BDH("NBIX US Equity","EBITDA_GROWTH","FQ3 2020","FQ3 2020","Currency=USD","Period=FQ","BEST_FPERIOD_OVERRIDE=FQ","FILING_STATUS=MR","FA_ADJUSTED=GAAP","Sort=A","Dates=H","DateFormat=P","Fill=—","Direction=H","UseDPDF=Y")</f>
        <v>—</v>
      </c>
      <c r="K8" s="14">
        <f>_xll.BDH("NBIX US Equity","EBITDA_GROWTH","FQ4 2020","FQ4 2020","Currency=USD","Period=FQ","BEST_FPERIOD_OVERRIDE=FQ","FILING_STATUS=MR","FA_ADJUSTED=GAAP","Sort=A","Dates=H","DateFormat=P","Fill=—","Direction=H","UseDPDF=Y")</f>
        <v>44.610599999999998</v>
      </c>
      <c r="L8" s="14">
        <f>_xll.BDH("NBIX US Equity","EBITDA_GROWTH","FQ1 2021","FQ1 2021","Currency=USD","Period=FQ","BEST_FPERIOD_OVERRIDE=FQ","FILING_STATUS=MR","FA_ADJUSTED=GAAP","Sort=A","Dates=H","DateFormat=P","Fill=—","Direction=H","UseDPDF=Y")</f>
        <v>-41.102400000000003</v>
      </c>
      <c r="M8" s="14">
        <f>_xll.BDH("NBIX US Equity","EBITDA_GROWTH","FQ2 2021","FQ2 2021","Currency=USD","Period=FQ","BEST_FPERIOD_OVERRIDE=FQ","FILING_STATUS=MR","FA_ADJUSTED=GAAP","Sort=A","Dates=H","DateFormat=P","Fill=—","Direction=H","UseDPDF=Y")</f>
        <v>-14.655200000000001</v>
      </c>
      <c r="N8" s="14" t="str">
        <f>_xll.BDH("NBIX US Equity","EBITDA_GROWTH","FQ3 2021","FQ3 2021","Currency=USD","Period=FQ","BEST_FPERIOD_OVERRIDE=FQ","FILING_STATUS=MR","FA_ADJUSTED=GAAP","Sort=A","Dates=H","DateFormat=P","Fill=—","Direction=H","UseDPDF=Y")</f>
        <v>—</v>
      </c>
      <c r="O8" s="14" t="str">
        <f>_xll.BDH("NBIX US Equity","EBITDA_GROWTH","FQ4 2021","FQ4 2021","Currency=USD","Period=FQ","BEST_FPERIOD_OVERRIDE=FQ","FILING_STATUS=MR","FA_ADJUSTED=GAAP","Sort=A","Dates=H","DateFormat=P","Fill=—","Direction=H","UseDPDF=Y")</f>
        <v>—</v>
      </c>
      <c r="P8" s="14">
        <f>_xll.BDH("NBIX US Equity","EBITDA_GROWTH","FQ1 2022","FQ1 2022","Currency=USD","Period=FQ","BEST_FPERIOD_OVERRIDE=FQ","FILING_STATUS=MR","FA_ADJUSTED=GAAP","Sort=A","Dates=H","DateFormat=P","Fill=—","Direction=H","UseDPDF=Y")</f>
        <v>-71.9251</v>
      </c>
      <c r="Q8" s="14">
        <f>_xll.BDH("NBIX US Equity","EBITDA_GROWTH","FQ2 2022","FQ2 2022","Currency=USD","Period=FQ","BEST_FPERIOD_OVERRIDE=FQ","FILING_STATUS=MR","FA_ADJUSTED=GAAP","Sort=A","Dates=H","DateFormat=P","Fill=—","Direction=H","UseDPDF=Y")</f>
        <v>-9.5237999999999996</v>
      </c>
      <c r="R8" s="14">
        <f>_xll.BDH("NBIX US Equity","EBITDA_GROWTH","FQ3 2022","FQ3 2022","Currency=USD","Period=FQ","BEST_FPERIOD_OVERRIDE=FQ","FILING_STATUS=MR","FA_ADJUSTED=GAAP","Sort=A","Dates=H","DateFormat=P","Fill=—","Direction=H","UseDPDF=Y")</f>
        <v>87.695300000000003</v>
      </c>
      <c r="S8" s="14" t="str">
        <f>_xll.BDH("NBIX US Equity","EBITDA_GROWTH","FQ4 2022","FQ4 2022","Currency=USD","Period=FQ","BEST_FPERIOD_OVERRIDE=FQ","FILING_STATUS=MR","FA_ADJUSTED=GAAP","Sort=A","Dates=H","DateFormat=P","Fill=—","Direction=H","UseDPDF=Y")</f>
        <v>—</v>
      </c>
      <c r="T8" s="14" t="str">
        <f>_xll.BDH("NBIX US Equity","EBITDA_GROWTH","FQ1 2023","FQ1 2023","Currency=USD","Period=FQ","BEST_FPERIOD_OVERRIDE=FQ","FILING_STATUS=MR","FA_ADJUSTED=GAAP","Sort=A","Dates=H","DateFormat=P","Fill=—","Direction=H","UseDPDF=Y")</f>
        <v>—</v>
      </c>
      <c r="U8" s="14">
        <f>_xll.BDH("NBIX US Equity","EBITDA_GROWTH","FQ2 2023","FQ2 2023","Currency=USD","Period=FQ","BEST_FPERIOD_OVERRIDE=FQ","FILING_STATUS=MR","FA_ADJUSTED=GAAP","Sort=A","Dates=H","DateFormat=P","Fill=—","Direction=H","UseDPDF=Y")</f>
        <v>32.057400000000001</v>
      </c>
      <c r="V8" s="14">
        <f>_xll.BDH("NBIX US Equity","EBITDA_GROWTH","FQ3 2023","FQ3 2023","Currency=USD","Period=FQ","BEST_FPERIOD_OVERRIDE=FQ","FILING_STATUS=MR","FA_ADJUSTED=GAAP","Sort=A","Dates=H","DateFormat=P","Fill=—","Direction=H","UseDPDF=Y")</f>
        <v>56.607700000000001</v>
      </c>
      <c r="W8" s="14">
        <f>_xll.BDH("NBIX US Equity","EBITDA_GROWTH","FQ4 2023","FQ4 2023","Currency=USD","Period=FQ","BEST_FPERIOD_OVERRIDE=FQ","FILING_STATUS=MR","FA_ADJUSTED=GAAP","Sort=A","Dates=H","DateFormat=P","Fill=—","Direction=H","UseDPDF=Y")</f>
        <v>43.727600000000002</v>
      </c>
      <c r="X8" s="14" t="str">
        <f>_xll.BDH("NBIX US Equity","EBITDA_GROWTH","FQ1 2024","FQ1 2024","Currency=USD","Period=FQ","BEST_FPERIOD_OVERRIDE=FQ","FILING_STATUS=MR","FA_ADJUSTED=GAAP","Sort=A","Dates=H","DateFormat=P","Fill=—","Direction=H","UseDPDF=Y")</f>
        <v>—</v>
      </c>
      <c r="Y8" s="14">
        <f>_xll.BDH("NBIX US Equity","EBITDA_GROWTH","FQ2 2024","FQ2 2024","Currency=USD","Period=FQ","BEST_FPERIOD_OVERRIDE=FQ","FILING_STATUS=MR","FA_ADJUSTED=GAAP","Sort=A","Dates=H","DateFormat=P","Fill=—","Direction=H","UseDPDF=Y")</f>
        <v>95.531400000000005</v>
      </c>
      <c r="Z8" s="14">
        <f>_xll.BDH("NBIX US Equity","EBITDA_GROWTH","FQ3 2024","FQ3 2024","Currency=USD","Period=FQ","BEST_FPERIOD_OVERRIDE=FQ","FILING_STATUS=MR","FA_ADJUSTED=GAAP","Sort=A","Dates=H","DateFormat=P","Fill=—","Direction=H","UseDPDF=Y")</f>
        <v>32.292400000000001</v>
      </c>
      <c r="AA8" s="14">
        <f>_xll.BDH("NBIX US Equity","EBITDA_GROWTH","FQ4 2024","FQ4 2024","Currency=USD","Period=FQ","BEST_FPERIOD_OVERRIDE=FQ","FILING_STATUS=MR","FA_ADJUSTED=GAAP","Sort=A","Dates=H","DateFormat=P","Fill=—","Direction=H","UseDPDF=Y")</f>
        <v>2.3067000000000002</v>
      </c>
    </row>
    <row r="9" spans="1:27" x14ac:dyDescent="0.25">
      <c r="A9" s="10" t="s">
        <v>98</v>
      </c>
      <c r="B9" s="10" t="s">
        <v>1281</v>
      </c>
      <c r="C9" s="14">
        <f>_xll.BDH("NBIX US Equity","OPER_INC_GROWTH","FQ4 2018","FQ4 2018","Currency=USD","Period=FQ","BEST_FPERIOD_OVERRIDE=FQ","FILING_STATUS=MR","FA_ADJUSTED=GAAP","Sort=A","Dates=H","DateFormat=P","Fill=—","Direction=H","UseDPDF=Y")</f>
        <v>84.814899999999994</v>
      </c>
      <c r="D9" s="14">
        <f>_xll.BDH("NBIX US Equity","OPER_INC_GROWTH","FQ1 2019","FQ1 2019","Currency=USD","Period=FQ","BEST_FPERIOD_OVERRIDE=FQ","FILING_STATUS=MR","FA_ADJUSTED=GAAP","Sort=A","Dates=H","DateFormat=P","Fill=—","Direction=H","UseDPDF=Y")</f>
        <v>-169.70650000000001</v>
      </c>
      <c r="E9" s="14" t="str">
        <f>_xll.BDH("NBIX US Equity","OPER_INC_GROWTH","FQ2 2019","FQ2 2019","Currency=USD","Period=FQ","BEST_FPERIOD_OVERRIDE=FQ","FILING_STATUS=MR","FA_ADJUSTED=GAAP","Sort=A","Dates=H","DateFormat=P","Fill=—","Direction=H","UseDPDF=Y")</f>
        <v>—</v>
      </c>
      <c r="F9" s="14">
        <f>_xll.BDH("NBIX US Equity","OPER_INC_GROWTH","FQ3 2019","FQ3 2019","Currency=USD","Period=FQ","BEST_FPERIOD_OVERRIDE=FQ","FILING_STATUS=MR","FA_ADJUSTED=GAAP","Sort=A","Dates=H","DateFormat=P","Fill=—","Direction=H","UseDPDF=Y")</f>
        <v>65.856099999999998</v>
      </c>
      <c r="G9" s="14">
        <f>_xll.BDH("NBIX US Equity","OPER_INC_GROWTH","FQ4 2019","FQ4 2019","Currency=USD","Period=FQ","BEST_FPERIOD_OVERRIDE=FQ","FILING_STATUS=MR","FA_ADJUSTED=GAAP","Sort=A","Dates=H","DateFormat=P","Fill=—","Direction=H","UseDPDF=Y")</f>
        <v>123.12649999999999</v>
      </c>
      <c r="H9" s="14" t="str">
        <f>_xll.BDH("NBIX US Equity","OPER_INC_GROWTH","FQ1 2020","FQ1 2020","Currency=USD","Period=FQ","BEST_FPERIOD_OVERRIDE=FQ","FILING_STATUS=MR","FA_ADJUSTED=GAAP","Sort=A","Dates=H","DateFormat=P","Fill=—","Direction=H","UseDPDF=Y")</f>
        <v>—</v>
      </c>
      <c r="I9" s="14">
        <f>_xll.BDH("NBIX US Equity","OPER_INC_GROWTH","FQ2 2020","FQ2 2020","Currency=USD","Period=FQ","BEST_FPERIOD_OVERRIDE=FQ","FILING_STATUS=MR","FA_ADJUSTED=GAAP","Sort=A","Dates=H","DateFormat=P","Fill=—","Direction=H","UseDPDF=Y")</f>
        <v>122.2803</v>
      </c>
      <c r="J9" s="14" t="str">
        <f>_xll.BDH("NBIX US Equity","OPER_INC_GROWTH","FQ3 2020","FQ3 2020","Currency=USD","Period=FQ","BEST_FPERIOD_OVERRIDE=FQ","FILING_STATUS=MR","FA_ADJUSTED=GAAP","Sort=A","Dates=H","DateFormat=P","Fill=—","Direction=H","UseDPDF=Y")</f>
        <v>—</v>
      </c>
      <c r="K9" s="14">
        <f>_xll.BDH("NBIX US Equity","OPER_INC_GROWTH","FQ4 2020","FQ4 2020","Currency=USD","Period=FQ","BEST_FPERIOD_OVERRIDE=FQ","FILING_STATUS=MR","FA_ADJUSTED=GAAP","Sort=A","Dates=H","DateFormat=P","Fill=—","Direction=H","UseDPDF=Y")</f>
        <v>47.131100000000004</v>
      </c>
      <c r="L9" s="14">
        <f>_xll.BDH("NBIX US Equity","OPER_INC_GROWTH","FQ1 2021","FQ1 2021","Currency=USD","Period=FQ","BEST_FPERIOD_OVERRIDE=FQ","FILING_STATUS=MR","FA_ADJUSTED=GAAP","Sort=A","Dates=H","DateFormat=P","Fill=—","Direction=H","UseDPDF=Y")</f>
        <v>-46.519500000000001</v>
      </c>
      <c r="M9" s="14">
        <f>_xll.BDH("NBIX US Equity","OPER_INC_GROWTH","FQ2 2021","FQ2 2021","Currency=USD","Period=FQ","BEST_FPERIOD_OVERRIDE=FQ","FILING_STATUS=MR","FA_ADJUSTED=GAAP","Sort=A","Dates=H","DateFormat=P","Fill=—","Direction=H","UseDPDF=Y")</f>
        <v>-18.015699999999999</v>
      </c>
      <c r="N9" s="14" t="str">
        <f>_xll.BDH("NBIX US Equity","OPER_INC_GROWTH","FQ3 2021","FQ3 2021","Currency=USD","Period=FQ","BEST_FPERIOD_OVERRIDE=FQ","FILING_STATUS=MR","FA_ADJUSTED=GAAP","Sort=A","Dates=H","DateFormat=P","Fill=—","Direction=H","UseDPDF=Y")</f>
        <v>—</v>
      </c>
      <c r="O9" s="14" t="str">
        <f>_xll.BDH("NBIX US Equity","OPER_INC_GROWTH","FQ4 2021","FQ4 2021","Currency=USD","Period=FQ","BEST_FPERIOD_OVERRIDE=FQ","FILING_STATUS=MR","FA_ADJUSTED=GAAP","Sort=A","Dates=H","DateFormat=P","Fill=—","Direction=H","UseDPDF=Y")</f>
        <v>—</v>
      </c>
      <c r="P9" s="14">
        <f>_xll.BDH("NBIX US Equity","OPER_INC_GROWTH","FQ1 2022","FQ1 2022","Currency=USD","Period=FQ","BEST_FPERIOD_OVERRIDE=FQ","FILING_STATUS=MR","FA_ADJUSTED=GAAP","Sort=A","Dates=H","DateFormat=P","Fill=—","Direction=H","UseDPDF=Y")</f>
        <v>-90.158699999999996</v>
      </c>
      <c r="Q9" s="14">
        <f>_xll.BDH("NBIX US Equity","OPER_INC_GROWTH","FQ2 2022","FQ2 2022","Currency=USD","Period=FQ","BEST_FPERIOD_OVERRIDE=FQ","FILING_STATUS=MR","FA_ADJUSTED=GAAP","Sort=A","Dates=H","DateFormat=P","Fill=—","Direction=H","UseDPDF=Y")</f>
        <v>-12.898099999999999</v>
      </c>
      <c r="R9" s="14">
        <f>_xll.BDH("NBIX US Equity","OPER_INC_GROWTH","FQ3 2022","FQ3 2022","Currency=USD","Period=FQ","BEST_FPERIOD_OVERRIDE=FQ","FILING_STATUS=MR","FA_ADJUSTED=GAAP","Sort=A","Dates=H","DateFormat=P","Fill=—","Direction=H","UseDPDF=Y")</f>
        <v>97.303399999999996</v>
      </c>
      <c r="S9" s="14" t="str">
        <f>_xll.BDH("NBIX US Equity","OPER_INC_GROWTH","FQ4 2022","FQ4 2022","Currency=USD","Period=FQ","BEST_FPERIOD_OVERRIDE=FQ","FILING_STATUS=MR","FA_ADJUSTED=GAAP","Sort=A","Dates=H","DateFormat=P","Fill=—","Direction=H","UseDPDF=Y")</f>
        <v>—</v>
      </c>
      <c r="T9" s="14" t="str">
        <f>_xll.BDH("NBIX US Equity","OPER_INC_GROWTH","FQ1 2023","FQ1 2023","Currency=USD","Period=FQ","BEST_FPERIOD_OVERRIDE=FQ","FILING_STATUS=MR","FA_ADJUSTED=GAAP","Sort=A","Dates=H","DateFormat=P","Fill=—","Direction=H","UseDPDF=Y")</f>
        <v>—</v>
      </c>
      <c r="U9" s="14">
        <f>_xll.BDH("NBIX US Equity","OPER_INC_GROWTH","FQ2 2023","FQ2 2023","Currency=USD","Period=FQ","BEST_FPERIOD_OVERRIDE=FQ","FILING_STATUS=MR","FA_ADJUSTED=GAAP","Sort=A","Dates=H","DateFormat=P","Fill=—","Direction=H","UseDPDF=Y")</f>
        <v>34.552100000000003</v>
      </c>
      <c r="V9" s="14">
        <f>_xll.BDH("NBIX US Equity","OPER_INC_GROWTH","FQ3 2023","FQ3 2023","Currency=USD","Period=FQ","BEST_FPERIOD_OVERRIDE=FQ","FILING_STATUS=MR","FA_ADJUSTED=GAAP","Sort=A","Dates=H","DateFormat=P","Fill=—","Direction=H","UseDPDF=Y")</f>
        <v>60.82</v>
      </c>
      <c r="W9" s="14">
        <f>_xll.BDH("NBIX US Equity","OPER_INC_GROWTH","FQ4 2023","FQ4 2023","Currency=USD","Period=FQ","BEST_FPERIOD_OVERRIDE=FQ","FILING_STATUS=MR","FA_ADJUSTED=GAAP","Sort=A","Dates=H","DateFormat=P","Fill=—","Direction=H","UseDPDF=Y")</f>
        <v>45.357799999999997</v>
      </c>
      <c r="X9" s="14" t="str">
        <f>_xll.BDH("NBIX US Equity","OPER_INC_GROWTH","FQ1 2024","FQ1 2024","Currency=USD","Period=FQ","BEST_FPERIOD_OVERRIDE=FQ","FILING_STATUS=MR","FA_ADJUSTED=GAAP","Sort=A","Dates=H","DateFormat=P","Fill=—","Direction=H","UseDPDF=Y")</f>
        <v>—</v>
      </c>
      <c r="Y9" s="14">
        <f>_xll.BDH("NBIX US Equity","OPER_INC_GROWTH","FQ2 2024","FQ2 2024","Currency=USD","Period=FQ","BEST_FPERIOD_OVERRIDE=FQ","FILING_STATUS=MR","FA_ADJUSTED=GAAP","Sort=A","Dates=H","DateFormat=P","Fill=—","Direction=H","UseDPDF=Y")</f>
        <v>97.554299999999998</v>
      </c>
      <c r="Z9" s="14">
        <f>_xll.BDH("NBIX US Equity","OPER_INC_GROWTH","FQ3 2024","FQ3 2024","Currency=USD","Period=FQ","BEST_FPERIOD_OVERRIDE=FQ","FILING_STATUS=MR","FA_ADJUSTED=GAAP","Sort=A","Dates=H","DateFormat=P","Fill=—","Direction=H","UseDPDF=Y")</f>
        <v>30.17</v>
      </c>
      <c r="AA9" s="14">
        <f>_xll.BDH("NBIX US Equity","OPER_INC_GROWTH","FQ4 2024","FQ4 2024","Currency=USD","Period=FQ","BEST_FPERIOD_OVERRIDE=FQ","FILING_STATUS=MR","FA_ADJUSTED=GAAP","Sort=A","Dates=H","DateFormat=P","Fill=—","Direction=H","UseDPDF=Y")</f>
        <v>-5.5223000000000004</v>
      </c>
    </row>
    <row r="10" spans="1:27" x14ac:dyDescent="0.25">
      <c r="A10" s="10" t="s">
        <v>100</v>
      </c>
      <c r="B10" s="10" t="s">
        <v>1282</v>
      </c>
      <c r="C10" s="14">
        <f>_xll.BDH("NBIX US Equity","EARN_FOR_COM_GROWTH","FQ4 2018","FQ4 2018","Currency=USD","Period=FQ","BEST_FPERIOD_OVERRIDE=FQ","FILING_STATUS=MR","FA_ADJUSTED=GAAP","Sort=A","Dates=H","DateFormat=P","Fill=—","Direction=H","UseDPDF=Y")</f>
        <v>162.22800000000001</v>
      </c>
      <c r="D10" s="14">
        <f>_xll.BDH("NBIX US Equity","EARN_FOR_COM_GROWTH","FQ1 2019","FQ1 2019","Currency=USD","Period=FQ","BEST_FPERIOD_OVERRIDE=FQ","FILING_STATUS=MR","FA_ADJUSTED=GAAP","Sort=A","Dates=H","DateFormat=P","Fill=—","Direction=H","UseDPDF=Y")</f>
        <v>-144.1891</v>
      </c>
      <c r="E10" s="14" t="str">
        <f>_xll.BDH("NBIX US Equity","EARN_FOR_COM_GROWTH","FQ2 2019","FQ2 2019","Currency=USD","Period=FQ","BEST_FPERIOD_OVERRIDE=FQ","FILING_STATUS=MR","FA_ADJUSTED=GAAP","Sort=A","Dates=H","DateFormat=P","Fill=—","Direction=H","UseDPDF=Y")</f>
        <v>—</v>
      </c>
      <c r="F10" s="14">
        <f>_xll.BDH("NBIX US Equity","EARN_FOR_COM_GROWTH","FQ3 2019","FQ3 2019","Currency=USD","Period=FQ","BEST_FPERIOD_OVERRIDE=FQ","FILING_STATUS=MR","FA_ADJUSTED=GAAP","Sort=A","Dates=H","DateFormat=P","Fill=—","Direction=H","UseDPDF=Y")</f>
        <v>5.9588999999999999</v>
      </c>
      <c r="G10" s="14">
        <f>_xll.BDH("NBIX US Equity","EARN_FOR_COM_GROWTH","FQ4 2019","FQ4 2019","Currency=USD","Period=FQ","BEST_FPERIOD_OVERRIDE=FQ","FILING_STATUS=MR","FA_ADJUSTED=GAAP","Sort=A","Dates=H","DateFormat=P","Fill=—","Direction=H","UseDPDF=Y")</f>
        <v>88.073899999999995</v>
      </c>
      <c r="H10" s="14" t="str">
        <f>_xll.BDH("NBIX US Equity","EARN_FOR_COM_GROWTH","FQ1 2020","FQ1 2020","Currency=USD","Period=FQ","BEST_FPERIOD_OVERRIDE=FQ","FILING_STATUS=MR","FA_ADJUSTED=GAAP","Sort=A","Dates=H","DateFormat=P","Fill=—","Direction=H","UseDPDF=Y")</f>
        <v>—</v>
      </c>
      <c r="I10" s="14">
        <f>_xll.BDH("NBIX US Equity","EARN_FOR_COM_GROWTH","FQ2 2020","FQ2 2020","Currency=USD","Period=FQ","BEST_FPERIOD_OVERRIDE=FQ","FILING_STATUS=MR","FA_ADJUSTED=GAAP","Sort=A","Dates=H","DateFormat=P","Fill=—","Direction=H","UseDPDF=Y")</f>
        <v>55.050800000000002</v>
      </c>
      <c r="J10" s="14" t="str">
        <f>_xll.BDH("NBIX US Equity","EARN_FOR_COM_GROWTH","FQ3 2020","FQ3 2020","Currency=USD","Period=FQ","BEST_FPERIOD_OVERRIDE=FQ","FILING_STATUS=MR","FA_ADJUSTED=GAAP","Sort=A","Dates=H","DateFormat=P","Fill=—","Direction=H","UseDPDF=Y")</f>
        <v>—</v>
      </c>
      <c r="K10" s="14">
        <f>_xll.BDH("NBIX US Equity","EARN_FOR_COM_GROWTH","FQ4 2020","FQ4 2020","Currency=USD","Period=FQ","BEST_FPERIOD_OVERRIDE=FQ","FILING_STATUS=MR","FA_ADJUSTED=GAAP","Sort=A","Dates=H","DateFormat=P","Fill=—","Direction=H","UseDPDF=Y")</f>
        <v>923.23530000000005</v>
      </c>
      <c r="L10" s="14">
        <f>_xll.BDH("NBIX US Equity","EARN_FOR_COM_GROWTH","FQ1 2021","FQ1 2021","Currency=USD","Period=FQ","BEST_FPERIOD_OVERRIDE=FQ","FILING_STATUS=MR","FA_ADJUSTED=GAAP","Sort=A","Dates=H","DateFormat=P","Fill=—","Direction=H","UseDPDF=Y")</f>
        <v>-14.171099999999999</v>
      </c>
      <c r="M10" s="14">
        <f>_xll.BDH("NBIX US Equity","EARN_FOR_COM_GROWTH","FQ2 2021","FQ2 2021","Currency=USD","Period=FQ","BEST_FPERIOD_OVERRIDE=FQ","FILING_STATUS=MR","FA_ADJUSTED=GAAP","Sort=A","Dates=H","DateFormat=P","Fill=—","Direction=H","UseDPDF=Y")</f>
        <v>-46.859299999999998</v>
      </c>
      <c r="N10" s="14" t="str">
        <f>_xll.BDH("NBIX US Equity","EARN_FOR_COM_GROWTH","FQ3 2021","FQ3 2021","Currency=USD","Period=FQ","BEST_FPERIOD_OVERRIDE=FQ","FILING_STATUS=MR","FA_ADJUSTED=GAAP","Sort=A","Dates=H","DateFormat=P","Fill=—","Direction=H","UseDPDF=Y")</f>
        <v>—</v>
      </c>
      <c r="O10" s="14" t="str">
        <f>_xll.BDH("NBIX US Equity","EARN_FOR_COM_GROWTH","FQ4 2021","FQ4 2021","Currency=USD","Period=FQ","BEST_FPERIOD_OVERRIDE=FQ","FILING_STATUS=MR","FA_ADJUSTED=GAAP","Sort=A","Dates=H","DateFormat=P","Fill=—","Direction=H","UseDPDF=Y")</f>
        <v>—</v>
      </c>
      <c r="P10" s="14">
        <f>_xll.BDH("NBIX US Equity","EARN_FOR_COM_GROWTH","FQ1 2022","FQ1 2022","Currency=USD","Period=FQ","BEST_FPERIOD_OVERRIDE=FQ","FILING_STATUS=MR","FA_ADJUSTED=GAAP","Sort=A","Dates=H","DateFormat=P","Fill=—","Direction=H","UseDPDF=Y")</f>
        <v>-56.697800000000001</v>
      </c>
      <c r="Q10" s="14" t="str">
        <f>_xll.BDH("NBIX US Equity","EARN_FOR_COM_GROWTH","FQ2 2022","FQ2 2022","Currency=USD","Period=FQ","BEST_FPERIOD_OVERRIDE=FQ","FILING_STATUS=MR","FA_ADJUSTED=GAAP","Sort=A","Dates=H","DateFormat=P","Fill=—","Direction=H","UseDPDF=Y")</f>
        <v>—</v>
      </c>
      <c r="R10" s="14">
        <f>_xll.BDH("NBIX US Equity","EARN_FOR_COM_GROWTH","FQ3 2022","FQ3 2022","Currency=USD","Period=FQ","BEST_FPERIOD_OVERRIDE=FQ","FILING_STATUS=MR","FA_ADJUSTED=GAAP","Sort=A","Dates=H","DateFormat=P","Fill=—","Direction=H","UseDPDF=Y")</f>
        <v>204.4444</v>
      </c>
      <c r="S10" s="14" t="str">
        <f>_xll.BDH("NBIX US Equity","EARN_FOR_COM_GROWTH","FQ4 2022","FQ4 2022","Currency=USD","Period=FQ","BEST_FPERIOD_OVERRIDE=FQ","FILING_STATUS=MR","FA_ADJUSTED=GAAP","Sort=A","Dates=H","DateFormat=P","Fill=—","Direction=H","UseDPDF=Y")</f>
        <v>—</v>
      </c>
      <c r="T10" s="14" t="str">
        <f>_xll.BDH("NBIX US Equity","EARN_FOR_COM_GROWTH","FQ1 2023","FQ1 2023","Currency=USD","Period=FQ","BEST_FPERIOD_OVERRIDE=FQ","FILING_STATUS=MR","FA_ADJUSTED=GAAP","Sort=A","Dates=H","DateFormat=P","Fill=—","Direction=H","UseDPDF=Y")</f>
        <v>—</v>
      </c>
      <c r="U10" s="14" t="str">
        <f>_xll.BDH("NBIX US Equity","EARN_FOR_COM_GROWTH","FQ2 2023","FQ2 2023","Currency=USD","Period=FQ","BEST_FPERIOD_OVERRIDE=FQ","FILING_STATUS=MR","FA_ADJUSTED=GAAP","Sort=A","Dates=H","DateFormat=P","Fill=—","Direction=H","UseDPDF=Y")</f>
        <v>—</v>
      </c>
      <c r="V10" s="14">
        <f>_xll.BDH("NBIX US Equity","EARN_FOR_COM_GROWTH","FQ3 2023","FQ3 2023","Currency=USD","Period=FQ","BEST_FPERIOD_OVERRIDE=FQ","FILING_STATUS=MR","FA_ADJUSTED=GAAP","Sort=A","Dates=H","DateFormat=P","Fill=—","Direction=H","UseDPDF=Y")</f>
        <v>21.3139</v>
      </c>
      <c r="W10" s="14">
        <f>_xll.BDH("NBIX US Equity","EARN_FOR_COM_GROWTH","FQ4 2023","FQ4 2023","Currency=USD","Period=FQ","BEST_FPERIOD_OVERRIDE=FQ","FILING_STATUS=MR","FA_ADJUSTED=GAAP","Sort=A","Dates=H","DateFormat=P","Fill=—","Direction=H","UseDPDF=Y")</f>
        <v>65.955100000000002</v>
      </c>
      <c r="X10" s="14" t="str">
        <f>_xll.BDH("NBIX US Equity","EARN_FOR_COM_GROWTH","FQ1 2024","FQ1 2024","Currency=USD","Period=FQ","BEST_FPERIOD_OVERRIDE=FQ","FILING_STATUS=MR","FA_ADJUSTED=GAAP","Sort=A","Dates=H","DateFormat=P","Fill=—","Direction=H","UseDPDF=Y")</f>
        <v>—</v>
      </c>
      <c r="Y10" s="14">
        <f>_xll.BDH("NBIX US Equity","EARN_FOR_COM_GROWTH","FQ2 2024","FQ2 2024","Currency=USD","Period=FQ","BEST_FPERIOD_OVERRIDE=FQ","FILING_STATUS=MR","FA_ADJUSTED=GAAP","Sort=A","Dates=H","DateFormat=P","Fill=—","Direction=H","UseDPDF=Y")</f>
        <v>-31.937200000000001</v>
      </c>
      <c r="Z10" s="14">
        <f>_xll.BDH("NBIX US Equity","EARN_FOR_COM_GROWTH","FQ3 2024","FQ3 2024","Currency=USD","Period=FQ","BEST_FPERIOD_OVERRIDE=FQ","FILING_STATUS=MR","FA_ADJUSTED=GAAP","Sort=A","Dates=H","DateFormat=P","Fill=—","Direction=H","UseDPDF=Y")</f>
        <v>56.197400000000002</v>
      </c>
      <c r="AA10" s="14">
        <f>_xll.BDH("NBIX US Equity","EARN_FOR_COM_GROWTH","FQ4 2024","FQ4 2024","Currency=USD","Period=FQ","BEST_FPERIOD_OVERRIDE=FQ","FILING_STATUS=MR","FA_ADJUSTED=GAAP","Sort=A","Dates=H","DateFormat=P","Fill=—","Direction=H","UseDPDF=Y")</f>
        <v>-30.196300000000001</v>
      </c>
    </row>
    <row r="11" spans="1:27" x14ac:dyDescent="0.25">
      <c r="A11" s="10" t="s">
        <v>1283</v>
      </c>
      <c r="B11" s="10" t="s">
        <v>83</v>
      </c>
      <c r="C11" s="14">
        <f>_xll.BDH("NBIX US Equity","DILUTED_EPS_AFT_XO_ITEMS_GROWTH","FQ4 2018","FQ4 2018","Currency=USD","Period=FQ","BEST_FPERIOD_OVERRIDE=FQ","FILING_STATUS=MR","FA_ADJUSTED=GAAP","Sort=A","Dates=H","DateFormat=P","Fill=—","Direction=H","UseDPDF=Y")</f>
        <v>171.42859999999999</v>
      </c>
      <c r="D11" s="14">
        <f>_xll.BDH("NBIX US Equity","DILUTED_EPS_AFT_XO_ITEMS_GROWTH","FQ1 2019","FQ1 2019","Currency=USD","Period=FQ","BEST_FPERIOD_OVERRIDE=FQ","FILING_STATUS=MR","FA_ADJUSTED=GAAP","Sort=A","Dates=H","DateFormat=P","Fill=—","Direction=H","UseDPDF=Y")</f>
        <v>-138.2979</v>
      </c>
      <c r="E11" s="14" t="str">
        <f>_xll.BDH("NBIX US Equity","DILUTED_EPS_AFT_XO_ITEMS_GROWTH","FQ2 2019","FQ2 2019","Currency=USD","Period=FQ","BEST_FPERIOD_OVERRIDE=FQ","FILING_STATUS=MR","FA_ADJUSTED=GAAP","Sort=A","Dates=H","DateFormat=P","Fill=—","Direction=H","UseDPDF=Y")</f>
        <v>—</v>
      </c>
      <c r="F11" s="14">
        <f>_xll.BDH("NBIX US Equity","DILUTED_EPS_AFT_XO_ITEMS_GROWTH","FQ3 2019","FQ3 2019","Currency=USD","Period=FQ","BEST_FPERIOD_OVERRIDE=FQ","FILING_STATUS=MR","FA_ADJUSTED=GAAP","Sort=A","Dates=H","DateFormat=P","Fill=—","Direction=H","UseDPDF=Y")</f>
        <v>7.6923000000000004</v>
      </c>
      <c r="G11" s="14">
        <f>_xll.BDH("NBIX US Equity","DILUTED_EPS_AFT_XO_ITEMS_GROWTH","FQ4 2019","FQ4 2019","Currency=USD","Period=FQ","BEST_FPERIOD_OVERRIDE=FQ","FILING_STATUS=MR","FA_ADJUSTED=GAAP","Sort=A","Dates=H","DateFormat=P","Fill=—","Direction=H","UseDPDF=Y")</f>
        <v>84.210499999999996</v>
      </c>
      <c r="H11" s="14" t="str">
        <f>_xll.BDH("NBIX US Equity","DILUTED_EPS_AFT_XO_ITEMS_GROWTH","FQ1 2020","FQ1 2020","Currency=USD","Period=FQ","BEST_FPERIOD_OVERRIDE=FQ","FILING_STATUS=MR","FA_ADJUSTED=GAAP","Sort=A","Dates=H","DateFormat=P","Fill=—","Direction=H","UseDPDF=Y")</f>
        <v>—</v>
      </c>
      <c r="I11" s="14">
        <f>_xll.BDH("NBIX US Equity","DILUTED_EPS_AFT_XO_ITEMS_GROWTH","FQ2 2020","FQ2 2020","Currency=USD","Period=FQ","BEST_FPERIOD_OVERRIDE=FQ","FILING_STATUS=MR","FA_ADJUSTED=GAAP","Sort=A","Dates=H","DateFormat=P","Fill=—","Direction=H","UseDPDF=Y")</f>
        <v>50</v>
      </c>
      <c r="J11" s="14" t="str">
        <f>_xll.BDH("NBIX US Equity","DILUTED_EPS_AFT_XO_ITEMS_GROWTH","FQ3 2020","FQ3 2020","Currency=USD","Period=FQ","BEST_FPERIOD_OVERRIDE=FQ","FILING_STATUS=MR","FA_ADJUSTED=GAAP","Sort=A","Dates=H","DateFormat=P","Fill=—","Direction=H","UseDPDF=Y")</f>
        <v>—</v>
      </c>
      <c r="K11" s="14">
        <f>_xll.BDH("NBIX US Equity","DILUTED_EPS_AFT_XO_ITEMS_GROWTH","FQ4 2020","FQ4 2020","Currency=USD","Period=FQ","BEST_FPERIOD_OVERRIDE=FQ","FILING_STATUS=MR","FA_ADJUSTED=GAAP","Sort=A","Dates=H","DateFormat=P","Fill=—","Direction=H","UseDPDF=Y")</f>
        <v>922.85709999999995</v>
      </c>
      <c r="L11" s="14">
        <f>_xll.BDH("NBIX US Equity","DILUTED_EPS_AFT_XO_ITEMS_GROWTH","FQ1 2021","FQ1 2021","Currency=USD","Period=FQ","BEST_FPERIOD_OVERRIDE=FQ","FILING_STATUS=MR","FA_ADJUSTED=GAAP","Sort=A","Dates=H","DateFormat=P","Fill=—","Direction=H","UseDPDF=Y")</f>
        <v>-15.384600000000001</v>
      </c>
      <c r="M11" s="14">
        <f>_xll.BDH("NBIX US Equity","DILUTED_EPS_AFT_XO_ITEMS_GROWTH","FQ2 2021","FQ2 2021","Currency=USD","Period=FQ","BEST_FPERIOD_OVERRIDE=FQ","FILING_STATUS=MR","FA_ADJUSTED=GAAP","Sort=A","Dates=H","DateFormat=P","Fill=—","Direction=H","UseDPDF=Y")</f>
        <v>-46.913600000000002</v>
      </c>
      <c r="N11" s="14" t="str">
        <f>_xll.BDH("NBIX US Equity","DILUTED_EPS_AFT_XO_ITEMS_GROWTH","FQ3 2021","FQ3 2021","Currency=USD","Period=FQ","BEST_FPERIOD_OVERRIDE=FQ","FILING_STATUS=MR","FA_ADJUSTED=GAAP","Sort=A","Dates=H","DateFormat=P","Fill=—","Direction=H","UseDPDF=Y")</f>
        <v>—</v>
      </c>
      <c r="O11" s="14" t="str">
        <f>_xll.BDH("NBIX US Equity","DILUTED_EPS_AFT_XO_ITEMS_GROWTH","FQ4 2021","FQ4 2021","Currency=USD","Period=FQ","BEST_FPERIOD_OVERRIDE=FQ","FILING_STATUS=MR","FA_ADJUSTED=GAAP","Sort=A","Dates=H","DateFormat=P","Fill=—","Direction=H","UseDPDF=Y")</f>
        <v>—</v>
      </c>
      <c r="P11" s="14">
        <f>_xll.BDH("NBIX US Equity","DILUTED_EPS_AFT_XO_ITEMS_GROWTH","FQ1 2022","FQ1 2022","Currency=USD","Period=FQ","BEST_FPERIOD_OVERRIDE=FQ","FILING_STATUS=MR","FA_ADJUSTED=GAAP","Sort=A","Dates=H","DateFormat=P","Fill=—","Direction=H","UseDPDF=Y")</f>
        <v>-57.575800000000001</v>
      </c>
      <c r="Q11" s="14" t="str">
        <f>_xll.BDH("NBIX US Equity","DILUTED_EPS_AFT_XO_ITEMS_GROWTH","FQ2 2022","FQ2 2022","Currency=USD","Period=FQ","BEST_FPERIOD_OVERRIDE=FQ","FILING_STATUS=MR","FA_ADJUSTED=GAAP","Sort=A","Dates=H","DateFormat=P","Fill=—","Direction=H","UseDPDF=Y")</f>
        <v>—</v>
      </c>
      <c r="R11" s="14">
        <f>_xll.BDH("NBIX US Equity","DILUTED_EPS_AFT_XO_ITEMS_GROWTH","FQ3 2022","FQ3 2022","Currency=USD","Period=FQ","BEST_FPERIOD_OVERRIDE=FQ","FILING_STATUS=MR","FA_ADJUSTED=GAAP","Sort=A","Dates=H","DateFormat=P","Fill=—","Direction=H","UseDPDF=Y")</f>
        <v>200</v>
      </c>
      <c r="S11" s="14" t="str">
        <f>_xll.BDH("NBIX US Equity","DILUTED_EPS_AFT_XO_ITEMS_GROWTH","FQ4 2022","FQ4 2022","Currency=USD","Period=FQ","BEST_FPERIOD_OVERRIDE=FQ","FILING_STATUS=MR","FA_ADJUSTED=GAAP","Sort=A","Dates=H","DateFormat=P","Fill=—","Direction=H","UseDPDF=Y")</f>
        <v>—</v>
      </c>
      <c r="T11" s="14" t="str">
        <f>_xll.BDH("NBIX US Equity","DILUTED_EPS_AFT_XO_ITEMS_GROWTH","FQ1 2023","FQ1 2023","Currency=USD","Period=FQ","BEST_FPERIOD_OVERRIDE=FQ","FILING_STATUS=MR","FA_ADJUSTED=GAAP","Sort=A","Dates=H","DateFormat=P","Fill=—","Direction=H","UseDPDF=Y")</f>
        <v>—</v>
      </c>
      <c r="U11" s="14" t="str">
        <f>_xll.BDH("NBIX US Equity","DILUTED_EPS_AFT_XO_ITEMS_GROWTH","FQ2 2023","FQ2 2023","Currency=USD","Period=FQ","BEST_FPERIOD_OVERRIDE=FQ","FILING_STATUS=MR","FA_ADJUSTED=GAAP","Sort=A","Dates=H","DateFormat=P","Fill=—","Direction=H","UseDPDF=Y")</f>
        <v>—</v>
      </c>
      <c r="V11" s="14">
        <f>_xll.BDH("NBIX US Equity","DILUTED_EPS_AFT_XO_ITEMS_GROWTH","FQ3 2023","FQ3 2023","Currency=USD","Period=FQ","BEST_FPERIOD_OVERRIDE=FQ","FILING_STATUS=MR","FA_ADJUSTED=GAAP","Sort=A","Dates=H","DateFormat=P","Fill=—","Direction=H","UseDPDF=Y")</f>
        <v>18.840599999999998</v>
      </c>
      <c r="W11" s="14">
        <f>_xll.BDH("NBIX US Equity","DILUTED_EPS_AFT_XO_ITEMS_GROWTH","FQ4 2023","FQ4 2023","Currency=USD","Period=FQ","BEST_FPERIOD_OVERRIDE=FQ","FILING_STATUS=MR","FA_ADJUSTED=GAAP","Sort=A","Dates=H","DateFormat=P","Fill=—","Direction=H","UseDPDF=Y")</f>
        <v>63.636400000000002</v>
      </c>
      <c r="X11" s="14" t="str">
        <f>_xll.BDH("NBIX US Equity","DILUTED_EPS_AFT_XO_ITEMS_GROWTH","FQ1 2024","FQ1 2024","Currency=USD","Period=FQ","BEST_FPERIOD_OVERRIDE=FQ","FILING_STATUS=MR","FA_ADJUSTED=GAAP","Sort=A","Dates=H","DateFormat=P","Fill=—","Direction=H","UseDPDF=Y")</f>
        <v>—</v>
      </c>
      <c r="Y11" s="14">
        <f>_xll.BDH("NBIX US Equity","DILUTED_EPS_AFT_XO_ITEMS_GROWTH","FQ2 2024","FQ2 2024","Currency=USD","Period=FQ","BEST_FPERIOD_OVERRIDE=FQ","FILING_STATUS=MR","FA_ADJUSTED=GAAP","Sort=A","Dates=H","DateFormat=P","Fill=—","Direction=H","UseDPDF=Y")</f>
        <v>-33.684199999999997</v>
      </c>
      <c r="Z11" s="14">
        <f>_xll.BDH("NBIX US Equity","DILUTED_EPS_AFT_XO_ITEMS_GROWTH","FQ3 2024","FQ3 2024","Currency=USD","Period=FQ","BEST_FPERIOD_OVERRIDE=FQ","FILING_STATUS=MR","FA_ADJUSTED=GAAP","Sort=A","Dates=H","DateFormat=P","Fill=—","Direction=H","UseDPDF=Y")</f>
        <v>51.219499999999996</v>
      </c>
      <c r="AA11" s="14">
        <f>_xll.BDH("NBIX US Equity","DILUTED_EPS_AFT_XO_ITEMS_GROWTH","FQ4 2024","FQ4 2024","Currency=USD","Period=FQ","BEST_FPERIOD_OVERRIDE=FQ","FILING_STATUS=MR","FA_ADJUSTED=GAAP","Sort=A","Dates=H","DateFormat=P","Fill=—","Direction=H","UseDPDF=Y")</f>
        <v>-30.555599999999998</v>
      </c>
    </row>
    <row r="12" spans="1:27" x14ac:dyDescent="0.25">
      <c r="A12" s="10" t="s">
        <v>1284</v>
      </c>
      <c r="B12" s="10" t="s">
        <v>1285</v>
      </c>
      <c r="C12" s="14">
        <f>_xll.BDH("NBIX US Equity","DILUTED_EPS_BEF_XO_ITEMS_GROWTH","FQ4 2018","FQ4 2018","Currency=USD","Period=FQ","BEST_FPERIOD_OVERRIDE=FQ","FILING_STATUS=MR","Sort=A","Dates=H","DateFormat=P","Fill=—","Direction=H","UseDPDF=Y")</f>
        <v>171.42859999999999</v>
      </c>
      <c r="D12" s="14">
        <f>_xll.BDH("NBIX US Equity","DILUTED_EPS_BEF_XO_ITEMS_GROWTH","FQ1 2019","FQ1 2019","Currency=USD","Period=FQ","BEST_FPERIOD_OVERRIDE=FQ","FILING_STATUS=MR","Sort=A","Dates=H","DateFormat=P","Fill=—","Direction=H","UseDPDF=Y")</f>
        <v>-138.2979</v>
      </c>
      <c r="E12" s="14" t="str">
        <f>_xll.BDH("NBIX US Equity","DILUTED_EPS_BEF_XO_ITEMS_GROWTH","FQ2 2019","FQ2 2019","Currency=USD","Period=FQ","BEST_FPERIOD_OVERRIDE=FQ","FILING_STATUS=MR","Sort=A","Dates=H","DateFormat=P","Fill=—","Direction=H","UseDPDF=Y")</f>
        <v>—</v>
      </c>
      <c r="F12" s="14">
        <f>_xll.BDH("NBIX US Equity","DILUTED_EPS_BEF_XO_ITEMS_GROWTH","FQ3 2019","FQ3 2019","Currency=USD","Period=FQ","BEST_FPERIOD_OVERRIDE=FQ","FILING_STATUS=MR","Sort=A","Dates=H","DateFormat=P","Fill=—","Direction=H","UseDPDF=Y")</f>
        <v>7.6923000000000004</v>
      </c>
      <c r="G12" s="14">
        <f>_xll.BDH("NBIX US Equity","DILUTED_EPS_BEF_XO_ITEMS_GROWTH","FQ4 2019","FQ4 2019","Currency=USD","Period=FQ","BEST_FPERIOD_OVERRIDE=FQ","FILING_STATUS=MR","Sort=A","Dates=H","DateFormat=P","Fill=—","Direction=H","UseDPDF=Y")</f>
        <v>84.210499999999996</v>
      </c>
      <c r="H12" s="14" t="str">
        <f>_xll.BDH("NBIX US Equity","DILUTED_EPS_BEF_XO_ITEMS_GROWTH","FQ1 2020","FQ1 2020","Currency=USD","Period=FQ","BEST_FPERIOD_OVERRIDE=FQ","FILING_STATUS=MR","Sort=A","Dates=H","DateFormat=P","Fill=—","Direction=H","UseDPDF=Y")</f>
        <v>—</v>
      </c>
      <c r="I12" s="14">
        <f>_xll.BDH("NBIX US Equity","DILUTED_EPS_BEF_XO_ITEMS_GROWTH","FQ2 2020","FQ2 2020","Currency=USD","Period=FQ","BEST_FPERIOD_OVERRIDE=FQ","FILING_STATUS=MR","Sort=A","Dates=H","DateFormat=P","Fill=—","Direction=H","UseDPDF=Y")</f>
        <v>50</v>
      </c>
      <c r="J12" s="14" t="str">
        <f>_xll.BDH("NBIX US Equity","DILUTED_EPS_BEF_XO_ITEMS_GROWTH","FQ3 2020","FQ3 2020","Currency=USD","Period=FQ","BEST_FPERIOD_OVERRIDE=FQ","FILING_STATUS=MR","Sort=A","Dates=H","DateFormat=P","Fill=—","Direction=H","UseDPDF=Y")</f>
        <v>—</v>
      </c>
      <c r="K12" s="14">
        <f>_xll.BDH("NBIX US Equity","DILUTED_EPS_BEF_XO_ITEMS_GROWTH","FQ4 2020","FQ4 2020","Currency=USD","Period=FQ","BEST_FPERIOD_OVERRIDE=FQ","FILING_STATUS=MR","Sort=A","Dates=H","DateFormat=P","Fill=—","Direction=H","UseDPDF=Y")</f>
        <v>922.85709999999995</v>
      </c>
      <c r="L12" s="14">
        <f>_xll.BDH("NBIX US Equity","DILUTED_EPS_BEF_XO_ITEMS_GROWTH","FQ1 2021","FQ1 2021","Currency=USD","Period=FQ","BEST_FPERIOD_OVERRIDE=FQ","FILING_STATUS=MR","Sort=A","Dates=H","DateFormat=P","Fill=—","Direction=H","UseDPDF=Y")</f>
        <v>-15.384600000000001</v>
      </c>
      <c r="M12" s="14">
        <f>_xll.BDH("NBIX US Equity","DILUTED_EPS_BEF_XO_ITEMS_GROWTH","FQ2 2021","FQ2 2021","Currency=USD","Period=FQ","BEST_FPERIOD_OVERRIDE=FQ","FILING_STATUS=MR","Sort=A","Dates=H","DateFormat=P","Fill=—","Direction=H","UseDPDF=Y")</f>
        <v>-46.913600000000002</v>
      </c>
      <c r="N12" s="14" t="str">
        <f>_xll.BDH("NBIX US Equity","DILUTED_EPS_BEF_XO_ITEMS_GROWTH","FQ3 2021","FQ3 2021","Currency=USD","Period=FQ","BEST_FPERIOD_OVERRIDE=FQ","FILING_STATUS=MR","Sort=A","Dates=H","DateFormat=P","Fill=—","Direction=H","UseDPDF=Y")</f>
        <v>—</v>
      </c>
      <c r="O12" s="14" t="str">
        <f>_xll.BDH("NBIX US Equity","DILUTED_EPS_BEF_XO_ITEMS_GROWTH","FQ4 2021","FQ4 2021","Currency=USD","Period=FQ","BEST_FPERIOD_OVERRIDE=FQ","FILING_STATUS=MR","Sort=A","Dates=H","DateFormat=P","Fill=—","Direction=H","UseDPDF=Y")</f>
        <v>—</v>
      </c>
      <c r="P12" s="14">
        <f>_xll.BDH("NBIX US Equity","DILUTED_EPS_BEF_XO_ITEMS_GROWTH","FQ1 2022","FQ1 2022","Currency=USD","Period=FQ","BEST_FPERIOD_OVERRIDE=FQ","FILING_STATUS=MR","Sort=A","Dates=H","DateFormat=P","Fill=—","Direction=H","UseDPDF=Y")</f>
        <v>-57.575800000000001</v>
      </c>
      <c r="Q12" s="14" t="str">
        <f>_xll.BDH("NBIX US Equity","DILUTED_EPS_BEF_XO_ITEMS_GROWTH","FQ2 2022","FQ2 2022","Currency=USD","Period=FQ","BEST_FPERIOD_OVERRIDE=FQ","FILING_STATUS=MR","Sort=A","Dates=H","DateFormat=P","Fill=—","Direction=H","UseDPDF=Y")</f>
        <v>—</v>
      </c>
      <c r="R12" s="14">
        <f>_xll.BDH("NBIX US Equity","DILUTED_EPS_BEF_XO_ITEMS_GROWTH","FQ3 2022","FQ3 2022","Currency=USD","Period=FQ","BEST_FPERIOD_OVERRIDE=FQ","FILING_STATUS=MR","Sort=A","Dates=H","DateFormat=P","Fill=—","Direction=H","UseDPDF=Y")</f>
        <v>200</v>
      </c>
      <c r="S12" s="14" t="str">
        <f>_xll.BDH("NBIX US Equity","DILUTED_EPS_BEF_XO_ITEMS_GROWTH","FQ4 2022","FQ4 2022","Currency=USD","Period=FQ","BEST_FPERIOD_OVERRIDE=FQ","FILING_STATUS=MR","Sort=A","Dates=H","DateFormat=P","Fill=—","Direction=H","UseDPDF=Y")</f>
        <v>—</v>
      </c>
      <c r="T12" s="14" t="str">
        <f>_xll.BDH("NBIX US Equity","DILUTED_EPS_BEF_XO_ITEMS_GROWTH","FQ1 2023","FQ1 2023","Currency=USD","Period=FQ","BEST_FPERIOD_OVERRIDE=FQ","FILING_STATUS=MR","Sort=A","Dates=H","DateFormat=P","Fill=—","Direction=H","UseDPDF=Y")</f>
        <v>—</v>
      </c>
      <c r="U12" s="14" t="str">
        <f>_xll.BDH("NBIX US Equity","DILUTED_EPS_BEF_XO_ITEMS_GROWTH","FQ2 2023","FQ2 2023","Currency=USD","Period=FQ","BEST_FPERIOD_OVERRIDE=FQ","FILING_STATUS=MR","Sort=A","Dates=H","DateFormat=P","Fill=—","Direction=H","UseDPDF=Y")</f>
        <v>—</v>
      </c>
      <c r="V12" s="14">
        <f>_xll.BDH("NBIX US Equity","DILUTED_EPS_BEF_XO_ITEMS_GROWTH","FQ3 2023","FQ3 2023","Currency=USD","Period=FQ","BEST_FPERIOD_OVERRIDE=FQ","FILING_STATUS=MR","Sort=A","Dates=H","DateFormat=P","Fill=—","Direction=H","UseDPDF=Y")</f>
        <v>18.840599999999998</v>
      </c>
      <c r="W12" s="14">
        <f>_xll.BDH("NBIX US Equity","DILUTED_EPS_BEF_XO_ITEMS_GROWTH","FQ4 2023","FQ4 2023","Currency=USD","Period=FQ","BEST_FPERIOD_OVERRIDE=FQ","FILING_STATUS=MR","Sort=A","Dates=H","DateFormat=P","Fill=—","Direction=H","UseDPDF=Y")</f>
        <v>63.636400000000002</v>
      </c>
      <c r="X12" s="14" t="str">
        <f>_xll.BDH("NBIX US Equity","DILUTED_EPS_BEF_XO_ITEMS_GROWTH","FQ1 2024","FQ1 2024","Currency=USD","Period=FQ","BEST_FPERIOD_OVERRIDE=FQ","FILING_STATUS=MR","Sort=A","Dates=H","DateFormat=P","Fill=—","Direction=H","UseDPDF=Y")</f>
        <v>—</v>
      </c>
      <c r="Y12" s="14">
        <f>_xll.BDH("NBIX US Equity","DILUTED_EPS_BEF_XO_ITEMS_GROWTH","FQ2 2024","FQ2 2024","Currency=USD","Period=FQ","BEST_FPERIOD_OVERRIDE=FQ","FILING_STATUS=MR","Sort=A","Dates=H","DateFormat=P","Fill=—","Direction=H","UseDPDF=Y")</f>
        <v>-33.684199999999997</v>
      </c>
      <c r="Z12" s="14">
        <f>_xll.BDH("NBIX US Equity","DILUTED_EPS_BEF_XO_ITEMS_GROWTH","FQ3 2024","FQ3 2024","Currency=USD","Period=FQ","BEST_FPERIOD_OVERRIDE=FQ","FILING_STATUS=MR","Sort=A","Dates=H","DateFormat=P","Fill=—","Direction=H","UseDPDF=Y")</f>
        <v>51.219499999999996</v>
      </c>
      <c r="AA12" s="14">
        <f>_xll.BDH("NBIX US Equity","DILUTED_EPS_BEF_XO_ITEMS_GROWTH","FQ4 2024","FQ4 2024","Currency=USD","Period=FQ","BEST_FPERIOD_OVERRIDE=FQ","FILING_STATUS=MR","Sort=A","Dates=H","DateFormat=P","Fill=—","Direction=H","UseDPDF=Y")</f>
        <v>-30.555599999999998</v>
      </c>
    </row>
    <row r="13" spans="1:27" x14ac:dyDescent="0.25">
      <c r="A13" s="10" t="s">
        <v>1286</v>
      </c>
      <c r="B13" s="10" t="s">
        <v>1287</v>
      </c>
      <c r="C13" s="14">
        <f>_xll.BDH("NBIX US Equity","RR_DIL_EPS_CONT_OPS_GROWTH","FQ4 2018","FQ4 2018","Currency=USD","Period=FQ","BEST_FPERIOD_OVERRIDE=FQ","FILING_STATUS=MR","Sort=A","Dates=H","DateFormat=P","Fill=—","Direction=H","UseDPDF=Y")</f>
        <v>176.50040000000001</v>
      </c>
      <c r="D13" s="14">
        <f>_xll.BDH("NBIX US Equity","RR_DIL_EPS_CONT_OPS_GROWTH","FQ1 2019","FQ1 2019","Currency=USD","Period=FQ","BEST_FPERIOD_OVERRIDE=FQ","FILING_STATUS=MR","Sort=A","Dates=H","DateFormat=P","Fill=—","Direction=H","UseDPDF=Y")</f>
        <v>66.909099999999995</v>
      </c>
      <c r="E13" s="14" t="str">
        <f>_xll.BDH("NBIX US Equity","RR_DIL_EPS_CONT_OPS_GROWTH","FQ2 2019","FQ2 2019","Currency=USD","Period=FQ","BEST_FPERIOD_OVERRIDE=FQ","FILING_STATUS=MR","Sort=A","Dates=H","DateFormat=P","Fill=—","Direction=H","UseDPDF=Y")</f>
        <v>—</v>
      </c>
      <c r="F13" s="14">
        <f>_xll.BDH("NBIX US Equity","RR_DIL_EPS_CONT_OPS_GROWTH","FQ3 2019","FQ3 2019","Currency=USD","Period=FQ","BEST_FPERIOD_OVERRIDE=FQ","FILING_STATUS=MR","Sort=A","Dates=H","DateFormat=P","Fill=—","Direction=H","UseDPDF=Y")</f>
        <v>52.680599999999998</v>
      </c>
      <c r="G13" s="14">
        <f>_xll.BDH("NBIX US Equity","RR_DIL_EPS_CONT_OPS_GROWTH","FQ4 2019","FQ4 2019","Currency=USD","Period=FQ","BEST_FPERIOD_OVERRIDE=FQ","FILING_STATUS=MR","Sort=A","Dates=H","DateFormat=P","Fill=—","Direction=H","UseDPDF=Y")</f>
        <v>316.48680000000002</v>
      </c>
      <c r="H13" s="14" t="str">
        <f>_xll.BDH("NBIX US Equity","RR_DIL_EPS_CONT_OPS_GROWTH","FQ1 2020","FQ1 2020","Currency=USD","Period=FQ","BEST_FPERIOD_OVERRIDE=FQ","FILING_STATUS=MR","Sort=A","Dates=H","DateFormat=P","Fill=—","Direction=H","UseDPDF=Y")</f>
        <v>—</v>
      </c>
      <c r="I13" s="14">
        <f>_xll.BDH("NBIX US Equity","RR_DIL_EPS_CONT_OPS_GROWTH","FQ2 2020","FQ2 2020","Currency=USD","Period=FQ","BEST_FPERIOD_OVERRIDE=FQ","FILING_STATUS=MR","Sort=A","Dates=H","DateFormat=P","Fill=—","Direction=H","UseDPDF=Y")</f>
        <v>185.7422</v>
      </c>
      <c r="J13" s="14">
        <f>_xll.BDH("NBIX US Equity","RR_DIL_EPS_CONT_OPS_GROWTH","FQ3 2020","FQ3 2020","Currency=USD","Period=FQ","BEST_FPERIOD_OVERRIDE=FQ","FILING_STATUS=MR","Sort=A","Dates=H","DateFormat=P","Fill=—","Direction=H","UseDPDF=Y")</f>
        <v>-12.547599999999999</v>
      </c>
      <c r="K13" s="14">
        <f>_xll.BDH("NBIX US Equity","RR_DIL_EPS_CONT_OPS_GROWTH","FQ4 2020","FQ4 2020","Currency=USD","Period=FQ","BEST_FPERIOD_OVERRIDE=FQ","FILING_STATUS=MR","Sort=A","Dates=H","DateFormat=P","Fill=—","Direction=H","UseDPDF=Y")</f>
        <v>188.32759999999999</v>
      </c>
      <c r="L13" s="14">
        <f>_xll.BDH("NBIX US Equity","RR_DIL_EPS_CONT_OPS_GROWTH","FQ1 2021","FQ1 2021","Currency=USD","Period=FQ","BEST_FPERIOD_OVERRIDE=FQ","FILING_STATUS=MR","Sort=A","Dates=H","DateFormat=P","Fill=—","Direction=H","UseDPDF=Y")</f>
        <v>-40.989800000000002</v>
      </c>
      <c r="M13" s="14">
        <f>_xll.BDH("NBIX US Equity","RR_DIL_EPS_CONT_OPS_GROWTH","FQ2 2021","FQ2 2021","Currency=USD","Period=FQ","BEST_FPERIOD_OVERRIDE=FQ","FILING_STATUS=MR","Sort=A","Dates=H","DateFormat=P","Fill=—","Direction=H","UseDPDF=Y")</f>
        <v>-59.1477</v>
      </c>
      <c r="N13" s="14">
        <f>_xll.BDH("NBIX US Equity","RR_DIL_EPS_CONT_OPS_GROWTH","FQ3 2021","FQ3 2021","Currency=USD","Period=FQ","BEST_FPERIOD_OVERRIDE=FQ","FILING_STATUS=MR","Sort=A","Dates=H","DateFormat=P","Fill=—","Direction=H","UseDPDF=Y")</f>
        <v>-55.886800000000001</v>
      </c>
      <c r="O13" s="14">
        <f>_xll.BDH("NBIX US Equity","RR_DIL_EPS_CONT_OPS_GROWTH","FQ4 2021","FQ4 2021","Currency=USD","Period=FQ","BEST_FPERIOD_OVERRIDE=FQ","FILING_STATUS=MR","Sort=A","Dates=H","DateFormat=P","Fill=—","Direction=H","UseDPDF=Y")</f>
        <v>-77.273300000000006</v>
      </c>
      <c r="P13" s="14" t="str">
        <f>_xll.BDH("NBIX US Equity","RR_DIL_EPS_CONT_OPS_GROWTH","FQ1 2022","FQ1 2022","Currency=USD","Period=FQ","BEST_FPERIOD_OVERRIDE=FQ","FILING_STATUS=MR","Sort=A","Dates=H","DateFormat=P","Fill=—","Direction=H","UseDPDF=Y")</f>
        <v>—</v>
      </c>
      <c r="Q13" s="14" t="str">
        <f>_xll.BDH("NBIX US Equity","RR_DIL_EPS_CONT_OPS_GROWTH","FQ2 2022","FQ2 2022","Currency=USD","Period=FQ","BEST_FPERIOD_OVERRIDE=FQ","FILING_STATUS=MR","Sort=A","Dates=H","DateFormat=P","Fill=—","Direction=H","UseDPDF=Y")</f>
        <v>—</v>
      </c>
      <c r="R13" s="14">
        <f>_xll.BDH("NBIX US Equity","RR_DIL_EPS_CONT_OPS_GROWTH","FQ3 2022","FQ3 2022","Currency=USD","Period=FQ","BEST_FPERIOD_OVERRIDE=FQ","FILING_STATUS=MR","Sort=A","Dates=H","DateFormat=P","Fill=—","Direction=H","UseDPDF=Y")</f>
        <v>159.21299999999999</v>
      </c>
      <c r="S13" s="14">
        <f>_xll.BDH("NBIX US Equity","RR_DIL_EPS_CONT_OPS_GROWTH","FQ4 2022","FQ4 2022","Currency=USD","Period=FQ","BEST_FPERIOD_OVERRIDE=FQ","FILING_STATUS=MR","Sort=A","Dates=H","DateFormat=P","Fill=—","Direction=H","UseDPDF=Y")</f>
        <v>71.686800000000005</v>
      </c>
      <c r="T13" s="14" t="str">
        <f>_xll.BDH("NBIX US Equity","RR_DIL_EPS_CONT_OPS_GROWTH","FQ1 2023","FQ1 2023","Currency=USD","Period=FQ","BEST_FPERIOD_OVERRIDE=FQ","FILING_STATUS=MR","Sort=A","Dates=H","DateFormat=P","Fill=—","Direction=H","UseDPDF=Y")</f>
        <v>—</v>
      </c>
      <c r="U13" s="14" t="str">
        <f>_xll.BDH("NBIX US Equity","RR_DIL_EPS_CONT_OPS_GROWTH","FQ2 2023","FQ2 2023","Currency=USD","Period=FQ","BEST_FPERIOD_OVERRIDE=FQ","FILING_STATUS=MR","Sort=A","Dates=H","DateFormat=P","Fill=—","Direction=H","UseDPDF=Y")</f>
        <v>—</v>
      </c>
      <c r="V13" s="14">
        <f>_xll.BDH("NBIX US Equity","RR_DIL_EPS_CONT_OPS_GROWTH","FQ3 2023","FQ3 2023","Currency=USD","Period=FQ","BEST_FPERIOD_OVERRIDE=FQ","FILING_STATUS=MR","Sort=A","Dates=H","DateFormat=P","Fill=—","Direction=H","UseDPDF=Y")</f>
        <v>71.701499999999996</v>
      </c>
      <c r="W13" s="14">
        <f>_xll.BDH("NBIX US Equity","RR_DIL_EPS_CONT_OPS_GROWTH","FQ4 2023","FQ4 2023","Currency=USD","Period=FQ","BEST_FPERIOD_OVERRIDE=FQ","FILING_STATUS=MR","Sort=A","Dates=H","DateFormat=P","Fill=—","Direction=H","UseDPDF=Y")</f>
        <v>36.595700000000001</v>
      </c>
      <c r="X13" s="14">
        <f>_xll.BDH("NBIX US Equity","RR_DIL_EPS_CONT_OPS_GROWTH","FQ1 2024","FQ1 2024","Currency=USD","Period=FQ","BEST_FPERIOD_OVERRIDE=FQ","FILING_STATUS=MR","Sort=A","Dates=H","DateFormat=P","Fill=—","Direction=H","UseDPDF=Y")</f>
        <v>25.029499999999999</v>
      </c>
      <c r="Y13" s="14">
        <f>_xll.BDH("NBIX US Equity","RR_DIL_EPS_CONT_OPS_GROWTH","FQ2 2024","FQ2 2024","Currency=USD","Period=FQ","BEST_FPERIOD_OVERRIDE=FQ","FILING_STATUS=MR","Sort=A","Dates=H","DateFormat=P","Fill=—","Direction=H","UseDPDF=Y")</f>
        <v>156.3674</v>
      </c>
      <c r="Z13" s="14">
        <f>_xll.BDH("NBIX US Equity","RR_DIL_EPS_CONT_OPS_GROWTH","FQ3 2024","FQ3 2024","Currency=USD","Period=FQ","BEST_FPERIOD_OVERRIDE=FQ","FILING_STATUS=MR","Sort=A","Dates=H","DateFormat=P","Fill=—","Direction=H","UseDPDF=Y")</f>
        <v>10.2852</v>
      </c>
      <c r="AA13" s="14">
        <f>_xll.BDH("NBIX US Equity","RR_DIL_EPS_CONT_OPS_GROWTH","FQ4 2024","FQ4 2024","Currency=USD","Period=FQ","BEST_FPERIOD_OVERRIDE=FQ","FILING_STATUS=MR","Sort=A","Dates=H","DateFormat=P","Fill=—","Direction=H","UseDPDF=Y")</f>
        <v>-14.352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1288</v>
      </c>
      <c r="B15" s="10" t="s">
        <v>1289</v>
      </c>
      <c r="C15" s="14">
        <f>_xll.BDH("NBIX US Equity","ACCOUNTS_RECEIVABLE_GROWTH","FQ4 2018","FQ4 2018","Currency=USD","Period=FQ","BEST_FPERIOD_OVERRIDE=FQ","FILING_STATUS=MR","Sort=A","Dates=H","DateFormat=P","Fill=—","Direction=H","UseDPDF=Y")</f>
        <v>80.679199999999994</v>
      </c>
      <c r="D15" s="14">
        <f>_xll.BDH("NBIX US Equity","ACCOUNTS_RECEIVABLE_GROWTH","FQ1 2019","FQ1 2019","Currency=USD","Period=FQ","BEST_FPERIOD_OVERRIDE=FQ","FILING_STATUS=MR","Sort=A","Dates=H","DateFormat=P","Fill=—","Direction=H","UseDPDF=Y")</f>
        <v>61.267499999999998</v>
      </c>
      <c r="E15" s="14">
        <f>_xll.BDH("NBIX US Equity","ACCOUNTS_RECEIVABLE_GROWTH","FQ2 2019","FQ2 2019","Currency=USD","Period=FQ","BEST_FPERIOD_OVERRIDE=FQ","FILING_STATUS=MR","Sort=A","Dates=H","DateFormat=P","Fill=—","Direction=H","UseDPDF=Y")</f>
        <v>123.60129999999999</v>
      </c>
      <c r="F15" s="14">
        <f>_xll.BDH("NBIX US Equity","ACCOUNTS_RECEIVABLE_GROWTH","FQ3 2019","FQ3 2019","Currency=USD","Period=FQ","BEST_FPERIOD_OVERRIDE=FQ","FILING_STATUS=MR","Sort=A","Dates=H","DateFormat=P","Fill=—","Direction=H","UseDPDF=Y")</f>
        <v>113.16889999999999</v>
      </c>
      <c r="G15" s="14">
        <f>_xll.BDH("NBIX US Equity","ACCOUNTS_RECEIVABLE_GROWTH","FQ4 2019","FQ4 2019","Currency=USD","Period=FQ","BEST_FPERIOD_OVERRIDE=FQ","FILING_STATUS=MR","Sort=A","Dates=H","DateFormat=P","Fill=—","Direction=H","UseDPDF=Y")</f>
        <v>125.1067</v>
      </c>
      <c r="H15" s="14">
        <f>_xll.BDH("NBIX US Equity","ACCOUNTS_RECEIVABLE_GROWTH","FQ1 2020","FQ1 2020","Currency=USD","Period=FQ","BEST_FPERIOD_OVERRIDE=FQ","FILING_STATUS=MR","Sort=A","Dates=H","DateFormat=P","Fill=—","Direction=H","UseDPDF=Y")</f>
        <v>106.49209999999999</v>
      </c>
      <c r="I15" s="14">
        <f>_xll.BDH("NBIX US Equity","ACCOUNTS_RECEIVABLE_GROWTH","FQ2 2020","FQ2 2020","Currency=USD","Period=FQ","BEST_FPERIOD_OVERRIDE=FQ","FILING_STATUS=MR","Sort=A","Dates=H","DateFormat=P","Fill=—","Direction=H","UseDPDF=Y")</f>
        <v>55.625700000000002</v>
      </c>
      <c r="J15" s="14">
        <f>_xll.BDH("NBIX US Equity","ACCOUNTS_RECEIVABLE_GROWTH","FQ3 2020","FQ3 2020","Currency=USD","Period=FQ","BEST_FPERIOD_OVERRIDE=FQ","FILING_STATUS=MR","Sort=A","Dates=H","DateFormat=P","Fill=—","Direction=H","UseDPDF=Y")</f>
        <v>36.058599999999998</v>
      </c>
      <c r="K15" s="14">
        <f>_xll.BDH("NBIX US Equity","ACCOUNTS_RECEIVABLE_GROWTH","FQ4 2020","FQ4 2020","Currency=USD","Period=FQ","BEST_FPERIOD_OVERRIDE=FQ","FILING_STATUS=MR","Sort=A","Dates=H","DateFormat=P","Fill=—","Direction=H","UseDPDF=Y")</f>
        <v>24.0916</v>
      </c>
      <c r="L15" s="14">
        <f>_xll.BDH("NBIX US Equity","ACCOUNTS_RECEIVABLE_GROWTH","FQ1 2021","FQ1 2021","Currency=USD","Period=FQ","BEST_FPERIOD_OVERRIDE=FQ","FILING_STATUS=MR","Sort=A","Dates=H","DateFormat=P","Fill=—","Direction=H","UseDPDF=Y")</f>
        <v>-0.53839999999999999</v>
      </c>
      <c r="M15" s="14">
        <f>_xll.BDH("NBIX US Equity","ACCOUNTS_RECEIVABLE_GROWTH","FQ2 2021","FQ2 2021","Currency=USD","Period=FQ","BEST_FPERIOD_OVERRIDE=FQ","FILING_STATUS=MR","Sort=A","Dates=H","DateFormat=P","Fill=—","Direction=H","UseDPDF=Y")</f>
        <v>6.8059000000000003</v>
      </c>
      <c r="N15" s="14">
        <f>_xll.BDH("NBIX US Equity","ACCOUNTS_RECEIVABLE_GROWTH","FQ3 2021","FQ3 2021","Currency=USD","Period=FQ","BEST_FPERIOD_OVERRIDE=FQ","FILING_STATUS=MR","Sort=A","Dates=H","DateFormat=P","Fill=—","Direction=H","UseDPDF=Y")</f>
        <v>4.3977000000000004</v>
      </c>
      <c r="O15" s="14">
        <f>_xll.BDH("NBIX US Equity","ACCOUNTS_RECEIVABLE_GROWTH","FQ4 2021","FQ4 2021","Currency=USD","Period=FQ","BEST_FPERIOD_OVERRIDE=FQ","FILING_STATUS=MR","Sort=A","Dates=H","DateFormat=P","Fill=—","Direction=H","UseDPDF=Y")</f>
        <v>18.0777</v>
      </c>
      <c r="P15" s="14">
        <f>_xll.BDH("NBIX US Equity","ACCOUNTS_RECEIVABLE_GROWTH","FQ1 2022","FQ1 2022","Currency=USD","Period=FQ","BEST_FPERIOD_OVERRIDE=FQ","FILING_STATUS=MR","Sort=A","Dates=H","DateFormat=P","Fill=—","Direction=H","UseDPDF=Y")</f>
        <v>78.281499999999994</v>
      </c>
      <c r="Q15" s="14">
        <f>_xll.BDH("NBIX US Equity","ACCOUNTS_RECEIVABLE_GROWTH","FQ2 2022","FQ2 2022","Currency=USD","Period=FQ","BEST_FPERIOD_OVERRIDE=FQ","FILING_STATUS=MR","Sort=A","Dates=H","DateFormat=P","Fill=—","Direction=H","UseDPDF=Y")</f>
        <v>76.025199999999998</v>
      </c>
      <c r="R15" s="14">
        <f>_xll.BDH("NBIX US Equity","ACCOUNTS_RECEIVABLE_GROWTH","FQ3 2022","FQ3 2022","Currency=USD","Period=FQ","BEST_FPERIOD_OVERRIDE=FQ","FILING_STATUS=MR","Sort=A","Dates=H","DateFormat=P","Fill=—","Direction=H","UseDPDF=Y")</f>
        <v>83.882800000000003</v>
      </c>
      <c r="S15" s="14">
        <f>_xll.BDH("NBIX US Equity","ACCOUNTS_RECEIVABLE_GROWTH","FQ4 2022","FQ4 2022","Currency=USD","Period=FQ","BEST_FPERIOD_OVERRIDE=FQ","FILING_STATUS=MR","Sort=A","Dates=H","DateFormat=P","Fill=—","Direction=H","UseDPDF=Y")</f>
        <v>88.679199999999994</v>
      </c>
      <c r="T15" s="14">
        <f>_xll.BDH("NBIX US Equity","ACCOUNTS_RECEIVABLE_GROWTH","FQ1 2023","FQ1 2023","Currency=USD","Period=FQ","BEST_FPERIOD_OVERRIDE=FQ","FILING_STATUS=MR","Sort=A","Dates=H","DateFormat=P","Fill=—","Direction=H","UseDPDF=Y")</f>
        <v>48.614800000000002</v>
      </c>
      <c r="U15" s="14">
        <f>_xll.BDH("NBIX US Equity","ACCOUNTS_RECEIVABLE_GROWTH","FQ2 2023","FQ2 2023","Currency=USD","Period=FQ","BEST_FPERIOD_OVERRIDE=FQ","FILING_STATUS=MR","Sort=A","Dates=H","DateFormat=P","Fill=—","Direction=H","UseDPDF=Y")</f>
        <v>38.924700000000001</v>
      </c>
      <c r="V15" s="14">
        <f>_xll.BDH("NBIX US Equity","ACCOUNTS_RECEIVABLE_GROWTH","FQ3 2023","FQ3 2023","Currency=USD","Period=FQ","BEST_FPERIOD_OVERRIDE=FQ","FILING_STATUS=MR","Sort=A","Dates=H","DateFormat=P","Fill=—","Direction=H","UseDPDF=Y")</f>
        <v>38.711799999999997</v>
      </c>
      <c r="W15" s="14">
        <f>_xll.BDH("NBIX US Equity","ACCOUNTS_RECEIVABLE_GROWTH","FQ4 2023","FQ4 2023","Currency=USD","Period=FQ","BEST_FPERIOD_OVERRIDE=FQ","FILING_STATUS=MR","Sort=A","Dates=H","DateFormat=P","Fill=—","Direction=H","UseDPDF=Y")</f>
        <v>25.514299999999999</v>
      </c>
      <c r="X15" s="14">
        <f>_xll.BDH("NBIX US Equity","ACCOUNTS_RECEIVABLE_GROWTH","FQ1 2024","FQ1 2024","Currency=USD","Period=FQ","BEST_FPERIOD_OVERRIDE=FQ","FILING_STATUS=MR","Sort=A","Dates=H","DateFormat=P","Fill=—","Direction=H","UseDPDF=Y")</f>
        <v>15.091900000000001</v>
      </c>
      <c r="Y15" s="14">
        <f>_xll.BDH("NBIX US Equity","ACCOUNTS_RECEIVABLE_GROWTH","FQ2 2024","FQ2 2024","Currency=USD","Period=FQ","BEST_FPERIOD_OVERRIDE=FQ","FILING_STATUS=MR","Sort=A","Dates=H","DateFormat=P","Fill=—","Direction=H","UseDPDF=Y")</f>
        <v>20.794599999999999</v>
      </c>
      <c r="Z15" s="14">
        <f>_xll.BDH("NBIX US Equity","ACCOUNTS_RECEIVABLE_GROWTH","FQ3 2024","FQ3 2024","Currency=USD","Period=FQ","BEST_FPERIOD_OVERRIDE=FQ","FILING_STATUS=MR","Sort=A","Dates=H","DateFormat=P","Fill=—","Direction=H","UseDPDF=Y")</f>
        <v>15.1508</v>
      </c>
      <c r="AA15" s="14">
        <f>_xll.BDH("NBIX US Equity","ACCOUNTS_RECEIVABLE_GROWTH","FQ4 2024","FQ4 2024","Currency=USD","Period=FQ","BEST_FPERIOD_OVERRIDE=FQ","FILING_STATUS=MR","Sort=A","Dates=H","DateFormat=P","Fill=—","Direction=H","UseDPDF=Y")</f>
        <v>9.0599000000000007</v>
      </c>
    </row>
    <row r="16" spans="1:27" x14ac:dyDescent="0.25">
      <c r="A16" s="10" t="s">
        <v>1290</v>
      </c>
      <c r="B16" s="10" t="s">
        <v>1291</v>
      </c>
      <c r="C16" s="14">
        <f>_xll.BDH("NBIX US Equity","INVENTORY_GROWTH","FQ4 2018","FQ4 2018","Currency=USD","Period=FQ","BEST_FPERIOD_OVERRIDE=FQ","FILING_STATUS=MR","Sort=A","Dates=H","DateFormat=P","Fill=—","Direction=H","UseDPDF=Y")</f>
        <v>960.9375</v>
      </c>
      <c r="D16" s="14" t="str">
        <f>_xll.BDH("NBIX US Equity","INVENTORY_GROWTH","FQ1 2019","FQ1 2019","Currency=USD","Period=FQ","BEST_FPERIOD_OVERRIDE=FQ","FILING_STATUS=MR","Sort=A","Dates=H","DateFormat=P","Fill=—","Direction=H","UseDPDF=Y")</f>
        <v>—</v>
      </c>
      <c r="E16" s="14" t="str">
        <f>_xll.BDH("NBIX US Equity","INVENTORY_GROWTH","FQ2 2019","FQ2 2019","Currency=USD","Period=FQ","BEST_FPERIOD_OVERRIDE=FQ","FILING_STATUS=MR","Sort=A","Dates=H","DateFormat=P","Fill=—","Direction=H","UseDPDF=Y")</f>
        <v>—</v>
      </c>
      <c r="F16" s="14">
        <f>_xll.BDH("NBIX US Equity","INVENTORY_GROWTH","FQ3 2019","FQ3 2019","Currency=USD","Period=FQ","BEST_FPERIOD_OVERRIDE=FQ","FILING_STATUS=MR","Sort=A","Dates=H","DateFormat=P","Fill=—","Direction=H","UseDPDF=Y")</f>
        <v>78.361400000000003</v>
      </c>
      <c r="G16" s="14">
        <f>_xll.BDH("NBIX US Equity","INVENTORY_GROWTH","FQ4 2019","FQ4 2019","Currency=USD","Period=FQ","BEST_FPERIOD_OVERRIDE=FQ","FILING_STATUS=MR","Sort=A","Dates=H","DateFormat=P","Fill=—","Direction=H","UseDPDF=Y")</f>
        <v>59.241500000000002</v>
      </c>
      <c r="H16" s="14">
        <f>_xll.BDH("NBIX US Equity","INVENTORY_GROWTH","FQ1 2020","FQ1 2020","Currency=USD","Period=FQ","BEST_FPERIOD_OVERRIDE=FQ","FILING_STATUS=MR","Sort=A","Dates=H","DateFormat=P","Fill=—","Direction=H","UseDPDF=Y")</f>
        <v>62.951599999999999</v>
      </c>
      <c r="I16" s="14">
        <f>_xll.BDH("NBIX US Equity","INVENTORY_GROWTH","FQ2 2020","FQ2 2020","Currency=USD","Period=FQ","BEST_FPERIOD_OVERRIDE=FQ","FILING_STATUS=MR","Sort=A","Dates=H","DateFormat=P","Fill=—","Direction=H","UseDPDF=Y")</f>
        <v>83.058700000000002</v>
      </c>
      <c r="J16" s="14">
        <f>_xll.BDH("NBIX US Equity","INVENTORY_GROWTH","FQ3 2020","FQ3 2020","Currency=USD","Period=FQ","BEST_FPERIOD_OVERRIDE=FQ","FILING_STATUS=MR","Sort=A","Dates=H","DateFormat=P","Fill=—","Direction=H","UseDPDF=Y")</f>
        <v>90.7761</v>
      </c>
      <c r="K16" s="14">
        <f>_xll.BDH("NBIX US Equity","INVENTORY_GROWTH","FQ4 2020","FQ4 2020","Currency=USD","Period=FQ","BEST_FPERIOD_OVERRIDE=FQ","FILING_STATUS=MR","Sort=A","Dates=H","DateFormat=P","Fill=—","Direction=H","UseDPDF=Y")</f>
        <v>61.849699999999999</v>
      </c>
      <c r="L16" s="14">
        <f>_xll.BDH("NBIX US Equity","INVENTORY_GROWTH","FQ1 2021","FQ1 2021","Currency=USD","Period=FQ","BEST_FPERIOD_OVERRIDE=FQ","FILING_STATUS=MR","Sort=A","Dates=H","DateFormat=P","Fill=—","Direction=H","UseDPDF=Y")</f>
        <v>41.981099999999998</v>
      </c>
      <c r="M16" s="14">
        <f>_xll.BDH("NBIX US Equity","INVENTORY_GROWTH","FQ2 2021","FQ2 2021","Currency=USD","Period=FQ","BEST_FPERIOD_OVERRIDE=FQ","FILING_STATUS=MR","Sort=A","Dates=H","DateFormat=P","Fill=—","Direction=H","UseDPDF=Y")</f>
        <v>28.636399999999998</v>
      </c>
      <c r="N16" s="14">
        <f>_xll.BDH("NBIX US Equity","INVENTORY_GROWTH","FQ3 2021","FQ3 2021","Currency=USD","Period=FQ","BEST_FPERIOD_OVERRIDE=FQ","FILING_STATUS=MR","Sort=A","Dates=H","DateFormat=P","Fill=—","Direction=H","UseDPDF=Y")</f>
        <v>23.7864</v>
      </c>
      <c r="O16" s="14">
        <f>_xll.BDH("NBIX US Equity","INVENTORY_GROWTH","FQ4 2021","FQ4 2021","Currency=USD","Period=FQ","BEST_FPERIOD_OVERRIDE=FQ","FILING_STATUS=MR","Sort=A","Dates=H","DateFormat=P","Fill=—","Direction=H","UseDPDF=Y")</f>
        <v>8.9285999999999994</v>
      </c>
      <c r="P16" s="14">
        <f>_xll.BDH("NBIX US Equity","INVENTORY_GROWTH","FQ1 2022","FQ1 2022","Currency=USD","Period=FQ","BEST_FPERIOD_OVERRIDE=FQ","FILING_STATUS=MR","Sort=A","Dates=H","DateFormat=P","Fill=—","Direction=H","UseDPDF=Y")</f>
        <v>-3.6545000000000001</v>
      </c>
      <c r="Q16" s="14">
        <f>_xll.BDH("NBIX US Equity","INVENTORY_GROWTH","FQ2 2022","FQ2 2022","Currency=USD","Period=FQ","BEST_FPERIOD_OVERRIDE=FQ","FILING_STATUS=MR","Sort=A","Dates=H","DateFormat=P","Fill=—","Direction=H","UseDPDF=Y")</f>
        <v>3.5335999999999999</v>
      </c>
      <c r="R16" s="14">
        <f>_xll.BDH("NBIX US Equity","INVENTORY_GROWTH","FQ3 2022","FQ3 2022","Currency=USD","Period=FQ","BEST_FPERIOD_OVERRIDE=FQ","FILING_STATUS=MR","Sort=A","Dates=H","DateFormat=P","Fill=—","Direction=H","UseDPDF=Y")</f>
        <v>45.097999999999999</v>
      </c>
      <c r="S16" s="14">
        <f>_xll.BDH("NBIX US Equity","INVENTORY_GROWTH","FQ4 2022","FQ4 2022","Currency=USD","Period=FQ","BEST_FPERIOD_OVERRIDE=FQ","FILING_STATUS=MR","Sort=A","Dates=H","DateFormat=P","Fill=—","Direction=H","UseDPDF=Y")</f>
        <v>15.082000000000001</v>
      </c>
      <c r="T16" s="14">
        <f>_xll.BDH("NBIX US Equity","INVENTORY_GROWTH","FQ1 2023","FQ1 2023","Currency=USD","Period=FQ","BEST_FPERIOD_OVERRIDE=FQ","FILING_STATUS=MR","Sort=A","Dates=H","DateFormat=P","Fill=—","Direction=H","UseDPDF=Y")</f>
        <v>15.1724</v>
      </c>
      <c r="U16" s="14">
        <f>_xll.BDH("NBIX US Equity","INVENTORY_GROWTH","FQ2 2023","FQ2 2023","Currency=USD","Period=FQ","BEST_FPERIOD_OVERRIDE=FQ","FILING_STATUS=MR","Sort=A","Dates=H","DateFormat=P","Fill=—","Direction=H","UseDPDF=Y")</f>
        <v>8.1911000000000005</v>
      </c>
      <c r="V16" s="14">
        <f>_xll.BDH("NBIX US Equity","INVENTORY_GROWTH","FQ3 2023","FQ3 2023","Currency=USD","Period=FQ","BEST_FPERIOD_OVERRIDE=FQ","FILING_STATUS=MR","Sort=A","Dates=H","DateFormat=P","Fill=—","Direction=H","UseDPDF=Y")</f>
        <v>-22.162199999999999</v>
      </c>
      <c r="W16" s="14">
        <f>_xll.BDH("NBIX US Equity","INVENTORY_GROWTH","FQ4 2023","FQ4 2023","Currency=USD","Period=FQ","BEST_FPERIOD_OVERRIDE=FQ","FILING_STATUS=MR","Sort=A","Dates=H","DateFormat=P","Fill=—","Direction=H","UseDPDF=Y")</f>
        <v>9.1167999999999996</v>
      </c>
      <c r="X16" s="14">
        <f>_xll.BDH("NBIX US Equity","INVENTORY_GROWTH","FQ1 2024","FQ1 2024","Currency=USD","Period=FQ","BEST_FPERIOD_OVERRIDE=FQ","FILING_STATUS=MR","Sort=A","Dates=H","DateFormat=P","Fill=—","Direction=H","UseDPDF=Y")</f>
        <v>11.3772</v>
      </c>
      <c r="Y16" s="14">
        <f>_xll.BDH("NBIX US Equity","INVENTORY_GROWTH","FQ2 2024","FQ2 2024","Currency=USD","Period=FQ","BEST_FPERIOD_OVERRIDE=FQ","FILING_STATUS=MR","Sort=A","Dates=H","DateFormat=P","Fill=—","Direction=H","UseDPDF=Y")</f>
        <v>34.069400000000002</v>
      </c>
      <c r="Z16" s="14">
        <f>_xll.BDH("NBIX US Equity","INVENTORY_GROWTH","FQ3 2024","FQ3 2024","Currency=USD","Period=FQ","BEST_FPERIOD_OVERRIDE=FQ","FILING_STATUS=MR","Sort=A","Dates=H","DateFormat=P","Fill=—","Direction=H","UseDPDF=Y")</f>
        <v>59.027799999999999</v>
      </c>
      <c r="AA16" s="14">
        <f>_xll.BDH("NBIX US Equity","INVENTORY_GROWTH","FQ4 2024","FQ4 2024","Currency=USD","Period=FQ","BEST_FPERIOD_OVERRIDE=FQ","FILING_STATUS=MR","Sort=A","Dates=H","DateFormat=P","Fill=—","Direction=H","UseDPDF=Y")</f>
        <v>49.869500000000002</v>
      </c>
    </row>
    <row r="17" spans="1:27" x14ac:dyDescent="0.25">
      <c r="A17" s="10" t="s">
        <v>1292</v>
      </c>
      <c r="B17" s="10" t="s">
        <v>1293</v>
      </c>
      <c r="C17" s="14">
        <f>_xll.BDH("NBIX US Equity","NET_FIXED_ASSETS_1_YEAR_GROWTH","FQ4 2018","FQ4 2018","Currency=USD","Period=FQ","BEST_FPERIOD_OVERRIDE=FQ","FILING_STATUS=MR","Sort=A","Dates=H","DateFormat=P","Fill=—","Direction=H","UseDPDF=Y")</f>
        <v>213.28280000000001</v>
      </c>
      <c r="D17" s="14">
        <f>_xll.BDH("NBIX US Equity","NET_FIXED_ASSETS_1_YEAR_GROWTH","FQ1 2019","FQ1 2019","Currency=USD","Period=FQ","BEST_FPERIOD_OVERRIDE=FQ","FILING_STATUS=MR","Sort=A","Dates=H","DateFormat=P","Fill=—","Direction=H","UseDPDF=Y")</f>
        <v>626.97670000000005</v>
      </c>
      <c r="E17" s="14">
        <f>_xll.BDH("NBIX US Equity","NET_FIXED_ASSETS_1_YEAR_GROWTH","FQ2 2019","FQ2 2019","Currency=USD","Period=FQ","BEST_FPERIOD_OVERRIDE=FQ","FILING_STATUS=MR","Sort=A","Dates=H","DateFormat=P","Fill=—","Direction=H","UseDPDF=Y")</f>
        <v>372.4794</v>
      </c>
      <c r="F17" s="14">
        <f>_xll.BDH("NBIX US Equity","NET_FIXED_ASSETS_1_YEAR_GROWTH","FQ3 2019","FQ3 2019","Currency=USD","Period=FQ","BEST_FPERIOD_OVERRIDE=FQ","FILING_STATUS=MR","Sort=A","Dates=H","DateFormat=P","Fill=—","Direction=H","UseDPDF=Y")</f>
        <v>257.4289</v>
      </c>
      <c r="G17" s="14">
        <f>_xll.BDH("NBIX US Equity","NET_FIXED_ASSETS_1_YEAR_GROWTH","FQ4 2019","FQ4 2019","Currency=USD","Period=FQ","BEST_FPERIOD_OVERRIDE=FQ","FILING_STATUS=MR","Sort=A","Dates=H","DateFormat=P","Fill=—","Direction=H","UseDPDF=Y")</f>
        <v>243.0866</v>
      </c>
      <c r="H17" s="14">
        <f>_xll.BDH("NBIX US Equity","NET_FIXED_ASSETS_1_YEAR_GROWTH","FQ1 2020","FQ1 2020","Currency=USD","Period=FQ","BEST_FPERIOD_OVERRIDE=FQ","FILING_STATUS=MR","Sort=A","Dates=H","DateFormat=P","Fill=—","Direction=H","UseDPDF=Y")</f>
        <v>34.008000000000003</v>
      </c>
      <c r="I17" s="14">
        <f>_xll.BDH("NBIX US Equity","NET_FIXED_ASSETS_1_YEAR_GROWTH","FQ2 2020","FQ2 2020","Currency=USD","Period=FQ","BEST_FPERIOD_OVERRIDE=FQ","FILING_STATUS=MR","Sort=A","Dates=H","DateFormat=P","Fill=—","Direction=H","UseDPDF=Y")</f>
        <v>31.555199999999999</v>
      </c>
      <c r="J17" s="14">
        <f>_xll.BDH("NBIX US Equity","NET_FIXED_ASSETS_1_YEAR_GROWTH","FQ3 2020","FQ3 2020","Currency=USD","Period=FQ","BEST_FPERIOD_OVERRIDE=FQ","FILING_STATUS=MR","Sort=A","Dates=H","DateFormat=P","Fill=—","Direction=H","UseDPDF=Y")</f>
        <v>11.4489</v>
      </c>
      <c r="K17" s="14">
        <f>_xll.BDH("NBIX US Equity","NET_FIXED_ASSETS_1_YEAR_GROWTH","FQ4 2020","FQ4 2020","Currency=USD","Period=FQ","BEST_FPERIOD_OVERRIDE=FQ","FILING_STATUS=MR","Sort=A","Dates=H","DateFormat=P","Fill=—","Direction=H","UseDPDF=Y")</f>
        <v>9.6386000000000003</v>
      </c>
      <c r="L17" s="14">
        <f>_xll.BDH("NBIX US Equity","NET_FIXED_ASSETS_1_YEAR_GROWTH","FQ1 2021","FQ1 2021","Currency=USD","Period=FQ","BEST_FPERIOD_OVERRIDE=FQ","FILING_STATUS=MR","Sort=A","Dates=H","DateFormat=P","Fill=—","Direction=H","UseDPDF=Y")</f>
        <v>23.5243</v>
      </c>
      <c r="M17" s="14">
        <f>_xll.BDH("NBIX US Equity","NET_FIXED_ASSETS_1_YEAR_GROWTH","FQ2 2021","FQ2 2021","Currency=USD","Period=FQ","BEST_FPERIOD_OVERRIDE=FQ","FILING_STATUS=MR","Sort=A","Dates=H","DateFormat=P","Fill=—","Direction=H","UseDPDF=Y")</f>
        <v>28.791799999999999</v>
      </c>
      <c r="N17" s="14">
        <f>_xll.BDH("NBIX US Equity","NET_FIXED_ASSETS_1_YEAR_GROWTH","FQ3 2021","FQ3 2021","Currency=USD","Period=FQ","BEST_FPERIOD_OVERRIDE=FQ","FILING_STATUS=MR","Sort=A","Dates=H","DateFormat=P","Fill=—","Direction=H","UseDPDF=Y")</f>
        <v>30.701799999999999</v>
      </c>
      <c r="O17" s="14">
        <f>_xll.BDH("NBIX US Equity","NET_FIXED_ASSETS_1_YEAR_GROWTH","FQ4 2021","FQ4 2021","Currency=USD","Period=FQ","BEST_FPERIOD_OVERRIDE=FQ","FILING_STATUS=MR","Sort=A","Dates=H","DateFormat=P","Fill=—","Direction=H","UseDPDF=Y")</f>
        <v>22.292000000000002</v>
      </c>
      <c r="P17" s="14">
        <f>_xll.BDH("NBIX US Equity","NET_FIXED_ASSETS_1_YEAR_GROWTH","FQ1 2022","FQ1 2022","Currency=USD","Period=FQ","BEST_FPERIOD_OVERRIDE=FQ","FILING_STATUS=MR","Sort=A","Dates=H","DateFormat=P","Fill=—","Direction=H","UseDPDF=Y")</f>
        <v>11.454700000000001</v>
      </c>
      <c r="Q17" s="14">
        <f>_xll.BDH("NBIX US Equity","NET_FIXED_ASSETS_1_YEAR_GROWTH","FQ2 2022","FQ2 2022","Currency=USD","Period=FQ","BEST_FPERIOD_OVERRIDE=FQ","FILING_STATUS=MR","Sort=A","Dates=H","DateFormat=P","Fill=—","Direction=H","UseDPDF=Y")</f>
        <v>5.7884000000000002</v>
      </c>
      <c r="R17" s="14">
        <f>_xll.BDH("NBIX US Equity","NET_FIXED_ASSETS_1_YEAR_GROWTH","FQ3 2022","FQ3 2022","Currency=USD","Period=FQ","BEST_FPERIOD_OVERRIDE=FQ","FILING_STATUS=MR","Sort=A","Dates=H","DateFormat=P","Fill=—","Direction=H","UseDPDF=Y")</f>
        <v>1.0066999999999999</v>
      </c>
      <c r="S17" s="14">
        <f>_xll.BDH("NBIX US Equity","NET_FIXED_ASSETS_1_YEAR_GROWTH","FQ4 2022","FQ4 2022","Currency=USD","Period=FQ","BEST_FPERIOD_OVERRIDE=FQ","FILING_STATUS=MR","Sort=A","Dates=H","DateFormat=P","Fill=—","Direction=H","UseDPDF=Y")</f>
        <v>-6.5468999999999999</v>
      </c>
      <c r="T17" s="14">
        <f>_xll.BDH("NBIX US Equity","NET_FIXED_ASSETS_1_YEAR_GROWTH","FQ1 2023","FQ1 2023","Currency=USD","Period=FQ","BEST_FPERIOD_OVERRIDE=FQ","FILING_STATUS=MR","Sort=A","Dates=H","DateFormat=P","Fill=—","Direction=H","UseDPDF=Y")</f>
        <v>-7.1879</v>
      </c>
      <c r="U17" s="14">
        <f>_xll.BDH("NBIX US Equity","NET_FIXED_ASSETS_1_YEAR_GROWTH","FQ2 2023","FQ2 2023","Currency=USD","Period=FQ","BEST_FPERIOD_OVERRIDE=FQ","FILING_STATUS=MR","Sort=A","Dates=H","DateFormat=P","Fill=—","Direction=H","UseDPDF=Y")</f>
        <v>-6.2263999999999999</v>
      </c>
      <c r="V17" s="14">
        <f>_xll.BDH("NBIX US Equity","NET_FIXED_ASSETS_1_YEAR_GROWTH","FQ3 2023","FQ3 2023","Currency=USD","Period=FQ","BEST_FPERIOD_OVERRIDE=FQ","FILING_STATUS=MR","Sort=A","Dates=H","DateFormat=P","Fill=—","Direction=H","UseDPDF=Y")</f>
        <v>-0.59799999999999998</v>
      </c>
      <c r="W17" s="14">
        <f>_xll.BDH("NBIX US Equity","NET_FIXED_ASSETS_1_YEAR_GROWTH","FQ4 2023","FQ4 2023","Currency=USD","Period=FQ","BEST_FPERIOD_OVERRIDE=FQ","FILING_STATUS=MR","Sort=A","Dates=H","DateFormat=P","Fill=—","Direction=H","UseDPDF=Y")</f>
        <v>138.53020000000001</v>
      </c>
      <c r="X17" s="14">
        <f>_xll.BDH("NBIX US Equity","NET_FIXED_ASSETS_1_YEAR_GROWTH","FQ1 2024","FQ1 2024","Currency=USD","Period=FQ","BEST_FPERIOD_OVERRIDE=FQ","FILING_STATUS=MR","Sort=A","Dates=H","DateFormat=P","Fill=—","Direction=H","UseDPDF=Y")</f>
        <v>135.1223</v>
      </c>
      <c r="Y17" s="14">
        <f>_xll.BDH("NBIX US Equity","NET_FIXED_ASSETS_1_YEAR_GROWTH","FQ2 2024","FQ2 2024","Currency=USD","Period=FQ","BEST_FPERIOD_OVERRIDE=FQ","FILING_STATUS=MR","Sort=A","Dates=H","DateFormat=P","Fill=—","Direction=H","UseDPDF=Y")</f>
        <v>130.04689999999999</v>
      </c>
      <c r="Z17" s="14">
        <f>_xll.BDH("NBIX US Equity","NET_FIXED_ASSETS_1_YEAR_GROWTH","FQ3 2024","FQ3 2024","Currency=USD","Period=FQ","BEST_FPERIOD_OVERRIDE=FQ","FILING_STATUS=MR","Sort=A","Dates=H","DateFormat=P","Fill=—","Direction=H","UseDPDF=Y")</f>
        <v>125.4679</v>
      </c>
      <c r="AA17" s="14">
        <f>_xll.BDH("NBIX US Equity","NET_FIXED_ASSETS_1_YEAR_GROWTH","FQ4 2024","FQ4 2024","Currency=USD","Period=FQ","BEST_FPERIOD_OVERRIDE=FQ","FILING_STATUS=MR","Sort=A","Dates=H","DateFormat=P","Fill=—","Direction=H","UseDPDF=Y")</f>
        <v>70.457800000000006</v>
      </c>
    </row>
    <row r="18" spans="1:27" x14ac:dyDescent="0.25">
      <c r="A18" s="10" t="s">
        <v>112</v>
      </c>
      <c r="B18" s="10" t="s">
        <v>1294</v>
      </c>
      <c r="C18" s="14">
        <f>_xll.BDH("NBIX US Equity","ASSET_GROWTH","FQ4 2018","FQ4 2018","Currency=USD","Period=FQ","BEST_FPERIOD_OVERRIDE=FQ","FILING_STATUS=MR","Sort=A","Dates=H","DateFormat=P","Fill=—","Direction=H","UseDPDF=Y")</f>
        <v>21.472799999999999</v>
      </c>
      <c r="D18" s="14">
        <f>_xll.BDH("NBIX US Equity","ASSET_GROWTH","FQ1 2019","FQ1 2019","Currency=USD","Period=FQ","BEST_FPERIOD_OVERRIDE=FQ","FILING_STATUS=MR","Sort=A","Dates=H","DateFormat=P","Fill=—","Direction=H","UseDPDF=Y")</f>
        <v>18.771100000000001</v>
      </c>
      <c r="E18" s="14">
        <f>_xll.BDH("NBIX US Equity","ASSET_GROWTH","FQ2 2019","FQ2 2019","Currency=USD","Period=FQ","BEST_FPERIOD_OVERRIDE=FQ","FILING_STATUS=MR","Sort=A","Dates=H","DateFormat=P","Fill=—","Direction=H","UseDPDF=Y")</f>
        <v>26.808399999999999</v>
      </c>
      <c r="F18" s="14">
        <f>_xll.BDH("NBIX US Equity","ASSET_GROWTH","FQ3 2019","FQ3 2019","Currency=USD","Period=FQ","BEST_FPERIOD_OVERRIDE=FQ","FILING_STATUS=MR","Sort=A","Dates=H","DateFormat=P","Fill=—","Direction=H","UseDPDF=Y")</f>
        <v>26.3657</v>
      </c>
      <c r="G18" s="14">
        <f>_xll.BDH("NBIX US Equity","ASSET_GROWTH","FQ4 2019","FQ4 2019","Currency=USD","Period=FQ","BEST_FPERIOD_OVERRIDE=FQ","FILING_STATUS=MR","Sort=A","Dates=H","DateFormat=P","Fill=—","Direction=H","UseDPDF=Y")</f>
        <v>31.500599999999999</v>
      </c>
      <c r="H18" s="14">
        <f>_xll.BDH("NBIX US Equity","ASSET_GROWTH","FQ1 2020","FQ1 2020","Currency=USD","Period=FQ","BEST_FPERIOD_OVERRIDE=FQ","FILING_STATUS=MR","Sort=A","Dates=H","DateFormat=P","Fill=—","Direction=H","UseDPDF=Y")</f>
        <v>42.201900000000002</v>
      </c>
      <c r="I18" s="14">
        <f>_xll.BDH("NBIX US Equity","ASSET_GROWTH","FQ2 2020","FQ2 2020","Currency=USD","Period=FQ","BEST_FPERIOD_OVERRIDE=FQ","FILING_STATUS=MR","Sort=A","Dates=H","DateFormat=P","Fill=—","Direction=H","UseDPDF=Y")</f>
        <v>42.061599999999999</v>
      </c>
      <c r="J18" s="14">
        <f>_xll.BDH("NBIX US Equity","ASSET_GROWTH","FQ3 2020","FQ3 2020","Currency=USD","Period=FQ","BEST_FPERIOD_OVERRIDE=FQ","FILING_STATUS=MR","Sort=A","Dates=H","DateFormat=P","Fill=—","Direction=H","UseDPDF=Y")</f>
        <v>27.346</v>
      </c>
      <c r="K18" s="14">
        <f>_xll.BDH("NBIX US Equity","ASSET_GROWTH","FQ4 2020","FQ4 2020","Currency=USD","Period=FQ","BEST_FPERIOD_OVERRIDE=FQ","FILING_STATUS=MR","Sort=A","Dates=H","DateFormat=P","Fill=—","Direction=H","UseDPDF=Y")</f>
        <v>32.825400000000002</v>
      </c>
      <c r="L18" s="14">
        <f>_xll.BDH("NBIX US Equity","ASSET_GROWTH","FQ1 2021","FQ1 2021","Currency=USD","Period=FQ","BEST_FPERIOD_OVERRIDE=FQ","FILING_STATUS=MR","Sort=A","Dates=H","DateFormat=P","Fill=—","Direction=H","UseDPDF=Y")</f>
        <v>35.575299999999999</v>
      </c>
      <c r="M18" s="14">
        <f>_xll.BDH("NBIX US Equity","ASSET_GROWTH","FQ2 2021","FQ2 2021","Currency=USD","Period=FQ","BEST_FPERIOD_OVERRIDE=FQ","FILING_STATUS=MR","Sort=A","Dates=H","DateFormat=P","Fill=—","Direction=H","UseDPDF=Y")</f>
        <v>29.084199999999999</v>
      </c>
      <c r="N18" s="14">
        <f>_xll.BDH("NBIX US Equity","ASSET_GROWTH","FQ3 2021","FQ3 2021","Currency=USD","Period=FQ","BEST_FPERIOD_OVERRIDE=FQ","FILING_STATUS=MR","Sort=A","Dates=H","DateFormat=P","Fill=—","Direction=H","UseDPDF=Y")</f>
        <v>34.253999999999998</v>
      </c>
      <c r="O18" s="14">
        <f>_xll.BDH("NBIX US Equity","ASSET_GROWTH","FQ4 2021","FQ4 2021","Currency=USD","Period=FQ","BEST_FPERIOD_OVERRIDE=FQ","FILING_STATUS=MR","Sort=A","Dates=H","DateFormat=P","Fill=—","Direction=H","UseDPDF=Y")</f>
        <v>19.473099999999999</v>
      </c>
      <c r="P18" s="14">
        <f>_xll.BDH("NBIX US Equity","ASSET_GROWTH","FQ1 2022","FQ1 2022","Currency=USD","Period=FQ","BEST_FPERIOD_OVERRIDE=FQ","FILING_STATUS=MR","Sort=A","Dates=H","DateFormat=P","Fill=—","Direction=H","UseDPDF=Y")</f>
        <v>16.1449</v>
      </c>
      <c r="Q18" s="14">
        <f>_xll.BDH("NBIX US Equity","ASSET_GROWTH","FQ2 2022","FQ2 2022","Currency=USD","Period=FQ","BEST_FPERIOD_OVERRIDE=FQ","FILING_STATUS=MR","Sort=A","Dates=H","DateFormat=P","Fill=—","Direction=H","UseDPDF=Y")</f>
        <v>2.5198999999999998</v>
      </c>
      <c r="R18" s="14">
        <f>_xll.BDH("NBIX US Equity","ASSET_GROWTH","FQ3 2022","FQ3 2022","Currency=USD","Period=FQ","BEST_FPERIOD_OVERRIDE=FQ","FILING_STATUS=MR","Sort=A","Dates=H","DateFormat=P","Fill=—","Direction=H","UseDPDF=Y")</f>
        <v>6.2508999999999997</v>
      </c>
      <c r="S18" s="14">
        <f>_xll.BDH("NBIX US Equity","ASSET_GROWTH","FQ4 2022","FQ4 2022","Currency=USD","Period=FQ","BEST_FPERIOD_OVERRIDE=FQ","FILING_STATUS=MR","Sort=A","Dates=H","DateFormat=P","Fill=—","Direction=H","UseDPDF=Y")</f>
        <v>14.2919</v>
      </c>
      <c r="T18" s="14">
        <f>_xll.BDH("NBIX US Equity","ASSET_GROWTH","FQ1 2023","FQ1 2023","Currency=USD","Period=FQ","BEST_FPERIOD_OVERRIDE=FQ","FILING_STATUS=MR","Sort=A","Dates=H","DateFormat=P","Fill=—","Direction=H","UseDPDF=Y")</f>
        <v>10.0396</v>
      </c>
      <c r="U18" s="14">
        <f>_xll.BDH("NBIX US Equity","ASSET_GROWTH","FQ2 2023","FQ2 2023","Currency=USD","Period=FQ","BEST_FPERIOD_OVERRIDE=FQ","FILING_STATUS=MR","Sort=A","Dates=H","DateFormat=P","Fill=—","Direction=H","UseDPDF=Y")</f>
        <v>30.2837</v>
      </c>
      <c r="V18" s="14">
        <f>_xll.BDH("NBIX US Equity","ASSET_GROWTH","FQ3 2023","FQ3 2023","Currency=USD","Period=FQ","BEST_FPERIOD_OVERRIDE=FQ","FILING_STATUS=MR","Sort=A","Dates=H","DateFormat=P","Fill=—","Direction=H","UseDPDF=Y")</f>
        <v>32.882300000000001</v>
      </c>
      <c r="W18" s="14">
        <f>_xll.BDH("NBIX US Equity","ASSET_GROWTH","FQ4 2023","FQ4 2023","Currency=USD","Period=FQ","BEST_FPERIOD_OVERRIDE=FQ","FILING_STATUS=MR","Sort=A","Dates=H","DateFormat=P","Fill=—","Direction=H","UseDPDF=Y")</f>
        <v>37.2652</v>
      </c>
      <c r="X18" s="14">
        <f>_xll.BDH("NBIX US Equity","ASSET_GROWTH","FQ1 2024","FQ1 2024","Currency=USD","Period=FQ","BEST_FPERIOD_OVERRIDE=FQ","FILING_STATUS=MR","Sort=A","Dates=H","DateFormat=P","Fill=—","Direction=H","UseDPDF=Y")</f>
        <v>47.148099999999999</v>
      </c>
      <c r="Y18" s="14">
        <f>_xll.BDH("NBIX US Equity","ASSET_GROWTH","FQ2 2024","FQ2 2024","Currency=USD","Period=FQ","BEST_FPERIOD_OVERRIDE=FQ","FILING_STATUS=MR","Sort=A","Dates=H","DateFormat=P","Fill=—","Direction=H","UseDPDF=Y")</f>
        <v>26.478100000000001</v>
      </c>
      <c r="Z18" s="14">
        <f>_xll.BDH("NBIX US Equity","ASSET_GROWTH","FQ3 2024","FQ3 2024","Currency=USD","Period=FQ","BEST_FPERIOD_OVERRIDE=FQ","FILING_STATUS=MR","Sort=A","Dates=H","DateFormat=P","Fill=—","Direction=H","UseDPDF=Y")</f>
        <v>24.113499999999998</v>
      </c>
      <c r="AA18" s="14">
        <f>_xll.BDH("NBIX US Equity","ASSET_GROWTH","FQ4 2024","FQ4 2024","Currency=USD","Period=FQ","BEST_FPERIOD_OVERRIDE=FQ","FILING_STATUS=MR","Sort=A","Dates=H","DateFormat=P","Fill=—","Direction=H","UseDPDF=Y")</f>
        <v>14.372299999999999</v>
      </c>
    </row>
    <row r="19" spans="1:27" x14ac:dyDescent="0.25">
      <c r="A19" s="10" t="s">
        <v>1295</v>
      </c>
      <c r="B19" s="10" t="s">
        <v>1296</v>
      </c>
      <c r="C19" s="14">
        <f>_xll.BDH("NBIX US Equity","MODIFIED_WORK_CAP_GROWTH","FQ4 2018","FQ4 2018","Currency=USD","Period=FQ","BEST_FPERIOD_OVERRIDE=FQ","FILING_STATUS=MR","Sort=A","Dates=H","DateFormat=P","Fill=—","Direction=H","UseDPDF=Y")</f>
        <v>101.1206</v>
      </c>
      <c r="D19" s="14">
        <f>_xll.BDH("NBIX US Equity","MODIFIED_WORK_CAP_GROWTH","FQ1 2019","FQ1 2019","Currency=USD","Period=FQ","BEST_FPERIOD_OVERRIDE=FQ","FILING_STATUS=MR","Sort=A","Dates=H","DateFormat=P","Fill=—","Direction=H","UseDPDF=Y")</f>
        <v>90.422200000000004</v>
      </c>
      <c r="E19" s="14">
        <f>_xll.BDH("NBIX US Equity","MODIFIED_WORK_CAP_GROWTH","FQ2 2019","FQ2 2019","Currency=USD","Period=FQ","BEST_FPERIOD_OVERRIDE=FQ","FILING_STATUS=MR","Sort=A","Dates=H","DateFormat=P","Fill=—","Direction=H","UseDPDF=Y")</f>
        <v>151.78210000000001</v>
      </c>
      <c r="F19" s="14">
        <f>_xll.BDH("NBIX US Equity","MODIFIED_WORK_CAP_GROWTH","FQ3 2019","FQ3 2019","Currency=USD","Period=FQ","BEST_FPERIOD_OVERRIDE=FQ","FILING_STATUS=MR","Sort=A","Dates=H","DateFormat=P","Fill=—","Direction=H","UseDPDF=Y")</f>
        <v>109.6657</v>
      </c>
      <c r="G19" s="14">
        <f>_xll.BDH("NBIX US Equity","MODIFIED_WORK_CAP_GROWTH","FQ4 2019","FQ4 2019","Currency=USD","Period=FQ","BEST_FPERIOD_OVERRIDE=FQ","FILING_STATUS=MR","Sort=A","Dates=H","DateFormat=P","Fill=—","Direction=H","UseDPDF=Y")</f>
        <v>112.55840000000001</v>
      </c>
      <c r="H19" s="14">
        <f>_xll.BDH("NBIX US Equity","MODIFIED_WORK_CAP_GROWTH","FQ1 2020","FQ1 2020","Currency=USD","Period=FQ","BEST_FPERIOD_OVERRIDE=FQ","FILING_STATUS=MR","Sort=A","Dates=H","DateFormat=P","Fill=—","Direction=H","UseDPDF=Y")</f>
        <v>99.825800000000001</v>
      </c>
      <c r="I19" s="14">
        <f>_xll.BDH("NBIX US Equity","MODIFIED_WORK_CAP_GROWTH","FQ2 2020","FQ2 2020","Currency=USD","Period=FQ","BEST_FPERIOD_OVERRIDE=FQ","FILING_STATUS=MR","Sort=A","Dates=H","DateFormat=P","Fill=—","Direction=H","UseDPDF=Y")</f>
        <v>58.696199999999997</v>
      </c>
      <c r="J19" s="14">
        <f>_xll.BDH("NBIX US Equity","MODIFIED_WORK_CAP_GROWTH","FQ3 2020","FQ3 2020","Currency=USD","Period=FQ","BEST_FPERIOD_OVERRIDE=FQ","FILING_STATUS=MR","Sort=A","Dates=H","DateFormat=P","Fill=—","Direction=H","UseDPDF=Y")</f>
        <v>40.743400000000001</v>
      </c>
      <c r="K19" s="14">
        <f>_xll.BDH("NBIX US Equity","MODIFIED_WORK_CAP_GROWTH","FQ4 2020","FQ4 2020","Currency=USD","Period=FQ","BEST_FPERIOD_OVERRIDE=FQ","FILING_STATUS=MR","Sort=A","Dates=H","DateFormat=P","Fill=—","Direction=H","UseDPDF=Y")</f>
        <v>32.833199999999998</v>
      </c>
      <c r="L19" s="14">
        <f>_xll.BDH("NBIX US Equity","MODIFIED_WORK_CAP_GROWTH","FQ1 2021","FQ1 2021","Currency=USD","Period=FQ","BEST_FPERIOD_OVERRIDE=FQ","FILING_STATUS=MR","Sort=A","Dates=H","DateFormat=P","Fill=—","Direction=H","UseDPDF=Y")</f>
        <v>4.7702999999999998</v>
      </c>
      <c r="M19" s="14">
        <f>_xll.BDH("NBIX US Equity","MODIFIED_WORK_CAP_GROWTH","FQ2 2021","FQ2 2021","Currency=USD","Period=FQ","BEST_FPERIOD_OVERRIDE=FQ","FILING_STATUS=MR","Sort=A","Dates=H","DateFormat=P","Fill=—","Direction=H","UseDPDF=Y")</f>
        <v>9.6243999999999996</v>
      </c>
      <c r="N19" s="14">
        <f>_xll.BDH("NBIX US Equity","MODIFIED_WORK_CAP_GROWTH","FQ3 2021","FQ3 2021","Currency=USD","Period=FQ","BEST_FPERIOD_OVERRIDE=FQ","FILING_STATUS=MR","Sort=A","Dates=H","DateFormat=P","Fill=—","Direction=H","UseDPDF=Y")</f>
        <v>6.6478999999999999</v>
      </c>
      <c r="O19" s="14">
        <f>_xll.BDH("NBIX US Equity","MODIFIED_WORK_CAP_GROWTH","FQ4 2021","FQ4 2021","Currency=USD","Period=FQ","BEST_FPERIOD_OVERRIDE=FQ","FILING_STATUS=MR","Sort=A","Dates=H","DateFormat=P","Fill=—","Direction=H","UseDPDF=Y")</f>
        <v>1.8605</v>
      </c>
      <c r="P19" s="14">
        <f>_xll.BDH("NBIX US Equity","MODIFIED_WORK_CAP_GROWTH","FQ1 2022","FQ1 2022","Currency=USD","Period=FQ","BEST_FPERIOD_OVERRIDE=FQ","FILING_STATUS=MR","Sort=A","Dates=H","DateFormat=P","Fill=—","Direction=H","UseDPDF=Y")</f>
        <v>64.418199999999999</v>
      </c>
      <c r="Q19" s="14">
        <f>_xll.BDH("NBIX US Equity","MODIFIED_WORK_CAP_GROWTH","FQ2 2022","FQ2 2022","Currency=USD","Period=FQ","BEST_FPERIOD_OVERRIDE=FQ","FILING_STATUS=MR","Sort=A","Dates=H","DateFormat=P","Fill=—","Direction=H","UseDPDF=Y")</f>
        <v>65.0428</v>
      </c>
      <c r="R19" s="14">
        <f>_xll.BDH("NBIX US Equity","MODIFIED_WORK_CAP_GROWTH","FQ3 2022","FQ3 2022","Currency=USD","Period=FQ","BEST_FPERIOD_OVERRIDE=FQ","FILING_STATUS=MR","Sort=A","Dates=H","DateFormat=P","Fill=—","Direction=H","UseDPDF=Y")</f>
        <v>78.658199999999994</v>
      </c>
      <c r="S19" s="14">
        <f>_xll.BDH("NBIX US Equity","MODIFIED_WORK_CAP_GROWTH","FQ4 2022","FQ4 2022","Currency=USD","Period=FQ","BEST_FPERIOD_OVERRIDE=FQ","FILING_STATUS=MR","Sort=A","Dates=H","DateFormat=P","Fill=—","Direction=H","UseDPDF=Y")</f>
        <v>65.166300000000007</v>
      </c>
      <c r="T19" s="14">
        <f>_xll.BDH("NBIX US Equity","MODIFIED_WORK_CAP_GROWTH","FQ1 2023","FQ1 2023","Currency=USD","Period=FQ","BEST_FPERIOD_OVERRIDE=FQ","FILING_STATUS=MR","Sort=A","Dates=H","DateFormat=P","Fill=—","Direction=H","UseDPDF=Y")</f>
        <v>45.299100000000003</v>
      </c>
      <c r="U19" s="14">
        <f>_xll.BDH("NBIX US Equity","MODIFIED_WORK_CAP_GROWTH","FQ2 2023","FQ2 2023","Currency=USD","Period=FQ","BEST_FPERIOD_OVERRIDE=FQ","FILING_STATUS=MR","Sort=A","Dates=H","DateFormat=P","Fill=—","Direction=H","UseDPDF=Y")</f>
        <v>36.003900000000002</v>
      </c>
      <c r="V19" s="14">
        <f>_xll.BDH("NBIX US Equity","MODIFIED_WORK_CAP_GROWTH","FQ3 2023","FQ3 2023","Currency=USD","Period=FQ","BEST_FPERIOD_OVERRIDE=FQ","FILING_STATUS=MR","Sort=A","Dates=H","DateFormat=P","Fill=—","Direction=H","UseDPDF=Y")</f>
        <v>32.052</v>
      </c>
      <c r="W19" s="14">
        <f>_xll.BDH("NBIX US Equity","MODIFIED_WORK_CAP_GROWTH","FQ4 2023","FQ4 2023","Currency=USD","Period=FQ","BEST_FPERIOD_OVERRIDE=FQ","FILING_STATUS=MR","Sort=A","Dates=H","DateFormat=P","Fill=—","Direction=H","UseDPDF=Y")</f>
        <v>33.6098</v>
      </c>
      <c r="X19" s="14">
        <f>_xll.BDH("NBIX US Equity","MODIFIED_WORK_CAP_GROWTH","FQ1 2024","FQ1 2024","Currency=USD","Period=FQ","BEST_FPERIOD_OVERRIDE=FQ","FILING_STATUS=MR","Sort=A","Dates=H","DateFormat=P","Fill=—","Direction=H","UseDPDF=Y")</f>
        <v>14.8</v>
      </c>
      <c r="Y19" s="14">
        <f>_xll.BDH("NBIX US Equity","MODIFIED_WORK_CAP_GROWTH","FQ2 2024","FQ2 2024","Currency=USD","Period=FQ","BEST_FPERIOD_OVERRIDE=FQ","FILING_STATUS=MR","Sort=A","Dates=H","DateFormat=P","Fill=—","Direction=H","UseDPDF=Y")</f>
        <v>21.798200000000001</v>
      </c>
      <c r="Z19" s="14">
        <f>_xll.BDH("NBIX US Equity","MODIFIED_WORK_CAP_GROWTH","FQ3 2024","FQ3 2024","Currency=USD","Period=FQ","BEST_FPERIOD_OVERRIDE=FQ","FILING_STATUS=MR","Sort=A","Dates=H","DateFormat=P","Fill=—","Direction=H","UseDPDF=Y")</f>
        <v>17.9803</v>
      </c>
      <c r="AA19" s="14">
        <f>_xll.BDH("NBIX US Equity","MODIFIED_WORK_CAP_GROWTH","FQ4 2024","FQ4 2024","Currency=USD","Period=FQ","BEST_FPERIOD_OVERRIDE=FQ","FILING_STATUS=MR","Sort=A","Dates=H","DateFormat=P","Fill=—","Direction=H","UseDPDF=Y")</f>
        <v>15.962199999999999</v>
      </c>
    </row>
    <row r="20" spans="1:27" x14ac:dyDescent="0.25">
      <c r="A20" s="10" t="s">
        <v>1297</v>
      </c>
      <c r="B20" s="10" t="s">
        <v>1298</v>
      </c>
      <c r="C20" s="14">
        <f>_xll.BDH("NBIX US Equity","WORK_CAP_GROWTH","FQ4 2018","FQ4 2018","Currency=USD","Period=FQ","BEST_FPERIOD_OVERRIDE=FQ","FILING_STATUS=MR","Sort=A","Dates=H","DateFormat=P","Fill=—","Direction=H","UseDPDF=Y")</f>
        <v>29.780799999999999</v>
      </c>
      <c r="D20" s="14">
        <f>_xll.BDH("NBIX US Equity","WORK_CAP_GROWTH","FQ1 2019","FQ1 2019","Currency=USD","Period=FQ","BEST_FPERIOD_OVERRIDE=FQ","FILING_STATUS=MR","Sort=A","Dates=H","DateFormat=P","Fill=—","Direction=H","UseDPDF=Y")</f>
        <v>20.104700000000001</v>
      </c>
      <c r="E20" s="14">
        <f>_xll.BDH("NBIX US Equity","WORK_CAP_GROWTH","FQ2 2019","FQ2 2019","Currency=USD","Period=FQ","BEST_FPERIOD_OVERRIDE=FQ","FILING_STATUS=MR","Sort=A","Dates=H","DateFormat=P","Fill=—","Direction=H","UseDPDF=Y")</f>
        <v>28.128</v>
      </c>
      <c r="F20" s="14">
        <f>_xll.BDH("NBIX US Equity","WORK_CAP_GROWTH","FQ3 2019","FQ3 2019","Currency=USD","Period=FQ","BEST_FPERIOD_OVERRIDE=FQ","FILING_STATUS=MR","Sort=A","Dates=H","DateFormat=P","Fill=—","Direction=H","UseDPDF=Y")</f>
        <v>172.71180000000001</v>
      </c>
      <c r="G20" s="14">
        <f>_xll.BDH("NBIX US Equity","WORK_CAP_GROWTH","FQ4 2019","FQ4 2019","Currency=USD","Period=FQ","BEST_FPERIOD_OVERRIDE=FQ","FILING_STATUS=MR","Sort=A","Dates=H","DateFormat=P","Fill=—","Direction=H","UseDPDF=Y")</f>
        <v>-59.0944</v>
      </c>
      <c r="H20" s="14">
        <f>_xll.BDH("NBIX US Equity","WORK_CAP_GROWTH","FQ1 2020","FQ1 2020","Currency=USD","Period=FQ","BEST_FPERIOD_OVERRIDE=FQ","FILING_STATUS=MR","Sort=A","Dates=H","DateFormat=P","Fill=—","Direction=H","UseDPDF=Y")</f>
        <v>47.5261</v>
      </c>
      <c r="I20" s="14">
        <f>_xll.BDH("NBIX US Equity","WORK_CAP_GROWTH","FQ2 2020","FQ2 2020","Currency=USD","Period=FQ","BEST_FPERIOD_OVERRIDE=FQ","FILING_STATUS=MR","Sort=A","Dates=H","DateFormat=P","Fill=—","Direction=H","UseDPDF=Y")</f>
        <v>-11.5731</v>
      </c>
      <c r="J20" s="14">
        <f>_xll.BDH("NBIX US Equity","WORK_CAP_GROWTH","FQ3 2020","FQ3 2020","Currency=USD","Period=FQ","BEST_FPERIOD_OVERRIDE=FQ","FILING_STATUS=MR","Sort=A","Dates=H","DateFormat=P","Fill=—","Direction=H","UseDPDF=Y")</f>
        <v>-22.411100000000001</v>
      </c>
      <c r="K20" s="14">
        <f>_xll.BDH("NBIX US Equity","WORK_CAP_GROWTH","FQ4 2020","FQ4 2020","Currency=USD","Period=FQ","BEST_FPERIOD_OVERRIDE=FQ","FILING_STATUS=MR","Sort=A","Dates=H","DateFormat=P","Fill=—","Direction=H","UseDPDF=Y")</f>
        <v>212.26949999999999</v>
      </c>
      <c r="L20" s="14">
        <f>_xll.BDH("NBIX US Equity","WORK_CAP_GROWTH","FQ1 2021","FQ1 2021","Currency=USD","Period=FQ","BEST_FPERIOD_OVERRIDE=FQ","FILING_STATUS=MR","Sort=A","Dates=H","DateFormat=P","Fill=—","Direction=H","UseDPDF=Y")</f>
        <v>8.1532</v>
      </c>
      <c r="M20" s="14">
        <f>_xll.BDH("NBIX US Equity","WORK_CAP_GROWTH","FQ2 2021","FQ2 2021","Currency=USD","Period=FQ","BEST_FPERIOD_OVERRIDE=FQ","FILING_STATUS=MR","Sort=A","Dates=H","DateFormat=P","Fill=—","Direction=H","UseDPDF=Y")</f>
        <v>56.524799999999999</v>
      </c>
      <c r="N20" s="14">
        <f>_xll.BDH("NBIX US Equity","WORK_CAP_GROWTH","FQ3 2021","FQ3 2021","Currency=USD","Period=FQ","BEST_FPERIOD_OVERRIDE=FQ","FILING_STATUS=MR","Sort=A","Dates=H","DateFormat=P","Fill=—","Direction=H","UseDPDF=Y")</f>
        <v>42.846699999999998</v>
      </c>
      <c r="O20" s="14">
        <f>_xll.BDH("NBIX US Equity","WORK_CAP_GROWTH","FQ4 2021","FQ4 2021","Currency=USD","Period=FQ","BEST_FPERIOD_OVERRIDE=FQ","FILING_STATUS=MR","Sort=A","Dates=H","DateFormat=P","Fill=—","Direction=H","UseDPDF=Y")</f>
        <v>-12.378</v>
      </c>
      <c r="P20" s="14">
        <f>_xll.BDH("NBIX US Equity","WORK_CAP_GROWTH","FQ1 2022","FQ1 2022","Currency=USD","Period=FQ","BEST_FPERIOD_OVERRIDE=FQ","FILING_STATUS=MR","Sort=A","Dates=H","DateFormat=P","Fill=—","Direction=H","UseDPDF=Y")</f>
        <v>-14.5968</v>
      </c>
      <c r="Q20" s="14">
        <f>_xll.BDH("NBIX US Equity","WORK_CAP_GROWTH","FQ2 2022","FQ2 2022","Currency=USD","Period=FQ","BEST_FPERIOD_OVERRIDE=FQ","FILING_STATUS=MR","Sort=A","Dates=H","DateFormat=P","Fill=—","Direction=H","UseDPDF=Y")</f>
        <v>-18.234500000000001</v>
      </c>
      <c r="R20" s="14">
        <f>_xll.BDH("NBIX US Equity","WORK_CAP_GROWTH","FQ3 2022","FQ3 2022","Currency=USD","Period=FQ","BEST_FPERIOD_OVERRIDE=FQ","FILING_STATUS=MR","Sort=A","Dates=H","DateFormat=P","Fill=—","Direction=H","UseDPDF=Y")</f>
        <v>-7.6173000000000002</v>
      </c>
      <c r="S20" s="14">
        <f>_xll.BDH("NBIX US Equity","WORK_CAP_GROWTH","FQ4 2022","FQ4 2022","Currency=USD","Period=FQ","BEST_FPERIOD_OVERRIDE=FQ","FILING_STATUS=MR","Sort=A","Dates=H","DateFormat=P","Fill=—","Direction=H","UseDPDF=Y")</f>
        <v>25.9697</v>
      </c>
      <c r="T20" s="14">
        <f>_xll.BDH("NBIX US Equity","WORK_CAP_GROWTH","FQ1 2023","FQ1 2023","Currency=USD","Period=FQ","BEST_FPERIOD_OVERRIDE=FQ","FILING_STATUS=MR","Sort=A","Dates=H","DateFormat=P","Fill=—","Direction=H","UseDPDF=Y")</f>
        <v>38.446399999999997</v>
      </c>
      <c r="U20" s="14">
        <f>_xll.BDH("NBIX US Equity","WORK_CAP_GROWTH","FQ2 2023","FQ2 2023","Currency=USD","Period=FQ","BEST_FPERIOD_OVERRIDE=FQ","FILING_STATUS=MR","Sort=A","Dates=H","DateFormat=P","Fill=—","Direction=H","UseDPDF=Y")</f>
        <v>24.604700000000001</v>
      </c>
      <c r="V20" s="14">
        <f>_xll.BDH("NBIX US Equity","WORK_CAP_GROWTH","FQ3 2023","FQ3 2023","Currency=USD","Period=FQ","BEST_FPERIOD_OVERRIDE=FQ","FILING_STATUS=MR","Sort=A","Dates=H","DateFormat=P","Fill=—","Direction=H","UseDPDF=Y")</f>
        <v>33.023299999999999</v>
      </c>
      <c r="W20" s="14">
        <f>_xll.BDH("NBIX US Equity","WORK_CAP_GROWTH","FQ4 2023","FQ4 2023","Currency=USD","Period=FQ","BEST_FPERIOD_OVERRIDE=FQ","FILING_STATUS=MR","Sort=A","Dates=H","DateFormat=P","Fill=—","Direction=H","UseDPDF=Y")</f>
        <v>3.9746999999999999</v>
      </c>
      <c r="X20" s="14">
        <f>_xll.BDH("NBIX US Equity","WORK_CAP_GROWTH","FQ1 2024","FQ1 2024","Currency=USD","Period=FQ","BEST_FPERIOD_OVERRIDE=FQ","FILING_STATUS=MR","Sort=A","Dates=H","DateFormat=P","Fill=—","Direction=H","UseDPDF=Y")</f>
        <v>2.5880999999999998</v>
      </c>
      <c r="Y20" s="14">
        <f>_xll.BDH("NBIX US Equity","WORK_CAP_GROWTH","FQ2 2024","FQ2 2024","Currency=USD","Period=FQ","BEST_FPERIOD_OVERRIDE=FQ","FILING_STATUS=MR","Sort=A","Dates=H","DateFormat=P","Fill=—","Direction=H","UseDPDF=Y")</f>
        <v>39.076700000000002</v>
      </c>
      <c r="Z20" s="14">
        <f>_xll.BDH("NBIX US Equity","WORK_CAP_GROWTH","FQ3 2024","FQ3 2024","Currency=USD","Period=FQ","BEST_FPERIOD_OVERRIDE=FQ","FILING_STATUS=MR","Sort=A","Dates=H","DateFormat=P","Fill=—","Direction=H","UseDPDF=Y")</f>
        <v>50.9861</v>
      </c>
      <c r="AA20" s="14">
        <f>_xll.BDH("NBIX US Equity","WORK_CAP_GROWTH","FQ4 2024","FQ4 2024","Currency=USD","Period=FQ","BEST_FPERIOD_OVERRIDE=FQ","FILING_STATUS=MR","Sort=A","Dates=H","DateFormat=P","Fill=—","Direction=H","UseDPDF=Y")</f>
        <v>27.8093</v>
      </c>
    </row>
    <row r="21" spans="1:27" x14ac:dyDescent="0.25">
      <c r="A21" s="10" t="s">
        <v>1299</v>
      </c>
      <c r="B21" s="10" t="s">
        <v>1300</v>
      </c>
      <c r="C21" s="14">
        <f>_xll.BDH("NBIX US Equity","EMPL_GROWTH","FQ4 2018","FQ4 2018","Currency=USD","Period=FQ","BEST_FPERIOD_OVERRIDE=FQ","FILING_STATUS=MR","Sort=A","Dates=H","DateFormat=P","Fill=—","Direction=H","UseDPDF=Y")</f>
        <v>46.25</v>
      </c>
      <c r="D21" s="14" t="str">
        <f>_xll.BDH("NBIX US Equity","EMPL_GROWTH","FQ1 2019","FQ1 2019","Currency=USD","Period=FQ","BEST_FPERIOD_OVERRIDE=FQ","FILING_STATUS=MR","Sort=A","Dates=H","DateFormat=P","Fill=—","Direction=H","UseDPDF=Y")</f>
        <v>—</v>
      </c>
      <c r="E21" s="14" t="str">
        <f>_xll.BDH("NBIX US Equity","EMPL_GROWTH","FQ2 2019","FQ2 2019","Currency=USD","Period=FQ","BEST_FPERIOD_OVERRIDE=FQ","FILING_STATUS=MR","Sort=A","Dates=H","DateFormat=P","Fill=—","Direction=H","UseDPDF=Y")</f>
        <v>—</v>
      </c>
      <c r="F21" s="14" t="str">
        <f>_xll.BDH("NBIX US Equity","EMPL_GROWTH","FQ3 2019","FQ3 2019","Currency=USD","Period=FQ","BEST_FPERIOD_OVERRIDE=FQ","FILING_STATUS=MR","Sort=A","Dates=H","DateFormat=P","Fill=—","Direction=H","UseDPDF=Y")</f>
        <v>—</v>
      </c>
      <c r="G21" s="14">
        <f>_xll.BDH("NBIX US Equity","EMPL_GROWTH","FQ4 2019","FQ4 2019","Currency=USD","Period=FQ","BEST_FPERIOD_OVERRIDE=FQ","FILING_STATUS=MR","Sort=A","Dates=H","DateFormat=P","Fill=—","Direction=H","UseDPDF=Y")</f>
        <v>19.658100000000001</v>
      </c>
      <c r="H21" s="14" t="str">
        <f>_xll.BDH("NBIX US Equity","EMPL_GROWTH","FQ1 2020","FQ1 2020","Currency=USD","Period=FQ","BEST_FPERIOD_OVERRIDE=FQ","FILING_STATUS=MR","Sort=A","Dates=H","DateFormat=P","Fill=—","Direction=H","UseDPDF=Y")</f>
        <v>—</v>
      </c>
      <c r="I21" s="14" t="str">
        <f>_xll.BDH("NBIX US Equity","EMPL_GROWTH","FQ2 2020","FQ2 2020","Currency=USD","Period=FQ","BEST_FPERIOD_OVERRIDE=FQ","FILING_STATUS=MR","Sort=A","Dates=H","DateFormat=P","Fill=—","Direction=H","UseDPDF=Y")</f>
        <v>—</v>
      </c>
      <c r="J21" s="14" t="str">
        <f>_xll.BDH("NBIX US Equity","EMPL_GROWTH","FQ3 2020","FQ3 2020","Currency=USD","Period=FQ","BEST_FPERIOD_OVERRIDE=FQ","FILING_STATUS=MR","Sort=A","Dates=H","DateFormat=P","Fill=—","Direction=H","UseDPDF=Y")</f>
        <v>—</v>
      </c>
      <c r="K21" s="14">
        <f>_xll.BDH("NBIX US Equity","EMPL_GROWTH","FQ4 2020","FQ4 2020","Currency=USD","Period=FQ","BEST_FPERIOD_OVERRIDE=FQ","FILING_STATUS=MR","Sort=A","Dates=H","DateFormat=P","Fill=—","Direction=H","UseDPDF=Y")</f>
        <v>20.714300000000001</v>
      </c>
      <c r="L21" s="14" t="str">
        <f>_xll.BDH("NBIX US Equity","EMPL_GROWTH","FQ1 2021","FQ1 2021","Currency=USD","Period=FQ","BEST_FPERIOD_OVERRIDE=FQ","FILING_STATUS=MR","Sort=A","Dates=H","DateFormat=P","Fill=—","Direction=H","UseDPDF=Y")</f>
        <v>—</v>
      </c>
      <c r="M21" s="14" t="str">
        <f>_xll.BDH("NBIX US Equity","EMPL_GROWTH","FQ2 2021","FQ2 2021","Currency=USD","Period=FQ","BEST_FPERIOD_OVERRIDE=FQ","FILING_STATUS=MR","Sort=A","Dates=H","DateFormat=P","Fill=—","Direction=H","UseDPDF=Y")</f>
        <v>—</v>
      </c>
      <c r="N21" s="14" t="str">
        <f>_xll.BDH("NBIX US Equity","EMPL_GROWTH","FQ3 2021","FQ3 2021","Currency=USD","Period=FQ","BEST_FPERIOD_OVERRIDE=FQ","FILING_STATUS=MR","Sort=A","Dates=H","DateFormat=P","Fill=—","Direction=H","UseDPDF=Y")</f>
        <v>—</v>
      </c>
      <c r="O21" s="14">
        <f>_xll.BDH("NBIX US Equity","EMPL_GROWTH","FQ4 2021","FQ4 2021","Currency=USD","Period=FQ","BEST_FPERIOD_OVERRIDE=FQ","FILING_STATUS=MR","Sort=A","Dates=H","DateFormat=P","Fill=—","Direction=H","UseDPDF=Y")</f>
        <v>6.5088999999999997</v>
      </c>
      <c r="P21" s="14" t="str">
        <f>_xll.BDH("NBIX US Equity","EMPL_GROWTH","FQ1 2022","FQ1 2022","Currency=USD","Period=FQ","BEST_FPERIOD_OVERRIDE=FQ","FILING_STATUS=MR","Sort=A","Dates=H","DateFormat=P","Fill=—","Direction=H","UseDPDF=Y")</f>
        <v>—</v>
      </c>
      <c r="Q21" s="14" t="str">
        <f>_xll.BDH("NBIX US Equity","EMPL_GROWTH","FQ2 2022","FQ2 2022","Currency=USD","Period=FQ","BEST_FPERIOD_OVERRIDE=FQ","FILING_STATUS=MR","Sort=A","Dates=H","DateFormat=P","Fill=—","Direction=H","UseDPDF=Y")</f>
        <v>—</v>
      </c>
      <c r="R21" s="14" t="str">
        <f>_xll.BDH("NBIX US Equity","EMPL_GROWTH","FQ3 2022","FQ3 2022","Currency=USD","Period=FQ","BEST_FPERIOD_OVERRIDE=FQ","FILING_STATUS=MR","Sort=A","Dates=H","DateFormat=P","Fill=—","Direction=H","UseDPDF=Y")</f>
        <v>—</v>
      </c>
      <c r="S21" s="14">
        <f>_xll.BDH("NBIX US Equity","EMPL_GROWTH","FQ4 2022","FQ4 2022","Currency=USD","Period=FQ","BEST_FPERIOD_OVERRIDE=FQ","FILING_STATUS=MR","Sort=A","Dates=H","DateFormat=P","Fill=—","Direction=H","UseDPDF=Y")</f>
        <v>33.333300000000001</v>
      </c>
      <c r="T21" s="14" t="str">
        <f>_xll.BDH("NBIX US Equity","EMPL_GROWTH","FQ1 2023","FQ1 2023","Currency=USD","Period=FQ","BEST_FPERIOD_OVERRIDE=FQ","FILING_STATUS=MR","Sort=A","Dates=H","DateFormat=P","Fill=—","Direction=H","UseDPDF=Y")</f>
        <v>—</v>
      </c>
      <c r="U21" s="14" t="str">
        <f>_xll.BDH("NBIX US Equity","EMPL_GROWTH","FQ2 2023","FQ2 2023","Currency=USD","Period=FQ","BEST_FPERIOD_OVERRIDE=FQ","FILING_STATUS=MR","Sort=A","Dates=H","DateFormat=P","Fill=—","Direction=H","UseDPDF=Y")</f>
        <v>—</v>
      </c>
      <c r="V21" s="14" t="str">
        <f>_xll.BDH("NBIX US Equity","EMPL_GROWTH","FQ3 2023","FQ3 2023","Currency=USD","Period=FQ","BEST_FPERIOD_OVERRIDE=FQ","FILING_STATUS=MR","Sort=A","Dates=H","DateFormat=P","Fill=—","Direction=H","UseDPDF=Y")</f>
        <v>—</v>
      </c>
      <c r="W21" s="14">
        <f>_xll.BDH("NBIX US Equity","EMPL_GROWTH","FQ4 2023","FQ4 2023","Currency=USD","Period=FQ","BEST_FPERIOD_OVERRIDE=FQ","FILING_STATUS=MR","Sort=A","Dates=H","DateFormat=P","Fill=—","Direction=H","UseDPDF=Y")</f>
        <v>16.666699999999999</v>
      </c>
      <c r="X21" s="14" t="str">
        <f>_xll.BDH("NBIX US Equity","EMPL_GROWTH","FQ1 2024","FQ1 2024","Currency=USD","Period=FQ","BEST_FPERIOD_OVERRIDE=FQ","FILING_STATUS=MR","Sort=A","Dates=H","DateFormat=P","Fill=—","Direction=H","UseDPDF=Y")</f>
        <v>—</v>
      </c>
      <c r="Y21" s="14" t="str">
        <f>_xll.BDH("NBIX US Equity","EMPL_GROWTH","FQ2 2024","FQ2 2024","Currency=USD","Period=FQ","BEST_FPERIOD_OVERRIDE=FQ","FILING_STATUS=MR","Sort=A","Dates=H","DateFormat=P","Fill=—","Direction=H","UseDPDF=Y")</f>
        <v>—</v>
      </c>
      <c r="Z21" s="14" t="str">
        <f>_xll.BDH("NBIX US Equity","EMPL_GROWTH","FQ3 2024","FQ3 2024","Currency=USD","Period=FQ","BEST_FPERIOD_OVERRIDE=FQ","FILING_STATUS=MR","Sort=A","Dates=H","DateFormat=P","Fill=—","Direction=H","UseDPDF=Y")</f>
        <v>—</v>
      </c>
      <c r="AA21" s="14">
        <f>_xll.BDH("NBIX US Equity","EMPL_GROWTH","FQ4 2024","FQ4 2024","Currency=USD","Period=FQ","BEST_FPERIOD_OVERRIDE=FQ","FILING_STATUS=MR","Sort=A","Dates=H","DateFormat=P","Fill=—","Direction=H","UseDPDF=Y")</f>
        <v>28.571400000000001</v>
      </c>
    </row>
    <row r="22" spans="1:27" x14ac:dyDescent="0.25">
      <c r="A22" s="10" t="s">
        <v>1301</v>
      </c>
      <c r="B22" s="10" t="s">
        <v>1302</v>
      </c>
      <c r="C22" s="14">
        <f>_xll.BDH("NBIX US Equity","ACCOUNTS_PAYABLE_GROWTH_1YR","FQ4 2018","FQ4 2018","Currency=USD","Period=FQ","BEST_FPERIOD_OVERRIDE=FQ","FILING_STATUS=MR","Sort=A","Dates=H","DateFormat=P","Fill=—","Direction=H","UseDPDF=Y")</f>
        <v>144.352</v>
      </c>
      <c r="D22" s="14" t="str">
        <f>_xll.BDH("NBIX US Equity","ACCOUNTS_PAYABLE_GROWTH_1YR","FQ1 2019","FQ1 2019","Currency=USD","Period=FQ","BEST_FPERIOD_OVERRIDE=FQ","FILING_STATUS=MR","Sort=A","Dates=H","DateFormat=P","Fill=—","Direction=H","UseDPDF=Y")</f>
        <v>—</v>
      </c>
      <c r="E22" s="14" t="str">
        <f>_xll.BDH("NBIX US Equity","ACCOUNTS_PAYABLE_GROWTH_1YR","FQ2 2019","FQ2 2019","Currency=USD","Period=FQ","BEST_FPERIOD_OVERRIDE=FQ","FILING_STATUS=MR","Sort=A","Dates=H","DateFormat=P","Fill=—","Direction=H","UseDPDF=Y")</f>
        <v>—</v>
      </c>
      <c r="F22" s="14" t="str">
        <f>_xll.BDH("NBIX US Equity","ACCOUNTS_PAYABLE_GROWTH_1YR","FQ3 2019","FQ3 2019","Currency=USD","Period=FQ","BEST_FPERIOD_OVERRIDE=FQ","FILING_STATUS=MR","Sort=A","Dates=H","DateFormat=P","Fill=—","Direction=H","UseDPDF=Y")</f>
        <v>—</v>
      </c>
      <c r="G22" s="14">
        <f>_xll.BDH("NBIX US Equity","ACCOUNTS_PAYABLE_GROWTH_1YR","FQ4 2019","FQ4 2019","Currency=USD","Period=FQ","BEST_FPERIOD_OVERRIDE=FQ","FILING_STATUS=MR","Sort=A","Dates=H","DateFormat=P","Fill=—","Direction=H","UseDPDF=Y")</f>
        <v>121.7231</v>
      </c>
      <c r="H22" s="14" t="str">
        <f>_xll.BDH("NBIX US Equity","ACCOUNTS_PAYABLE_GROWTH_1YR","FQ1 2020","FQ1 2020","Currency=USD","Period=FQ","BEST_FPERIOD_OVERRIDE=FQ","FILING_STATUS=MR","Sort=A","Dates=H","DateFormat=P","Fill=—","Direction=H","UseDPDF=Y")</f>
        <v>—</v>
      </c>
      <c r="I22" s="14" t="str">
        <f>_xll.BDH("NBIX US Equity","ACCOUNTS_PAYABLE_GROWTH_1YR","FQ2 2020","FQ2 2020","Currency=USD","Period=FQ","BEST_FPERIOD_OVERRIDE=FQ","FILING_STATUS=MR","Sort=A","Dates=H","DateFormat=P","Fill=—","Direction=H","UseDPDF=Y")</f>
        <v>—</v>
      </c>
      <c r="J22" s="14" t="str">
        <f>_xll.BDH("NBIX US Equity","ACCOUNTS_PAYABLE_GROWTH_1YR","FQ3 2020","FQ3 2020","Currency=USD","Period=FQ","BEST_FPERIOD_OVERRIDE=FQ","FILING_STATUS=MR","Sort=A","Dates=H","DateFormat=P","Fill=—","Direction=H","UseDPDF=Y")</f>
        <v>—</v>
      </c>
      <c r="K22" s="14">
        <f>_xll.BDH("NBIX US Equity","ACCOUNTS_PAYABLE_GROWTH_1YR","FQ4 2020","FQ4 2020","Currency=USD","Period=FQ","BEST_FPERIOD_OVERRIDE=FQ","FILING_STATUS=MR","Sort=A","Dates=H","DateFormat=P","Fill=—","Direction=H","UseDPDF=Y")</f>
        <v>13.071899999999999</v>
      </c>
      <c r="L22" s="14" t="str">
        <f>_xll.BDH("NBIX US Equity","ACCOUNTS_PAYABLE_GROWTH_1YR","FQ1 2021","FQ1 2021","Currency=USD","Period=FQ","BEST_FPERIOD_OVERRIDE=FQ","FILING_STATUS=MR","Sort=A","Dates=H","DateFormat=P","Fill=—","Direction=H","UseDPDF=Y")</f>
        <v>—</v>
      </c>
      <c r="M22" s="14" t="str">
        <f>_xll.BDH("NBIX US Equity","ACCOUNTS_PAYABLE_GROWTH_1YR","FQ2 2021","FQ2 2021","Currency=USD","Period=FQ","BEST_FPERIOD_OVERRIDE=FQ","FILING_STATUS=MR","Sort=A","Dates=H","DateFormat=P","Fill=—","Direction=H","UseDPDF=Y")</f>
        <v>—</v>
      </c>
      <c r="N22" s="14" t="str">
        <f>_xll.BDH("NBIX US Equity","ACCOUNTS_PAYABLE_GROWTH_1YR","FQ3 2021","FQ3 2021","Currency=USD","Period=FQ","BEST_FPERIOD_OVERRIDE=FQ","FILING_STATUS=MR","Sort=A","Dates=H","DateFormat=P","Fill=—","Direction=H","UseDPDF=Y")</f>
        <v>—</v>
      </c>
      <c r="O22" s="14">
        <f>_xll.BDH("NBIX US Equity","ACCOUNTS_PAYABLE_GROWTH_1YR","FQ4 2021","FQ4 2021","Currency=USD","Period=FQ","BEST_FPERIOD_OVERRIDE=FQ","FILING_STATUS=MR","Sort=A","Dates=H","DateFormat=P","Fill=—","Direction=H","UseDPDF=Y")</f>
        <v>81.213899999999995</v>
      </c>
      <c r="P22" s="14" t="str">
        <f>_xll.BDH("NBIX US Equity","ACCOUNTS_PAYABLE_GROWTH_1YR","FQ1 2022","FQ1 2022","Currency=USD","Period=FQ","BEST_FPERIOD_OVERRIDE=FQ","FILING_STATUS=MR","Sort=A","Dates=H","DateFormat=P","Fill=—","Direction=H","UseDPDF=Y")</f>
        <v>—</v>
      </c>
      <c r="Q22" s="14" t="str">
        <f>_xll.BDH("NBIX US Equity","ACCOUNTS_PAYABLE_GROWTH_1YR","FQ2 2022","FQ2 2022","Currency=USD","Period=FQ","BEST_FPERIOD_OVERRIDE=FQ","FILING_STATUS=MR","Sort=A","Dates=H","DateFormat=P","Fill=—","Direction=H","UseDPDF=Y")</f>
        <v>—</v>
      </c>
      <c r="R22" s="14" t="str">
        <f>_xll.BDH("NBIX US Equity","ACCOUNTS_PAYABLE_GROWTH_1YR","FQ3 2022","FQ3 2022","Currency=USD","Period=FQ","BEST_FPERIOD_OVERRIDE=FQ","FILING_STATUS=MR","Sort=A","Dates=H","DateFormat=P","Fill=—","Direction=H","UseDPDF=Y")</f>
        <v>—</v>
      </c>
      <c r="S22" s="14">
        <f>_xll.BDH("NBIX US Equity","ACCOUNTS_PAYABLE_GROWTH_1YR","FQ4 2022","FQ4 2022","Currency=USD","Period=FQ","BEST_FPERIOD_OVERRIDE=FQ","FILING_STATUS=MR","Sort=A","Dates=H","DateFormat=P","Fill=—","Direction=H","UseDPDF=Y")</f>
        <v>110.3668</v>
      </c>
      <c r="T22" s="14" t="str">
        <f>_xll.BDH("NBIX US Equity","ACCOUNTS_PAYABLE_GROWTH_1YR","FQ1 2023","FQ1 2023","Currency=USD","Period=FQ","BEST_FPERIOD_OVERRIDE=FQ","FILING_STATUS=MR","Sort=A","Dates=H","DateFormat=P","Fill=—","Direction=H","UseDPDF=Y")</f>
        <v>—</v>
      </c>
      <c r="U22" s="14" t="str">
        <f>_xll.BDH("NBIX US Equity","ACCOUNTS_PAYABLE_GROWTH_1YR","FQ2 2023","FQ2 2023","Currency=USD","Period=FQ","BEST_FPERIOD_OVERRIDE=FQ","FILING_STATUS=MR","Sort=A","Dates=H","DateFormat=P","Fill=—","Direction=H","UseDPDF=Y")</f>
        <v>—</v>
      </c>
      <c r="V22" s="14" t="str">
        <f>_xll.BDH("NBIX US Equity","ACCOUNTS_PAYABLE_GROWTH_1YR","FQ3 2023","FQ3 2023","Currency=USD","Period=FQ","BEST_FPERIOD_OVERRIDE=FQ","FILING_STATUS=MR","Sort=A","Dates=H","DateFormat=P","Fill=—","Direction=H","UseDPDF=Y")</f>
        <v>—</v>
      </c>
      <c r="W22" s="14">
        <f>_xll.BDH("NBIX US Equity","ACCOUNTS_PAYABLE_GROWTH_1YR","FQ4 2023","FQ4 2023","Currency=USD","Period=FQ","BEST_FPERIOD_OVERRIDE=FQ","FILING_STATUS=MR","Sort=A","Dates=H","DateFormat=P","Fill=—","Direction=H","UseDPDF=Y")</f>
        <v>5.6102999999999996</v>
      </c>
      <c r="X22" s="14" t="str">
        <f>_xll.BDH("NBIX US Equity","ACCOUNTS_PAYABLE_GROWTH_1YR","FQ1 2024","FQ1 2024","Currency=USD","Period=FQ","BEST_FPERIOD_OVERRIDE=FQ","FILING_STATUS=MR","Sort=A","Dates=H","DateFormat=P","Fill=—","Direction=H","UseDPDF=Y")</f>
        <v>—</v>
      </c>
      <c r="Y22" s="14" t="str">
        <f>_xll.BDH("NBIX US Equity","ACCOUNTS_PAYABLE_GROWTH_1YR","FQ2 2024","FQ2 2024","Currency=USD","Period=FQ","BEST_FPERIOD_OVERRIDE=FQ","FILING_STATUS=MR","Sort=A","Dates=H","DateFormat=P","Fill=—","Direction=H","UseDPDF=Y")</f>
        <v>—</v>
      </c>
      <c r="Z22" s="14" t="str">
        <f>_xll.BDH("NBIX US Equity","ACCOUNTS_PAYABLE_GROWTH_1YR","FQ3 2024","FQ3 2024","Currency=USD","Period=FQ","BEST_FPERIOD_OVERRIDE=FQ","FILING_STATUS=MR","Sort=A","Dates=H","DateFormat=P","Fill=—","Direction=H","UseDPDF=Y")</f>
        <v>—</v>
      </c>
      <c r="AA22" s="14">
        <f>_xll.BDH("NBIX US Equity","ACCOUNTS_PAYABLE_GROWTH_1YR","FQ4 2024","FQ4 2024","Currency=USD","Period=FQ","BEST_FPERIOD_OVERRIDE=FQ","FILING_STATUS=MR","Sort=A","Dates=H","DateFormat=P","Fill=—","Direction=H","UseDPDF=Y")</f>
        <v>3.5175999999999998</v>
      </c>
    </row>
    <row r="23" spans="1:27" x14ac:dyDescent="0.25">
      <c r="A23" s="10" t="s">
        <v>1303</v>
      </c>
      <c r="B23" s="10" t="s">
        <v>1304</v>
      </c>
      <c r="C23" s="14" t="str">
        <f>_xll.BDH("NBIX US Equity","SHORT_TERM_DEBT_1_YEAR_GROWTH","FQ4 2018","FQ4 2018","Currency=USD","Period=FQ","BEST_FPERIOD_OVERRIDE=FQ","FILING_STATUS=MR","Sort=A","Dates=H","DateFormat=P","Fill=—","Direction=H","UseDPDF=Y")</f>
        <v>—</v>
      </c>
      <c r="D23" s="14" t="str">
        <f>_xll.BDH("NBIX US Equity","SHORT_TERM_DEBT_1_YEAR_GROWTH","FQ1 2019","FQ1 2019","Currency=USD","Period=FQ","BEST_FPERIOD_OVERRIDE=FQ","FILING_STATUS=MR","Sort=A","Dates=H","DateFormat=P","Fill=—","Direction=H","UseDPDF=Y")</f>
        <v>—</v>
      </c>
      <c r="E23" s="14" t="str">
        <f>_xll.BDH("NBIX US Equity","SHORT_TERM_DEBT_1_YEAR_GROWTH","FQ2 2019","FQ2 2019","Currency=USD","Period=FQ","BEST_FPERIOD_OVERRIDE=FQ","FILING_STATUS=MR","Sort=A","Dates=H","DateFormat=P","Fill=—","Direction=H","UseDPDF=Y")</f>
        <v>—</v>
      </c>
      <c r="F23" s="14">
        <f>_xll.BDH("NBIX US Equity","SHORT_TERM_DEBT_1_YEAR_GROWTH","FQ3 2019","FQ3 2019","Currency=USD","Period=FQ","BEST_FPERIOD_OVERRIDE=FQ","FILING_STATUS=MR","Sort=A","Dates=H","DateFormat=P","Fill=—","Direction=H","UseDPDF=Y")</f>
        <v>-97.8733</v>
      </c>
      <c r="G23" s="14" t="str">
        <f>_xll.BDH("NBIX US Equity","SHORT_TERM_DEBT_1_YEAR_GROWTH","FQ4 2019","FQ4 2019","Currency=USD","Period=FQ","BEST_FPERIOD_OVERRIDE=FQ","FILING_STATUS=MR","Sort=A","Dates=H","DateFormat=P","Fill=—","Direction=H","UseDPDF=Y")</f>
        <v>—</v>
      </c>
      <c r="H23" s="14">
        <f>_xll.BDH("NBIX US Equity","SHORT_TERM_DEBT_1_YEAR_GROWTH","FQ1 2020","FQ1 2020","Currency=USD","Period=FQ","BEST_FPERIOD_OVERRIDE=FQ","FILING_STATUS=MR","Sort=A","Dates=H","DateFormat=P","Fill=—","Direction=H","UseDPDF=Y")</f>
        <v>169.3603</v>
      </c>
      <c r="I23" s="14">
        <f>_xll.BDH("NBIX US Equity","SHORT_TERM_DEBT_1_YEAR_GROWTH","FQ2 2020","FQ2 2020","Currency=USD","Period=FQ","BEST_FPERIOD_OVERRIDE=FQ","FILING_STATUS=MR","Sort=A","Dates=H","DateFormat=P","Fill=—","Direction=H","UseDPDF=Y")</f>
        <v>11335.049300000001</v>
      </c>
      <c r="J23" s="14">
        <f>_xll.BDH("NBIX US Equity","SHORT_TERM_DEBT_1_YEAR_GROWTH","FQ3 2020","FQ3 2020","Currency=USD","Period=FQ","BEST_FPERIOD_OVERRIDE=FQ","FILING_STATUS=MR","Sort=A","Dates=H","DateFormat=P","Fill=—","Direction=H","UseDPDF=Y")</f>
        <v>5227.8588</v>
      </c>
      <c r="K23" s="14">
        <f>_xll.BDH("NBIX US Equity","SHORT_TERM_DEBT_1_YEAR_GROWTH","FQ4 2020","FQ4 2020","Currency=USD","Period=FQ","BEST_FPERIOD_OVERRIDE=FQ","FILING_STATUS=MR","Sort=A","Dates=H","DateFormat=P","Fill=—","Direction=H","UseDPDF=Y")</f>
        <v>-97.530500000000004</v>
      </c>
      <c r="L23" s="14">
        <f>_xll.BDH("NBIX US Equity","SHORT_TERM_DEBT_1_YEAR_GROWTH","FQ1 2021","FQ1 2021","Currency=USD","Period=FQ","BEST_FPERIOD_OVERRIDE=FQ","FILING_STATUS=MR","Sort=A","Dates=H","DateFormat=P","Fill=—","Direction=H","UseDPDF=Y")</f>
        <v>38.636400000000002</v>
      </c>
      <c r="M23" s="14">
        <f>_xll.BDH("NBIX US Equity","SHORT_TERM_DEBT_1_YEAR_GROWTH","FQ2 2021","FQ2 2021","Currency=USD","Period=FQ","BEST_FPERIOD_OVERRIDE=FQ","FILING_STATUS=MR","Sort=A","Dates=H","DateFormat=P","Fill=—","Direction=H","UseDPDF=Y")</f>
        <v>-96.501000000000005</v>
      </c>
      <c r="N23" s="14">
        <f>_xll.BDH("NBIX US Equity","SHORT_TERM_DEBT_1_YEAR_GROWTH","FQ3 2021","FQ3 2021","Currency=USD","Period=FQ","BEST_FPERIOD_OVERRIDE=FQ","FILING_STATUS=MR","Sort=A","Dates=H","DateFormat=P","Fill=—","Direction=H","UseDPDF=Y")</f>
        <v>-96.434299999999993</v>
      </c>
      <c r="O23" s="14">
        <f>_xll.BDH("NBIX US Equity","SHORT_TERM_DEBT_1_YEAR_GROWTH","FQ4 2021","FQ4 2021","Currency=USD","Period=FQ","BEST_FPERIOD_OVERRIDE=FQ","FILING_STATUS=MR","Sort=A","Dates=H","DateFormat=P","Fill=—","Direction=H","UseDPDF=Y")</f>
        <v>60.194200000000002</v>
      </c>
      <c r="P23" s="14">
        <f>_xll.BDH("NBIX US Equity","SHORT_TERM_DEBT_1_YEAR_GROWTH","FQ1 2022","FQ1 2022","Currency=USD","Period=FQ","BEST_FPERIOD_OVERRIDE=FQ","FILING_STATUS=MR","Sort=A","Dates=H","DateFormat=P","Fill=—","Direction=H","UseDPDF=Y")</f>
        <v>38.5246</v>
      </c>
      <c r="Q23" s="14">
        <f>_xll.BDH("NBIX US Equity","SHORT_TERM_DEBT_1_YEAR_GROWTH","FQ2 2022","FQ2 2022","Currency=USD","Period=FQ","BEST_FPERIOD_OVERRIDE=FQ","FILING_STATUS=MR","Sort=A","Dates=H","DateFormat=P","Fill=—","Direction=H","UseDPDF=Y")</f>
        <v>14</v>
      </c>
      <c r="R23" s="14">
        <f>_xll.BDH("NBIX US Equity","SHORT_TERM_DEBT_1_YEAR_GROWTH","FQ3 2022","FQ3 2022","Currency=USD","Period=FQ","BEST_FPERIOD_OVERRIDE=FQ","FILING_STATUS=MR","Sort=A","Dates=H","DateFormat=P","Fill=—","Direction=H","UseDPDF=Y")</f>
        <v>1103.2257999999999</v>
      </c>
      <c r="S23" s="14">
        <f>_xll.BDH("NBIX US Equity","SHORT_TERM_DEBT_1_YEAR_GROWTH","FQ4 2022","FQ4 2022","Currency=USD","Period=FQ","BEST_FPERIOD_OVERRIDE=FQ","FILING_STATUS=MR","Sort=A","Dates=H","DateFormat=P","Fill=—","Direction=H","UseDPDF=Y")</f>
        <v>926.66669999999999</v>
      </c>
      <c r="T23" s="14" t="str">
        <f>_xll.BDH("NBIX US Equity","SHORT_TERM_DEBT_1_YEAR_GROWTH","FQ1 2023","FQ1 2023","Currency=USD","Period=FQ","BEST_FPERIOD_OVERRIDE=FQ","FILING_STATUS=MR","Sort=A","Dates=H","DateFormat=P","Fill=—","Direction=H","UseDPDF=Y")</f>
        <v>—</v>
      </c>
      <c r="U23" s="14">
        <f>_xll.BDH("NBIX US Equity","SHORT_TERM_DEBT_1_YEAR_GROWTH","FQ2 2023","FQ2 2023","Currency=USD","Period=FQ","BEST_FPERIOD_OVERRIDE=FQ","FILING_STATUS=MR","Sort=A","Dates=H","DateFormat=P","Fill=—","Direction=H","UseDPDF=Y")</f>
        <v>995.90639999999996</v>
      </c>
      <c r="V23" s="14">
        <f>_xll.BDH("NBIX US Equity","SHORT_TERM_DEBT_1_YEAR_GROWTH","FQ3 2023","FQ3 2023","Currency=USD","Period=FQ","BEST_FPERIOD_OVERRIDE=FQ","FILING_STATUS=MR","Sort=A","Dates=H","DateFormat=P","Fill=—","Direction=H","UseDPDF=Y")</f>
        <v>0.64339999999999997</v>
      </c>
      <c r="W23" s="14">
        <f>_xll.BDH("NBIX US Equity","SHORT_TERM_DEBT_1_YEAR_GROWTH","FQ4 2023","FQ4 2023","Currency=USD","Period=FQ","BEST_FPERIOD_OVERRIDE=FQ","FILING_STATUS=MR","Sort=A","Dates=H","DateFormat=P","Fill=—","Direction=H","UseDPDF=Y")</f>
        <v>19.3034</v>
      </c>
      <c r="X23" s="14" t="str">
        <f>_xll.BDH("NBIX US Equity","SHORT_TERM_DEBT_1_YEAR_GROWTH","FQ1 2024","FQ1 2024","Currency=USD","Period=FQ","BEST_FPERIOD_OVERRIDE=FQ","FILING_STATUS=MR","Sort=A","Dates=H","DateFormat=P","Fill=—","Direction=H","UseDPDF=Y")</f>
        <v>—</v>
      </c>
      <c r="Y23" s="14">
        <f>_xll.BDH("NBIX US Equity","SHORT_TERM_DEBT_1_YEAR_GROWTH","FQ2 2024","FQ2 2024","Currency=USD","Period=FQ","BEST_FPERIOD_OVERRIDE=FQ","FILING_STATUS=MR","Sort=A","Dates=H","DateFormat=P","Fill=—","Direction=H","UseDPDF=Y")</f>
        <v>-81.109899999999996</v>
      </c>
      <c r="Z23" s="14">
        <f>_xll.BDH("NBIX US Equity","SHORT_TERM_DEBT_1_YEAR_GROWTH","FQ3 2024","FQ3 2024","Currency=USD","Period=FQ","BEST_FPERIOD_OVERRIDE=FQ","FILING_STATUS=MR","Sort=A","Dates=H","DateFormat=P","Fill=—","Direction=H","UseDPDF=Y")</f>
        <v>-81.459800000000001</v>
      </c>
      <c r="AA23" s="14">
        <f>_xll.BDH("NBIX US Equity","SHORT_TERM_DEBT_1_YEAR_GROWTH","FQ4 2024","FQ4 2024","Currency=USD","Period=FQ","BEST_FPERIOD_OVERRIDE=FQ","FILING_STATUS=MR","Sort=A","Dates=H","DateFormat=P","Fill=—","Direction=H","UseDPDF=Y")</f>
        <v>-79.910899999999998</v>
      </c>
    </row>
    <row r="24" spans="1:27" x14ac:dyDescent="0.25">
      <c r="A24" s="10" t="s">
        <v>1305</v>
      </c>
      <c r="B24" s="10" t="s">
        <v>1306</v>
      </c>
      <c r="C24" s="14">
        <f>_xll.BDH("NBIX US Equity","TOTAL_DEBT_1_YEAR_GROWTH","FQ4 2018","FQ4 2018","Currency=USD","Period=FQ","BEST_FPERIOD_OVERRIDE=FQ","FILING_STATUS=MR","Sort=A","Dates=H","DateFormat=P","Fill=—","Direction=H","UseDPDF=Y")</f>
        <v>5.0898000000000003</v>
      </c>
      <c r="D24" s="14">
        <f>_xll.BDH("NBIX US Equity","TOTAL_DEBT_1_YEAR_GROWTH","FQ1 2019","FQ1 2019","Currency=USD","Period=FQ","BEST_FPERIOD_OVERRIDE=FQ","FILING_STATUS=MR","Sort=A","Dates=H","DateFormat=P","Fill=—","Direction=H","UseDPDF=Y")</f>
        <v>23.954499999999999</v>
      </c>
      <c r="E24" s="14">
        <f>_xll.BDH("NBIX US Equity","TOTAL_DEBT_1_YEAR_GROWTH","FQ2 2019","FQ2 2019","Currency=USD","Period=FQ","BEST_FPERIOD_OVERRIDE=FQ","FILING_STATUS=MR","Sort=A","Dates=H","DateFormat=P","Fill=—","Direction=H","UseDPDF=Y")</f>
        <v>23.625900000000001</v>
      </c>
      <c r="F24" s="14">
        <f>_xll.BDH("NBIX US Equity","TOTAL_DEBT_1_YEAR_GROWTH","FQ3 2019","FQ3 2019","Currency=USD","Period=FQ","BEST_FPERIOD_OVERRIDE=FQ","FILING_STATUS=MR","Sort=A","Dates=H","DateFormat=P","Fill=—","Direction=H","UseDPDF=Y")</f>
        <v>26.738900000000001</v>
      </c>
      <c r="G24" s="14">
        <f>_xll.BDH("NBIX US Equity","TOTAL_DEBT_1_YEAR_GROWTH","FQ4 2019","FQ4 2019","Currency=USD","Period=FQ","BEST_FPERIOD_OVERRIDE=FQ","FILING_STATUS=MR","Sort=A","Dates=H","DateFormat=P","Fill=—","Direction=H","UseDPDF=Y")</f>
        <v>29.675000000000001</v>
      </c>
      <c r="H24" s="14">
        <f>_xll.BDH("NBIX US Equity","TOTAL_DEBT_1_YEAR_GROWTH","FQ1 2020","FQ1 2020","Currency=USD","Period=FQ","BEST_FPERIOD_OVERRIDE=FQ","FILING_STATUS=MR","Sort=A","Dates=H","DateFormat=P","Fill=—","Direction=H","UseDPDF=Y")</f>
        <v>9.6262000000000008</v>
      </c>
      <c r="I24" s="14">
        <f>_xll.BDH("NBIX US Equity","TOTAL_DEBT_1_YEAR_GROWTH","FQ2 2020","FQ2 2020","Currency=USD","Period=FQ","BEST_FPERIOD_OVERRIDE=FQ","FILING_STATUS=MR","Sort=A","Dates=H","DateFormat=P","Fill=—","Direction=H","UseDPDF=Y")</f>
        <v>9.5218000000000007</v>
      </c>
      <c r="J24" s="14">
        <f>_xll.BDH("NBIX US Equity","TOTAL_DEBT_1_YEAR_GROWTH","FQ3 2020","FQ3 2020","Currency=USD","Period=FQ","BEST_FPERIOD_OVERRIDE=FQ","FILING_STATUS=MR","Sort=A","Dates=H","DateFormat=P","Fill=—","Direction=H","UseDPDF=Y")</f>
        <v>6.4722</v>
      </c>
      <c r="K24" s="14">
        <f>_xll.BDH("NBIX US Equity","TOTAL_DEBT_1_YEAR_GROWTH","FQ4 2020","FQ4 2020","Currency=USD","Period=FQ","BEST_FPERIOD_OVERRIDE=FQ","FILING_STATUS=MR","Sort=A","Dates=H","DateFormat=P","Fill=—","Direction=H","UseDPDF=Y")</f>
        <v>-16.1145</v>
      </c>
      <c r="L24" s="14">
        <f>_xll.BDH("NBIX US Equity","TOTAL_DEBT_1_YEAR_GROWTH","FQ1 2021","FQ1 2021","Currency=USD","Period=FQ","BEST_FPERIOD_OVERRIDE=FQ","FILING_STATUS=MR","Sort=A","Dates=H","DateFormat=P","Fill=—","Direction=H","UseDPDF=Y")</f>
        <v>-13.136699999999999</v>
      </c>
      <c r="M24" s="14">
        <f>_xll.BDH("NBIX US Equity","TOTAL_DEBT_1_YEAR_GROWTH","FQ2 2021","FQ2 2021","Currency=USD","Period=FQ","BEST_FPERIOD_OVERRIDE=FQ","FILING_STATUS=MR","Sort=A","Dates=H","DateFormat=P","Fill=—","Direction=H","UseDPDF=Y")</f>
        <v>-12.222200000000001</v>
      </c>
      <c r="N24" s="14">
        <f>_xll.BDH("NBIX US Equity","TOTAL_DEBT_1_YEAR_GROWTH","FQ3 2021","FQ3 2021","Currency=USD","Period=FQ","BEST_FPERIOD_OVERRIDE=FQ","FILING_STATUS=MR","Sort=A","Dates=H","DateFormat=P","Fill=—","Direction=H","UseDPDF=Y")</f>
        <v>-12.5749</v>
      </c>
      <c r="O24" s="14">
        <f>_xll.BDH("NBIX US Equity","TOTAL_DEBT_1_YEAR_GROWTH","FQ4 2021","FQ4 2021","Currency=USD","Period=FQ","BEST_FPERIOD_OVERRIDE=FQ","FILING_STATUS=MR","Sort=A","Dates=H","DateFormat=P","Fill=—","Direction=H","UseDPDF=Y")</f>
        <v>8.1164000000000005</v>
      </c>
      <c r="P24" s="14">
        <f>_xll.BDH("NBIX US Equity","TOTAL_DEBT_1_YEAR_GROWTH","FQ1 2022","FQ1 2022","Currency=USD","Period=FQ","BEST_FPERIOD_OVERRIDE=FQ","FILING_STATUS=MR","Sort=A","Dates=H","DateFormat=P","Fill=—","Direction=H","UseDPDF=Y")</f>
        <v>12.542400000000001</v>
      </c>
      <c r="Q24" s="14">
        <f>_xll.BDH("NBIX US Equity","TOTAL_DEBT_1_YEAR_GROWTH","FQ2 2022","FQ2 2022","Currency=USD","Period=FQ","BEST_FPERIOD_OVERRIDE=FQ","FILING_STATUS=MR","Sort=A","Dates=H","DateFormat=P","Fill=—","Direction=H","UseDPDF=Y")</f>
        <v>-36.553400000000003</v>
      </c>
      <c r="R24" s="14">
        <f>_xll.BDH("NBIX US Equity","TOTAL_DEBT_1_YEAR_GROWTH","FQ3 2022","FQ3 2022","Currency=USD","Period=FQ","BEST_FPERIOD_OVERRIDE=FQ","FILING_STATUS=MR","Sort=A","Dates=H","DateFormat=P","Fill=—","Direction=H","UseDPDF=Y")</f>
        <v>-37.450299999999999</v>
      </c>
      <c r="S24" s="14">
        <f>_xll.BDH("NBIX US Equity","TOTAL_DEBT_1_YEAR_GROWTH","FQ4 2022","FQ4 2022","Currency=USD","Period=FQ","BEST_FPERIOD_OVERRIDE=FQ","FILING_STATUS=MR","Sort=A","Dates=H","DateFormat=P","Fill=—","Direction=H","UseDPDF=Y")</f>
        <v>-42.460099999999997</v>
      </c>
      <c r="T24" s="14">
        <f>_xll.BDH("NBIX US Equity","TOTAL_DEBT_1_YEAR_GROWTH","FQ1 2023","FQ1 2023","Currency=USD","Period=FQ","BEST_FPERIOD_OVERRIDE=FQ","FILING_STATUS=MR","Sort=A","Dates=H","DateFormat=P","Fill=—","Direction=H","UseDPDF=Y")</f>
        <v>-47.716799999999999</v>
      </c>
      <c r="U24" s="14">
        <f>_xll.BDH("NBIX US Equity","TOTAL_DEBT_1_YEAR_GROWTH","FQ2 2023","FQ2 2023","Currency=USD","Period=FQ","BEST_FPERIOD_OVERRIDE=FQ","FILING_STATUS=MR","Sort=A","Dates=H","DateFormat=P","Fill=—","Direction=H","UseDPDF=Y")</f>
        <v>-3.2202000000000002</v>
      </c>
      <c r="V24" s="14">
        <f>_xll.BDH("NBIX US Equity","TOTAL_DEBT_1_YEAR_GROWTH","FQ3 2023","FQ3 2023","Currency=USD","Period=FQ","BEST_FPERIOD_OVERRIDE=FQ","FILING_STATUS=MR","Sort=A","Dates=H","DateFormat=P","Fill=—","Direction=H","UseDPDF=Y")</f>
        <v>-3.3557000000000001</v>
      </c>
      <c r="W24" s="14">
        <f>_xll.BDH("NBIX US Equity","TOTAL_DEBT_1_YEAR_GROWTH","FQ4 2023","FQ4 2023","Currency=USD","Period=FQ","BEST_FPERIOD_OVERRIDE=FQ","FILING_STATUS=MR","Sort=A","Dates=H","DateFormat=P","Fill=—","Direction=H","UseDPDF=Y")</f>
        <v>75.123599999999996</v>
      </c>
      <c r="X24" s="14">
        <f>_xll.BDH("NBIX US Equity","TOTAL_DEBT_1_YEAR_GROWTH","FQ1 2024","FQ1 2024","Currency=USD","Period=FQ","BEST_FPERIOD_OVERRIDE=FQ","FILING_STATUS=MR","Sort=A","Dates=H","DateFormat=P","Fill=—","Direction=H","UseDPDF=Y")</f>
        <v>58.022300000000001</v>
      </c>
      <c r="Y24" s="14">
        <f>_xll.BDH("NBIX US Equity","TOTAL_DEBT_1_YEAR_GROWTH","FQ2 2024","FQ2 2024","Currency=USD","Period=FQ","BEST_FPERIOD_OVERRIDE=FQ","FILING_STATUS=MR","Sort=A","Dates=H","DateFormat=P","Fill=—","Direction=H","UseDPDF=Y")</f>
        <v>5.4611000000000001</v>
      </c>
      <c r="Z24" s="14">
        <f>_xll.BDH("NBIX US Equity","TOTAL_DEBT_1_YEAR_GROWTH","FQ3 2024","FQ3 2024","Currency=USD","Period=FQ","BEST_FPERIOD_OVERRIDE=FQ","FILING_STATUS=MR","Sort=A","Dates=H","DateFormat=P","Fill=—","Direction=H","UseDPDF=Y")</f>
        <v>4.6052999999999997</v>
      </c>
      <c r="AA24" s="14">
        <f>_xll.BDH("NBIX US Equity","TOTAL_DEBT_1_YEAR_GROWTH","FQ4 2024","FQ4 2024","Currency=USD","Period=FQ","BEST_FPERIOD_OVERRIDE=FQ","FILING_STATUS=MR","Sort=A","Dates=H","DateFormat=P","Fill=—","Direction=H","UseDPDF=Y")</f>
        <v>7.6672000000000002</v>
      </c>
    </row>
    <row r="25" spans="1:27" x14ac:dyDescent="0.25">
      <c r="A25" s="10" t="s">
        <v>118</v>
      </c>
      <c r="B25" s="10" t="s">
        <v>1307</v>
      </c>
      <c r="C25" s="14">
        <f>_xll.BDH("NBIX US Equity","TOTAL_EQUITY_1_YEAR_GROWTH","FQ4 2018","FQ4 2018","Currency=USD","Period=FQ","BEST_FPERIOD_OVERRIDE=FQ","FILING_STATUS=MR","Sort=A","Dates=H","DateFormat=P","Fill=—","Direction=H","UseDPDF=Y")</f>
        <v>29.19</v>
      </c>
      <c r="D25" s="14">
        <f>_xll.BDH("NBIX US Equity","TOTAL_EQUITY_1_YEAR_GROWTH","FQ1 2019","FQ1 2019","Currency=USD","Period=FQ","BEST_FPERIOD_OVERRIDE=FQ","FILING_STATUS=MR","Sort=A","Dates=H","DateFormat=P","Fill=—","Direction=H","UseDPDF=Y")</f>
        <v>12.288</v>
      </c>
      <c r="E25" s="14">
        <f>_xll.BDH("NBIX US Equity","TOTAL_EQUITY_1_YEAR_GROWTH","FQ2 2019","FQ2 2019","Currency=USD","Period=FQ","BEST_FPERIOD_OVERRIDE=FQ","FILING_STATUS=MR","Sort=A","Dates=H","DateFormat=P","Fill=—","Direction=H","UseDPDF=Y")</f>
        <v>28.155799999999999</v>
      </c>
      <c r="F25" s="14">
        <f>_xll.BDH("NBIX US Equity","TOTAL_EQUITY_1_YEAR_GROWTH","FQ3 2019","FQ3 2019","Currency=USD","Period=FQ","BEST_FPERIOD_OVERRIDE=FQ","FILING_STATUS=MR","Sort=A","Dates=H","DateFormat=P","Fill=—","Direction=H","UseDPDF=Y")</f>
        <v>28.3795</v>
      </c>
      <c r="G25" s="14">
        <f>_xll.BDH("NBIX US Equity","TOTAL_EQUITY_1_YEAR_GROWTH","FQ4 2019","FQ4 2019","Currency=USD","Period=FQ","BEST_FPERIOD_OVERRIDE=FQ","FILING_STATUS=MR","Sort=A","Dates=H","DateFormat=P","Fill=—","Direction=H","UseDPDF=Y")</f>
        <v>32.476399999999998</v>
      </c>
      <c r="H25" s="14">
        <f>_xll.BDH("NBIX US Equity","TOTAL_EQUITY_1_YEAR_GROWTH","FQ1 2020","FQ1 2020","Currency=USD","Period=FQ","BEST_FPERIOD_OVERRIDE=FQ","FILING_STATUS=MR","Sort=A","Dates=H","DateFormat=P","Fill=—","Direction=H","UseDPDF=Y")</f>
        <v>71.107399999999998</v>
      </c>
      <c r="I25" s="14">
        <f>_xll.BDH("NBIX US Equity","TOTAL_EQUITY_1_YEAR_GROWTH","FQ2 2020","FQ2 2020","Currency=USD","Period=FQ","BEST_FPERIOD_OVERRIDE=FQ","FILING_STATUS=MR","Sort=A","Dates=H","DateFormat=P","Fill=—","Direction=H","UseDPDF=Y")</f>
        <v>71.8399</v>
      </c>
      <c r="J25" s="14">
        <f>_xll.BDH("NBIX US Equity","TOTAL_EQUITY_1_YEAR_GROWTH","FQ3 2020","FQ3 2020","Currency=USD","Period=FQ","BEST_FPERIOD_OVERRIDE=FQ","FILING_STATUS=MR","Sort=A","Dates=H","DateFormat=P","Fill=—","Direction=H","UseDPDF=Y")</f>
        <v>39.996299999999998</v>
      </c>
      <c r="K25" s="14">
        <f>_xll.BDH("NBIX US Equity","TOTAL_EQUITY_1_YEAR_GROWTH","FQ4 2020","FQ4 2020","Currency=USD","Period=FQ","BEST_FPERIOD_OVERRIDE=FQ","FILING_STATUS=MR","Sort=A","Dates=H","DateFormat=P","Fill=—","Direction=H","UseDPDF=Y")</f>
        <v>76.825199999999995</v>
      </c>
      <c r="L25" s="14">
        <f>_xll.BDH("NBIX US Equity","TOTAL_EQUITY_1_YEAR_GROWTH","FQ1 2021","FQ1 2021","Currency=USD","Period=FQ","BEST_FPERIOD_OVERRIDE=FQ","FILING_STATUS=MR","Sort=A","Dates=H","DateFormat=P","Fill=—","Direction=H","UseDPDF=Y")</f>
        <v>72.154799999999994</v>
      </c>
      <c r="M25" s="14">
        <f>_xll.BDH("NBIX US Equity","TOTAL_EQUITY_1_YEAR_GROWTH","FQ2 2021","FQ2 2021","Currency=USD","Period=FQ","BEST_FPERIOD_OVERRIDE=FQ","FILING_STATUS=MR","Sort=A","Dates=H","DateFormat=P","Fill=—","Direction=H","UseDPDF=Y")</f>
        <v>53.898000000000003</v>
      </c>
      <c r="N25" s="14">
        <f>_xll.BDH("NBIX US Equity","TOTAL_EQUITY_1_YEAR_GROWTH","FQ3 2021","FQ3 2021","Currency=USD","Period=FQ","BEST_FPERIOD_OVERRIDE=FQ","FILING_STATUS=MR","Sort=A","Dates=H","DateFormat=P","Fill=—","Direction=H","UseDPDF=Y")</f>
        <v>67.350499999999997</v>
      </c>
      <c r="O25" s="14">
        <f>_xll.BDH("NBIX US Equity","TOTAL_EQUITY_1_YEAR_GROWTH","FQ4 2021","FQ4 2021","Currency=USD","Period=FQ","BEST_FPERIOD_OVERRIDE=FQ","FILING_STATUS=MR","Sort=A","Dates=H","DateFormat=P","Fill=—","Direction=H","UseDPDF=Y")</f>
        <v>22.0032</v>
      </c>
      <c r="P25" s="14">
        <f>_xll.BDH("NBIX US Equity","TOTAL_EQUITY_1_YEAR_GROWTH","FQ1 2022","FQ1 2022","Currency=USD","Period=FQ","BEST_FPERIOD_OVERRIDE=FQ","FILING_STATUS=MR","Sort=A","Dates=H","DateFormat=P","Fill=—","Direction=H","UseDPDF=Y")</f>
        <v>15.3865</v>
      </c>
      <c r="Q25" s="14">
        <f>_xll.BDH("NBIX US Equity","TOTAL_EQUITY_1_YEAR_GROWTH","FQ2 2022","FQ2 2022","Currency=USD","Period=FQ","BEST_FPERIOD_OVERRIDE=FQ","FILING_STATUS=MR","Sort=A","Dates=H","DateFormat=P","Fill=—","Direction=H","UseDPDF=Y")</f>
        <v>11.2727</v>
      </c>
      <c r="R25" s="14">
        <f>_xll.BDH("NBIX US Equity","TOTAL_EQUITY_1_YEAR_GROWTH","FQ3 2022","FQ3 2022","Currency=USD","Period=FQ","BEST_FPERIOD_OVERRIDE=FQ","FILING_STATUS=MR","Sort=A","Dates=H","DateFormat=P","Fill=—","Direction=H","UseDPDF=Y")</f>
        <v>14.754799999999999</v>
      </c>
      <c r="S25" s="14">
        <f>_xll.BDH("NBIX US Equity","TOTAL_EQUITY_1_YEAR_GROWTH","FQ4 2022","FQ4 2022","Currency=USD","Period=FQ","BEST_FPERIOD_OVERRIDE=FQ","FILING_STATUS=MR","Sort=A","Dates=H","DateFormat=P","Fill=—","Direction=H","UseDPDF=Y")</f>
        <v>24.294</v>
      </c>
      <c r="T25" s="14">
        <f>_xll.BDH("NBIX US Equity","TOTAL_EQUITY_1_YEAR_GROWTH","FQ1 2023","FQ1 2023","Currency=USD","Period=FQ","BEST_FPERIOD_OVERRIDE=FQ","FILING_STATUS=MR","Sort=A","Dates=H","DateFormat=P","Fill=—","Direction=H","UseDPDF=Y")</f>
        <v>21.091200000000001</v>
      </c>
      <c r="U25" s="14">
        <f>_xll.BDH("NBIX US Equity","TOTAL_EQUITY_1_YEAR_GROWTH","FQ2 2023","FQ2 2023","Currency=USD","Period=FQ","BEST_FPERIOD_OVERRIDE=FQ","FILING_STATUS=MR","Sort=A","Dates=H","DateFormat=P","Fill=—","Direction=H","UseDPDF=Y")</f>
        <v>30.1813</v>
      </c>
      <c r="V25" s="14">
        <f>_xll.BDH("NBIX US Equity","TOTAL_EQUITY_1_YEAR_GROWTH","FQ3 2023","FQ3 2023","Currency=USD","Period=FQ","BEST_FPERIOD_OVERRIDE=FQ","FILING_STATUS=MR","Sort=A","Dates=H","DateFormat=P","Fill=—","Direction=H","UseDPDF=Y")</f>
        <v>29.619299999999999</v>
      </c>
      <c r="W25" s="14">
        <f>_xll.BDH("NBIX US Equity","TOTAL_EQUITY_1_YEAR_GROWTH","FQ4 2023","FQ4 2023","Currency=USD","Period=FQ","BEST_FPERIOD_OVERRIDE=FQ","FILING_STATUS=MR","Sort=A","Dates=H","DateFormat=P","Fill=—","Direction=H","UseDPDF=Y")</f>
        <v>30.694500000000001</v>
      </c>
      <c r="X25" s="14">
        <f>_xll.BDH("NBIX US Equity","TOTAL_EQUITY_1_YEAR_GROWTH","FQ1 2024","FQ1 2024","Currency=USD","Period=FQ","BEST_FPERIOD_OVERRIDE=FQ","FILING_STATUS=MR","Sort=A","Dates=H","DateFormat=P","Fill=—","Direction=H","UseDPDF=Y")</f>
        <v>41.650300000000001</v>
      </c>
      <c r="Y25" s="14">
        <f>_xll.BDH("NBIX US Equity","TOTAL_EQUITY_1_YEAR_GROWTH","FQ2 2024","FQ2 2024","Currency=USD","Period=FQ","BEST_FPERIOD_OVERRIDE=FQ","FILING_STATUS=MR","Sort=A","Dates=H","DateFormat=P","Fill=—","Direction=H","UseDPDF=Y")</f>
        <v>35.412799999999997</v>
      </c>
      <c r="Z25" s="14">
        <f>_xll.BDH("NBIX US Equity","TOTAL_EQUITY_1_YEAR_GROWTH","FQ3 2024","FQ3 2024","Currency=USD","Period=FQ","BEST_FPERIOD_OVERRIDE=FQ","FILING_STATUS=MR","Sort=A","Dates=H","DateFormat=P","Fill=—","Direction=H","UseDPDF=Y")</f>
        <v>35.802399999999999</v>
      </c>
      <c r="AA25" s="14">
        <f>_xll.BDH("NBIX US Equity","TOTAL_EQUITY_1_YEAR_GROWTH","FQ4 2024","FQ4 2024","Currency=USD","Period=FQ","BEST_FPERIOD_OVERRIDE=FQ","FILING_STATUS=MR","Sort=A","Dates=H","DateFormat=P","Fill=—","Direction=H","UseDPDF=Y")</f>
        <v>16.026</v>
      </c>
    </row>
    <row r="26" spans="1:27" x14ac:dyDescent="0.25">
      <c r="A26" s="10" t="s">
        <v>1308</v>
      </c>
      <c r="B26" s="10" t="s">
        <v>1309</v>
      </c>
      <c r="C26" s="14">
        <f>_xll.BDH("NBIX US Equity","GROWTH_IN_CAP","FQ4 2018","FQ4 2018","Currency=USD","Period=FQ","BEST_FPERIOD_OVERRIDE=FQ","FILING_STATUS=MR","Sort=A","Dates=H","DateFormat=P","Fill=—","Direction=H","UseDPDF=Y")</f>
        <v>17.1798</v>
      </c>
      <c r="D26" s="14">
        <f>_xll.BDH("NBIX US Equity","GROWTH_IN_CAP","FQ1 2019","FQ1 2019","Currency=USD","Period=FQ","BEST_FPERIOD_OVERRIDE=FQ","FILING_STATUS=MR","Sort=A","Dates=H","DateFormat=P","Fill=—","Direction=H","UseDPDF=Y")</f>
        <v>18.198</v>
      </c>
      <c r="E26" s="14">
        <f>_xll.BDH("NBIX US Equity","GROWTH_IN_CAP","FQ2 2019","FQ2 2019","Currency=USD","Period=FQ","BEST_FPERIOD_OVERRIDE=FQ","FILING_STATUS=MR","Sort=A","Dates=H","DateFormat=P","Fill=—","Direction=H","UseDPDF=Y")</f>
        <v>25.886500000000002</v>
      </c>
      <c r="F26" s="14">
        <f>_xll.BDH("NBIX US Equity","GROWTH_IN_CAP","FQ3 2019","FQ3 2019","Currency=USD","Period=FQ","BEST_FPERIOD_OVERRIDE=FQ","FILING_STATUS=MR","Sort=A","Dates=H","DateFormat=P","Fill=—","Direction=H","UseDPDF=Y")</f>
        <v>27.622199999999999</v>
      </c>
      <c r="G26" s="14">
        <f>_xll.BDH("NBIX US Equity","GROWTH_IN_CAP","FQ4 2019","FQ4 2019","Currency=USD","Period=FQ","BEST_FPERIOD_OVERRIDE=FQ","FILING_STATUS=MR","Sort=A","Dates=H","DateFormat=P","Fill=—","Direction=H","UseDPDF=Y")</f>
        <v>31.224299999999999</v>
      </c>
      <c r="H26" s="14">
        <f>_xll.BDH("NBIX US Equity","GROWTH_IN_CAP","FQ1 2020","FQ1 2020","Currency=USD","Period=FQ","BEST_FPERIOD_OVERRIDE=FQ","FILING_STATUS=MR","Sort=A","Dates=H","DateFormat=P","Fill=—","Direction=H","UseDPDF=Y")</f>
        <v>38.445399999999999</v>
      </c>
      <c r="I26" s="14">
        <f>_xll.BDH("NBIX US Equity","GROWTH_IN_CAP","FQ2 2020","FQ2 2020","Currency=USD","Period=FQ","BEST_FPERIOD_OVERRIDE=FQ","FILING_STATUS=MR","Sort=A","Dates=H","DateFormat=P","Fill=—","Direction=H","UseDPDF=Y")</f>
        <v>41.181800000000003</v>
      </c>
      <c r="J26" s="14">
        <f>_xll.BDH("NBIX US Equity","GROWTH_IN_CAP","FQ3 2020","FQ3 2020","Currency=USD","Period=FQ","BEST_FPERIOD_OVERRIDE=FQ","FILING_STATUS=MR","Sort=A","Dates=H","DateFormat=P","Fill=—","Direction=H","UseDPDF=Y")</f>
        <v>24.6294</v>
      </c>
      <c r="K26" s="14">
        <f>_xll.BDH("NBIX US Equity","GROWTH_IN_CAP","FQ4 2020","FQ4 2020","Currency=USD","Period=FQ","BEST_FPERIOD_OVERRIDE=FQ","FILING_STATUS=MR","Sort=A","Dates=H","DateFormat=P","Fill=—","Direction=H","UseDPDF=Y")</f>
        <v>35.778399999999998</v>
      </c>
      <c r="L26" s="14">
        <f>_xll.BDH("NBIX US Equity","GROWTH_IN_CAP","FQ1 2021","FQ1 2021","Currency=USD","Period=FQ","BEST_FPERIOD_OVERRIDE=FQ","FILING_STATUS=MR","Sort=A","Dates=H","DateFormat=P","Fill=—","Direction=H","UseDPDF=Y")</f>
        <v>36.275599999999997</v>
      </c>
      <c r="M26" s="14">
        <f>_xll.BDH("NBIX US Equity","GROWTH_IN_CAP","FQ2 2021","FQ2 2021","Currency=USD","Period=FQ","BEST_FPERIOD_OVERRIDE=FQ","FILING_STATUS=MR","Sort=A","Dates=H","DateFormat=P","Fill=—","Direction=H","UseDPDF=Y")</f>
        <v>28.663900000000002</v>
      </c>
      <c r="N26" s="14">
        <f>_xll.BDH("NBIX US Equity","GROWTH_IN_CAP","FQ3 2021","FQ3 2021","Currency=USD","Period=FQ","BEST_FPERIOD_OVERRIDE=FQ","FILING_STATUS=MR","Sort=A","Dates=H","DateFormat=P","Fill=—","Direction=H","UseDPDF=Y")</f>
        <v>36.051400000000001</v>
      </c>
      <c r="O26" s="14">
        <f>_xll.BDH("NBIX US Equity","GROWTH_IN_CAP","FQ4 2021","FQ4 2021","Currency=USD","Period=FQ","BEST_FPERIOD_OVERRIDE=FQ","FILING_STATUS=MR","Sort=A","Dates=H","DateFormat=P","Fill=—","Direction=H","UseDPDF=Y")</f>
        <v>18.214099999999998</v>
      </c>
      <c r="P26" s="14">
        <f>_xll.BDH("NBIX US Equity","GROWTH_IN_CAP","FQ1 2022","FQ1 2022","Currency=USD","Period=FQ","BEST_FPERIOD_OVERRIDE=FQ","FILING_STATUS=MR","Sort=A","Dates=H","DateFormat=P","Fill=—","Direction=H","UseDPDF=Y")</f>
        <v>14.623900000000001</v>
      </c>
      <c r="Q26" s="14">
        <f>_xll.BDH("NBIX US Equity","GROWTH_IN_CAP","FQ2 2022","FQ2 2022","Currency=USD","Period=FQ","BEST_FPERIOD_OVERRIDE=FQ","FILING_STATUS=MR","Sort=A","Dates=H","DateFormat=P","Fill=—","Direction=H","UseDPDF=Y")</f>
        <v>-1.1795</v>
      </c>
      <c r="R26" s="14">
        <f>_xll.BDH("NBIX US Equity","GROWTH_IN_CAP","FQ3 2022","FQ3 2022","Currency=USD","Period=FQ","BEST_FPERIOD_OVERRIDE=FQ","FILING_STATUS=MR","Sort=A","Dates=H","DateFormat=P","Fill=—","Direction=H","UseDPDF=Y")</f>
        <v>1.6178999999999999</v>
      </c>
      <c r="S26" s="14">
        <f>_xll.BDH("NBIX US Equity","GROWTH_IN_CAP","FQ4 2022","FQ4 2022","Currency=USD","Period=FQ","BEST_FPERIOD_OVERRIDE=FQ","FILING_STATUS=MR","Sort=A","Dates=H","DateFormat=P","Fill=—","Direction=H","UseDPDF=Y")</f>
        <v>7.6356000000000002</v>
      </c>
      <c r="T26" s="14">
        <f>_xll.BDH("NBIX US Equity","GROWTH_IN_CAP","FQ1 2023","FQ1 2023","Currency=USD","Period=FQ","BEST_FPERIOD_OVERRIDE=FQ","FILING_STATUS=MR","Sort=A","Dates=H","DateFormat=P","Fill=—","Direction=H","UseDPDF=Y")</f>
        <v>2.9763999999999999</v>
      </c>
      <c r="U26" s="14">
        <f>_xll.BDH("NBIX US Equity","GROWTH_IN_CAP","FQ2 2023","FQ2 2023","Currency=USD","Period=FQ","BEST_FPERIOD_OVERRIDE=FQ","FILING_STATUS=MR","Sort=A","Dates=H","DateFormat=P","Fill=—","Direction=H","UseDPDF=Y")</f>
        <v>24.5977</v>
      </c>
      <c r="V26" s="14">
        <f>_xll.BDH("NBIX US Equity","GROWTH_IN_CAP","FQ3 2023","FQ3 2023","Currency=USD","Period=FQ","BEST_FPERIOD_OVERRIDE=FQ","FILING_STATUS=MR","Sort=A","Dates=H","DateFormat=P","Fill=—","Direction=H","UseDPDF=Y")</f>
        <v>24.511700000000001</v>
      </c>
      <c r="W26" s="14">
        <f>_xll.BDH("NBIX US Equity","GROWTH_IN_CAP","FQ4 2023","FQ4 2023","Currency=USD","Period=FQ","BEST_FPERIOD_OVERRIDE=FQ","FILING_STATUS=MR","Sort=A","Dates=H","DateFormat=P","Fill=—","Direction=H","UseDPDF=Y")</f>
        <v>36.621499999999997</v>
      </c>
      <c r="X26" s="14">
        <f>_xll.BDH("NBIX US Equity","GROWTH_IN_CAP","FQ1 2024","FQ1 2024","Currency=USD","Period=FQ","BEST_FPERIOD_OVERRIDE=FQ","FILING_STATUS=MR","Sort=A","Dates=H","DateFormat=P","Fill=—","Direction=H","UseDPDF=Y")</f>
        <v>43.838700000000003</v>
      </c>
      <c r="Y26" s="14">
        <f>_xll.BDH("NBIX US Equity","GROWTH_IN_CAP","FQ2 2024","FQ2 2024","Currency=USD","Period=FQ","BEST_FPERIOD_OVERRIDE=FQ","FILING_STATUS=MR","Sort=A","Dates=H","DateFormat=P","Fill=—","Direction=H","UseDPDF=Y")</f>
        <v>31.523800000000001</v>
      </c>
      <c r="Z26" s="14">
        <f>_xll.BDH("NBIX US Equity","GROWTH_IN_CAP","FQ3 2024","FQ3 2024","Currency=USD","Period=FQ","BEST_FPERIOD_OVERRIDE=FQ","FILING_STATUS=MR","Sort=A","Dates=H","DateFormat=P","Fill=—","Direction=H","UseDPDF=Y")</f>
        <v>32.051699999999997</v>
      </c>
      <c r="AA26" s="14">
        <f>_xll.BDH("NBIX US Equity","GROWTH_IN_CAP","FQ4 2024","FQ4 2024","Currency=USD","Period=FQ","BEST_FPERIOD_OVERRIDE=FQ","FILING_STATUS=MR","Sort=A","Dates=H","DateFormat=P","Fill=—","Direction=H","UseDPDF=Y")</f>
        <v>14.5966</v>
      </c>
    </row>
    <row r="27" spans="1:27" x14ac:dyDescent="0.25">
      <c r="A27" s="10" t="s">
        <v>1310</v>
      </c>
      <c r="B27" s="10" t="s">
        <v>1311</v>
      </c>
      <c r="C27" s="14">
        <f>_xll.BDH("NBIX US Equity","BVPS_GROWTH","FQ4 2018","FQ4 2018","Currency=USD","Period=FQ","BEST_FPERIOD_OVERRIDE=FQ","FILING_STATUS=MR","Sort=A","Dates=H","DateFormat=P","Fill=—","Direction=H","UseDPDF=Y")</f>
        <v>26.3398</v>
      </c>
      <c r="D27" s="14">
        <f>_xll.BDH("NBIX US Equity","BVPS_GROWTH","FQ1 2019","FQ1 2019","Currency=USD","Period=FQ","BEST_FPERIOD_OVERRIDE=FQ","FILING_STATUS=MR","Sort=A","Dates=H","DateFormat=P","Fill=—","Direction=H","UseDPDF=Y")</f>
        <v>10.5634</v>
      </c>
      <c r="E27" s="14">
        <f>_xll.BDH("NBIX US Equity","BVPS_GROWTH","FQ2 2019","FQ2 2019","Currency=USD","Period=FQ","BEST_FPERIOD_OVERRIDE=FQ","FILING_STATUS=MR","Sort=A","Dates=H","DateFormat=P","Fill=—","Direction=H","UseDPDF=Y")</f>
        <v>26.569800000000001</v>
      </c>
      <c r="F27" s="14">
        <f>_xll.BDH("NBIX US Equity","BVPS_GROWTH","FQ3 2019","FQ3 2019","Currency=USD","Period=FQ","BEST_FPERIOD_OVERRIDE=FQ","FILING_STATUS=MR","Sort=A","Dates=H","DateFormat=P","Fill=—","Direction=H","UseDPDF=Y")</f>
        <v>26.418099999999999</v>
      </c>
      <c r="G27" s="14">
        <f>_xll.BDH("NBIX US Equity","BVPS_GROWTH","FQ4 2019","FQ4 2019","Currency=USD","Period=FQ","BEST_FPERIOD_OVERRIDE=FQ","FILING_STATUS=MR","Sort=A","Dates=H","DateFormat=P","Fill=—","Direction=H","UseDPDF=Y")</f>
        <v>30.319299999999998</v>
      </c>
      <c r="H27" s="14">
        <f>_xll.BDH("NBIX US Equity","BVPS_GROWTH","FQ1 2020","FQ1 2020","Currency=USD","Period=FQ","BEST_FPERIOD_OVERRIDE=FQ","FILING_STATUS=MR","Sort=A","Dates=H","DateFormat=P","Fill=—","Direction=H","UseDPDF=Y")</f>
        <v>68.312200000000004</v>
      </c>
      <c r="I27" s="14">
        <f>_xll.BDH("NBIX US Equity","BVPS_GROWTH","FQ2 2020","FQ2 2020","Currency=USD","Period=FQ","BEST_FPERIOD_OVERRIDE=FQ","FILING_STATUS=MR","Sort=A","Dates=H","DateFormat=P","Fill=—","Direction=H","UseDPDF=Y")</f>
        <v>68.771900000000002</v>
      </c>
      <c r="J27" s="14">
        <f>_xll.BDH("NBIX US Equity","BVPS_GROWTH","FQ3 2020","FQ3 2020","Currency=USD","Period=FQ","BEST_FPERIOD_OVERRIDE=FQ","FILING_STATUS=MR","Sort=A","Dates=H","DateFormat=P","Fill=—","Direction=H","UseDPDF=Y")</f>
        <v>38.017800000000001</v>
      </c>
      <c r="K27" s="14">
        <f>_xll.BDH("NBIX US Equity","BVPS_GROWTH","FQ4 2020","FQ4 2020","Currency=USD","Period=FQ","BEST_FPERIOD_OVERRIDE=FQ","FILING_STATUS=MR","Sort=A","Dates=H","DateFormat=P","Fill=—","Direction=H","UseDPDF=Y")</f>
        <v>74.555800000000005</v>
      </c>
      <c r="L27" s="14">
        <f>_xll.BDH("NBIX US Equity","BVPS_GROWTH","FQ1 2021","FQ1 2021","Currency=USD","Period=FQ","BEST_FPERIOD_OVERRIDE=FQ","FILING_STATUS=MR","Sort=A","Dates=H","DateFormat=P","Fill=—","Direction=H","UseDPDF=Y")</f>
        <v>69.0578</v>
      </c>
      <c r="M27" s="14">
        <f>_xll.BDH("NBIX US Equity","BVPS_GROWTH","FQ2 2021","FQ2 2021","Currency=USD","Period=FQ","BEST_FPERIOD_OVERRIDE=FQ","FILING_STATUS=MR","Sort=A","Dates=H","DateFormat=P","Fill=—","Direction=H","UseDPDF=Y")</f>
        <v>51.620399999999997</v>
      </c>
      <c r="N27" s="14">
        <f>_xll.BDH("NBIX US Equity","BVPS_GROWTH","FQ3 2021","FQ3 2021","Currency=USD","Period=FQ","BEST_FPERIOD_OVERRIDE=FQ","FILING_STATUS=MR","Sort=A","Dates=H","DateFormat=P","Fill=—","Direction=H","UseDPDF=Y")</f>
        <v>64.879099999999994</v>
      </c>
      <c r="O27" s="14">
        <f>_xll.BDH("NBIX US Equity","BVPS_GROWTH","FQ4 2021","FQ4 2021","Currency=USD","Period=FQ","BEST_FPERIOD_OVERRIDE=FQ","FILING_STATUS=MR","Sort=A","Dates=H","DateFormat=P","Fill=—","Direction=H","UseDPDF=Y")</f>
        <v>20.203399999999998</v>
      </c>
      <c r="P27" s="14">
        <f>_xll.BDH("NBIX US Equity","BVPS_GROWTH","FQ1 2022","FQ1 2022","Currency=USD","Period=FQ","BEST_FPERIOD_OVERRIDE=FQ","FILING_STATUS=MR","Sort=A","Dates=H","DateFormat=P","Fill=—","Direction=H","UseDPDF=Y")</f>
        <v>14.1783</v>
      </c>
      <c r="Q27" s="14">
        <f>_xll.BDH("NBIX US Equity","BVPS_GROWTH","FQ2 2022","FQ2 2022","Currency=USD","Period=FQ","BEST_FPERIOD_OVERRIDE=FQ","FILING_STATUS=MR","Sort=A","Dates=H","DateFormat=P","Fill=—","Direction=H","UseDPDF=Y")</f>
        <v>10.108700000000001</v>
      </c>
      <c r="R27" s="14">
        <f>_xll.BDH("NBIX US Equity","BVPS_GROWTH","FQ3 2022","FQ3 2022","Currency=USD","Period=FQ","BEST_FPERIOD_OVERRIDE=FQ","FILING_STATUS=MR","Sort=A","Dates=H","DateFormat=P","Fill=—","Direction=H","UseDPDF=Y")</f>
        <v>13.202500000000001</v>
      </c>
      <c r="S27" s="14">
        <f>_xll.BDH("NBIX US Equity","BVPS_GROWTH","FQ4 2022","FQ4 2022","Currency=USD","Period=FQ","BEST_FPERIOD_OVERRIDE=FQ","FILING_STATUS=MR","Sort=A","Dates=H","DateFormat=P","Fill=—","Direction=H","UseDPDF=Y")</f>
        <v>22.2332</v>
      </c>
      <c r="T27" s="14">
        <f>_xll.BDH("NBIX US Equity","BVPS_GROWTH","FQ1 2023","FQ1 2023","Currency=USD","Period=FQ","BEST_FPERIOD_OVERRIDE=FQ","FILING_STATUS=MR","Sort=A","Dates=H","DateFormat=P","Fill=—","Direction=H","UseDPDF=Y")</f>
        <v>18.607299999999999</v>
      </c>
      <c r="U27" s="14">
        <f>_xll.BDH("NBIX US Equity","BVPS_GROWTH","FQ2 2023","FQ2 2023","Currency=USD","Period=FQ","BEST_FPERIOD_OVERRIDE=FQ","FILING_STATUS=MR","Sort=A","Dates=H","DateFormat=P","Fill=—","Direction=H","UseDPDF=Y")</f>
        <v>27.5136</v>
      </c>
      <c r="V27" s="14">
        <f>_xll.BDH("NBIX US Equity","BVPS_GROWTH","FQ3 2023","FQ3 2023","Currency=USD","Period=FQ","BEST_FPERIOD_OVERRIDE=FQ","FILING_STATUS=MR","Sort=A","Dates=H","DateFormat=P","Fill=—","Direction=H","UseDPDF=Y")</f>
        <v>26.8474</v>
      </c>
      <c r="W27" s="14">
        <f>_xll.BDH("NBIX US Equity","BVPS_GROWTH","FQ4 2023","FQ4 2023","Currency=USD","Period=FQ","BEST_FPERIOD_OVERRIDE=FQ","FILING_STATUS=MR","Sort=A","Dates=H","DateFormat=P","Fill=—","Direction=H","UseDPDF=Y")</f>
        <v>27.781300000000002</v>
      </c>
      <c r="X27" s="14">
        <f>_xll.BDH("NBIX US Equity","BVPS_GROWTH","FQ1 2024","FQ1 2024","Currency=USD","Period=FQ","BEST_FPERIOD_OVERRIDE=FQ","FILING_STATUS=MR","Sort=A","Dates=H","DateFormat=P","Fill=—","Direction=H","UseDPDF=Y")</f>
        <v>37.285400000000003</v>
      </c>
      <c r="Y27" s="14">
        <f>_xll.BDH("NBIX US Equity","BVPS_GROWTH","FQ2 2024","FQ2 2024","Currency=USD","Period=FQ","BEST_FPERIOD_OVERRIDE=FQ","FILING_STATUS=MR","Sort=A","Dates=H","DateFormat=P","Fill=—","Direction=H","UseDPDF=Y")</f>
        <v>30.984100000000002</v>
      </c>
      <c r="Z27" s="14">
        <f>_xll.BDH("NBIX US Equity","BVPS_GROWTH","FQ3 2024","FQ3 2024","Currency=USD","Period=FQ","BEST_FPERIOD_OVERRIDE=FQ","FILING_STATUS=MR","Sort=A","Dates=H","DateFormat=P","Fill=—","Direction=H","UseDPDF=Y")</f>
        <v>31.776599999999998</v>
      </c>
      <c r="AA27" s="14">
        <f>_xll.BDH("NBIX US Equity","BVPS_GROWTH","FQ4 2024","FQ4 2024","Currency=USD","Period=FQ","BEST_FPERIOD_OVERRIDE=FQ","FILING_STATUS=MR","Sort=A","Dates=H","DateFormat=P","Fill=—","Direction=H","UseDPDF=Y")</f>
        <v>15.2089</v>
      </c>
    </row>
    <row r="28" spans="1:27" x14ac:dyDescent="0.25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5">
      <c r="A29" s="10" t="s">
        <v>124</v>
      </c>
      <c r="B29" s="10" t="s">
        <v>1312</v>
      </c>
      <c r="C29" s="14">
        <f>_xll.BDH("NBIX US Equity","CASH_FLOW_GROWTH","FQ4 2018","FQ4 2018","Currency=USD","Period=FQ","BEST_FPERIOD_OVERRIDE=FQ","FILING_STATUS=MR","Sort=A","Dates=H","DateFormat=P","Fill=—","Direction=H","UseDPDF=Y")</f>
        <v>24.3475</v>
      </c>
      <c r="D29" s="14">
        <f>_xll.BDH("NBIX US Equity","CASH_FLOW_GROWTH","FQ1 2019","FQ1 2019","Currency=USD","Period=FQ","BEST_FPERIOD_OVERRIDE=FQ","FILING_STATUS=MR","Sort=A","Dates=H","DateFormat=P","Fill=—","Direction=H","UseDPDF=Y")</f>
        <v>-192.29069999999999</v>
      </c>
      <c r="E29" s="14">
        <f>_xll.BDH("NBIX US Equity","CASH_FLOW_GROWTH","FQ2 2019","FQ2 2019","Currency=USD","Period=FQ","BEST_FPERIOD_OVERRIDE=FQ","FILING_STATUS=MR","Sort=A","Dates=H","DateFormat=P","Fill=—","Direction=H","UseDPDF=Y")</f>
        <v>213.32579999999999</v>
      </c>
      <c r="F29" s="14">
        <f>_xll.BDH("NBIX US Equity","CASH_FLOW_GROWTH","FQ3 2019","FQ3 2019","Currency=USD","Period=FQ","BEST_FPERIOD_OVERRIDE=FQ","FILING_STATUS=MR","Sort=A","Dates=H","DateFormat=P","Fill=—","Direction=H","UseDPDF=Y")</f>
        <v>41.947600000000001</v>
      </c>
      <c r="G29" s="14">
        <f>_xll.BDH("NBIX US Equity","CASH_FLOW_GROWTH","FQ4 2019","FQ4 2019","Currency=USD","Period=FQ","BEST_FPERIOD_OVERRIDE=FQ","FILING_STATUS=MR","Sort=A","Dates=H","DateFormat=P","Fill=—","Direction=H","UseDPDF=Y")</f>
        <v>93.243399999999994</v>
      </c>
      <c r="H29" s="14" t="str">
        <f>_xll.BDH("NBIX US Equity","CASH_FLOW_GROWTH","FQ1 2020","FQ1 2020","Currency=USD","Period=FQ","BEST_FPERIOD_OVERRIDE=FQ","FILING_STATUS=MR","Sort=A","Dates=H","DateFormat=P","Fill=—","Direction=H","UseDPDF=Y")</f>
        <v>—</v>
      </c>
      <c r="I29" s="14">
        <f>_xll.BDH("NBIX US Equity","CASH_FLOW_GROWTH","FQ2 2020","FQ2 2020","Currency=USD","Period=FQ","BEST_FPERIOD_OVERRIDE=FQ","FILING_STATUS=MR","Sort=A","Dates=H","DateFormat=P","Fill=—","Direction=H","UseDPDF=Y")</f>
        <v>85.300600000000003</v>
      </c>
      <c r="J29" s="14" t="str">
        <f>_xll.BDH("NBIX US Equity","CASH_FLOW_GROWTH","FQ3 2020","FQ3 2020","Currency=USD","Period=FQ","BEST_FPERIOD_OVERRIDE=FQ","FILING_STATUS=MR","Sort=A","Dates=H","DateFormat=P","Fill=—","Direction=H","UseDPDF=Y")</f>
        <v>—</v>
      </c>
      <c r="K29" s="14">
        <f>_xll.BDH("NBIX US Equity","CASH_FLOW_GROWTH","FQ4 2020","FQ4 2020","Currency=USD","Period=FQ","BEST_FPERIOD_OVERRIDE=FQ","FILING_STATUS=MR","Sort=A","Dates=H","DateFormat=P","Fill=—","Direction=H","UseDPDF=Y")</f>
        <v>-3.0758999999999999</v>
      </c>
      <c r="L29" s="14">
        <f>_xll.BDH("NBIX US Equity","CASH_FLOW_GROWTH","FQ1 2021","FQ1 2021","Currency=USD","Period=FQ","BEST_FPERIOD_OVERRIDE=FQ","FILING_STATUS=MR","Sort=A","Dates=H","DateFormat=P","Fill=—","Direction=H","UseDPDF=Y")</f>
        <v>145.91550000000001</v>
      </c>
      <c r="M29" s="14">
        <f>_xll.BDH("NBIX US Equity","CASH_FLOW_GROWTH","FQ2 2021","FQ2 2021","Currency=USD","Period=FQ","BEST_FPERIOD_OVERRIDE=FQ","FILING_STATUS=MR","Sort=A","Dates=H","DateFormat=P","Fill=—","Direction=H","UseDPDF=Y")</f>
        <v>-13.2044</v>
      </c>
      <c r="N29" s="14" t="str">
        <f>_xll.BDH("NBIX US Equity","CASH_FLOW_GROWTH","FQ3 2021","FQ3 2021","Currency=USD","Period=FQ","BEST_FPERIOD_OVERRIDE=FQ","FILING_STATUS=MR","Sort=A","Dates=H","DateFormat=P","Fill=—","Direction=H","UseDPDF=Y")</f>
        <v>—</v>
      </c>
      <c r="O29" s="14">
        <f>_xll.BDH("NBIX US Equity","CASH_FLOW_GROWTH","FQ4 2021","FQ4 2021","Currency=USD","Period=FQ","BEST_FPERIOD_OVERRIDE=FQ","FILING_STATUS=MR","Sort=A","Dates=H","DateFormat=P","Fill=—","Direction=H","UseDPDF=Y")</f>
        <v>-95.555599999999998</v>
      </c>
      <c r="P29" s="14" t="str">
        <f>_xll.BDH("NBIX US Equity","CASH_FLOW_GROWTH","FQ1 2022","FQ1 2022","Currency=USD","Period=FQ","BEST_FPERIOD_OVERRIDE=FQ","FILING_STATUS=MR","Sort=A","Dates=H","DateFormat=P","Fill=—","Direction=H","UseDPDF=Y")</f>
        <v>—</v>
      </c>
      <c r="Q29" s="14">
        <f>_xll.BDH("NBIX US Equity","CASH_FLOW_GROWTH","FQ2 2022","FQ2 2022","Currency=USD","Period=FQ","BEST_FPERIOD_OVERRIDE=FQ","FILING_STATUS=MR","Sort=A","Dates=H","DateFormat=P","Fill=—","Direction=H","UseDPDF=Y")</f>
        <v>33.817799999999998</v>
      </c>
      <c r="R29" s="14">
        <f>_xll.BDH("NBIX US Equity","CASH_FLOW_GROWTH","FQ3 2022","FQ3 2022","Currency=USD","Period=FQ","BEST_FPERIOD_OVERRIDE=FQ","FILING_STATUS=MR","Sort=A","Dates=H","DateFormat=P","Fill=—","Direction=H","UseDPDF=Y")</f>
        <v>59.870600000000003</v>
      </c>
      <c r="S29" s="14">
        <f>_xll.BDH("NBIX US Equity","CASH_FLOW_GROWTH","FQ4 2022","FQ4 2022","Currency=USD","Period=FQ","BEST_FPERIOD_OVERRIDE=FQ","FILING_STATUS=MR","Sort=A","Dates=H","DateFormat=P","Fill=—","Direction=H","UseDPDF=Y")</f>
        <v>3304.7619</v>
      </c>
      <c r="T29" s="14">
        <f>_xll.BDH("NBIX US Equity","CASH_FLOW_GROWTH","FQ1 2023","FQ1 2023","Currency=USD","Period=FQ","BEST_FPERIOD_OVERRIDE=FQ","FILING_STATUS=MR","Sort=A","Dates=H","DateFormat=P","Fill=—","Direction=H","UseDPDF=Y")</f>
        <v>-209.13579999999999</v>
      </c>
      <c r="U29" s="14">
        <f>_xll.BDH("NBIX US Equity","CASH_FLOW_GROWTH","FQ2 2023","FQ2 2023","Currency=USD","Period=FQ","BEST_FPERIOD_OVERRIDE=FQ","FILING_STATUS=MR","Sort=A","Dates=H","DateFormat=P","Fill=—","Direction=H","UseDPDF=Y")</f>
        <v>30.050699999999999</v>
      </c>
      <c r="V29" s="14">
        <f>_xll.BDH("NBIX US Equity","CASH_FLOW_GROWTH","FQ3 2023","FQ3 2023","Currency=USD","Period=FQ","BEST_FPERIOD_OVERRIDE=FQ","FILING_STATUS=MR","Sort=A","Dates=H","DateFormat=P","Fill=—","Direction=H","UseDPDF=Y")</f>
        <v>114.5749</v>
      </c>
      <c r="W29" s="14">
        <f>_xll.BDH("NBIX US Equity","CASH_FLOW_GROWTH","FQ4 2023","FQ4 2023","Currency=USD","Period=FQ","BEST_FPERIOD_OVERRIDE=FQ","FILING_STATUS=MR","Sort=A","Dates=H","DateFormat=P","Fill=—","Direction=H","UseDPDF=Y")</f>
        <v>-13.6364</v>
      </c>
      <c r="X29" s="14" t="str">
        <f>_xll.BDH("NBIX US Equity","CASH_FLOW_GROWTH","FQ1 2024","FQ1 2024","Currency=USD","Period=FQ","BEST_FPERIOD_OVERRIDE=FQ","FILING_STATUS=MR","Sort=A","Dates=H","DateFormat=P","Fill=—","Direction=H","UseDPDF=Y")</f>
        <v>—</v>
      </c>
      <c r="Y29" s="14">
        <f>_xll.BDH("NBIX US Equity","CASH_FLOW_GROWTH","FQ2 2024","FQ2 2024","Currency=USD","Period=FQ","BEST_FPERIOD_OVERRIDE=FQ","FILING_STATUS=MR","Sort=A","Dates=H","DateFormat=P","Fill=—","Direction=H","UseDPDF=Y")</f>
        <v>-64.031199999999998</v>
      </c>
      <c r="Z29" s="14">
        <f>_xll.BDH("NBIX US Equity","CASH_FLOW_GROWTH","FQ3 2024","FQ3 2024","Currency=USD","Period=FQ","BEST_FPERIOD_OVERRIDE=FQ","FILING_STATUS=MR","Sort=A","Dates=H","DateFormat=P","Fill=—","Direction=H","UseDPDF=Y")</f>
        <v>-25.471699999999998</v>
      </c>
      <c r="AA29" s="14">
        <f>_xll.BDH("NBIX US Equity","CASH_FLOW_GROWTH","FQ4 2024","FQ4 2024","Currency=USD","Period=FQ","BEST_FPERIOD_OVERRIDE=FQ","FILING_STATUS=MR","Sort=A","Dates=H","DateFormat=P","Fill=—","Direction=H","UseDPDF=Y")</f>
        <v>96.356300000000005</v>
      </c>
    </row>
    <row r="30" spans="1:27" x14ac:dyDescent="0.25">
      <c r="A30" s="10" t="s">
        <v>86</v>
      </c>
      <c r="B30" s="10" t="s">
        <v>1313</v>
      </c>
      <c r="C30" s="14">
        <f>_xll.BDH("NBIX US Equity","TOT_CAP_EXPEND_GROWTH","FQ4 2018","FQ4 2018","Currency=USD","Period=FQ","BEST_FPERIOD_OVERRIDE=FQ","FILING_STATUS=MR","Sort=A","Dates=H","DateFormat=P","Fill=—","Direction=H","UseDPDF=Y")</f>
        <v>152.83969999999999</v>
      </c>
      <c r="D30" s="14">
        <f>_xll.BDH("NBIX US Equity","TOT_CAP_EXPEND_GROWTH","FQ1 2019","FQ1 2019","Currency=USD","Period=FQ","BEST_FPERIOD_OVERRIDE=FQ","FILING_STATUS=MR","Sort=A","Dates=H","DateFormat=P","Fill=—","Direction=H","UseDPDF=Y")</f>
        <v>118.83329999999999</v>
      </c>
      <c r="E30" s="14">
        <f>_xll.BDH("NBIX US Equity","TOT_CAP_EXPEND_GROWTH","FQ2 2019","FQ2 2019","Currency=USD","Period=FQ","BEST_FPERIOD_OVERRIDE=FQ","FILING_STATUS=MR","Sort=A","Dates=H","DateFormat=P","Fill=—","Direction=H","UseDPDF=Y")</f>
        <v>-4.0922000000000001</v>
      </c>
      <c r="F30" s="14">
        <f>_xll.BDH("NBIX US Equity","TOT_CAP_EXPEND_GROWTH","FQ3 2019","FQ3 2019","Currency=USD","Period=FQ","BEST_FPERIOD_OVERRIDE=FQ","FILING_STATUS=MR","Sort=A","Dates=H","DateFormat=P","Fill=—","Direction=H","UseDPDF=Y")</f>
        <v>-71.3245</v>
      </c>
      <c r="G30" s="14">
        <f>_xll.BDH("NBIX US Equity","TOT_CAP_EXPEND_GROWTH","FQ4 2019","FQ4 2019","Currency=USD","Period=FQ","BEST_FPERIOD_OVERRIDE=FQ","FILING_STATUS=MR","Sort=A","Dates=H","DateFormat=P","Fill=—","Direction=H","UseDPDF=Y")</f>
        <v>-53.876899999999999</v>
      </c>
      <c r="H30" s="14">
        <f>_xll.BDH("NBIX US Equity","TOT_CAP_EXPEND_GROWTH","FQ1 2020","FQ1 2020","Currency=USD","Period=FQ","BEST_FPERIOD_OVERRIDE=FQ","FILING_STATUS=MR","Sort=A","Dates=H","DateFormat=P","Fill=—","Direction=H","UseDPDF=Y")</f>
        <v>-66.996700000000004</v>
      </c>
      <c r="I30" s="14">
        <f>_xll.BDH("NBIX US Equity","TOT_CAP_EXPEND_GROWTH","FQ2 2020","FQ2 2020","Currency=USD","Period=FQ","BEST_FPERIOD_OVERRIDE=FQ","FILING_STATUS=MR","Sort=A","Dates=H","DateFormat=P","Fill=—","Direction=H","UseDPDF=Y")</f>
        <v>5.5468000000000002</v>
      </c>
      <c r="J30" s="14">
        <f>_xll.BDH("NBIX US Equity","TOT_CAP_EXPEND_GROWTH","FQ3 2020","FQ3 2020","Currency=USD","Period=FQ","BEST_FPERIOD_OVERRIDE=FQ","FILING_STATUS=MR","Sort=A","Dates=H","DateFormat=P","Fill=—","Direction=H","UseDPDF=Y")</f>
        <v>-88.713300000000004</v>
      </c>
      <c r="K30" s="14">
        <f>_xll.BDH("NBIX US Equity","TOT_CAP_EXPEND_GROWTH","FQ4 2020","FQ4 2020","Currency=USD","Period=FQ","BEST_FPERIOD_OVERRIDE=FQ","FILING_STATUS=MR","Sort=A","Dates=H","DateFormat=P","Fill=—","Direction=H","UseDPDF=Y")</f>
        <v>62.337699999999998</v>
      </c>
      <c r="L30" s="14">
        <f>_xll.BDH("NBIX US Equity","TOT_CAP_EXPEND_GROWTH","FQ1 2021","FQ1 2021","Currency=USD","Period=FQ","BEST_FPERIOD_OVERRIDE=FQ","FILING_STATUS=MR","Sort=A","Dates=H","DateFormat=P","Fill=—","Direction=H","UseDPDF=Y")</f>
        <v>246.15379999999999</v>
      </c>
      <c r="M30" s="14">
        <f>_xll.BDH("NBIX US Equity","TOT_CAP_EXPEND_GROWTH","FQ2 2021","FQ2 2021","Currency=USD","Period=FQ","BEST_FPERIOD_OVERRIDE=FQ","FILING_STATUS=MR","Sort=A","Dates=H","DateFormat=P","Fill=—","Direction=H","UseDPDF=Y")</f>
        <v>-8.5106000000000002</v>
      </c>
      <c r="N30" s="14">
        <f>_xll.BDH("NBIX US Equity","TOT_CAP_EXPEND_GROWTH","FQ3 2021","FQ3 2021","Currency=USD","Period=FQ","BEST_FPERIOD_OVERRIDE=FQ","FILING_STATUS=MR","Sort=A","Dates=H","DateFormat=P","Fill=—","Direction=H","UseDPDF=Y")</f>
        <v>1325</v>
      </c>
      <c r="O30" s="14">
        <f>_xll.BDH("NBIX US Equity","TOT_CAP_EXPEND_GROWTH","FQ4 2021","FQ4 2021","Currency=USD","Period=FQ","BEST_FPERIOD_OVERRIDE=FQ","FILING_STATUS=MR","Sort=A","Dates=H","DateFormat=P","Fill=—","Direction=H","UseDPDF=Y")</f>
        <v>97.777799999999999</v>
      </c>
      <c r="P30" s="14">
        <f>_xll.BDH("NBIX US Equity","TOT_CAP_EXPEND_GROWTH","FQ1 2022","FQ1 2022","Currency=USD","Period=FQ","BEST_FPERIOD_OVERRIDE=FQ","FILING_STATUS=MR","Sort=A","Dates=H","DateFormat=P","Fill=—","Direction=H","UseDPDF=Y")</f>
        <v>68.888900000000007</v>
      </c>
      <c r="Q30" s="14">
        <f>_xll.BDH("NBIX US Equity","TOT_CAP_EXPEND_GROWTH","FQ2 2022","FQ2 2022","Currency=USD","Period=FQ","BEST_FPERIOD_OVERRIDE=FQ","FILING_STATUS=MR","Sort=A","Dates=H","DateFormat=P","Fill=—","Direction=H","UseDPDF=Y")</f>
        <v>104.6512</v>
      </c>
      <c r="R30" s="14" t="str">
        <f>_xll.BDH("NBIX US Equity","TOT_CAP_EXPEND_GROWTH","FQ3 2022","FQ3 2022","Currency=USD","Period=FQ","BEST_FPERIOD_OVERRIDE=FQ","FILING_STATUS=MR","Sort=A","Dates=H","DateFormat=P","Fill=—","Direction=H","UseDPDF=Y")</f>
        <v>—</v>
      </c>
      <c r="S30" s="14">
        <f>_xll.BDH("NBIX US Equity","TOT_CAP_EXPEND_GROWTH","FQ4 2022","FQ4 2022","Currency=USD","Period=FQ","BEST_FPERIOD_OVERRIDE=FQ","FILING_STATUS=MR","Sort=A","Dates=H","DateFormat=P","Fill=—","Direction=H","UseDPDF=Y")</f>
        <v>-79.775300000000001</v>
      </c>
      <c r="T30" s="14">
        <f>_xll.BDH("NBIX US Equity","TOT_CAP_EXPEND_GROWTH","FQ1 2023","FQ1 2023","Currency=USD","Period=FQ","BEST_FPERIOD_OVERRIDE=FQ","FILING_STATUS=MR","Sort=A","Dates=H","DateFormat=P","Fill=—","Direction=H","UseDPDF=Y")</f>
        <v>11.8421</v>
      </c>
      <c r="U30" s="14">
        <f>_xll.BDH("NBIX US Equity","TOT_CAP_EXPEND_GROWTH","FQ2 2023","FQ2 2023","Currency=USD","Period=FQ","BEST_FPERIOD_OVERRIDE=FQ","FILING_STATUS=MR","Sort=A","Dates=H","DateFormat=P","Fill=—","Direction=H","UseDPDF=Y")</f>
        <v>-22.7273</v>
      </c>
      <c r="V30" s="14" t="str">
        <f>_xll.BDH("NBIX US Equity","TOT_CAP_EXPEND_GROWTH","FQ3 2023","FQ3 2023","Currency=USD","Period=FQ","BEST_FPERIOD_OVERRIDE=FQ","FILING_STATUS=MR","Sort=A","Dates=H","DateFormat=P","Fill=—","Direction=H","UseDPDF=Y")</f>
        <v>—</v>
      </c>
      <c r="W30" s="14">
        <f>_xll.BDH("NBIX US Equity","TOT_CAP_EXPEND_GROWTH","FQ4 2023","FQ4 2023","Currency=USD","Period=FQ","BEST_FPERIOD_OVERRIDE=FQ","FILING_STATUS=MR","Sort=A","Dates=H","DateFormat=P","Fill=—","Direction=H","UseDPDF=Y")</f>
        <v>200</v>
      </c>
      <c r="X30" s="14">
        <f>_xll.BDH("NBIX US Equity","TOT_CAP_EXPEND_GROWTH","FQ1 2024","FQ1 2024","Currency=USD","Period=FQ","BEST_FPERIOD_OVERRIDE=FQ","FILING_STATUS=MR","Sort=A","Dates=H","DateFormat=P","Fill=—","Direction=H","UseDPDF=Y")</f>
        <v>31.764700000000001</v>
      </c>
      <c r="Y30" s="14">
        <f>_xll.BDH("NBIX US Equity","TOT_CAP_EXPEND_GROWTH","FQ2 2024","FQ2 2024","Currency=USD","Period=FQ","BEST_FPERIOD_OVERRIDE=FQ","FILING_STATUS=MR","Sort=A","Dates=H","DateFormat=P","Fill=—","Direction=H","UseDPDF=Y")</f>
        <v>70.588200000000001</v>
      </c>
      <c r="Z30" s="14">
        <f>_xll.BDH("NBIX US Equity","TOT_CAP_EXPEND_GROWTH","FQ3 2024","FQ3 2024","Currency=USD","Period=FQ","BEST_FPERIOD_OVERRIDE=FQ","FILING_STATUS=MR","Sort=A","Dates=H","DateFormat=P","Fill=—","Direction=H","UseDPDF=Y")</f>
        <v>6.5789</v>
      </c>
      <c r="AA30" s="14">
        <f>_xll.BDH("NBIX US Equity","TOT_CAP_EXPEND_GROWTH","FQ4 2024","FQ4 2024","Currency=USD","Period=FQ","BEST_FPERIOD_OVERRIDE=FQ","FILING_STATUS=MR","Sort=A","Dates=H","DateFormat=P","Fill=—","Direction=H","UseDPDF=Y")</f>
        <v>35.185200000000002</v>
      </c>
    </row>
    <row r="31" spans="1:27" x14ac:dyDescent="0.25">
      <c r="A31" s="10" t="s">
        <v>1241</v>
      </c>
      <c r="B31" s="10" t="s">
        <v>1314</v>
      </c>
      <c r="C31" s="14">
        <f>_xll.BDH("NBIX US Equity","NET_CHANGE_IN_CASH_1_YEAR_GROWTH","FQ4 2018","FQ4 2018","Currency=USD","Period=FQ","BEST_FPERIOD_OVERRIDE=FQ","FILING_STATUS=MR","Sort=A","Dates=H","DateFormat=P","Fill=—","Direction=H","UseDPDF=Y")</f>
        <v>-308.6542</v>
      </c>
      <c r="D31" s="14">
        <f>_xll.BDH("NBIX US Equity","NET_CHANGE_IN_CASH_1_YEAR_GROWTH","FQ1 2019","FQ1 2019","Currency=USD","Period=FQ","BEST_FPERIOD_OVERRIDE=FQ","FILING_STATUS=MR","Sort=A","Dates=H","DateFormat=P","Fill=—","Direction=H","UseDPDF=Y")</f>
        <v>13.1799</v>
      </c>
      <c r="E31" s="14" t="str">
        <f>_xll.BDH("NBIX US Equity","NET_CHANGE_IN_CASH_1_YEAR_GROWTH","FQ2 2019","FQ2 2019","Currency=USD","Period=FQ","BEST_FPERIOD_OVERRIDE=FQ","FILING_STATUS=MR","Sort=A","Dates=H","DateFormat=P","Fill=—","Direction=H","UseDPDF=Y")</f>
        <v>—</v>
      </c>
      <c r="F31" s="14">
        <f>_xll.BDH("NBIX US Equity","NET_CHANGE_IN_CASH_1_YEAR_GROWTH","FQ3 2019","FQ3 2019","Currency=USD","Period=FQ","BEST_FPERIOD_OVERRIDE=FQ","FILING_STATUS=MR","Sort=A","Dates=H","DateFormat=P","Fill=—","Direction=H","UseDPDF=Y")</f>
        <v>-13.537100000000001</v>
      </c>
      <c r="G31" s="14">
        <f>_xll.BDH("NBIX US Equity","NET_CHANGE_IN_CASH_1_YEAR_GROWTH","FQ4 2019","FQ4 2019","Currency=USD","Period=FQ","BEST_FPERIOD_OVERRIDE=FQ","FILING_STATUS=MR","Sort=A","Dates=H","DateFormat=P","Fill=—","Direction=H","UseDPDF=Y")</f>
        <v>-4.2484000000000002</v>
      </c>
      <c r="H31" s="14" t="str">
        <f>_xll.BDH("NBIX US Equity","NET_CHANGE_IN_CASH_1_YEAR_GROWTH","FQ1 2020","FQ1 2020","Currency=USD","Period=FQ","BEST_FPERIOD_OVERRIDE=FQ","FILING_STATUS=MR","Sort=A","Dates=H","DateFormat=P","Fill=—","Direction=H","UseDPDF=Y")</f>
        <v>—</v>
      </c>
      <c r="I31" s="14">
        <f>_xll.BDH("NBIX US Equity","NET_CHANGE_IN_CASH_1_YEAR_GROWTH","FQ2 2020","FQ2 2020","Currency=USD","Period=FQ","BEST_FPERIOD_OVERRIDE=FQ","FILING_STATUS=MR","Sort=A","Dates=H","DateFormat=P","Fill=—","Direction=H","UseDPDF=Y")</f>
        <v>234.42320000000001</v>
      </c>
      <c r="J31" s="14">
        <f>_xll.BDH("NBIX US Equity","NET_CHANGE_IN_CASH_1_YEAR_GROWTH","FQ3 2020","FQ3 2020","Currency=USD","Period=FQ","BEST_FPERIOD_OVERRIDE=FQ","FILING_STATUS=MR","Sort=A","Dates=H","DateFormat=P","Fill=—","Direction=H","UseDPDF=Y")</f>
        <v>-59.753799999999998</v>
      </c>
      <c r="K31" s="14">
        <f>_xll.BDH("NBIX US Equity","NET_CHANGE_IN_CASH_1_YEAR_GROWTH","FQ4 2020","FQ4 2020","Currency=USD","Period=FQ","BEST_FPERIOD_OVERRIDE=FQ","FILING_STATUS=MR","Sort=A","Dates=H","DateFormat=P","Fill=—","Direction=H","UseDPDF=Y")</f>
        <v>-322.97789999999998</v>
      </c>
      <c r="L31" s="14">
        <f>_xll.BDH("NBIX US Equity","NET_CHANGE_IN_CASH_1_YEAR_GROWTH","FQ1 2021","FQ1 2021","Currency=USD","Period=FQ","BEST_FPERIOD_OVERRIDE=FQ","FILING_STATUS=MR","Sort=A","Dates=H","DateFormat=P","Fill=—","Direction=H","UseDPDF=Y")</f>
        <v>121.55289999999999</v>
      </c>
      <c r="M31" s="14">
        <f>_xll.BDH("NBIX US Equity","NET_CHANGE_IN_CASH_1_YEAR_GROWTH","FQ2 2021","FQ2 2021","Currency=USD","Period=FQ","BEST_FPERIOD_OVERRIDE=FQ","FILING_STATUS=MR","Sort=A","Dates=H","DateFormat=P","Fill=—","Direction=H","UseDPDF=Y")</f>
        <v>-93.248599999999996</v>
      </c>
      <c r="N31" s="14" t="str">
        <f>_xll.BDH("NBIX US Equity","NET_CHANGE_IN_CASH_1_YEAR_GROWTH","FQ3 2021","FQ3 2021","Currency=USD","Period=FQ","BEST_FPERIOD_OVERRIDE=FQ","FILING_STATUS=MR","Sort=A","Dates=H","DateFormat=P","Fill=—","Direction=H","UseDPDF=Y")</f>
        <v>—</v>
      </c>
      <c r="O31" s="14" t="str">
        <f>_xll.BDH("NBIX US Equity","NET_CHANGE_IN_CASH_1_YEAR_GROWTH","FQ4 2021","FQ4 2021","Currency=USD","Period=FQ","BEST_FPERIOD_OVERRIDE=FQ","FILING_STATUS=MR","Sort=A","Dates=H","DateFormat=P","Fill=—","Direction=H","UseDPDF=Y")</f>
        <v>—</v>
      </c>
      <c r="P31" s="14" t="str">
        <f>_xll.BDH("NBIX US Equity","NET_CHANGE_IN_CASH_1_YEAR_GROWTH","FQ1 2022","FQ1 2022","Currency=USD","Period=FQ","BEST_FPERIOD_OVERRIDE=FQ","FILING_STATUS=MR","Sort=A","Dates=H","DateFormat=P","Fill=—","Direction=H","UseDPDF=Y")</f>
        <v>—</v>
      </c>
      <c r="Q31" s="14" t="str">
        <f>_xll.BDH("NBIX US Equity","NET_CHANGE_IN_CASH_1_YEAR_GROWTH","FQ2 2022","FQ2 2022","Currency=USD","Period=FQ","BEST_FPERIOD_OVERRIDE=FQ","FILING_STATUS=MR","Sort=A","Dates=H","DateFormat=P","Fill=—","Direction=H","UseDPDF=Y")</f>
        <v>—</v>
      </c>
      <c r="R31" s="14" t="str">
        <f>_xll.BDH("NBIX US Equity","NET_CHANGE_IN_CASH_1_YEAR_GROWTH","FQ3 2022","FQ3 2022","Currency=USD","Period=FQ","BEST_FPERIOD_OVERRIDE=FQ","FILING_STATUS=MR","Sort=A","Dates=H","DateFormat=P","Fill=—","Direction=H","UseDPDF=Y")</f>
        <v>—</v>
      </c>
      <c r="S31" s="14">
        <f>_xll.BDH("NBIX US Equity","NET_CHANGE_IN_CASH_1_YEAR_GROWTH","FQ4 2022","FQ4 2022","Currency=USD","Period=FQ","BEST_FPERIOD_OVERRIDE=FQ","FILING_STATUS=MR","Sort=A","Dates=H","DateFormat=P","Fill=—","Direction=H","UseDPDF=Y")</f>
        <v>70.707099999999997</v>
      </c>
      <c r="T31" s="14">
        <f>_xll.BDH("NBIX US Equity","NET_CHANGE_IN_CASH_1_YEAR_GROWTH","FQ1 2023","FQ1 2023","Currency=USD","Period=FQ","BEST_FPERIOD_OVERRIDE=FQ","FILING_STATUS=MR","Sort=A","Dates=H","DateFormat=P","Fill=—","Direction=H","UseDPDF=Y")</f>
        <v>-141.06059999999999</v>
      </c>
      <c r="U31" s="14" t="str">
        <f>_xll.BDH("NBIX US Equity","NET_CHANGE_IN_CASH_1_YEAR_GROWTH","FQ2 2023","FQ2 2023","Currency=USD","Period=FQ","BEST_FPERIOD_OVERRIDE=FQ","FILING_STATUS=MR","Sort=A","Dates=H","DateFormat=P","Fill=—","Direction=H","UseDPDF=Y")</f>
        <v>—</v>
      </c>
      <c r="V31" s="14">
        <f>_xll.BDH("NBIX US Equity","NET_CHANGE_IN_CASH_1_YEAR_GROWTH","FQ3 2023","FQ3 2023","Currency=USD","Period=FQ","BEST_FPERIOD_OVERRIDE=FQ","FILING_STATUS=MR","Sort=A","Dates=H","DateFormat=P","Fill=—","Direction=H","UseDPDF=Y")</f>
        <v>173.0061</v>
      </c>
      <c r="W31" s="14" t="str">
        <f>_xll.BDH("NBIX US Equity","NET_CHANGE_IN_CASH_1_YEAR_GROWTH","FQ4 2023","FQ4 2023","Currency=USD","Period=FQ","BEST_FPERIOD_OVERRIDE=FQ","FILING_STATUS=MR","Sort=A","Dates=H","DateFormat=P","Fill=—","Direction=H","UseDPDF=Y")</f>
        <v>—</v>
      </c>
      <c r="X31" s="14" t="str">
        <f>_xll.BDH("NBIX US Equity","NET_CHANGE_IN_CASH_1_YEAR_GROWTH","FQ1 2024","FQ1 2024","Currency=USD","Period=FQ","BEST_FPERIOD_OVERRIDE=FQ","FILING_STATUS=MR","Sort=A","Dates=H","DateFormat=P","Fill=—","Direction=H","UseDPDF=Y")</f>
        <v>—</v>
      </c>
      <c r="Y31" s="14" t="str">
        <f>_xll.BDH("NBIX US Equity","NET_CHANGE_IN_CASH_1_YEAR_GROWTH","FQ2 2024","FQ2 2024","Currency=USD","Period=FQ","BEST_FPERIOD_OVERRIDE=FQ","FILING_STATUS=MR","Sort=A","Dates=H","DateFormat=P","Fill=—","Direction=H","UseDPDF=Y")</f>
        <v>—</v>
      </c>
      <c r="Z31" s="14">
        <f>_xll.BDH("NBIX US Equity","NET_CHANGE_IN_CASH_1_YEAR_GROWTH","FQ3 2024","FQ3 2024","Currency=USD","Period=FQ","BEST_FPERIOD_OVERRIDE=FQ","FILING_STATUS=MR","Sort=A","Dates=H","DateFormat=P","Fill=—","Direction=H","UseDPDF=Y")</f>
        <v>56.853900000000003</v>
      </c>
      <c r="AA31" s="14">
        <f>_xll.BDH("NBIX US Equity","NET_CHANGE_IN_CASH_1_YEAR_GROWTH","FQ4 2024","FQ4 2024","Currency=USD","Period=FQ","BEST_FPERIOD_OVERRIDE=FQ","FILING_STATUS=MR","Sort=A","Dates=H","DateFormat=P","Fill=—","Direction=H","UseDPDF=Y")</f>
        <v>-172.5352</v>
      </c>
    </row>
    <row r="32" spans="1:27" x14ac:dyDescent="0.25">
      <c r="A32" s="10" t="s">
        <v>88</v>
      </c>
      <c r="B32" s="10" t="s">
        <v>1315</v>
      </c>
      <c r="C32" s="14">
        <f>_xll.BDH("NBIX US Equity","FREE_CASH_FLOW_1_YEAR_GROWTH","FQ4 2018","FQ4 2018","Currency=USD","Period=FQ","BEST_FPERIOD_OVERRIDE=FQ","FILING_STATUS=MR","Sort=A","Dates=H","DateFormat=P","Fill=—","Direction=H","UseDPDF=Y")</f>
        <v>16.351600000000001</v>
      </c>
      <c r="D32" s="14">
        <f>_xll.BDH("NBIX US Equity","FREE_CASH_FLOW_1_YEAR_GROWTH","FQ1 2019","FQ1 2019","Currency=USD","Period=FQ","BEST_FPERIOD_OVERRIDE=FQ","FILING_STATUS=MR","Sort=A","Dates=H","DateFormat=P","Fill=—","Direction=H","UseDPDF=Y")</f>
        <v>-189.0086</v>
      </c>
      <c r="E32" s="14">
        <f>_xll.BDH("NBIX US Equity","FREE_CASH_FLOW_1_YEAR_GROWTH","FQ2 2019","FQ2 2019","Currency=USD","Period=FQ","BEST_FPERIOD_OVERRIDE=FQ","FILING_STATUS=MR","Sort=A","Dates=H","DateFormat=P","Fill=—","Direction=H","UseDPDF=Y")</f>
        <v>277.07119999999998</v>
      </c>
      <c r="F32" s="14">
        <f>_xll.BDH("NBIX US Equity","FREE_CASH_FLOW_1_YEAR_GROWTH","FQ3 2019","FQ3 2019","Currency=USD","Period=FQ","BEST_FPERIOD_OVERRIDE=FQ","FILING_STATUS=MR","Sort=A","Dates=H","DateFormat=P","Fill=—","Direction=H","UseDPDF=Y")</f>
        <v>66.699700000000007</v>
      </c>
      <c r="G32" s="14">
        <f>_xll.BDH("NBIX US Equity","FREE_CASH_FLOW_1_YEAR_GROWTH","FQ4 2019","FQ4 2019","Currency=USD","Period=FQ","BEST_FPERIOD_OVERRIDE=FQ","FILING_STATUS=MR","Sort=A","Dates=H","DateFormat=P","Fill=—","Direction=H","UseDPDF=Y")</f>
        <v>113.1379</v>
      </c>
      <c r="H32" s="14" t="str">
        <f>_xll.BDH("NBIX US Equity","FREE_CASH_FLOW_1_YEAR_GROWTH","FQ1 2020","FQ1 2020","Currency=USD","Period=FQ","BEST_FPERIOD_OVERRIDE=FQ","FILING_STATUS=MR","Sort=A","Dates=H","DateFormat=P","Fill=—","Direction=H","UseDPDF=Y")</f>
        <v>—</v>
      </c>
      <c r="I32" s="14">
        <f>_xll.BDH("NBIX US Equity","FREE_CASH_FLOW_1_YEAR_GROWTH","FQ2 2020","FQ2 2020","Currency=USD","Period=FQ","BEST_FPERIOD_OVERRIDE=FQ","FILING_STATUS=MR","Sort=A","Dates=H","DateFormat=P","Fill=—","Direction=H","UseDPDF=Y")</f>
        <v>91.248099999999994</v>
      </c>
      <c r="J32" s="14" t="str">
        <f>_xll.BDH("NBIX US Equity","FREE_CASH_FLOW_1_YEAR_GROWTH","FQ3 2020","FQ3 2020","Currency=USD","Period=FQ","BEST_FPERIOD_OVERRIDE=FQ","FILING_STATUS=MR","Sort=A","Dates=H","DateFormat=P","Fill=—","Direction=H","UseDPDF=Y")</f>
        <v>—</v>
      </c>
      <c r="K32" s="14">
        <f>_xll.BDH("NBIX US Equity","FREE_CASH_FLOW_1_YEAR_GROWTH","FQ4 2020","FQ4 2020","Currency=USD","Period=FQ","BEST_FPERIOD_OVERRIDE=FQ","FILING_STATUS=MR","Sort=A","Dates=H","DateFormat=P","Fill=—","Direction=H","UseDPDF=Y")</f>
        <v>-4.9901</v>
      </c>
      <c r="L32" s="14">
        <f>_xll.BDH("NBIX US Equity","FREE_CASH_FLOW_1_YEAR_GROWTH","FQ1 2021","FQ1 2021","Currency=USD","Period=FQ","BEST_FPERIOD_OVERRIDE=FQ","FILING_STATUS=MR","Sort=A","Dates=H","DateFormat=P","Fill=—","Direction=H","UseDPDF=Y")</f>
        <v>142.1053</v>
      </c>
      <c r="M32" s="14">
        <f>_xll.BDH("NBIX US Equity","FREE_CASH_FLOW_1_YEAR_GROWTH","FQ2 2021","FQ2 2021","Currency=USD","Period=FQ","BEST_FPERIOD_OVERRIDE=FQ","FILING_STATUS=MR","Sort=A","Dates=H","DateFormat=P","Fill=—","Direction=H","UseDPDF=Y")</f>
        <v>-13.397500000000001</v>
      </c>
      <c r="N32" s="14" t="str">
        <f>_xll.BDH("NBIX US Equity","FREE_CASH_FLOW_1_YEAR_GROWTH","FQ3 2021","FQ3 2021","Currency=USD","Period=FQ","BEST_FPERIOD_OVERRIDE=FQ","FILING_STATUS=MR","Sort=A","Dates=H","DateFormat=P","Fill=—","Direction=H","UseDPDF=Y")</f>
        <v>—</v>
      </c>
      <c r="O32" s="14" t="str">
        <f>_xll.BDH("NBIX US Equity","FREE_CASH_FLOW_1_YEAR_GROWTH","FQ4 2021","FQ4 2021","Currency=USD","Period=FQ","BEST_FPERIOD_OVERRIDE=FQ","FILING_STATUS=MR","Sort=A","Dates=H","DateFormat=P","Fill=—","Direction=H","UseDPDF=Y")</f>
        <v>—</v>
      </c>
      <c r="P32" s="14" t="str">
        <f>_xll.BDH("NBIX US Equity","FREE_CASH_FLOW_1_YEAR_GROWTH","FQ1 2022","FQ1 2022","Currency=USD","Period=FQ","BEST_FPERIOD_OVERRIDE=FQ","FILING_STATUS=MR","Sort=A","Dates=H","DateFormat=P","Fill=—","Direction=H","UseDPDF=Y")</f>
        <v>—</v>
      </c>
      <c r="Q32" s="14">
        <f>_xll.BDH("NBIX US Equity","FREE_CASH_FLOW_1_YEAR_GROWTH","FQ2 2022","FQ2 2022","Currency=USD","Period=FQ","BEST_FPERIOD_OVERRIDE=FQ","FILING_STATUS=MR","Sort=A","Dates=H","DateFormat=P","Fill=—","Direction=H","UseDPDF=Y")</f>
        <v>30.738099999999999</v>
      </c>
      <c r="R32" s="14" t="str">
        <f>_xll.BDH("NBIX US Equity","FREE_CASH_FLOW_1_YEAR_GROWTH","FQ3 2022","FQ3 2022","Currency=USD","Period=FQ","BEST_FPERIOD_OVERRIDE=FQ","FILING_STATUS=MR","Sort=A","Dates=H","DateFormat=P","Fill=—","Direction=H","UseDPDF=Y")</f>
        <v>—</v>
      </c>
      <c r="S32" s="14" t="str">
        <f>_xll.BDH("NBIX US Equity","FREE_CASH_FLOW_1_YEAR_GROWTH","FQ4 2022","FQ4 2022","Currency=USD","Period=FQ","BEST_FPERIOD_OVERRIDE=FQ","FILING_STATUS=MR","Sort=A","Dates=H","DateFormat=P","Fill=—","Direction=H","UseDPDF=Y")</f>
        <v>—</v>
      </c>
      <c r="T32" s="14">
        <f>_xll.BDH("NBIX US Equity","FREE_CASH_FLOW_1_YEAR_GROWTH","FQ1 2023","FQ1 2023","Currency=USD","Period=FQ","BEST_FPERIOD_OVERRIDE=FQ","FILING_STATUS=MR","Sort=A","Dates=H","DateFormat=P","Fill=—","Direction=H","UseDPDF=Y")</f>
        <v>-177.96260000000001</v>
      </c>
      <c r="U32" s="14">
        <f>_xll.BDH("NBIX US Equity","FREE_CASH_FLOW_1_YEAR_GROWTH","FQ2 2023","FQ2 2023","Currency=USD","Period=FQ","BEST_FPERIOD_OVERRIDE=FQ","FILING_STATUS=MR","Sort=A","Dates=H","DateFormat=P","Fill=—","Direction=H","UseDPDF=Y")</f>
        <v>33.642699999999998</v>
      </c>
      <c r="V32" s="14" t="str">
        <f>_xll.BDH("NBIX US Equity","FREE_CASH_FLOW_1_YEAR_GROWTH","FQ3 2023","FQ3 2023","Currency=USD","Period=FQ","BEST_FPERIOD_OVERRIDE=FQ","FILING_STATUS=MR","Sort=A","Dates=H","DateFormat=P","Fill=—","Direction=H","UseDPDF=Y")</f>
        <v>—</v>
      </c>
      <c r="W32" s="14">
        <f>_xll.BDH("NBIX US Equity","FREE_CASH_FLOW_1_YEAR_GROWTH","FQ4 2023","FQ4 2023","Currency=USD","Period=FQ","BEST_FPERIOD_OVERRIDE=FQ","FILING_STATUS=MR","Sort=A","Dates=H","DateFormat=P","Fill=—","Direction=H","UseDPDF=Y")</f>
        <v>-16.3598</v>
      </c>
      <c r="X32" s="14" t="str">
        <f>_xll.BDH("NBIX US Equity","FREE_CASH_FLOW_1_YEAR_GROWTH","FQ1 2024","FQ1 2024","Currency=USD","Period=FQ","BEST_FPERIOD_OVERRIDE=FQ","FILING_STATUS=MR","Sort=A","Dates=H","DateFormat=P","Fill=—","Direction=H","UseDPDF=Y")</f>
        <v>—</v>
      </c>
      <c r="Y32" s="14">
        <f>_xll.BDH("NBIX US Equity","FREE_CASH_FLOW_1_YEAR_GROWTH","FQ2 2024","FQ2 2024","Currency=USD","Period=FQ","BEST_FPERIOD_OVERRIDE=FQ","FILING_STATUS=MR","Sort=A","Dates=H","DateFormat=P","Fill=—","Direction=H","UseDPDF=Y")</f>
        <v>-69.328699999999998</v>
      </c>
      <c r="Z32" s="14">
        <f>_xll.BDH("NBIX US Equity","FREE_CASH_FLOW_1_YEAR_GROWTH","FQ3 2024","FQ3 2024","Currency=USD","Period=FQ","BEST_FPERIOD_OVERRIDE=FQ","FILING_STATUS=MR","Sort=A","Dates=H","DateFormat=P","Fill=—","Direction=H","UseDPDF=Y")</f>
        <v>-26.663399999999999</v>
      </c>
      <c r="AA32" s="14">
        <f>_xll.BDH("NBIX US Equity","FREE_CASH_FLOW_1_YEAR_GROWTH","FQ4 2024","FQ4 2024","Currency=USD","Period=FQ","BEST_FPERIOD_OVERRIDE=FQ","FILING_STATUS=MR","Sort=A","Dates=H","DateFormat=P","Fill=—","Direction=H","UseDPDF=Y")</f>
        <v>99.153300000000002</v>
      </c>
    </row>
    <row r="33" spans="1:27" x14ac:dyDescent="0.25">
      <c r="A33" s="10" t="s">
        <v>1316</v>
      </c>
      <c r="B33" s="10" t="s">
        <v>1317</v>
      </c>
      <c r="C33" s="14">
        <f>_xll.BDH("NBIX US Equity","CASH_FLOW_TO_FIRM_1_YEAR_GROWTH","FQ4 2018","FQ4 2018","Currency=USD","Period=FQ","BEST_FPERIOD_OVERRIDE=FQ","FILING_STATUS=MR","FA_ADJUSTED=GAAP","Sort=A","Dates=H","DateFormat=P","Fill=—","Direction=H","UseDPDF=Y")</f>
        <v>20.672799999999999</v>
      </c>
      <c r="D33" s="14" t="str">
        <f>_xll.BDH("NBIX US Equity","CASH_FLOW_TO_FIRM_1_YEAR_GROWTH","FQ1 2019","FQ1 2019","Currency=USD","Period=FQ","BEST_FPERIOD_OVERRIDE=FQ","FILING_STATUS=MR","FA_ADJUSTED=GAAP","Sort=A","Dates=H","DateFormat=P","Fill=—","Direction=H","UseDPDF=Y")</f>
        <v>—</v>
      </c>
      <c r="E33" s="14" t="str">
        <f>_xll.BDH("NBIX US Equity","CASH_FLOW_TO_FIRM_1_YEAR_GROWTH","FQ2 2019","FQ2 2019","Currency=USD","Period=FQ","BEST_FPERIOD_OVERRIDE=FQ","FILING_STATUS=MR","FA_ADJUSTED=GAAP","Sort=A","Dates=H","DateFormat=P","Fill=—","Direction=H","UseDPDF=Y")</f>
        <v>—</v>
      </c>
      <c r="F33" s="14">
        <f>_xll.BDH("NBIX US Equity","CASH_FLOW_TO_FIRM_1_YEAR_GROWTH","FQ3 2019","FQ3 2019","Currency=USD","Period=FQ","BEST_FPERIOD_OVERRIDE=FQ","FILING_STATUS=MR","FA_ADJUSTED=GAAP","Sort=A","Dates=H","DateFormat=P","Fill=—","Direction=H","UseDPDF=Y")</f>
        <v>37.393700000000003</v>
      </c>
      <c r="G33" s="14">
        <f>_xll.BDH("NBIX US Equity","CASH_FLOW_TO_FIRM_1_YEAR_GROWTH","FQ4 2019","FQ4 2019","Currency=USD","Period=FQ","BEST_FPERIOD_OVERRIDE=FQ","FILING_STATUS=MR","FA_ADJUSTED=GAAP","Sort=A","Dates=H","DateFormat=P","Fill=—","Direction=H","UseDPDF=Y")</f>
        <v>80.817700000000002</v>
      </c>
      <c r="H33" s="14" t="str">
        <f>_xll.BDH("NBIX US Equity","CASH_FLOW_TO_FIRM_1_YEAR_GROWTH","FQ1 2020","FQ1 2020","Currency=USD","Period=FQ","BEST_FPERIOD_OVERRIDE=FQ","FILING_STATUS=MR","FA_ADJUSTED=GAAP","Sort=A","Dates=H","DateFormat=P","Fill=—","Direction=H","UseDPDF=Y")</f>
        <v>—</v>
      </c>
      <c r="I33" s="14">
        <f>_xll.BDH("NBIX US Equity","CASH_FLOW_TO_FIRM_1_YEAR_GROWTH","FQ2 2020","FQ2 2020","Currency=USD","Period=FQ","BEST_FPERIOD_OVERRIDE=FQ","FILING_STATUS=MR","FA_ADJUSTED=GAAP","Sort=A","Dates=H","DateFormat=P","Fill=—","Direction=H","UseDPDF=Y")</f>
        <v>76.1845</v>
      </c>
      <c r="J33" s="14" t="str">
        <f>_xll.BDH("NBIX US Equity","CASH_FLOW_TO_FIRM_1_YEAR_GROWTH","FQ3 2020","FQ3 2020","Currency=USD","Period=FQ","BEST_FPERIOD_OVERRIDE=FQ","FILING_STATUS=MR","FA_ADJUSTED=GAAP","Sort=A","Dates=H","DateFormat=P","Fill=—","Direction=H","UseDPDF=Y")</f>
        <v>—</v>
      </c>
      <c r="K33" s="14" t="str">
        <f>_xll.BDH("NBIX US Equity","CASH_FLOW_TO_FIRM_1_YEAR_GROWTH","FQ4 2020","FQ4 2020","Currency=USD","Period=FQ","BEST_FPERIOD_OVERRIDE=FQ","FILING_STATUS=MR","FA_ADJUSTED=GAAP","Sort=A","Dates=H","DateFormat=P","Fill=—","Direction=H","UseDPDF=Y")</f>
        <v>—</v>
      </c>
      <c r="L33" s="14" t="str">
        <f>_xll.BDH("NBIX US Equity","CASH_FLOW_TO_FIRM_1_YEAR_GROWTH","FQ1 2021","FQ1 2021","Currency=USD","Period=FQ","BEST_FPERIOD_OVERRIDE=FQ","FILING_STATUS=MR","FA_ADJUSTED=GAAP","Sort=A","Dates=H","DateFormat=P","Fill=—","Direction=H","UseDPDF=Y")</f>
        <v>—</v>
      </c>
      <c r="M33" s="14">
        <f>_xll.BDH("NBIX US Equity","CASH_FLOW_TO_FIRM_1_YEAR_GROWTH","FQ2 2021","FQ2 2021","Currency=USD","Period=FQ","BEST_FPERIOD_OVERRIDE=FQ","FILING_STATUS=MR","FA_ADJUSTED=GAAP","Sort=A","Dates=H","DateFormat=P","Fill=—","Direction=H","UseDPDF=Y")</f>
        <v>-15.042299999999999</v>
      </c>
      <c r="N33" s="14" t="str">
        <f>_xll.BDH("NBIX US Equity","CASH_FLOW_TO_FIRM_1_YEAR_GROWTH","FQ3 2021","FQ3 2021","Currency=USD","Period=FQ","BEST_FPERIOD_OVERRIDE=FQ","FILING_STATUS=MR","FA_ADJUSTED=GAAP","Sort=A","Dates=H","DateFormat=P","Fill=—","Direction=H","UseDPDF=Y")</f>
        <v>—</v>
      </c>
      <c r="O33" s="14" t="str">
        <f>_xll.BDH("NBIX US Equity","CASH_FLOW_TO_FIRM_1_YEAR_GROWTH","FQ4 2021","FQ4 2021","Currency=USD","Period=FQ","BEST_FPERIOD_OVERRIDE=FQ","FILING_STATUS=MR","FA_ADJUSTED=GAAP","Sort=A","Dates=H","DateFormat=P","Fill=—","Direction=H","UseDPDF=Y")</f>
        <v>—</v>
      </c>
      <c r="P33" s="14" t="str">
        <f>_xll.BDH("NBIX US Equity","CASH_FLOW_TO_FIRM_1_YEAR_GROWTH","FQ1 2022","FQ1 2022","Currency=USD","Period=FQ","BEST_FPERIOD_OVERRIDE=FQ","FILING_STATUS=MR","FA_ADJUSTED=GAAP","Sort=A","Dates=H","DateFormat=P","Fill=—","Direction=H","UseDPDF=Y")</f>
        <v>—</v>
      </c>
      <c r="Q33" s="14">
        <f>_xll.BDH("NBIX US Equity","CASH_FLOW_TO_FIRM_1_YEAR_GROWTH","FQ2 2022","FQ2 2022","Currency=USD","Period=FQ","BEST_FPERIOD_OVERRIDE=FQ","FILING_STATUS=MR","FA_ADJUSTED=GAAP","Sort=A","Dates=H","DateFormat=P","Fill=—","Direction=H","UseDPDF=Y")</f>
        <v>29.8368</v>
      </c>
      <c r="R33" s="14">
        <f>_xll.BDH("NBIX US Equity","CASH_FLOW_TO_FIRM_1_YEAR_GROWTH","FQ3 2022","FQ3 2022","Currency=USD","Period=FQ","BEST_FPERIOD_OVERRIDE=FQ","FILING_STATUS=MR","FA_ADJUSTED=GAAP","Sort=A","Dates=H","DateFormat=P","Fill=—","Direction=H","UseDPDF=Y")</f>
        <v>49.454500000000003</v>
      </c>
      <c r="S33" s="14">
        <f>_xll.BDH("NBIX US Equity","CASH_FLOW_TO_FIRM_1_YEAR_GROWTH","FQ4 2022","FQ4 2022","Currency=USD","Period=FQ","BEST_FPERIOD_OVERRIDE=FQ","FILING_STATUS=MR","FA_ADJUSTED=GAAP","Sort=A","Dates=H","DateFormat=P","Fill=—","Direction=H","UseDPDF=Y")</f>
        <v>1333.7225000000001</v>
      </c>
      <c r="T33" s="14">
        <f>_xll.BDH("NBIX US Equity","CASH_FLOW_TO_FIRM_1_YEAR_GROWTH","FQ1 2023","FQ1 2023","Currency=USD","Period=FQ","BEST_FPERIOD_OVERRIDE=FQ","FILING_STATUS=MR","FA_ADJUSTED=GAAP","Sort=A","Dates=H","DateFormat=P","Fill=—","Direction=H","UseDPDF=Y")</f>
        <v>-220.55359999999999</v>
      </c>
      <c r="U33" s="14">
        <f>_xll.BDH("NBIX US Equity","CASH_FLOW_TO_FIRM_1_YEAR_GROWTH","FQ2 2023","FQ2 2023","Currency=USD","Period=FQ","BEST_FPERIOD_OVERRIDE=FQ","FILING_STATUS=MR","FA_ADJUSTED=GAAP","Sort=A","Dates=H","DateFormat=P","Fill=—","Direction=H","UseDPDF=Y")</f>
        <v>29.0947</v>
      </c>
      <c r="V33" s="14">
        <f>_xll.BDH("NBIX US Equity","CASH_FLOW_TO_FIRM_1_YEAR_GROWTH","FQ3 2023","FQ3 2023","Currency=USD","Period=FQ","BEST_FPERIOD_OVERRIDE=FQ","FILING_STATUS=MR","FA_ADJUSTED=GAAP","Sort=A","Dates=H","DateFormat=P","Fill=—","Direction=H","UseDPDF=Y")</f>
        <v>113.5603</v>
      </c>
      <c r="W33" s="14">
        <f>_xll.BDH("NBIX US Equity","CASH_FLOW_TO_FIRM_1_YEAR_GROWTH","FQ4 2023","FQ4 2023","Currency=USD","Period=FQ","BEST_FPERIOD_OVERRIDE=FQ","FILING_STATUS=MR","FA_ADJUSTED=GAAP","Sort=A","Dates=H","DateFormat=P","Fill=—","Direction=H","UseDPDF=Y")</f>
        <v>-13.565</v>
      </c>
      <c r="X33" s="14" t="str">
        <f>_xll.BDH("NBIX US Equity","CASH_FLOW_TO_FIRM_1_YEAR_GROWTH","FQ1 2024","FQ1 2024","Currency=USD","Period=FQ","BEST_FPERIOD_OVERRIDE=FQ","FILING_STATUS=MR","FA_ADJUSTED=GAAP","Sort=A","Dates=H","DateFormat=P","Fill=—","Direction=H","UseDPDF=Y")</f>
        <v>—</v>
      </c>
      <c r="Y33" s="14" t="str">
        <f>_xll.BDH("NBIX US Equity","CASH_FLOW_TO_FIRM_1_YEAR_GROWTH","FQ2 2024","FQ2 2024","Currency=USD","Period=FQ","BEST_FPERIOD_OVERRIDE=FQ","FILING_STATUS=MR","FA_ADJUSTED=GAAP","Sort=A","Dates=H","DateFormat=P","Fill=—","Direction=H","UseDPDF=Y")</f>
        <v>—</v>
      </c>
      <c r="Z33" s="14" t="str">
        <f>_xll.BDH("NBIX US Equity","CASH_FLOW_TO_FIRM_1_YEAR_GROWTH","FQ3 2024","FQ3 2024","Currency=USD","Period=FQ","BEST_FPERIOD_OVERRIDE=FQ","FILING_STATUS=MR","FA_ADJUSTED=GAAP","Sort=A","Dates=H","DateFormat=P","Fill=—","Direction=H","UseDPDF=Y")</f>
        <v>—</v>
      </c>
      <c r="AA33" s="14" t="str">
        <f>_xll.BDH("NBIX US Equity","CASH_FLOW_TO_FIRM_1_YEAR_GROWTH","FQ4 2024","FQ4 2024","Currency=USD","Period=FQ","BEST_FPERIOD_OVERRIDE=FQ","FILING_STATUS=MR","FA_ADJUSTED=GAAP","Sort=A","Dates=H","DateFormat=P","Fill=—","Direction=H","UseDPDF=Y")</f>
        <v>—</v>
      </c>
    </row>
    <row r="34" spans="1:27" x14ac:dyDescent="0.25">
      <c r="A34" s="10" t="s">
        <v>1160</v>
      </c>
      <c r="B34" s="10" t="s">
        <v>1318</v>
      </c>
      <c r="C34" s="14">
        <f>_xll.BDH("NBIX US Equity","FCF_TO_FIRM_1_YEAR_GROWTH","FQ4 2018","FQ4 2018","Currency=USD","Period=FQ","BEST_FPERIOD_OVERRIDE=FQ","FILING_STATUS=MR","FA_ADJUSTED=GAAP","Sort=A","Dates=H","DateFormat=P","Fill=—","Direction=H","UseDPDF=Y")</f>
        <v>13.7859</v>
      </c>
      <c r="D34" s="14" t="str">
        <f>_xll.BDH("NBIX US Equity","FCF_TO_FIRM_1_YEAR_GROWTH","FQ1 2019","FQ1 2019","Currency=USD","Period=FQ","BEST_FPERIOD_OVERRIDE=FQ","FILING_STATUS=MR","FA_ADJUSTED=GAAP","Sort=A","Dates=H","DateFormat=P","Fill=—","Direction=H","UseDPDF=Y")</f>
        <v>—</v>
      </c>
      <c r="E34" s="14" t="str">
        <f>_xll.BDH("NBIX US Equity","FCF_TO_FIRM_1_YEAR_GROWTH","FQ2 2019","FQ2 2019","Currency=USD","Period=FQ","BEST_FPERIOD_OVERRIDE=FQ","FILING_STATUS=MR","FA_ADJUSTED=GAAP","Sort=A","Dates=H","DateFormat=P","Fill=—","Direction=H","UseDPDF=Y")</f>
        <v>—</v>
      </c>
      <c r="F34" s="14">
        <f>_xll.BDH("NBIX US Equity","FCF_TO_FIRM_1_YEAR_GROWTH","FQ3 2019","FQ3 2019","Currency=USD","Period=FQ","BEST_FPERIOD_OVERRIDE=FQ","FILING_STATUS=MR","FA_ADJUSTED=GAAP","Sort=A","Dates=H","DateFormat=P","Fill=—","Direction=H","UseDPDF=Y")</f>
        <v>58.313000000000002</v>
      </c>
      <c r="G34" s="14">
        <f>_xll.BDH("NBIX US Equity","FCF_TO_FIRM_1_YEAR_GROWTH","FQ4 2019","FQ4 2019","Currency=USD","Period=FQ","BEST_FPERIOD_OVERRIDE=FQ","FILING_STATUS=MR","FA_ADJUSTED=GAAP","Sort=A","Dates=H","DateFormat=P","Fill=—","Direction=H","UseDPDF=Y")</f>
        <v>96.413499999999999</v>
      </c>
      <c r="H34" s="14" t="str">
        <f>_xll.BDH("NBIX US Equity","FCF_TO_FIRM_1_YEAR_GROWTH","FQ1 2020","FQ1 2020","Currency=USD","Period=FQ","BEST_FPERIOD_OVERRIDE=FQ","FILING_STATUS=MR","FA_ADJUSTED=GAAP","Sort=A","Dates=H","DateFormat=P","Fill=—","Direction=H","UseDPDF=Y")</f>
        <v>—</v>
      </c>
      <c r="I34" s="14">
        <f>_xll.BDH("NBIX US Equity","FCF_TO_FIRM_1_YEAR_GROWTH","FQ2 2020","FQ2 2020","Currency=USD","Period=FQ","BEST_FPERIOD_OVERRIDE=FQ","FILING_STATUS=MR","FA_ADJUSTED=GAAP","Sort=A","Dates=H","DateFormat=P","Fill=—","Direction=H","UseDPDF=Y")</f>
        <v>80.841700000000003</v>
      </c>
      <c r="J34" s="14" t="str">
        <f>_xll.BDH("NBIX US Equity","FCF_TO_FIRM_1_YEAR_GROWTH","FQ3 2020","FQ3 2020","Currency=USD","Period=FQ","BEST_FPERIOD_OVERRIDE=FQ","FILING_STATUS=MR","FA_ADJUSTED=GAAP","Sort=A","Dates=H","DateFormat=P","Fill=—","Direction=H","UseDPDF=Y")</f>
        <v>—</v>
      </c>
      <c r="K34" s="14" t="str">
        <f>_xll.BDH("NBIX US Equity","FCF_TO_FIRM_1_YEAR_GROWTH","FQ4 2020","FQ4 2020","Currency=USD","Period=FQ","BEST_FPERIOD_OVERRIDE=FQ","FILING_STATUS=MR","FA_ADJUSTED=GAAP","Sort=A","Dates=H","DateFormat=P","Fill=—","Direction=H","UseDPDF=Y")</f>
        <v>—</v>
      </c>
      <c r="L34" s="14" t="str">
        <f>_xll.BDH("NBIX US Equity","FCF_TO_FIRM_1_YEAR_GROWTH","FQ1 2021","FQ1 2021","Currency=USD","Period=FQ","BEST_FPERIOD_OVERRIDE=FQ","FILING_STATUS=MR","FA_ADJUSTED=GAAP","Sort=A","Dates=H","DateFormat=P","Fill=—","Direction=H","UseDPDF=Y")</f>
        <v>—</v>
      </c>
      <c r="M34" s="14">
        <f>_xll.BDH("NBIX US Equity","FCF_TO_FIRM_1_YEAR_GROWTH","FQ2 2021","FQ2 2021","Currency=USD","Period=FQ","BEST_FPERIOD_OVERRIDE=FQ","FILING_STATUS=MR","FA_ADJUSTED=GAAP","Sort=A","Dates=H","DateFormat=P","Fill=—","Direction=H","UseDPDF=Y")</f>
        <v>-15.293699999999999</v>
      </c>
      <c r="N34" s="14" t="str">
        <f>_xll.BDH("NBIX US Equity","FCF_TO_FIRM_1_YEAR_GROWTH","FQ3 2021","FQ3 2021","Currency=USD","Period=FQ","BEST_FPERIOD_OVERRIDE=FQ","FILING_STATUS=MR","FA_ADJUSTED=GAAP","Sort=A","Dates=H","DateFormat=P","Fill=—","Direction=H","UseDPDF=Y")</f>
        <v>—</v>
      </c>
      <c r="O34" s="14" t="str">
        <f>_xll.BDH("NBIX US Equity","FCF_TO_FIRM_1_YEAR_GROWTH","FQ4 2021","FQ4 2021","Currency=USD","Period=FQ","BEST_FPERIOD_OVERRIDE=FQ","FILING_STATUS=MR","FA_ADJUSTED=GAAP","Sort=A","Dates=H","DateFormat=P","Fill=—","Direction=H","UseDPDF=Y")</f>
        <v>—</v>
      </c>
      <c r="P34" s="14" t="str">
        <f>_xll.BDH("NBIX US Equity","FCF_TO_FIRM_1_YEAR_GROWTH","FQ1 2022","FQ1 2022","Currency=USD","Period=FQ","BEST_FPERIOD_OVERRIDE=FQ","FILING_STATUS=MR","FA_ADJUSTED=GAAP","Sort=A","Dates=H","DateFormat=P","Fill=—","Direction=H","UseDPDF=Y")</f>
        <v>—</v>
      </c>
      <c r="Q34" s="14">
        <f>_xll.BDH("NBIX US Equity","FCF_TO_FIRM_1_YEAR_GROWTH","FQ2 2022","FQ2 2022","Currency=USD","Period=FQ","BEST_FPERIOD_OVERRIDE=FQ","FILING_STATUS=MR","FA_ADJUSTED=GAAP","Sort=A","Dates=H","DateFormat=P","Fill=—","Direction=H","UseDPDF=Y")</f>
        <v>26.727399999999999</v>
      </c>
      <c r="R34" s="14" t="str">
        <f>_xll.BDH("NBIX US Equity","FCF_TO_FIRM_1_YEAR_GROWTH","FQ3 2022","FQ3 2022","Currency=USD","Period=FQ","BEST_FPERIOD_OVERRIDE=FQ","FILING_STATUS=MR","FA_ADJUSTED=GAAP","Sort=A","Dates=H","DateFormat=P","Fill=—","Direction=H","UseDPDF=Y")</f>
        <v>—</v>
      </c>
      <c r="S34" s="14">
        <f>_xll.BDH("NBIX US Equity","FCF_TO_FIRM_1_YEAR_GROWTH","FQ4 2022","FQ4 2022","Currency=USD","Period=FQ","BEST_FPERIOD_OVERRIDE=FQ","FILING_STATUS=MR","FA_ADJUSTED=GAAP","Sort=A","Dates=H","DateFormat=P","Fill=—","Direction=H","UseDPDF=Y")</f>
        <v>12447.376700000001</v>
      </c>
      <c r="T34" s="14">
        <f>_xll.BDH("NBIX US Equity","FCF_TO_FIRM_1_YEAR_GROWTH","FQ1 2023","FQ1 2023","Currency=USD","Period=FQ","BEST_FPERIOD_OVERRIDE=FQ","FILING_STATUS=MR","FA_ADJUSTED=GAAP","Sort=A","Dates=H","DateFormat=P","Fill=—","Direction=H","UseDPDF=Y")</f>
        <v>-186.37639999999999</v>
      </c>
      <c r="U34" s="14">
        <f>_xll.BDH("NBIX US Equity","FCF_TO_FIRM_1_YEAR_GROWTH","FQ2 2023","FQ2 2023","Currency=USD","Period=FQ","BEST_FPERIOD_OVERRIDE=FQ","FILING_STATUS=MR","FA_ADJUSTED=GAAP","Sort=A","Dates=H","DateFormat=P","Fill=—","Direction=H","UseDPDF=Y")</f>
        <v>32.572899999999997</v>
      </c>
      <c r="V34" s="14" t="str">
        <f>_xll.BDH("NBIX US Equity","FCF_TO_FIRM_1_YEAR_GROWTH","FQ3 2023","FQ3 2023","Currency=USD","Period=FQ","BEST_FPERIOD_OVERRIDE=FQ","FILING_STATUS=MR","FA_ADJUSTED=GAAP","Sort=A","Dates=H","DateFormat=P","Fill=—","Direction=H","UseDPDF=Y")</f>
        <v>—</v>
      </c>
      <c r="W34" s="14">
        <f>_xll.BDH("NBIX US Equity","FCF_TO_FIRM_1_YEAR_GROWTH","FQ4 2023","FQ4 2023","Currency=USD","Period=FQ","BEST_FPERIOD_OVERRIDE=FQ","FILING_STATUS=MR","FA_ADJUSTED=GAAP","Sort=A","Dates=H","DateFormat=P","Fill=—","Direction=H","UseDPDF=Y")</f>
        <v>-16.271599999999999</v>
      </c>
      <c r="X34" s="14" t="str">
        <f>_xll.BDH("NBIX US Equity","FCF_TO_FIRM_1_YEAR_GROWTH","FQ1 2024","FQ1 2024","Currency=USD","Period=FQ","BEST_FPERIOD_OVERRIDE=FQ","FILING_STATUS=MR","FA_ADJUSTED=GAAP","Sort=A","Dates=H","DateFormat=P","Fill=—","Direction=H","UseDPDF=Y")</f>
        <v>—</v>
      </c>
      <c r="Y34" s="14" t="str">
        <f>_xll.BDH("NBIX US Equity","FCF_TO_FIRM_1_YEAR_GROWTH","FQ2 2024","FQ2 2024","Currency=USD","Period=FQ","BEST_FPERIOD_OVERRIDE=FQ","FILING_STATUS=MR","FA_ADJUSTED=GAAP","Sort=A","Dates=H","DateFormat=P","Fill=—","Direction=H","UseDPDF=Y")</f>
        <v>—</v>
      </c>
      <c r="Z34" s="14" t="str">
        <f>_xll.BDH("NBIX US Equity","FCF_TO_FIRM_1_YEAR_GROWTH","FQ3 2024","FQ3 2024","Currency=USD","Period=FQ","BEST_FPERIOD_OVERRIDE=FQ","FILING_STATUS=MR","FA_ADJUSTED=GAAP","Sort=A","Dates=H","DateFormat=P","Fill=—","Direction=H","UseDPDF=Y")</f>
        <v>—</v>
      </c>
      <c r="AA34" s="14" t="str">
        <f>_xll.BDH("NBIX US Equity","FCF_TO_FIRM_1_YEAR_GROWTH","FQ4 2024","FQ4 2024","Currency=USD","Period=FQ","BEST_FPERIOD_OVERRIDE=FQ","FILING_STATUS=MR","FA_ADJUSTED=GAAP","Sort=A","Dates=H","DateFormat=P","Fill=—","Direction=H","UseDPDF=Y")</f>
        <v>—</v>
      </c>
    </row>
    <row r="35" spans="1:27" x14ac:dyDescent="0.25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5">
      <c r="A36" s="6" t="s">
        <v>1319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10" t="s">
        <v>0</v>
      </c>
      <c r="B37" s="10" t="s">
        <v>1320</v>
      </c>
      <c r="C37" s="14">
        <f>_xll.BDH("NBIX US Equity","GEO_GROW_NET_SALES","FQ4 2018","FQ4 2018","Currency=USD","Period=FQ","BEST_FPERIOD_OVERRIDE=FQ","FILING_STATUS=MR","FA_ADJUSTED=GAAP","Sort=A","Dates=H","DateFormat=P","Fill=—","Direction=H","UseDPDF=Y")</f>
        <v>182.56299999999999</v>
      </c>
      <c r="D37" s="14" t="str">
        <f>_xll.BDH("NBIX US Equity","GEO_GROW_NET_SALES","FQ1 2019","FQ1 2019","Currency=USD","Period=FQ","BEST_FPERIOD_OVERRIDE=FQ","FILING_STATUS=MR","FA_ADJUSTED=GAAP","Sort=A","Dates=H","DateFormat=P","Fill=—","Direction=H","UseDPDF=Y")</f>
        <v>—</v>
      </c>
      <c r="E37" s="14" t="str">
        <f>_xll.BDH("NBIX US Equity","GEO_GROW_NET_SALES","FQ2 2019","FQ2 2019","Currency=USD","Period=FQ","BEST_FPERIOD_OVERRIDE=FQ","FILING_STATUS=MR","FA_ADJUSTED=GAAP","Sort=A","Dates=H","DateFormat=P","Fill=—","Direction=H","UseDPDF=Y")</f>
        <v>—</v>
      </c>
      <c r="F37" s="14" t="str">
        <f>_xll.BDH("NBIX US Equity","GEO_GROW_NET_SALES","FQ3 2019","FQ3 2019","Currency=USD","Period=FQ","BEST_FPERIOD_OVERRIDE=FQ","FILING_STATUS=MR","FA_ADJUSTED=GAAP","Sort=A","Dates=H","DateFormat=P","Fill=—","Direction=H","UseDPDF=Y")</f>
        <v>—</v>
      </c>
      <c r="G37" s="14" t="str">
        <f>_xll.BDH("NBIX US Equity","GEO_GROW_NET_SALES","FQ4 2019","FQ4 2019","Currency=USD","Period=FQ","BEST_FPERIOD_OVERRIDE=FQ","FILING_STATUS=MR","FA_ADJUSTED=GAAP","Sort=A","Dates=H","DateFormat=P","Fill=—","Direction=H","UseDPDF=Y")</f>
        <v>—</v>
      </c>
      <c r="H37" s="14">
        <f>_xll.BDH("NBIX US Equity","GEO_GROW_NET_SALES","FQ1 2020","FQ1 2020","Currency=USD","Period=FQ","BEST_FPERIOD_OVERRIDE=FQ","FILING_STATUS=MR","FA_ADJUSTED=GAAP","Sort=A","Dates=H","DateFormat=P","Fill=—","Direction=H","UseDPDF=Y")</f>
        <v>64.357399999999998</v>
      </c>
      <c r="I37" s="14" t="str">
        <f>_xll.BDH("NBIX US Equity","GEO_GROW_NET_SALES","FQ2 2020","FQ2 2020","Currency=USD","Period=FQ","BEST_FPERIOD_OVERRIDE=FQ","FILING_STATUS=MR","FA_ADJUSTED=GAAP","Sort=A","Dates=H","DateFormat=P","Fill=—","Direction=H","UseDPDF=Y")</f>
        <v>—</v>
      </c>
      <c r="J37" s="14" t="str">
        <f>_xll.BDH("NBIX US Equity","GEO_GROW_NET_SALES","FQ3 2020","FQ3 2020","Currency=USD","Period=FQ","BEST_FPERIOD_OVERRIDE=FQ","FILING_STATUS=MR","FA_ADJUSTED=GAAP","Sort=A","Dates=H","DateFormat=P","Fill=—","Direction=H","UseDPDF=Y")</f>
        <v>—</v>
      </c>
      <c r="K37" s="14" t="str">
        <f>_xll.BDH("NBIX US Equity","GEO_GROW_NET_SALES","FQ4 2020","FQ4 2020","Currency=USD","Period=FQ","BEST_FPERIOD_OVERRIDE=FQ","FILING_STATUS=MR","FA_ADJUSTED=GAAP","Sort=A","Dates=H","DateFormat=P","Fill=—","Direction=H","UseDPDF=Y")</f>
        <v>—</v>
      </c>
      <c r="L37" s="14">
        <f>_xll.BDH("NBIX US Equity","GEO_GROW_NET_SALES","FQ1 2021","FQ1 2021","Currency=USD","Period=FQ","BEST_FPERIOD_OVERRIDE=FQ","FILING_STATUS=MR","FA_ADJUSTED=GAAP","Sort=A","Dates=H","DateFormat=P","Fill=—","Direction=H","UseDPDF=Y")</f>
        <v>73.614000000000004</v>
      </c>
      <c r="M37" s="14" t="str">
        <f>_xll.BDH("NBIX US Equity","GEO_GROW_NET_SALES","FQ2 2021","FQ2 2021","Currency=USD","Period=FQ","BEST_FPERIOD_OVERRIDE=FQ","FILING_STATUS=MR","FA_ADJUSTED=GAAP","Sort=A","Dates=H","DateFormat=P","Fill=—","Direction=H","UseDPDF=Y")</f>
        <v>—</v>
      </c>
      <c r="N37" s="14" t="str">
        <f>_xll.BDH("NBIX US Equity","GEO_GROW_NET_SALES","FQ3 2021","FQ3 2021","Currency=USD","Period=FQ","BEST_FPERIOD_OVERRIDE=FQ","FILING_STATUS=MR","FA_ADJUSTED=GAAP","Sort=A","Dates=H","DateFormat=P","Fill=—","Direction=H","UseDPDF=Y")</f>
        <v>—</v>
      </c>
      <c r="O37" s="14" t="str">
        <f>_xll.BDH("NBIX US Equity","GEO_GROW_NET_SALES","FQ4 2021","FQ4 2021","Currency=USD","Period=FQ","BEST_FPERIOD_OVERRIDE=FQ","FILING_STATUS=MR","FA_ADJUSTED=GAAP","Sort=A","Dates=H","DateFormat=P","Fill=—","Direction=H","UseDPDF=Y")</f>
        <v>—</v>
      </c>
      <c r="P37" s="14" t="str">
        <f>_xll.BDH("NBIX US Equity","GEO_GROW_NET_SALES","FQ1 2022","FQ1 2022","Currency=USD","Period=FQ","BEST_FPERIOD_OVERRIDE=FQ","FILING_STATUS=MR","FA_ADJUSTED=GAAP","Sort=A","Dates=H","DateFormat=P","Fill=—","Direction=H","UseDPDF=Y")</f>
        <v>—</v>
      </c>
      <c r="Q37" s="14">
        <f>_xll.BDH("NBIX US Equity","GEO_GROW_NET_SALES","FQ2 2022","FQ2 2022","Currency=USD","Period=FQ","BEST_FPERIOD_OVERRIDE=FQ","FILING_STATUS=MR","FA_ADJUSTED=GAAP","Sort=A","Dates=H","DateFormat=P","Fill=—","Direction=H","UseDPDF=Y")</f>
        <v>126.56610000000001</v>
      </c>
      <c r="R37" s="14">
        <f>_xll.BDH("NBIX US Equity","GEO_GROW_NET_SALES","FQ3 2022","FQ3 2022","Currency=USD","Period=FQ","BEST_FPERIOD_OVERRIDE=FQ","FILING_STATUS=MR","FA_ADJUSTED=GAAP","Sort=A","Dates=H","DateFormat=P","Fill=—","Direction=H","UseDPDF=Y")</f>
        <v>44.877299999999998</v>
      </c>
      <c r="S37" s="14">
        <f>_xll.BDH("NBIX US Equity","GEO_GROW_NET_SALES","FQ4 2022","FQ4 2022","Currency=USD","Period=FQ","BEST_FPERIOD_OVERRIDE=FQ","FILING_STATUS=MR","FA_ADJUSTED=GAAP","Sort=A","Dates=H","DateFormat=P","Fill=—","Direction=H","UseDPDF=Y")</f>
        <v>34.238599999999998</v>
      </c>
      <c r="T37" s="14">
        <f>_xll.BDH("NBIX US Equity","GEO_GROW_NET_SALES","FQ1 2023","FQ1 2023","Currency=USD","Period=FQ","BEST_FPERIOD_OVERRIDE=FQ","FILING_STATUS=MR","FA_ADJUSTED=GAAP","Sort=A","Dates=H","DateFormat=P","Fill=—","Direction=H","UseDPDF=Y")</f>
        <v>42.684100000000001</v>
      </c>
      <c r="U37" s="14">
        <f>_xll.BDH("NBIX US Equity","GEO_GROW_NET_SALES","FQ2 2023","FQ2 2023","Currency=USD","Period=FQ","BEST_FPERIOD_OVERRIDE=FQ","FILING_STATUS=MR","FA_ADJUSTED=GAAP","Sort=A","Dates=H","DateFormat=P","Fill=—","Direction=H","UseDPDF=Y")</f>
        <v>36.110900000000001</v>
      </c>
      <c r="V37" s="14">
        <f>_xll.BDH("NBIX US Equity","GEO_GROW_NET_SALES","FQ3 2023","FQ3 2023","Currency=USD","Period=FQ","BEST_FPERIOD_OVERRIDE=FQ","FILING_STATUS=MR","FA_ADJUSTED=GAAP","Sort=A","Dates=H","DateFormat=P","Fill=—","Direction=H","UseDPDF=Y")</f>
        <v>26.869</v>
      </c>
      <c r="W37" s="14">
        <f>_xll.BDH("NBIX US Equity","GEO_GROW_NET_SALES","FQ4 2023","FQ4 2023","Currency=USD","Period=FQ","BEST_FPERIOD_OVERRIDE=FQ","FILING_STATUS=MR","FA_ADJUSTED=GAAP","Sort=A","Dates=H","DateFormat=P","Fill=—","Direction=H","UseDPDF=Y")</f>
        <v>31.405999999999999</v>
      </c>
      <c r="X37" s="14">
        <f>_xll.BDH("NBIX US Equity","GEO_GROW_NET_SALES","FQ1 2024","FQ1 2024","Currency=USD","Period=FQ","BEST_FPERIOD_OVERRIDE=FQ","FILING_STATUS=MR","FA_ADJUSTED=GAAP","Sort=A","Dates=H","DateFormat=P","Fill=—","Direction=H","UseDPDF=Y")</f>
        <v>30.0717</v>
      </c>
      <c r="Y37" s="14">
        <f>_xll.BDH("NBIX US Equity","GEO_GROW_NET_SALES","FQ2 2024","FQ2 2024","Currency=USD","Period=FQ","BEST_FPERIOD_OVERRIDE=FQ","FILING_STATUS=MR","FA_ADJUSTED=GAAP","Sort=A","Dates=H","DateFormat=P","Fill=—","Direction=H","UseDPDF=Y")</f>
        <v>26.309100000000001</v>
      </c>
      <c r="Z37" s="14">
        <f>_xll.BDH("NBIX US Equity","GEO_GROW_NET_SALES","FQ3 2024","FQ3 2024","Currency=USD","Period=FQ","BEST_FPERIOD_OVERRIDE=FQ","FILING_STATUS=MR","FA_ADJUSTED=GAAP","Sort=A","Dates=H","DateFormat=P","Fill=—","Direction=H","UseDPDF=Y")</f>
        <v>22.875299999999999</v>
      </c>
      <c r="AA37" s="14">
        <f>_xll.BDH("NBIX US Equity","GEO_GROW_NET_SALES","FQ4 2024","FQ4 2024","Currency=USD","Period=FQ","BEST_FPERIOD_OVERRIDE=FQ","FILING_STATUS=MR","FA_ADJUSTED=GAAP","Sort=A","Dates=H","DateFormat=P","Fill=—","Direction=H","UseDPDF=Y")</f>
        <v>20.791599999999999</v>
      </c>
    </row>
    <row r="38" spans="1:27" x14ac:dyDescent="0.25">
      <c r="A38" s="10" t="s">
        <v>78</v>
      </c>
      <c r="B38" s="10" t="s">
        <v>1321</v>
      </c>
      <c r="C38" s="14" t="str">
        <f>_xll.BDH("NBIX US Equity","GEO_GROW_EBITDA","FQ4 2018","FQ4 2018","Currency=USD","Period=FQ","BEST_FPERIOD_OVERRIDE=FQ","FILING_STATUS=MR","FA_ADJUSTED=GAAP","Sort=A","Dates=H","DateFormat=P","Fill=—","Direction=H","UseDPDF=Y")</f>
        <v>—</v>
      </c>
      <c r="D38" s="14" t="str">
        <f>_xll.BDH("NBIX US Equity","GEO_GROW_EBITDA","FQ1 2019","FQ1 2019","Currency=USD","Period=FQ","BEST_FPERIOD_OVERRIDE=FQ","FILING_STATUS=MR","FA_ADJUSTED=GAAP","Sort=A","Dates=H","DateFormat=P","Fill=—","Direction=H","UseDPDF=Y")</f>
        <v>—</v>
      </c>
      <c r="E38" s="14" t="str">
        <f>_xll.BDH("NBIX US Equity","GEO_GROW_EBITDA","FQ2 2019","FQ2 2019","Currency=USD","Period=FQ","BEST_FPERIOD_OVERRIDE=FQ","FILING_STATUS=MR","FA_ADJUSTED=GAAP","Sort=A","Dates=H","DateFormat=P","Fill=—","Direction=H","UseDPDF=Y")</f>
        <v>—</v>
      </c>
      <c r="F38" s="14" t="str">
        <f>_xll.BDH("NBIX US Equity","GEO_GROW_EBITDA","FQ3 2019","FQ3 2019","Currency=USD","Period=FQ","BEST_FPERIOD_OVERRIDE=FQ","FILING_STATUS=MR","FA_ADJUSTED=GAAP","Sort=A","Dates=H","DateFormat=P","Fill=—","Direction=H","UseDPDF=Y")</f>
        <v>—</v>
      </c>
      <c r="G38" s="14" t="str">
        <f>_xll.BDH("NBIX US Equity","GEO_GROW_EBITDA","FQ4 2019","FQ4 2019","Currency=USD","Period=FQ","BEST_FPERIOD_OVERRIDE=FQ","FILING_STATUS=MR","FA_ADJUSTED=GAAP","Sort=A","Dates=H","DateFormat=P","Fill=—","Direction=H","UseDPDF=Y")</f>
        <v>—</v>
      </c>
      <c r="H38" s="14" t="str">
        <f>_xll.BDH("NBIX US Equity","GEO_GROW_EBITDA","FQ1 2020","FQ1 2020","Currency=USD","Period=FQ","BEST_FPERIOD_OVERRIDE=FQ","FILING_STATUS=MR","FA_ADJUSTED=GAAP","Sort=A","Dates=H","DateFormat=P","Fill=—","Direction=H","UseDPDF=Y")</f>
        <v>—</v>
      </c>
      <c r="I38" s="14" t="str">
        <f>_xll.BDH("NBIX US Equity","GEO_GROW_EBITDA","FQ2 2020","FQ2 2020","Currency=USD","Period=FQ","BEST_FPERIOD_OVERRIDE=FQ","FILING_STATUS=MR","FA_ADJUSTED=GAAP","Sort=A","Dates=H","DateFormat=P","Fill=—","Direction=H","UseDPDF=Y")</f>
        <v>—</v>
      </c>
      <c r="J38" s="14" t="str">
        <f>_xll.BDH("NBIX US Equity","GEO_GROW_EBITDA","FQ3 2020","FQ3 2020","Currency=USD","Period=FQ","BEST_FPERIOD_OVERRIDE=FQ","FILING_STATUS=MR","FA_ADJUSTED=GAAP","Sort=A","Dates=H","DateFormat=P","Fill=—","Direction=H","UseDPDF=Y")</f>
        <v>—</v>
      </c>
      <c r="K38" s="14" t="str">
        <f>_xll.BDH("NBIX US Equity","GEO_GROW_EBITDA","FQ4 2020","FQ4 2020","Currency=USD","Period=FQ","BEST_FPERIOD_OVERRIDE=FQ","FILING_STATUS=MR","FA_ADJUSTED=GAAP","Sort=A","Dates=H","DateFormat=P","Fill=—","Direction=H","UseDPDF=Y")</f>
        <v>—</v>
      </c>
      <c r="L38" s="14" t="str">
        <f>_xll.BDH("NBIX US Equity","GEO_GROW_EBITDA","FQ1 2021","FQ1 2021","Currency=USD","Period=FQ","BEST_FPERIOD_OVERRIDE=FQ","FILING_STATUS=MR","FA_ADJUSTED=GAAP","Sort=A","Dates=H","DateFormat=P","Fill=—","Direction=H","UseDPDF=Y")</f>
        <v>—</v>
      </c>
      <c r="M38" s="14" t="str">
        <f>_xll.BDH("NBIX US Equity","GEO_GROW_EBITDA","FQ2 2021","FQ2 2021","Currency=USD","Period=FQ","BEST_FPERIOD_OVERRIDE=FQ","FILING_STATUS=MR","FA_ADJUSTED=GAAP","Sort=A","Dates=H","DateFormat=P","Fill=—","Direction=H","UseDPDF=Y")</f>
        <v>—</v>
      </c>
      <c r="N38" s="14" t="str">
        <f>_xll.BDH("NBIX US Equity","GEO_GROW_EBITDA","FQ3 2021","FQ3 2021","Currency=USD","Period=FQ","BEST_FPERIOD_OVERRIDE=FQ","FILING_STATUS=MR","FA_ADJUSTED=GAAP","Sort=A","Dates=H","DateFormat=P","Fill=—","Direction=H","UseDPDF=Y")</f>
        <v>—</v>
      </c>
      <c r="O38" s="14" t="str">
        <f>_xll.BDH("NBIX US Equity","GEO_GROW_EBITDA","FQ4 2021","FQ4 2021","Currency=USD","Period=FQ","BEST_FPERIOD_OVERRIDE=FQ","FILING_STATUS=MR","FA_ADJUSTED=GAAP","Sort=A","Dates=H","DateFormat=P","Fill=—","Direction=H","UseDPDF=Y")</f>
        <v>—</v>
      </c>
      <c r="P38" s="14" t="str">
        <f>_xll.BDH("NBIX US Equity","GEO_GROW_EBITDA","FQ1 2022","FQ1 2022","Currency=USD","Period=FQ","BEST_FPERIOD_OVERRIDE=FQ","FILING_STATUS=MR","FA_ADJUSTED=GAAP","Sort=A","Dates=H","DateFormat=P","Fill=—","Direction=H","UseDPDF=Y")</f>
        <v>—</v>
      </c>
      <c r="Q38" s="14" t="str">
        <f>_xll.BDH("NBIX US Equity","GEO_GROW_EBITDA","FQ2 2022","FQ2 2022","Currency=USD","Period=FQ","BEST_FPERIOD_OVERRIDE=FQ","FILING_STATUS=MR","FA_ADJUSTED=GAAP","Sort=A","Dates=H","DateFormat=P","Fill=—","Direction=H","UseDPDF=Y")</f>
        <v>—</v>
      </c>
      <c r="R38" s="14" t="str">
        <f>_xll.BDH("NBIX US Equity","GEO_GROW_EBITDA","FQ3 2022","FQ3 2022","Currency=USD","Period=FQ","BEST_FPERIOD_OVERRIDE=FQ","FILING_STATUS=MR","FA_ADJUSTED=GAAP","Sort=A","Dates=H","DateFormat=P","Fill=—","Direction=H","UseDPDF=Y")</f>
        <v>—</v>
      </c>
      <c r="S38" s="14">
        <f>_xll.BDH("NBIX US Equity","GEO_GROW_EBITDA","FQ4 2022","FQ4 2022","Currency=USD","Period=FQ","BEST_FPERIOD_OVERRIDE=FQ","FILING_STATUS=MR","FA_ADJUSTED=GAAP","Sort=A","Dates=H","DateFormat=P","Fill=—","Direction=H","UseDPDF=Y")</f>
        <v>54.836500000000001</v>
      </c>
      <c r="T38" s="14" t="str">
        <f>_xll.BDH("NBIX US Equity","GEO_GROW_EBITDA","FQ1 2023","FQ1 2023","Currency=USD","Period=FQ","BEST_FPERIOD_OVERRIDE=FQ","FILING_STATUS=MR","FA_ADJUSTED=GAAP","Sort=A","Dates=H","DateFormat=P","Fill=—","Direction=H","UseDPDF=Y")</f>
        <v>—</v>
      </c>
      <c r="U38" s="14" t="str">
        <f>_xll.BDH("NBIX US Equity","GEO_GROW_EBITDA","FQ2 2023","FQ2 2023","Currency=USD","Period=FQ","BEST_FPERIOD_OVERRIDE=FQ","FILING_STATUS=MR","FA_ADJUSTED=GAAP","Sort=A","Dates=H","DateFormat=P","Fill=—","Direction=H","UseDPDF=Y")</f>
        <v>—</v>
      </c>
      <c r="V38" s="14">
        <f>_xll.BDH("NBIX US Equity","GEO_GROW_EBITDA","FQ3 2023","FQ3 2023","Currency=USD","Period=FQ","BEST_FPERIOD_OVERRIDE=FQ","FILING_STATUS=MR","FA_ADJUSTED=GAAP","Sort=A","Dates=H","DateFormat=P","Fill=—","Direction=H","UseDPDF=Y")</f>
        <v>22.123899999999999</v>
      </c>
      <c r="W38" s="14">
        <f>_xll.BDH("NBIX US Equity","GEO_GROW_EBITDA","FQ4 2023","FQ4 2023","Currency=USD","Period=FQ","BEST_FPERIOD_OVERRIDE=FQ","FILING_STATUS=MR","FA_ADJUSTED=GAAP","Sort=A","Dates=H","DateFormat=P","Fill=—","Direction=H","UseDPDF=Y")</f>
        <v>47.2806</v>
      </c>
      <c r="X38" s="14" t="str">
        <f>_xll.BDH("NBIX US Equity","GEO_GROW_EBITDA","FQ1 2024","FQ1 2024","Currency=USD","Period=FQ","BEST_FPERIOD_OVERRIDE=FQ","FILING_STATUS=MR","FA_ADJUSTED=GAAP","Sort=A","Dates=H","DateFormat=P","Fill=—","Direction=H","UseDPDF=Y")</f>
        <v>—</v>
      </c>
      <c r="Y38" s="14">
        <f>_xll.BDH("NBIX US Equity","GEO_GROW_EBITDA","FQ2 2024","FQ2 2024","Currency=USD","Period=FQ","BEST_FPERIOD_OVERRIDE=FQ","FILING_STATUS=MR","FA_ADJUSTED=GAAP","Sort=A","Dates=H","DateFormat=P","Fill=—","Direction=H","UseDPDF=Y")</f>
        <v>33.453499999999998</v>
      </c>
      <c r="Z38" s="14">
        <f>_xll.BDH("NBIX US Equity","GEO_GROW_EBITDA","FQ3 2024","FQ3 2024","Currency=USD","Period=FQ","BEST_FPERIOD_OVERRIDE=FQ","FILING_STATUS=MR","FA_ADJUSTED=GAAP","Sort=A","Dates=H","DateFormat=P","Fill=—","Direction=H","UseDPDF=Y")</f>
        <v>16.168900000000001</v>
      </c>
      <c r="AA38" s="14">
        <f>_xll.BDH("NBIX US Equity","GEO_GROW_EBITDA","FQ4 2024","FQ4 2024","Currency=USD","Period=FQ","BEST_FPERIOD_OVERRIDE=FQ","FILING_STATUS=MR","FA_ADJUSTED=GAAP","Sort=A","Dates=H","DateFormat=P","Fill=—","Direction=H","UseDPDF=Y")</f>
        <v>25.343699999999998</v>
      </c>
    </row>
    <row r="39" spans="1:27" x14ac:dyDescent="0.25">
      <c r="A39" s="10" t="s">
        <v>98</v>
      </c>
      <c r="B39" s="10" t="s">
        <v>1322</v>
      </c>
      <c r="C39" s="14" t="str">
        <f>_xll.BDH("NBIX US Equity","GEO_GROW_OPER_INC","FQ4 2018","FQ4 2018","Currency=USD","Period=FQ","BEST_FPERIOD_OVERRIDE=FQ","FILING_STATUS=MR","FA_ADJUSTED=GAAP","Sort=A","Dates=H","DateFormat=P","Fill=—","Direction=H","UseDPDF=Y")</f>
        <v>—</v>
      </c>
      <c r="D39" s="14" t="str">
        <f>_xll.BDH("NBIX US Equity","GEO_GROW_OPER_INC","FQ1 2019","FQ1 2019","Currency=USD","Period=FQ","BEST_FPERIOD_OVERRIDE=FQ","FILING_STATUS=MR","FA_ADJUSTED=GAAP","Sort=A","Dates=H","DateFormat=P","Fill=—","Direction=H","UseDPDF=Y")</f>
        <v>—</v>
      </c>
      <c r="E39" s="14" t="str">
        <f>_xll.BDH("NBIX US Equity","GEO_GROW_OPER_INC","FQ2 2019","FQ2 2019","Currency=USD","Period=FQ","BEST_FPERIOD_OVERRIDE=FQ","FILING_STATUS=MR","FA_ADJUSTED=GAAP","Sort=A","Dates=H","DateFormat=P","Fill=—","Direction=H","UseDPDF=Y")</f>
        <v>—</v>
      </c>
      <c r="F39" s="14" t="str">
        <f>_xll.BDH("NBIX US Equity","GEO_GROW_OPER_INC","FQ3 2019","FQ3 2019","Currency=USD","Period=FQ","BEST_FPERIOD_OVERRIDE=FQ","FILING_STATUS=MR","FA_ADJUSTED=GAAP","Sort=A","Dates=H","DateFormat=P","Fill=—","Direction=H","UseDPDF=Y")</f>
        <v>—</v>
      </c>
      <c r="G39" s="14" t="str">
        <f>_xll.BDH("NBIX US Equity","GEO_GROW_OPER_INC","FQ4 2019","FQ4 2019","Currency=USD","Period=FQ","BEST_FPERIOD_OVERRIDE=FQ","FILING_STATUS=MR","FA_ADJUSTED=GAAP","Sort=A","Dates=H","DateFormat=P","Fill=—","Direction=H","UseDPDF=Y")</f>
        <v>—</v>
      </c>
      <c r="H39" s="14" t="str">
        <f>_xll.BDH("NBIX US Equity","GEO_GROW_OPER_INC","FQ1 2020","FQ1 2020","Currency=USD","Period=FQ","BEST_FPERIOD_OVERRIDE=FQ","FILING_STATUS=MR","FA_ADJUSTED=GAAP","Sort=A","Dates=H","DateFormat=P","Fill=—","Direction=H","UseDPDF=Y")</f>
        <v>—</v>
      </c>
      <c r="I39" s="14" t="str">
        <f>_xll.BDH("NBIX US Equity","GEO_GROW_OPER_INC","FQ2 2020","FQ2 2020","Currency=USD","Period=FQ","BEST_FPERIOD_OVERRIDE=FQ","FILING_STATUS=MR","FA_ADJUSTED=GAAP","Sort=A","Dates=H","DateFormat=P","Fill=—","Direction=H","UseDPDF=Y")</f>
        <v>—</v>
      </c>
      <c r="J39" s="14" t="str">
        <f>_xll.BDH("NBIX US Equity","GEO_GROW_OPER_INC","FQ3 2020","FQ3 2020","Currency=USD","Period=FQ","BEST_FPERIOD_OVERRIDE=FQ","FILING_STATUS=MR","FA_ADJUSTED=GAAP","Sort=A","Dates=H","DateFormat=P","Fill=—","Direction=H","UseDPDF=Y")</f>
        <v>—</v>
      </c>
      <c r="K39" s="14" t="str">
        <f>_xll.BDH("NBIX US Equity","GEO_GROW_OPER_INC","FQ4 2020","FQ4 2020","Currency=USD","Period=FQ","BEST_FPERIOD_OVERRIDE=FQ","FILING_STATUS=MR","FA_ADJUSTED=GAAP","Sort=A","Dates=H","DateFormat=P","Fill=—","Direction=H","UseDPDF=Y")</f>
        <v>—</v>
      </c>
      <c r="L39" s="14" t="str">
        <f>_xll.BDH("NBIX US Equity","GEO_GROW_OPER_INC","FQ1 2021","FQ1 2021","Currency=USD","Period=FQ","BEST_FPERIOD_OVERRIDE=FQ","FILING_STATUS=MR","FA_ADJUSTED=GAAP","Sort=A","Dates=H","DateFormat=P","Fill=—","Direction=H","UseDPDF=Y")</f>
        <v>—</v>
      </c>
      <c r="M39" s="14" t="str">
        <f>_xll.BDH("NBIX US Equity","GEO_GROW_OPER_INC","FQ2 2021","FQ2 2021","Currency=USD","Period=FQ","BEST_FPERIOD_OVERRIDE=FQ","FILING_STATUS=MR","FA_ADJUSTED=GAAP","Sort=A","Dates=H","DateFormat=P","Fill=—","Direction=H","UseDPDF=Y")</f>
        <v>—</v>
      </c>
      <c r="N39" s="14" t="str">
        <f>_xll.BDH("NBIX US Equity","GEO_GROW_OPER_INC","FQ3 2021","FQ3 2021","Currency=USD","Period=FQ","BEST_FPERIOD_OVERRIDE=FQ","FILING_STATUS=MR","FA_ADJUSTED=GAAP","Sort=A","Dates=H","DateFormat=P","Fill=—","Direction=H","UseDPDF=Y")</f>
        <v>—</v>
      </c>
      <c r="O39" s="14" t="str">
        <f>_xll.BDH("NBIX US Equity","GEO_GROW_OPER_INC","FQ4 2021","FQ4 2021","Currency=USD","Period=FQ","BEST_FPERIOD_OVERRIDE=FQ","FILING_STATUS=MR","FA_ADJUSTED=GAAP","Sort=A","Dates=H","DateFormat=P","Fill=—","Direction=H","UseDPDF=Y")</f>
        <v>—</v>
      </c>
      <c r="P39" s="14" t="str">
        <f>_xll.BDH("NBIX US Equity","GEO_GROW_OPER_INC","FQ1 2022","FQ1 2022","Currency=USD","Period=FQ","BEST_FPERIOD_OVERRIDE=FQ","FILING_STATUS=MR","FA_ADJUSTED=GAAP","Sort=A","Dates=H","DateFormat=P","Fill=—","Direction=H","UseDPDF=Y")</f>
        <v>—</v>
      </c>
      <c r="Q39" s="14" t="str">
        <f>_xll.BDH("NBIX US Equity","GEO_GROW_OPER_INC","FQ2 2022","FQ2 2022","Currency=USD","Period=FQ","BEST_FPERIOD_OVERRIDE=FQ","FILING_STATUS=MR","FA_ADJUSTED=GAAP","Sort=A","Dates=H","DateFormat=P","Fill=—","Direction=H","UseDPDF=Y")</f>
        <v>—</v>
      </c>
      <c r="R39" s="14" t="str">
        <f>_xll.BDH("NBIX US Equity","GEO_GROW_OPER_INC","FQ3 2022","FQ3 2022","Currency=USD","Period=FQ","BEST_FPERIOD_OVERRIDE=FQ","FILING_STATUS=MR","FA_ADJUSTED=GAAP","Sort=A","Dates=H","DateFormat=P","Fill=—","Direction=H","UseDPDF=Y")</f>
        <v>—</v>
      </c>
      <c r="S39" s="14">
        <f>_xll.BDH("NBIX US Equity","GEO_GROW_OPER_INC","FQ4 2022","FQ4 2022","Currency=USD","Period=FQ","BEST_FPERIOD_OVERRIDE=FQ","FILING_STATUS=MR","FA_ADJUSTED=GAAP","Sort=A","Dates=H","DateFormat=P","Fill=—","Direction=H","UseDPDF=Y")</f>
        <v>54.268700000000003</v>
      </c>
      <c r="T39" s="14" t="str">
        <f>_xll.BDH("NBIX US Equity","GEO_GROW_OPER_INC","FQ1 2023","FQ1 2023","Currency=USD","Period=FQ","BEST_FPERIOD_OVERRIDE=FQ","FILING_STATUS=MR","FA_ADJUSTED=GAAP","Sort=A","Dates=H","DateFormat=P","Fill=—","Direction=H","UseDPDF=Y")</f>
        <v>—</v>
      </c>
      <c r="U39" s="14" t="str">
        <f>_xll.BDH("NBIX US Equity","GEO_GROW_OPER_INC","FQ2 2023","FQ2 2023","Currency=USD","Period=FQ","BEST_FPERIOD_OVERRIDE=FQ","FILING_STATUS=MR","FA_ADJUSTED=GAAP","Sort=A","Dates=H","DateFormat=P","Fill=—","Direction=H","UseDPDF=Y")</f>
        <v>—</v>
      </c>
      <c r="V39" s="14">
        <f>_xll.BDH("NBIX US Equity","GEO_GROW_OPER_INC","FQ3 2023","FQ3 2023","Currency=USD","Period=FQ","BEST_FPERIOD_OVERRIDE=FQ","FILING_STATUS=MR","FA_ADJUSTED=GAAP","Sort=A","Dates=H","DateFormat=P","Fill=—","Direction=H","UseDPDF=Y")</f>
        <v>21.051500000000001</v>
      </c>
      <c r="W39" s="14">
        <f>_xll.BDH("NBIX US Equity","GEO_GROW_OPER_INC","FQ4 2023","FQ4 2023","Currency=USD","Period=FQ","BEST_FPERIOD_OVERRIDE=FQ","FILING_STATUS=MR","FA_ADJUSTED=GAAP","Sort=A","Dates=H","DateFormat=P","Fill=—","Direction=H","UseDPDF=Y")</f>
        <v>47.034100000000002</v>
      </c>
      <c r="X39" s="14" t="str">
        <f>_xll.BDH("NBIX US Equity","GEO_GROW_OPER_INC","FQ1 2024","FQ1 2024","Currency=USD","Period=FQ","BEST_FPERIOD_OVERRIDE=FQ","FILING_STATUS=MR","FA_ADJUSTED=GAAP","Sort=A","Dates=H","DateFormat=P","Fill=—","Direction=H","UseDPDF=Y")</f>
        <v>—</v>
      </c>
      <c r="Y39" s="14">
        <f>_xll.BDH("NBIX US Equity","GEO_GROW_OPER_INC","FQ2 2024","FQ2 2024","Currency=USD","Period=FQ","BEST_FPERIOD_OVERRIDE=FQ","FILING_STATUS=MR","FA_ADJUSTED=GAAP","Sort=A","Dates=H","DateFormat=P","Fill=—","Direction=H","UseDPDF=Y")</f>
        <v>33.366700000000002</v>
      </c>
      <c r="Z39" s="14">
        <f>_xll.BDH("NBIX US Equity","GEO_GROW_OPER_INC","FQ3 2024","FQ3 2024","Currency=USD","Period=FQ","BEST_FPERIOD_OVERRIDE=FQ","FILING_STATUS=MR","FA_ADJUSTED=GAAP","Sort=A","Dates=H","DateFormat=P","Fill=—","Direction=H","UseDPDF=Y")</f>
        <v>15.325699999999999</v>
      </c>
      <c r="AA39" s="14">
        <f>_xll.BDH("NBIX US Equity","GEO_GROW_OPER_INC","FQ4 2024","FQ4 2024","Currency=USD","Period=FQ","BEST_FPERIOD_OVERRIDE=FQ","FILING_STATUS=MR","FA_ADJUSTED=GAAP","Sort=A","Dates=H","DateFormat=P","Fill=—","Direction=H","UseDPDF=Y")</f>
        <v>23.815100000000001</v>
      </c>
    </row>
    <row r="40" spans="1:27" x14ac:dyDescent="0.25">
      <c r="A40" s="10" t="s">
        <v>100</v>
      </c>
      <c r="B40" s="10" t="s">
        <v>1323</v>
      </c>
      <c r="C40" s="14" t="str">
        <f>_xll.BDH("NBIX US Equity","NET_INCOME_TO_COMMON_5_YR_GROWTH","FQ4 2018","FQ4 2018","Currency=USD","Period=FQ","BEST_FPERIOD_OVERRIDE=FQ","FILING_STATUS=MR","FA_ADJUSTED=GAAP","Sort=A","Dates=H","DateFormat=P","Fill=—","Direction=H","UseDPDF=Y")</f>
        <v>—</v>
      </c>
      <c r="D40" s="14" t="str">
        <f>_xll.BDH("NBIX US Equity","NET_INCOME_TO_COMMON_5_YR_GROWTH","FQ1 2019","FQ1 2019","Currency=USD","Period=FQ","BEST_FPERIOD_OVERRIDE=FQ","FILING_STATUS=MR","FA_ADJUSTED=GAAP","Sort=A","Dates=H","DateFormat=P","Fill=—","Direction=H","UseDPDF=Y")</f>
        <v>—</v>
      </c>
      <c r="E40" s="14" t="str">
        <f>_xll.BDH("NBIX US Equity","NET_INCOME_TO_COMMON_5_YR_GROWTH","FQ2 2019","FQ2 2019","Currency=USD","Period=FQ","BEST_FPERIOD_OVERRIDE=FQ","FILING_STATUS=MR","FA_ADJUSTED=GAAP","Sort=A","Dates=H","DateFormat=P","Fill=—","Direction=H","UseDPDF=Y")</f>
        <v>—</v>
      </c>
      <c r="F40" s="14" t="str">
        <f>_xll.BDH("NBIX US Equity","NET_INCOME_TO_COMMON_5_YR_GROWTH","FQ3 2019","FQ3 2019","Currency=USD","Period=FQ","BEST_FPERIOD_OVERRIDE=FQ","FILING_STATUS=MR","FA_ADJUSTED=GAAP","Sort=A","Dates=H","DateFormat=P","Fill=—","Direction=H","UseDPDF=Y")</f>
        <v>—</v>
      </c>
      <c r="G40" s="14" t="str">
        <f>_xll.BDH("NBIX US Equity","NET_INCOME_TO_COMMON_5_YR_GROWTH","FQ4 2019","FQ4 2019","Currency=USD","Period=FQ","BEST_FPERIOD_OVERRIDE=FQ","FILING_STATUS=MR","FA_ADJUSTED=GAAP","Sort=A","Dates=H","DateFormat=P","Fill=—","Direction=H","UseDPDF=Y")</f>
        <v>—</v>
      </c>
      <c r="H40" s="14" t="str">
        <f>_xll.BDH("NBIX US Equity","NET_INCOME_TO_COMMON_5_YR_GROWTH","FQ1 2020","FQ1 2020","Currency=USD","Period=FQ","BEST_FPERIOD_OVERRIDE=FQ","FILING_STATUS=MR","FA_ADJUSTED=GAAP","Sort=A","Dates=H","DateFormat=P","Fill=—","Direction=H","UseDPDF=Y")</f>
        <v>—</v>
      </c>
      <c r="I40" s="14" t="str">
        <f>_xll.BDH("NBIX US Equity","NET_INCOME_TO_COMMON_5_YR_GROWTH","FQ2 2020","FQ2 2020","Currency=USD","Period=FQ","BEST_FPERIOD_OVERRIDE=FQ","FILING_STATUS=MR","FA_ADJUSTED=GAAP","Sort=A","Dates=H","DateFormat=P","Fill=—","Direction=H","UseDPDF=Y")</f>
        <v>—</v>
      </c>
      <c r="J40" s="14" t="str">
        <f>_xll.BDH("NBIX US Equity","NET_INCOME_TO_COMMON_5_YR_GROWTH","FQ3 2020","FQ3 2020","Currency=USD","Period=FQ","BEST_FPERIOD_OVERRIDE=FQ","FILING_STATUS=MR","FA_ADJUSTED=GAAP","Sort=A","Dates=H","DateFormat=P","Fill=—","Direction=H","UseDPDF=Y")</f>
        <v>—</v>
      </c>
      <c r="K40" s="14" t="str">
        <f>_xll.BDH("NBIX US Equity","NET_INCOME_TO_COMMON_5_YR_GROWTH","FQ4 2020","FQ4 2020","Currency=USD","Period=FQ","BEST_FPERIOD_OVERRIDE=FQ","FILING_STATUS=MR","FA_ADJUSTED=GAAP","Sort=A","Dates=H","DateFormat=P","Fill=—","Direction=H","UseDPDF=Y")</f>
        <v>—</v>
      </c>
      <c r="L40" s="14" t="str">
        <f>_xll.BDH("NBIX US Equity","NET_INCOME_TO_COMMON_5_YR_GROWTH","FQ1 2021","FQ1 2021","Currency=USD","Period=FQ","BEST_FPERIOD_OVERRIDE=FQ","FILING_STATUS=MR","FA_ADJUSTED=GAAP","Sort=A","Dates=H","DateFormat=P","Fill=—","Direction=H","UseDPDF=Y")</f>
        <v>—</v>
      </c>
      <c r="M40" s="14" t="str">
        <f>_xll.BDH("NBIX US Equity","NET_INCOME_TO_COMMON_5_YR_GROWTH","FQ2 2021","FQ2 2021","Currency=USD","Period=FQ","BEST_FPERIOD_OVERRIDE=FQ","FILING_STATUS=MR","FA_ADJUSTED=GAAP","Sort=A","Dates=H","DateFormat=P","Fill=—","Direction=H","UseDPDF=Y")</f>
        <v>—</v>
      </c>
      <c r="N40" s="14" t="str">
        <f>_xll.BDH("NBIX US Equity","NET_INCOME_TO_COMMON_5_YR_GROWTH","FQ3 2021","FQ3 2021","Currency=USD","Period=FQ","BEST_FPERIOD_OVERRIDE=FQ","FILING_STATUS=MR","FA_ADJUSTED=GAAP","Sort=A","Dates=H","DateFormat=P","Fill=—","Direction=H","UseDPDF=Y")</f>
        <v>—</v>
      </c>
      <c r="O40" s="14" t="str">
        <f>_xll.BDH("NBIX US Equity","NET_INCOME_TO_COMMON_5_YR_GROWTH","FQ4 2021","FQ4 2021","Currency=USD","Period=FQ","BEST_FPERIOD_OVERRIDE=FQ","FILING_STATUS=MR","FA_ADJUSTED=GAAP","Sort=A","Dates=H","DateFormat=P","Fill=—","Direction=H","UseDPDF=Y")</f>
        <v>—</v>
      </c>
      <c r="P40" s="14" t="str">
        <f>_xll.BDH("NBIX US Equity","NET_INCOME_TO_COMMON_5_YR_GROWTH","FQ1 2022","FQ1 2022","Currency=USD","Period=FQ","BEST_FPERIOD_OVERRIDE=FQ","FILING_STATUS=MR","FA_ADJUSTED=GAAP","Sort=A","Dates=H","DateFormat=P","Fill=—","Direction=H","UseDPDF=Y")</f>
        <v>—</v>
      </c>
      <c r="Q40" s="14" t="str">
        <f>_xll.BDH("NBIX US Equity","NET_INCOME_TO_COMMON_5_YR_GROWTH","FQ2 2022","FQ2 2022","Currency=USD","Period=FQ","BEST_FPERIOD_OVERRIDE=FQ","FILING_STATUS=MR","FA_ADJUSTED=GAAP","Sort=A","Dates=H","DateFormat=P","Fill=—","Direction=H","UseDPDF=Y")</f>
        <v>—</v>
      </c>
      <c r="R40" s="14" t="str">
        <f>_xll.BDH("NBIX US Equity","NET_INCOME_TO_COMMON_5_YR_GROWTH","FQ3 2022","FQ3 2022","Currency=USD","Period=FQ","BEST_FPERIOD_OVERRIDE=FQ","FILING_STATUS=MR","FA_ADJUSTED=GAAP","Sort=A","Dates=H","DateFormat=P","Fill=—","Direction=H","UseDPDF=Y")</f>
        <v>—</v>
      </c>
      <c r="S40" s="14">
        <f>_xll.BDH("NBIX US Equity","NET_INCOME_TO_COMMON_5_YR_GROWTH","FQ4 2022","FQ4 2022","Currency=USD","Period=FQ","BEST_FPERIOD_OVERRIDE=FQ","FILING_STATUS=MR","FA_ADJUSTED=GAAP","Sort=A","Dates=H","DateFormat=P","Fill=—","Direction=H","UseDPDF=Y")</f>
        <v>66.795299999999997</v>
      </c>
      <c r="T40" s="14" t="str">
        <f>_xll.BDH("NBIX US Equity","NET_INCOME_TO_COMMON_5_YR_GROWTH","FQ1 2023","FQ1 2023","Currency=USD","Period=FQ","BEST_FPERIOD_OVERRIDE=FQ","FILING_STATUS=MR","FA_ADJUSTED=GAAP","Sort=A","Dates=H","DateFormat=P","Fill=—","Direction=H","UseDPDF=Y")</f>
        <v>—</v>
      </c>
      <c r="U40" s="14" t="str">
        <f>_xll.BDH("NBIX US Equity","NET_INCOME_TO_COMMON_5_YR_GROWTH","FQ2 2023","FQ2 2023","Currency=USD","Period=FQ","BEST_FPERIOD_OVERRIDE=FQ","FILING_STATUS=MR","FA_ADJUSTED=GAAP","Sort=A","Dates=H","DateFormat=P","Fill=—","Direction=H","UseDPDF=Y")</f>
        <v>—</v>
      </c>
      <c r="V40" s="14">
        <f>_xll.BDH("NBIX US Equity","NET_INCOME_TO_COMMON_5_YR_GROWTH","FQ3 2023","FQ3 2023","Currency=USD","Period=FQ","BEST_FPERIOD_OVERRIDE=FQ","FILING_STATUS=MR","FA_ADJUSTED=GAAP","Sort=A","Dates=H","DateFormat=P","Fill=—","Direction=H","UseDPDF=Y")</f>
        <v>10.359299999999999</v>
      </c>
      <c r="W40" s="14">
        <f>_xll.BDH("NBIX US Equity","NET_INCOME_TO_COMMON_5_YR_GROWTH","FQ4 2023","FQ4 2023","Currency=USD","Period=FQ","BEST_FPERIOD_OVERRIDE=FQ","FILING_STATUS=MR","FA_ADJUSTED=GAAP","Sort=A","Dates=H","DateFormat=P","Fill=—","Direction=H","UseDPDF=Y")</f>
        <v>52.210999999999999</v>
      </c>
      <c r="X40" s="14" t="str">
        <f>_xll.BDH("NBIX US Equity","NET_INCOME_TO_COMMON_5_YR_GROWTH","FQ1 2024","FQ1 2024","Currency=USD","Period=FQ","BEST_FPERIOD_OVERRIDE=FQ","FILING_STATUS=MR","FA_ADJUSTED=GAAP","Sort=A","Dates=H","DateFormat=P","Fill=—","Direction=H","UseDPDF=Y")</f>
        <v>—</v>
      </c>
      <c r="Y40" s="14">
        <f>_xll.BDH("NBIX US Equity","NET_INCOME_TO_COMMON_5_YR_GROWTH","FQ2 2024","FQ2 2024","Currency=USD","Period=FQ","BEST_FPERIOD_OVERRIDE=FQ","FILING_STATUS=MR","FA_ADJUSTED=GAAP","Sort=A","Dates=H","DateFormat=P","Fill=—","Direction=H","UseDPDF=Y")</f>
        <v>4.8322000000000003</v>
      </c>
      <c r="Z40" s="14">
        <f>_xll.BDH("NBIX US Equity","NET_INCOME_TO_COMMON_5_YR_GROWTH","FQ3 2024","FQ3 2024","Currency=USD","Period=FQ","BEST_FPERIOD_OVERRIDE=FQ","FILING_STATUS=MR","FA_ADJUSTED=GAAP","Sort=A","Dates=H","DateFormat=P","Fill=—","Direction=H","UseDPDF=Y")</f>
        <v>19.265899999999998</v>
      </c>
      <c r="AA40" s="14">
        <f>_xll.BDH("NBIX US Equity","NET_INCOME_TO_COMMON_5_YR_GROWTH","FQ4 2024","FQ4 2024","Currency=USD","Period=FQ","BEST_FPERIOD_OVERRIDE=FQ","FILING_STATUS=MR","FA_ADJUSTED=GAAP","Sort=A","Dates=H","DateFormat=P","Fill=—","Direction=H","UseDPDF=Y")</f>
        <v>24.840599999999998</v>
      </c>
    </row>
    <row r="41" spans="1:27" x14ac:dyDescent="0.25">
      <c r="A41" s="10" t="s">
        <v>1283</v>
      </c>
      <c r="B41" s="10" t="s">
        <v>1324</v>
      </c>
      <c r="C41" s="14" t="str">
        <f>_xll.BDH("NBIX US Equity","5Y_GEO_GROWTH_DILUTED_EPS","FQ4 2018","FQ4 2018","Currency=USD","Period=FQ","BEST_FPERIOD_OVERRIDE=FQ","FILING_STATUS=MR","FA_ADJUSTED=GAAP","Sort=A","Dates=H","DateFormat=P","Fill=—","Direction=H","UseDPDF=Y")</f>
        <v>—</v>
      </c>
      <c r="D41" s="14" t="str">
        <f>_xll.BDH("NBIX US Equity","5Y_GEO_GROWTH_DILUTED_EPS","FQ1 2019","FQ1 2019","Currency=USD","Period=FQ","BEST_FPERIOD_OVERRIDE=FQ","FILING_STATUS=MR","FA_ADJUSTED=GAAP","Sort=A","Dates=H","DateFormat=P","Fill=—","Direction=H","UseDPDF=Y")</f>
        <v>—</v>
      </c>
      <c r="E41" s="14" t="str">
        <f>_xll.BDH("NBIX US Equity","5Y_GEO_GROWTH_DILUTED_EPS","FQ2 2019","FQ2 2019","Currency=USD","Period=FQ","BEST_FPERIOD_OVERRIDE=FQ","FILING_STATUS=MR","FA_ADJUSTED=GAAP","Sort=A","Dates=H","DateFormat=P","Fill=—","Direction=H","UseDPDF=Y")</f>
        <v>—</v>
      </c>
      <c r="F41" s="14" t="str">
        <f>_xll.BDH("NBIX US Equity","5Y_GEO_GROWTH_DILUTED_EPS","FQ3 2019","FQ3 2019","Currency=USD","Period=FQ","BEST_FPERIOD_OVERRIDE=FQ","FILING_STATUS=MR","FA_ADJUSTED=GAAP","Sort=A","Dates=H","DateFormat=P","Fill=—","Direction=H","UseDPDF=Y")</f>
        <v>—</v>
      </c>
      <c r="G41" s="14" t="str">
        <f>_xll.BDH("NBIX US Equity","5Y_GEO_GROWTH_DILUTED_EPS","FQ4 2019","FQ4 2019","Currency=USD","Period=FQ","BEST_FPERIOD_OVERRIDE=FQ","FILING_STATUS=MR","FA_ADJUSTED=GAAP","Sort=A","Dates=H","DateFormat=P","Fill=—","Direction=H","UseDPDF=Y")</f>
        <v>—</v>
      </c>
      <c r="H41" s="14" t="str">
        <f>_xll.BDH("NBIX US Equity","5Y_GEO_GROWTH_DILUTED_EPS","FQ1 2020","FQ1 2020","Currency=USD","Period=FQ","BEST_FPERIOD_OVERRIDE=FQ","FILING_STATUS=MR","FA_ADJUSTED=GAAP","Sort=A","Dates=H","DateFormat=P","Fill=—","Direction=H","UseDPDF=Y")</f>
        <v>—</v>
      </c>
      <c r="I41" s="14" t="str">
        <f>_xll.BDH("NBIX US Equity","5Y_GEO_GROWTH_DILUTED_EPS","FQ2 2020","FQ2 2020","Currency=USD","Period=FQ","BEST_FPERIOD_OVERRIDE=FQ","FILING_STATUS=MR","FA_ADJUSTED=GAAP","Sort=A","Dates=H","DateFormat=P","Fill=—","Direction=H","UseDPDF=Y")</f>
        <v>—</v>
      </c>
      <c r="J41" s="14" t="str">
        <f>_xll.BDH("NBIX US Equity","5Y_GEO_GROWTH_DILUTED_EPS","FQ3 2020","FQ3 2020","Currency=USD","Period=FQ","BEST_FPERIOD_OVERRIDE=FQ","FILING_STATUS=MR","FA_ADJUSTED=GAAP","Sort=A","Dates=H","DateFormat=P","Fill=—","Direction=H","UseDPDF=Y")</f>
        <v>—</v>
      </c>
      <c r="K41" s="14" t="str">
        <f>_xll.BDH("NBIX US Equity","5Y_GEO_GROWTH_DILUTED_EPS","FQ4 2020","FQ4 2020","Currency=USD","Period=FQ","BEST_FPERIOD_OVERRIDE=FQ","FILING_STATUS=MR","FA_ADJUSTED=GAAP","Sort=A","Dates=H","DateFormat=P","Fill=—","Direction=H","UseDPDF=Y")</f>
        <v>—</v>
      </c>
      <c r="L41" s="14" t="str">
        <f>_xll.BDH("NBIX US Equity","5Y_GEO_GROWTH_DILUTED_EPS","FQ1 2021","FQ1 2021","Currency=USD","Period=FQ","BEST_FPERIOD_OVERRIDE=FQ","FILING_STATUS=MR","FA_ADJUSTED=GAAP","Sort=A","Dates=H","DateFormat=P","Fill=—","Direction=H","UseDPDF=Y")</f>
        <v>—</v>
      </c>
      <c r="M41" s="14" t="str">
        <f>_xll.BDH("NBIX US Equity","5Y_GEO_GROWTH_DILUTED_EPS","FQ2 2021","FQ2 2021","Currency=USD","Period=FQ","BEST_FPERIOD_OVERRIDE=FQ","FILING_STATUS=MR","FA_ADJUSTED=GAAP","Sort=A","Dates=H","DateFormat=P","Fill=—","Direction=H","UseDPDF=Y")</f>
        <v>—</v>
      </c>
      <c r="N41" s="14" t="str">
        <f>_xll.BDH("NBIX US Equity","5Y_GEO_GROWTH_DILUTED_EPS","FQ3 2021","FQ3 2021","Currency=USD","Period=FQ","BEST_FPERIOD_OVERRIDE=FQ","FILING_STATUS=MR","FA_ADJUSTED=GAAP","Sort=A","Dates=H","DateFormat=P","Fill=—","Direction=H","UseDPDF=Y")</f>
        <v>—</v>
      </c>
      <c r="O41" s="14" t="str">
        <f>_xll.BDH("NBIX US Equity","5Y_GEO_GROWTH_DILUTED_EPS","FQ4 2021","FQ4 2021","Currency=USD","Period=FQ","BEST_FPERIOD_OVERRIDE=FQ","FILING_STATUS=MR","FA_ADJUSTED=GAAP","Sort=A","Dates=H","DateFormat=P","Fill=—","Direction=H","UseDPDF=Y")</f>
        <v>—</v>
      </c>
      <c r="P41" s="14" t="str">
        <f>_xll.BDH("NBIX US Equity","5Y_GEO_GROWTH_DILUTED_EPS","FQ1 2022","FQ1 2022","Currency=USD","Period=FQ","BEST_FPERIOD_OVERRIDE=FQ","FILING_STATUS=MR","FA_ADJUSTED=GAAP","Sort=A","Dates=H","DateFormat=P","Fill=—","Direction=H","UseDPDF=Y")</f>
        <v>—</v>
      </c>
      <c r="Q41" s="14" t="str">
        <f>_xll.BDH("NBIX US Equity","5Y_GEO_GROWTH_DILUTED_EPS","FQ2 2022","FQ2 2022","Currency=USD","Period=FQ","BEST_FPERIOD_OVERRIDE=FQ","FILING_STATUS=MR","FA_ADJUSTED=GAAP","Sort=A","Dates=H","DateFormat=P","Fill=—","Direction=H","UseDPDF=Y")</f>
        <v>—</v>
      </c>
      <c r="R41" s="14" t="str">
        <f>_xll.BDH("NBIX US Equity","5Y_GEO_GROWTH_DILUTED_EPS","FQ3 2022","FQ3 2022","Currency=USD","Period=FQ","BEST_FPERIOD_OVERRIDE=FQ","FILING_STATUS=MR","FA_ADJUSTED=GAAP","Sort=A","Dates=H","DateFormat=P","Fill=—","Direction=H","UseDPDF=Y")</f>
        <v>—</v>
      </c>
      <c r="S41" s="14">
        <f>_xll.BDH("NBIX US Equity","5Y_GEO_GROWTH_DILUTED_EPS","FQ4 2022","FQ4 2022","Currency=USD","Period=FQ","BEST_FPERIOD_OVERRIDE=FQ","FILING_STATUS=MR","FA_ADJUSTED=GAAP","Sort=A","Dates=H","DateFormat=P","Fill=—","Direction=H","UseDPDF=Y")</f>
        <v>65.911699999999996</v>
      </c>
      <c r="T41" s="14" t="str">
        <f>_xll.BDH("NBIX US Equity","5Y_GEO_GROWTH_DILUTED_EPS","FQ1 2023","FQ1 2023","Currency=USD","Period=FQ","BEST_FPERIOD_OVERRIDE=FQ","FILING_STATUS=MR","FA_ADJUSTED=GAAP","Sort=A","Dates=H","DateFormat=P","Fill=—","Direction=H","UseDPDF=Y")</f>
        <v>—</v>
      </c>
      <c r="U41" s="14" t="str">
        <f>_xll.BDH("NBIX US Equity","5Y_GEO_GROWTH_DILUTED_EPS","FQ2 2023","FQ2 2023","Currency=USD","Period=FQ","BEST_FPERIOD_OVERRIDE=FQ","FILING_STATUS=MR","FA_ADJUSTED=GAAP","Sort=A","Dates=H","DateFormat=P","Fill=—","Direction=H","UseDPDF=Y")</f>
        <v>—</v>
      </c>
      <c r="V41" s="14">
        <f>_xll.BDH("NBIX US Equity","5Y_GEO_GROWTH_DILUTED_EPS","FQ3 2023","FQ3 2023","Currency=USD","Period=FQ","BEST_FPERIOD_OVERRIDE=FQ","FILING_STATUS=MR","FA_ADJUSTED=GAAP","Sort=A","Dates=H","DateFormat=P","Fill=—","Direction=H","UseDPDF=Y")</f>
        <v>9.5373000000000001</v>
      </c>
      <c r="W41" s="14">
        <f>_xll.BDH("NBIX US Equity","5Y_GEO_GROWTH_DILUTED_EPS","FQ4 2023","FQ4 2023","Currency=USD","Period=FQ","BEST_FPERIOD_OVERRIDE=FQ","FILING_STATUS=MR","FA_ADJUSTED=GAAP","Sort=A","Dates=H","DateFormat=P","Fill=—","Direction=H","UseDPDF=Y")</f>
        <v>49.941499999999998</v>
      </c>
      <c r="X41" s="14" t="str">
        <f>_xll.BDH("NBIX US Equity","5Y_GEO_GROWTH_DILUTED_EPS","FQ1 2024","FQ1 2024","Currency=USD","Period=FQ","BEST_FPERIOD_OVERRIDE=FQ","FILING_STATUS=MR","FA_ADJUSTED=GAAP","Sort=A","Dates=H","DateFormat=P","Fill=—","Direction=H","UseDPDF=Y")</f>
        <v>—</v>
      </c>
      <c r="Y41" s="14">
        <f>_xll.BDH("NBIX US Equity","5Y_GEO_GROWTH_DILUTED_EPS","FQ2 2024","FQ2 2024","Currency=USD","Period=FQ","BEST_FPERIOD_OVERRIDE=FQ","FILING_STATUS=MR","FA_ADJUSTED=GAAP","Sort=A","Dates=H","DateFormat=P","Fill=—","Direction=H","UseDPDF=Y")</f>
        <v>3.1309999999999998</v>
      </c>
      <c r="Z41" s="14">
        <f>_xll.BDH("NBIX US Equity","5Y_GEO_GROWTH_DILUTED_EPS","FQ3 2024","FQ3 2024","Currency=USD","Period=FQ","BEST_FPERIOD_OVERRIDE=FQ","FILING_STATUS=MR","FA_ADJUSTED=GAAP","Sort=A","Dates=H","DateFormat=P","Fill=—","Direction=H","UseDPDF=Y")</f>
        <v>17.232199999999999</v>
      </c>
      <c r="AA41" s="14">
        <f>_xll.BDH("NBIX US Equity","5Y_GEO_GROWTH_DILUTED_EPS","FQ4 2024","FQ4 2024","Currency=USD","Period=FQ","BEST_FPERIOD_OVERRIDE=FQ","FILING_STATUS=MR","FA_ADJUSTED=GAAP","Sort=A","Dates=H","DateFormat=P","Fill=—","Direction=H","UseDPDF=Y")</f>
        <v>23.363399999999999</v>
      </c>
    </row>
    <row r="42" spans="1:27" x14ac:dyDescent="0.25">
      <c r="A42" s="10" t="s">
        <v>1284</v>
      </c>
      <c r="B42" s="10" t="s">
        <v>1325</v>
      </c>
      <c r="C42" s="14" t="str">
        <f>_xll.BDH("NBIX US Equity","5Y_GEO_GROWTH_DILUTED_EPS_BEF_XO","FQ4 2018","FQ4 2018","Currency=USD","Period=FQ","BEST_FPERIOD_OVERRIDE=FQ","FILING_STATUS=MR","Sort=A","Dates=H","DateFormat=P","Fill=—","Direction=H","UseDPDF=Y")</f>
        <v>—</v>
      </c>
      <c r="D42" s="14" t="str">
        <f>_xll.BDH("NBIX US Equity","5Y_GEO_GROWTH_DILUTED_EPS_BEF_XO","FQ1 2019","FQ1 2019","Currency=USD","Period=FQ","BEST_FPERIOD_OVERRIDE=FQ","FILING_STATUS=MR","Sort=A","Dates=H","DateFormat=P","Fill=—","Direction=H","UseDPDF=Y")</f>
        <v>—</v>
      </c>
      <c r="E42" s="14" t="str">
        <f>_xll.BDH("NBIX US Equity","5Y_GEO_GROWTH_DILUTED_EPS_BEF_XO","FQ2 2019","FQ2 2019","Currency=USD","Period=FQ","BEST_FPERIOD_OVERRIDE=FQ","FILING_STATUS=MR","Sort=A","Dates=H","DateFormat=P","Fill=—","Direction=H","UseDPDF=Y")</f>
        <v>—</v>
      </c>
      <c r="F42" s="14" t="str">
        <f>_xll.BDH("NBIX US Equity","5Y_GEO_GROWTH_DILUTED_EPS_BEF_XO","FQ3 2019","FQ3 2019","Currency=USD","Period=FQ","BEST_FPERIOD_OVERRIDE=FQ","FILING_STATUS=MR","Sort=A","Dates=H","DateFormat=P","Fill=—","Direction=H","UseDPDF=Y")</f>
        <v>—</v>
      </c>
      <c r="G42" s="14" t="str">
        <f>_xll.BDH("NBIX US Equity","5Y_GEO_GROWTH_DILUTED_EPS_BEF_XO","FQ4 2019","FQ4 2019","Currency=USD","Period=FQ","BEST_FPERIOD_OVERRIDE=FQ","FILING_STATUS=MR","Sort=A","Dates=H","DateFormat=P","Fill=—","Direction=H","UseDPDF=Y")</f>
        <v>—</v>
      </c>
      <c r="H42" s="14" t="str">
        <f>_xll.BDH("NBIX US Equity","5Y_GEO_GROWTH_DILUTED_EPS_BEF_XO","FQ1 2020","FQ1 2020","Currency=USD","Period=FQ","BEST_FPERIOD_OVERRIDE=FQ","FILING_STATUS=MR","Sort=A","Dates=H","DateFormat=P","Fill=—","Direction=H","UseDPDF=Y")</f>
        <v>—</v>
      </c>
      <c r="I42" s="14" t="str">
        <f>_xll.BDH("NBIX US Equity","5Y_GEO_GROWTH_DILUTED_EPS_BEF_XO","FQ2 2020","FQ2 2020","Currency=USD","Period=FQ","BEST_FPERIOD_OVERRIDE=FQ","FILING_STATUS=MR","Sort=A","Dates=H","DateFormat=P","Fill=—","Direction=H","UseDPDF=Y")</f>
        <v>—</v>
      </c>
      <c r="J42" s="14" t="str">
        <f>_xll.BDH("NBIX US Equity","5Y_GEO_GROWTH_DILUTED_EPS_BEF_XO","FQ3 2020","FQ3 2020","Currency=USD","Period=FQ","BEST_FPERIOD_OVERRIDE=FQ","FILING_STATUS=MR","Sort=A","Dates=H","DateFormat=P","Fill=—","Direction=H","UseDPDF=Y")</f>
        <v>—</v>
      </c>
      <c r="K42" s="14" t="str">
        <f>_xll.BDH("NBIX US Equity","5Y_GEO_GROWTH_DILUTED_EPS_BEF_XO","FQ4 2020","FQ4 2020","Currency=USD","Period=FQ","BEST_FPERIOD_OVERRIDE=FQ","FILING_STATUS=MR","Sort=A","Dates=H","DateFormat=P","Fill=—","Direction=H","UseDPDF=Y")</f>
        <v>—</v>
      </c>
      <c r="L42" s="14" t="str">
        <f>_xll.BDH("NBIX US Equity","5Y_GEO_GROWTH_DILUTED_EPS_BEF_XO","FQ1 2021","FQ1 2021","Currency=USD","Period=FQ","BEST_FPERIOD_OVERRIDE=FQ","FILING_STATUS=MR","Sort=A","Dates=H","DateFormat=P","Fill=—","Direction=H","UseDPDF=Y")</f>
        <v>—</v>
      </c>
      <c r="M42" s="14" t="str">
        <f>_xll.BDH("NBIX US Equity","5Y_GEO_GROWTH_DILUTED_EPS_BEF_XO","FQ2 2021","FQ2 2021","Currency=USD","Period=FQ","BEST_FPERIOD_OVERRIDE=FQ","FILING_STATUS=MR","Sort=A","Dates=H","DateFormat=P","Fill=—","Direction=H","UseDPDF=Y")</f>
        <v>—</v>
      </c>
      <c r="N42" s="14" t="str">
        <f>_xll.BDH("NBIX US Equity","5Y_GEO_GROWTH_DILUTED_EPS_BEF_XO","FQ3 2021","FQ3 2021","Currency=USD","Period=FQ","BEST_FPERIOD_OVERRIDE=FQ","FILING_STATUS=MR","Sort=A","Dates=H","DateFormat=P","Fill=—","Direction=H","UseDPDF=Y")</f>
        <v>—</v>
      </c>
      <c r="O42" s="14" t="str">
        <f>_xll.BDH("NBIX US Equity","5Y_GEO_GROWTH_DILUTED_EPS_BEF_XO","FQ4 2021","FQ4 2021","Currency=USD","Period=FQ","BEST_FPERIOD_OVERRIDE=FQ","FILING_STATUS=MR","Sort=A","Dates=H","DateFormat=P","Fill=—","Direction=H","UseDPDF=Y")</f>
        <v>—</v>
      </c>
      <c r="P42" s="14" t="str">
        <f>_xll.BDH("NBIX US Equity","5Y_GEO_GROWTH_DILUTED_EPS_BEF_XO","FQ1 2022","FQ1 2022","Currency=USD","Period=FQ","BEST_FPERIOD_OVERRIDE=FQ","FILING_STATUS=MR","Sort=A","Dates=H","DateFormat=P","Fill=—","Direction=H","UseDPDF=Y")</f>
        <v>—</v>
      </c>
      <c r="Q42" s="14" t="str">
        <f>_xll.BDH("NBIX US Equity","5Y_GEO_GROWTH_DILUTED_EPS_BEF_XO","FQ2 2022","FQ2 2022","Currency=USD","Period=FQ","BEST_FPERIOD_OVERRIDE=FQ","FILING_STATUS=MR","Sort=A","Dates=H","DateFormat=P","Fill=—","Direction=H","UseDPDF=Y")</f>
        <v>—</v>
      </c>
      <c r="R42" s="14" t="str">
        <f>_xll.BDH("NBIX US Equity","5Y_GEO_GROWTH_DILUTED_EPS_BEF_XO","FQ3 2022","FQ3 2022","Currency=USD","Period=FQ","BEST_FPERIOD_OVERRIDE=FQ","FILING_STATUS=MR","Sort=A","Dates=H","DateFormat=P","Fill=—","Direction=H","UseDPDF=Y")</f>
        <v>—</v>
      </c>
      <c r="S42" s="14">
        <f>_xll.BDH("NBIX US Equity","5Y_GEO_GROWTH_DILUTED_EPS_BEF_XO","FQ4 2022","FQ4 2022","Currency=USD","Period=FQ","BEST_FPERIOD_OVERRIDE=FQ","FILING_STATUS=MR","Sort=A","Dates=H","DateFormat=P","Fill=—","Direction=H","UseDPDF=Y")</f>
        <v>65.911699999999996</v>
      </c>
      <c r="T42" s="14" t="str">
        <f>_xll.BDH("NBIX US Equity","5Y_GEO_GROWTH_DILUTED_EPS_BEF_XO","FQ1 2023","FQ1 2023","Currency=USD","Period=FQ","BEST_FPERIOD_OVERRIDE=FQ","FILING_STATUS=MR","Sort=A","Dates=H","DateFormat=P","Fill=—","Direction=H","UseDPDF=Y")</f>
        <v>—</v>
      </c>
      <c r="U42" s="14" t="str">
        <f>_xll.BDH("NBIX US Equity","5Y_GEO_GROWTH_DILUTED_EPS_BEF_XO","FQ2 2023","FQ2 2023","Currency=USD","Period=FQ","BEST_FPERIOD_OVERRIDE=FQ","FILING_STATUS=MR","Sort=A","Dates=H","DateFormat=P","Fill=—","Direction=H","UseDPDF=Y")</f>
        <v>—</v>
      </c>
      <c r="V42" s="14">
        <f>_xll.BDH("NBIX US Equity","5Y_GEO_GROWTH_DILUTED_EPS_BEF_XO","FQ3 2023","FQ3 2023","Currency=USD","Period=FQ","BEST_FPERIOD_OVERRIDE=FQ","FILING_STATUS=MR","Sort=A","Dates=H","DateFormat=P","Fill=—","Direction=H","UseDPDF=Y")</f>
        <v>9.5373000000000001</v>
      </c>
      <c r="W42" s="14">
        <f>_xll.BDH("NBIX US Equity","5Y_GEO_GROWTH_DILUTED_EPS_BEF_XO","FQ4 2023","FQ4 2023","Currency=USD","Period=FQ","BEST_FPERIOD_OVERRIDE=FQ","FILING_STATUS=MR","Sort=A","Dates=H","DateFormat=P","Fill=—","Direction=H","UseDPDF=Y")</f>
        <v>49.941499999999998</v>
      </c>
      <c r="X42" s="14" t="str">
        <f>_xll.BDH("NBIX US Equity","5Y_GEO_GROWTH_DILUTED_EPS_BEF_XO","FQ1 2024","FQ1 2024","Currency=USD","Period=FQ","BEST_FPERIOD_OVERRIDE=FQ","FILING_STATUS=MR","Sort=A","Dates=H","DateFormat=P","Fill=—","Direction=H","UseDPDF=Y")</f>
        <v>—</v>
      </c>
      <c r="Y42" s="14">
        <f>_xll.BDH("NBIX US Equity","5Y_GEO_GROWTH_DILUTED_EPS_BEF_XO","FQ2 2024","FQ2 2024","Currency=USD","Period=FQ","BEST_FPERIOD_OVERRIDE=FQ","FILING_STATUS=MR","Sort=A","Dates=H","DateFormat=P","Fill=—","Direction=H","UseDPDF=Y")</f>
        <v>3.1309999999999998</v>
      </c>
      <c r="Z42" s="14">
        <f>_xll.BDH("NBIX US Equity","5Y_GEO_GROWTH_DILUTED_EPS_BEF_XO","FQ3 2024","FQ3 2024","Currency=USD","Period=FQ","BEST_FPERIOD_OVERRIDE=FQ","FILING_STATUS=MR","Sort=A","Dates=H","DateFormat=P","Fill=—","Direction=H","UseDPDF=Y")</f>
        <v>17.232199999999999</v>
      </c>
      <c r="AA42" s="14">
        <f>_xll.BDH("NBIX US Equity","5Y_GEO_GROWTH_DILUTED_EPS_BEF_XO","FQ4 2024","FQ4 2024","Currency=USD","Period=FQ","BEST_FPERIOD_OVERRIDE=FQ","FILING_STATUS=MR","Sort=A","Dates=H","DateFormat=P","Fill=—","Direction=H","UseDPDF=Y")</f>
        <v>23.363399999999999</v>
      </c>
    </row>
    <row r="43" spans="1:27" x14ac:dyDescent="0.25">
      <c r="A43" s="10" t="s">
        <v>1286</v>
      </c>
      <c r="B43" s="10" t="s">
        <v>1326</v>
      </c>
      <c r="C43" s="14" t="str">
        <f>_xll.BDH("NBIX US Equity","GEO_GROW_DILUTED_EPS_CONT_OPS","FQ4 2018","FQ4 2018","Currency=USD","Period=FQ","BEST_FPERIOD_OVERRIDE=FQ","FILING_STATUS=MR","Sort=A","Dates=H","DateFormat=P","Fill=—","Direction=H","UseDPDF=Y")</f>
        <v>—</v>
      </c>
      <c r="D43" s="14" t="str">
        <f>_xll.BDH("NBIX US Equity","GEO_GROW_DILUTED_EPS_CONT_OPS","FQ1 2019","FQ1 2019","Currency=USD","Period=FQ","BEST_FPERIOD_OVERRIDE=FQ","FILING_STATUS=MR","Sort=A","Dates=H","DateFormat=P","Fill=—","Direction=H","UseDPDF=Y")</f>
        <v>—</v>
      </c>
      <c r="E43" s="14" t="str">
        <f>_xll.BDH("NBIX US Equity","GEO_GROW_DILUTED_EPS_CONT_OPS","FQ2 2019","FQ2 2019","Currency=USD","Period=FQ","BEST_FPERIOD_OVERRIDE=FQ","FILING_STATUS=MR","Sort=A","Dates=H","DateFormat=P","Fill=—","Direction=H","UseDPDF=Y")</f>
        <v>—</v>
      </c>
      <c r="F43" s="14" t="str">
        <f>_xll.BDH("NBIX US Equity","GEO_GROW_DILUTED_EPS_CONT_OPS","FQ3 2019","FQ3 2019","Currency=USD","Period=FQ","BEST_FPERIOD_OVERRIDE=FQ","FILING_STATUS=MR","Sort=A","Dates=H","DateFormat=P","Fill=—","Direction=H","UseDPDF=Y")</f>
        <v>—</v>
      </c>
      <c r="G43" s="14" t="str">
        <f>_xll.BDH("NBIX US Equity","GEO_GROW_DILUTED_EPS_CONT_OPS","FQ4 2019","FQ4 2019","Currency=USD","Period=FQ","BEST_FPERIOD_OVERRIDE=FQ","FILING_STATUS=MR","Sort=A","Dates=H","DateFormat=P","Fill=—","Direction=H","UseDPDF=Y")</f>
        <v>—</v>
      </c>
      <c r="H43" s="14" t="str">
        <f>_xll.BDH("NBIX US Equity","GEO_GROW_DILUTED_EPS_CONT_OPS","FQ1 2020","FQ1 2020","Currency=USD","Period=FQ","BEST_FPERIOD_OVERRIDE=FQ","FILING_STATUS=MR","Sort=A","Dates=H","DateFormat=P","Fill=—","Direction=H","UseDPDF=Y")</f>
        <v>—</v>
      </c>
      <c r="I43" s="14" t="str">
        <f>_xll.BDH("NBIX US Equity","GEO_GROW_DILUTED_EPS_CONT_OPS","FQ2 2020","FQ2 2020","Currency=USD","Period=FQ","BEST_FPERIOD_OVERRIDE=FQ","FILING_STATUS=MR","Sort=A","Dates=H","DateFormat=P","Fill=—","Direction=H","UseDPDF=Y")</f>
        <v>—</v>
      </c>
      <c r="J43" s="14" t="str">
        <f>_xll.BDH("NBIX US Equity","GEO_GROW_DILUTED_EPS_CONT_OPS","FQ3 2020","FQ3 2020","Currency=USD","Period=FQ","BEST_FPERIOD_OVERRIDE=FQ","FILING_STATUS=MR","Sort=A","Dates=H","DateFormat=P","Fill=—","Direction=H","UseDPDF=Y")</f>
        <v>—</v>
      </c>
      <c r="K43" s="14" t="str">
        <f>_xll.BDH("NBIX US Equity","GEO_GROW_DILUTED_EPS_CONT_OPS","FQ4 2020","FQ4 2020","Currency=USD","Period=FQ","BEST_FPERIOD_OVERRIDE=FQ","FILING_STATUS=MR","Sort=A","Dates=H","DateFormat=P","Fill=—","Direction=H","UseDPDF=Y")</f>
        <v>—</v>
      </c>
      <c r="L43" s="14" t="str">
        <f>_xll.BDH("NBIX US Equity","GEO_GROW_DILUTED_EPS_CONT_OPS","FQ1 2021","FQ1 2021","Currency=USD","Period=FQ","BEST_FPERIOD_OVERRIDE=FQ","FILING_STATUS=MR","Sort=A","Dates=H","DateFormat=P","Fill=—","Direction=H","UseDPDF=Y")</f>
        <v>—</v>
      </c>
      <c r="M43" s="14" t="str">
        <f>_xll.BDH("NBIX US Equity","GEO_GROW_DILUTED_EPS_CONT_OPS","FQ2 2021","FQ2 2021","Currency=USD","Period=FQ","BEST_FPERIOD_OVERRIDE=FQ","FILING_STATUS=MR","Sort=A","Dates=H","DateFormat=P","Fill=—","Direction=H","UseDPDF=Y")</f>
        <v>—</v>
      </c>
      <c r="N43" s="14" t="str">
        <f>_xll.BDH("NBIX US Equity","GEO_GROW_DILUTED_EPS_CONT_OPS","FQ3 2021","FQ3 2021","Currency=USD","Period=FQ","BEST_FPERIOD_OVERRIDE=FQ","FILING_STATUS=MR","Sort=A","Dates=H","DateFormat=P","Fill=—","Direction=H","UseDPDF=Y")</f>
        <v>—</v>
      </c>
      <c r="O43" s="14" t="str">
        <f>_xll.BDH("NBIX US Equity","GEO_GROW_DILUTED_EPS_CONT_OPS","FQ4 2021","FQ4 2021","Currency=USD","Period=FQ","BEST_FPERIOD_OVERRIDE=FQ","FILING_STATUS=MR","Sort=A","Dates=H","DateFormat=P","Fill=—","Direction=H","UseDPDF=Y")</f>
        <v>—</v>
      </c>
      <c r="P43" s="14" t="str">
        <f>_xll.BDH("NBIX US Equity","GEO_GROW_DILUTED_EPS_CONT_OPS","FQ1 2022","FQ1 2022","Currency=USD","Period=FQ","BEST_FPERIOD_OVERRIDE=FQ","FILING_STATUS=MR","Sort=A","Dates=H","DateFormat=P","Fill=—","Direction=H","UseDPDF=Y")</f>
        <v>—</v>
      </c>
      <c r="Q43" s="14" t="str">
        <f>_xll.BDH("NBIX US Equity","GEO_GROW_DILUTED_EPS_CONT_OPS","FQ2 2022","FQ2 2022","Currency=USD","Period=FQ","BEST_FPERIOD_OVERRIDE=FQ","FILING_STATUS=MR","Sort=A","Dates=H","DateFormat=P","Fill=—","Direction=H","UseDPDF=Y")</f>
        <v>—</v>
      </c>
      <c r="R43" s="14" t="str">
        <f>_xll.BDH("NBIX US Equity","GEO_GROW_DILUTED_EPS_CONT_OPS","FQ3 2022","FQ3 2022","Currency=USD","Period=FQ","BEST_FPERIOD_OVERRIDE=FQ","FILING_STATUS=MR","Sort=A","Dates=H","DateFormat=P","Fill=—","Direction=H","UseDPDF=Y")</f>
        <v>—</v>
      </c>
      <c r="S43" s="14">
        <f>_xll.BDH("NBIX US Equity","GEO_GROW_DILUTED_EPS_CONT_OPS","FQ4 2022","FQ4 2022","Currency=USD","Period=FQ","BEST_FPERIOD_OVERRIDE=FQ","FILING_STATUS=MR","Sort=A","Dates=H","DateFormat=P","Fill=—","Direction=H","UseDPDF=Y")</f>
        <v>66.913499999999999</v>
      </c>
      <c r="T43" s="14" t="str">
        <f>_xll.BDH("NBIX US Equity","GEO_GROW_DILUTED_EPS_CONT_OPS","FQ1 2023","FQ1 2023","Currency=USD","Period=FQ","BEST_FPERIOD_OVERRIDE=FQ","FILING_STATUS=MR","Sort=A","Dates=H","DateFormat=P","Fill=—","Direction=H","UseDPDF=Y")</f>
        <v>—</v>
      </c>
      <c r="U43" s="14" t="str">
        <f>_xll.BDH("NBIX US Equity","GEO_GROW_DILUTED_EPS_CONT_OPS","FQ2 2023","FQ2 2023","Currency=USD","Period=FQ","BEST_FPERIOD_OVERRIDE=FQ","FILING_STATUS=MR","Sort=A","Dates=H","DateFormat=P","Fill=—","Direction=H","UseDPDF=Y")</f>
        <v>—</v>
      </c>
      <c r="V43" s="14">
        <f>_xll.BDH("NBIX US Equity","GEO_GROW_DILUTED_EPS_CONT_OPS","FQ3 2023","FQ3 2023","Currency=USD","Period=FQ","BEST_FPERIOD_OVERRIDE=FQ","FILING_STATUS=MR","Sort=A","Dates=H","DateFormat=P","Fill=—","Direction=H","UseDPDF=Y")</f>
        <v>21.258099999999999</v>
      </c>
      <c r="W43" s="14">
        <f>_xll.BDH("NBIX US Equity","GEO_GROW_DILUTED_EPS_CONT_OPS","FQ4 2023","FQ4 2023","Currency=USD","Period=FQ","BEST_FPERIOD_OVERRIDE=FQ","FILING_STATUS=MR","Sort=A","Dates=H","DateFormat=P","Fill=—","Direction=H","UseDPDF=Y")</f>
        <v>44.957099999999997</v>
      </c>
      <c r="X43" s="14" t="str">
        <f>_xll.BDH("NBIX US Equity","GEO_GROW_DILUTED_EPS_CONT_OPS","FQ1 2024","FQ1 2024","Currency=USD","Period=FQ","BEST_FPERIOD_OVERRIDE=FQ","FILING_STATUS=MR","Sort=A","Dates=H","DateFormat=P","Fill=—","Direction=H","UseDPDF=Y")</f>
        <v>—</v>
      </c>
      <c r="Y43" s="14">
        <f>_xll.BDH("NBIX US Equity","GEO_GROW_DILUTED_EPS_CONT_OPS","FQ2 2024","FQ2 2024","Currency=USD","Period=FQ","BEST_FPERIOD_OVERRIDE=FQ","FILING_STATUS=MR","Sort=A","Dates=H","DateFormat=P","Fill=—","Direction=H","UseDPDF=Y")</f>
        <v>32.812399999999997</v>
      </c>
      <c r="Z43" s="14">
        <f>_xll.BDH("NBIX US Equity","GEO_GROW_DILUTED_EPS_CONT_OPS","FQ3 2024","FQ3 2024","Currency=USD","Period=FQ","BEST_FPERIOD_OVERRIDE=FQ","FILING_STATUS=MR","Sort=A","Dates=H","DateFormat=P","Fill=—","Direction=H","UseDPDF=Y")</f>
        <v>13.620799999999999</v>
      </c>
      <c r="AA43" s="14">
        <f>_xll.BDH("NBIX US Equity","GEO_GROW_DILUTED_EPS_CONT_OPS","FQ4 2024","FQ4 2024","Currency=USD","Period=FQ","BEST_FPERIOD_OVERRIDE=FQ","FILING_STATUS=MR","Sort=A","Dates=H","DateFormat=P","Fill=—","Direction=H","UseDPDF=Y")</f>
        <v>5.6483999999999996</v>
      </c>
    </row>
    <row r="44" spans="1:27" x14ac:dyDescent="0.25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5">
      <c r="A45" s="10" t="s">
        <v>1288</v>
      </c>
      <c r="B45" s="10" t="s">
        <v>1327</v>
      </c>
      <c r="C45" s="14">
        <f>_xll.BDH("NBIX US Equity","ACCOUNTS_RECEIVABLE_5_YR_GROWTH","FQ4 2018","FQ4 2018","Currency=USD","Period=FQ","BEST_FPERIOD_OVERRIDE=FQ","FILING_STATUS=MR","Sort=A","Dates=H","DateFormat=P","Fill=—","Direction=H","UseDPDF=Y")</f>
        <v>376.06200000000001</v>
      </c>
      <c r="D45" s="14" t="str">
        <f>_xll.BDH("NBIX US Equity","ACCOUNTS_RECEIVABLE_5_YR_GROWTH","FQ1 2019","FQ1 2019","Currency=USD","Period=FQ","BEST_FPERIOD_OVERRIDE=FQ","FILING_STATUS=MR","Sort=A","Dates=H","DateFormat=P","Fill=—","Direction=H","UseDPDF=Y")</f>
        <v>—</v>
      </c>
      <c r="E45" s="14" t="str">
        <f>_xll.BDH("NBIX US Equity","ACCOUNTS_RECEIVABLE_5_YR_GROWTH","FQ2 2019","FQ2 2019","Currency=USD","Period=FQ","BEST_FPERIOD_OVERRIDE=FQ","FILING_STATUS=MR","Sort=A","Dates=H","DateFormat=P","Fill=—","Direction=H","UseDPDF=Y")</f>
        <v>—</v>
      </c>
      <c r="F45" s="14" t="str">
        <f>_xll.BDH("NBIX US Equity","ACCOUNTS_RECEIVABLE_5_YR_GROWTH","FQ3 2019","FQ3 2019","Currency=USD","Period=FQ","BEST_FPERIOD_OVERRIDE=FQ","FILING_STATUS=MR","Sort=A","Dates=H","DateFormat=P","Fill=—","Direction=H","UseDPDF=Y")</f>
        <v>—</v>
      </c>
      <c r="G45" s="14" t="str">
        <f>_xll.BDH("NBIX US Equity","ACCOUNTS_RECEIVABLE_5_YR_GROWTH","FQ4 2019","FQ4 2019","Currency=USD","Period=FQ","BEST_FPERIOD_OVERRIDE=FQ","FILING_STATUS=MR","Sort=A","Dates=H","DateFormat=P","Fill=—","Direction=H","UseDPDF=Y")</f>
        <v>—</v>
      </c>
      <c r="H45" s="14">
        <f>_xll.BDH("NBIX US Equity","ACCOUNTS_RECEIVABLE_5_YR_GROWTH","FQ1 2020","FQ1 2020","Currency=USD","Period=FQ","BEST_FPERIOD_OVERRIDE=FQ","FILING_STATUS=MR","Sort=A","Dates=H","DateFormat=P","Fill=—","Direction=H","UseDPDF=Y")</f>
        <v>37.686900000000001</v>
      </c>
      <c r="I45" s="14" t="str">
        <f>_xll.BDH("NBIX US Equity","ACCOUNTS_RECEIVABLE_5_YR_GROWTH","FQ2 2020","FQ2 2020","Currency=USD","Period=FQ","BEST_FPERIOD_OVERRIDE=FQ","FILING_STATUS=MR","Sort=A","Dates=H","DateFormat=P","Fill=—","Direction=H","UseDPDF=Y")</f>
        <v>—</v>
      </c>
      <c r="J45" s="14" t="str">
        <f>_xll.BDH("NBIX US Equity","ACCOUNTS_RECEIVABLE_5_YR_GROWTH","FQ3 2020","FQ3 2020","Currency=USD","Period=FQ","BEST_FPERIOD_OVERRIDE=FQ","FILING_STATUS=MR","Sort=A","Dates=H","DateFormat=P","Fill=—","Direction=H","UseDPDF=Y")</f>
        <v>—</v>
      </c>
      <c r="K45" s="14" t="str">
        <f>_xll.BDH("NBIX US Equity","ACCOUNTS_RECEIVABLE_5_YR_GROWTH","FQ4 2020","FQ4 2020","Currency=USD","Period=FQ","BEST_FPERIOD_OVERRIDE=FQ","FILING_STATUS=MR","Sort=A","Dates=H","DateFormat=P","Fill=—","Direction=H","UseDPDF=Y")</f>
        <v>—</v>
      </c>
      <c r="L45" s="14" t="str">
        <f>_xll.BDH("NBIX US Equity","ACCOUNTS_RECEIVABLE_5_YR_GROWTH","FQ1 2021","FQ1 2021","Currency=USD","Period=FQ","BEST_FPERIOD_OVERRIDE=FQ","FILING_STATUS=MR","Sort=A","Dates=H","DateFormat=P","Fill=—","Direction=H","UseDPDF=Y")</f>
        <v>—</v>
      </c>
      <c r="M45" s="14" t="str">
        <f>_xll.BDH("NBIX US Equity","ACCOUNTS_RECEIVABLE_5_YR_GROWTH","FQ2 2021","FQ2 2021","Currency=USD","Period=FQ","BEST_FPERIOD_OVERRIDE=FQ","FILING_STATUS=MR","Sort=A","Dates=H","DateFormat=P","Fill=—","Direction=H","UseDPDF=Y")</f>
        <v>—</v>
      </c>
      <c r="N45" s="14" t="str">
        <f>_xll.BDH("NBIX US Equity","ACCOUNTS_RECEIVABLE_5_YR_GROWTH","FQ3 2021","FQ3 2021","Currency=USD","Period=FQ","BEST_FPERIOD_OVERRIDE=FQ","FILING_STATUS=MR","Sort=A","Dates=H","DateFormat=P","Fill=—","Direction=H","UseDPDF=Y")</f>
        <v>—</v>
      </c>
      <c r="O45" s="14" t="str">
        <f>_xll.BDH("NBIX US Equity","ACCOUNTS_RECEIVABLE_5_YR_GROWTH","FQ4 2021","FQ4 2021","Currency=USD","Period=FQ","BEST_FPERIOD_OVERRIDE=FQ","FILING_STATUS=MR","Sort=A","Dates=H","DateFormat=P","Fill=—","Direction=H","UseDPDF=Y")</f>
        <v>—</v>
      </c>
      <c r="P45" s="14" t="str">
        <f>_xll.BDH("NBIX US Equity","ACCOUNTS_RECEIVABLE_5_YR_GROWTH","FQ1 2022","FQ1 2022","Currency=USD","Period=FQ","BEST_FPERIOD_OVERRIDE=FQ","FILING_STATUS=MR","Sort=A","Dates=H","DateFormat=P","Fill=—","Direction=H","UseDPDF=Y")</f>
        <v>—</v>
      </c>
      <c r="Q45" s="14">
        <f>_xll.BDH("NBIX US Equity","ACCOUNTS_RECEIVABLE_5_YR_GROWTH","FQ2 2022","FQ2 2022","Currency=USD","Period=FQ","BEST_FPERIOD_OVERRIDE=FQ","FILING_STATUS=MR","Sort=A","Dates=H","DateFormat=P","Fill=—","Direction=H","UseDPDF=Y")</f>
        <v>114.99379999999999</v>
      </c>
      <c r="R45" s="14">
        <f>_xll.BDH("NBIX US Equity","ACCOUNTS_RECEIVABLE_5_YR_GROWTH","FQ3 2022","FQ3 2022","Currency=USD","Period=FQ","BEST_FPERIOD_OVERRIDE=FQ","FILING_STATUS=MR","Sort=A","Dates=H","DateFormat=P","Fill=—","Direction=H","UseDPDF=Y")</f>
        <v>58.809100000000001</v>
      </c>
      <c r="S45" s="14">
        <f>_xll.BDH("NBIX US Equity","ACCOUNTS_RECEIVABLE_5_YR_GROWTH","FQ4 2022","FQ4 2022","Currency=USD","Period=FQ","BEST_FPERIOD_OVERRIDE=FQ","FILING_STATUS=MR","Sort=A","Dates=H","DateFormat=P","Fill=—","Direction=H","UseDPDF=Y")</f>
        <v>62.250500000000002</v>
      </c>
      <c r="T45" s="14">
        <f>_xll.BDH("NBIX US Equity","ACCOUNTS_RECEIVABLE_5_YR_GROWTH","FQ1 2023","FQ1 2023","Currency=USD","Period=FQ","BEST_FPERIOD_OVERRIDE=FQ","FILING_STATUS=MR","Sort=A","Dates=H","DateFormat=P","Fill=—","Direction=H","UseDPDF=Y")</f>
        <v>54.402700000000003</v>
      </c>
      <c r="U45" s="14">
        <f>_xll.BDH("NBIX US Equity","ACCOUNTS_RECEIVABLE_5_YR_GROWTH","FQ2 2023","FQ2 2023","Currency=USD","Period=FQ","BEST_FPERIOD_OVERRIDE=FQ","FILING_STATUS=MR","Sort=A","Dates=H","DateFormat=P","Fill=—","Direction=H","UseDPDF=Y")</f>
        <v>55.4895</v>
      </c>
      <c r="V45" s="14">
        <f>_xll.BDH("NBIX US Equity","ACCOUNTS_RECEIVABLE_5_YR_GROWTH","FQ3 2023","FQ3 2023","Currency=USD","Period=FQ","BEST_FPERIOD_OVERRIDE=FQ","FILING_STATUS=MR","Sort=A","Dates=H","DateFormat=P","Fill=—","Direction=H","UseDPDF=Y")</f>
        <v>50.507800000000003</v>
      </c>
      <c r="W45" s="14">
        <f>_xll.BDH("NBIX US Equity","ACCOUNTS_RECEIVABLE_5_YR_GROWTH","FQ4 2023","FQ4 2023","Currency=USD","Period=FQ","BEST_FPERIOD_OVERRIDE=FQ","FILING_STATUS=MR","Sort=A","Dates=H","DateFormat=P","Fill=—","Direction=H","UseDPDF=Y")</f>
        <v>50.849299999999999</v>
      </c>
      <c r="X45" s="14">
        <f>_xll.BDH("NBIX US Equity","ACCOUNTS_RECEIVABLE_5_YR_GROWTH","FQ1 2024","FQ1 2024","Currency=USD","Period=FQ","BEST_FPERIOD_OVERRIDE=FQ","FILING_STATUS=MR","Sort=A","Dates=H","DateFormat=P","Fill=—","Direction=H","UseDPDF=Y")</f>
        <v>44.329300000000003</v>
      </c>
      <c r="Y45" s="14">
        <f>_xll.BDH("NBIX US Equity","ACCOUNTS_RECEIVABLE_5_YR_GROWTH","FQ2 2024","FQ2 2024","Currency=USD","Period=FQ","BEST_FPERIOD_OVERRIDE=FQ","FILING_STATUS=MR","Sort=A","Dates=H","DateFormat=P","Fill=—","Direction=H","UseDPDF=Y")</f>
        <v>37.472499999999997</v>
      </c>
      <c r="Z45" s="14">
        <f>_xll.BDH("NBIX US Equity","ACCOUNTS_RECEIVABLE_5_YR_GROWTH","FQ3 2024","FQ3 2024","Currency=USD","Period=FQ","BEST_FPERIOD_OVERRIDE=FQ","FILING_STATUS=MR","Sort=A","Dates=H","DateFormat=P","Fill=—","Direction=H","UseDPDF=Y")</f>
        <v>33.066200000000002</v>
      </c>
      <c r="AA45" s="14">
        <f>_xll.BDH("NBIX US Equity","ACCOUNTS_RECEIVABLE_5_YR_GROWTH","FQ4 2024","FQ4 2024","Currency=USD","Period=FQ","BEST_FPERIOD_OVERRIDE=FQ","FILING_STATUS=MR","Sort=A","Dates=H","DateFormat=P","Fill=—","Direction=H","UseDPDF=Y")</f>
        <v>30.496400000000001</v>
      </c>
    </row>
    <row r="46" spans="1:27" x14ac:dyDescent="0.25">
      <c r="A46" s="10" t="s">
        <v>1290</v>
      </c>
      <c r="B46" s="10" t="s">
        <v>1328</v>
      </c>
      <c r="C46" s="14" t="str">
        <f>_xll.BDH("NBIX US Equity","INVENTORY_5_YEAR_GROWTH","FQ4 2018","FQ4 2018","Currency=USD","Period=FQ","BEST_FPERIOD_OVERRIDE=FQ","FILING_STATUS=MR","Sort=A","Dates=H","DateFormat=P","Fill=—","Direction=H","UseDPDF=Y")</f>
        <v>—</v>
      </c>
      <c r="D46" s="14" t="str">
        <f>_xll.BDH("NBIX US Equity","INVENTORY_5_YEAR_GROWTH","FQ1 2019","FQ1 2019","Currency=USD","Period=FQ","BEST_FPERIOD_OVERRIDE=FQ","FILING_STATUS=MR","Sort=A","Dates=H","DateFormat=P","Fill=—","Direction=H","UseDPDF=Y")</f>
        <v>—</v>
      </c>
      <c r="E46" s="14" t="str">
        <f>_xll.BDH("NBIX US Equity","INVENTORY_5_YEAR_GROWTH","FQ2 2019","FQ2 2019","Currency=USD","Period=FQ","BEST_FPERIOD_OVERRIDE=FQ","FILING_STATUS=MR","Sort=A","Dates=H","DateFormat=P","Fill=—","Direction=H","UseDPDF=Y")</f>
        <v>—</v>
      </c>
      <c r="F46" s="14" t="str">
        <f>_xll.BDH("NBIX US Equity","INVENTORY_5_YEAR_GROWTH","FQ3 2019","FQ3 2019","Currency=USD","Period=FQ","BEST_FPERIOD_OVERRIDE=FQ","FILING_STATUS=MR","Sort=A","Dates=H","DateFormat=P","Fill=—","Direction=H","UseDPDF=Y")</f>
        <v>—</v>
      </c>
      <c r="G46" s="14" t="str">
        <f>_xll.BDH("NBIX US Equity","INVENTORY_5_YEAR_GROWTH","FQ4 2019","FQ4 2019","Currency=USD","Period=FQ","BEST_FPERIOD_OVERRIDE=FQ","FILING_STATUS=MR","Sort=A","Dates=H","DateFormat=P","Fill=—","Direction=H","UseDPDF=Y")</f>
        <v>—</v>
      </c>
      <c r="H46" s="14" t="str">
        <f>_xll.BDH("NBIX US Equity","INVENTORY_5_YEAR_GROWTH","FQ1 2020","FQ1 2020","Currency=USD","Period=FQ","BEST_FPERIOD_OVERRIDE=FQ","FILING_STATUS=MR","Sort=A","Dates=H","DateFormat=P","Fill=—","Direction=H","UseDPDF=Y")</f>
        <v>—</v>
      </c>
      <c r="I46" s="14" t="str">
        <f>_xll.BDH("NBIX US Equity","INVENTORY_5_YEAR_GROWTH","FQ2 2020","FQ2 2020","Currency=USD","Period=FQ","BEST_FPERIOD_OVERRIDE=FQ","FILING_STATUS=MR","Sort=A","Dates=H","DateFormat=P","Fill=—","Direction=H","UseDPDF=Y")</f>
        <v>—</v>
      </c>
      <c r="J46" s="14" t="str">
        <f>_xll.BDH("NBIX US Equity","INVENTORY_5_YEAR_GROWTH","FQ3 2020","FQ3 2020","Currency=USD","Period=FQ","BEST_FPERIOD_OVERRIDE=FQ","FILING_STATUS=MR","Sort=A","Dates=H","DateFormat=P","Fill=—","Direction=H","UseDPDF=Y")</f>
        <v>—</v>
      </c>
      <c r="K46" s="14" t="str">
        <f>_xll.BDH("NBIX US Equity","INVENTORY_5_YEAR_GROWTH","FQ4 2020","FQ4 2020","Currency=USD","Period=FQ","BEST_FPERIOD_OVERRIDE=FQ","FILING_STATUS=MR","Sort=A","Dates=H","DateFormat=P","Fill=—","Direction=H","UseDPDF=Y")</f>
        <v>—</v>
      </c>
      <c r="L46" s="14" t="str">
        <f>_xll.BDH("NBIX US Equity","INVENTORY_5_YEAR_GROWTH","FQ1 2021","FQ1 2021","Currency=USD","Period=FQ","BEST_FPERIOD_OVERRIDE=FQ","FILING_STATUS=MR","Sort=A","Dates=H","DateFormat=P","Fill=—","Direction=H","UseDPDF=Y")</f>
        <v>—</v>
      </c>
      <c r="M46" s="14" t="str">
        <f>_xll.BDH("NBIX US Equity","INVENTORY_5_YEAR_GROWTH","FQ2 2021","FQ2 2021","Currency=USD","Period=FQ","BEST_FPERIOD_OVERRIDE=FQ","FILING_STATUS=MR","Sort=A","Dates=H","DateFormat=P","Fill=—","Direction=H","UseDPDF=Y")</f>
        <v>—</v>
      </c>
      <c r="N46" s="14" t="str">
        <f>_xll.BDH("NBIX US Equity","INVENTORY_5_YEAR_GROWTH","FQ3 2021","FQ3 2021","Currency=USD","Period=FQ","BEST_FPERIOD_OVERRIDE=FQ","FILING_STATUS=MR","Sort=A","Dates=H","DateFormat=P","Fill=—","Direction=H","UseDPDF=Y")</f>
        <v>—</v>
      </c>
      <c r="O46" s="14" t="str">
        <f>_xll.BDH("NBIX US Equity","INVENTORY_5_YEAR_GROWTH","FQ4 2021","FQ4 2021","Currency=USD","Period=FQ","BEST_FPERIOD_OVERRIDE=FQ","FILING_STATUS=MR","Sort=A","Dates=H","DateFormat=P","Fill=—","Direction=H","UseDPDF=Y")</f>
        <v>—</v>
      </c>
      <c r="P46" s="14" t="str">
        <f>_xll.BDH("NBIX US Equity","INVENTORY_5_YEAR_GROWTH","FQ1 2022","FQ1 2022","Currency=USD","Period=FQ","BEST_FPERIOD_OVERRIDE=FQ","FILING_STATUS=MR","Sort=A","Dates=H","DateFormat=P","Fill=—","Direction=H","UseDPDF=Y")</f>
        <v>—</v>
      </c>
      <c r="Q46" s="14">
        <f>_xll.BDH("NBIX US Equity","INVENTORY_5_YEAR_GROWTH","FQ2 2022","FQ2 2022","Currency=USD","Period=FQ","BEST_FPERIOD_OVERRIDE=FQ","FILING_STATUS=MR","Sort=A","Dates=H","DateFormat=P","Fill=—","Direction=H","UseDPDF=Y")</f>
        <v>196.43639999999999</v>
      </c>
      <c r="R46" s="14">
        <f>_xll.BDH("NBIX US Equity","INVENTORY_5_YEAR_GROWTH","FQ3 2022","FQ3 2022","Currency=USD","Period=FQ","BEST_FPERIOD_OVERRIDE=FQ","FILING_STATUS=MR","Sort=A","Dates=H","DateFormat=P","Fill=—","Direction=H","UseDPDF=Y")</f>
        <v>173.4496</v>
      </c>
      <c r="S46" s="14">
        <f>_xll.BDH("NBIX US Equity","INVENTORY_5_YEAR_GROWTH","FQ4 2022","FQ4 2022","Currency=USD","Period=FQ","BEST_FPERIOD_OVERRIDE=FQ","FILING_STATUS=MR","Sort=A","Dates=H","DateFormat=P","Fill=—","Direction=H","UseDPDF=Y")</f>
        <v>102.7689</v>
      </c>
      <c r="T46" s="14" t="str">
        <f>_xll.BDH("NBIX US Equity","INVENTORY_5_YEAR_GROWTH","FQ1 2023","FQ1 2023","Currency=USD","Period=FQ","BEST_FPERIOD_OVERRIDE=FQ","FILING_STATUS=MR","Sort=A","Dates=H","DateFormat=P","Fill=—","Direction=H","UseDPDF=Y")</f>
        <v>—</v>
      </c>
      <c r="U46" s="14" t="str">
        <f>_xll.BDH("NBIX US Equity","INVENTORY_5_YEAR_GROWTH","FQ2 2023","FQ2 2023","Currency=USD","Period=FQ","BEST_FPERIOD_OVERRIDE=FQ","FILING_STATUS=MR","Sort=A","Dates=H","DateFormat=P","Fill=—","Direction=H","UseDPDF=Y")</f>
        <v>—</v>
      </c>
      <c r="V46" s="14">
        <f>_xll.BDH("NBIX US Equity","INVENTORY_5_YEAR_GROWTH","FQ3 2023","FQ3 2023","Currency=USD","Period=FQ","BEST_FPERIOD_OVERRIDE=FQ","FILING_STATUS=MR","Sort=A","Dates=H","DateFormat=P","Fill=—","Direction=H","UseDPDF=Y")</f>
        <v>36.606099999999998</v>
      </c>
      <c r="W46" s="14">
        <f>_xll.BDH("NBIX US Equity","INVENTORY_5_YEAR_GROWTH","FQ4 2023","FQ4 2023","Currency=USD","Period=FQ","BEST_FPERIOD_OVERRIDE=FQ","FILING_STATUS=MR","Sort=A","Dates=H","DateFormat=P","Fill=—","Direction=H","UseDPDF=Y")</f>
        <v>28.659500000000001</v>
      </c>
      <c r="X46" s="14">
        <f>_xll.BDH("NBIX US Equity","INVENTORY_5_YEAR_GROWTH","FQ1 2024","FQ1 2024","Currency=USD","Period=FQ","BEST_FPERIOD_OVERRIDE=FQ","FILING_STATUS=MR","Sort=A","Dates=H","DateFormat=P","Fill=—","Direction=H","UseDPDF=Y")</f>
        <v>23.382400000000001</v>
      </c>
      <c r="Y46" s="14">
        <f>_xll.BDH("NBIX US Equity","INVENTORY_5_YEAR_GROWTH","FQ2 2024","FQ2 2024","Currency=USD","Period=FQ","BEST_FPERIOD_OVERRIDE=FQ","FILING_STATUS=MR","Sort=A","Dates=H","DateFormat=P","Fill=—","Direction=H","UseDPDF=Y")</f>
        <v>28.7394</v>
      </c>
      <c r="Z46" s="14">
        <f>_xll.BDH("NBIX US Equity","INVENTORY_5_YEAR_GROWTH","FQ3 2024","FQ3 2024","Currency=USD","Period=FQ","BEST_FPERIOD_OVERRIDE=FQ","FILING_STATUS=MR","Sort=A","Dates=H","DateFormat=P","Fill=—","Direction=H","UseDPDF=Y")</f>
        <v>33.507100000000001</v>
      </c>
      <c r="AA46" s="14">
        <f>_xll.BDH("NBIX US Equity","INVENTORY_5_YEAR_GROWTH","FQ4 2024","FQ4 2024","Currency=USD","Period=FQ","BEST_FPERIOD_OVERRIDE=FQ","FILING_STATUS=MR","Sort=A","Dates=H","DateFormat=P","Fill=—","Direction=H","UseDPDF=Y")</f>
        <v>27.1081</v>
      </c>
    </row>
    <row r="47" spans="1:27" x14ac:dyDescent="0.25">
      <c r="A47" s="10" t="s">
        <v>1292</v>
      </c>
      <c r="B47" s="10" t="s">
        <v>1329</v>
      </c>
      <c r="C47" s="14">
        <f>_xll.BDH("NBIX US Equity","NET_FIXED_ASSETS_5_YEAR_GROWTH","FQ4 2018","FQ4 2018","Currency=USD","Period=FQ","BEST_FPERIOD_OVERRIDE=FQ","FILING_STATUS=MR","Sort=A","Dates=H","DateFormat=P","Fill=—","Direction=H","UseDPDF=Y")</f>
        <v>80.433300000000003</v>
      </c>
      <c r="D47" s="14">
        <f>_xll.BDH("NBIX US Equity","NET_FIXED_ASSETS_5_YEAR_GROWTH","FQ1 2019","FQ1 2019","Currency=USD","Period=FQ","BEST_FPERIOD_OVERRIDE=FQ","FILING_STATUS=MR","Sort=A","Dates=H","DateFormat=P","Fill=—","Direction=H","UseDPDF=Y")</f>
        <v>116.72369999999999</v>
      </c>
      <c r="E47" s="14">
        <f>_xll.BDH("NBIX US Equity","NET_FIXED_ASSETS_5_YEAR_GROWTH","FQ2 2019","FQ2 2019","Currency=USD","Period=FQ","BEST_FPERIOD_OVERRIDE=FQ","FILING_STATUS=MR","Sort=A","Dates=H","DateFormat=P","Fill=—","Direction=H","UseDPDF=Y")</f>
        <v>108.7285</v>
      </c>
      <c r="F47" s="14">
        <f>_xll.BDH("NBIX US Equity","NET_FIXED_ASSETS_5_YEAR_GROWTH","FQ3 2019","FQ3 2019","Currency=USD","Period=FQ","BEST_FPERIOD_OVERRIDE=FQ","FILING_STATUS=MR","Sort=A","Dates=H","DateFormat=P","Fill=—","Direction=H","UseDPDF=Y")</f>
        <v>113.7582</v>
      </c>
      <c r="G47" s="14">
        <f>_xll.BDH("NBIX US Equity","NET_FIXED_ASSETS_5_YEAR_GROWTH","FQ4 2019","FQ4 2019","Currency=USD","Period=FQ","BEST_FPERIOD_OVERRIDE=FQ","FILING_STATUS=MR","Sort=A","Dates=H","DateFormat=P","Fill=—","Direction=H","UseDPDF=Y")</f>
        <v>115.38249999999999</v>
      </c>
      <c r="H47" s="14">
        <f>_xll.BDH("NBIX US Equity","NET_FIXED_ASSETS_5_YEAR_GROWTH","FQ1 2020","FQ1 2020","Currency=USD","Period=FQ","BEST_FPERIOD_OVERRIDE=FQ","FILING_STATUS=MR","Sort=A","Dates=H","DateFormat=P","Fill=—","Direction=H","UseDPDF=Y")</f>
        <v>114.3982</v>
      </c>
      <c r="I47" s="14">
        <f>_xll.BDH("NBIX US Equity","NET_FIXED_ASSETS_5_YEAR_GROWTH","FQ2 2020","FQ2 2020","Currency=USD","Period=FQ","BEST_FPERIOD_OVERRIDE=FQ","FILING_STATUS=MR","Sort=A","Dates=H","DateFormat=P","Fill=—","Direction=H","UseDPDF=Y")</f>
        <v>110.8242</v>
      </c>
      <c r="J47" s="14">
        <f>_xll.BDH("NBIX US Equity","NET_FIXED_ASSETS_5_YEAR_GROWTH","FQ3 2020","FQ3 2020","Currency=USD","Period=FQ","BEST_FPERIOD_OVERRIDE=FQ","FILING_STATUS=MR","Sort=A","Dates=H","DateFormat=P","Fill=—","Direction=H","UseDPDF=Y")</f>
        <v>108.7775</v>
      </c>
      <c r="K47" s="14">
        <f>_xll.BDH("NBIX US Equity","NET_FIXED_ASSETS_5_YEAR_GROWTH","FQ4 2020","FQ4 2020","Currency=USD","Period=FQ","BEST_FPERIOD_OVERRIDE=FQ","FILING_STATUS=MR","Sort=A","Dates=H","DateFormat=P","Fill=—","Direction=H","UseDPDF=Y")</f>
        <v>106.0271</v>
      </c>
      <c r="L47" s="14">
        <f>_xll.BDH("NBIX US Equity","NET_FIXED_ASSETS_5_YEAR_GROWTH","FQ1 2021","FQ1 2021","Currency=USD","Period=FQ","BEST_FPERIOD_OVERRIDE=FQ","FILING_STATUS=MR","Sort=A","Dates=H","DateFormat=P","Fill=—","Direction=H","UseDPDF=Y")</f>
        <v>105.3501</v>
      </c>
      <c r="M47" s="14">
        <f>_xll.BDH("NBIX US Equity","NET_FIXED_ASSETS_5_YEAR_GROWTH","FQ2 2021","FQ2 2021","Currency=USD","Period=FQ","BEST_FPERIOD_OVERRIDE=FQ","FILING_STATUS=MR","Sort=A","Dates=H","DateFormat=P","Fill=—","Direction=H","UseDPDF=Y")</f>
        <v>91.664500000000004</v>
      </c>
      <c r="N47" s="14">
        <f>_xll.BDH("NBIX US Equity","NET_FIXED_ASSETS_5_YEAR_GROWTH","FQ3 2021","FQ3 2021","Currency=USD","Period=FQ","BEST_FPERIOD_OVERRIDE=FQ","FILING_STATUS=MR","Sort=A","Dates=H","DateFormat=P","Fill=—","Direction=H","UseDPDF=Y")</f>
        <v>88.990300000000005</v>
      </c>
      <c r="O47" s="14">
        <f>_xll.BDH("NBIX US Equity","NET_FIXED_ASSETS_5_YEAR_GROWTH","FQ4 2021","FQ4 2021","Currency=USD","Period=FQ","BEST_FPERIOD_OVERRIDE=FQ","FILING_STATUS=MR","Sort=A","Dates=H","DateFormat=P","Fill=—","Direction=H","UseDPDF=Y")</f>
        <v>90.128</v>
      </c>
      <c r="P47" s="14">
        <f>_xll.BDH("NBIX US Equity","NET_FIXED_ASSETS_5_YEAR_GROWTH","FQ1 2022","FQ1 2022","Currency=USD","Period=FQ","BEST_FPERIOD_OVERRIDE=FQ","FILING_STATUS=MR","Sort=A","Dates=H","DateFormat=P","Fill=—","Direction=H","UseDPDF=Y")</f>
        <v>85.897000000000006</v>
      </c>
      <c r="Q47" s="14">
        <f>_xll.BDH("NBIX US Equity","NET_FIXED_ASSETS_5_YEAR_GROWTH","FQ2 2022","FQ2 2022","Currency=USD","Period=FQ","BEST_FPERIOD_OVERRIDE=FQ","FILING_STATUS=MR","Sort=A","Dates=H","DateFormat=P","Fill=—","Direction=H","UseDPDF=Y")</f>
        <v>86.996099999999998</v>
      </c>
      <c r="R47" s="14">
        <f>_xll.BDH("NBIX US Equity","NET_FIXED_ASSETS_5_YEAR_GROWTH","FQ3 2022","FQ3 2022","Currency=USD","Period=FQ","BEST_FPERIOD_OVERRIDE=FQ","FILING_STATUS=MR","Sort=A","Dates=H","DateFormat=P","Fill=—","Direction=H","UseDPDF=Y")</f>
        <v>75.112899999999996</v>
      </c>
      <c r="S47" s="14">
        <f>_xll.BDH("NBIX US Equity","NET_FIXED_ASSETS_5_YEAR_GROWTH","FQ4 2022","FQ4 2022","Currency=USD","Period=FQ","BEST_FPERIOD_OVERRIDE=FQ","FILING_STATUS=MR","Sort=A","Dates=H","DateFormat=P","Fill=—","Direction=H","UseDPDF=Y")</f>
        <v>68.212800000000001</v>
      </c>
      <c r="T47" s="14">
        <f>_xll.BDH("NBIX US Equity","NET_FIXED_ASSETS_5_YEAR_GROWTH","FQ1 2023","FQ1 2023","Currency=USD","Period=FQ","BEST_FPERIOD_OVERRIDE=FQ","FILING_STATUS=MR","Sort=A","Dates=H","DateFormat=P","Fill=—","Direction=H","UseDPDF=Y")</f>
        <v>65.585099999999997</v>
      </c>
      <c r="U47" s="14">
        <f>_xll.BDH("NBIX US Equity","NET_FIXED_ASSETS_5_YEAR_GROWTH","FQ2 2023","FQ2 2023","Currency=USD","Period=FQ","BEST_FPERIOD_OVERRIDE=FQ","FILING_STATUS=MR","Sort=A","Dates=H","DateFormat=P","Fill=—","Direction=H","UseDPDF=Y")</f>
        <v>51.348999999999997</v>
      </c>
      <c r="V47" s="14">
        <f>_xll.BDH("NBIX US Equity","NET_FIXED_ASSETS_5_YEAR_GROWTH","FQ3 2023","FQ3 2023","Currency=USD","Period=FQ","BEST_FPERIOD_OVERRIDE=FQ","FILING_STATUS=MR","Sort=A","Dates=H","DateFormat=P","Fill=—","Direction=H","UseDPDF=Y")</f>
        <v>39.206200000000003</v>
      </c>
      <c r="W47" s="14">
        <f>_xll.BDH("NBIX US Equity","NET_FIXED_ASSETS_5_YEAR_GROWTH","FQ4 2023","FQ4 2023","Currency=USD","Period=FQ","BEST_FPERIOD_OVERRIDE=FQ","FILING_STATUS=MR","Sort=A","Dates=H","DateFormat=P","Fill=—","Direction=H","UseDPDF=Y")</f>
        <v>59.287100000000002</v>
      </c>
      <c r="X47" s="14">
        <f>_xll.BDH("NBIX US Equity","NET_FIXED_ASSETS_5_YEAR_GROWTH","FQ1 2024","FQ1 2024","Currency=USD","Period=FQ","BEST_FPERIOD_OVERRIDE=FQ","FILING_STATUS=MR","Sort=A","Dates=H","DateFormat=P","Fill=—","Direction=H","UseDPDF=Y")</f>
        <v>32.122300000000003</v>
      </c>
      <c r="Y47" s="14">
        <f>_xll.BDH("NBIX US Equity","NET_FIXED_ASSETS_5_YEAR_GROWTH","FQ2 2024","FQ2 2024","Currency=USD","Period=FQ","BEST_FPERIOD_OVERRIDE=FQ","FILING_STATUS=MR","Sort=A","Dates=H","DateFormat=P","Fill=—","Direction=H","UseDPDF=Y")</f>
        <v>31.058800000000002</v>
      </c>
      <c r="Z47" s="14">
        <f>_xll.BDH("NBIX US Equity","NET_FIXED_ASSETS_5_YEAR_GROWTH","FQ3 2024","FQ3 2024","Currency=USD","Period=FQ","BEST_FPERIOD_OVERRIDE=FQ","FILING_STATUS=MR","Sort=A","Dates=H","DateFormat=P","Fill=—","Direction=H","UseDPDF=Y")</f>
        <v>26.9514</v>
      </c>
      <c r="AA47" s="14">
        <f>_xll.BDH("NBIX US Equity","NET_FIXED_ASSETS_5_YEAR_GROWTH","FQ4 2024","FQ4 2024","Currency=USD","Period=FQ","BEST_FPERIOD_OVERRIDE=FQ","FILING_STATUS=MR","Sort=A","Dates=H","DateFormat=P","Fill=—","Direction=H","UseDPDF=Y")</f>
        <v>38.491500000000002</v>
      </c>
    </row>
    <row r="48" spans="1:27" x14ac:dyDescent="0.25">
      <c r="A48" s="10" t="s">
        <v>112</v>
      </c>
      <c r="B48" s="10" t="s">
        <v>1330</v>
      </c>
      <c r="C48" s="14">
        <f>_xll.BDH("NBIX US Equity","GEO_GROW_TOT_ASSET","FQ4 2018","FQ4 2018","Currency=USD","Period=FQ","BEST_FPERIOD_OVERRIDE=FQ","FILING_STATUS=MR","Sort=A","Dates=H","DateFormat=P","Fill=—","Direction=H","UseDPDF=Y")</f>
        <v>45.050199999999997</v>
      </c>
      <c r="D48" s="14">
        <f>_xll.BDH("NBIX US Equity","GEO_GROW_TOT_ASSET","FQ1 2019","FQ1 2019","Currency=USD","Period=FQ","BEST_FPERIOD_OVERRIDE=FQ","FILING_STATUS=MR","Sort=A","Dates=H","DateFormat=P","Fill=—","Direction=H","UseDPDF=Y")</f>
        <v>27.948499999999999</v>
      </c>
      <c r="E48" s="14">
        <f>_xll.BDH("NBIX US Equity","GEO_GROW_TOT_ASSET","FQ2 2019","FQ2 2019","Currency=USD","Period=FQ","BEST_FPERIOD_OVERRIDE=FQ","FILING_STATUS=MR","Sort=A","Dates=H","DateFormat=P","Fill=—","Direction=H","UseDPDF=Y")</f>
        <v>31.673200000000001</v>
      </c>
      <c r="F48" s="14">
        <f>_xll.BDH("NBIX US Equity","GEO_GROW_TOT_ASSET","FQ3 2019","FQ3 2019","Currency=USD","Period=FQ","BEST_FPERIOD_OVERRIDE=FQ","FILING_STATUS=MR","Sort=A","Dates=H","DateFormat=P","Fill=—","Direction=H","UseDPDF=Y")</f>
        <v>35.56</v>
      </c>
      <c r="G48" s="14">
        <f>_xll.BDH("NBIX US Equity","GEO_GROW_TOT_ASSET","FQ4 2019","FQ4 2019","Currency=USD","Period=FQ","BEST_FPERIOD_OVERRIDE=FQ","FILING_STATUS=MR","Sort=A","Dates=H","DateFormat=P","Fill=—","Direction=H","UseDPDF=Y")</f>
        <v>39.976599999999998</v>
      </c>
      <c r="H48" s="14">
        <f>_xll.BDH("NBIX US Equity","GEO_GROW_TOT_ASSET","FQ1 2020","FQ1 2020","Currency=USD","Period=FQ","BEST_FPERIOD_OVERRIDE=FQ","FILING_STATUS=MR","Sort=A","Dates=H","DateFormat=P","Fill=—","Direction=H","UseDPDF=Y")</f>
        <v>20.875599999999999</v>
      </c>
      <c r="I48" s="14">
        <f>_xll.BDH("NBIX US Equity","GEO_GROW_TOT_ASSET","FQ2 2020","FQ2 2020","Currency=USD","Period=FQ","BEST_FPERIOD_OVERRIDE=FQ","FILING_STATUS=MR","Sort=A","Dates=H","DateFormat=P","Fill=—","Direction=H","UseDPDF=Y")</f>
        <v>24.279</v>
      </c>
      <c r="J48" s="14">
        <f>_xll.BDH("NBIX US Equity","GEO_GROW_TOT_ASSET","FQ3 2020","FQ3 2020","Currency=USD","Period=FQ","BEST_FPERIOD_OVERRIDE=FQ","FILING_STATUS=MR","Sort=A","Dates=H","DateFormat=P","Fill=—","Direction=H","UseDPDF=Y")</f>
        <v>24.996700000000001</v>
      </c>
      <c r="K48" s="14">
        <f>_xll.BDH("NBIX US Equity","GEO_GROW_TOT_ASSET","FQ4 2020","FQ4 2020","Currency=USD","Period=FQ","BEST_FPERIOD_OVERRIDE=FQ","FILING_STATUS=MR","Sort=A","Dates=H","DateFormat=P","Fill=—","Direction=H","UseDPDF=Y")</f>
        <v>29.5822</v>
      </c>
      <c r="L48" s="14">
        <f>_xll.BDH("NBIX US Equity","GEO_GROW_TOT_ASSET","FQ1 2021","FQ1 2021","Currency=USD","Period=FQ","BEST_FPERIOD_OVERRIDE=FQ","FILING_STATUS=MR","Sort=A","Dates=H","DateFormat=P","Fill=—","Direction=H","UseDPDF=Y")</f>
        <v>32.080800000000004</v>
      </c>
      <c r="M48" s="14">
        <f>_xll.BDH("NBIX US Equity","GEO_GROW_TOT_ASSET","FQ2 2021","FQ2 2021","Currency=USD","Period=FQ","BEST_FPERIOD_OVERRIDE=FQ","FILING_STATUS=MR","Sort=A","Dates=H","DateFormat=P","Fill=—","Direction=H","UseDPDF=Y")</f>
        <v>35.403700000000001</v>
      </c>
      <c r="N48" s="14">
        <f>_xll.BDH("NBIX US Equity","GEO_GROW_TOT_ASSET","FQ3 2021","FQ3 2021","Currency=USD","Period=FQ","BEST_FPERIOD_OVERRIDE=FQ","FILING_STATUS=MR","Sort=A","Dates=H","DateFormat=P","Fill=—","Direction=H","UseDPDF=Y")</f>
        <v>38.268900000000002</v>
      </c>
      <c r="O48" s="14">
        <f>_xll.BDH("NBIX US Equity","GEO_GROW_TOT_ASSET","FQ4 2021","FQ4 2021","Currency=USD","Period=FQ","BEST_FPERIOD_OVERRIDE=FQ","FILING_STATUS=MR","Sort=A","Dates=H","DateFormat=P","Fill=—","Direction=H","UseDPDF=Y")</f>
        <v>41.520699999999998</v>
      </c>
      <c r="P48" s="14">
        <f>_xll.BDH("NBIX US Equity","GEO_GROW_TOT_ASSET","FQ1 2022","FQ1 2022","Currency=USD","Period=FQ","BEST_FPERIOD_OVERRIDE=FQ","FILING_STATUS=MR","Sort=A","Dates=H","DateFormat=P","Fill=—","Direction=H","UseDPDF=Y")</f>
        <v>49.271299999999997</v>
      </c>
      <c r="Q48" s="14">
        <f>_xll.BDH("NBIX US Equity","GEO_GROW_TOT_ASSET","FQ2 2022","FQ2 2022","Currency=USD","Period=FQ","BEST_FPERIOD_OVERRIDE=FQ","FILING_STATUS=MR","Sort=A","Dates=H","DateFormat=P","Fill=—","Direction=H","UseDPDF=Y")</f>
        <v>21.6099</v>
      </c>
      <c r="R48" s="14">
        <f>_xll.BDH("NBIX US Equity","GEO_GROW_TOT_ASSET","FQ3 2022","FQ3 2022","Currency=USD","Period=FQ","BEST_FPERIOD_OVERRIDE=FQ","FILING_STATUS=MR","Sort=A","Dates=H","DateFormat=P","Fill=—","Direction=H","UseDPDF=Y")</f>
        <v>22.642600000000002</v>
      </c>
      <c r="S48" s="14">
        <f>_xll.BDH("NBIX US Equity","GEO_GROW_TOT_ASSET","FQ4 2022","FQ4 2022","Currency=USD","Period=FQ","BEST_FPERIOD_OVERRIDE=FQ","FILING_STATUS=MR","Sort=A","Dates=H","DateFormat=P","Fill=—","Direction=H","UseDPDF=Y")</f>
        <v>23.707100000000001</v>
      </c>
      <c r="T48" s="14">
        <f>_xll.BDH("NBIX US Equity","GEO_GROW_TOT_ASSET","FQ1 2023","FQ1 2023","Currency=USD","Period=FQ","BEST_FPERIOD_OVERRIDE=FQ","FILING_STATUS=MR","Sort=A","Dates=H","DateFormat=P","Fill=—","Direction=H","UseDPDF=Y")</f>
        <v>23.956499999999998</v>
      </c>
      <c r="U48" s="14">
        <f>_xll.BDH("NBIX US Equity","GEO_GROW_TOT_ASSET","FQ2 2023","FQ2 2023","Currency=USD","Period=FQ","BEST_FPERIOD_OVERRIDE=FQ","FILING_STATUS=MR","Sort=A","Dates=H","DateFormat=P","Fill=—","Direction=H","UseDPDF=Y")</f>
        <v>25.440899999999999</v>
      </c>
      <c r="V48" s="14">
        <f>_xll.BDH("NBIX US Equity","GEO_GROW_TOT_ASSET","FQ3 2023","FQ3 2023","Currency=USD","Period=FQ","BEST_FPERIOD_OVERRIDE=FQ","FILING_STATUS=MR","Sort=A","Dates=H","DateFormat=P","Fill=—","Direction=H","UseDPDF=Y")</f>
        <v>24.988</v>
      </c>
      <c r="W48" s="14">
        <f>_xll.BDH("NBIX US Equity","GEO_GROW_TOT_ASSET","FQ4 2023","FQ4 2023","Currency=USD","Period=FQ","BEST_FPERIOD_OVERRIDE=FQ","FILING_STATUS=MR","Sort=A","Dates=H","DateFormat=P","Fill=—","Direction=H","UseDPDF=Y")</f>
        <v>26.7684</v>
      </c>
      <c r="X48" s="14">
        <f>_xll.BDH("NBIX US Equity","GEO_GROW_TOT_ASSET","FQ1 2024","FQ1 2024","Currency=USD","Period=FQ","BEST_FPERIOD_OVERRIDE=FQ","FILING_STATUS=MR","Sort=A","Dates=H","DateFormat=P","Fill=—","Direction=H","UseDPDF=Y")</f>
        <v>29.383199999999999</v>
      </c>
      <c r="Y48" s="14">
        <f>_xll.BDH("NBIX US Equity","GEO_GROW_TOT_ASSET","FQ2 2024","FQ2 2024","Currency=USD","Period=FQ","BEST_FPERIOD_OVERRIDE=FQ","FILING_STATUS=MR","Sort=A","Dates=H","DateFormat=P","Fill=—","Direction=H","UseDPDF=Y")</f>
        <v>25.375499999999999</v>
      </c>
      <c r="Z48" s="14">
        <f>_xll.BDH("NBIX US Equity","GEO_GROW_TOT_ASSET","FQ3 2024","FQ3 2024","Currency=USD","Period=FQ","BEST_FPERIOD_OVERRIDE=FQ","FILING_STATUS=MR","Sort=A","Dates=H","DateFormat=P","Fill=—","Direction=H","UseDPDF=Y")</f>
        <v>24.539300000000001</v>
      </c>
      <c r="AA48" s="14">
        <f>_xll.BDH("NBIX US Equity","GEO_GROW_TOT_ASSET","FQ4 2024","FQ4 2024","Currency=USD","Period=FQ","BEST_FPERIOD_OVERRIDE=FQ","FILING_STATUS=MR","Sort=A","Dates=H","DateFormat=P","Fill=—","Direction=H","UseDPDF=Y")</f>
        <v>23.2791</v>
      </c>
    </row>
    <row r="49" spans="1:27" x14ac:dyDescent="0.25">
      <c r="A49" s="10" t="s">
        <v>1295</v>
      </c>
      <c r="B49" s="10" t="s">
        <v>1331</v>
      </c>
      <c r="C49" s="14" t="str">
        <f>_xll.BDH("NBIX US Equity","MODIFIED_WORKING_CPTL_5YR_GRWTH","FQ4 2018","FQ4 2018","Currency=USD","Period=FQ","BEST_FPERIOD_OVERRIDE=FQ","FILING_STATUS=MR","Sort=A","Dates=H","DateFormat=P","Fill=—","Direction=H","UseDPDF=Y")</f>
        <v>—</v>
      </c>
      <c r="D49" s="14" t="str">
        <f>_xll.BDH("NBIX US Equity","MODIFIED_WORKING_CPTL_5YR_GRWTH","FQ1 2019","FQ1 2019","Currency=USD","Period=FQ","BEST_FPERIOD_OVERRIDE=FQ","FILING_STATUS=MR","Sort=A","Dates=H","DateFormat=P","Fill=—","Direction=H","UseDPDF=Y")</f>
        <v>—</v>
      </c>
      <c r="E49" s="14" t="str">
        <f>_xll.BDH("NBIX US Equity","MODIFIED_WORKING_CPTL_5YR_GRWTH","FQ2 2019","FQ2 2019","Currency=USD","Period=FQ","BEST_FPERIOD_OVERRIDE=FQ","FILING_STATUS=MR","Sort=A","Dates=H","DateFormat=P","Fill=—","Direction=H","UseDPDF=Y")</f>
        <v>—</v>
      </c>
      <c r="F49" s="14" t="str">
        <f>_xll.BDH("NBIX US Equity","MODIFIED_WORKING_CPTL_5YR_GRWTH","FQ3 2019","FQ3 2019","Currency=USD","Period=FQ","BEST_FPERIOD_OVERRIDE=FQ","FILING_STATUS=MR","Sort=A","Dates=H","DateFormat=P","Fill=—","Direction=H","UseDPDF=Y")</f>
        <v>—</v>
      </c>
      <c r="G49" s="14" t="str">
        <f>_xll.BDH("NBIX US Equity","MODIFIED_WORKING_CPTL_5YR_GRWTH","FQ4 2019","FQ4 2019","Currency=USD","Period=FQ","BEST_FPERIOD_OVERRIDE=FQ","FILING_STATUS=MR","Sort=A","Dates=H","DateFormat=P","Fill=—","Direction=H","UseDPDF=Y")</f>
        <v>—</v>
      </c>
      <c r="H49" s="14">
        <f>_xll.BDH("NBIX US Equity","MODIFIED_WORKING_CPTL_5YR_GRWTH","FQ1 2020","FQ1 2020","Currency=USD","Period=FQ","BEST_FPERIOD_OVERRIDE=FQ","FILING_STATUS=MR","Sort=A","Dates=H","DateFormat=P","Fill=—","Direction=H","UseDPDF=Y")</f>
        <v>42.636200000000002</v>
      </c>
      <c r="I49" s="14" t="str">
        <f>_xll.BDH("NBIX US Equity","MODIFIED_WORKING_CPTL_5YR_GRWTH","FQ2 2020","FQ2 2020","Currency=USD","Period=FQ","BEST_FPERIOD_OVERRIDE=FQ","FILING_STATUS=MR","Sort=A","Dates=H","DateFormat=P","Fill=—","Direction=H","UseDPDF=Y")</f>
        <v>—</v>
      </c>
      <c r="J49" s="14" t="str">
        <f>_xll.BDH("NBIX US Equity","MODIFIED_WORKING_CPTL_5YR_GRWTH","FQ3 2020","FQ3 2020","Currency=USD","Period=FQ","BEST_FPERIOD_OVERRIDE=FQ","FILING_STATUS=MR","Sort=A","Dates=H","DateFormat=P","Fill=—","Direction=H","UseDPDF=Y")</f>
        <v>—</v>
      </c>
      <c r="K49" s="14" t="str">
        <f>_xll.BDH("NBIX US Equity","MODIFIED_WORKING_CPTL_5YR_GRWTH","FQ4 2020","FQ4 2020","Currency=USD","Period=FQ","BEST_FPERIOD_OVERRIDE=FQ","FILING_STATUS=MR","Sort=A","Dates=H","DateFormat=P","Fill=—","Direction=H","UseDPDF=Y")</f>
        <v>—</v>
      </c>
      <c r="L49" s="14" t="str">
        <f>_xll.BDH("NBIX US Equity","MODIFIED_WORKING_CPTL_5YR_GRWTH","FQ1 2021","FQ1 2021","Currency=USD","Period=FQ","BEST_FPERIOD_OVERRIDE=FQ","FILING_STATUS=MR","Sort=A","Dates=H","DateFormat=P","Fill=—","Direction=H","UseDPDF=Y")</f>
        <v>—</v>
      </c>
      <c r="M49" s="14" t="str">
        <f>_xll.BDH("NBIX US Equity","MODIFIED_WORKING_CPTL_5YR_GRWTH","FQ2 2021","FQ2 2021","Currency=USD","Period=FQ","BEST_FPERIOD_OVERRIDE=FQ","FILING_STATUS=MR","Sort=A","Dates=H","DateFormat=P","Fill=—","Direction=H","UseDPDF=Y")</f>
        <v>—</v>
      </c>
      <c r="N49" s="14" t="str">
        <f>_xll.BDH("NBIX US Equity","MODIFIED_WORKING_CPTL_5YR_GRWTH","FQ3 2021","FQ3 2021","Currency=USD","Period=FQ","BEST_FPERIOD_OVERRIDE=FQ","FILING_STATUS=MR","Sort=A","Dates=H","DateFormat=P","Fill=—","Direction=H","UseDPDF=Y")</f>
        <v>—</v>
      </c>
      <c r="O49" s="14" t="str">
        <f>_xll.BDH("NBIX US Equity","MODIFIED_WORKING_CPTL_5YR_GRWTH","FQ4 2021","FQ4 2021","Currency=USD","Period=FQ","BEST_FPERIOD_OVERRIDE=FQ","FILING_STATUS=MR","Sort=A","Dates=H","DateFormat=P","Fill=—","Direction=H","UseDPDF=Y")</f>
        <v>—</v>
      </c>
      <c r="P49" s="14" t="str">
        <f>_xll.BDH("NBIX US Equity","MODIFIED_WORKING_CPTL_5YR_GRWTH","FQ1 2022","FQ1 2022","Currency=USD","Period=FQ","BEST_FPERIOD_OVERRIDE=FQ","FILING_STATUS=MR","Sort=A","Dates=H","DateFormat=P","Fill=—","Direction=H","UseDPDF=Y")</f>
        <v>—</v>
      </c>
      <c r="Q49" s="14">
        <f>_xll.BDH("NBIX US Equity","MODIFIED_WORKING_CPTL_5YR_GRWTH","FQ2 2022","FQ2 2022","Currency=USD","Period=FQ","BEST_FPERIOD_OVERRIDE=FQ","FILING_STATUS=MR","Sort=A","Dates=H","DateFormat=P","Fill=—","Direction=H","UseDPDF=Y")</f>
        <v>118.41800000000001</v>
      </c>
      <c r="R49" s="14">
        <f>_xll.BDH("NBIX US Equity","MODIFIED_WORKING_CPTL_5YR_GRWTH","FQ3 2022","FQ3 2022","Currency=USD","Period=FQ","BEST_FPERIOD_OVERRIDE=FQ","FILING_STATUS=MR","Sort=A","Dates=H","DateFormat=P","Fill=—","Direction=H","UseDPDF=Y")</f>
        <v>62.269500000000001</v>
      </c>
      <c r="S49" s="14">
        <f>_xll.BDH("NBIX US Equity","MODIFIED_WORKING_CPTL_5YR_GRWTH","FQ4 2022","FQ4 2022","Currency=USD","Period=FQ","BEST_FPERIOD_OVERRIDE=FQ","FILING_STATUS=MR","Sort=A","Dates=H","DateFormat=P","Fill=—","Direction=H","UseDPDF=Y")</f>
        <v>57.048499999999997</v>
      </c>
      <c r="T49" s="14">
        <f>_xll.BDH("NBIX US Equity","MODIFIED_WORKING_CPTL_5YR_GRWTH","FQ1 2023","FQ1 2023","Currency=USD","Period=FQ","BEST_FPERIOD_OVERRIDE=FQ","FILING_STATUS=MR","Sort=A","Dates=H","DateFormat=P","Fill=—","Direction=H","UseDPDF=Y")</f>
        <v>56.951000000000001</v>
      </c>
      <c r="U49" s="14">
        <f>_xll.BDH("NBIX US Equity","MODIFIED_WORKING_CPTL_5YR_GRWTH","FQ2 2023","FQ2 2023","Currency=USD","Period=FQ","BEST_FPERIOD_OVERRIDE=FQ","FILING_STATUS=MR","Sort=A","Dates=H","DateFormat=P","Fill=—","Direction=H","UseDPDF=Y")</f>
        <v>57.953499999999998</v>
      </c>
      <c r="V49" s="14">
        <f>_xll.BDH("NBIX US Equity","MODIFIED_WORKING_CPTL_5YR_GRWTH","FQ3 2023","FQ3 2023","Currency=USD","Period=FQ","BEST_FPERIOD_OVERRIDE=FQ","FILING_STATUS=MR","Sort=A","Dates=H","DateFormat=P","Fill=—","Direction=H","UseDPDF=Y")</f>
        <v>49.325899999999997</v>
      </c>
      <c r="W49" s="14">
        <f>_xll.BDH("NBIX US Equity","MODIFIED_WORKING_CPTL_5YR_GRWTH","FQ4 2023","FQ4 2023","Currency=USD","Period=FQ","BEST_FPERIOD_OVERRIDE=FQ","FILING_STATUS=MR","Sort=A","Dates=H","DateFormat=P","Fill=—","Direction=H","UseDPDF=Y")</f>
        <v>44.713799999999999</v>
      </c>
      <c r="X49" s="14">
        <f>_xll.BDH("NBIX US Equity","MODIFIED_WORKING_CPTL_5YR_GRWTH","FQ1 2024","FQ1 2024","Currency=USD","Period=FQ","BEST_FPERIOD_OVERRIDE=FQ","FILING_STATUS=MR","Sort=A","Dates=H","DateFormat=P","Fill=—","Direction=H","UseDPDF=Y")</f>
        <v>41.843299999999999</v>
      </c>
      <c r="Y49" s="14">
        <f>_xll.BDH("NBIX US Equity","MODIFIED_WORKING_CPTL_5YR_GRWTH","FQ2 2024","FQ2 2024","Currency=USD","Period=FQ","BEST_FPERIOD_OVERRIDE=FQ","FILING_STATUS=MR","Sort=A","Dates=H","DateFormat=P","Fill=—","Direction=H","UseDPDF=Y")</f>
        <v>36.6006</v>
      </c>
      <c r="Z49" s="14">
        <f>_xll.BDH("NBIX US Equity","MODIFIED_WORKING_CPTL_5YR_GRWTH","FQ3 2024","FQ3 2024","Currency=USD","Period=FQ","BEST_FPERIOD_OVERRIDE=FQ","FILING_STATUS=MR","Sort=A","Dates=H","DateFormat=P","Fill=—","Direction=H","UseDPDF=Y")</f>
        <v>33.104199999999999</v>
      </c>
      <c r="AA49" s="14">
        <f>_xll.BDH("NBIX US Equity","MODIFIED_WORKING_CPTL_5YR_GRWTH","FQ4 2024","FQ4 2024","Currency=USD","Period=FQ","BEST_FPERIOD_OVERRIDE=FQ","FILING_STATUS=MR","Sort=A","Dates=H","DateFormat=P","Fill=—","Direction=H","UseDPDF=Y")</f>
        <v>28.196899999999999</v>
      </c>
    </row>
    <row r="50" spans="1:27" x14ac:dyDescent="0.25">
      <c r="A50" s="10" t="s">
        <v>1297</v>
      </c>
      <c r="B50" s="10" t="s">
        <v>1332</v>
      </c>
      <c r="C50" s="14">
        <f>_xll.BDH("NBIX US Equity","WORKING_CAPITAL_5_YEAR_GROWTH","FQ4 2018","FQ4 2018","Currency=USD","Period=FQ","BEST_FPERIOD_OVERRIDE=FQ","FILING_STATUS=MR","Sort=A","Dates=H","DateFormat=P","Fill=—","Direction=H","UseDPDF=Y")</f>
        <v>36.561399999999999</v>
      </c>
      <c r="D50" s="14">
        <f>_xll.BDH("NBIX US Equity","WORKING_CAPITAL_5_YEAR_GROWTH","FQ1 2019","FQ1 2019","Currency=USD","Period=FQ","BEST_FPERIOD_OVERRIDE=FQ","FILING_STATUS=MR","Sort=A","Dates=H","DateFormat=P","Fill=—","Direction=H","UseDPDF=Y")</f>
        <v>21.5943</v>
      </c>
      <c r="E50" s="14">
        <f>_xll.BDH("NBIX US Equity","WORKING_CAPITAL_5_YEAR_GROWTH","FQ2 2019","FQ2 2019","Currency=USD","Period=FQ","BEST_FPERIOD_OVERRIDE=FQ","FILING_STATUS=MR","Sort=A","Dates=H","DateFormat=P","Fill=—","Direction=H","UseDPDF=Y")</f>
        <v>28.429600000000001</v>
      </c>
      <c r="F50" s="14">
        <f>_xll.BDH("NBIX US Equity","WORKING_CAPITAL_5_YEAR_GROWTH","FQ3 2019","FQ3 2019","Currency=USD","Period=FQ","BEST_FPERIOD_OVERRIDE=FQ","FILING_STATUS=MR","Sort=A","Dates=H","DateFormat=P","Fill=—","Direction=H","UseDPDF=Y")</f>
        <v>32.8812</v>
      </c>
      <c r="G50" s="14">
        <f>_xll.BDH("NBIX US Equity","WORKING_CAPITAL_5_YEAR_GROWTH","FQ4 2019","FQ4 2019","Currency=USD","Period=FQ","BEST_FPERIOD_OVERRIDE=FQ","FILING_STATUS=MR","Sort=A","Dates=H","DateFormat=P","Fill=—","Direction=H","UseDPDF=Y")</f>
        <v>7.7971000000000004</v>
      </c>
      <c r="H50" s="14">
        <f>_xll.BDH("NBIX US Equity","WORKING_CAPITAL_5_YEAR_GROWTH","FQ1 2020","FQ1 2020","Currency=USD","Period=FQ","BEST_FPERIOD_OVERRIDE=FQ","FILING_STATUS=MR","Sort=A","Dates=H","DateFormat=P","Fill=—","Direction=H","UseDPDF=Y")</f>
        <v>16.261199999999999</v>
      </c>
      <c r="I50" s="14">
        <f>_xll.BDH("NBIX US Equity","WORKING_CAPITAL_5_YEAR_GROWTH","FQ2 2020","FQ2 2020","Currency=USD","Period=FQ","BEST_FPERIOD_OVERRIDE=FQ","FILING_STATUS=MR","Sort=A","Dates=H","DateFormat=P","Fill=—","Direction=H","UseDPDF=Y")</f>
        <v>9.0396999999999998</v>
      </c>
      <c r="J50" s="14">
        <f>_xll.BDH("NBIX US Equity","WORKING_CAPITAL_5_YEAR_GROWTH","FQ3 2020","FQ3 2020","Currency=USD","Period=FQ","BEST_FPERIOD_OVERRIDE=FQ","FILING_STATUS=MR","Sort=A","Dates=H","DateFormat=P","Fill=—","Direction=H","UseDPDF=Y")</f>
        <v>8.5051000000000005</v>
      </c>
      <c r="K50" s="14">
        <f>_xll.BDH("NBIX US Equity","WORKING_CAPITAL_5_YEAR_GROWTH","FQ4 2020","FQ4 2020","Currency=USD","Period=FQ","BEST_FPERIOD_OVERRIDE=FQ","FILING_STATUS=MR","Sort=A","Dates=H","DateFormat=P","Fill=—","Direction=H","UseDPDF=Y")</f>
        <v>18.282499999999999</v>
      </c>
      <c r="L50" s="14">
        <f>_xll.BDH("NBIX US Equity","WORKING_CAPITAL_5_YEAR_GROWTH","FQ1 2021","FQ1 2021","Currency=USD","Period=FQ","BEST_FPERIOD_OVERRIDE=FQ","FILING_STATUS=MR","Sort=A","Dates=H","DateFormat=P","Fill=—","Direction=H","UseDPDF=Y")</f>
        <v>18.842600000000001</v>
      </c>
      <c r="M50" s="14">
        <f>_xll.BDH("NBIX US Equity","WORKING_CAPITAL_5_YEAR_GROWTH","FQ2 2021","FQ2 2021","Currency=USD","Period=FQ","BEST_FPERIOD_OVERRIDE=FQ","FILING_STATUS=MR","Sort=A","Dates=H","DateFormat=P","Fill=—","Direction=H","UseDPDF=Y")</f>
        <v>19.702500000000001</v>
      </c>
      <c r="N50" s="14">
        <f>_xll.BDH("NBIX US Equity","WORKING_CAPITAL_5_YEAR_GROWTH","FQ3 2021","FQ3 2021","Currency=USD","Period=FQ","BEST_FPERIOD_OVERRIDE=FQ","FILING_STATUS=MR","Sort=A","Dates=H","DateFormat=P","Fill=—","Direction=H","UseDPDF=Y")</f>
        <v>18.6785</v>
      </c>
      <c r="O50" s="14">
        <f>_xll.BDH("NBIX US Equity","WORKING_CAPITAL_5_YEAR_GROWTH","FQ4 2021","FQ4 2021","Currency=USD","Period=FQ","BEST_FPERIOD_OVERRIDE=FQ","FILING_STATUS=MR","Sort=A","Dates=H","DateFormat=P","Fill=—","Direction=H","UseDPDF=Y")</f>
        <v>21.022600000000001</v>
      </c>
      <c r="P50" s="14">
        <f>_xll.BDH("NBIX US Equity","WORKING_CAPITAL_5_YEAR_GROWTH","FQ1 2022","FQ1 2022","Currency=USD","Period=FQ","BEST_FPERIOD_OVERRIDE=FQ","FILING_STATUS=MR","Sort=A","Dates=H","DateFormat=P","Fill=—","Direction=H","UseDPDF=Y")</f>
        <v>28.781199999999998</v>
      </c>
      <c r="Q50" s="14">
        <f>_xll.BDH("NBIX US Equity","WORKING_CAPITAL_5_YEAR_GROWTH","FQ2 2022","FQ2 2022","Currency=USD","Period=FQ","BEST_FPERIOD_OVERRIDE=FQ","FILING_STATUS=MR","Sort=A","Dates=H","DateFormat=P","Fill=—","Direction=H","UseDPDF=Y")</f>
        <v>7.5829000000000004</v>
      </c>
      <c r="R50" s="14">
        <f>_xll.BDH("NBIX US Equity","WORKING_CAPITAL_5_YEAR_GROWTH","FQ3 2022","FQ3 2022","Currency=USD","Period=FQ","BEST_FPERIOD_OVERRIDE=FQ","FILING_STATUS=MR","Sort=A","Dates=H","DateFormat=P","Fill=—","Direction=H","UseDPDF=Y")</f>
        <v>7.1376999999999997</v>
      </c>
      <c r="S50" s="14">
        <f>_xll.BDH("NBIX US Equity","WORKING_CAPITAL_5_YEAR_GROWTH","FQ4 2022","FQ4 2022","Currency=USD","Period=FQ","BEST_FPERIOD_OVERRIDE=FQ","FILING_STATUS=MR","Sort=A","Dates=H","DateFormat=P","Fill=—","Direction=H","UseDPDF=Y")</f>
        <v>12.8445</v>
      </c>
      <c r="T50" s="14">
        <f>_xll.BDH("NBIX US Equity","WORKING_CAPITAL_5_YEAR_GROWTH","FQ1 2023","FQ1 2023","Currency=USD","Period=FQ","BEST_FPERIOD_OVERRIDE=FQ","FILING_STATUS=MR","Sort=A","Dates=H","DateFormat=P","Fill=—","Direction=H","UseDPDF=Y")</f>
        <v>17.7727</v>
      </c>
      <c r="U50" s="14">
        <f>_xll.BDH("NBIX US Equity","WORKING_CAPITAL_5_YEAR_GROWTH","FQ2 2023","FQ2 2023","Currency=USD","Period=FQ","BEST_FPERIOD_OVERRIDE=FQ","FILING_STATUS=MR","Sort=A","Dates=H","DateFormat=P","Fill=—","Direction=H","UseDPDF=Y")</f>
        <v>12.559799999999999</v>
      </c>
      <c r="V50" s="14">
        <f>_xll.BDH("NBIX US Equity","WORKING_CAPITAL_5_YEAR_GROWTH","FQ3 2023","FQ3 2023","Currency=USD","Period=FQ","BEST_FPERIOD_OVERRIDE=FQ","FILING_STATUS=MR","Sort=A","Dates=H","DateFormat=P","Fill=—","Direction=H","UseDPDF=Y")</f>
        <v>30.0105</v>
      </c>
      <c r="W50" s="14">
        <f>_xll.BDH("NBIX US Equity","WORKING_CAPITAL_5_YEAR_GROWTH","FQ4 2023","FQ4 2023","Currency=USD","Period=FQ","BEST_FPERIOD_OVERRIDE=FQ","FILING_STATUS=MR","Sort=A","Dates=H","DateFormat=P","Fill=—","Direction=H","UseDPDF=Y")</f>
        <v>7.9503000000000004</v>
      </c>
      <c r="X50" s="14">
        <f>_xll.BDH("NBIX US Equity","WORKING_CAPITAL_5_YEAR_GROWTH","FQ1 2024","FQ1 2024","Currency=USD","Period=FQ","BEST_FPERIOD_OVERRIDE=FQ","FILING_STATUS=MR","Sort=A","Dates=H","DateFormat=P","Fill=—","Direction=H","UseDPDF=Y")</f>
        <v>14.1175</v>
      </c>
      <c r="Y50" s="14">
        <f>_xll.BDH("NBIX US Equity","WORKING_CAPITAL_5_YEAR_GROWTH","FQ2 2024","FQ2 2024","Currency=USD","Period=FQ","BEST_FPERIOD_OVERRIDE=FQ","FILING_STATUS=MR","Sort=A","Dates=H","DateFormat=P","Fill=—","Direction=H","UseDPDF=Y")</f>
        <v>14.4209</v>
      </c>
      <c r="Z50" s="14">
        <f>_xll.BDH("NBIX US Equity","WORKING_CAPITAL_5_YEAR_GROWTH","FQ3 2024","FQ3 2024","Currency=USD","Period=FQ","BEST_FPERIOD_OVERRIDE=FQ","FILING_STATUS=MR","Sort=A","Dates=H","DateFormat=P","Fill=—","Direction=H","UseDPDF=Y")</f>
        <v>15.5114</v>
      </c>
      <c r="AA50" s="14">
        <f>_xll.BDH("NBIX US Equity","WORKING_CAPITAL_5_YEAR_GROWTH","FQ4 2024","FQ4 2024","Currency=USD","Period=FQ","BEST_FPERIOD_OVERRIDE=FQ","FILING_STATUS=MR","Sort=A","Dates=H","DateFormat=P","Fill=—","Direction=H","UseDPDF=Y")</f>
        <v>35.575099999999999</v>
      </c>
    </row>
    <row r="51" spans="1:27" x14ac:dyDescent="0.25">
      <c r="A51" s="10" t="s">
        <v>1299</v>
      </c>
      <c r="B51" s="10" t="s">
        <v>1333</v>
      </c>
      <c r="C51" s="14" t="str">
        <f>_xll.BDH("NBIX US Equity","EMPLOYEES_5_YEAR_GROWTH","FQ4 2018","FQ4 2018","Currency=USD","Period=FQ","BEST_FPERIOD_OVERRIDE=FQ","FILING_STATUS=MR","Sort=A","Dates=H","DateFormat=P","Fill=—","Direction=H","UseDPDF=Y")</f>
        <v>—</v>
      </c>
      <c r="D51" s="14" t="str">
        <f>_xll.BDH("NBIX US Equity","EMPLOYEES_5_YEAR_GROWTH","FQ1 2019","FQ1 2019","Currency=USD","Period=FQ","BEST_FPERIOD_OVERRIDE=FQ","FILING_STATUS=MR","Sort=A","Dates=H","DateFormat=P","Fill=—","Direction=H","UseDPDF=Y")</f>
        <v>—</v>
      </c>
      <c r="E51" s="14" t="str">
        <f>_xll.BDH("NBIX US Equity","EMPLOYEES_5_YEAR_GROWTH","FQ2 2019","FQ2 2019","Currency=USD","Period=FQ","BEST_FPERIOD_OVERRIDE=FQ","FILING_STATUS=MR","Sort=A","Dates=H","DateFormat=P","Fill=—","Direction=H","UseDPDF=Y")</f>
        <v>—</v>
      </c>
      <c r="F51" s="14" t="str">
        <f>_xll.BDH("NBIX US Equity","EMPLOYEES_5_YEAR_GROWTH","FQ3 2019","FQ3 2019","Currency=USD","Period=FQ","BEST_FPERIOD_OVERRIDE=FQ","FILING_STATUS=MR","Sort=A","Dates=H","DateFormat=P","Fill=—","Direction=H","UseDPDF=Y")</f>
        <v>—</v>
      </c>
      <c r="G51" s="14" t="str">
        <f>_xll.BDH("NBIX US Equity","EMPLOYEES_5_YEAR_GROWTH","FQ4 2019","FQ4 2019","Currency=USD","Period=FQ","BEST_FPERIOD_OVERRIDE=FQ","FILING_STATUS=MR","Sort=A","Dates=H","DateFormat=P","Fill=—","Direction=H","UseDPDF=Y")</f>
        <v>—</v>
      </c>
      <c r="H51" s="14" t="str">
        <f>_xll.BDH("NBIX US Equity","EMPLOYEES_5_YEAR_GROWTH","FQ1 2020","FQ1 2020","Currency=USD","Period=FQ","BEST_FPERIOD_OVERRIDE=FQ","FILING_STATUS=MR","Sort=A","Dates=H","DateFormat=P","Fill=—","Direction=H","UseDPDF=Y")</f>
        <v>—</v>
      </c>
      <c r="I51" s="14" t="str">
        <f>_xll.BDH("NBIX US Equity","EMPLOYEES_5_YEAR_GROWTH","FQ2 2020","FQ2 2020","Currency=USD","Period=FQ","BEST_FPERIOD_OVERRIDE=FQ","FILING_STATUS=MR","Sort=A","Dates=H","DateFormat=P","Fill=—","Direction=H","UseDPDF=Y")</f>
        <v>—</v>
      </c>
      <c r="J51" s="14" t="str">
        <f>_xll.BDH("NBIX US Equity","EMPLOYEES_5_YEAR_GROWTH","FQ3 2020","FQ3 2020","Currency=USD","Period=FQ","BEST_FPERIOD_OVERRIDE=FQ","FILING_STATUS=MR","Sort=A","Dates=H","DateFormat=P","Fill=—","Direction=H","UseDPDF=Y")</f>
        <v>—</v>
      </c>
      <c r="K51" s="14">
        <f>_xll.BDH("NBIX US Equity","EMPLOYEES_5_YEAR_GROWTH","FQ4 2020","FQ4 2020","Currency=USD","Period=FQ","BEST_FPERIOD_OVERRIDE=FQ","FILING_STATUS=MR","Sort=A","Dates=H","DateFormat=P","Fill=—","Direction=H","UseDPDF=Y")</f>
        <v>47.752600000000001</v>
      </c>
      <c r="L51" s="14" t="str">
        <f>_xll.BDH("NBIX US Equity","EMPLOYEES_5_YEAR_GROWTH","FQ1 2021","FQ1 2021","Currency=USD","Period=FQ","BEST_FPERIOD_OVERRIDE=FQ","FILING_STATUS=MR","Sort=A","Dates=H","DateFormat=P","Fill=—","Direction=H","UseDPDF=Y")</f>
        <v>—</v>
      </c>
      <c r="M51" s="14" t="str">
        <f>_xll.BDH("NBIX US Equity","EMPLOYEES_5_YEAR_GROWTH","FQ2 2021","FQ2 2021","Currency=USD","Period=FQ","BEST_FPERIOD_OVERRIDE=FQ","FILING_STATUS=MR","Sort=A","Dates=H","DateFormat=P","Fill=—","Direction=H","UseDPDF=Y")</f>
        <v>—</v>
      </c>
      <c r="N51" s="14" t="str">
        <f>_xll.BDH("NBIX US Equity","EMPLOYEES_5_YEAR_GROWTH","FQ3 2021","FQ3 2021","Currency=USD","Period=FQ","BEST_FPERIOD_OVERRIDE=FQ","FILING_STATUS=MR","Sort=A","Dates=H","DateFormat=P","Fill=—","Direction=H","UseDPDF=Y")</f>
        <v>—</v>
      </c>
      <c r="O51" s="14">
        <f>_xll.BDH("NBIX US Equity","EMPLOYEES_5_YEAR_GROWTH","FQ4 2021","FQ4 2021","Currency=USD","Period=FQ","BEST_FPERIOD_OVERRIDE=FQ","FILING_STATUS=MR","Sort=A","Dates=H","DateFormat=P","Fill=—","Direction=H","UseDPDF=Y")</f>
        <v>35.643000000000001</v>
      </c>
      <c r="P51" s="14" t="str">
        <f>_xll.BDH("NBIX US Equity","EMPLOYEES_5_YEAR_GROWTH","FQ1 2022","FQ1 2022","Currency=USD","Period=FQ","BEST_FPERIOD_OVERRIDE=FQ","FILING_STATUS=MR","Sort=A","Dates=H","DateFormat=P","Fill=—","Direction=H","UseDPDF=Y")</f>
        <v>—</v>
      </c>
      <c r="Q51" s="14" t="str">
        <f>_xll.BDH("NBIX US Equity","EMPLOYEES_5_YEAR_GROWTH","FQ2 2022","FQ2 2022","Currency=USD","Period=FQ","BEST_FPERIOD_OVERRIDE=FQ","FILING_STATUS=MR","Sort=A","Dates=H","DateFormat=P","Fill=—","Direction=H","UseDPDF=Y")</f>
        <v>—</v>
      </c>
      <c r="R51" s="14" t="str">
        <f>_xll.BDH("NBIX US Equity","EMPLOYEES_5_YEAR_GROWTH","FQ3 2022","FQ3 2022","Currency=USD","Period=FQ","BEST_FPERIOD_OVERRIDE=FQ","FILING_STATUS=MR","Sort=A","Dates=H","DateFormat=P","Fill=—","Direction=H","UseDPDF=Y")</f>
        <v>—</v>
      </c>
      <c r="S51" s="14">
        <f>_xll.BDH("NBIX US Equity","EMPLOYEES_5_YEAR_GROWTH","FQ4 2022","FQ4 2022","Currency=USD","Period=FQ","BEST_FPERIOD_OVERRIDE=FQ","FILING_STATUS=MR","Sort=A","Dates=H","DateFormat=P","Fill=—","Direction=H","UseDPDF=Y")</f>
        <v>24.5731</v>
      </c>
      <c r="T51" s="14" t="str">
        <f>_xll.BDH("NBIX US Equity","EMPLOYEES_5_YEAR_GROWTH","FQ1 2023","FQ1 2023","Currency=USD","Period=FQ","BEST_FPERIOD_OVERRIDE=FQ","FILING_STATUS=MR","Sort=A","Dates=H","DateFormat=P","Fill=—","Direction=H","UseDPDF=Y")</f>
        <v>—</v>
      </c>
      <c r="U51" s="14" t="str">
        <f>_xll.BDH("NBIX US Equity","EMPLOYEES_5_YEAR_GROWTH","FQ2 2023","FQ2 2023","Currency=USD","Period=FQ","BEST_FPERIOD_OVERRIDE=FQ","FILING_STATUS=MR","Sort=A","Dates=H","DateFormat=P","Fill=—","Direction=H","UseDPDF=Y")</f>
        <v>—</v>
      </c>
      <c r="V51" s="14" t="str">
        <f>_xll.BDH("NBIX US Equity","EMPLOYEES_5_YEAR_GROWTH","FQ3 2023","FQ3 2023","Currency=USD","Period=FQ","BEST_FPERIOD_OVERRIDE=FQ","FILING_STATUS=MR","Sort=A","Dates=H","DateFormat=P","Fill=—","Direction=H","UseDPDF=Y")</f>
        <v>—</v>
      </c>
      <c r="W51" s="14">
        <f>_xll.BDH("NBIX US Equity","EMPLOYEES_5_YEAR_GROWTH","FQ4 2023","FQ4 2023","Currency=USD","Period=FQ","BEST_FPERIOD_OVERRIDE=FQ","FILING_STATUS=MR","Sort=A","Dates=H","DateFormat=P","Fill=—","Direction=H","UseDPDF=Y")</f>
        <v>19.067799999999998</v>
      </c>
      <c r="X51" s="14" t="str">
        <f>_xll.BDH("NBIX US Equity","EMPLOYEES_5_YEAR_GROWTH","FQ1 2024","FQ1 2024","Currency=USD","Period=FQ","BEST_FPERIOD_OVERRIDE=FQ","FILING_STATUS=MR","Sort=A","Dates=H","DateFormat=P","Fill=—","Direction=H","UseDPDF=Y")</f>
        <v>—</v>
      </c>
      <c r="Y51" s="14" t="str">
        <f>_xll.BDH("NBIX US Equity","EMPLOYEES_5_YEAR_GROWTH","FQ2 2024","FQ2 2024","Currency=USD","Period=FQ","BEST_FPERIOD_OVERRIDE=FQ","FILING_STATUS=MR","Sort=A","Dates=H","DateFormat=P","Fill=—","Direction=H","UseDPDF=Y")</f>
        <v>—</v>
      </c>
      <c r="Z51" s="14" t="str">
        <f>_xll.BDH("NBIX US Equity","EMPLOYEES_5_YEAR_GROWTH","FQ3 2024","FQ3 2024","Currency=USD","Period=FQ","BEST_FPERIOD_OVERRIDE=FQ","FILING_STATUS=MR","Sort=A","Dates=H","DateFormat=P","Fill=—","Direction=H","UseDPDF=Y")</f>
        <v>—</v>
      </c>
      <c r="AA51" s="14">
        <f>_xll.BDH("NBIX US Equity","EMPLOYEES_5_YEAR_GROWTH","FQ4 2024","FQ4 2024","Currency=USD","Period=FQ","BEST_FPERIOD_OVERRIDE=FQ","FILING_STATUS=MR","Sort=A","Dates=H","DateFormat=P","Fill=—","Direction=H","UseDPDF=Y")</f>
        <v>20.7911</v>
      </c>
    </row>
    <row r="52" spans="1:27" x14ac:dyDescent="0.25">
      <c r="A52" s="10" t="s">
        <v>1301</v>
      </c>
      <c r="B52" s="10" t="s">
        <v>1334</v>
      </c>
      <c r="C52" s="14">
        <f>_xll.BDH("NBIX US Equity","ACCOUNTS_PAYABLE_5_YEAR_GROWTH","FQ4 2018","FQ4 2018","Currency=USD","Period=FQ","BEST_FPERIOD_OVERRIDE=FQ","FILING_STATUS=MR","Sort=A","Dates=H","DateFormat=P","Fill=—","Direction=H","UseDPDF=Y")</f>
        <v>167.3732</v>
      </c>
      <c r="D52" s="14" t="str">
        <f>_xll.BDH("NBIX US Equity","ACCOUNTS_PAYABLE_5_YEAR_GROWTH","FQ1 2019","FQ1 2019","Currency=USD","Period=FQ","BEST_FPERIOD_OVERRIDE=FQ","FILING_STATUS=MR","Sort=A","Dates=H","DateFormat=P","Fill=—","Direction=H","UseDPDF=Y")</f>
        <v>—</v>
      </c>
      <c r="E52" s="14" t="str">
        <f>_xll.BDH("NBIX US Equity","ACCOUNTS_PAYABLE_5_YEAR_GROWTH","FQ2 2019","FQ2 2019","Currency=USD","Period=FQ","BEST_FPERIOD_OVERRIDE=FQ","FILING_STATUS=MR","Sort=A","Dates=H","DateFormat=P","Fill=—","Direction=H","UseDPDF=Y")</f>
        <v>—</v>
      </c>
      <c r="F52" s="14" t="str">
        <f>_xll.BDH("NBIX US Equity","ACCOUNTS_PAYABLE_5_YEAR_GROWTH","FQ3 2019","FQ3 2019","Currency=USD","Period=FQ","BEST_FPERIOD_OVERRIDE=FQ","FILING_STATUS=MR","Sort=A","Dates=H","DateFormat=P","Fill=—","Direction=H","UseDPDF=Y")</f>
        <v>—</v>
      </c>
      <c r="G52" s="14">
        <f>_xll.BDH("NBIX US Equity","ACCOUNTS_PAYABLE_5_YEAR_GROWTH","FQ4 2019","FQ4 2019","Currency=USD","Period=FQ","BEST_FPERIOD_OVERRIDE=FQ","FILING_STATUS=MR","Sort=A","Dates=H","DateFormat=P","Fill=—","Direction=H","UseDPDF=Y")</f>
        <v>162.39599999999999</v>
      </c>
      <c r="H52" s="14" t="str">
        <f>_xll.BDH("NBIX US Equity","ACCOUNTS_PAYABLE_5_YEAR_GROWTH","FQ1 2020","FQ1 2020","Currency=USD","Period=FQ","BEST_FPERIOD_OVERRIDE=FQ","FILING_STATUS=MR","Sort=A","Dates=H","DateFormat=P","Fill=—","Direction=H","UseDPDF=Y")</f>
        <v>—</v>
      </c>
      <c r="I52" s="14" t="str">
        <f>_xll.BDH("NBIX US Equity","ACCOUNTS_PAYABLE_5_YEAR_GROWTH","FQ2 2020","FQ2 2020","Currency=USD","Period=FQ","BEST_FPERIOD_OVERRIDE=FQ","FILING_STATUS=MR","Sort=A","Dates=H","DateFormat=P","Fill=—","Direction=H","UseDPDF=Y")</f>
        <v>—</v>
      </c>
      <c r="J52" s="14" t="str">
        <f>_xll.BDH("NBIX US Equity","ACCOUNTS_PAYABLE_5_YEAR_GROWTH","FQ3 2020","FQ3 2020","Currency=USD","Period=FQ","BEST_FPERIOD_OVERRIDE=FQ","FILING_STATUS=MR","Sort=A","Dates=H","DateFormat=P","Fill=—","Direction=H","UseDPDF=Y")</f>
        <v>—</v>
      </c>
      <c r="K52" s="14">
        <f>_xll.BDH("NBIX US Equity","ACCOUNTS_PAYABLE_5_YEAR_GROWTH","FQ4 2020","FQ4 2020","Currency=USD","Period=FQ","BEST_FPERIOD_OVERRIDE=FQ","FILING_STATUS=MR","Sort=A","Dates=H","DateFormat=P","Fill=—","Direction=H","UseDPDF=Y")</f>
        <v>68.319100000000006</v>
      </c>
      <c r="L52" s="14" t="str">
        <f>_xll.BDH("NBIX US Equity","ACCOUNTS_PAYABLE_5_YEAR_GROWTH","FQ1 2021","FQ1 2021","Currency=USD","Period=FQ","BEST_FPERIOD_OVERRIDE=FQ","FILING_STATUS=MR","Sort=A","Dates=H","DateFormat=P","Fill=—","Direction=H","UseDPDF=Y")</f>
        <v>—</v>
      </c>
      <c r="M52" s="14" t="str">
        <f>_xll.BDH("NBIX US Equity","ACCOUNTS_PAYABLE_5_YEAR_GROWTH","FQ2 2021","FQ2 2021","Currency=USD","Period=FQ","BEST_FPERIOD_OVERRIDE=FQ","FILING_STATUS=MR","Sort=A","Dates=H","DateFormat=P","Fill=—","Direction=H","UseDPDF=Y")</f>
        <v>—</v>
      </c>
      <c r="N52" s="14" t="str">
        <f>_xll.BDH("NBIX US Equity","ACCOUNTS_PAYABLE_5_YEAR_GROWTH","FQ3 2021","FQ3 2021","Currency=USD","Period=FQ","BEST_FPERIOD_OVERRIDE=FQ","FILING_STATUS=MR","Sort=A","Dates=H","DateFormat=P","Fill=—","Direction=H","UseDPDF=Y")</f>
        <v>—</v>
      </c>
      <c r="O52" s="14">
        <f>_xll.BDH("NBIX US Equity","ACCOUNTS_PAYABLE_5_YEAR_GROWTH","FQ4 2021","FQ4 2021","Currency=USD","Period=FQ","BEST_FPERIOD_OVERRIDE=FQ","FILING_STATUS=MR","Sort=A","Dates=H","DateFormat=P","Fill=—","Direction=H","UseDPDF=Y")</f>
        <v>65.270499999999998</v>
      </c>
      <c r="P52" s="14" t="str">
        <f>_xll.BDH("NBIX US Equity","ACCOUNTS_PAYABLE_5_YEAR_GROWTH","FQ1 2022","FQ1 2022","Currency=USD","Period=FQ","BEST_FPERIOD_OVERRIDE=FQ","FILING_STATUS=MR","Sort=A","Dates=H","DateFormat=P","Fill=—","Direction=H","UseDPDF=Y")</f>
        <v>—</v>
      </c>
      <c r="Q52" s="14" t="str">
        <f>_xll.BDH("NBIX US Equity","ACCOUNTS_PAYABLE_5_YEAR_GROWTH","FQ2 2022","FQ2 2022","Currency=USD","Period=FQ","BEST_FPERIOD_OVERRIDE=FQ","FILING_STATUS=MR","Sort=A","Dates=H","DateFormat=P","Fill=—","Direction=H","UseDPDF=Y")</f>
        <v>—</v>
      </c>
      <c r="R52" s="14" t="str">
        <f>_xll.BDH("NBIX US Equity","ACCOUNTS_PAYABLE_5_YEAR_GROWTH","FQ3 2022","FQ3 2022","Currency=USD","Period=FQ","BEST_FPERIOD_OVERRIDE=FQ","FILING_STATUS=MR","Sort=A","Dates=H","DateFormat=P","Fill=—","Direction=H","UseDPDF=Y")</f>
        <v>—</v>
      </c>
      <c r="S52" s="14">
        <f>_xll.BDH("NBIX US Equity","ACCOUNTS_PAYABLE_5_YEAR_GROWTH","FQ4 2022","FQ4 2022","Currency=USD","Period=FQ","BEST_FPERIOD_OVERRIDE=FQ","FILING_STATUS=MR","Sort=A","Dates=H","DateFormat=P","Fill=—","Direction=H","UseDPDF=Y")</f>
        <v>87.788899999999998</v>
      </c>
      <c r="T52" s="14" t="str">
        <f>_xll.BDH("NBIX US Equity","ACCOUNTS_PAYABLE_5_YEAR_GROWTH","FQ1 2023","FQ1 2023","Currency=USD","Period=FQ","BEST_FPERIOD_OVERRIDE=FQ","FILING_STATUS=MR","Sort=A","Dates=H","DateFormat=P","Fill=—","Direction=H","UseDPDF=Y")</f>
        <v>—</v>
      </c>
      <c r="U52" s="14" t="str">
        <f>_xll.BDH("NBIX US Equity","ACCOUNTS_PAYABLE_5_YEAR_GROWTH","FQ2 2023","FQ2 2023","Currency=USD","Period=FQ","BEST_FPERIOD_OVERRIDE=FQ","FILING_STATUS=MR","Sort=A","Dates=H","DateFormat=P","Fill=—","Direction=H","UseDPDF=Y")</f>
        <v>—</v>
      </c>
      <c r="V52" s="14" t="str">
        <f>_xll.BDH("NBIX US Equity","ACCOUNTS_PAYABLE_5_YEAR_GROWTH","FQ3 2023","FQ3 2023","Currency=USD","Period=FQ","BEST_FPERIOD_OVERRIDE=FQ","FILING_STATUS=MR","Sort=A","Dates=H","DateFormat=P","Fill=—","Direction=H","UseDPDF=Y")</f>
        <v>—</v>
      </c>
      <c r="W52" s="14">
        <f>_xll.BDH("NBIX US Equity","ACCOUNTS_PAYABLE_5_YEAR_GROWTH","FQ4 2023","FQ4 2023","Currency=USD","Period=FQ","BEST_FPERIOD_OVERRIDE=FQ","FILING_STATUS=MR","Sort=A","Dates=H","DateFormat=P","Fill=—","Direction=H","UseDPDF=Y")</f>
        <v>58.784500000000001</v>
      </c>
      <c r="X52" s="14" t="str">
        <f>_xll.BDH("NBIX US Equity","ACCOUNTS_PAYABLE_5_YEAR_GROWTH","FQ1 2024","FQ1 2024","Currency=USD","Period=FQ","BEST_FPERIOD_OVERRIDE=FQ","FILING_STATUS=MR","Sort=A","Dates=H","DateFormat=P","Fill=—","Direction=H","UseDPDF=Y")</f>
        <v>—</v>
      </c>
      <c r="Y52" s="14" t="str">
        <f>_xll.BDH("NBIX US Equity","ACCOUNTS_PAYABLE_5_YEAR_GROWTH","FQ2 2024","FQ2 2024","Currency=USD","Period=FQ","BEST_FPERIOD_OVERRIDE=FQ","FILING_STATUS=MR","Sort=A","Dates=H","DateFormat=P","Fill=—","Direction=H","UseDPDF=Y")</f>
        <v>—</v>
      </c>
      <c r="Z52" s="14" t="str">
        <f>_xll.BDH("NBIX US Equity","ACCOUNTS_PAYABLE_5_YEAR_GROWTH","FQ3 2024","FQ3 2024","Currency=USD","Period=FQ","BEST_FPERIOD_OVERRIDE=FQ","FILING_STATUS=MR","Sort=A","Dates=H","DateFormat=P","Fill=—","Direction=H","UseDPDF=Y")</f>
        <v>—</v>
      </c>
      <c r="AA52" s="14">
        <f>_xll.BDH("NBIX US Equity","ACCOUNTS_PAYABLE_5_YEAR_GROWTH","FQ4 2024","FQ4 2024","Currency=USD","Period=FQ","BEST_FPERIOD_OVERRIDE=FQ","FILING_STATUS=MR","Sort=A","Dates=H","DateFormat=P","Fill=—","Direction=H","UseDPDF=Y")</f>
        <v>36.347999999999999</v>
      </c>
    </row>
    <row r="53" spans="1:27" x14ac:dyDescent="0.25">
      <c r="A53" s="10" t="s">
        <v>1303</v>
      </c>
      <c r="B53" s="10" t="s">
        <v>1335</v>
      </c>
      <c r="C53" s="14">
        <f>_xll.BDH("NBIX US Equity","SHORT_TERM_DEBT_5_YEAR_GROWTH","FQ4 2018","FQ4 2018","Currency=USD","Period=FQ","BEST_FPERIOD_OVERRIDE=FQ","FILING_STATUS=MR","Sort=A","Dates=H","DateFormat=P","Fill=—","Direction=H","UseDPDF=Y")</f>
        <v>-100</v>
      </c>
      <c r="D53" s="14">
        <f>_xll.BDH("NBIX US Equity","SHORT_TERM_DEBT_5_YEAR_GROWTH","FQ1 2019","FQ1 2019","Currency=USD","Period=FQ","BEST_FPERIOD_OVERRIDE=FQ","FILING_STATUS=MR","Sort=A","Dates=H","DateFormat=P","Fill=—","Direction=H","UseDPDF=Y")</f>
        <v>50.1554</v>
      </c>
      <c r="E53" s="14" t="str">
        <f>_xll.BDH("NBIX US Equity","SHORT_TERM_DEBT_5_YEAR_GROWTH","FQ2 2019","FQ2 2019","Currency=USD","Period=FQ","BEST_FPERIOD_OVERRIDE=FQ","FILING_STATUS=MR","Sort=A","Dates=H","DateFormat=P","Fill=—","Direction=H","UseDPDF=Y")</f>
        <v>—</v>
      </c>
      <c r="F53" s="14">
        <f>_xll.BDH("NBIX US Equity","SHORT_TERM_DEBT_5_YEAR_GROWTH","FQ3 2019","FQ3 2019","Currency=USD","Period=FQ","BEST_FPERIOD_OVERRIDE=FQ","FILING_STATUS=MR","Sort=A","Dates=H","DateFormat=P","Fill=—","Direction=H","UseDPDF=Y")</f>
        <v>78.203500000000005</v>
      </c>
      <c r="G53" s="14">
        <f>_xll.BDH("NBIX US Equity","SHORT_TERM_DEBT_5_YEAR_GROWTH","FQ4 2019","FQ4 2019","Currency=USD","Period=FQ","BEST_FPERIOD_OVERRIDE=FQ","FILING_STATUS=MR","Sort=A","Dates=H","DateFormat=P","Fill=—","Direction=H","UseDPDF=Y")</f>
        <v>289.2072</v>
      </c>
      <c r="H53" s="14">
        <f>_xll.BDH("NBIX US Equity","SHORT_TERM_DEBT_5_YEAR_GROWTH","FQ1 2020","FQ1 2020","Currency=USD","Period=FQ","BEST_FPERIOD_OVERRIDE=FQ","FILING_STATUS=MR","Sort=A","Dates=H","DateFormat=P","Fill=—","Direction=H","UseDPDF=Y")</f>
        <v>78.990300000000005</v>
      </c>
      <c r="I53" s="14">
        <f>_xll.BDH("NBIX US Equity","SHORT_TERM_DEBT_5_YEAR_GROWTH","FQ2 2020","FQ2 2020","Currency=USD","Period=FQ","BEST_FPERIOD_OVERRIDE=FQ","FILING_STATUS=MR","Sort=A","Dates=H","DateFormat=P","Fill=—","Direction=H","UseDPDF=Y")</f>
        <v>277.93380000000002</v>
      </c>
      <c r="J53" s="14">
        <f>_xll.BDH("NBIX US Equity","SHORT_TERM_DEBT_5_YEAR_GROWTH","FQ3 2020","FQ3 2020","Currency=USD","Period=FQ","BEST_FPERIOD_OVERRIDE=FQ","FILING_STATUS=MR","Sort=A","Dates=H","DateFormat=P","Fill=—","Direction=H","UseDPDF=Y")</f>
        <v>290.12959999999998</v>
      </c>
      <c r="K53" s="14">
        <f>_xll.BDH("NBIX US Equity","SHORT_TERM_DEBT_5_YEAR_GROWTH","FQ4 2020","FQ4 2020","Currency=USD","Period=FQ","BEST_FPERIOD_OVERRIDE=FQ","FILING_STATUS=MR","Sort=A","Dates=H","DateFormat=P","Fill=—","Direction=H","UseDPDF=Y")</f>
        <v>88.920299999999997</v>
      </c>
      <c r="L53" s="14" t="str">
        <f>_xll.BDH("NBIX US Equity","SHORT_TERM_DEBT_5_YEAR_GROWTH","FQ1 2021","FQ1 2021","Currency=USD","Period=FQ","BEST_FPERIOD_OVERRIDE=FQ","FILING_STATUS=MR","Sort=A","Dates=H","DateFormat=P","Fill=—","Direction=H","UseDPDF=Y")</f>
        <v>—</v>
      </c>
      <c r="M53" s="14">
        <f>_xll.BDH("NBIX US Equity","SHORT_TERM_DEBT_5_YEAR_GROWTH","FQ2 2021","FQ2 2021","Currency=USD","Period=FQ","BEST_FPERIOD_OVERRIDE=FQ","FILING_STATUS=MR","Sort=A","Dates=H","DateFormat=P","Fill=—","Direction=H","UseDPDF=Y")</f>
        <v>125.1948</v>
      </c>
      <c r="N53" s="14" t="str">
        <f>_xll.BDH("NBIX US Equity","SHORT_TERM_DEBT_5_YEAR_GROWTH","FQ3 2021","FQ3 2021","Currency=USD","Period=FQ","BEST_FPERIOD_OVERRIDE=FQ","FILING_STATUS=MR","Sort=A","Dates=H","DateFormat=P","Fill=—","Direction=H","UseDPDF=Y")</f>
        <v>—</v>
      </c>
      <c r="O53" s="14">
        <f>_xll.BDH("NBIX US Equity","SHORT_TERM_DEBT_5_YEAR_GROWTH","FQ4 2021","FQ4 2021","Currency=USD","Period=FQ","BEST_FPERIOD_OVERRIDE=FQ","FILING_STATUS=MR","Sort=A","Dates=H","DateFormat=P","Fill=—","Direction=H","UseDPDF=Y")</f>
        <v>133.83760000000001</v>
      </c>
      <c r="P53" s="14">
        <f>_xll.BDH("NBIX US Equity","SHORT_TERM_DEBT_5_YEAR_GROWTH","FQ1 2022","FQ1 2022","Currency=USD","Period=FQ","BEST_FPERIOD_OVERRIDE=FQ","FILING_STATUS=MR","Sort=A","Dates=H","DateFormat=P","Fill=—","Direction=H","UseDPDF=Y")</f>
        <v>133.59100000000001</v>
      </c>
      <c r="Q53" s="14">
        <f>_xll.BDH("NBIX US Equity","SHORT_TERM_DEBT_5_YEAR_GROWTH","FQ2 2022","FQ2 2022","Currency=USD","Period=FQ","BEST_FPERIOD_OVERRIDE=FQ","FILING_STATUS=MR","Sort=A","Dates=H","DateFormat=P","Fill=—","Direction=H","UseDPDF=Y")</f>
        <v>148.34960000000001</v>
      </c>
      <c r="R53" s="14">
        <f>_xll.BDH("NBIX US Equity","SHORT_TERM_DEBT_5_YEAR_GROWTH","FQ3 2022","FQ3 2022","Currency=USD","Period=FQ","BEST_FPERIOD_OVERRIDE=FQ","FILING_STATUS=MR","Sort=A","Dates=H","DateFormat=P","Fill=—","Direction=H","UseDPDF=Y")</f>
        <v>334.08890000000002</v>
      </c>
      <c r="S53" s="14">
        <f>_xll.BDH("NBIX US Equity","SHORT_TERM_DEBT_5_YEAR_GROWTH","FQ4 2022","FQ4 2022","Currency=USD","Period=FQ","BEST_FPERIOD_OVERRIDE=FQ","FILING_STATUS=MR","Sort=A","Dates=H","DateFormat=P","Fill=—","Direction=H","UseDPDF=Y")</f>
        <v>386.7482</v>
      </c>
      <c r="T53" s="14" t="str">
        <f>_xll.BDH("NBIX US Equity","SHORT_TERM_DEBT_5_YEAR_GROWTH","FQ1 2023","FQ1 2023","Currency=USD","Period=FQ","BEST_FPERIOD_OVERRIDE=FQ","FILING_STATUS=MR","Sort=A","Dates=H","DateFormat=P","Fill=—","Direction=H","UseDPDF=Y")</f>
        <v>—</v>
      </c>
      <c r="U53" s="14" t="str">
        <f>_xll.BDH("NBIX US Equity","SHORT_TERM_DEBT_5_YEAR_GROWTH","FQ2 2023","FQ2 2023","Currency=USD","Period=FQ","BEST_FPERIOD_OVERRIDE=FQ","FILING_STATUS=MR","Sort=A","Dates=H","DateFormat=P","Fill=—","Direction=H","UseDPDF=Y")</f>
        <v>—</v>
      </c>
      <c r="V53" s="14">
        <f>_xll.BDH("NBIX US Equity","SHORT_TERM_DEBT_5_YEAR_GROWTH","FQ3 2023","FQ3 2023","Currency=USD","Period=FQ","BEST_FPERIOD_OVERRIDE=FQ","FILING_STATUS=MR","Sort=A","Dates=H","DateFormat=P","Fill=—","Direction=H","UseDPDF=Y")</f>
        <v>-13.3225</v>
      </c>
      <c r="W53" s="14" t="str">
        <f>_xll.BDH("NBIX US Equity","SHORT_TERM_DEBT_5_YEAR_GROWTH","FQ4 2023","FQ4 2023","Currency=USD","Period=FQ","BEST_FPERIOD_OVERRIDE=FQ","FILING_STATUS=MR","Sort=A","Dates=H","DateFormat=P","Fill=—","Direction=H","UseDPDF=Y")</f>
        <v>—</v>
      </c>
      <c r="X53" s="14">
        <f>_xll.BDH("NBIX US Equity","SHORT_TERM_DEBT_5_YEAR_GROWTH","FQ1 2024","FQ1 2024","Currency=USD","Period=FQ","BEST_FPERIOD_OVERRIDE=FQ","FILING_STATUS=MR","Sort=A","Dates=H","DateFormat=P","Fill=—","Direction=H","UseDPDF=Y")</f>
        <v>117.16589999999999</v>
      </c>
      <c r="Y53" s="14">
        <f>_xll.BDH("NBIX US Equity","SHORT_TERM_DEBT_5_YEAR_GROWTH","FQ2 2024","FQ2 2024","Currency=USD","Period=FQ","BEST_FPERIOD_OVERRIDE=FQ","FILING_STATUS=MR","Sort=A","Dates=H","DateFormat=P","Fill=—","Direction=H","UseDPDF=Y")</f>
        <v>56.681399999999996</v>
      </c>
      <c r="Z53" s="14">
        <f>_xll.BDH("NBIX US Equity","SHORT_TERM_DEBT_5_YEAR_GROWTH","FQ3 2024","FQ3 2024","Currency=USD","Period=FQ","BEST_FPERIOD_OVERRIDE=FQ","FILING_STATUS=MR","Sort=A","Dates=H","DateFormat=P","Fill=—","Direction=H","UseDPDF=Y")</f>
        <v>33.655999999999999</v>
      </c>
      <c r="AA53" s="14">
        <f>_xll.BDH("NBIX US Equity","SHORT_TERM_DEBT_5_YEAR_GROWTH","FQ4 2024","FQ4 2024","Currency=USD","Period=FQ","BEST_FPERIOD_OVERRIDE=FQ","FILING_STATUS=MR","Sort=A","Dates=H","DateFormat=P","Fill=—","Direction=H","UseDPDF=Y")</f>
        <v>-37.243200000000002</v>
      </c>
    </row>
    <row r="54" spans="1:27" x14ac:dyDescent="0.25">
      <c r="A54" s="10" t="s">
        <v>1305</v>
      </c>
      <c r="B54" s="10" t="s">
        <v>1336</v>
      </c>
      <c r="C54" s="14">
        <f>_xll.BDH("NBIX US Equity","TOTAL_DEBT_5_YEAR_GROWTH","FQ4 2018","FQ4 2018","Currency=USD","Period=FQ","BEST_FPERIOD_OVERRIDE=FQ","FILING_STATUS=MR","Sort=A","Dates=H","DateFormat=P","Fill=—","Direction=H","UseDPDF=Y")</f>
        <v>292.69799999999998</v>
      </c>
      <c r="D54" s="14">
        <f>_xll.BDH("NBIX US Equity","TOTAL_DEBT_5_YEAR_GROWTH","FQ1 2019","FQ1 2019","Currency=USD","Period=FQ","BEST_FPERIOD_OVERRIDE=FQ","FILING_STATUS=MR","Sort=A","Dates=H","DateFormat=P","Fill=—","Direction=H","UseDPDF=Y")</f>
        <v>174.17320000000001</v>
      </c>
      <c r="E54" s="14" t="str">
        <f>_xll.BDH("NBIX US Equity","TOTAL_DEBT_5_YEAR_GROWTH","FQ2 2019","FQ2 2019","Currency=USD","Period=FQ","BEST_FPERIOD_OVERRIDE=FQ","FILING_STATUS=MR","Sort=A","Dates=H","DateFormat=P","Fill=—","Direction=H","UseDPDF=Y")</f>
        <v>—</v>
      </c>
      <c r="F54" s="14">
        <f>_xll.BDH("NBIX US Equity","TOTAL_DEBT_5_YEAR_GROWTH","FQ3 2019","FQ3 2019","Currency=USD","Period=FQ","BEST_FPERIOD_OVERRIDE=FQ","FILING_STATUS=MR","Sort=A","Dates=H","DateFormat=P","Fill=—","Direction=H","UseDPDF=Y")</f>
        <v>180.74359999999999</v>
      </c>
      <c r="G54" s="14">
        <f>_xll.BDH("NBIX US Equity","TOTAL_DEBT_5_YEAR_GROWTH","FQ4 2019","FQ4 2019","Currency=USD","Period=FQ","BEST_FPERIOD_OVERRIDE=FQ","FILING_STATUS=MR","Sort=A","Dates=H","DateFormat=P","Fill=—","Direction=H","UseDPDF=Y")</f>
        <v>304.18959999999998</v>
      </c>
      <c r="H54" s="14">
        <f>_xll.BDH("NBIX US Equity","TOTAL_DEBT_5_YEAR_GROWTH","FQ1 2020","FQ1 2020","Currency=USD","Period=FQ","BEST_FPERIOD_OVERRIDE=FQ","FILING_STATUS=MR","Sort=A","Dates=H","DateFormat=P","Fill=—","Direction=H","UseDPDF=Y")</f>
        <v>188.03200000000001</v>
      </c>
      <c r="I54" s="14">
        <f>_xll.BDH("NBIX US Equity","TOTAL_DEBT_5_YEAR_GROWTH","FQ2 2020","FQ2 2020","Currency=USD","Period=FQ","BEST_FPERIOD_OVERRIDE=FQ","FILING_STATUS=MR","Sort=A","Dates=H","DateFormat=P","Fill=—","Direction=H","UseDPDF=Y")</f>
        <v>291.74959999999999</v>
      </c>
      <c r="J54" s="14">
        <f>_xll.BDH("NBIX US Equity","TOTAL_DEBT_5_YEAR_GROWTH","FQ3 2020","FQ3 2020","Currency=USD","Period=FQ","BEST_FPERIOD_OVERRIDE=FQ","FILING_STATUS=MR","Sort=A","Dates=H","DateFormat=P","Fill=—","Direction=H","UseDPDF=Y")</f>
        <v>304.00490000000002</v>
      </c>
      <c r="K54" s="14">
        <f>_xll.BDH("NBIX US Equity","TOTAL_DEBT_5_YEAR_GROWTH","FQ4 2020","FQ4 2020","Currency=USD","Period=FQ","BEST_FPERIOD_OVERRIDE=FQ","FILING_STATUS=MR","Sort=A","Dates=H","DateFormat=P","Fill=—","Direction=H","UseDPDF=Y")</f>
        <v>297.09750000000003</v>
      </c>
      <c r="L54" s="14" t="str">
        <f>_xll.BDH("NBIX US Equity","TOTAL_DEBT_5_YEAR_GROWTH","FQ1 2021","FQ1 2021","Currency=USD","Period=FQ","BEST_FPERIOD_OVERRIDE=FQ","FILING_STATUS=MR","Sort=A","Dates=H","DateFormat=P","Fill=—","Direction=H","UseDPDF=Y")</f>
        <v>—</v>
      </c>
      <c r="M54" s="14">
        <f>_xll.BDH("NBIX US Equity","TOTAL_DEBT_5_YEAR_GROWTH","FQ2 2021","FQ2 2021","Currency=USD","Period=FQ","BEST_FPERIOD_OVERRIDE=FQ","FILING_STATUS=MR","Sort=A","Dates=H","DateFormat=P","Fill=—","Direction=H","UseDPDF=Y")</f>
        <v>344.67270000000002</v>
      </c>
      <c r="N54" s="14" t="str">
        <f>_xll.BDH("NBIX US Equity","TOTAL_DEBT_5_YEAR_GROWTH","FQ3 2021","FQ3 2021","Currency=USD","Period=FQ","BEST_FPERIOD_OVERRIDE=FQ","FILING_STATUS=MR","Sort=A","Dates=H","DateFormat=P","Fill=—","Direction=H","UseDPDF=Y")</f>
        <v>—</v>
      </c>
      <c r="O54" s="14">
        <f>_xll.BDH("NBIX US Equity","TOTAL_DEBT_5_YEAR_GROWTH","FQ4 2021","FQ4 2021","Currency=USD","Period=FQ","BEST_FPERIOD_OVERRIDE=FQ","FILING_STATUS=MR","Sort=A","Dates=H","DateFormat=P","Fill=—","Direction=H","UseDPDF=Y")</f>
        <v>354.34089999999998</v>
      </c>
      <c r="P54" s="14">
        <f>_xll.BDH("NBIX US Equity","TOTAL_DEBT_5_YEAR_GROWTH","FQ1 2022","FQ1 2022","Currency=USD","Period=FQ","BEST_FPERIOD_OVERRIDE=FQ","FILING_STATUS=MR","Sort=A","Dates=H","DateFormat=P","Fill=—","Direction=H","UseDPDF=Y")</f>
        <v>359.37509999999997</v>
      </c>
      <c r="Q54" s="14">
        <f>_xll.BDH("NBIX US Equity","TOTAL_DEBT_5_YEAR_GROWTH","FQ2 2022","FQ2 2022","Currency=USD","Period=FQ","BEST_FPERIOD_OVERRIDE=FQ","FILING_STATUS=MR","Sort=A","Dates=H","DateFormat=P","Fill=—","Direction=H","UseDPDF=Y")</f>
        <v>-4.5636999999999999</v>
      </c>
      <c r="R54" s="14">
        <f>_xll.BDH("NBIX US Equity","TOTAL_DEBT_5_YEAR_GROWTH","FQ3 2022","FQ3 2022","Currency=USD","Period=FQ","BEST_FPERIOD_OVERRIDE=FQ","FILING_STATUS=MR","Sort=A","Dates=H","DateFormat=P","Fill=—","Direction=H","UseDPDF=Y")</f>
        <v>-4.9669999999999996</v>
      </c>
      <c r="S54" s="14">
        <f>_xll.BDH("NBIX US Equity","TOTAL_DEBT_5_YEAR_GROWTH","FQ4 2022","FQ4 2022","Currency=USD","Period=FQ","BEST_FPERIOD_OVERRIDE=FQ","FILING_STATUS=MR","Sort=A","Dates=H","DateFormat=P","Fill=—","Direction=H","UseDPDF=Y")</f>
        <v>-6.5900999999999996</v>
      </c>
      <c r="T54" s="14">
        <f>_xll.BDH("NBIX US Equity","TOTAL_DEBT_5_YEAR_GROWTH","FQ1 2023","FQ1 2023","Currency=USD","Period=FQ","BEST_FPERIOD_OVERRIDE=FQ","FILING_STATUS=MR","Sort=A","Dates=H","DateFormat=P","Fill=—","Direction=H","UseDPDF=Y")</f>
        <v>-7.0308999999999999</v>
      </c>
      <c r="U54" s="14">
        <f>_xll.BDH("NBIX US Equity","TOTAL_DEBT_5_YEAR_GROWTH","FQ2 2023","FQ2 2023","Currency=USD","Period=FQ","BEST_FPERIOD_OVERRIDE=FQ","FILING_STATUS=MR","Sort=A","Dates=H","DateFormat=P","Fill=—","Direction=H","UseDPDF=Y")</f>
        <v>-6.1060999999999996</v>
      </c>
      <c r="V54" s="14">
        <f>_xll.BDH("NBIX US Equity","TOTAL_DEBT_5_YEAR_GROWTH","FQ3 2023","FQ3 2023","Currency=USD","Period=FQ","BEST_FPERIOD_OVERRIDE=FQ","FILING_STATUS=MR","Sort=A","Dates=H","DateFormat=P","Fill=—","Direction=H","UseDPDF=Y")</f>
        <v>-6.5376000000000003</v>
      </c>
      <c r="W54" s="14">
        <f>_xll.BDH("NBIX US Equity","TOTAL_DEBT_5_YEAR_GROWTH","FQ4 2023","FQ4 2023","Currency=USD","Period=FQ","BEST_FPERIOD_OVERRIDE=FQ","FILING_STATUS=MR","Sort=A","Dates=H","DateFormat=P","Fill=—","Direction=H","UseDPDF=Y")</f>
        <v>3.4546000000000001</v>
      </c>
      <c r="X54" s="14">
        <f>_xll.BDH("NBIX US Equity","TOTAL_DEBT_5_YEAR_GROWTH","FQ1 2024","FQ1 2024","Currency=USD","Period=FQ","BEST_FPERIOD_OVERRIDE=FQ","FILING_STATUS=MR","Sort=A","Dates=H","DateFormat=P","Fill=—","Direction=H","UseDPDF=Y")</f>
        <v>-2.4045000000000001</v>
      </c>
      <c r="Y54" s="14">
        <f>_xll.BDH("NBIX US Equity","TOTAL_DEBT_5_YEAR_GROWTH","FQ2 2024","FQ2 2024","Currency=USD","Period=FQ","BEST_FPERIOD_OVERRIDE=FQ","FILING_STATUS=MR","Sort=A","Dates=H","DateFormat=P","Fill=—","Direction=H","UseDPDF=Y")</f>
        <v>-9.0434000000000001</v>
      </c>
      <c r="Z54" s="14">
        <f>_xll.BDH("NBIX US Equity","TOTAL_DEBT_5_YEAR_GROWTH","FQ3 2024","FQ3 2024","Currency=USD","Period=FQ","BEST_FPERIOD_OVERRIDE=FQ","FILING_STATUS=MR","Sort=A","Dates=H","DateFormat=P","Fill=—","Direction=H","UseDPDF=Y")</f>
        <v>-10.057399999999999</v>
      </c>
      <c r="AA54" s="14">
        <f>_xll.BDH("NBIX US Equity","TOTAL_DEBT_5_YEAR_GROWTH","FQ4 2024","FQ4 2024","Currency=USD","Period=FQ","BEST_FPERIOD_OVERRIDE=FQ","FILING_STATUS=MR","Sort=A","Dates=H","DateFormat=P","Fill=—","Direction=H","UseDPDF=Y")</f>
        <v>-0.32290000000000002</v>
      </c>
    </row>
    <row r="55" spans="1:27" x14ac:dyDescent="0.25">
      <c r="A55" s="10" t="s">
        <v>118</v>
      </c>
      <c r="B55" s="10" t="s">
        <v>1337</v>
      </c>
      <c r="C55" s="14">
        <f>_xll.BDH("NBIX US Equity","GEO_GROW_TOT_SHRHLDR_EQY","FQ4 2018","FQ4 2018","Currency=USD","Period=FQ","BEST_FPERIOD_OVERRIDE=FQ","FILING_STATUS=MR","Sort=A","Dates=H","DateFormat=P","Fill=—","Direction=H","UseDPDF=Y")</f>
        <v>31.902799999999999</v>
      </c>
      <c r="D55" s="14">
        <f>_xll.BDH("NBIX US Equity","GEO_GROW_TOT_SHRHLDR_EQY","FQ1 2019","FQ1 2019","Currency=USD","Period=FQ","BEST_FPERIOD_OVERRIDE=FQ","FILING_STATUS=MR","Sort=A","Dates=H","DateFormat=P","Fill=—","Direction=H","UseDPDF=Y")</f>
        <v>10.6225</v>
      </c>
      <c r="E55" s="14">
        <f>_xll.BDH("NBIX US Equity","GEO_GROW_TOT_SHRHLDR_EQY","FQ2 2019","FQ2 2019","Currency=USD","Period=FQ","BEST_FPERIOD_OVERRIDE=FQ","FILING_STATUS=MR","Sort=A","Dates=H","DateFormat=P","Fill=—","Direction=H","UseDPDF=Y")</f>
        <v>15.351599999999999</v>
      </c>
      <c r="F55" s="14">
        <f>_xll.BDH("NBIX US Equity","GEO_GROW_TOT_SHRHLDR_EQY","FQ3 2019","FQ3 2019","Currency=USD","Period=FQ","BEST_FPERIOD_OVERRIDE=FQ","FILING_STATUS=MR","Sort=A","Dates=H","DateFormat=P","Fill=—","Direction=H","UseDPDF=Y")</f>
        <v>20.724799999999998</v>
      </c>
      <c r="G55" s="14">
        <f>_xll.BDH("NBIX US Equity","GEO_GROW_TOT_SHRHLDR_EQY","FQ4 2019","FQ4 2019","Currency=USD","Period=FQ","BEST_FPERIOD_OVERRIDE=FQ","FILING_STATUS=MR","Sort=A","Dates=H","DateFormat=P","Fill=—","Direction=H","UseDPDF=Y")</f>
        <v>25</v>
      </c>
      <c r="H55" s="14">
        <f>_xll.BDH("NBIX US Equity","GEO_GROW_TOT_SHRHLDR_EQY","FQ1 2020","FQ1 2020","Currency=USD","Period=FQ","BEST_FPERIOD_OVERRIDE=FQ","FILING_STATUS=MR","Sort=A","Dates=H","DateFormat=P","Fill=—","Direction=H","UseDPDF=Y")</f>
        <v>7.6357999999999997</v>
      </c>
      <c r="I55" s="14">
        <f>_xll.BDH("NBIX US Equity","GEO_GROW_TOT_SHRHLDR_EQY","FQ2 2020","FQ2 2020","Currency=USD","Period=FQ","BEST_FPERIOD_OVERRIDE=FQ","FILING_STATUS=MR","Sort=A","Dates=H","DateFormat=P","Fill=—","Direction=H","UseDPDF=Y")</f>
        <v>12.2248</v>
      </c>
      <c r="J55" s="14">
        <f>_xll.BDH("NBIX US Equity","GEO_GROW_TOT_SHRHLDR_EQY","FQ3 2020","FQ3 2020","Currency=USD","Period=FQ","BEST_FPERIOD_OVERRIDE=FQ","FILING_STATUS=MR","Sort=A","Dates=H","DateFormat=P","Fill=—","Direction=H","UseDPDF=Y")</f>
        <v>12.469099999999999</v>
      </c>
      <c r="K55" s="14">
        <f>_xll.BDH("NBIX US Equity","GEO_GROW_TOT_SHRHLDR_EQY","FQ4 2020","FQ4 2020","Currency=USD","Period=FQ","BEST_FPERIOD_OVERRIDE=FQ","FILING_STATUS=MR","Sort=A","Dates=H","DateFormat=P","Fill=—","Direction=H","UseDPDF=Y")</f>
        <v>21.550599999999999</v>
      </c>
      <c r="L55" s="14">
        <f>_xll.BDH("NBIX US Equity","GEO_GROW_TOT_SHRHLDR_EQY","FQ1 2021","FQ1 2021","Currency=USD","Period=FQ","BEST_FPERIOD_OVERRIDE=FQ","FILING_STATUS=MR","Sort=A","Dates=H","DateFormat=P","Fill=—","Direction=H","UseDPDF=Y")</f>
        <v>23.896599999999999</v>
      </c>
      <c r="M55" s="14">
        <f>_xll.BDH("NBIX US Equity","GEO_GROW_TOT_SHRHLDR_EQY","FQ2 2021","FQ2 2021","Currency=USD","Period=FQ","BEST_FPERIOD_OVERRIDE=FQ","FILING_STATUS=MR","Sort=A","Dates=H","DateFormat=P","Fill=—","Direction=H","UseDPDF=Y")</f>
        <v>27.4072</v>
      </c>
      <c r="N55" s="14">
        <f>_xll.BDH("NBIX US Equity","GEO_GROW_TOT_SHRHLDR_EQY","FQ3 2021","FQ3 2021","Currency=USD","Period=FQ","BEST_FPERIOD_OVERRIDE=FQ","FILING_STATUS=MR","Sort=A","Dates=H","DateFormat=P","Fill=—","Direction=H","UseDPDF=Y")</f>
        <v>30.793600000000001</v>
      </c>
      <c r="O55" s="14">
        <f>_xll.BDH("NBIX US Equity","GEO_GROW_TOT_SHRHLDR_EQY","FQ4 2021","FQ4 2021","Currency=USD","Period=FQ","BEST_FPERIOD_OVERRIDE=FQ","FILING_STATUS=MR","Sort=A","Dates=H","DateFormat=P","Fill=—","Direction=H","UseDPDF=Y")</f>
        <v>34.267000000000003</v>
      </c>
      <c r="P55" s="14">
        <f>_xll.BDH("NBIX US Equity","GEO_GROW_TOT_SHRHLDR_EQY","FQ1 2022","FQ1 2022","Currency=USD","Period=FQ","BEST_FPERIOD_OVERRIDE=FQ","FILING_STATUS=MR","Sort=A","Dates=H","DateFormat=P","Fill=—","Direction=H","UseDPDF=Y")</f>
        <v>41.280700000000003</v>
      </c>
      <c r="Q55" s="14">
        <f>_xll.BDH("NBIX US Equity","GEO_GROW_TOT_SHRHLDR_EQY","FQ2 2022","FQ2 2022","Currency=USD","Period=FQ","BEST_FPERIOD_OVERRIDE=FQ","FILING_STATUS=MR","Sort=A","Dates=H","DateFormat=P","Fill=—","Direction=H","UseDPDF=Y")</f>
        <v>32.752200000000002</v>
      </c>
      <c r="R55" s="14">
        <f>_xll.BDH("NBIX US Equity","GEO_GROW_TOT_SHRHLDR_EQY","FQ3 2022","FQ3 2022","Currency=USD","Period=FQ","BEST_FPERIOD_OVERRIDE=FQ","FILING_STATUS=MR","Sort=A","Dates=H","DateFormat=P","Fill=—","Direction=H","UseDPDF=Y")</f>
        <v>34.762599999999999</v>
      </c>
      <c r="S55" s="14">
        <f>_xll.BDH("NBIX US Equity","GEO_GROW_TOT_SHRHLDR_EQY","FQ4 2022","FQ4 2022","Currency=USD","Period=FQ","BEST_FPERIOD_OVERRIDE=FQ","FILING_STATUS=MR","Sort=A","Dates=H","DateFormat=P","Fill=—","Direction=H","UseDPDF=Y")</f>
        <v>35.627099999999999</v>
      </c>
      <c r="T55" s="14">
        <f>_xll.BDH("NBIX US Equity","GEO_GROW_TOT_SHRHLDR_EQY","FQ1 2023","FQ1 2023","Currency=USD","Period=FQ","BEST_FPERIOD_OVERRIDE=FQ","FILING_STATUS=MR","Sort=A","Dates=H","DateFormat=P","Fill=—","Direction=H","UseDPDF=Y")</f>
        <v>35.818100000000001</v>
      </c>
      <c r="U55" s="14">
        <f>_xll.BDH("NBIX US Equity","GEO_GROW_TOT_SHRHLDR_EQY","FQ2 2023","FQ2 2023","Currency=USD","Period=FQ","BEST_FPERIOD_OVERRIDE=FQ","FILING_STATUS=MR","Sort=A","Dates=H","DateFormat=P","Fill=—","Direction=H","UseDPDF=Y")</f>
        <v>37.469499999999996</v>
      </c>
      <c r="V55" s="14">
        <f>_xll.BDH("NBIX US Equity","GEO_GROW_TOT_SHRHLDR_EQY","FQ3 2023","FQ3 2023","Currency=USD","Period=FQ","BEST_FPERIOD_OVERRIDE=FQ","FILING_STATUS=MR","Sort=A","Dates=H","DateFormat=P","Fill=—","Direction=H","UseDPDF=Y")</f>
        <v>34.938499999999998</v>
      </c>
      <c r="W55" s="14">
        <f>_xll.BDH("NBIX US Equity","GEO_GROW_TOT_SHRHLDR_EQY","FQ4 2023","FQ4 2023","Currency=USD","Period=FQ","BEST_FPERIOD_OVERRIDE=FQ","FILING_STATUS=MR","Sort=A","Dates=H","DateFormat=P","Fill=—","Direction=H","UseDPDF=Y")</f>
        <v>35.941600000000001</v>
      </c>
      <c r="X55" s="14">
        <f>_xll.BDH("NBIX US Equity","GEO_GROW_TOT_SHRHLDR_EQY","FQ1 2024","FQ1 2024","Currency=USD","Period=FQ","BEST_FPERIOD_OVERRIDE=FQ","FILING_STATUS=MR","Sort=A","Dates=H","DateFormat=P","Fill=—","Direction=H","UseDPDF=Y")</f>
        <v>42.277000000000001</v>
      </c>
      <c r="Y55" s="14">
        <f>_xll.BDH("NBIX US Equity","GEO_GROW_TOT_SHRHLDR_EQY","FQ2 2024","FQ2 2024","Currency=USD","Period=FQ","BEST_FPERIOD_OVERRIDE=FQ","FILING_STATUS=MR","Sort=A","Dates=H","DateFormat=P","Fill=—","Direction=H","UseDPDF=Y")</f>
        <v>38.9923</v>
      </c>
      <c r="Z55" s="14">
        <f>_xll.BDH("NBIX US Equity","GEO_GROW_TOT_SHRHLDR_EQY","FQ3 2024","FQ3 2024","Currency=USD","Period=FQ","BEST_FPERIOD_OVERRIDE=FQ","FILING_STATUS=MR","Sort=A","Dates=H","DateFormat=P","Fill=—","Direction=H","UseDPDF=Y")</f>
        <v>36.464100000000002</v>
      </c>
      <c r="AA55" s="14">
        <f>_xll.BDH("NBIX US Equity","GEO_GROW_TOT_SHRHLDR_EQY","FQ4 2024","FQ4 2024","Currency=USD","Period=FQ","BEST_FPERIOD_OVERRIDE=FQ","FILING_STATUS=MR","Sort=A","Dates=H","DateFormat=P","Fill=—","Direction=H","UseDPDF=Y")</f>
        <v>32.384</v>
      </c>
    </row>
    <row r="56" spans="1:27" x14ac:dyDescent="0.25">
      <c r="A56" s="10" t="s">
        <v>1338</v>
      </c>
      <c r="B56" s="10" t="s">
        <v>1339</v>
      </c>
      <c r="C56" s="14">
        <f>_xll.BDH("NBIX US Equity","TOTAL_CAPITAL_5_YEAR_GROWTH","FQ4 2018","FQ4 2018","Currency=USD","Period=FQ","BEST_FPERIOD_OVERRIDE=FQ","FILING_STATUS=MR","Sort=A","Dates=H","DateFormat=P","Fill=—","Direction=H","UseDPDF=Y")</f>
        <v>48.387700000000002</v>
      </c>
      <c r="D56" s="14">
        <f>_xll.BDH("NBIX US Equity","TOTAL_CAPITAL_5_YEAR_GROWTH","FQ1 2019","FQ1 2019","Currency=USD","Period=FQ","BEST_FPERIOD_OVERRIDE=FQ","FILING_STATUS=MR","Sort=A","Dates=H","DateFormat=P","Fill=—","Direction=H","UseDPDF=Y")</f>
        <v>28.4131</v>
      </c>
      <c r="E56" s="14">
        <f>_xll.BDH("NBIX US Equity","TOTAL_CAPITAL_5_YEAR_GROWTH","FQ2 2019","FQ2 2019","Currency=USD","Period=FQ","BEST_FPERIOD_OVERRIDE=FQ","FILING_STATUS=MR","Sort=A","Dates=H","DateFormat=P","Fill=—","Direction=H","UseDPDF=Y")</f>
        <v>32.0822</v>
      </c>
      <c r="F56" s="14">
        <f>_xll.BDH("NBIX US Equity","TOTAL_CAPITAL_5_YEAR_GROWTH","FQ3 2019","FQ3 2019","Currency=USD","Period=FQ","BEST_FPERIOD_OVERRIDE=FQ","FILING_STATUS=MR","Sort=A","Dates=H","DateFormat=P","Fill=—","Direction=H","UseDPDF=Y")</f>
        <v>36.139499999999998</v>
      </c>
      <c r="G56" s="14">
        <f>_xll.BDH("NBIX US Equity","TOTAL_CAPITAL_5_YEAR_GROWTH","FQ4 2019","FQ4 2019","Currency=USD","Period=FQ","BEST_FPERIOD_OVERRIDE=FQ","FILING_STATUS=MR","Sort=A","Dates=H","DateFormat=P","Fill=—","Direction=H","UseDPDF=Y")</f>
        <v>40.389499999999998</v>
      </c>
      <c r="H56" s="14">
        <f>_xll.BDH("NBIX US Equity","TOTAL_CAPITAL_5_YEAR_GROWTH","FQ1 2020","FQ1 2020","Currency=USD","Period=FQ","BEST_FPERIOD_OVERRIDE=FQ","FILING_STATUS=MR","Sort=A","Dates=H","DateFormat=P","Fill=—","Direction=H","UseDPDF=Y")</f>
        <v>19.925799999999999</v>
      </c>
      <c r="I56" s="14">
        <f>_xll.BDH("NBIX US Equity","TOTAL_CAPITAL_5_YEAR_GROWTH","FQ2 2020","FQ2 2020","Currency=USD","Period=FQ","BEST_FPERIOD_OVERRIDE=FQ","FILING_STATUS=MR","Sort=A","Dates=H","DateFormat=P","Fill=—","Direction=H","UseDPDF=Y")</f>
        <v>23.52</v>
      </c>
      <c r="J56" s="14">
        <f>_xll.BDH("NBIX US Equity","TOTAL_CAPITAL_5_YEAR_GROWTH","FQ3 2020","FQ3 2020","Currency=USD","Period=FQ","BEST_FPERIOD_OVERRIDE=FQ","FILING_STATUS=MR","Sort=A","Dates=H","DateFormat=P","Fill=—","Direction=H","UseDPDF=Y")</f>
        <v>24.194500000000001</v>
      </c>
      <c r="K56" s="14">
        <f>_xll.BDH("NBIX US Equity","TOTAL_CAPITAL_5_YEAR_GROWTH","FQ4 2020","FQ4 2020","Currency=USD","Period=FQ","BEST_FPERIOD_OVERRIDE=FQ","FILING_STATUS=MR","Sort=A","Dates=H","DateFormat=P","Fill=—","Direction=H","UseDPDF=Y")</f>
        <v>29.522600000000001</v>
      </c>
      <c r="L56" s="14">
        <f>_xll.BDH("NBIX US Equity","TOTAL_CAPITAL_5_YEAR_GROWTH","FQ1 2021","FQ1 2021","Currency=USD","Period=FQ","BEST_FPERIOD_OVERRIDE=FQ","FILING_STATUS=MR","Sort=A","Dates=H","DateFormat=P","Fill=—","Direction=H","UseDPDF=Y")</f>
        <v>31.8782</v>
      </c>
      <c r="M56" s="14">
        <f>_xll.BDH("NBIX US Equity","TOTAL_CAPITAL_5_YEAR_GROWTH","FQ2 2021","FQ2 2021","Currency=USD","Period=FQ","BEST_FPERIOD_OVERRIDE=FQ","FILING_STATUS=MR","Sort=A","Dates=H","DateFormat=P","Fill=—","Direction=H","UseDPDF=Y")</f>
        <v>35.310499999999998</v>
      </c>
      <c r="N56" s="14">
        <f>_xll.BDH("NBIX US Equity","TOTAL_CAPITAL_5_YEAR_GROWTH","FQ3 2021","FQ3 2021","Currency=USD","Period=FQ","BEST_FPERIOD_OVERRIDE=FQ","FILING_STATUS=MR","Sort=A","Dates=H","DateFormat=P","Fill=—","Direction=H","UseDPDF=Y")</f>
        <v>38.6004</v>
      </c>
      <c r="O56" s="14">
        <f>_xll.BDH("NBIX US Equity","TOTAL_CAPITAL_5_YEAR_GROWTH","FQ4 2021","FQ4 2021","Currency=USD","Period=FQ","BEST_FPERIOD_OVERRIDE=FQ","FILING_STATUS=MR","Sort=A","Dates=H","DateFormat=P","Fill=—","Direction=H","UseDPDF=Y")</f>
        <v>42.180399999999999</v>
      </c>
      <c r="P56" s="14">
        <f>_xll.BDH("NBIX US Equity","TOTAL_CAPITAL_5_YEAR_GROWTH","FQ1 2022","FQ1 2022","Currency=USD","Period=FQ","BEST_FPERIOD_OVERRIDE=FQ","FILING_STATUS=MR","Sort=A","Dates=H","DateFormat=P","Fill=—","Direction=H","UseDPDF=Y")</f>
        <v>50.153399999999998</v>
      </c>
      <c r="Q56" s="14">
        <f>_xll.BDH("NBIX US Equity","TOTAL_CAPITAL_5_YEAR_GROWTH","FQ2 2022","FQ2 2022","Currency=USD","Period=FQ","BEST_FPERIOD_OVERRIDE=FQ","FILING_STATUS=MR","Sort=A","Dates=H","DateFormat=P","Fill=—","Direction=H","UseDPDF=Y")</f>
        <v>19.3384</v>
      </c>
      <c r="R56" s="14">
        <f>_xll.BDH("NBIX US Equity","TOTAL_CAPITAL_5_YEAR_GROWTH","FQ3 2022","FQ3 2022","Currency=USD","Period=FQ","BEST_FPERIOD_OVERRIDE=FQ","FILING_STATUS=MR","Sort=A","Dates=H","DateFormat=P","Fill=—","Direction=H","UseDPDF=Y")</f>
        <v>20.7242</v>
      </c>
      <c r="S56" s="14">
        <f>_xll.BDH("NBIX US Equity","TOTAL_CAPITAL_5_YEAR_GROWTH","FQ4 2022","FQ4 2022","Currency=USD","Period=FQ","BEST_FPERIOD_OVERRIDE=FQ","FILING_STATUS=MR","Sort=A","Dates=H","DateFormat=P","Fill=—","Direction=H","UseDPDF=Y")</f>
        <v>21.5807</v>
      </c>
      <c r="T56" s="14">
        <f>_xll.BDH("NBIX US Equity","TOTAL_CAPITAL_5_YEAR_GROWTH","FQ1 2023","FQ1 2023","Currency=USD","Period=FQ","BEST_FPERIOD_OVERRIDE=FQ","FILING_STATUS=MR","Sort=A","Dates=H","DateFormat=P","Fill=—","Direction=H","UseDPDF=Y")</f>
        <v>21.3568</v>
      </c>
      <c r="U56" s="14">
        <f>_xll.BDH("NBIX US Equity","TOTAL_CAPITAL_5_YEAR_GROWTH","FQ2 2023","FQ2 2023","Currency=USD","Period=FQ","BEST_FPERIOD_OVERRIDE=FQ","FILING_STATUS=MR","Sort=A","Dates=H","DateFormat=P","Fill=—","Direction=H","UseDPDF=Y")</f>
        <v>23.002600000000001</v>
      </c>
      <c r="V56" s="14">
        <f>_xll.BDH("NBIX US Equity","TOTAL_CAPITAL_5_YEAR_GROWTH","FQ3 2023","FQ3 2023","Currency=USD","Period=FQ","BEST_FPERIOD_OVERRIDE=FQ","FILING_STATUS=MR","Sort=A","Dates=H","DateFormat=P","Fill=—","Direction=H","UseDPDF=Y")</f>
        <v>22.316800000000001</v>
      </c>
      <c r="W56" s="14">
        <f>_xll.BDH("NBIX US Equity","TOTAL_CAPITAL_5_YEAR_GROWTH","FQ4 2023","FQ4 2023","Currency=USD","Period=FQ","BEST_FPERIOD_OVERRIDE=FQ","FILING_STATUS=MR","Sort=A","Dates=H","DateFormat=P","Fill=—","Direction=H","UseDPDF=Y")</f>
        <v>25.371200000000002</v>
      </c>
      <c r="X56" s="14">
        <f>_xll.BDH("NBIX US Equity","TOTAL_CAPITAL_5_YEAR_GROWTH","FQ1 2024","FQ1 2024","Currency=USD","Period=FQ","BEST_FPERIOD_OVERRIDE=FQ","FILING_STATUS=MR","Sort=A","Dates=H","DateFormat=P","Fill=—","Direction=H","UseDPDF=Y")</f>
        <v>26.216799999999999</v>
      </c>
      <c r="Y56" s="14">
        <f>_xll.BDH("NBIX US Equity","TOTAL_CAPITAL_5_YEAR_GROWTH","FQ2 2024","FQ2 2024","Currency=USD","Period=FQ","BEST_FPERIOD_OVERRIDE=FQ","FILING_STATUS=MR","Sort=A","Dates=H","DateFormat=P","Fill=—","Direction=H","UseDPDF=Y")</f>
        <v>24.085000000000001</v>
      </c>
      <c r="Z56" s="14">
        <f>_xll.BDH("NBIX US Equity","TOTAL_CAPITAL_5_YEAR_GROWTH","FQ3 2024","FQ3 2024","Currency=USD","Period=FQ","BEST_FPERIOD_OVERRIDE=FQ","FILING_STATUS=MR","Sort=A","Dates=H","DateFormat=P","Fill=—","Direction=H","UseDPDF=Y")</f>
        <v>23.154299999999999</v>
      </c>
      <c r="AA56" s="14">
        <f>_xll.BDH("NBIX US Equity","TOTAL_CAPITAL_5_YEAR_GROWTH","FQ4 2024","FQ4 2024","Currency=USD","Period=FQ","BEST_FPERIOD_OVERRIDE=FQ","FILING_STATUS=MR","Sort=A","Dates=H","DateFormat=P","Fill=—","Direction=H","UseDPDF=Y")</f>
        <v>22.019500000000001</v>
      </c>
    </row>
    <row r="57" spans="1:27" x14ac:dyDescent="0.25">
      <c r="A57" s="10" t="s">
        <v>1310</v>
      </c>
      <c r="B57" s="10" t="s">
        <v>1340</v>
      </c>
      <c r="C57" s="14">
        <f>_xll.BDH("NBIX US Equity","GEO_GROW_BOOK_VAL","FQ4 2018","FQ4 2018","Currency=USD","Period=FQ","BEST_FPERIOD_OVERRIDE=FQ","FILING_STATUS=MR","Sort=A","Dates=H","DateFormat=P","Fill=—","Direction=H","UseDPDF=Y")</f>
        <v>24.253499999999999</v>
      </c>
      <c r="D57" s="14">
        <f>_xll.BDH("NBIX US Equity","GEO_GROW_BOOK_VAL","FQ1 2019","FQ1 2019","Currency=USD","Period=FQ","BEST_FPERIOD_OVERRIDE=FQ","FILING_STATUS=MR","Sort=A","Dates=H","DateFormat=P","Fill=—","Direction=H","UseDPDF=Y")</f>
        <v>6.6021000000000001</v>
      </c>
      <c r="E57" s="14">
        <f>_xll.BDH("NBIX US Equity","GEO_GROW_BOOK_VAL","FQ2 2019","FQ2 2019","Currency=USD","Period=FQ","BEST_FPERIOD_OVERRIDE=FQ","FILING_STATUS=MR","Sort=A","Dates=H","DateFormat=P","Fill=—","Direction=H","UseDPDF=Y")</f>
        <v>11.115600000000001</v>
      </c>
      <c r="F57" s="14">
        <f>_xll.BDH("NBIX US Equity","GEO_GROW_BOOK_VAL","FQ3 2019","FQ3 2019","Currency=USD","Period=FQ","BEST_FPERIOD_OVERRIDE=FQ","FILING_STATUS=MR","Sort=A","Dates=H","DateFormat=P","Fill=—","Direction=H","UseDPDF=Y")</f>
        <v>16.177499999999998</v>
      </c>
      <c r="G57" s="14">
        <f>_xll.BDH("NBIX US Equity","GEO_GROW_BOOK_VAL","FQ4 2019","FQ4 2019","Currency=USD","Period=FQ","BEST_FPERIOD_OVERRIDE=FQ","FILING_STATUS=MR","Sort=A","Dates=H","DateFormat=P","Fill=—","Direction=H","UseDPDF=Y")</f>
        <v>20.3825</v>
      </c>
      <c r="H57" s="14">
        <f>_xll.BDH("NBIX US Equity","GEO_GROW_BOOK_VAL","FQ1 2020","FQ1 2020","Currency=USD","Period=FQ","BEST_FPERIOD_OVERRIDE=FQ","FILING_STATUS=MR","Sort=A","Dates=H","DateFormat=P","Fill=—","Direction=H","UseDPDF=Y")</f>
        <v>5.8548</v>
      </c>
      <c r="I57" s="14">
        <f>_xll.BDH("NBIX US Equity","GEO_GROW_BOOK_VAL","FQ2 2020","FQ2 2020","Currency=USD","Period=FQ","BEST_FPERIOD_OVERRIDE=FQ","FILING_STATUS=MR","Sort=A","Dates=H","DateFormat=P","Fill=—","Direction=H","UseDPDF=Y")</f>
        <v>10.3705</v>
      </c>
      <c r="J57" s="14">
        <f>_xll.BDH("NBIX US Equity","GEO_GROW_BOOK_VAL","FQ3 2020","FQ3 2020","Currency=USD","Period=FQ","BEST_FPERIOD_OVERRIDE=FQ","FILING_STATUS=MR","Sort=A","Dates=H","DateFormat=P","Fill=—","Direction=H","UseDPDF=Y")</f>
        <v>10.597799999999999</v>
      </c>
      <c r="K57" s="14">
        <f>_xll.BDH("NBIX US Equity","GEO_GROW_BOOK_VAL","FQ4 2020","FQ4 2020","Currency=USD","Period=FQ","BEST_FPERIOD_OVERRIDE=FQ","FILING_STATUS=MR","Sort=A","Dates=H","DateFormat=P","Fill=—","Direction=H","UseDPDF=Y")</f>
        <v>19.607700000000001</v>
      </c>
      <c r="L57" s="14">
        <f>_xll.BDH("NBIX US Equity","GEO_GROW_BOOK_VAL","FQ1 2021","FQ1 2021","Currency=USD","Period=FQ","BEST_FPERIOD_OVERRIDE=FQ","FILING_STATUS=MR","Sort=A","Dates=H","DateFormat=P","Fill=—","Direction=H","UseDPDF=Y")</f>
        <v>21.744499999999999</v>
      </c>
      <c r="M57" s="14">
        <f>_xll.BDH("NBIX US Equity","GEO_GROW_BOOK_VAL","FQ2 2021","FQ2 2021","Currency=USD","Period=FQ","BEST_FPERIOD_OVERRIDE=FQ","FILING_STATUS=MR","Sort=A","Dates=H","DateFormat=P","Fill=—","Direction=H","UseDPDF=Y")</f>
        <v>25.2193</v>
      </c>
      <c r="N57" s="14">
        <f>_xll.BDH("NBIX US Equity","GEO_GROW_BOOK_VAL","FQ3 2021","FQ3 2021","Currency=USD","Period=FQ","BEST_FPERIOD_OVERRIDE=FQ","FILING_STATUS=MR","Sort=A","Dates=H","DateFormat=P","Fill=—","Direction=H","UseDPDF=Y")</f>
        <v>28.527200000000001</v>
      </c>
      <c r="O57" s="14">
        <f>_xll.BDH("NBIX US Equity","GEO_GROW_BOOK_VAL","FQ4 2021","FQ4 2021","Currency=USD","Period=FQ","BEST_FPERIOD_OVERRIDE=FQ","FILING_STATUS=MR","Sort=A","Dates=H","DateFormat=P","Fill=—","Direction=H","UseDPDF=Y")</f>
        <v>31.9177</v>
      </c>
      <c r="P57" s="14">
        <f>_xll.BDH("NBIX US Equity","GEO_GROW_BOOK_VAL","FQ1 2022","FQ1 2022","Currency=USD","Period=FQ","BEST_FPERIOD_OVERRIDE=FQ","FILING_STATUS=MR","Sort=A","Dates=H","DateFormat=P","Fill=—","Direction=H","UseDPDF=Y")</f>
        <v>38.836399999999998</v>
      </c>
      <c r="Q57" s="14">
        <f>_xll.BDH("NBIX US Equity","GEO_GROW_BOOK_VAL","FQ2 2022","FQ2 2022","Currency=USD","Period=FQ","BEST_FPERIOD_OVERRIDE=FQ","FILING_STATUS=MR","Sort=A","Dates=H","DateFormat=P","Fill=—","Direction=H","UseDPDF=Y")</f>
        <v>30.635300000000001</v>
      </c>
      <c r="R57" s="14">
        <f>_xll.BDH("NBIX US Equity","GEO_GROW_BOOK_VAL","FQ3 2022","FQ3 2022","Currency=USD","Period=FQ","BEST_FPERIOD_OVERRIDE=FQ","FILING_STATUS=MR","Sort=A","Dates=H","DateFormat=P","Fill=—","Direction=H","UseDPDF=Y")</f>
        <v>32.5488</v>
      </c>
      <c r="S57" s="14">
        <f>_xll.BDH("NBIX US Equity","GEO_GROW_BOOK_VAL","FQ4 2022","FQ4 2022","Currency=USD","Period=FQ","BEST_FPERIOD_OVERRIDE=FQ","FILING_STATUS=MR","Sort=A","Dates=H","DateFormat=P","Fill=—","Direction=H","UseDPDF=Y")</f>
        <v>33.388300000000001</v>
      </c>
      <c r="T57" s="14">
        <f>_xll.BDH("NBIX US Equity","GEO_GROW_BOOK_VAL","FQ1 2023","FQ1 2023","Currency=USD","Period=FQ","BEST_FPERIOD_OVERRIDE=FQ","FILING_STATUS=MR","Sort=A","Dates=H","DateFormat=P","Fill=—","Direction=H","UseDPDF=Y")</f>
        <v>33.626199999999997</v>
      </c>
      <c r="U57" s="14">
        <f>_xll.BDH("NBIX US Equity","GEO_GROW_BOOK_VAL","FQ2 2023","FQ2 2023","Currency=USD","Period=FQ","BEST_FPERIOD_OVERRIDE=FQ","FILING_STATUS=MR","Sort=A","Dates=H","DateFormat=P","Fill=—","Direction=H","UseDPDF=Y")</f>
        <v>35.379600000000003</v>
      </c>
      <c r="V57" s="14">
        <f>_xll.BDH("NBIX US Equity","GEO_GROW_BOOK_VAL","FQ3 2023","FQ3 2023","Currency=USD","Period=FQ","BEST_FPERIOD_OVERRIDE=FQ","FILING_STATUS=MR","Sort=A","Dates=H","DateFormat=P","Fill=—","Direction=H","UseDPDF=Y")</f>
        <v>32.8035</v>
      </c>
      <c r="W57" s="14">
        <f>_xll.BDH("NBIX US Equity","GEO_GROW_BOOK_VAL","FQ4 2023","FQ4 2023","Currency=USD","Period=FQ","BEST_FPERIOD_OVERRIDE=FQ","FILING_STATUS=MR","Sort=A","Dates=H","DateFormat=P","Fill=—","Direction=H","UseDPDF=Y")</f>
        <v>33.691299999999998</v>
      </c>
      <c r="X57" s="14">
        <f>_xll.BDH("NBIX US Equity","GEO_GROW_BOOK_VAL","FQ1 2024","FQ1 2024","Currency=USD","Period=FQ","BEST_FPERIOD_OVERRIDE=FQ","FILING_STATUS=MR","Sort=A","Dates=H","DateFormat=P","Fill=—","Direction=H","UseDPDF=Y")</f>
        <v>39.538499999999999</v>
      </c>
      <c r="Y57" s="14">
        <f>_xll.BDH("NBIX US Equity","GEO_GROW_BOOK_VAL","FQ2 2024","FQ2 2024","Currency=USD","Period=FQ","BEST_FPERIOD_OVERRIDE=FQ","FILING_STATUS=MR","Sort=A","Dates=H","DateFormat=P","Fill=—","Direction=H","UseDPDF=Y")</f>
        <v>36.311</v>
      </c>
      <c r="Z57" s="14">
        <f>_xll.BDH("NBIX US Equity","GEO_GROW_BOOK_VAL","FQ3 2024","FQ3 2024","Currency=USD","Period=FQ","BEST_FPERIOD_OVERRIDE=FQ","FILING_STATUS=MR","Sort=A","Dates=H","DateFormat=P","Fill=—","Direction=H","UseDPDF=Y")</f>
        <v>33.910699999999999</v>
      </c>
      <c r="AA57" s="14">
        <f>_xll.BDH("NBIX US Equity","GEO_GROW_BOOK_VAL","FQ4 2024","FQ4 2024","Currency=USD","Period=FQ","BEST_FPERIOD_OVERRIDE=FQ","FILING_STATUS=MR","Sort=A","Dates=H","DateFormat=P","Fill=—","Direction=H","UseDPDF=Y")</f>
        <v>30.436399999999999</v>
      </c>
    </row>
    <row r="58" spans="1:27" x14ac:dyDescent="0.25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5">
      <c r="A59" s="10" t="s">
        <v>124</v>
      </c>
      <c r="B59" s="10" t="s">
        <v>1341</v>
      </c>
      <c r="C59" s="14" t="str">
        <f>_xll.BDH("NBIX US Equity","GEO_GROW_CASH_OPER_ACT","FQ4 2018","FQ4 2018","Currency=USD","Period=FQ","BEST_FPERIOD_OVERRIDE=FQ","FILING_STATUS=MR","Sort=A","Dates=H","DateFormat=P","Fill=—","Direction=H","UseDPDF=Y")</f>
        <v>—</v>
      </c>
      <c r="D59" s="14" t="str">
        <f>_xll.BDH("NBIX US Equity","GEO_GROW_CASH_OPER_ACT","FQ1 2019","FQ1 2019","Currency=USD","Period=FQ","BEST_FPERIOD_OVERRIDE=FQ","FILING_STATUS=MR","Sort=A","Dates=H","DateFormat=P","Fill=—","Direction=H","UseDPDF=Y")</f>
        <v>—</v>
      </c>
      <c r="E59" s="14" t="str">
        <f>_xll.BDH("NBIX US Equity","GEO_GROW_CASH_OPER_ACT","FQ2 2019","FQ2 2019","Currency=USD","Period=FQ","BEST_FPERIOD_OVERRIDE=FQ","FILING_STATUS=MR","Sort=A","Dates=H","DateFormat=P","Fill=—","Direction=H","UseDPDF=Y")</f>
        <v>—</v>
      </c>
      <c r="F59" s="14" t="str">
        <f>_xll.BDH("NBIX US Equity","GEO_GROW_CASH_OPER_ACT","FQ3 2019","FQ3 2019","Currency=USD","Period=FQ","BEST_FPERIOD_OVERRIDE=FQ","FILING_STATUS=MR","Sort=A","Dates=H","DateFormat=P","Fill=—","Direction=H","UseDPDF=Y")</f>
        <v>—</v>
      </c>
      <c r="G59" s="14" t="str">
        <f>_xll.BDH("NBIX US Equity","GEO_GROW_CASH_OPER_ACT","FQ4 2019","FQ4 2019","Currency=USD","Period=FQ","BEST_FPERIOD_OVERRIDE=FQ","FILING_STATUS=MR","Sort=A","Dates=H","DateFormat=P","Fill=—","Direction=H","UseDPDF=Y")</f>
        <v>—</v>
      </c>
      <c r="H59" s="14" t="str">
        <f>_xll.BDH("NBIX US Equity","GEO_GROW_CASH_OPER_ACT","FQ1 2020","FQ1 2020","Currency=USD","Period=FQ","BEST_FPERIOD_OVERRIDE=FQ","FILING_STATUS=MR","Sort=A","Dates=H","DateFormat=P","Fill=—","Direction=H","UseDPDF=Y")</f>
        <v>—</v>
      </c>
      <c r="I59" s="14" t="str">
        <f>_xll.BDH("NBIX US Equity","GEO_GROW_CASH_OPER_ACT","FQ2 2020","FQ2 2020","Currency=USD","Period=FQ","BEST_FPERIOD_OVERRIDE=FQ","FILING_STATUS=MR","Sort=A","Dates=H","DateFormat=P","Fill=—","Direction=H","UseDPDF=Y")</f>
        <v>—</v>
      </c>
      <c r="J59" s="14" t="str">
        <f>_xll.BDH("NBIX US Equity","GEO_GROW_CASH_OPER_ACT","FQ3 2020","FQ3 2020","Currency=USD","Period=FQ","BEST_FPERIOD_OVERRIDE=FQ","FILING_STATUS=MR","Sort=A","Dates=H","DateFormat=P","Fill=—","Direction=H","UseDPDF=Y")</f>
        <v>—</v>
      </c>
      <c r="K59" s="14" t="str">
        <f>_xll.BDH("NBIX US Equity","GEO_GROW_CASH_OPER_ACT","FQ4 2020","FQ4 2020","Currency=USD","Period=FQ","BEST_FPERIOD_OVERRIDE=FQ","FILING_STATUS=MR","Sort=A","Dates=H","DateFormat=P","Fill=—","Direction=H","UseDPDF=Y")</f>
        <v>—</v>
      </c>
      <c r="L59" s="14" t="str">
        <f>_xll.BDH("NBIX US Equity","GEO_GROW_CASH_OPER_ACT","FQ1 2021","FQ1 2021","Currency=USD","Period=FQ","BEST_FPERIOD_OVERRIDE=FQ","FILING_STATUS=MR","Sort=A","Dates=H","DateFormat=P","Fill=—","Direction=H","UseDPDF=Y")</f>
        <v>—</v>
      </c>
      <c r="M59" s="14" t="str">
        <f>_xll.BDH("NBIX US Equity","GEO_GROW_CASH_OPER_ACT","FQ2 2021","FQ2 2021","Currency=USD","Period=FQ","BEST_FPERIOD_OVERRIDE=FQ","FILING_STATUS=MR","Sort=A","Dates=H","DateFormat=P","Fill=—","Direction=H","UseDPDF=Y")</f>
        <v>—</v>
      </c>
      <c r="N59" s="14" t="str">
        <f>_xll.BDH("NBIX US Equity","GEO_GROW_CASH_OPER_ACT","FQ3 2021","FQ3 2021","Currency=USD","Period=FQ","BEST_FPERIOD_OVERRIDE=FQ","FILING_STATUS=MR","Sort=A","Dates=H","DateFormat=P","Fill=—","Direction=H","UseDPDF=Y")</f>
        <v>—</v>
      </c>
      <c r="O59" s="14" t="str">
        <f>_xll.BDH("NBIX US Equity","GEO_GROW_CASH_OPER_ACT","FQ4 2021","FQ4 2021","Currency=USD","Period=FQ","BEST_FPERIOD_OVERRIDE=FQ","FILING_STATUS=MR","Sort=A","Dates=H","DateFormat=P","Fill=—","Direction=H","UseDPDF=Y")</f>
        <v>—</v>
      </c>
      <c r="P59" s="14" t="str">
        <f>_xll.BDH("NBIX US Equity","GEO_GROW_CASH_OPER_ACT","FQ1 2022","FQ1 2022","Currency=USD","Period=FQ","BEST_FPERIOD_OVERRIDE=FQ","FILING_STATUS=MR","Sort=A","Dates=H","DateFormat=P","Fill=—","Direction=H","UseDPDF=Y")</f>
        <v>—</v>
      </c>
      <c r="Q59" s="14" t="str">
        <f>_xll.BDH("NBIX US Equity","GEO_GROW_CASH_OPER_ACT","FQ2 2022","FQ2 2022","Currency=USD","Period=FQ","BEST_FPERIOD_OVERRIDE=FQ","FILING_STATUS=MR","Sort=A","Dates=H","DateFormat=P","Fill=—","Direction=H","UseDPDF=Y")</f>
        <v>—</v>
      </c>
      <c r="R59" s="14" t="str">
        <f>_xll.BDH("NBIX US Equity","GEO_GROW_CASH_OPER_ACT","FQ3 2022","FQ3 2022","Currency=USD","Period=FQ","BEST_FPERIOD_OVERRIDE=FQ","FILING_STATUS=MR","Sort=A","Dates=H","DateFormat=P","Fill=—","Direction=H","UseDPDF=Y")</f>
        <v>—</v>
      </c>
      <c r="S59" s="14">
        <f>_xll.BDH("NBIX US Equity","GEO_GROW_CASH_OPER_ACT","FQ4 2022","FQ4 2022","Currency=USD","Period=FQ","BEST_FPERIOD_OVERRIDE=FQ","FILING_STATUS=MR","Sort=A","Dates=H","DateFormat=P","Fill=—","Direction=H","UseDPDF=Y")</f>
        <v>28.651700000000002</v>
      </c>
      <c r="T59" s="14" t="str">
        <f>_xll.BDH("NBIX US Equity","GEO_GROW_CASH_OPER_ACT","FQ1 2023","FQ1 2023","Currency=USD","Period=FQ","BEST_FPERIOD_OVERRIDE=FQ","FILING_STATUS=MR","Sort=A","Dates=H","DateFormat=P","Fill=—","Direction=H","UseDPDF=Y")</f>
        <v>—</v>
      </c>
      <c r="U59" s="14">
        <f>_xll.BDH("NBIX US Equity","GEO_GROW_CASH_OPER_ACT","FQ2 2023","FQ2 2023","Currency=USD","Period=FQ","BEST_FPERIOD_OVERRIDE=FQ","FILING_STATUS=MR","Sort=A","Dates=H","DateFormat=P","Fill=—","Direction=H","UseDPDF=Y")</f>
        <v>54.383000000000003</v>
      </c>
      <c r="V59" s="14">
        <f>_xll.BDH("NBIX US Equity","GEO_GROW_CASH_OPER_ACT","FQ3 2023","FQ3 2023","Currency=USD","Period=FQ","BEST_FPERIOD_OVERRIDE=FQ","FILING_STATUS=MR","Sort=A","Dates=H","DateFormat=P","Fill=—","Direction=H","UseDPDF=Y")</f>
        <v>25.199300000000001</v>
      </c>
      <c r="W59" s="14">
        <f>_xll.BDH("NBIX US Equity","GEO_GROW_CASH_OPER_ACT","FQ4 2023","FQ4 2023","Currency=USD","Period=FQ","BEST_FPERIOD_OVERRIDE=FQ","FILING_STATUS=MR","Sort=A","Dates=H","DateFormat=P","Fill=—","Direction=H","UseDPDF=Y")</f>
        <v>19.606400000000001</v>
      </c>
      <c r="X59" s="14" t="str">
        <f>_xll.BDH("NBIX US Equity","GEO_GROW_CASH_OPER_ACT","FQ1 2024","FQ1 2024","Currency=USD","Period=FQ","BEST_FPERIOD_OVERRIDE=FQ","FILING_STATUS=MR","Sort=A","Dates=H","DateFormat=P","Fill=—","Direction=H","UseDPDF=Y")</f>
        <v>—</v>
      </c>
      <c r="Y59" s="14">
        <f>_xll.BDH("NBIX US Equity","GEO_GROW_CASH_OPER_ACT","FQ2 2024","FQ2 2024","Currency=USD","Period=FQ","BEST_FPERIOD_OVERRIDE=FQ","FILING_STATUS=MR","Sort=A","Dates=H","DateFormat=P","Fill=—","Direction=H","UseDPDF=Y")</f>
        <v>0.13489999999999999</v>
      </c>
      <c r="Z59" s="14">
        <f>_xll.BDH("NBIX US Equity","GEO_GROW_CASH_OPER_ACT","FQ3 2024","FQ3 2024","Currency=USD","Period=FQ","BEST_FPERIOD_OVERRIDE=FQ","FILING_STATUS=MR","Sort=A","Dates=H","DateFormat=P","Fill=—","Direction=H","UseDPDF=Y")</f>
        <v>10.062799999999999</v>
      </c>
      <c r="AA59" s="14">
        <f>_xll.BDH("NBIX US Equity","GEO_GROW_CASH_OPER_ACT","FQ4 2024","FQ4 2024","Currency=USD","Period=FQ","BEST_FPERIOD_OVERRIDE=FQ","FILING_STATUS=MR","Sort=A","Dates=H","DateFormat=P","Fill=—","Direction=H","UseDPDF=Y")</f>
        <v>19.9892</v>
      </c>
    </row>
    <row r="60" spans="1:27" x14ac:dyDescent="0.25">
      <c r="A60" s="10" t="s">
        <v>1241</v>
      </c>
      <c r="B60" s="10" t="s">
        <v>1342</v>
      </c>
      <c r="C60" s="14" t="str">
        <f>_xll.BDH("NBIX US Equity","NET_CHANGE_IN_CASH_5_YEAR_GROWTH","FQ4 2018","FQ4 2018","Currency=USD","Period=FQ","BEST_FPERIOD_OVERRIDE=FQ","FILING_STATUS=MR","Sort=A","Dates=H","DateFormat=P","Fill=—","Direction=H","UseDPDF=Y")</f>
        <v>—</v>
      </c>
      <c r="D60" s="14" t="str">
        <f>_xll.BDH("NBIX US Equity","NET_CHANGE_IN_CASH_5_YEAR_GROWTH","FQ1 2019","FQ1 2019","Currency=USD","Period=FQ","BEST_FPERIOD_OVERRIDE=FQ","FILING_STATUS=MR","Sort=A","Dates=H","DateFormat=P","Fill=—","Direction=H","UseDPDF=Y")</f>
        <v>—</v>
      </c>
      <c r="E60" s="14" t="str">
        <f>_xll.BDH("NBIX US Equity","NET_CHANGE_IN_CASH_5_YEAR_GROWTH","FQ2 2019","FQ2 2019","Currency=USD","Period=FQ","BEST_FPERIOD_OVERRIDE=FQ","FILING_STATUS=MR","Sort=A","Dates=H","DateFormat=P","Fill=—","Direction=H","UseDPDF=Y")</f>
        <v>—</v>
      </c>
      <c r="F60" s="14" t="str">
        <f>_xll.BDH("NBIX US Equity","NET_CHANGE_IN_CASH_5_YEAR_GROWTH","FQ3 2019","FQ3 2019","Currency=USD","Period=FQ","BEST_FPERIOD_OVERRIDE=FQ","FILING_STATUS=MR","Sort=A","Dates=H","DateFormat=P","Fill=—","Direction=H","UseDPDF=Y")</f>
        <v>—</v>
      </c>
      <c r="G60" s="14" t="str">
        <f>_xll.BDH("NBIX US Equity","NET_CHANGE_IN_CASH_5_YEAR_GROWTH","FQ4 2019","FQ4 2019","Currency=USD","Period=FQ","BEST_FPERIOD_OVERRIDE=FQ","FILING_STATUS=MR","Sort=A","Dates=H","DateFormat=P","Fill=—","Direction=H","UseDPDF=Y")</f>
        <v>—</v>
      </c>
      <c r="H60" s="14" t="str">
        <f>_xll.BDH("NBIX US Equity","NET_CHANGE_IN_CASH_5_YEAR_GROWTH","FQ1 2020","FQ1 2020","Currency=USD","Period=FQ","BEST_FPERIOD_OVERRIDE=FQ","FILING_STATUS=MR","Sort=A","Dates=H","DateFormat=P","Fill=—","Direction=H","UseDPDF=Y")</f>
        <v>—</v>
      </c>
      <c r="I60" s="14" t="str">
        <f>_xll.BDH("NBIX US Equity","NET_CHANGE_IN_CASH_5_YEAR_GROWTH","FQ2 2020","FQ2 2020","Currency=USD","Period=FQ","BEST_FPERIOD_OVERRIDE=FQ","FILING_STATUS=MR","Sort=A","Dates=H","DateFormat=P","Fill=—","Direction=H","UseDPDF=Y")</f>
        <v>—</v>
      </c>
      <c r="J60" s="14" t="str">
        <f>_xll.BDH("NBIX US Equity","NET_CHANGE_IN_CASH_5_YEAR_GROWTH","FQ3 2020","FQ3 2020","Currency=USD","Period=FQ","BEST_FPERIOD_OVERRIDE=FQ","FILING_STATUS=MR","Sort=A","Dates=H","DateFormat=P","Fill=—","Direction=H","UseDPDF=Y")</f>
        <v>—</v>
      </c>
      <c r="K60" s="14" t="str">
        <f>_xll.BDH("NBIX US Equity","NET_CHANGE_IN_CASH_5_YEAR_GROWTH","FQ4 2020","FQ4 2020","Currency=USD","Period=FQ","BEST_FPERIOD_OVERRIDE=FQ","FILING_STATUS=MR","Sort=A","Dates=H","DateFormat=P","Fill=—","Direction=H","UseDPDF=Y")</f>
        <v>—</v>
      </c>
      <c r="L60" s="14" t="str">
        <f>_xll.BDH("NBIX US Equity","NET_CHANGE_IN_CASH_5_YEAR_GROWTH","FQ1 2021","FQ1 2021","Currency=USD","Period=FQ","BEST_FPERIOD_OVERRIDE=FQ","FILING_STATUS=MR","Sort=A","Dates=H","DateFormat=P","Fill=—","Direction=H","UseDPDF=Y")</f>
        <v>—</v>
      </c>
      <c r="M60" s="14" t="str">
        <f>_xll.BDH("NBIX US Equity","NET_CHANGE_IN_CASH_5_YEAR_GROWTH","FQ2 2021","FQ2 2021","Currency=USD","Period=FQ","BEST_FPERIOD_OVERRIDE=FQ","FILING_STATUS=MR","Sort=A","Dates=H","DateFormat=P","Fill=—","Direction=H","UseDPDF=Y")</f>
        <v>—</v>
      </c>
      <c r="N60" s="14" t="str">
        <f>_xll.BDH("NBIX US Equity","NET_CHANGE_IN_CASH_5_YEAR_GROWTH","FQ3 2021","FQ3 2021","Currency=USD","Period=FQ","BEST_FPERIOD_OVERRIDE=FQ","FILING_STATUS=MR","Sort=A","Dates=H","DateFormat=P","Fill=—","Direction=H","UseDPDF=Y")</f>
        <v>—</v>
      </c>
      <c r="O60" s="14" t="str">
        <f>_xll.BDH("NBIX US Equity","NET_CHANGE_IN_CASH_5_YEAR_GROWTH","FQ4 2021","FQ4 2021","Currency=USD","Period=FQ","BEST_FPERIOD_OVERRIDE=FQ","FILING_STATUS=MR","Sort=A","Dates=H","DateFormat=P","Fill=—","Direction=H","UseDPDF=Y")</f>
        <v>—</v>
      </c>
      <c r="P60" s="14" t="str">
        <f>_xll.BDH("NBIX US Equity","NET_CHANGE_IN_CASH_5_YEAR_GROWTH","FQ1 2022","FQ1 2022","Currency=USD","Period=FQ","BEST_FPERIOD_OVERRIDE=FQ","FILING_STATUS=MR","Sort=A","Dates=H","DateFormat=P","Fill=—","Direction=H","UseDPDF=Y")</f>
        <v>—</v>
      </c>
      <c r="Q60" s="14" t="str">
        <f>_xll.BDH("NBIX US Equity","NET_CHANGE_IN_CASH_5_YEAR_GROWTH","FQ2 2022","FQ2 2022","Currency=USD","Period=FQ","BEST_FPERIOD_OVERRIDE=FQ","FILING_STATUS=MR","Sort=A","Dates=H","DateFormat=P","Fill=—","Direction=H","UseDPDF=Y")</f>
        <v>—</v>
      </c>
      <c r="R60" s="14" t="str">
        <f>_xll.BDH("NBIX US Equity","NET_CHANGE_IN_CASH_5_YEAR_GROWTH","FQ3 2022","FQ3 2022","Currency=USD","Period=FQ","BEST_FPERIOD_OVERRIDE=FQ","FILING_STATUS=MR","Sort=A","Dates=H","DateFormat=P","Fill=—","Direction=H","UseDPDF=Y")</f>
        <v>—</v>
      </c>
      <c r="S60" s="14" t="str">
        <f>_xll.BDH("NBIX US Equity","NET_CHANGE_IN_CASH_5_YEAR_GROWTH","FQ4 2022","FQ4 2022","Currency=USD","Period=FQ","BEST_FPERIOD_OVERRIDE=FQ","FILING_STATUS=MR","Sort=A","Dates=H","DateFormat=P","Fill=—","Direction=H","UseDPDF=Y")</f>
        <v>—</v>
      </c>
      <c r="T60" s="14" t="str">
        <f>_xll.BDH("NBIX US Equity","NET_CHANGE_IN_CASH_5_YEAR_GROWTH","FQ1 2023","FQ1 2023","Currency=USD","Period=FQ","BEST_FPERIOD_OVERRIDE=FQ","FILING_STATUS=MR","Sort=A","Dates=H","DateFormat=P","Fill=—","Direction=H","UseDPDF=Y")</f>
        <v>—</v>
      </c>
      <c r="U60" s="14" t="str">
        <f>_xll.BDH("NBIX US Equity","NET_CHANGE_IN_CASH_5_YEAR_GROWTH","FQ2 2023","FQ2 2023","Currency=USD","Period=FQ","BEST_FPERIOD_OVERRIDE=FQ","FILING_STATUS=MR","Sort=A","Dates=H","DateFormat=P","Fill=—","Direction=H","UseDPDF=Y")</f>
        <v>—</v>
      </c>
      <c r="V60" s="14">
        <f>_xll.BDH("NBIX US Equity","NET_CHANGE_IN_CASH_5_YEAR_GROWTH","FQ3 2023","FQ3 2023","Currency=USD","Period=FQ","BEST_FPERIOD_OVERRIDE=FQ","FILING_STATUS=MR","Sort=A","Dates=H","DateFormat=P","Fill=—","Direction=H","UseDPDF=Y")</f>
        <v>35.421399999999998</v>
      </c>
      <c r="W60" s="14" t="str">
        <f>_xll.BDH("NBIX US Equity","NET_CHANGE_IN_CASH_5_YEAR_GROWTH","FQ4 2023","FQ4 2023","Currency=USD","Period=FQ","BEST_FPERIOD_OVERRIDE=FQ","FILING_STATUS=MR","Sort=A","Dates=H","DateFormat=P","Fill=—","Direction=H","UseDPDF=Y")</f>
        <v>—</v>
      </c>
      <c r="X60" s="14" t="str">
        <f>_xll.BDH("NBIX US Equity","NET_CHANGE_IN_CASH_5_YEAR_GROWTH","FQ1 2024","FQ1 2024","Currency=USD","Period=FQ","BEST_FPERIOD_OVERRIDE=FQ","FILING_STATUS=MR","Sort=A","Dates=H","DateFormat=P","Fill=—","Direction=H","UseDPDF=Y")</f>
        <v>—</v>
      </c>
      <c r="Y60" s="14" t="str">
        <f>_xll.BDH("NBIX US Equity","NET_CHANGE_IN_CASH_5_YEAR_GROWTH","FQ2 2024","FQ2 2024","Currency=USD","Period=FQ","BEST_FPERIOD_OVERRIDE=FQ","FILING_STATUS=MR","Sort=A","Dates=H","DateFormat=P","Fill=—","Direction=H","UseDPDF=Y")</f>
        <v>—</v>
      </c>
      <c r="Z60" s="14">
        <f>_xll.BDH("NBIX US Equity","NET_CHANGE_IN_CASH_5_YEAR_GROWTH","FQ3 2024","FQ3 2024","Currency=USD","Period=FQ","BEST_FPERIOD_OVERRIDE=FQ","FILING_STATUS=MR","Sort=A","Dates=H","DateFormat=P","Fill=—","Direction=H","UseDPDF=Y")</f>
        <v>52.552799999999998</v>
      </c>
      <c r="AA60" s="14" t="str">
        <f>_xll.BDH("NBIX US Equity","NET_CHANGE_IN_CASH_5_YEAR_GROWTH","FQ4 2024","FQ4 2024","Currency=USD","Period=FQ","BEST_FPERIOD_OVERRIDE=FQ","FILING_STATUS=MR","Sort=A","Dates=H","DateFormat=P","Fill=—","Direction=H","UseDPDF=Y")</f>
        <v>—</v>
      </c>
    </row>
    <row r="61" spans="1:27" x14ac:dyDescent="0.25">
      <c r="A61" s="10" t="s">
        <v>88</v>
      </c>
      <c r="B61" s="10" t="s">
        <v>1343</v>
      </c>
      <c r="C61" s="14" t="str">
        <f>_xll.BDH("NBIX US Equity","FREE_CASH_FLOW_5_YEAR_GROWTH","FQ4 2018","FQ4 2018","Currency=USD","Period=FQ","BEST_FPERIOD_OVERRIDE=FQ","FILING_STATUS=MR","Sort=A","Dates=H","DateFormat=P","Fill=—","Direction=H","UseDPDF=Y")</f>
        <v>—</v>
      </c>
      <c r="D61" s="14" t="str">
        <f>_xll.BDH("NBIX US Equity","FREE_CASH_FLOW_5_YEAR_GROWTH","FQ1 2019","FQ1 2019","Currency=USD","Period=FQ","BEST_FPERIOD_OVERRIDE=FQ","FILING_STATUS=MR","Sort=A","Dates=H","DateFormat=P","Fill=—","Direction=H","UseDPDF=Y")</f>
        <v>—</v>
      </c>
      <c r="E61" s="14" t="str">
        <f>_xll.BDH("NBIX US Equity","FREE_CASH_FLOW_5_YEAR_GROWTH","FQ2 2019","FQ2 2019","Currency=USD","Period=FQ","BEST_FPERIOD_OVERRIDE=FQ","FILING_STATUS=MR","Sort=A","Dates=H","DateFormat=P","Fill=—","Direction=H","UseDPDF=Y")</f>
        <v>—</v>
      </c>
      <c r="F61" s="14" t="str">
        <f>_xll.BDH("NBIX US Equity","FREE_CASH_FLOW_5_YEAR_GROWTH","FQ3 2019","FQ3 2019","Currency=USD","Period=FQ","BEST_FPERIOD_OVERRIDE=FQ","FILING_STATUS=MR","Sort=A","Dates=H","DateFormat=P","Fill=—","Direction=H","UseDPDF=Y")</f>
        <v>—</v>
      </c>
      <c r="G61" s="14" t="str">
        <f>_xll.BDH("NBIX US Equity","FREE_CASH_FLOW_5_YEAR_GROWTH","FQ4 2019","FQ4 2019","Currency=USD","Period=FQ","BEST_FPERIOD_OVERRIDE=FQ","FILING_STATUS=MR","Sort=A","Dates=H","DateFormat=P","Fill=—","Direction=H","UseDPDF=Y")</f>
        <v>—</v>
      </c>
      <c r="H61" s="14" t="str">
        <f>_xll.BDH("NBIX US Equity","FREE_CASH_FLOW_5_YEAR_GROWTH","FQ1 2020","FQ1 2020","Currency=USD","Period=FQ","BEST_FPERIOD_OVERRIDE=FQ","FILING_STATUS=MR","Sort=A","Dates=H","DateFormat=P","Fill=—","Direction=H","UseDPDF=Y")</f>
        <v>—</v>
      </c>
      <c r="I61" s="14" t="str">
        <f>_xll.BDH("NBIX US Equity","FREE_CASH_FLOW_5_YEAR_GROWTH","FQ2 2020","FQ2 2020","Currency=USD","Period=FQ","BEST_FPERIOD_OVERRIDE=FQ","FILING_STATUS=MR","Sort=A","Dates=H","DateFormat=P","Fill=—","Direction=H","UseDPDF=Y")</f>
        <v>—</v>
      </c>
      <c r="J61" s="14" t="str">
        <f>_xll.BDH("NBIX US Equity","FREE_CASH_FLOW_5_YEAR_GROWTH","FQ3 2020","FQ3 2020","Currency=USD","Period=FQ","BEST_FPERIOD_OVERRIDE=FQ","FILING_STATUS=MR","Sort=A","Dates=H","DateFormat=P","Fill=—","Direction=H","UseDPDF=Y")</f>
        <v>—</v>
      </c>
      <c r="K61" s="14" t="str">
        <f>_xll.BDH("NBIX US Equity","FREE_CASH_FLOW_5_YEAR_GROWTH","FQ4 2020","FQ4 2020","Currency=USD","Period=FQ","BEST_FPERIOD_OVERRIDE=FQ","FILING_STATUS=MR","Sort=A","Dates=H","DateFormat=P","Fill=—","Direction=H","UseDPDF=Y")</f>
        <v>—</v>
      </c>
      <c r="L61" s="14" t="str">
        <f>_xll.BDH("NBIX US Equity","FREE_CASH_FLOW_5_YEAR_GROWTH","FQ1 2021","FQ1 2021","Currency=USD","Period=FQ","BEST_FPERIOD_OVERRIDE=FQ","FILING_STATUS=MR","Sort=A","Dates=H","DateFormat=P","Fill=—","Direction=H","UseDPDF=Y")</f>
        <v>—</v>
      </c>
      <c r="M61" s="14" t="str">
        <f>_xll.BDH("NBIX US Equity","FREE_CASH_FLOW_5_YEAR_GROWTH","FQ2 2021","FQ2 2021","Currency=USD","Period=FQ","BEST_FPERIOD_OVERRIDE=FQ","FILING_STATUS=MR","Sort=A","Dates=H","DateFormat=P","Fill=—","Direction=H","UseDPDF=Y")</f>
        <v>—</v>
      </c>
      <c r="N61" s="14" t="str">
        <f>_xll.BDH("NBIX US Equity","FREE_CASH_FLOW_5_YEAR_GROWTH","FQ3 2021","FQ3 2021","Currency=USD","Period=FQ","BEST_FPERIOD_OVERRIDE=FQ","FILING_STATUS=MR","Sort=A","Dates=H","DateFormat=P","Fill=—","Direction=H","UseDPDF=Y")</f>
        <v>—</v>
      </c>
      <c r="O61" s="14" t="str">
        <f>_xll.BDH("NBIX US Equity","FREE_CASH_FLOW_5_YEAR_GROWTH","FQ4 2021","FQ4 2021","Currency=USD","Period=FQ","BEST_FPERIOD_OVERRIDE=FQ","FILING_STATUS=MR","Sort=A","Dates=H","DateFormat=P","Fill=—","Direction=H","UseDPDF=Y")</f>
        <v>—</v>
      </c>
      <c r="P61" s="14" t="str">
        <f>_xll.BDH("NBIX US Equity","FREE_CASH_FLOW_5_YEAR_GROWTH","FQ1 2022","FQ1 2022","Currency=USD","Period=FQ","BEST_FPERIOD_OVERRIDE=FQ","FILING_STATUS=MR","Sort=A","Dates=H","DateFormat=P","Fill=—","Direction=H","UseDPDF=Y")</f>
        <v>—</v>
      </c>
      <c r="Q61" s="14" t="str">
        <f>_xll.BDH("NBIX US Equity","FREE_CASH_FLOW_5_YEAR_GROWTH","FQ2 2022","FQ2 2022","Currency=USD","Period=FQ","BEST_FPERIOD_OVERRIDE=FQ","FILING_STATUS=MR","Sort=A","Dates=H","DateFormat=P","Fill=—","Direction=H","UseDPDF=Y")</f>
        <v>—</v>
      </c>
      <c r="R61" s="14" t="str">
        <f>_xll.BDH("NBIX US Equity","FREE_CASH_FLOW_5_YEAR_GROWTH","FQ3 2022","FQ3 2022","Currency=USD","Period=FQ","BEST_FPERIOD_OVERRIDE=FQ","FILING_STATUS=MR","Sort=A","Dates=H","DateFormat=P","Fill=—","Direction=H","UseDPDF=Y")</f>
        <v>—</v>
      </c>
      <c r="S61" s="14">
        <f>_xll.BDH("NBIX US Equity","FREE_CASH_FLOW_5_YEAR_GROWTH","FQ4 2022","FQ4 2022","Currency=USD","Period=FQ","BEST_FPERIOD_OVERRIDE=FQ","FILING_STATUS=MR","Sort=A","Dates=H","DateFormat=P","Fill=—","Direction=H","UseDPDF=Y")</f>
        <v>29.884899999999998</v>
      </c>
      <c r="T61" s="14" t="str">
        <f>_xll.BDH("NBIX US Equity","FREE_CASH_FLOW_5_YEAR_GROWTH","FQ1 2023","FQ1 2023","Currency=USD","Period=FQ","BEST_FPERIOD_OVERRIDE=FQ","FILING_STATUS=MR","Sort=A","Dates=H","DateFormat=P","Fill=—","Direction=H","UseDPDF=Y")</f>
        <v>—</v>
      </c>
      <c r="U61" s="14">
        <f>_xll.BDH("NBIX US Equity","FREE_CASH_FLOW_5_YEAR_GROWTH","FQ2 2023","FQ2 2023","Currency=USD","Period=FQ","BEST_FPERIOD_OVERRIDE=FQ","FILING_STATUS=MR","Sort=A","Dates=H","DateFormat=P","Fill=—","Direction=H","UseDPDF=Y")</f>
        <v>61.279699999999998</v>
      </c>
      <c r="V61" s="14" t="str">
        <f>_xll.BDH("NBIX US Equity","FREE_CASH_FLOW_5_YEAR_GROWTH","FQ3 2023","FQ3 2023","Currency=USD","Period=FQ","BEST_FPERIOD_OVERRIDE=FQ","FILING_STATUS=MR","Sort=A","Dates=H","DateFormat=P","Fill=—","Direction=H","UseDPDF=Y")</f>
        <v>—</v>
      </c>
      <c r="W61" s="14">
        <f>_xll.BDH("NBIX US Equity","FREE_CASH_FLOW_5_YEAR_GROWTH","FQ4 2023","FQ4 2023","Currency=USD","Period=FQ","BEST_FPERIOD_OVERRIDE=FQ","FILING_STATUS=MR","Sort=A","Dates=H","DateFormat=P","Fill=—","Direction=H","UseDPDF=Y")</f>
        <v>21.5871</v>
      </c>
      <c r="X61" s="14" t="str">
        <f>_xll.BDH("NBIX US Equity","FREE_CASH_FLOW_5_YEAR_GROWTH","FQ1 2024","FQ1 2024","Currency=USD","Period=FQ","BEST_FPERIOD_OVERRIDE=FQ","FILING_STATUS=MR","Sort=A","Dates=H","DateFormat=P","Fill=—","Direction=H","UseDPDF=Y")</f>
        <v>—</v>
      </c>
      <c r="Y61" s="14">
        <f>_xll.BDH("NBIX US Equity","FREE_CASH_FLOW_5_YEAR_GROWTH","FQ2 2024","FQ2 2024","Currency=USD","Period=FQ","BEST_FPERIOD_OVERRIDE=FQ","FILING_STATUS=MR","Sort=A","Dates=H","DateFormat=P","Fill=—","Direction=H","UseDPDF=Y")</f>
        <v>-2.3569</v>
      </c>
      <c r="Z61" s="14" t="str">
        <f>_xll.BDH("NBIX US Equity","FREE_CASH_FLOW_5_YEAR_GROWTH","FQ3 2024","FQ3 2024","Currency=USD","Period=FQ","BEST_FPERIOD_OVERRIDE=FQ","FILING_STATUS=MR","Sort=A","Dates=H","DateFormat=P","Fill=—","Direction=H","UseDPDF=Y")</f>
        <v>—</v>
      </c>
      <c r="AA61" s="14">
        <f>_xll.BDH("NBIX US Equity","FREE_CASH_FLOW_5_YEAR_GROWTH","FQ4 2024","FQ4 2024","Currency=USD","Period=FQ","BEST_FPERIOD_OVERRIDE=FQ","FILING_STATUS=MR","Sort=A","Dates=H","DateFormat=P","Fill=—","Direction=H","UseDPDF=Y")</f>
        <v>19.947900000000001</v>
      </c>
    </row>
    <row r="62" spans="1:27" x14ac:dyDescent="0.25">
      <c r="A62" s="10" t="s">
        <v>1316</v>
      </c>
      <c r="B62" s="10" t="s">
        <v>1344</v>
      </c>
      <c r="C62" s="14" t="str">
        <f>_xll.BDH("NBIX US Equity","CASH_FLOW_TO_FIRM_5_YEAR_GROWTH","FQ4 2018","FQ4 2018","Currency=USD","Period=FQ","BEST_FPERIOD_OVERRIDE=FQ","FILING_STATUS=MR","FA_ADJUSTED=GAAP","Sort=A","Dates=H","DateFormat=P","Fill=—","Direction=H","UseDPDF=Y")</f>
        <v>—</v>
      </c>
      <c r="D62" s="14" t="str">
        <f>_xll.BDH("NBIX US Equity","CASH_FLOW_TO_FIRM_5_YEAR_GROWTH","FQ1 2019","FQ1 2019","Currency=USD","Period=FQ","BEST_FPERIOD_OVERRIDE=FQ","FILING_STATUS=MR","FA_ADJUSTED=GAAP","Sort=A","Dates=H","DateFormat=P","Fill=—","Direction=H","UseDPDF=Y")</f>
        <v>—</v>
      </c>
      <c r="E62" s="14" t="str">
        <f>_xll.BDH("NBIX US Equity","CASH_FLOW_TO_FIRM_5_YEAR_GROWTH","FQ2 2019","FQ2 2019","Currency=USD","Period=FQ","BEST_FPERIOD_OVERRIDE=FQ","FILING_STATUS=MR","FA_ADJUSTED=GAAP","Sort=A","Dates=H","DateFormat=P","Fill=—","Direction=H","UseDPDF=Y")</f>
        <v>—</v>
      </c>
      <c r="F62" s="14" t="str">
        <f>_xll.BDH("NBIX US Equity","CASH_FLOW_TO_FIRM_5_YEAR_GROWTH","FQ3 2019","FQ3 2019","Currency=USD","Period=FQ","BEST_FPERIOD_OVERRIDE=FQ","FILING_STATUS=MR","FA_ADJUSTED=GAAP","Sort=A","Dates=H","DateFormat=P","Fill=—","Direction=H","UseDPDF=Y")</f>
        <v>—</v>
      </c>
      <c r="G62" s="14" t="str">
        <f>_xll.BDH("NBIX US Equity","CASH_FLOW_TO_FIRM_5_YEAR_GROWTH","FQ4 2019","FQ4 2019","Currency=USD","Period=FQ","BEST_FPERIOD_OVERRIDE=FQ","FILING_STATUS=MR","FA_ADJUSTED=GAAP","Sort=A","Dates=H","DateFormat=P","Fill=—","Direction=H","UseDPDF=Y")</f>
        <v>—</v>
      </c>
      <c r="H62" s="14" t="str">
        <f>_xll.BDH("NBIX US Equity","CASH_FLOW_TO_FIRM_5_YEAR_GROWTH","FQ1 2020","FQ1 2020","Currency=USD","Period=FQ","BEST_FPERIOD_OVERRIDE=FQ","FILING_STATUS=MR","FA_ADJUSTED=GAAP","Sort=A","Dates=H","DateFormat=P","Fill=—","Direction=H","UseDPDF=Y")</f>
        <v>—</v>
      </c>
      <c r="I62" s="14" t="str">
        <f>_xll.BDH("NBIX US Equity","CASH_FLOW_TO_FIRM_5_YEAR_GROWTH","FQ2 2020","FQ2 2020","Currency=USD","Period=FQ","BEST_FPERIOD_OVERRIDE=FQ","FILING_STATUS=MR","FA_ADJUSTED=GAAP","Sort=A","Dates=H","DateFormat=P","Fill=—","Direction=H","UseDPDF=Y")</f>
        <v>—</v>
      </c>
      <c r="J62" s="14" t="str">
        <f>_xll.BDH("NBIX US Equity","CASH_FLOW_TO_FIRM_5_YEAR_GROWTH","FQ3 2020","FQ3 2020","Currency=USD","Period=FQ","BEST_FPERIOD_OVERRIDE=FQ","FILING_STATUS=MR","FA_ADJUSTED=GAAP","Sort=A","Dates=H","DateFormat=P","Fill=—","Direction=H","UseDPDF=Y")</f>
        <v>—</v>
      </c>
      <c r="K62" s="14" t="str">
        <f>_xll.BDH("NBIX US Equity","CASH_FLOW_TO_FIRM_5_YEAR_GROWTH","FQ4 2020","FQ4 2020","Currency=USD","Period=FQ","BEST_FPERIOD_OVERRIDE=FQ","FILING_STATUS=MR","FA_ADJUSTED=GAAP","Sort=A","Dates=H","DateFormat=P","Fill=—","Direction=H","UseDPDF=Y")</f>
        <v>—</v>
      </c>
      <c r="L62" s="14" t="str">
        <f>_xll.BDH("NBIX US Equity","CASH_FLOW_TO_FIRM_5_YEAR_GROWTH","FQ1 2021","FQ1 2021","Currency=USD","Period=FQ","BEST_FPERIOD_OVERRIDE=FQ","FILING_STATUS=MR","FA_ADJUSTED=GAAP","Sort=A","Dates=H","DateFormat=P","Fill=—","Direction=H","UseDPDF=Y")</f>
        <v>—</v>
      </c>
      <c r="M62" s="14" t="str">
        <f>_xll.BDH("NBIX US Equity","CASH_FLOW_TO_FIRM_5_YEAR_GROWTH","FQ2 2021","FQ2 2021","Currency=USD","Period=FQ","BEST_FPERIOD_OVERRIDE=FQ","FILING_STATUS=MR","FA_ADJUSTED=GAAP","Sort=A","Dates=H","DateFormat=P","Fill=—","Direction=H","UseDPDF=Y")</f>
        <v>—</v>
      </c>
      <c r="N62" s="14" t="str">
        <f>_xll.BDH("NBIX US Equity","CASH_FLOW_TO_FIRM_5_YEAR_GROWTH","FQ3 2021","FQ3 2021","Currency=USD","Period=FQ","BEST_FPERIOD_OVERRIDE=FQ","FILING_STATUS=MR","FA_ADJUSTED=GAAP","Sort=A","Dates=H","DateFormat=P","Fill=—","Direction=H","UseDPDF=Y")</f>
        <v>—</v>
      </c>
      <c r="O62" s="14" t="str">
        <f>_xll.BDH("NBIX US Equity","CASH_FLOW_TO_FIRM_5_YEAR_GROWTH","FQ4 2021","FQ4 2021","Currency=USD","Period=FQ","BEST_FPERIOD_OVERRIDE=FQ","FILING_STATUS=MR","FA_ADJUSTED=GAAP","Sort=A","Dates=H","DateFormat=P","Fill=—","Direction=H","UseDPDF=Y")</f>
        <v>—</v>
      </c>
      <c r="P62" s="14" t="str">
        <f>_xll.BDH("NBIX US Equity","CASH_FLOW_TO_FIRM_5_YEAR_GROWTH","FQ1 2022","FQ1 2022","Currency=USD","Period=FQ","BEST_FPERIOD_OVERRIDE=FQ","FILING_STATUS=MR","FA_ADJUSTED=GAAP","Sort=A","Dates=H","DateFormat=P","Fill=—","Direction=H","UseDPDF=Y")</f>
        <v>—</v>
      </c>
      <c r="Q62" s="14" t="str">
        <f>_xll.BDH("NBIX US Equity","CASH_FLOW_TO_FIRM_5_YEAR_GROWTH","FQ2 2022","FQ2 2022","Currency=USD","Period=FQ","BEST_FPERIOD_OVERRIDE=FQ","FILING_STATUS=MR","FA_ADJUSTED=GAAP","Sort=A","Dates=H","DateFormat=P","Fill=—","Direction=H","UseDPDF=Y")</f>
        <v>—</v>
      </c>
      <c r="R62" s="14" t="str">
        <f>_xll.BDH("NBIX US Equity","CASH_FLOW_TO_FIRM_5_YEAR_GROWTH","FQ3 2022","FQ3 2022","Currency=USD","Period=FQ","BEST_FPERIOD_OVERRIDE=FQ","FILING_STATUS=MR","FA_ADJUSTED=GAAP","Sort=A","Dates=H","DateFormat=P","Fill=—","Direction=H","UseDPDF=Y")</f>
        <v>—</v>
      </c>
      <c r="S62" s="14" t="str">
        <f>_xll.BDH("NBIX US Equity","CASH_FLOW_TO_FIRM_5_YEAR_GROWTH","FQ4 2022","FQ4 2022","Currency=USD","Period=FQ","BEST_FPERIOD_OVERRIDE=FQ","FILING_STATUS=MR","FA_ADJUSTED=GAAP","Sort=A","Dates=H","DateFormat=P","Fill=—","Direction=H","UseDPDF=Y")</f>
        <v>—</v>
      </c>
      <c r="T62" s="14" t="str">
        <f>_xll.BDH("NBIX US Equity","CASH_FLOW_TO_FIRM_5_YEAR_GROWTH","FQ1 2023","FQ1 2023","Currency=USD","Period=FQ","BEST_FPERIOD_OVERRIDE=FQ","FILING_STATUS=MR","FA_ADJUSTED=GAAP","Sort=A","Dates=H","DateFormat=P","Fill=—","Direction=H","UseDPDF=Y")</f>
        <v>—</v>
      </c>
      <c r="U62" s="14" t="str">
        <f>_xll.BDH("NBIX US Equity","CASH_FLOW_TO_FIRM_5_YEAR_GROWTH","FQ2 2023","FQ2 2023","Currency=USD","Period=FQ","BEST_FPERIOD_OVERRIDE=FQ","FILING_STATUS=MR","FA_ADJUSTED=GAAP","Sort=A","Dates=H","DateFormat=P","Fill=—","Direction=H","UseDPDF=Y")</f>
        <v>—</v>
      </c>
      <c r="V62" s="14">
        <f>_xll.BDH("NBIX US Equity","CASH_FLOW_TO_FIRM_5_YEAR_GROWTH","FQ3 2023","FQ3 2023","Currency=USD","Period=FQ","BEST_FPERIOD_OVERRIDE=FQ","FILING_STATUS=MR","FA_ADJUSTED=GAAP","Sort=A","Dates=H","DateFormat=P","Fill=—","Direction=H","UseDPDF=Y")</f>
        <v>22.6753</v>
      </c>
      <c r="W62" s="14" t="str">
        <f>_xll.BDH("NBIX US Equity","CASH_FLOW_TO_FIRM_5_YEAR_GROWTH","FQ4 2023","FQ4 2023","Currency=USD","Period=FQ","BEST_FPERIOD_OVERRIDE=FQ","FILING_STATUS=MR","FA_ADJUSTED=GAAP","Sort=A","Dates=H","DateFormat=P","Fill=—","Direction=H","UseDPDF=Y")</f>
        <v>—</v>
      </c>
      <c r="X62" s="14" t="str">
        <f>_xll.BDH("NBIX US Equity","CASH_FLOW_TO_FIRM_5_YEAR_GROWTH","FQ1 2024","FQ1 2024","Currency=USD","Period=FQ","BEST_FPERIOD_OVERRIDE=FQ","FILING_STATUS=MR","FA_ADJUSTED=GAAP","Sort=A","Dates=H","DateFormat=P","Fill=—","Direction=H","UseDPDF=Y")</f>
        <v>—</v>
      </c>
      <c r="Y62" s="14" t="str">
        <f>_xll.BDH("NBIX US Equity","CASH_FLOW_TO_FIRM_5_YEAR_GROWTH","FQ2 2024","FQ2 2024","Currency=USD","Period=FQ","BEST_FPERIOD_OVERRIDE=FQ","FILING_STATUS=MR","FA_ADJUSTED=GAAP","Sort=A","Dates=H","DateFormat=P","Fill=—","Direction=H","UseDPDF=Y")</f>
        <v>—</v>
      </c>
      <c r="Z62" s="14" t="str">
        <f>_xll.BDH("NBIX US Equity","CASH_FLOW_TO_FIRM_5_YEAR_GROWTH","FQ3 2024","FQ3 2024","Currency=USD","Period=FQ","BEST_FPERIOD_OVERRIDE=FQ","FILING_STATUS=MR","FA_ADJUSTED=GAAP","Sort=A","Dates=H","DateFormat=P","Fill=—","Direction=H","UseDPDF=Y")</f>
        <v>—</v>
      </c>
      <c r="AA62" s="14" t="str">
        <f>_xll.BDH("NBIX US Equity","CASH_FLOW_TO_FIRM_5_YEAR_GROWTH","FQ4 2024","FQ4 2024","Currency=USD","Period=FQ","BEST_FPERIOD_OVERRIDE=FQ","FILING_STATUS=MR","FA_ADJUSTED=GAAP","Sort=A","Dates=H","DateFormat=P","Fill=—","Direction=H","UseDPDF=Y")</f>
        <v>—</v>
      </c>
    </row>
    <row r="63" spans="1:27" x14ac:dyDescent="0.25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5">
      <c r="A64" s="6" t="s">
        <v>1345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x14ac:dyDescent="0.25">
      <c r="A65" s="10" t="s">
        <v>0</v>
      </c>
      <c r="B65" s="10" t="s">
        <v>1346</v>
      </c>
      <c r="C65" s="14">
        <f>_xll.BDH("NBIX US Equity","REVENUE_SEQUENTIAL_GROWTH","FQ4 2018","FQ4 2018","Currency=USD","Period=FQ","BEST_FPERIOD_OVERRIDE=FQ","FILING_STATUS=MR","FA_ADJUSTED=GAAP","Sort=A","Dates=H","DateFormat=P","Fill=—","Direction=H","UseDPDF=Y")</f>
        <v>-13.3536</v>
      </c>
      <c r="D65" s="14">
        <f>_xll.BDH("NBIX US Equity","REVENUE_SEQUENTIAL_GROWTH","FQ1 2019","FQ1 2019","Currency=USD","Period=FQ","BEST_FPERIOD_OVERRIDE=FQ","FILING_STATUS=MR","FA_ADJUSTED=GAAP","Sort=A","Dates=H","DateFormat=P","Fill=—","Direction=H","UseDPDF=Y")</f>
        <v>5.2557999999999998</v>
      </c>
      <c r="E65" s="14">
        <f>_xll.BDH("NBIX US Equity","REVENUE_SEQUENTIAL_GROWTH","FQ2 2019","FQ2 2019","Currency=USD","Period=FQ","BEST_FPERIOD_OVERRIDE=FQ","FILING_STATUS=MR","FA_ADJUSTED=GAAP","Sort=A","Dates=H","DateFormat=P","Fill=—","Direction=H","UseDPDF=Y")</f>
        <v>32.641599999999997</v>
      </c>
      <c r="F65" s="14">
        <f>_xll.BDH("NBIX US Equity","REVENUE_SEQUENTIAL_GROWTH","FQ3 2019","FQ3 2019","Currency=USD","Period=FQ","BEST_FPERIOD_OVERRIDE=FQ","FILING_STATUS=MR","FA_ADJUSTED=GAAP","Sort=A","Dates=H","DateFormat=P","Fill=—","Direction=H","UseDPDF=Y")</f>
        <v>20.979399999999998</v>
      </c>
      <c r="G65" s="14">
        <f>_xll.BDH("NBIX US Equity","REVENUE_SEQUENTIAL_GROWTH","FQ4 2019","FQ4 2019","Currency=USD","Period=FQ","BEST_FPERIOD_OVERRIDE=FQ","FILING_STATUS=MR","FA_ADJUSTED=GAAP","Sort=A","Dates=H","DateFormat=P","Fill=—","Direction=H","UseDPDF=Y")</f>
        <v>9.9084000000000003</v>
      </c>
      <c r="H65" s="14">
        <f>_xll.BDH("NBIX US Equity","REVENUE_SEQUENTIAL_GROWTH","FQ1 2020","FQ1 2020","Currency=USD","Period=FQ","BEST_FPERIOD_OVERRIDE=FQ","FILING_STATUS=MR","FA_ADJUSTED=GAAP","Sort=A","Dates=H","DateFormat=P","Fill=—","Direction=H","UseDPDF=Y")</f>
        <v>-2.8677000000000001</v>
      </c>
      <c r="I65" s="14">
        <f>_xll.BDH("NBIX US Equity","REVENUE_SEQUENTIAL_GROWTH","FQ2 2020","FQ2 2020","Currency=USD","Period=FQ","BEST_FPERIOD_OVERRIDE=FQ","FILING_STATUS=MR","FA_ADJUSTED=GAAP","Sort=A","Dates=H","DateFormat=P","Fill=—","Direction=H","UseDPDF=Y")</f>
        <v>27.5411</v>
      </c>
      <c r="J65" s="14">
        <f>_xll.BDH("NBIX US Equity","REVENUE_SEQUENTIAL_GROWTH","FQ3 2020","FQ3 2020","Currency=USD","Period=FQ","BEST_FPERIOD_OVERRIDE=FQ","FILING_STATUS=MR","FA_ADJUSTED=GAAP","Sort=A","Dates=H","DateFormat=P","Fill=—","Direction=H","UseDPDF=Y")</f>
        <v>-14.517200000000001</v>
      </c>
      <c r="K65" s="14">
        <f>_xll.BDH("NBIX US Equity","REVENUE_SEQUENTIAL_GROWTH","FQ4 2020","FQ4 2020","Currency=USD","Period=FQ","BEST_FPERIOD_OVERRIDE=FQ","FILING_STATUS=MR","FA_ADJUSTED=GAAP","Sort=A","Dates=H","DateFormat=P","Fill=—","Direction=H","UseDPDF=Y")</f>
        <v>-4.1006</v>
      </c>
      <c r="L65" s="14">
        <f>_xll.BDH("NBIX US Equity","REVENUE_SEQUENTIAL_GROWTH","FQ1 2021","FQ1 2021","Currency=USD","Period=FQ","BEST_FPERIOD_OVERRIDE=FQ","FILING_STATUS=MR","FA_ADJUSTED=GAAP","Sort=A","Dates=H","DateFormat=P","Fill=—","Direction=H","UseDPDF=Y")</f>
        <v>-4.5583</v>
      </c>
      <c r="M65" s="14">
        <f>_xll.BDH("NBIX US Equity","REVENUE_SEQUENTIAL_GROWTH","FQ2 2021","FQ2 2021","Currency=USD","Period=FQ","BEST_FPERIOD_OVERRIDE=FQ","FILING_STATUS=MR","FA_ADJUSTED=GAAP","Sort=A","Dates=H","DateFormat=P","Fill=—","Direction=H","UseDPDF=Y")</f>
        <v>22.104800000000001</v>
      </c>
      <c r="N65" s="14">
        <f>_xll.BDH("NBIX US Equity","REVENUE_SEQUENTIAL_GROWTH","FQ3 2021","FQ3 2021","Currency=USD","Period=FQ","BEST_FPERIOD_OVERRIDE=FQ","FILING_STATUS=MR","FA_ADJUSTED=GAAP","Sort=A","Dates=H","DateFormat=P","Fill=—","Direction=H","UseDPDF=Y")</f>
        <v>2.4575999999999998</v>
      </c>
      <c r="O65" s="14">
        <f>_xll.BDH("NBIX US Equity","REVENUE_SEQUENTIAL_GROWTH","FQ4 2021","FQ4 2021","Currency=USD","Period=FQ","BEST_FPERIOD_OVERRIDE=FQ","FILING_STATUS=MR","FA_ADJUSTED=GAAP","Sort=A","Dates=H","DateFormat=P","Fill=—","Direction=H","UseDPDF=Y")</f>
        <v>5.4054000000000002</v>
      </c>
      <c r="P65" s="14">
        <f>_xll.BDH("NBIX US Equity","REVENUE_SEQUENTIAL_GROWTH","FQ1 2022","FQ1 2022","Currency=USD","Period=FQ","BEST_FPERIOD_OVERRIDE=FQ","FILING_STATUS=MR","FA_ADJUSTED=GAAP","Sort=A","Dates=H","DateFormat=P","Fill=—","Direction=H","UseDPDF=Y")</f>
        <v>-0.44869999999999999</v>
      </c>
      <c r="Q65" s="14">
        <f>_xll.BDH("NBIX US Equity","REVENUE_SEQUENTIAL_GROWTH","FQ2 2022","FQ2 2022","Currency=USD","Period=FQ","BEST_FPERIOD_OVERRIDE=FQ","FILING_STATUS=MR","FA_ADJUSTED=GAAP","Sort=A","Dates=H","DateFormat=P","Fill=—","Direction=H","UseDPDF=Y")</f>
        <v>21.764299999999999</v>
      </c>
      <c r="R65" s="14">
        <f>_xll.BDH("NBIX US Equity","REVENUE_SEQUENTIAL_GROWTH","FQ3 2022","FQ3 2022","Currency=USD","Period=FQ","BEST_FPERIOD_OVERRIDE=FQ","FILING_STATUS=MR","FA_ADJUSTED=GAAP","Sort=A","Dates=H","DateFormat=P","Fill=—","Direction=H","UseDPDF=Y")</f>
        <v>2.5648</v>
      </c>
      <c r="S65" s="14">
        <f>_xll.BDH("NBIX US Equity","REVENUE_SEQUENTIAL_GROWTH","FQ4 2022","FQ4 2022","Currency=USD","Period=FQ","BEST_FPERIOD_OVERRIDE=FQ","FILING_STATUS=MR","FA_ADJUSTED=GAAP","Sort=A","Dates=H","DateFormat=P","Fill=—","Direction=H","UseDPDF=Y")</f>
        <v>6.2129000000000003</v>
      </c>
      <c r="T65" s="14">
        <f>_xll.BDH("NBIX US Equity","REVENUE_SEQUENTIAL_GROWTH","FQ1 2023","FQ1 2023","Currency=USD","Period=FQ","BEST_FPERIOD_OVERRIDE=FQ","FILING_STATUS=MR","FA_ADJUSTED=GAAP","Sort=A","Dates=H","DateFormat=P","Fill=—","Direction=H","UseDPDF=Y")</f>
        <v>2.0388000000000002</v>
      </c>
      <c r="U65" s="14">
        <f>_xll.BDH("NBIX US Equity","REVENUE_SEQUENTIAL_GROWTH","FQ2 2023","FQ2 2023","Currency=USD","Period=FQ","BEST_FPERIOD_OVERRIDE=FQ","FILING_STATUS=MR","FA_ADJUSTED=GAAP","Sort=A","Dates=H","DateFormat=P","Fill=—","Direction=H","UseDPDF=Y")</f>
        <v>7.6832000000000003</v>
      </c>
      <c r="V65" s="14">
        <f>_xll.BDH("NBIX US Equity","REVENUE_SEQUENTIAL_GROWTH","FQ3 2023","FQ3 2023","Currency=USD","Period=FQ","BEST_FPERIOD_OVERRIDE=FQ","FILING_STATUS=MR","FA_ADJUSTED=GAAP","Sort=A","Dates=H","DateFormat=P","Fill=—","Direction=H","UseDPDF=Y")</f>
        <v>10.183299999999999</v>
      </c>
      <c r="W65" s="14">
        <f>_xll.BDH("NBIX US Equity","REVENUE_SEQUENTIAL_GROWTH","FQ4 2023","FQ4 2023","Currency=USD","Period=FQ","BEST_FPERIOD_OVERRIDE=FQ","FILING_STATUS=MR","FA_ADJUSTED=GAAP","Sort=A","Dates=H","DateFormat=P","Fill=—","Direction=H","UseDPDF=Y")</f>
        <v>3.2879</v>
      </c>
      <c r="X65" s="14">
        <f>_xll.BDH("NBIX US Equity","REVENUE_SEQUENTIAL_GROWTH","FQ1 2024","FQ1 2024","Currency=USD","Period=FQ","BEST_FPERIOD_OVERRIDE=FQ","FILING_STATUS=MR","FA_ADJUSTED=GAAP","Sort=A","Dates=H","DateFormat=P","Fill=—","Direction=H","UseDPDF=Y")</f>
        <v>1.9400000000000001E-2</v>
      </c>
      <c r="Y65" s="14">
        <f>_xll.BDH("NBIX US Equity","REVENUE_SEQUENTIAL_GROWTH","FQ2 2024","FQ2 2024","Currency=USD","Period=FQ","BEST_FPERIOD_OVERRIDE=FQ","FILING_STATUS=MR","FA_ADJUSTED=GAAP","Sort=A","Dates=H","DateFormat=P","Fill=—","Direction=H","UseDPDF=Y")</f>
        <v>14.5352</v>
      </c>
      <c r="Z65" s="14">
        <f>_xll.BDH("NBIX US Equity","REVENUE_SEQUENTIAL_GROWTH","FQ3 2024","FQ3 2024","Currency=USD","Period=FQ","BEST_FPERIOD_OVERRIDE=FQ","FILING_STATUS=MR","FA_ADJUSTED=GAAP","Sort=A","Dates=H","DateFormat=P","Fill=—","Direction=H","UseDPDF=Y")</f>
        <v>5.4048999999999996</v>
      </c>
      <c r="AA65" s="14">
        <f>_xll.BDH("NBIX US Equity","REVENUE_SEQUENTIAL_GROWTH","FQ4 2024","FQ4 2024","Currency=USD","Period=FQ","BEST_FPERIOD_OVERRIDE=FQ","FILING_STATUS=MR","FA_ADJUSTED=GAAP","Sort=A","Dates=H","DateFormat=P","Fill=—","Direction=H","UseDPDF=Y")</f>
        <v>0.9002</v>
      </c>
    </row>
    <row r="66" spans="1:27" x14ac:dyDescent="0.25">
      <c r="A66" s="10" t="s">
        <v>78</v>
      </c>
      <c r="B66" s="10" t="s">
        <v>1347</v>
      </c>
      <c r="C66" s="14">
        <f>_xll.BDH("NBIX US Equity","EBITDA_SEQUENTIAL_GROWTH","FQ4 2018","FQ4 2018","Currency=USD","Period=FQ","BEST_FPERIOD_OVERRIDE=FQ","FILING_STATUS=MR","FA_ADJUSTED=GAAP","Sort=A","Dates=H","DateFormat=P","Fill=—","Direction=H","UseDPDF=Y")</f>
        <v>-58.222499999999997</v>
      </c>
      <c r="D66" s="14">
        <f>_xll.BDH("NBIX US Equity","EBITDA_SEQUENTIAL_GROWTH","FQ1 2019","FQ1 2019","Currency=USD","Period=FQ","BEST_FPERIOD_OVERRIDE=FQ","FILING_STATUS=MR","FA_ADJUSTED=GAAP","Sort=A","Dates=H","DateFormat=P","Fill=—","Direction=H","UseDPDF=Y")</f>
        <v>-521.37300000000005</v>
      </c>
      <c r="E66" s="14" t="str">
        <f>_xll.BDH("NBIX US Equity","EBITDA_SEQUENTIAL_GROWTH","FQ2 2019","FQ2 2019","Currency=USD","Period=FQ","BEST_FPERIOD_OVERRIDE=FQ","FILING_STATUS=MR","FA_ADJUSTED=GAAP","Sort=A","Dates=H","DateFormat=P","Fill=—","Direction=H","UseDPDF=Y")</f>
        <v>—</v>
      </c>
      <c r="F66" s="14">
        <f>_xll.BDH("NBIX US Equity","EBITDA_SEQUENTIAL_GROWTH","FQ3 2019","FQ3 2019","Currency=USD","Period=FQ","BEST_FPERIOD_OVERRIDE=FQ","FILING_STATUS=MR","FA_ADJUSTED=GAAP","Sort=A","Dates=H","DateFormat=P","Fill=—","Direction=H","UseDPDF=Y")</f>
        <v>146.05070000000001</v>
      </c>
      <c r="G66" s="14">
        <f>_xll.BDH("NBIX US Equity","EBITDA_SEQUENTIAL_GROWTH","FQ4 2019","FQ4 2019","Currency=USD","Period=FQ","BEST_FPERIOD_OVERRIDE=FQ","FILING_STATUS=MR","FA_ADJUSTED=GAAP","Sort=A","Dates=H","DateFormat=P","Fill=—","Direction=H","UseDPDF=Y")</f>
        <v>-43.639699999999998</v>
      </c>
      <c r="H66" s="14">
        <f>_xll.BDH("NBIX US Equity","EBITDA_SEQUENTIAL_GROWTH","FQ1 2020","FQ1 2020","Currency=USD","Period=FQ","BEST_FPERIOD_OVERRIDE=FQ","FILING_STATUS=MR","FA_ADJUSTED=GAAP","Sort=A","Dates=H","DateFormat=P","Fill=—","Direction=H","UseDPDF=Y")</f>
        <v>19.723199999999999</v>
      </c>
      <c r="I66" s="14">
        <f>_xll.BDH("NBIX US Equity","EBITDA_SEQUENTIAL_GROWTH","FQ2 2020","FQ2 2020","Currency=USD","Period=FQ","BEST_FPERIOD_OVERRIDE=FQ","FILING_STATUS=MR","FA_ADJUSTED=GAAP","Sort=A","Dates=H","DateFormat=P","Fill=—","Direction=H","UseDPDF=Y")</f>
        <v>27.873999999999999</v>
      </c>
      <c r="J66" s="14">
        <f>_xll.BDH("NBIX US Equity","EBITDA_SEQUENTIAL_GROWTH","FQ3 2020","FQ3 2020","Currency=USD","Period=FQ","BEST_FPERIOD_OVERRIDE=FQ","FILING_STATUS=MR","FA_ADJUSTED=GAAP","Sort=A","Dates=H","DateFormat=P","Fill=—","Direction=H","UseDPDF=Y")</f>
        <v>-148.89160000000001</v>
      </c>
      <c r="K66" s="14" t="str">
        <f>_xll.BDH("NBIX US Equity","EBITDA_SEQUENTIAL_GROWTH","FQ4 2020","FQ4 2020","Currency=USD","Period=FQ","BEST_FPERIOD_OVERRIDE=FQ","FILING_STATUS=MR","FA_ADJUSTED=GAAP","Sort=A","Dates=H","DateFormat=P","Fill=—","Direction=H","UseDPDF=Y")</f>
        <v>—</v>
      </c>
      <c r="L66" s="14">
        <f>_xll.BDH("NBIX US Equity","EBITDA_SEQUENTIAL_GROWTH","FQ1 2021","FQ1 2021","Currency=USD","Period=FQ","BEST_FPERIOD_OVERRIDE=FQ","FILING_STATUS=MR","FA_ADJUSTED=GAAP","Sort=A","Dates=H","DateFormat=P","Fill=—","Direction=H","UseDPDF=Y")</f>
        <v>-51.238599999999998</v>
      </c>
      <c r="M66" s="14">
        <f>_xll.BDH("NBIX US Equity","EBITDA_SEQUENTIAL_GROWTH","FQ2 2021","FQ2 2021","Currency=USD","Period=FQ","BEST_FPERIOD_OVERRIDE=FQ","FILING_STATUS=MR","FA_ADJUSTED=GAAP","Sort=A","Dates=H","DateFormat=P","Fill=—","Direction=H","UseDPDF=Y")</f>
        <v>85.2941</v>
      </c>
      <c r="N66" s="14">
        <f>_xll.BDH("NBIX US Equity","EBITDA_SEQUENTIAL_GROWTH","FQ3 2021","FQ3 2021","Currency=USD","Period=FQ","BEST_FPERIOD_OVERRIDE=FQ","FILING_STATUS=MR","FA_ADJUSTED=GAAP","Sort=A","Dates=H","DateFormat=P","Fill=—","Direction=H","UseDPDF=Y")</f>
        <v>-26.118300000000001</v>
      </c>
      <c r="O66" s="14">
        <f>_xll.BDH("NBIX US Equity","EBITDA_SEQUENTIAL_GROWTH","FQ4 2021","FQ4 2021","Currency=USD","Period=FQ","BEST_FPERIOD_OVERRIDE=FQ","FILING_STATUS=MR","FA_ADJUSTED=GAAP","Sort=A","Dates=H","DateFormat=P","Fill=—","Direction=H","UseDPDF=Y")</f>
        <v>-157.03129999999999</v>
      </c>
      <c r="P66" s="14" t="str">
        <f>_xll.BDH("NBIX US Equity","EBITDA_SEQUENTIAL_GROWTH","FQ1 2022","FQ1 2022","Currency=USD","Period=FQ","BEST_FPERIOD_OVERRIDE=FQ","FILING_STATUS=MR","FA_ADJUSTED=GAAP","Sort=A","Dates=H","DateFormat=P","Fill=—","Direction=H","UseDPDF=Y")</f>
        <v>—</v>
      </c>
      <c r="Q66" s="14">
        <f>_xll.BDH("NBIX US Equity","EBITDA_SEQUENTIAL_GROWTH","FQ2 2022","FQ2 2022","Currency=USD","Period=FQ","BEST_FPERIOD_OVERRIDE=FQ","FILING_STATUS=MR","FA_ADJUSTED=GAAP","Sort=A","Dates=H","DateFormat=P","Fill=—","Direction=H","UseDPDF=Y")</f>
        <v>497.1429</v>
      </c>
      <c r="R66" s="14">
        <f>_xll.BDH("NBIX US Equity","EBITDA_SEQUENTIAL_GROWTH","FQ3 2022","FQ3 2022","Currency=USD","Period=FQ","BEST_FPERIOD_OVERRIDE=FQ","FILING_STATUS=MR","FA_ADJUSTED=GAAP","Sort=A","Dates=H","DateFormat=P","Fill=—","Direction=H","UseDPDF=Y")</f>
        <v>53.269500000000001</v>
      </c>
      <c r="S66" s="14">
        <f>_xll.BDH("NBIX US Equity","EBITDA_SEQUENTIAL_GROWTH","FQ4 2022","FQ4 2022","Currency=USD","Period=FQ","BEST_FPERIOD_OVERRIDE=FQ","FILING_STATUS=MR","FA_ADJUSTED=GAAP","Sort=A","Dates=H","DateFormat=P","Fill=—","Direction=H","UseDPDF=Y")</f>
        <v>16.129000000000001</v>
      </c>
      <c r="T66" s="14">
        <f>_xll.BDH("NBIX US Equity","EBITDA_SEQUENTIAL_GROWTH","FQ1 2023","FQ1 2023","Currency=USD","Period=FQ","BEST_FPERIOD_OVERRIDE=FQ","FILING_STATUS=MR","FA_ADJUSTED=GAAP","Sort=A","Dates=H","DateFormat=P","Fill=—","Direction=H","UseDPDF=Y")</f>
        <v>-194.1756</v>
      </c>
      <c r="U66" s="14" t="str">
        <f>_xll.BDH("NBIX US Equity","EBITDA_SEQUENTIAL_GROWTH","FQ2 2023","FQ2 2023","Currency=USD","Period=FQ","BEST_FPERIOD_OVERRIDE=FQ","FILING_STATUS=MR","FA_ADJUSTED=GAAP","Sort=A","Dates=H","DateFormat=P","Fill=—","Direction=H","UseDPDF=Y")</f>
        <v>—</v>
      </c>
      <c r="V66" s="14">
        <f>_xll.BDH("NBIX US Equity","EBITDA_SEQUENTIAL_GROWTH","FQ3 2023","FQ3 2023","Currency=USD","Period=FQ","BEST_FPERIOD_OVERRIDE=FQ","FILING_STATUS=MR","FA_ADJUSTED=GAAP","Sort=A","Dates=H","DateFormat=P","Fill=—","Direction=H","UseDPDF=Y")</f>
        <v>81.763300000000001</v>
      </c>
      <c r="W66" s="14">
        <f>_xll.BDH("NBIX US Equity","EBITDA_SEQUENTIAL_GROWTH","FQ4 2023","FQ4 2023","Currency=USD","Period=FQ","BEST_FPERIOD_OVERRIDE=FQ","FILING_STATUS=MR","FA_ADJUSTED=GAAP","Sort=A","Dates=H","DateFormat=P","Fill=—","Direction=H","UseDPDF=Y")</f>
        <v>6.5781000000000001</v>
      </c>
      <c r="X66" s="14">
        <f>_xll.BDH("NBIX US Equity","EBITDA_SEQUENTIAL_GROWTH","FQ1 2024","FQ1 2024","Currency=USD","Period=FQ","BEST_FPERIOD_OVERRIDE=FQ","FILING_STATUS=MR","FA_ADJUSTED=GAAP","Sort=A","Dates=H","DateFormat=P","Fill=—","Direction=H","UseDPDF=Y")</f>
        <v>-28.616</v>
      </c>
      <c r="Y66" s="14">
        <f>_xll.BDH("NBIX US Equity","EBITDA_SEQUENTIAL_GROWTH","FQ2 2024","FQ2 2024","Currency=USD","Period=FQ","BEST_FPERIOD_OVERRIDE=FQ","FILING_STATUS=MR","FA_ADJUSTED=GAAP","Sort=A","Dates=H","DateFormat=P","Fill=—","Direction=H","UseDPDF=Y")</f>
        <v>41.397399999999998</v>
      </c>
      <c r="Z66" s="14">
        <f>_xll.BDH("NBIX US Equity","EBITDA_SEQUENTIAL_GROWTH","FQ3 2024","FQ3 2024","Currency=USD","Period=FQ","BEST_FPERIOD_OVERRIDE=FQ","FILING_STATUS=MR","FA_ADJUSTED=GAAP","Sort=A","Dates=H","DateFormat=P","Fill=—","Direction=H","UseDPDF=Y")</f>
        <v>22.9771</v>
      </c>
      <c r="AA66" s="14">
        <f>_xll.BDH("NBIX US Equity","EBITDA_SEQUENTIAL_GROWTH","FQ4 2024","FQ4 2024","Currency=USD","Period=FQ","BEST_FPERIOD_OVERRIDE=FQ","FILING_STATUS=MR","FA_ADJUSTED=GAAP","Sort=A","Dates=H","DateFormat=P","Fill=—","Direction=H","UseDPDF=Y")</f>
        <v>-17.5791</v>
      </c>
    </row>
    <row r="67" spans="1:27" x14ac:dyDescent="0.25">
      <c r="A67" s="10" t="s">
        <v>98</v>
      </c>
      <c r="B67" s="10" t="s">
        <v>1348</v>
      </c>
      <c r="C67" s="14">
        <f>_xll.BDH("NBIX US Equity","OPERATING_INCOME_SEQ_GROWTH","FQ4 2018","FQ4 2018","Currency=USD","Period=FQ","BEST_FPERIOD_OVERRIDE=FQ","FILING_STATUS=MR","FA_ADJUSTED=GAAP","Sort=A","Dates=H","DateFormat=P","Fill=—","Direction=H","UseDPDF=Y")</f>
        <v>-59.738999999999997</v>
      </c>
      <c r="D67" s="14">
        <f>_xll.BDH("NBIX US Equity","OPERATING_INCOME_SEQ_GROWTH","FQ1 2019","FQ1 2019","Currency=USD","Period=FQ","BEST_FPERIOD_OVERRIDE=FQ","FILING_STATUS=MR","FA_ADJUSTED=GAAP","Sort=A","Dates=H","DateFormat=P","Fill=—","Direction=H","UseDPDF=Y")</f>
        <v>-561.78499999999997</v>
      </c>
      <c r="E67" s="14" t="str">
        <f>_xll.BDH("NBIX US Equity","OPERATING_INCOME_SEQ_GROWTH","FQ2 2019","FQ2 2019","Currency=USD","Period=FQ","BEST_FPERIOD_OVERRIDE=FQ","FILING_STATUS=MR","FA_ADJUSTED=GAAP","Sort=A","Dates=H","DateFormat=P","Fill=—","Direction=H","UseDPDF=Y")</f>
        <v>—</v>
      </c>
      <c r="F67" s="14">
        <f>_xll.BDH("NBIX US Equity","OPERATING_INCOME_SEQ_GROWTH","FQ3 2019","FQ3 2019","Currency=USD","Period=FQ","BEST_FPERIOD_OVERRIDE=FQ","FILING_STATUS=MR","FA_ADJUSTED=GAAP","Sort=A","Dates=H","DateFormat=P","Fill=—","Direction=H","UseDPDF=Y")</f>
        <v>161.44919999999999</v>
      </c>
      <c r="G67" s="14">
        <f>_xll.BDH("NBIX US Equity","OPERATING_INCOME_SEQ_GROWTH","FQ4 2019","FQ4 2019","Currency=USD","Period=FQ","BEST_FPERIOD_OVERRIDE=FQ","FILING_STATUS=MR","FA_ADJUSTED=GAAP","Sort=A","Dates=H","DateFormat=P","Fill=—","Direction=H","UseDPDF=Y")</f>
        <v>-45.836799999999997</v>
      </c>
      <c r="H67" s="14">
        <f>_xll.BDH("NBIX US Equity","OPERATING_INCOME_SEQ_GROWTH","FQ1 2020","FQ1 2020","Currency=USD","Period=FQ","BEST_FPERIOD_OVERRIDE=FQ","FILING_STATUS=MR","FA_ADJUSTED=GAAP","Sort=A","Dates=H","DateFormat=P","Fill=—","Direction=H","UseDPDF=Y")</f>
        <v>20.6967</v>
      </c>
      <c r="I67" s="14">
        <f>_xll.BDH("NBIX US Equity","OPERATING_INCOME_SEQ_GROWTH","FQ2 2020","FQ2 2020","Currency=USD","Period=FQ","BEST_FPERIOD_OVERRIDE=FQ","FILING_STATUS=MR","FA_ADJUSTED=GAAP","Sort=A","Dates=H","DateFormat=P","Fill=—","Direction=H","UseDPDF=Y")</f>
        <v>30.050899999999999</v>
      </c>
      <c r="J67" s="14">
        <f>_xll.BDH("NBIX US Equity","OPERATING_INCOME_SEQ_GROWTH","FQ3 2020","FQ3 2020","Currency=USD","Period=FQ","BEST_FPERIOD_OVERRIDE=FQ","FILING_STATUS=MR","FA_ADJUSTED=GAAP","Sort=A","Dates=H","DateFormat=P","Fill=—","Direction=H","UseDPDF=Y")</f>
        <v>-157.8329</v>
      </c>
      <c r="K67" s="14" t="str">
        <f>_xll.BDH("NBIX US Equity","OPERATING_INCOME_SEQ_GROWTH","FQ4 2020","FQ4 2020","Currency=USD","Period=FQ","BEST_FPERIOD_OVERRIDE=FQ","FILING_STATUS=MR","FA_ADJUSTED=GAAP","Sort=A","Dates=H","DateFormat=P","Fill=—","Direction=H","UseDPDF=Y")</f>
        <v>—</v>
      </c>
      <c r="L67" s="14">
        <f>_xll.BDH("NBIX US Equity","OPERATING_INCOME_SEQ_GROWTH","FQ1 2021","FQ1 2021","Currency=USD","Period=FQ","BEST_FPERIOD_OVERRIDE=FQ","FILING_STATUS=MR","FA_ADJUSTED=GAAP","Sort=A","Dates=H","DateFormat=P","Fill=—","Direction=H","UseDPDF=Y")</f>
        <v>-56.128100000000003</v>
      </c>
      <c r="M67" s="14">
        <f>_xll.BDH("NBIX US Equity","OPERATING_INCOME_SEQ_GROWTH","FQ2 2021","FQ2 2021","Currency=USD","Period=FQ","BEST_FPERIOD_OVERRIDE=FQ","FILING_STATUS=MR","FA_ADJUSTED=GAAP","Sort=A","Dates=H","DateFormat=P","Fill=—","Direction=H","UseDPDF=Y")</f>
        <v>99.365099999999998</v>
      </c>
      <c r="N67" s="14">
        <f>_xll.BDH("NBIX US Equity","OPERATING_INCOME_SEQ_GROWTH","FQ3 2021","FQ3 2021","Currency=USD","Period=FQ","BEST_FPERIOD_OVERRIDE=FQ","FILING_STATUS=MR","FA_ADJUSTED=GAAP","Sort=A","Dates=H","DateFormat=P","Fill=—","Direction=H","UseDPDF=Y")</f>
        <v>-29.1401</v>
      </c>
      <c r="O67" s="14">
        <f>_xll.BDH("NBIX US Equity","OPERATING_INCOME_SEQ_GROWTH","FQ4 2021","FQ4 2021","Currency=USD","Period=FQ","BEST_FPERIOD_OVERRIDE=FQ","FILING_STATUS=MR","FA_ADJUSTED=GAAP","Sort=A","Dates=H","DateFormat=P","Fill=—","Direction=H","UseDPDF=Y")</f>
        <v>-181.57300000000001</v>
      </c>
      <c r="P67" s="14" t="str">
        <f>_xll.BDH("NBIX US Equity","OPERATING_INCOME_SEQ_GROWTH","FQ1 2022","FQ1 2022","Currency=USD","Period=FQ","BEST_FPERIOD_OVERRIDE=FQ","FILING_STATUS=MR","FA_ADJUSTED=GAAP","Sort=A","Dates=H","DateFormat=P","Fill=—","Direction=H","UseDPDF=Y")</f>
        <v>—</v>
      </c>
      <c r="Q67" s="14">
        <f>_xll.BDH("NBIX US Equity","OPERATING_INCOME_SEQ_GROWTH","FQ2 2022","FQ2 2022","Currency=USD","Period=FQ","BEST_FPERIOD_OVERRIDE=FQ","FILING_STATUS=MR","FA_ADJUSTED=GAAP","Sort=A","Dates=H","DateFormat=P","Fill=—","Direction=H","UseDPDF=Y")</f>
        <v>1664.5161000000001</v>
      </c>
      <c r="R67" s="14">
        <f>_xll.BDH("NBIX US Equity","OPERATING_INCOME_SEQ_GROWTH","FQ3 2022","FQ3 2022","Currency=USD","Period=FQ","BEST_FPERIOD_OVERRIDE=FQ","FILING_STATUS=MR","FA_ADJUSTED=GAAP","Sort=A","Dates=H","DateFormat=P","Fill=—","Direction=H","UseDPDF=Y")</f>
        <v>60.511899999999997</v>
      </c>
      <c r="S67" s="14">
        <f>_xll.BDH("NBIX US Equity","OPERATING_INCOME_SEQ_GROWTH","FQ4 2022","FQ4 2022","Currency=USD","Period=FQ","BEST_FPERIOD_OVERRIDE=FQ","FILING_STATUS=MR","FA_ADJUSTED=GAAP","Sort=A","Dates=H","DateFormat=P","Fill=—","Direction=H","UseDPDF=Y")</f>
        <v>17.767700000000001</v>
      </c>
      <c r="T67" s="14">
        <f>_xll.BDH("NBIX US Equity","OPERATING_INCOME_SEQ_GROWTH","FQ1 2023","FQ1 2023","Currency=USD","Period=FQ","BEST_FPERIOD_OVERRIDE=FQ","FILING_STATUS=MR","FA_ADJUSTED=GAAP","Sort=A","Dates=H","DateFormat=P","Fill=—","Direction=H","UseDPDF=Y")</f>
        <v>-210.44489999999999</v>
      </c>
      <c r="U67" s="14" t="str">
        <f>_xll.BDH("NBIX US Equity","OPERATING_INCOME_SEQ_GROWTH","FQ2 2023","FQ2 2023","Currency=USD","Period=FQ","BEST_FPERIOD_OVERRIDE=FQ","FILING_STATUS=MR","FA_ADJUSTED=GAAP","Sort=A","Dates=H","DateFormat=P","Fill=—","Direction=H","UseDPDF=Y")</f>
        <v>—</v>
      </c>
      <c r="V67" s="14">
        <f>_xll.BDH("NBIX US Equity","OPERATING_INCOME_SEQ_GROWTH","FQ3 2023","FQ3 2023","Currency=USD","Period=FQ","BEST_FPERIOD_OVERRIDE=FQ","FILING_STATUS=MR","FA_ADJUSTED=GAAP","Sort=A","Dates=H","DateFormat=P","Fill=—","Direction=H","UseDPDF=Y")</f>
        <v>91.847800000000007</v>
      </c>
      <c r="W67" s="14">
        <f>_xll.BDH("NBIX US Equity","OPERATING_INCOME_SEQ_GROWTH","FQ4 2023","FQ4 2023","Currency=USD","Period=FQ","BEST_FPERIOD_OVERRIDE=FQ","FILING_STATUS=MR","FA_ADJUSTED=GAAP","Sort=A","Dates=H","DateFormat=P","Fill=—","Direction=H","UseDPDF=Y")</f>
        <v>6.4447999999999999</v>
      </c>
      <c r="X67" s="14">
        <f>_xll.BDH("NBIX US Equity","OPERATING_INCOME_SEQ_GROWTH","FQ1 2024","FQ1 2024","Currency=USD","Period=FQ","BEST_FPERIOD_OVERRIDE=FQ","FILING_STATUS=MR","FA_ADJUSTED=GAAP","Sort=A","Dates=H","DateFormat=P","Fill=—","Direction=H","UseDPDF=Y")</f>
        <v>-33.932099999999998</v>
      </c>
      <c r="Y67" s="14">
        <f>_xll.BDH("NBIX US Equity","OPERATING_INCOME_SEQ_GROWTH","FQ2 2024","FQ2 2024","Currency=USD","Period=FQ","BEST_FPERIOD_OVERRIDE=FQ","FILING_STATUS=MR","FA_ADJUSTED=GAAP","Sort=A","Dates=H","DateFormat=P","Fill=—","Direction=H","UseDPDF=Y")</f>
        <v>46.424999999999997</v>
      </c>
      <c r="Z67" s="14">
        <f>_xll.BDH("NBIX US Equity","OPERATING_INCOME_SEQ_GROWTH","FQ3 2024","FQ3 2024","Currency=USD","Period=FQ","BEST_FPERIOD_OVERRIDE=FQ","FILING_STATUS=MR","FA_ADJUSTED=GAAP","Sort=A","Dates=H","DateFormat=P","Fill=—","Direction=H","UseDPDF=Y")</f>
        <v>26.4099</v>
      </c>
      <c r="AA67" s="14">
        <f>_xll.BDH("NBIX US Equity","OPERATING_INCOME_SEQ_GROWTH","FQ4 2024","FQ4 2024","Currency=USD","Period=FQ","BEST_FPERIOD_OVERRIDE=FQ","FILING_STATUS=MR","FA_ADJUSTED=GAAP","Sort=A","Dates=H","DateFormat=P","Fill=—","Direction=H","UseDPDF=Y")</f>
        <v>-22.742100000000001</v>
      </c>
    </row>
    <row r="68" spans="1:27" x14ac:dyDescent="0.25">
      <c r="A68" s="10" t="s">
        <v>100</v>
      </c>
      <c r="B68" s="10" t="s">
        <v>1349</v>
      </c>
      <c r="C68" s="14">
        <f>_xll.BDH("NBIX US Equity","NET_INCOME_TO_COMMON_SEQ_GROWTH","FQ4 2018","FQ4 2018","Currency=USD","Period=FQ","BEST_FPERIOD_OVERRIDE=FQ","FILING_STATUS=MR","FA_ADJUSTED=GAAP","Sort=A","Dates=H","DateFormat=P","Fill=—","Direction=H","UseDPDF=Y")</f>
        <v>-64.388099999999994</v>
      </c>
      <c r="D68" s="14">
        <f>_xll.BDH("NBIX US Equity","NET_INCOME_TO_COMMON_SEQ_GROWTH","FQ1 2019","FQ1 2019","Currency=USD","Period=FQ","BEST_FPERIOD_OVERRIDE=FQ","FILING_STATUS=MR","FA_ADJUSTED=GAAP","Sort=A","Dates=H","DateFormat=P","Fill=—","Direction=H","UseDPDF=Y")</f>
        <v>-664.8578</v>
      </c>
      <c r="E68" s="14" t="str">
        <f>_xll.BDH("NBIX US Equity","NET_INCOME_TO_COMMON_SEQ_GROWTH","FQ2 2019","FQ2 2019","Currency=USD","Period=FQ","BEST_FPERIOD_OVERRIDE=FQ","FILING_STATUS=MR","FA_ADJUSTED=GAAP","Sort=A","Dates=H","DateFormat=P","Fill=—","Direction=H","UseDPDF=Y")</f>
        <v>—</v>
      </c>
      <c r="F68" s="14">
        <f>_xll.BDH("NBIX US Equity","NET_INCOME_TO_COMMON_SEQ_GROWTH","FQ3 2019","FQ3 2019","Currency=USD","Period=FQ","BEST_FPERIOD_OVERRIDE=FQ","FILING_STATUS=MR","FA_ADJUSTED=GAAP","Sort=A","Dates=H","DateFormat=P","Fill=—","Direction=H","UseDPDF=Y")</f>
        <v>4.7742000000000004</v>
      </c>
      <c r="G68" s="14">
        <f>_xll.BDH("NBIX US Equity","NET_INCOME_TO_COMMON_SEQ_GROWTH","FQ4 2019","FQ4 2019","Currency=USD","Period=FQ","BEST_FPERIOD_OVERRIDE=FQ","FILING_STATUS=MR","FA_ADJUSTED=GAAP","Sort=A","Dates=H","DateFormat=P","Fill=—","Direction=H","UseDPDF=Y")</f>
        <v>-36.790100000000002</v>
      </c>
      <c r="H68" s="14">
        <f>_xll.BDH("NBIX US Equity","NET_INCOME_TO_COMMON_SEQ_GROWTH","FQ1 2020","FQ1 2020","Currency=USD","Period=FQ","BEST_FPERIOD_OVERRIDE=FQ","FILING_STATUS=MR","FA_ADJUSTED=GAAP","Sort=A","Dates=H","DateFormat=P","Fill=—","Direction=H","UseDPDF=Y")</f>
        <v>10</v>
      </c>
      <c r="I68" s="14">
        <f>_xll.BDH("NBIX US Equity","NET_INCOME_TO_COMMON_SEQ_GROWTH","FQ2 2020","FQ2 2020","Currency=USD","Period=FQ","BEST_FPERIOD_OVERRIDE=FQ","FILING_STATUS=MR","FA_ADJUSTED=GAAP","Sort=A","Dates=H","DateFormat=P","Fill=—","Direction=H","UseDPDF=Y")</f>
        <v>112.8342</v>
      </c>
      <c r="J68" s="14">
        <f>_xll.BDH("NBIX US Equity","NET_INCOME_TO_COMMON_SEQ_GROWTH","FQ3 2020","FQ3 2020","Currency=USD","Period=FQ","BEST_FPERIOD_OVERRIDE=FQ","FILING_STATUS=MR","FA_ADJUSTED=GAAP","Sort=A","Dates=H","DateFormat=P","Fill=—","Direction=H","UseDPDF=Y")</f>
        <v>-172.36179999999999</v>
      </c>
      <c r="K68" s="14" t="str">
        <f>_xll.BDH("NBIX US Equity","NET_INCOME_TO_COMMON_SEQ_GROWTH","FQ4 2020","FQ4 2020","Currency=USD","Period=FQ","BEST_FPERIOD_OVERRIDE=FQ","FILING_STATUS=MR","FA_ADJUSTED=GAAP","Sort=A","Dates=H","DateFormat=P","Fill=—","Direction=H","UseDPDF=Y")</f>
        <v>—</v>
      </c>
      <c r="L68" s="14">
        <f>_xll.BDH("NBIX US Equity","NET_INCOME_TO_COMMON_SEQ_GROWTH","FQ1 2021","FQ1 2021","Currency=USD","Period=FQ","BEST_FPERIOD_OVERRIDE=FQ","FILING_STATUS=MR","FA_ADJUSTED=GAAP","Sort=A","Dates=H","DateFormat=P","Fill=—","Direction=H","UseDPDF=Y")</f>
        <v>-90.773200000000003</v>
      </c>
      <c r="M68" s="14">
        <f>_xll.BDH("NBIX US Equity","NET_INCOME_TO_COMMON_SEQ_GROWTH","FQ2 2021","FQ2 2021","Currency=USD","Period=FQ","BEST_FPERIOD_OVERRIDE=FQ","FILING_STATUS=MR","FA_ADJUSTED=GAAP","Sort=A","Dates=H","DateFormat=P","Fill=—","Direction=H","UseDPDF=Y")</f>
        <v>31.775700000000001</v>
      </c>
      <c r="N68" s="14">
        <f>_xll.BDH("NBIX US Equity","NET_INCOME_TO_COMMON_SEQ_GROWTH","FQ3 2021","FQ3 2021","Currency=USD","Period=FQ","BEST_FPERIOD_OVERRIDE=FQ","FILING_STATUS=MR","FA_ADJUSTED=GAAP","Sort=A","Dates=H","DateFormat=P","Fill=—","Direction=H","UseDPDF=Y")</f>
        <v>-46.808500000000002</v>
      </c>
      <c r="O68" s="14">
        <f>_xll.BDH("NBIX US Equity","NET_INCOME_TO_COMMON_SEQ_GROWTH","FQ4 2021","FQ4 2021","Currency=USD","Period=FQ","BEST_FPERIOD_OVERRIDE=FQ","FILING_STATUS=MR","FA_ADJUSTED=GAAP","Sort=A","Dates=H","DateFormat=P","Fill=—","Direction=H","UseDPDF=Y")</f>
        <v>-132.4444</v>
      </c>
      <c r="P68" s="14" t="str">
        <f>_xll.BDH("NBIX US Equity","NET_INCOME_TO_COMMON_SEQ_GROWTH","FQ1 2022","FQ1 2022","Currency=USD","Period=FQ","BEST_FPERIOD_OVERRIDE=FQ","FILING_STATUS=MR","FA_ADJUSTED=GAAP","Sort=A","Dates=H","DateFormat=P","Fill=—","Direction=H","UseDPDF=Y")</f>
        <v>—</v>
      </c>
      <c r="Q68" s="14">
        <f>_xll.BDH("NBIX US Equity","NET_INCOME_TO_COMMON_SEQ_GROWTH","FQ2 2022","FQ2 2022","Currency=USD","Period=FQ","BEST_FPERIOD_OVERRIDE=FQ","FILING_STATUS=MR","FA_ADJUSTED=GAAP","Sort=A","Dates=H","DateFormat=P","Fill=—","Direction=H","UseDPDF=Y")</f>
        <v>-221.58269999999999</v>
      </c>
      <c r="R68" s="14" t="str">
        <f>_xll.BDH("NBIX US Equity","NET_INCOME_TO_COMMON_SEQ_GROWTH","FQ3 2022","FQ3 2022","Currency=USD","Period=FQ","BEST_FPERIOD_OVERRIDE=FQ","FILING_STATUS=MR","FA_ADJUSTED=GAAP","Sort=A","Dates=H","DateFormat=P","Fill=—","Direction=H","UseDPDF=Y")</f>
        <v>—</v>
      </c>
      <c r="S68" s="14">
        <f>_xll.BDH("NBIX US Equity","NET_INCOME_TO_COMMON_SEQ_GROWTH","FQ4 2022","FQ4 2022","Currency=USD","Period=FQ","BEST_FPERIOD_OVERRIDE=FQ","FILING_STATUS=MR","FA_ADJUSTED=GAAP","Sort=A","Dates=H","DateFormat=P","Fill=—","Direction=H","UseDPDF=Y")</f>
        <v>29.927</v>
      </c>
      <c r="T68" s="14">
        <f>_xll.BDH("NBIX US Equity","NET_INCOME_TO_COMMON_SEQ_GROWTH","FQ1 2023","FQ1 2023","Currency=USD","Period=FQ","BEST_FPERIOD_OVERRIDE=FQ","FILING_STATUS=MR","FA_ADJUSTED=GAAP","Sort=A","Dates=H","DateFormat=P","Fill=—","Direction=H","UseDPDF=Y")</f>
        <v>-186.06739999999999</v>
      </c>
      <c r="U68" s="14" t="str">
        <f>_xll.BDH("NBIX US Equity","NET_INCOME_TO_COMMON_SEQ_GROWTH","FQ2 2023","FQ2 2023","Currency=USD","Period=FQ","BEST_FPERIOD_OVERRIDE=FQ","FILING_STATUS=MR","FA_ADJUSTED=GAAP","Sort=A","Dates=H","DateFormat=P","Fill=—","Direction=H","UseDPDF=Y")</f>
        <v>—</v>
      </c>
      <c r="V68" s="14">
        <f>_xll.BDH("NBIX US Equity","NET_INCOME_TO_COMMON_SEQ_GROWTH","FQ3 2023","FQ3 2023","Currency=USD","Period=FQ","BEST_FPERIOD_OVERRIDE=FQ","FILING_STATUS=MR","FA_ADJUSTED=GAAP","Sort=A","Dates=H","DateFormat=P","Fill=—","Direction=H","UseDPDF=Y")</f>
        <v>-12.984299999999999</v>
      </c>
      <c r="W68" s="14">
        <f>_xll.BDH("NBIX US Equity","NET_INCOME_TO_COMMON_SEQ_GROWTH","FQ4 2023","FQ4 2023","Currency=USD","Period=FQ","BEST_FPERIOD_OVERRIDE=FQ","FILING_STATUS=MR","FA_ADJUSTED=GAAP","Sort=A","Dates=H","DateFormat=P","Fill=—","Direction=H","UseDPDF=Y")</f>
        <v>77.737700000000004</v>
      </c>
      <c r="X68" s="14">
        <f>_xll.BDH("NBIX US Equity","NET_INCOME_TO_COMMON_SEQ_GROWTH","FQ1 2024","FQ1 2024","Currency=USD","Period=FQ","BEST_FPERIOD_OVERRIDE=FQ","FILING_STATUS=MR","FA_ADJUSTED=GAAP","Sort=A","Dates=H","DateFormat=P","Fill=—","Direction=H","UseDPDF=Y")</f>
        <v>-70.616100000000003</v>
      </c>
      <c r="Y68" s="14">
        <f>_xll.BDH("NBIX US Equity","NET_INCOME_TO_COMMON_SEQ_GROWTH","FQ2 2024","FQ2 2024","Currency=USD","Period=FQ","BEST_FPERIOD_OVERRIDE=FQ","FILING_STATUS=MR","FA_ADJUSTED=GAAP","Sort=A","Dates=H","DateFormat=P","Fill=—","Direction=H","UseDPDF=Y")</f>
        <v>49.769599999999997</v>
      </c>
      <c r="Z68" s="14">
        <f>_xll.BDH("NBIX US Equity","NET_INCOME_TO_COMMON_SEQ_GROWTH","FQ3 2024","FQ3 2024","Currency=USD","Period=FQ","BEST_FPERIOD_OVERRIDE=FQ","FILING_STATUS=MR","FA_ADJUSTED=GAAP","Sort=A","Dates=H","DateFormat=P","Fill=—","Direction=H","UseDPDF=Y")</f>
        <v>99.692300000000003</v>
      </c>
      <c r="AA68" s="14">
        <f>_xll.BDH("NBIX US Equity","NET_INCOME_TO_COMMON_SEQ_GROWTH","FQ4 2024","FQ4 2024","Currency=USD","Period=FQ","BEST_FPERIOD_OVERRIDE=FQ","FILING_STATUS=MR","FA_ADJUSTED=GAAP","Sort=A","Dates=H","DateFormat=P","Fill=—","Direction=H","UseDPDF=Y")</f>
        <v>-20.5701</v>
      </c>
    </row>
    <row r="69" spans="1:27" x14ac:dyDescent="0.25">
      <c r="A69" s="10" t="s">
        <v>1283</v>
      </c>
      <c r="B69" s="10" t="s">
        <v>1350</v>
      </c>
      <c r="C69" s="14">
        <f>_xll.BDH("NBIX US Equity","EPS_DILUTED_SEQUENTIAL_GROWTH","FQ4 2018","FQ4 2018","Currency=USD","Period=FQ","BEST_FPERIOD_OVERRIDE=FQ","FILING_STATUS=MR","FA_ADJUSTED=GAAP","Sort=A","Dates=H","DateFormat=P","Fill=—","Direction=H","UseDPDF=Y")</f>
        <v>-63.461500000000001</v>
      </c>
      <c r="D69" s="14">
        <f>_xll.BDH("NBIX US Equity","EPS_DILUTED_SEQUENTIAL_GROWTH","FQ1 2019","FQ1 2019","Currency=USD","Period=FQ","BEST_FPERIOD_OVERRIDE=FQ","FILING_STATUS=MR","FA_ADJUSTED=GAAP","Sort=A","Dates=H","DateFormat=P","Fill=—","Direction=H","UseDPDF=Y")</f>
        <v>-689.47370000000001</v>
      </c>
      <c r="E69" s="14" t="str">
        <f>_xll.BDH("NBIX US Equity","EPS_DILUTED_SEQUENTIAL_GROWTH","FQ2 2019","FQ2 2019","Currency=USD","Period=FQ","BEST_FPERIOD_OVERRIDE=FQ","FILING_STATUS=MR","FA_ADJUSTED=GAAP","Sort=A","Dates=H","DateFormat=P","Fill=—","Direction=H","UseDPDF=Y")</f>
        <v>—</v>
      </c>
      <c r="F69" s="14">
        <f>_xll.BDH("NBIX US Equity","EPS_DILUTED_SEQUENTIAL_GROWTH","FQ3 2019","FQ3 2019","Currency=USD","Period=FQ","BEST_FPERIOD_OVERRIDE=FQ","FILING_STATUS=MR","FA_ADJUSTED=GAAP","Sort=A","Dates=H","DateFormat=P","Fill=—","Direction=H","UseDPDF=Y")</f>
        <v>3.7037</v>
      </c>
      <c r="G69" s="14">
        <f>_xll.BDH("NBIX US Equity","EPS_DILUTED_SEQUENTIAL_GROWTH","FQ4 2019","FQ4 2019","Currency=USD","Period=FQ","BEST_FPERIOD_OVERRIDE=FQ","FILING_STATUS=MR","FA_ADJUSTED=GAAP","Sort=A","Dates=H","DateFormat=P","Fill=—","Direction=H","UseDPDF=Y")</f>
        <v>-37.5</v>
      </c>
      <c r="H69" s="14">
        <f>_xll.BDH("NBIX US Equity","EPS_DILUTED_SEQUENTIAL_GROWTH","FQ1 2020","FQ1 2020","Currency=USD","Period=FQ","BEST_FPERIOD_OVERRIDE=FQ","FILING_STATUS=MR","FA_ADJUSTED=GAAP","Sort=A","Dates=H","DateFormat=P","Fill=—","Direction=H","UseDPDF=Y")</f>
        <v>11.428599999999999</v>
      </c>
      <c r="I69" s="14">
        <f>_xll.BDH("NBIX US Equity","EPS_DILUTED_SEQUENTIAL_GROWTH","FQ2 2020","FQ2 2020","Currency=USD","Period=FQ","BEST_FPERIOD_OVERRIDE=FQ","FILING_STATUS=MR","FA_ADJUSTED=GAAP","Sort=A","Dates=H","DateFormat=P","Fill=—","Direction=H","UseDPDF=Y")</f>
        <v>107.6923</v>
      </c>
      <c r="J69" s="14">
        <f>_xll.BDH("NBIX US Equity","EPS_DILUTED_SEQUENTIAL_GROWTH","FQ3 2020","FQ3 2020","Currency=USD","Period=FQ","BEST_FPERIOD_OVERRIDE=FQ","FILING_STATUS=MR","FA_ADJUSTED=GAAP","Sort=A","Dates=H","DateFormat=P","Fill=—","Direction=H","UseDPDF=Y")</f>
        <v>-176.54320000000001</v>
      </c>
      <c r="K69" s="14" t="str">
        <f>_xll.BDH("NBIX US Equity","EPS_DILUTED_SEQUENTIAL_GROWTH","FQ4 2020","FQ4 2020","Currency=USD","Period=FQ","BEST_FPERIOD_OVERRIDE=FQ","FILING_STATUS=MR","FA_ADJUSTED=GAAP","Sort=A","Dates=H","DateFormat=P","Fill=—","Direction=H","UseDPDF=Y")</f>
        <v>—</v>
      </c>
      <c r="L69" s="14">
        <f>_xll.BDH("NBIX US Equity","EPS_DILUTED_SEQUENTIAL_GROWTH","FQ1 2021","FQ1 2021","Currency=USD","Period=FQ","BEST_FPERIOD_OVERRIDE=FQ","FILING_STATUS=MR","FA_ADJUSTED=GAAP","Sort=A","Dates=H","DateFormat=P","Fill=—","Direction=H","UseDPDF=Y")</f>
        <v>-90.7821</v>
      </c>
      <c r="M69" s="14">
        <f>_xll.BDH("NBIX US Equity","EPS_DILUTED_SEQUENTIAL_GROWTH","FQ2 2021","FQ2 2021","Currency=USD","Period=FQ","BEST_FPERIOD_OVERRIDE=FQ","FILING_STATUS=MR","FA_ADJUSTED=GAAP","Sort=A","Dates=H","DateFormat=P","Fill=—","Direction=H","UseDPDF=Y")</f>
        <v>30.303000000000001</v>
      </c>
      <c r="N69" s="14">
        <f>_xll.BDH("NBIX US Equity","EPS_DILUTED_SEQUENTIAL_GROWTH","FQ3 2021","FQ3 2021","Currency=USD","Period=FQ","BEST_FPERIOD_OVERRIDE=FQ","FILING_STATUS=MR","FA_ADJUSTED=GAAP","Sort=A","Dates=H","DateFormat=P","Fill=—","Direction=H","UseDPDF=Y")</f>
        <v>-46.511600000000001</v>
      </c>
      <c r="O69" s="14">
        <f>_xll.BDH("NBIX US Equity","EPS_DILUTED_SEQUENTIAL_GROWTH","FQ4 2021","FQ4 2021","Currency=USD","Period=FQ","BEST_FPERIOD_OVERRIDE=FQ","FILING_STATUS=MR","FA_ADJUSTED=GAAP","Sort=A","Dates=H","DateFormat=P","Fill=—","Direction=H","UseDPDF=Y")</f>
        <v>-134.7826</v>
      </c>
      <c r="P69" s="14" t="str">
        <f>_xll.BDH("NBIX US Equity","EPS_DILUTED_SEQUENTIAL_GROWTH","FQ1 2022","FQ1 2022","Currency=USD","Period=FQ","BEST_FPERIOD_OVERRIDE=FQ","FILING_STATUS=MR","FA_ADJUSTED=GAAP","Sort=A","Dates=H","DateFormat=P","Fill=—","Direction=H","UseDPDF=Y")</f>
        <v>—</v>
      </c>
      <c r="Q69" s="14">
        <f>_xll.BDH("NBIX US Equity","EPS_DILUTED_SEQUENTIAL_GROWTH","FQ2 2022","FQ2 2022","Currency=USD","Period=FQ","BEST_FPERIOD_OVERRIDE=FQ","FILING_STATUS=MR","FA_ADJUSTED=GAAP","Sort=A","Dates=H","DateFormat=P","Fill=—","Direction=H","UseDPDF=Y")</f>
        <v>-228.57140000000001</v>
      </c>
      <c r="R69" s="14" t="str">
        <f>_xll.BDH("NBIX US Equity","EPS_DILUTED_SEQUENTIAL_GROWTH","FQ3 2022","FQ3 2022","Currency=USD","Period=FQ","BEST_FPERIOD_OVERRIDE=FQ","FILING_STATUS=MR","FA_ADJUSTED=GAAP","Sort=A","Dates=H","DateFormat=P","Fill=—","Direction=H","UseDPDF=Y")</f>
        <v>—</v>
      </c>
      <c r="S69" s="14">
        <f>_xll.BDH("NBIX US Equity","EPS_DILUTED_SEQUENTIAL_GROWTH","FQ4 2022","FQ4 2022","Currency=USD","Period=FQ","BEST_FPERIOD_OVERRIDE=FQ","FILING_STATUS=MR","FA_ADJUSTED=GAAP","Sort=A","Dates=H","DateFormat=P","Fill=—","Direction=H","UseDPDF=Y")</f>
        <v>27.536200000000001</v>
      </c>
      <c r="T69" s="14">
        <f>_xll.BDH("NBIX US Equity","EPS_DILUTED_SEQUENTIAL_GROWTH","FQ1 2023","FQ1 2023","Currency=USD","Period=FQ","BEST_FPERIOD_OVERRIDE=FQ","FILING_STATUS=MR","FA_ADJUSTED=GAAP","Sort=A","Dates=H","DateFormat=P","Fill=—","Direction=H","UseDPDF=Y")</f>
        <v>-189.77269999999999</v>
      </c>
      <c r="U69" s="14" t="str">
        <f>_xll.BDH("NBIX US Equity","EPS_DILUTED_SEQUENTIAL_GROWTH","FQ2 2023","FQ2 2023","Currency=USD","Period=FQ","BEST_FPERIOD_OVERRIDE=FQ","FILING_STATUS=MR","FA_ADJUSTED=GAAP","Sort=A","Dates=H","DateFormat=P","Fill=—","Direction=H","UseDPDF=Y")</f>
        <v>—</v>
      </c>
      <c r="V69" s="14">
        <f>_xll.BDH("NBIX US Equity","EPS_DILUTED_SEQUENTIAL_GROWTH","FQ3 2023","FQ3 2023","Currency=USD","Period=FQ","BEST_FPERIOD_OVERRIDE=FQ","FILING_STATUS=MR","FA_ADJUSTED=GAAP","Sort=A","Dates=H","DateFormat=P","Fill=—","Direction=H","UseDPDF=Y")</f>
        <v>-13.684200000000001</v>
      </c>
      <c r="W69" s="14">
        <f>_xll.BDH("NBIX US Equity","EPS_DILUTED_SEQUENTIAL_GROWTH","FQ4 2023","FQ4 2023","Currency=USD","Period=FQ","BEST_FPERIOD_OVERRIDE=FQ","FILING_STATUS=MR","FA_ADJUSTED=GAAP","Sort=A","Dates=H","DateFormat=P","Fill=—","Direction=H","UseDPDF=Y")</f>
        <v>75.609800000000007</v>
      </c>
      <c r="X69" s="14">
        <f>_xll.BDH("NBIX US Equity","EPS_DILUTED_SEQUENTIAL_GROWTH","FQ1 2024","FQ1 2024","Currency=USD","Period=FQ","BEST_FPERIOD_OVERRIDE=FQ","FILING_STATUS=MR","FA_ADJUSTED=GAAP","Sort=A","Dates=H","DateFormat=P","Fill=—","Direction=H","UseDPDF=Y")</f>
        <v>-70.833299999999994</v>
      </c>
      <c r="Y69" s="14">
        <f>_xll.BDH("NBIX US Equity","EPS_DILUTED_SEQUENTIAL_GROWTH","FQ2 2024","FQ2 2024","Currency=USD","Period=FQ","BEST_FPERIOD_OVERRIDE=FQ","FILING_STATUS=MR","FA_ADJUSTED=GAAP","Sort=A","Dates=H","DateFormat=P","Fill=—","Direction=H","UseDPDF=Y")</f>
        <v>50</v>
      </c>
      <c r="Z69" s="14">
        <f>_xll.BDH("NBIX US Equity","EPS_DILUTED_SEQUENTIAL_GROWTH","FQ3 2024","FQ3 2024","Currency=USD","Period=FQ","BEST_FPERIOD_OVERRIDE=FQ","FILING_STATUS=MR","FA_ADJUSTED=GAAP","Sort=A","Dates=H","DateFormat=P","Fill=—","Direction=H","UseDPDF=Y")</f>
        <v>96.825400000000002</v>
      </c>
      <c r="AA69" s="14">
        <f>_xll.BDH("NBIX US Equity","EPS_DILUTED_SEQUENTIAL_GROWTH","FQ4 2024","FQ4 2024","Currency=USD","Period=FQ","BEST_FPERIOD_OVERRIDE=FQ","FILING_STATUS=MR","FA_ADJUSTED=GAAP","Sort=A","Dates=H","DateFormat=P","Fill=—","Direction=H","UseDPDF=Y")</f>
        <v>-19.354800000000001</v>
      </c>
    </row>
    <row r="70" spans="1:27" x14ac:dyDescent="0.25">
      <c r="A70" s="10" t="s">
        <v>1284</v>
      </c>
      <c r="B70" s="10" t="s">
        <v>1351</v>
      </c>
      <c r="C70" s="14">
        <f>_xll.BDH("NBIX US Equity","EPS_DIL_BEF_EXTRAORD_SEQ_GRWTH","FQ4 2018","FQ4 2018","Currency=USD","Period=FQ","BEST_FPERIOD_OVERRIDE=FQ","FILING_STATUS=MR","Sort=A","Dates=H","DateFormat=P","Fill=—","Direction=H","UseDPDF=Y")</f>
        <v>-63.461500000000001</v>
      </c>
      <c r="D70" s="14">
        <f>_xll.BDH("NBIX US Equity","EPS_DIL_BEF_EXTRAORD_SEQ_GRWTH","FQ1 2019","FQ1 2019","Currency=USD","Period=FQ","BEST_FPERIOD_OVERRIDE=FQ","FILING_STATUS=MR","Sort=A","Dates=H","DateFormat=P","Fill=—","Direction=H","UseDPDF=Y")</f>
        <v>-689.47370000000001</v>
      </c>
      <c r="E70" s="14" t="str">
        <f>_xll.BDH("NBIX US Equity","EPS_DIL_BEF_EXTRAORD_SEQ_GRWTH","FQ2 2019","FQ2 2019","Currency=USD","Period=FQ","BEST_FPERIOD_OVERRIDE=FQ","FILING_STATUS=MR","Sort=A","Dates=H","DateFormat=P","Fill=—","Direction=H","UseDPDF=Y")</f>
        <v>—</v>
      </c>
      <c r="F70" s="14">
        <f>_xll.BDH("NBIX US Equity","EPS_DIL_BEF_EXTRAORD_SEQ_GRWTH","FQ3 2019","FQ3 2019","Currency=USD","Period=FQ","BEST_FPERIOD_OVERRIDE=FQ","FILING_STATUS=MR","Sort=A","Dates=H","DateFormat=P","Fill=—","Direction=H","UseDPDF=Y")</f>
        <v>3.7037</v>
      </c>
      <c r="G70" s="14">
        <f>_xll.BDH("NBIX US Equity","EPS_DIL_BEF_EXTRAORD_SEQ_GRWTH","FQ4 2019","FQ4 2019","Currency=USD","Period=FQ","BEST_FPERIOD_OVERRIDE=FQ","FILING_STATUS=MR","Sort=A","Dates=H","DateFormat=P","Fill=—","Direction=H","UseDPDF=Y")</f>
        <v>-37.5</v>
      </c>
      <c r="H70" s="14">
        <f>_xll.BDH("NBIX US Equity","EPS_DIL_BEF_EXTRAORD_SEQ_GRWTH","FQ1 2020","FQ1 2020","Currency=USD","Period=FQ","BEST_FPERIOD_OVERRIDE=FQ","FILING_STATUS=MR","Sort=A","Dates=H","DateFormat=P","Fill=—","Direction=H","UseDPDF=Y")</f>
        <v>11.428599999999999</v>
      </c>
      <c r="I70" s="14">
        <f>_xll.BDH("NBIX US Equity","EPS_DIL_BEF_EXTRAORD_SEQ_GRWTH","FQ2 2020","FQ2 2020","Currency=USD","Period=FQ","BEST_FPERIOD_OVERRIDE=FQ","FILING_STATUS=MR","Sort=A","Dates=H","DateFormat=P","Fill=—","Direction=H","UseDPDF=Y")</f>
        <v>107.6923</v>
      </c>
      <c r="J70" s="14">
        <f>_xll.BDH("NBIX US Equity","EPS_DIL_BEF_EXTRAORD_SEQ_GRWTH","FQ3 2020","FQ3 2020","Currency=USD","Period=FQ","BEST_FPERIOD_OVERRIDE=FQ","FILING_STATUS=MR","Sort=A","Dates=H","DateFormat=P","Fill=—","Direction=H","UseDPDF=Y")</f>
        <v>-176.54320000000001</v>
      </c>
      <c r="K70" s="14" t="str">
        <f>_xll.BDH("NBIX US Equity","EPS_DIL_BEF_EXTRAORD_SEQ_GRWTH","FQ4 2020","FQ4 2020","Currency=USD","Period=FQ","BEST_FPERIOD_OVERRIDE=FQ","FILING_STATUS=MR","Sort=A","Dates=H","DateFormat=P","Fill=—","Direction=H","UseDPDF=Y")</f>
        <v>—</v>
      </c>
      <c r="L70" s="14">
        <f>_xll.BDH("NBIX US Equity","EPS_DIL_BEF_EXTRAORD_SEQ_GRWTH","FQ1 2021","FQ1 2021","Currency=USD","Period=FQ","BEST_FPERIOD_OVERRIDE=FQ","FILING_STATUS=MR","Sort=A","Dates=H","DateFormat=P","Fill=—","Direction=H","UseDPDF=Y")</f>
        <v>-90.7821</v>
      </c>
      <c r="M70" s="14">
        <f>_xll.BDH("NBIX US Equity","EPS_DIL_BEF_EXTRAORD_SEQ_GRWTH","FQ2 2021","FQ2 2021","Currency=USD","Period=FQ","BEST_FPERIOD_OVERRIDE=FQ","FILING_STATUS=MR","Sort=A","Dates=H","DateFormat=P","Fill=—","Direction=H","UseDPDF=Y")</f>
        <v>30.303000000000001</v>
      </c>
      <c r="N70" s="14">
        <f>_xll.BDH("NBIX US Equity","EPS_DIL_BEF_EXTRAORD_SEQ_GRWTH","FQ3 2021","FQ3 2021","Currency=USD","Period=FQ","BEST_FPERIOD_OVERRIDE=FQ","FILING_STATUS=MR","Sort=A","Dates=H","DateFormat=P","Fill=—","Direction=H","UseDPDF=Y")</f>
        <v>-46.511600000000001</v>
      </c>
      <c r="O70" s="14">
        <f>_xll.BDH("NBIX US Equity","EPS_DIL_BEF_EXTRAORD_SEQ_GRWTH","FQ4 2021","FQ4 2021","Currency=USD","Period=FQ","BEST_FPERIOD_OVERRIDE=FQ","FILING_STATUS=MR","Sort=A","Dates=H","DateFormat=P","Fill=—","Direction=H","UseDPDF=Y")</f>
        <v>-134.7826</v>
      </c>
      <c r="P70" s="14" t="str">
        <f>_xll.BDH("NBIX US Equity","EPS_DIL_BEF_EXTRAORD_SEQ_GRWTH","FQ1 2022","FQ1 2022","Currency=USD","Period=FQ","BEST_FPERIOD_OVERRIDE=FQ","FILING_STATUS=MR","Sort=A","Dates=H","DateFormat=P","Fill=—","Direction=H","UseDPDF=Y")</f>
        <v>—</v>
      </c>
      <c r="Q70" s="14">
        <f>_xll.BDH("NBIX US Equity","EPS_DIL_BEF_EXTRAORD_SEQ_GRWTH","FQ2 2022","FQ2 2022","Currency=USD","Period=FQ","BEST_FPERIOD_OVERRIDE=FQ","FILING_STATUS=MR","Sort=A","Dates=H","DateFormat=P","Fill=—","Direction=H","UseDPDF=Y")</f>
        <v>-228.57140000000001</v>
      </c>
      <c r="R70" s="14" t="str">
        <f>_xll.BDH("NBIX US Equity","EPS_DIL_BEF_EXTRAORD_SEQ_GRWTH","FQ3 2022","FQ3 2022","Currency=USD","Period=FQ","BEST_FPERIOD_OVERRIDE=FQ","FILING_STATUS=MR","Sort=A","Dates=H","DateFormat=P","Fill=—","Direction=H","UseDPDF=Y")</f>
        <v>—</v>
      </c>
      <c r="S70" s="14">
        <f>_xll.BDH("NBIX US Equity","EPS_DIL_BEF_EXTRAORD_SEQ_GRWTH","FQ4 2022","FQ4 2022","Currency=USD","Period=FQ","BEST_FPERIOD_OVERRIDE=FQ","FILING_STATUS=MR","Sort=A","Dates=H","DateFormat=P","Fill=—","Direction=H","UseDPDF=Y")</f>
        <v>27.536200000000001</v>
      </c>
      <c r="T70" s="14">
        <f>_xll.BDH("NBIX US Equity","EPS_DIL_BEF_EXTRAORD_SEQ_GRWTH","FQ1 2023","FQ1 2023","Currency=USD","Period=FQ","BEST_FPERIOD_OVERRIDE=FQ","FILING_STATUS=MR","Sort=A","Dates=H","DateFormat=P","Fill=—","Direction=H","UseDPDF=Y")</f>
        <v>-189.77269999999999</v>
      </c>
      <c r="U70" s="14" t="str">
        <f>_xll.BDH("NBIX US Equity","EPS_DIL_BEF_EXTRAORD_SEQ_GRWTH","FQ2 2023","FQ2 2023","Currency=USD","Period=FQ","BEST_FPERIOD_OVERRIDE=FQ","FILING_STATUS=MR","Sort=A","Dates=H","DateFormat=P","Fill=—","Direction=H","UseDPDF=Y")</f>
        <v>—</v>
      </c>
      <c r="V70" s="14">
        <f>_xll.BDH("NBIX US Equity","EPS_DIL_BEF_EXTRAORD_SEQ_GRWTH","FQ3 2023","FQ3 2023","Currency=USD","Period=FQ","BEST_FPERIOD_OVERRIDE=FQ","FILING_STATUS=MR","Sort=A","Dates=H","DateFormat=P","Fill=—","Direction=H","UseDPDF=Y")</f>
        <v>-13.684200000000001</v>
      </c>
      <c r="W70" s="14">
        <f>_xll.BDH("NBIX US Equity","EPS_DIL_BEF_EXTRAORD_SEQ_GRWTH","FQ4 2023","FQ4 2023","Currency=USD","Period=FQ","BEST_FPERIOD_OVERRIDE=FQ","FILING_STATUS=MR","Sort=A","Dates=H","DateFormat=P","Fill=—","Direction=H","UseDPDF=Y")</f>
        <v>75.609800000000007</v>
      </c>
      <c r="X70" s="14">
        <f>_xll.BDH("NBIX US Equity","EPS_DIL_BEF_EXTRAORD_SEQ_GRWTH","FQ1 2024","FQ1 2024","Currency=USD","Period=FQ","BEST_FPERIOD_OVERRIDE=FQ","FILING_STATUS=MR","Sort=A","Dates=H","DateFormat=P","Fill=—","Direction=H","UseDPDF=Y")</f>
        <v>-70.833299999999994</v>
      </c>
      <c r="Y70" s="14">
        <f>_xll.BDH("NBIX US Equity","EPS_DIL_BEF_EXTRAORD_SEQ_GRWTH","FQ2 2024","FQ2 2024","Currency=USD","Period=FQ","BEST_FPERIOD_OVERRIDE=FQ","FILING_STATUS=MR","Sort=A","Dates=H","DateFormat=P","Fill=—","Direction=H","UseDPDF=Y")</f>
        <v>50</v>
      </c>
      <c r="Z70" s="14">
        <f>_xll.BDH("NBIX US Equity","EPS_DIL_BEF_EXTRAORD_SEQ_GRWTH","FQ3 2024","FQ3 2024","Currency=USD","Period=FQ","BEST_FPERIOD_OVERRIDE=FQ","FILING_STATUS=MR","Sort=A","Dates=H","DateFormat=P","Fill=—","Direction=H","UseDPDF=Y")</f>
        <v>96.825400000000002</v>
      </c>
      <c r="AA70" s="14">
        <f>_xll.BDH("NBIX US Equity","EPS_DIL_BEF_EXTRAORD_SEQ_GRWTH","FQ4 2024","FQ4 2024","Currency=USD","Period=FQ","BEST_FPERIOD_OVERRIDE=FQ","FILING_STATUS=MR","Sort=A","Dates=H","DateFormat=P","Fill=—","Direction=H","UseDPDF=Y")</f>
        <v>-19.354800000000001</v>
      </c>
    </row>
    <row r="71" spans="1:27" x14ac:dyDescent="0.25">
      <c r="A71" s="10" t="s">
        <v>1286</v>
      </c>
      <c r="B71" s="10" t="s">
        <v>1352</v>
      </c>
      <c r="C71" s="14">
        <f>_xll.BDH("NBIX US Equity","EPS_DILUTED_BEF_ABNRML_SEQ_GRWTH","FQ4 2018","FQ4 2018","Currency=USD","Period=FQ","BEST_FPERIOD_OVERRIDE=FQ","FILING_STATUS=MR","Sort=A","Dates=H","DateFormat=P","Fill=—","Direction=H","UseDPDF=Y")</f>
        <v>-63.461500000000001</v>
      </c>
      <c r="D71" s="14">
        <f>_xll.BDH("NBIX US Equity","EPS_DILUTED_BEF_ABNRML_SEQ_GRWTH","FQ1 2019","FQ1 2019","Currency=USD","Period=FQ","BEST_FPERIOD_OVERRIDE=FQ","FILING_STATUS=MR","Sort=A","Dates=H","DateFormat=P","Fill=—","Direction=H","UseDPDF=Y")</f>
        <v>-181.54740000000001</v>
      </c>
      <c r="E71" s="14" t="str">
        <f>_xll.BDH("NBIX US Equity","EPS_DILUTED_BEF_ABNRML_SEQ_GRWTH","FQ2 2019","FQ2 2019","Currency=USD","Period=FQ","BEST_FPERIOD_OVERRIDE=FQ","FILING_STATUS=MR","Sort=A","Dates=H","DateFormat=P","Fill=—","Direction=H","UseDPDF=Y")</f>
        <v>—</v>
      </c>
      <c r="F71" s="14">
        <f>_xll.BDH("NBIX US Equity","EPS_DILUTED_BEF_ABNRML_SEQ_GRWTH","FQ3 2019","FQ3 2019","Currency=USD","Period=FQ","BEST_FPERIOD_OVERRIDE=FQ","FILING_STATUS=MR","Sort=A","Dates=H","DateFormat=P","Fill=—","Direction=H","UseDPDF=Y")</f>
        <v>95.105000000000004</v>
      </c>
      <c r="G71" s="14">
        <f>_xll.BDH("NBIX US Equity","EPS_DILUTED_BEF_ABNRML_SEQ_GRWTH","FQ4 2019","FQ4 2019","Currency=USD","Period=FQ","BEST_FPERIOD_OVERRIDE=FQ","FILING_STATUS=MR","Sort=A","Dates=H","DateFormat=P","Fill=—","Direction=H","UseDPDF=Y")</f>
        <v>-0.32919999999999999</v>
      </c>
      <c r="H71" s="14">
        <f>_xll.BDH("NBIX US Equity","EPS_DILUTED_BEF_ABNRML_SEQ_GRWTH","FQ1 2020","FQ1 2020","Currency=USD","Period=FQ","BEST_FPERIOD_OVERRIDE=FQ","FILING_STATUS=MR","Sort=A","Dates=H","DateFormat=P","Fill=—","Direction=H","UseDPDF=Y")</f>
        <v>-30.0138</v>
      </c>
      <c r="I71" s="14">
        <f>_xll.BDH("NBIX US Equity","EPS_DILUTED_BEF_ABNRML_SEQ_GRWTH","FQ2 2020","FQ2 2020","Currency=USD","Period=FQ","BEST_FPERIOD_OVERRIDE=FQ","FILING_STATUS=MR","Sort=A","Dates=H","DateFormat=P","Fill=—","Direction=H","UseDPDF=Y")</f>
        <v>109.95489999999999</v>
      </c>
      <c r="J71" s="14">
        <f>_xll.BDH("NBIX US Equity","EPS_DILUTED_BEF_ABNRML_SEQ_GRWTH","FQ3 2020","FQ3 2020","Currency=USD","Period=FQ","BEST_FPERIOD_OVERRIDE=FQ","FILING_STATUS=MR","Sort=A","Dates=H","DateFormat=P","Fill=—","Direction=H","UseDPDF=Y")</f>
        <v>-40.287399999999998</v>
      </c>
      <c r="K71" s="14">
        <f>_xll.BDH("NBIX US Equity","EPS_DILUTED_BEF_ABNRML_SEQ_GRWTH","FQ4 2020","FQ4 2020","Currency=USD","Period=FQ","BEST_FPERIOD_OVERRIDE=FQ","FILING_STATUS=MR","Sort=A","Dates=H","DateFormat=P","Fill=—","Direction=H","UseDPDF=Y")</f>
        <v>228.61089999999999</v>
      </c>
      <c r="L71" s="14">
        <f>_xll.BDH("NBIX US Equity","EPS_DILUTED_BEF_ABNRML_SEQ_GRWTH","FQ1 2021","FQ1 2021","Currency=USD","Period=FQ","BEST_FPERIOD_OVERRIDE=FQ","FILING_STATUS=MR","Sort=A","Dates=H","DateFormat=P","Fill=—","Direction=H","UseDPDF=Y")</f>
        <v>-85.676400000000001</v>
      </c>
      <c r="M71" s="14">
        <f>_xll.BDH("NBIX US Equity","EPS_DILUTED_BEF_ABNRML_SEQ_GRWTH","FQ2 2021","FQ2 2021","Currency=USD","Period=FQ","BEST_FPERIOD_OVERRIDE=FQ","FILING_STATUS=MR","Sort=A","Dates=H","DateFormat=P","Fill=—","Direction=H","UseDPDF=Y")</f>
        <v>45.35</v>
      </c>
      <c r="N71" s="14">
        <f>_xll.BDH("NBIX US Equity","EPS_DILUTED_BEF_ABNRML_SEQ_GRWTH","FQ3 2021","FQ3 2021","Currency=USD","Period=FQ","BEST_FPERIOD_OVERRIDE=FQ","FILING_STATUS=MR","Sort=A","Dates=H","DateFormat=P","Fill=—","Direction=H","UseDPDF=Y")</f>
        <v>-35.521000000000001</v>
      </c>
      <c r="O71" s="14">
        <f>_xll.BDH("NBIX US Equity","EPS_DILUTED_BEF_ABNRML_SEQ_GRWTH","FQ4 2021","FQ4 2021","Currency=USD","Period=FQ","BEST_FPERIOD_OVERRIDE=FQ","FILING_STATUS=MR","Sort=A","Dates=H","DateFormat=P","Fill=—","Direction=H","UseDPDF=Y")</f>
        <v>69.297600000000003</v>
      </c>
      <c r="P71" s="14">
        <f>_xll.BDH("NBIX US Equity","EPS_DILUTED_BEF_ABNRML_SEQ_GRWTH","FQ1 2022","FQ1 2022","Currency=USD","Period=FQ","BEST_FPERIOD_OVERRIDE=FQ","FILING_STATUS=MR","Sort=A","Dates=H","DateFormat=P","Fill=—","Direction=H","UseDPDF=Y")</f>
        <v>-108.5022</v>
      </c>
      <c r="Q71" s="14" t="str">
        <f>_xll.BDH("NBIX US Equity","EPS_DILUTED_BEF_ABNRML_SEQ_GRWTH","FQ2 2022","FQ2 2022","Currency=USD","Period=FQ","BEST_FPERIOD_OVERRIDE=FQ","FILING_STATUS=MR","Sort=A","Dates=H","DateFormat=P","Fill=—","Direction=H","UseDPDF=Y")</f>
        <v>—</v>
      </c>
      <c r="R71" s="14" t="str">
        <f>_xll.BDH("NBIX US Equity","EPS_DILUTED_BEF_ABNRML_SEQ_GRWTH","FQ3 2022","FQ3 2022","Currency=USD","Period=FQ","BEST_FPERIOD_OVERRIDE=FQ","FILING_STATUS=MR","Sort=A","Dates=H","DateFormat=P","Fill=—","Direction=H","UseDPDF=Y")</f>
        <v>—</v>
      </c>
      <c r="S71" s="14">
        <f>_xll.BDH("NBIX US Equity","EPS_DILUTED_BEF_ABNRML_SEQ_GRWTH","FQ4 2022","FQ4 2022","Currency=USD","Period=FQ","BEST_FPERIOD_OVERRIDE=FQ","FILING_STATUS=MR","Sort=A","Dates=H","DateFormat=P","Fill=—","Direction=H","UseDPDF=Y")</f>
        <v>12.132400000000001</v>
      </c>
      <c r="T71" s="14">
        <f>_xll.BDH("NBIX US Equity","EPS_DILUTED_BEF_ABNRML_SEQ_GRWTH","FQ1 2023","FQ1 2023","Currency=USD","Period=FQ","BEST_FPERIOD_OVERRIDE=FQ","FILING_STATUS=MR","Sort=A","Dates=H","DateFormat=P","Fill=—","Direction=H","UseDPDF=Y")</f>
        <v>-59.007599999999996</v>
      </c>
      <c r="U71" s="14">
        <f>_xll.BDH("NBIX US Equity","EPS_DILUTED_BEF_ABNRML_SEQ_GRWTH","FQ2 2023","FQ2 2023","Currency=USD","Period=FQ","BEST_FPERIOD_OVERRIDE=FQ","FILING_STATUS=MR","Sort=A","Dates=H","DateFormat=P","Fill=—","Direction=H","UseDPDF=Y")</f>
        <v>79.7346</v>
      </c>
      <c r="V71" s="14">
        <f>_xll.BDH("NBIX US Equity","EPS_DILUTED_BEF_ABNRML_SEQ_GRWTH","FQ3 2023","FQ3 2023","Currency=USD","Period=FQ","BEST_FPERIOD_OVERRIDE=FQ","FILING_STATUS=MR","Sort=A","Dates=H","DateFormat=P","Fill=—","Direction=H","UseDPDF=Y")</f>
        <v>107.8301</v>
      </c>
      <c r="W71" s="14">
        <f>_xll.BDH("NBIX US Equity","EPS_DILUTED_BEF_ABNRML_SEQ_GRWTH","FQ4 2023","FQ4 2023","Currency=USD","Period=FQ","BEST_FPERIOD_OVERRIDE=FQ","FILING_STATUS=MR","Sort=A","Dates=H","DateFormat=P","Fill=—","Direction=H","UseDPDF=Y")</f>
        <v>-10.7941</v>
      </c>
      <c r="X71" s="14">
        <f>_xll.BDH("NBIX US Equity","EPS_DILUTED_BEF_ABNRML_SEQ_GRWTH","FQ1 2024","FQ1 2024","Currency=USD","Period=FQ","BEST_FPERIOD_OVERRIDE=FQ","FILING_STATUS=MR","Sort=A","Dates=H","DateFormat=P","Fill=—","Direction=H","UseDPDF=Y")</f>
        <v>-62.4786</v>
      </c>
      <c r="Y71" s="14">
        <f>_xll.BDH("NBIX US Equity","EPS_DILUTED_BEF_ABNRML_SEQ_GRWTH","FQ2 2024","FQ2 2024","Currency=USD","Period=FQ","BEST_FPERIOD_OVERRIDE=FQ","FILING_STATUS=MR","Sort=A","Dates=H","DateFormat=P","Fill=—","Direction=H","UseDPDF=Y")</f>
        <v>268.53769999999997</v>
      </c>
      <c r="Z71" s="14">
        <f>_xll.BDH("NBIX US Equity","EPS_DILUTED_BEF_ABNRML_SEQ_GRWTH","FQ3 2024","FQ3 2024","Currency=USD","Period=FQ","BEST_FPERIOD_OVERRIDE=FQ","FILING_STATUS=MR","Sort=A","Dates=H","DateFormat=P","Fill=—","Direction=H","UseDPDF=Y")</f>
        <v>-10.5947</v>
      </c>
      <c r="AA71" s="14">
        <f>_xll.BDH("NBIX US Equity","EPS_DILUTED_BEF_ABNRML_SEQ_GRWTH","FQ4 2024","FQ4 2024","Currency=USD","Period=FQ","BEST_FPERIOD_OVERRIDE=FQ","FILING_STATUS=MR","Sort=A","Dates=H","DateFormat=P","Fill=—","Direction=H","UseDPDF=Y")</f>
        <v>-30.722300000000001</v>
      </c>
    </row>
    <row r="72" spans="1:27" x14ac:dyDescent="0.25">
      <c r="A72" s="10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5">
      <c r="A73" s="10" t="s">
        <v>1288</v>
      </c>
      <c r="B73" s="10" t="s">
        <v>1353</v>
      </c>
      <c r="C73" s="14">
        <f>_xll.BDH("NBIX US Equity","ACCOUNTS_RECEIVABLE_SEQ_GROWTH","FQ4 2018","FQ4 2018","Currency=USD","Period=FQ","BEST_FPERIOD_OVERRIDE=FQ","FILING_STATUS=MR","Sort=A","Dates=H","DateFormat=P","Fill=—","Direction=H","UseDPDF=Y")</f>
        <v>3.9613999999999998</v>
      </c>
      <c r="D73" s="14">
        <f>_xll.BDH("NBIX US Equity","ACCOUNTS_RECEIVABLE_SEQ_GROWTH","FQ1 2019","FQ1 2019","Currency=USD","Period=FQ","BEST_FPERIOD_OVERRIDE=FQ","FILING_STATUS=MR","Sort=A","Dates=H","DateFormat=P","Fill=—","Direction=H","UseDPDF=Y")</f>
        <v>27.9587</v>
      </c>
      <c r="E73" s="14">
        <f>_xll.BDH("NBIX US Equity","ACCOUNTS_RECEIVABLE_SEQ_GROWTH","FQ2 2019","FQ2 2019","Currency=USD","Period=FQ","BEST_FPERIOD_OVERRIDE=FQ","FILING_STATUS=MR","Sort=A","Dates=H","DateFormat=P","Fill=—","Direction=H","UseDPDF=Y")</f>
        <v>32.506500000000003</v>
      </c>
      <c r="F73" s="14">
        <f>_xll.BDH("NBIX US Equity","ACCOUNTS_RECEIVABLE_SEQ_GROWTH","FQ3 2019","FQ3 2019","Currency=USD","Period=FQ","BEST_FPERIOD_OVERRIDE=FQ","FILING_STATUS=MR","Sort=A","Dates=H","DateFormat=P","Fill=—","Direction=H","UseDPDF=Y")</f>
        <v>20.9329</v>
      </c>
      <c r="G73" s="14">
        <f>_xll.BDH("NBIX US Equity","ACCOUNTS_RECEIVABLE_SEQ_GROWTH","FQ4 2019","FQ4 2019","Currency=USD","Period=FQ","BEST_FPERIOD_OVERRIDE=FQ","FILING_STATUS=MR","Sort=A","Dates=H","DateFormat=P","Fill=—","Direction=H","UseDPDF=Y")</f>
        <v>9.7834000000000003</v>
      </c>
      <c r="H73" s="14">
        <f>_xll.BDH("NBIX US Equity","ACCOUNTS_RECEIVABLE_SEQ_GROWTH","FQ1 2020","FQ1 2020","Currency=USD","Period=FQ","BEST_FPERIOD_OVERRIDE=FQ","FILING_STATUS=MR","Sort=A","Dates=H","DateFormat=P","Fill=—","Direction=H","UseDPDF=Y")</f>
        <v>17.377600000000001</v>
      </c>
      <c r="I73" s="14">
        <f>_xll.BDH("NBIX US Equity","ACCOUNTS_RECEIVABLE_SEQ_GROWTH","FQ2 2020","FQ2 2020","Currency=USD","Period=FQ","BEST_FPERIOD_OVERRIDE=FQ","FILING_STATUS=MR","Sort=A","Dates=H","DateFormat=P","Fill=—","Direction=H","UseDPDF=Y")</f>
        <v>-0.1346</v>
      </c>
      <c r="J73" s="14">
        <f>_xll.BDH("NBIX US Equity","ACCOUNTS_RECEIVABLE_SEQ_GROWTH","FQ3 2020","FQ3 2020","Currency=USD","Period=FQ","BEST_FPERIOD_OVERRIDE=FQ","FILING_STATUS=MR","Sort=A","Dates=H","DateFormat=P","Fill=—","Direction=H","UseDPDF=Y")</f>
        <v>5.7278000000000002</v>
      </c>
      <c r="K73" s="14">
        <f>_xll.BDH("NBIX US Equity","ACCOUNTS_RECEIVABLE_SEQ_GROWTH","FQ4 2020","FQ4 2020","Currency=USD","Period=FQ","BEST_FPERIOD_OVERRIDE=FQ","FILING_STATUS=MR","Sort=A","Dates=H","DateFormat=P","Fill=—","Direction=H","UseDPDF=Y")</f>
        <v>0.1275</v>
      </c>
      <c r="L73" s="14">
        <f>_xll.BDH("NBIX US Equity","ACCOUNTS_RECEIVABLE_SEQ_GROWTH","FQ1 2021","FQ1 2021","Currency=USD","Period=FQ","BEST_FPERIOD_OVERRIDE=FQ","FILING_STATUS=MR","Sort=A","Dates=H","DateFormat=P","Fill=—","Direction=H","UseDPDF=Y")</f>
        <v>-5.9198000000000004</v>
      </c>
      <c r="M73" s="14">
        <f>_xll.BDH("NBIX US Equity","ACCOUNTS_RECEIVABLE_SEQ_GROWTH","FQ2 2021","FQ2 2021","Currency=USD","Period=FQ","BEST_FPERIOD_OVERRIDE=FQ","FILING_STATUS=MR","Sort=A","Dates=H","DateFormat=P","Fill=—","Direction=H","UseDPDF=Y")</f>
        <v>7.2394999999999996</v>
      </c>
      <c r="N73" s="14">
        <f>_xll.BDH("NBIX US Equity","ACCOUNTS_RECEIVABLE_SEQ_GROWTH","FQ3 2021","FQ3 2021","Currency=USD","Period=FQ","BEST_FPERIOD_OVERRIDE=FQ","FILING_STATUS=MR","Sort=A","Dates=H","DateFormat=P","Fill=—","Direction=H","UseDPDF=Y")</f>
        <v>3.3437999999999999</v>
      </c>
      <c r="O73" s="14">
        <f>_xll.BDH("NBIX US Equity","ACCOUNTS_RECEIVABLE_SEQ_GROWTH","FQ4 2021","FQ4 2021","Currency=USD","Period=FQ","BEST_FPERIOD_OVERRIDE=FQ","FILING_STATUS=MR","Sort=A","Dates=H","DateFormat=P","Fill=—","Direction=H","UseDPDF=Y")</f>
        <v>13.2479</v>
      </c>
      <c r="P73" s="14">
        <f>_xll.BDH("NBIX US Equity","ACCOUNTS_RECEIVABLE_SEQ_GROWTH","FQ1 2022","FQ1 2022","Currency=USD","Period=FQ","BEST_FPERIOD_OVERRIDE=FQ","FILING_STATUS=MR","Sort=A","Dates=H","DateFormat=P","Fill=—","Direction=H","UseDPDF=Y")</f>
        <v>42.048499999999997</v>
      </c>
      <c r="Q73" s="14">
        <f>_xll.BDH("NBIX US Equity","ACCOUNTS_RECEIVABLE_SEQ_GROWTH","FQ2 2022","FQ2 2022","Currency=USD","Period=FQ","BEST_FPERIOD_OVERRIDE=FQ","FILING_STATUS=MR","Sort=A","Dates=H","DateFormat=P","Fill=—","Direction=H","UseDPDF=Y")</f>
        <v>5.8823999999999996</v>
      </c>
      <c r="R73" s="14">
        <f>_xll.BDH("NBIX US Equity","ACCOUNTS_RECEIVABLE_SEQ_GROWTH","FQ3 2022","FQ3 2022","Currency=USD","Period=FQ","BEST_FPERIOD_OVERRIDE=FQ","FILING_STATUS=MR","Sort=A","Dates=H","DateFormat=P","Fill=—","Direction=H","UseDPDF=Y")</f>
        <v>7.9569999999999999</v>
      </c>
      <c r="S73" s="14">
        <f>_xll.BDH("NBIX US Equity","ACCOUNTS_RECEIVABLE_SEQ_GROWTH","FQ4 2022","FQ4 2022","Currency=USD","Period=FQ","BEST_FPERIOD_OVERRIDE=FQ","FILING_STATUS=MR","Sort=A","Dates=H","DateFormat=P","Fill=—","Direction=H","UseDPDF=Y")</f>
        <v>16.201899999999998</v>
      </c>
      <c r="T73" s="14">
        <f>_xll.BDH("NBIX US Equity","ACCOUNTS_RECEIVABLE_SEQ_GROWTH","FQ1 2023","FQ1 2023","Currency=USD","Period=FQ","BEST_FPERIOD_OVERRIDE=FQ","FILING_STATUS=MR","Sort=A","Dates=H","DateFormat=P","Fill=—","Direction=H","UseDPDF=Y")</f>
        <v>11.8857</v>
      </c>
      <c r="U73" s="14">
        <f>_xll.BDH("NBIX US Equity","ACCOUNTS_RECEIVABLE_SEQ_GROWTH","FQ2 2023","FQ2 2023","Currency=USD","Period=FQ","BEST_FPERIOD_OVERRIDE=FQ","FILING_STATUS=MR","Sort=A","Dates=H","DateFormat=P","Fill=—","Direction=H","UseDPDF=Y")</f>
        <v>-1.0215000000000001</v>
      </c>
      <c r="V73" s="14">
        <f>_xll.BDH("NBIX US Equity","ACCOUNTS_RECEIVABLE_SEQ_GROWTH","FQ3 2023","FQ3 2023","Currency=USD","Period=FQ","BEST_FPERIOD_OVERRIDE=FQ","FILING_STATUS=MR","Sort=A","Dates=H","DateFormat=P","Fill=—","Direction=H","UseDPDF=Y")</f>
        <v>7.7915000000000001</v>
      </c>
      <c r="W73" s="14">
        <f>_xll.BDH("NBIX US Equity","ACCOUNTS_RECEIVABLE_SEQ_GROWTH","FQ4 2023","FQ4 2023","Currency=USD","Period=FQ","BEST_FPERIOD_OVERRIDE=FQ","FILING_STATUS=MR","Sort=A","Dates=H","DateFormat=P","Fill=—","Direction=H","UseDPDF=Y")</f>
        <v>5.1459999999999999</v>
      </c>
      <c r="X73" s="14">
        <f>_xll.BDH("NBIX US Equity","ACCOUNTS_RECEIVABLE_SEQ_GROWTH","FQ1 2024","FQ1 2024","Currency=USD","Period=FQ","BEST_FPERIOD_OVERRIDE=FQ","FILING_STATUS=MR","Sort=A","Dates=H","DateFormat=P","Fill=—","Direction=H","UseDPDF=Y")</f>
        <v>2.5950000000000002</v>
      </c>
      <c r="Y73" s="14">
        <f>_xll.BDH("NBIX US Equity","ACCOUNTS_RECEIVABLE_SEQ_GROWTH","FQ2 2024","FQ2 2024","Currency=USD","Period=FQ","BEST_FPERIOD_OVERRIDE=FQ","FILING_STATUS=MR","Sort=A","Dates=H","DateFormat=P","Fill=—","Direction=H","UseDPDF=Y")</f>
        <v>3.8828</v>
      </c>
      <c r="Z73" s="14">
        <f>_xll.BDH("NBIX US Equity","ACCOUNTS_RECEIVABLE_SEQ_GROWTH","FQ3 2024","FQ3 2024","Currency=USD","Period=FQ","BEST_FPERIOD_OVERRIDE=FQ","FILING_STATUS=MR","Sort=A","Dates=H","DateFormat=P","Fill=—","Direction=H","UseDPDF=Y")</f>
        <v>2.7551999999999999</v>
      </c>
      <c r="AA73" s="14">
        <f>_xll.BDH("NBIX US Equity","ACCOUNTS_RECEIVABLE_SEQ_GROWTH","FQ4 2024","FQ4 2024","Currency=USD","Period=FQ","BEST_FPERIOD_OVERRIDE=FQ","FILING_STATUS=MR","Sort=A","Dates=H","DateFormat=P","Fill=—","Direction=H","UseDPDF=Y")</f>
        <v>-0.41570000000000001</v>
      </c>
    </row>
    <row r="74" spans="1:27" x14ac:dyDescent="0.25">
      <c r="A74" s="10" t="s">
        <v>1290</v>
      </c>
      <c r="B74" s="10" t="s">
        <v>1354</v>
      </c>
      <c r="C74" s="14">
        <f>_xll.BDH("NBIX US Equity","INVENTORY_SEQUENTIAL_GROWTH","FQ4 2018","FQ4 2018","Currency=USD","Period=FQ","BEST_FPERIOD_OVERRIDE=FQ","FILING_STATUS=MR","Sort=A","Dates=H","DateFormat=P","Fill=—","Direction=H","UseDPDF=Y")</f>
        <v>79.451599999999999</v>
      </c>
      <c r="D74" s="14">
        <f>_xll.BDH("NBIX US Equity","INVENTORY_SEQUENTIAL_GROWTH","FQ1 2019","FQ1 2019","Currency=USD","Period=FQ","BEST_FPERIOD_OVERRIDE=FQ","FILING_STATUS=MR","Sort=A","Dates=H","DateFormat=P","Fill=—","Direction=H","UseDPDF=Y")</f>
        <v>19.753299999999999</v>
      </c>
      <c r="E74" s="14">
        <f>_xll.BDH("NBIX US Equity","INVENTORY_SEQUENTIAL_GROWTH","FQ2 2019","FQ2 2019","Currency=USD","Period=FQ","BEST_FPERIOD_OVERRIDE=FQ","FILING_STATUS=MR","Sort=A","Dates=H","DateFormat=P","Fill=—","Direction=H","UseDPDF=Y")</f>
        <v>-7.6249000000000002</v>
      </c>
      <c r="F74" s="14">
        <f>_xll.BDH("NBIX US Equity","INVENTORY_SEQUENTIAL_GROWTH","FQ3 2019","FQ3 2019","Currency=USD","Period=FQ","BEST_FPERIOD_OVERRIDE=FQ","FILING_STATUS=MR","Sort=A","Dates=H","DateFormat=P","Fill=—","Direction=H","UseDPDF=Y")</f>
        <v>-10.151400000000001</v>
      </c>
      <c r="G74" s="14">
        <f>_xll.BDH("NBIX US Equity","INVENTORY_SEQUENTIAL_GROWTH","FQ4 2019","FQ4 2019","Currency=USD","Period=FQ","BEST_FPERIOD_OVERRIDE=FQ","FILING_STATUS=MR","Sort=A","Dates=H","DateFormat=P","Fill=—","Direction=H","UseDPDF=Y")</f>
        <v>60.2149</v>
      </c>
      <c r="H74" s="14">
        <f>_xll.BDH("NBIX US Equity","INVENTORY_SEQUENTIAL_GROWTH","FQ1 2020","FQ1 2020","Currency=USD","Period=FQ","BEST_FPERIOD_OVERRIDE=FQ","FILING_STATUS=MR","Sort=A","Dates=H","DateFormat=P","Fill=—","Direction=H","UseDPDF=Y")</f>
        <v>22.543399999999998</v>
      </c>
      <c r="I74" s="14">
        <f>_xll.BDH("NBIX US Equity","INVENTORY_SEQUENTIAL_GROWTH","FQ2 2020","FQ2 2020","Currency=USD","Period=FQ","BEST_FPERIOD_OVERRIDE=FQ","FILING_STATUS=MR","Sort=A","Dates=H","DateFormat=P","Fill=—","Direction=H","UseDPDF=Y")</f>
        <v>3.7736000000000001</v>
      </c>
      <c r="J74" s="14">
        <f>_xll.BDH("NBIX US Equity","INVENTORY_SEQUENTIAL_GROWTH","FQ3 2020","FQ3 2020","Currency=USD","Period=FQ","BEST_FPERIOD_OVERRIDE=FQ","FILING_STATUS=MR","Sort=A","Dates=H","DateFormat=P","Fill=—","Direction=H","UseDPDF=Y")</f>
        <v>-6.3635999999999999</v>
      </c>
      <c r="K74" s="14">
        <f>_xll.BDH("NBIX US Equity","INVENTORY_SEQUENTIAL_GROWTH","FQ4 2020","FQ4 2020","Currency=USD","Period=FQ","BEST_FPERIOD_OVERRIDE=FQ","FILING_STATUS=MR","Sort=A","Dates=H","DateFormat=P","Fill=—","Direction=H","UseDPDF=Y")</f>
        <v>35.9223</v>
      </c>
      <c r="L74" s="14">
        <f>_xll.BDH("NBIX US Equity","INVENTORY_SEQUENTIAL_GROWTH","FQ1 2021","FQ1 2021","Currency=USD","Period=FQ","BEST_FPERIOD_OVERRIDE=FQ","FILING_STATUS=MR","Sort=A","Dates=H","DateFormat=P","Fill=—","Direction=H","UseDPDF=Y")</f>
        <v>7.5</v>
      </c>
      <c r="M74" s="14">
        <f>_xll.BDH("NBIX US Equity","INVENTORY_SEQUENTIAL_GROWTH","FQ2 2021","FQ2 2021","Currency=USD","Period=FQ","BEST_FPERIOD_OVERRIDE=FQ","FILING_STATUS=MR","Sort=A","Dates=H","DateFormat=P","Fill=—","Direction=H","UseDPDF=Y")</f>
        <v>-5.9801000000000002</v>
      </c>
      <c r="N74" s="14">
        <f>_xll.BDH("NBIX US Equity","INVENTORY_SEQUENTIAL_GROWTH","FQ3 2021","FQ3 2021","Currency=USD","Period=FQ","BEST_FPERIOD_OVERRIDE=FQ","FILING_STATUS=MR","Sort=A","Dates=H","DateFormat=P","Fill=—","Direction=H","UseDPDF=Y")</f>
        <v>-9.8940000000000001</v>
      </c>
      <c r="O74" s="14">
        <f>_xll.BDH("NBIX US Equity","INVENTORY_SEQUENTIAL_GROWTH","FQ4 2021","FQ4 2021","Currency=USD","Period=FQ","BEST_FPERIOD_OVERRIDE=FQ","FILING_STATUS=MR","Sort=A","Dates=H","DateFormat=P","Fill=—","Direction=H","UseDPDF=Y")</f>
        <v>19.607800000000001</v>
      </c>
      <c r="P74" s="14">
        <f>_xll.BDH("NBIX US Equity","INVENTORY_SEQUENTIAL_GROWTH","FQ1 2022","FQ1 2022","Currency=USD","Period=FQ","BEST_FPERIOD_OVERRIDE=FQ","FILING_STATUS=MR","Sort=A","Dates=H","DateFormat=P","Fill=—","Direction=H","UseDPDF=Y")</f>
        <v>-4.9180000000000001</v>
      </c>
      <c r="Q74" s="14">
        <f>_xll.BDH("NBIX US Equity","INVENTORY_SEQUENTIAL_GROWTH","FQ2 2022","FQ2 2022","Currency=USD","Period=FQ","BEST_FPERIOD_OVERRIDE=FQ","FILING_STATUS=MR","Sort=A","Dates=H","DateFormat=P","Fill=—","Direction=H","UseDPDF=Y")</f>
        <v>1.0345</v>
      </c>
      <c r="R74" s="14">
        <f>_xll.BDH("NBIX US Equity","INVENTORY_SEQUENTIAL_GROWTH","FQ3 2022","FQ3 2022","Currency=USD","Period=FQ","BEST_FPERIOD_OVERRIDE=FQ","FILING_STATUS=MR","Sort=A","Dates=H","DateFormat=P","Fill=—","Direction=H","UseDPDF=Y")</f>
        <v>26.279900000000001</v>
      </c>
      <c r="S74" s="14">
        <f>_xll.BDH("NBIX US Equity","INVENTORY_SEQUENTIAL_GROWTH","FQ4 2022","FQ4 2022","Currency=USD","Period=FQ","BEST_FPERIOD_OVERRIDE=FQ","FILING_STATUS=MR","Sort=A","Dates=H","DateFormat=P","Fill=—","Direction=H","UseDPDF=Y")</f>
        <v>-5.1351000000000004</v>
      </c>
      <c r="T74" s="14">
        <f>_xll.BDH("NBIX US Equity","INVENTORY_SEQUENTIAL_GROWTH","FQ1 2023","FQ1 2023","Currency=USD","Period=FQ","BEST_FPERIOD_OVERRIDE=FQ","FILING_STATUS=MR","Sort=A","Dates=H","DateFormat=P","Fill=—","Direction=H","UseDPDF=Y")</f>
        <v>-4.8433000000000002</v>
      </c>
      <c r="U74" s="14">
        <f>_xll.BDH("NBIX US Equity","INVENTORY_SEQUENTIAL_GROWTH","FQ2 2023","FQ2 2023","Currency=USD","Period=FQ","BEST_FPERIOD_OVERRIDE=FQ","FILING_STATUS=MR","Sort=A","Dates=H","DateFormat=P","Fill=—","Direction=H","UseDPDF=Y")</f>
        <v>-5.0898000000000003</v>
      </c>
      <c r="V74" s="14">
        <f>_xll.BDH("NBIX US Equity","INVENTORY_SEQUENTIAL_GROWTH","FQ3 2023","FQ3 2023","Currency=USD","Period=FQ","BEST_FPERIOD_OVERRIDE=FQ","FILING_STATUS=MR","Sort=A","Dates=H","DateFormat=P","Fill=—","Direction=H","UseDPDF=Y")</f>
        <v>-9.1483000000000008</v>
      </c>
      <c r="W74" s="14">
        <f>_xll.BDH("NBIX US Equity","INVENTORY_SEQUENTIAL_GROWTH","FQ4 2023","FQ4 2023","Currency=USD","Period=FQ","BEST_FPERIOD_OVERRIDE=FQ","FILING_STATUS=MR","Sort=A","Dates=H","DateFormat=P","Fill=—","Direction=H","UseDPDF=Y")</f>
        <v>32.9861</v>
      </c>
      <c r="X74" s="14">
        <f>_xll.BDH("NBIX US Equity","INVENTORY_SEQUENTIAL_GROWTH","FQ1 2024","FQ1 2024","Currency=USD","Period=FQ","BEST_FPERIOD_OVERRIDE=FQ","FILING_STATUS=MR","Sort=A","Dates=H","DateFormat=P","Fill=—","Direction=H","UseDPDF=Y")</f>
        <v>-2.8721000000000001</v>
      </c>
      <c r="Y74" s="14">
        <f>_xll.BDH("NBIX US Equity","INVENTORY_SEQUENTIAL_GROWTH","FQ2 2024","FQ2 2024","Currency=USD","Period=FQ","BEST_FPERIOD_OVERRIDE=FQ","FILING_STATUS=MR","Sort=A","Dates=H","DateFormat=P","Fill=—","Direction=H","UseDPDF=Y")</f>
        <v>14.247299999999999</v>
      </c>
      <c r="Z74" s="14">
        <f>_xll.BDH("NBIX US Equity","INVENTORY_SEQUENTIAL_GROWTH","FQ3 2024","FQ3 2024","Currency=USD","Period=FQ","BEST_FPERIOD_OVERRIDE=FQ","FILING_STATUS=MR","Sort=A","Dates=H","DateFormat=P","Fill=—","Direction=H","UseDPDF=Y")</f>
        <v>7.7647000000000004</v>
      </c>
      <c r="AA74" s="14">
        <f>_xll.BDH("NBIX US Equity","INVENTORY_SEQUENTIAL_GROWTH","FQ4 2024","FQ4 2024","Currency=USD","Period=FQ","BEST_FPERIOD_OVERRIDE=FQ","FILING_STATUS=MR","Sort=A","Dates=H","DateFormat=P","Fill=—","Direction=H","UseDPDF=Y")</f>
        <v>25.327500000000001</v>
      </c>
    </row>
    <row r="75" spans="1:27" x14ac:dyDescent="0.25">
      <c r="A75" s="10" t="s">
        <v>1292</v>
      </c>
      <c r="B75" s="10" t="s">
        <v>1355</v>
      </c>
      <c r="C75" s="14">
        <f>_xll.BDH("NBIX US Equity","FIXED_ASSETS_SEQUENTIAL_GROWTH","FQ4 2018","FQ4 2018","Currency=USD","Period=FQ","BEST_FPERIOD_OVERRIDE=FQ","FILING_STATUS=MR","Sort=A","Dates=H","DateFormat=P","Fill=—","Direction=H","UseDPDF=Y")</f>
        <v>18.348600000000001</v>
      </c>
      <c r="D75" s="14">
        <f>_xll.BDH("NBIX US Equity","FIXED_ASSETS_SEQUENTIAL_GROWTH","FQ1 2019","FQ1 2019","Currency=USD","Period=FQ","BEST_FPERIOD_OVERRIDE=FQ","FILING_STATUS=MR","Sort=A","Dates=H","DateFormat=P","Fill=—","Direction=H","UseDPDF=Y")</f>
        <v>153.81620000000001</v>
      </c>
      <c r="E75" s="14">
        <f>_xll.BDH("NBIX US Equity","FIXED_ASSETS_SEQUENTIAL_GROWTH","FQ2 2019","FQ2 2019","Currency=USD","Period=FQ","BEST_FPERIOD_OVERRIDE=FQ","FILING_STATUS=MR","Sort=A","Dates=H","DateFormat=P","Fill=—","Direction=H","UseDPDF=Y")</f>
        <v>3.1907999999999999</v>
      </c>
      <c r="F75" s="14">
        <f>_xll.BDH("NBIX US Equity","FIXED_ASSETS_SEQUENTIAL_GROWTH","FQ3 2019","FQ3 2019","Currency=USD","Period=FQ","BEST_FPERIOD_OVERRIDE=FQ","FILING_STATUS=MR","Sort=A","Dates=H","DateFormat=P","Fill=—","Direction=H","UseDPDF=Y")</f>
        <v>15.309799999999999</v>
      </c>
      <c r="G75" s="14">
        <f>_xll.BDH("NBIX US Equity","FIXED_ASSETS_SEQUENTIAL_GROWTH","FQ4 2019","FQ4 2019","Currency=USD","Period=FQ","BEST_FPERIOD_OVERRIDE=FQ","FILING_STATUS=MR","Sort=A","Dates=H","DateFormat=P","Fill=—","Direction=H","UseDPDF=Y")</f>
        <v>13.5997</v>
      </c>
      <c r="H75" s="14">
        <f>_xll.BDH("NBIX US Equity","FIXED_ASSETS_SEQUENTIAL_GROWTH","FQ1 2020","FQ1 2020","Currency=USD","Period=FQ","BEST_FPERIOD_OVERRIDE=FQ","FILING_STATUS=MR","Sort=A","Dates=H","DateFormat=P","Fill=—","Direction=H","UseDPDF=Y")</f>
        <v>-0.86060000000000003</v>
      </c>
      <c r="I75" s="14">
        <f>_xll.BDH("NBIX US Equity","FIXED_ASSETS_SEQUENTIAL_GROWTH","FQ2 2020","FQ2 2020","Currency=USD","Period=FQ","BEST_FPERIOD_OVERRIDE=FQ","FILING_STATUS=MR","Sort=A","Dates=H","DateFormat=P","Fill=—","Direction=H","UseDPDF=Y")</f>
        <v>1.3021</v>
      </c>
      <c r="J75" s="14">
        <f>_xll.BDH("NBIX US Equity","FIXED_ASSETS_SEQUENTIAL_GROWTH","FQ3 2020","FQ3 2020","Currency=USD","Period=FQ","BEST_FPERIOD_OVERRIDE=FQ","FILING_STATUS=MR","Sort=A","Dates=H","DateFormat=P","Fill=—","Direction=H","UseDPDF=Y")</f>
        <v>-2.3136000000000001</v>
      </c>
      <c r="K75" s="14">
        <f>_xll.BDH("NBIX US Equity","FIXED_ASSETS_SEQUENTIAL_GROWTH","FQ4 2020","FQ4 2020","Currency=USD","Period=FQ","BEST_FPERIOD_OVERRIDE=FQ","FILING_STATUS=MR","Sort=A","Dates=H","DateFormat=P","Fill=—","Direction=H","UseDPDF=Y")</f>
        <v>11.7544</v>
      </c>
      <c r="L75" s="14">
        <f>_xll.BDH("NBIX US Equity","FIXED_ASSETS_SEQUENTIAL_GROWTH","FQ1 2021","FQ1 2021","Currency=USD","Period=FQ","BEST_FPERIOD_OVERRIDE=FQ","FILING_STATUS=MR","Sort=A","Dates=H","DateFormat=P","Fill=—","Direction=H","UseDPDF=Y")</f>
        <v>11.695399999999999</v>
      </c>
      <c r="M75" s="14">
        <f>_xll.BDH("NBIX US Equity","FIXED_ASSETS_SEQUENTIAL_GROWTH","FQ2 2021","FQ2 2021","Currency=USD","Period=FQ","BEST_FPERIOD_OVERRIDE=FQ","FILING_STATUS=MR","Sort=A","Dates=H","DateFormat=P","Fill=—","Direction=H","UseDPDF=Y")</f>
        <v>5.6219000000000001</v>
      </c>
      <c r="N75" s="14">
        <f>_xll.BDH("NBIX US Equity","FIXED_ASSETS_SEQUENTIAL_GROWTH","FQ3 2021","FQ3 2021","Currency=USD","Period=FQ","BEST_FPERIOD_OVERRIDE=FQ","FILING_STATUS=MR","Sort=A","Dates=H","DateFormat=P","Fill=—","Direction=H","UseDPDF=Y")</f>
        <v>-0.8649</v>
      </c>
      <c r="O75" s="14">
        <f>_xll.BDH("NBIX US Equity","FIXED_ASSETS_SEQUENTIAL_GROWTH","FQ4 2021","FQ4 2021","Currency=USD","Period=FQ","BEST_FPERIOD_OVERRIDE=FQ","FILING_STATUS=MR","Sort=A","Dates=H","DateFormat=P","Fill=—","Direction=H","UseDPDF=Y")</f>
        <v>4.5637999999999996</v>
      </c>
      <c r="P75" s="14">
        <f>_xll.BDH("NBIX US Equity","FIXED_ASSETS_SEQUENTIAL_GROWTH","FQ1 2022","FQ1 2022","Currency=USD","Period=FQ","BEST_FPERIOD_OVERRIDE=FQ","FILING_STATUS=MR","Sort=A","Dates=H","DateFormat=P","Fill=—","Direction=H","UseDPDF=Y")</f>
        <v>1.7971999999999999</v>
      </c>
      <c r="Q75" s="14">
        <f>_xll.BDH("NBIX US Equity","FIXED_ASSETS_SEQUENTIAL_GROWTH","FQ2 2022","FQ2 2022","Currency=USD","Period=FQ","BEST_FPERIOD_OVERRIDE=FQ","FILING_STATUS=MR","Sort=A","Dates=H","DateFormat=P","Fill=—","Direction=H","UseDPDF=Y")</f>
        <v>0.25219999999999998</v>
      </c>
      <c r="R75" s="14">
        <f>_xll.BDH("NBIX US Equity","FIXED_ASSETS_SEQUENTIAL_GROWTH","FQ3 2022","FQ3 2022","Currency=USD","Period=FQ","BEST_FPERIOD_OVERRIDE=FQ","FILING_STATUS=MR","Sort=A","Dates=H","DateFormat=P","Fill=—","Direction=H","UseDPDF=Y")</f>
        <v>-5.3459000000000003</v>
      </c>
      <c r="S75" s="14">
        <f>_xll.BDH("NBIX US Equity","FIXED_ASSETS_SEQUENTIAL_GROWTH","FQ4 2022","FQ4 2022","Currency=USD","Period=FQ","BEST_FPERIOD_OVERRIDE=FQ","FILING_STATUS=MR","Sort=A","Dates=H","DateFormat=P","Fill=—","Direction=H","UseDPDF=Y")</f>
        <v>-3.2557999999999998</v>
      </c>
      <c r="T75" s="14">
        <f>_xll.BDH("NBIX US Equity","FIXED_ASSETS_SEQUENTIAL_GROWTH","FQ1 2023","FQ1 2023","Currency=USD","Period=FQ","BEST_FPERIOD_OVERRIDE=FQ","FILING_STATUS=MR","Sort=A","Dates=H","DateFormat=P","Fill=—","Direction=H","UseDPDF=Y")</f>
        <v>1.0989</v>
      </c>
      <c r="U75" s="14">
        <f>_xll.BDH("NBIX US Equity","FIXED_ASSETS_SEQUENTIAL_GROWTH","FQ2 2023","FQ2 2023","Currency=USD","Period=FQ","BEST_FPERIOD_OVERRIDE=FQ","FILING_STATUS=MR","Sort=A","Dates=H","DateFormat=P","Fill=—","Direction=H","UseDPDF=Y")</f>
        <v>1.2907999999999999</v>
      </c>
      <c r="V75" s="14">
        <f>_xll.BDH("NBIX US Equity","FIXED_ASSETS_SEQUENTIAL_GROWTH","FQ3 2023","FQ3 2023","Currency=USD","Period=FQ","BEST_FPERIOD_OVERRIDE=FQ","FILING_STATUS=MR","Sort=A","Dates=H","DateFormat=P","Fill=—","Direction=H","UseDPDF=Y")</f>
        <v>0.33529999999999999</v>
      </c>
      <c r="W75" s="14">
        <f>_xll.BDH("NBIX US Equity","FIXED_ASSETS_SEQUENTIAL_GROWTH","FQ4 2023","FQ4 2023","Currency=USD","Period=FQ","BEST_FPERIOD_OVERRIDE=FQ","FILING_STATUS=MR","Sort=A","Dates=H","DateFormat=P","Fill=—","Direction=H","UseDPDF=Y")</f>
        <v>132.1524</v>
      </c>
      <c r="X75" s="14">
        <f>_xll.BDH("NBIX US Equity","FIXED_ASSETS_SEQUENTIAL_GROWTH","FQ1 2024","FQ1 2024","Currency=USD","Period=FQ","BEST_FPERIOD_OVERRIDE=FQ","FILING_STATUS=MR","Sort=A","Dates=H","DateFormat=P","Fill=—","Direction=H","UseDPDF=Y")</f>
        <v>-0.34549999999999997</v>
      </c>
      <c r="Y75" s="14">
        <f>_xll.BDH("NBIX US Equity","FIXED_ASSETS_SEQUENTIAL_GROWTH","FQ2 2024","FQ2 2024","Currency=USD","Period=FQ","BEST_FPERIOD_OVERRIDE=FQ","FILING_STATUS=MR","Sort=A","Dates=H","DateFormat=P","Fill=—","Direction=H","UseDPDF=Y")</f>
        <v>-0.89570000000000005</v>
      </c>
      <c r="Z75" s="14">
        <f>_xll.BDH("NBIX US Equity","FIXED_ASSETS_SEQUENTIAL_GROWTH","FQ3 2024","FQ3 2024","Currency=USD","Period=FQ","BEST_FPERIOD_OVERRIDE=FQ","FILING_STATUS=MR","Sort=A","Dates=H","DateFormat=P","Fill=—","Direction=H","UseDPDF=Y")</f>
        <v>-1.6617999999999999</v>
      </c>
      <c r="AA75" s="14">
        <f>_xll.BDH("NBIX US Equity","FIXED_ASSETS_SEQUENTIAL_GROWTH","FQ4 2024","FQ4 2024","Currency=USD","Period=FQ","BEST_FPERIOD_OVERRIDE=FQ","FILING_STATUS=MR","Sort=A","Dates=H","DateFormat=P","Fill=—","Direction=H","UseDPDF=Y")</f>
        <v>75.511399999999995</v>
      </c>
    </row>
    <row r="76" spans="1:27" x14ac:dyDescent="0.25">
      <c r="A76" s="10" t="s">
        <v>112</v>
      </c>
      <c r="B76" s="10" t="s">
        <v>1356</v>
      </c>
      <c r="C76" s="14">
        <f>_xll.BDH("NBIX US Equity","TOTAL_ASSETS_SEQUENTIAL_GROWTH","FQ4 2018","FQ4 2018","Currency=USD","Period=FQ","BEST_FPERIOD_OVERRIDE=FQ","FILING_STATUS=MR","Sort=A","Dates=H","DateFormat=P","Fill=—","Direction=H","UseDPDF=Y")</f>
        <v>6.3620000000000001</v>
      </c>
      <c r="D76" s="14">
        <f>_xll.BDH("NBIX US Equity","TOTAL_ASSETS_SEQUENTIAL_GROWTH","FQ1 2019","FQ1 2019","Currency=USD","Period=FQ","BEST_FPERIOD_OVERRIDE=FQ","FILING_STATUS=MR","Sort=A","Dates=H","DateFormat=P","Fill=—","Direction=H","UseDPDF=Y")</f>
        <v>-3.5672000000000001</v>
      </c>
      <c r="E76" s="14">
        <f>_xll.BDH("NBIX US Equity","TOTAL_ASSETS_SEQUENTIAL_GROWTH","FQ2 2019","FQ2 2019","Currency=USD","Period=FQ","BEST_FPERIOD_OVERRIDE=FQ","FILING_STATUS=MR","Sort=A","Dates=H","DateFormat=P","Fill=—","Direction=H","UseDPDF=Y")</f>
        <v>11.3956</v>
      </c>
      <c r="F76" s="14">
        <f>_xll.BDH("NBIX US Equity","TOTAL_ASSETS_SEQUENTIAL_GROWTH","FQ3 2019","FQ3 2019","Currency=USD","Period=FQ","BEST_FPERIOD_OVERRIDE=FQ","FILING_STATUS=MR","Sort=A","Dates=H","DateFormat=P","Fill=—","Direction=H","UseDPDF=Y")</f>
        <v>10.598800000000001</v>
      </c>
      <c r="G76" s="14">
        <f>_xll.BDH("NBIX US Equity","TOTAL_ASSETS_SEQUENTIAL_GROWTH","FQ4 2019","FQ4 2019","Currency=USD","Period=FQ","BEST_FPERIOD_OVERRIDE=FQ","FILING_STATUS=MR","Sort=A","Dates=H","DateFormat=P","Fill=—","Direction=H","UseDPDF=Y")</f>
        <v>10.684100000000001</v>
      </c>
      <c r="H76" s="14">
        <f>_xll.BDH("NBIX US Equity","TOTAL_ASSETS_SEQUENTIAL_GROWTH","FQ1 2020","FQ1 2020","Currency=USD","Period=FQ","BEST_FPERIOD_OVERRIDE=FQ","FILING_STATUS=MR","Sort=A","Dates=H","DateFormat=P","Fill=—","Direction=H","UseDPDF=Y")</f>
        <v>4.2801999999999998</v>
      </c>
      <c r="I76" s="14">
        <f>_xll.BDH("NBIX US Equity","TOTAL_ASSETS_SEQUENTIAL_GROWTH","FQ2 2020","FQ2 2020","Currency=USD","Period=FQ","BEST_FPERIOD_OVERRIDE=FQ","FILING_STATUS=MR","Sort=A","Dates=H","DateFormat=P","Fill=—","Direction=H","UseDPDF=Y")</f>
        <v>11.2857</v>
      </c>
      <c r="J76" s="14">
        <f>_xll.BDH("NBIX US Equity","TOTAL_ASSETS_SEQUENTIAL_GROWTH","FQ3 2020","FQ3 2020","Currency=USD","Period=FQ","BEST_FPERIOD_OVERRIDE=FQ","FILING_STATUS=MR","Sort=A","Dates=H","DateFormat=P","Fill=—","Direction=H","UseDPDF=Y")</f>
        <v>-0.85770000000000002</v>
      </c>
      <c r="K76" s="14">
        <f>_xll.BDH("NBIX US Equity","TOTAL_ASSETS_SEQUENTIAL_GROWTH","FQ4 2020","FQ4 2020","Currency=USD","Period=FQ","BEST_FPERIOD_OVERRIDE=FQ","FILING_STATUS=MR","Sort=A","Dates=H","DateFormat=P","Fill=—","Direction=H","UseDPDF=Y")</f>
        <v>15.4466</v>
      </c>
      <c r="L76" s="14">
        <f>_xll.BDH("NBIX US Equity","TOTAL_ASSETS_SEQUENTIAL_GROWTH","FQ1 2021","FQ1 2021","Currency=USD","Period=FQ","BEST_FPERIOD_OVERRIDE=FQ","FILING_STATUS=MR","Sort=A","Dates=H","DateFormat=P","Fill=—","Direction=H","UseDPDF=Y")</f>
        <v>6.4391999999999996</v>
      </c>
      <c r="M76" s="14">
        <f>_xll.BDH("NBIX US Equity","TOTAL_ASSETS_SEQUENTIAL_GROWTH","FQ2 2021","FQ2 2021","Currency=USD","Period=FQ","BEST_FPERIOD_OVERRIDE=FQ","FILING_STATUS=MR","Sort=A","Dates=H","DateFormat=P","Fill=—","Direction=H","UseDPDF=Y")</f>
        <v>5.9574999999999996</v>
      </c>
      <c r="N76" s="14">
        <f>_xll.BDH("NBIX US Equity","TOTAL_ASSETS_SEQUENTIAL_GROWTH","FQ3 2021","FQ3 2021","Currency=USD","Period=FQ","BEST_FPERIOD_OVERRIDE=FQ","FILING_STATUS=MR","Sort=A","Dates=H","DateFormat=P","Fill=—","Direction=H","UseDPDF=Y")</f>
        <v>3.1128999999999998</v>
      </c>
      <c r="O76" s="14">
        <f>_xll.BDH("NBIX US Equity","TOTAL_ASSETS_SEQUENTIAL_GROWTH","FQ4 2021","FQ4 2021","Currency=USD","Period=FQ","BEST_FPERIOD_OVERRIDE=FQ","FILING_STATUS=MR","Sort=A","Dates=H","DateFormat=P","Fill=—","Direction=H","UseDPDF=Y")</f>
        <v>2.7363</v>
      </c>
      <c r="P76" s="14">
        <f>_xll.BDH("NBIX US Equity","TOTAL_ASSETS_SEQUENTIAL_GROWTH","FQ1 2022","FQ1 2022","Currency=USD","Period=FQ","BEST_FPERIOD_OVERRIDE=FQ","FILING_STATUS=MR","Sort=A","Dates=H","DateFormat=P","Fill=—","Direction=H","UseDPDF=Y")</f>
        <v>3.4741</v>
      </c>
      <c r="Q76" s="14">
        <f>_xll.BDH("NBIX US Equity","TOTAL_ASSETS_SEQUENTIAL_GROWTH","FQ2 2022","FQ2 2022","Currency=USD","Period=FQ","BEST_FPERIOD_OVERRIDE=FQ","FILING_STATUS=MR","Sort=A","Dates=H","DateFormat=P","Fill=—","Direction=H","UseDPDF=Y")</f>
        <v>-6.4724000000000004</v>
      </c>
      <c r="R76" s="14">
        <f>_xll.BDH("NBIX US Equity","TOTAL_ASSETS_SEQUENTIAL_GROWTH","FQ3 2022","FQ3 2022","Currency=USD","Period=FQ","BEST_FPERIOD_OVERRIDE=FQ","FILING_STATUS=MR","Sort=A","Dates=H","DateFormat=P","Fill=—","Direction=H","UseDPDF=Y")</f>
        <v>6.8654000000000002</v>
      </c>
      <c r="S76" s="14">
        <f>_xll.BDH("NBIX US Equity","TOTAL_ASSETS_SEQUENTIAL_GROWTH","FQ4 2022","FQ4 2022","Currency=USD","Period=FQ","BEST_FPERIOD_OVERRIDE=FQ","FILING_STATUS=MR","Sort=A","Dates=H","DateFormat=P","Fill=—","Direction=H","UseDPDF=Y")</f>
        <v>10.5113</v>
      </c>
      <c r="T76" s="14">
        <f>_xll.BDH("NBIX US Equity","TOTAL_ASSETS_SEQUENTIAL_GROWTH","FQ1 2023","FQ1 2023","Currency=USD","Period=FQ","BEST_FPERIOD_OVERRIDE=FQ","FILING_STATUS=MR","Sort=A","Dates=H","DateFormat=P","Fill=—","Direction=H","UseDPDF=Y")</f>
        <v>-0.37569999999999998</v>
      </c>
      <c r="U76" s="14">
        <f>_xll.BDH("NBIX US Equity","TOTAL_ASSETS_SEQUENTIAL_GROWTH","FQ2 2023","FQ2 2023","Currency=USD","Period=FQ","BEST_FPERIOD_OVERRIDE=FQ","FILING_STATUS=MR","Sort=A","Dates=H","DateFormat=P","Fill=—","Direction=H","UseDPDF=Y")</f>
        <v>10.734</v>
      </c>
      <c r="V76" s="14">
        <f>_xll.BDH("NBIX US Equity","TOTAL_ASSETS_SEQUENTIAL_GROWTH","FQ3 2023","FQ3 2023","Currency=USD","Period=FQ","BEST_FPERIOD_OVERRIDE=FQ","FILING_STATUS=MR","Sort=A","Dates=H","DateFormat=P","Fill=—","Direction=H","UseDPDF=Y")</f>
        <v>8.9969999999999999</v>
      </c>
      <c r="W76" s="14">
        <f>_xll.BDH("NBIX US Equity","TOTAL_ASSETS_SEQUENTIAL_GROWTH","FQ4 2023","FQ4 2023","Currency=USD","Period=FQ","BEST_FPERIOD_OVERRIDE=FQ","FILING_STATUS=MR","Sort=A","Dates=H","DateFormat=P","Fill=—","Direction=H","UseDPDF=Y")</f>
        <v>14.1563</v>
      </c>
      <c r="X76" s="14">
        <f>_xll.BDH("NBIX US Equity","TOTAL_ASSETS_SEQUENTIAL_GROWTH","FQ1 2024","FQ1 2024","Currency=USD","Period=FQ","BEST_FPERIOD_OVERRIDE=FQ","FILING_STATUS=MR","Sort=A","Dates=H","DateFormat=P","Fill=—","Direction=H","UseDPDF=Y")</f>
        <v>6.7971000000000004</v>
      </c>
      <c r="Y76" s="14">
        <f>_xll.BDH("NBIX US Equity","TOTAL_ASSETS_SEQUENTIAL_GROWTH","FQ2 2024","FQ2 2024","Currency=USD","Period=FQ","BEST_FPERIOD_OVERRIDE=FQ","FILING_STATUS=MR","Sort=A","Dates=H","DateFormat=P","Fill=—","Direction=H","UseDPDF=Y")</f>
        <v>-4.8209</v>
      </c>
      <c r="Z76" s="14">
        <f>_xll.BDH("NBIX US Equity","TOTAL_ASSETS_SEQUENTIAL_GROWTH","FQ3 2024","FQ3 2024","Currency=USD","Period=FQ","BEST_FPERIOD_OVERRIDE=FQ","FILING_STATUS=MR","Sort=A","Dates=H","DateFormat=P","Fill=—","Direction=H","UseDPDF=Y")</f>
        <v>6.9592000000000001</v>
      </c>
      <c r="AA76" s="14">
        <f>_xll.BDH("NBIX US Equity","TOTAL_ASSETS_SEQUENTIAL_GROWTH","FQ4 2024","FQ4 2024","Currency=USD","Period=FQ","BEST_FPERIOD_OVERRIDE=FQ","FILING_STATUS=MR","Sort=A","Dates=H","DateFormat=P","Fill=—","Direction=H","UseDPDF=Y")</f>
        <v>5.1966000000000001</v>
      </c>
    </row>
    <row r="77" spans="1:27" x14ac:dyDescent="0.25">
      <c r="A77" s="10" t="s">
        <v>1295</v>
      </c>
      <c r="B77" s="10" t="s">
        <v>1357</v>
      </c>
      <c r="C77" s="14">
        <f>_xll.BDH("NBIX US Equity","MODIFIED_WORKING_CPTL_SEQ_GRWTH","FQ4 2018","FQ4 2018","Currency=USD","Period=FQ","BEST_FPERIOD_OVERRIDE=FQ","FILING_STATUS=MR","Sort=A","Dates=H","DateFormat=P","Fill=—","Direction=H","UseDPDF=Y")</f>
        <v>-11.3847</v>
      </c>
      <c r="D77" s="14">
        <f>_xll.BDH("NBIX US Equity","MODIFIED_WORKING_CPTL_SEQ_GRWTH","FQ1 2019","FQ1 2019","Currency=USD","Period=FQ","BEST_FPERIOD_OVERRIDE=FQ","FILING_STATUS=MR","Sort=A","Dates=H","DateFormat=P","Fill=—","Direction=H","UseDPDF=Y")</f>
        <v>59.416899999999998</v>
      </c>
      <c r="E77" s="14">
        <f>_xll.BDH("NBIX US Equity","MODIFIED_WORKING_CPTL_SEQ_GRWTH","FQ2 2019","FQ2 2019","Currency=USD","Period=FQ","BEST_FPERIOD_OVERRIDE=FQ","FILING_STATUS=MR","Sort=A","Dates=H","DateFormat=P","Fill=—","Direction=H","UseDPDF=Y")</f>
        <v>26.362200000000001</v>
      </c>
      <c r="F77" s="14">
        <f>_xll.BDH("NBIX US Equity","MODIFIED_WORKING_CPTL_SEQ_GRWTH","FQ3 2019","FQ3 2019","Currency=USD","Period=FQ","BEST_FPERIOD_OVERRIDE=FQ","FILING_STATUS=MR","Sort=A","Dates=H","DateFormat=P","Fill=—","Direction=H","UseDPDF=Y")</f>
        <v>17.453800000000001</v>
      </c>
      <c r="G77" s="14">
        <f>_xll.BDH("NBIX US Equity","MODIFIED_WORKING_CPTL_SEQ_GRWTH","FQ4 2019","FQ4 2019","Currency=USD","Period=FQ","BEST_FPERIOD_OVERRIDE=FQ","FILING_STATUS=MR","Sort=A","Dates=H","DateFormat=P","Fill=—","Direction=H","UseDPDF=Y")</f>
        <v>-10.162100000000001</v>
      </c>
      <c r="H77" s="14">
        <f>_xll.BDH("NBIX US Equity","MODIFIED_WORKING_CPTL_SEQ_GRWTH","FQ1 2020","FQ1 2020","Currency=USD","Period=FQ","BEST_FPERIOD_OVERRIDE=FQ","FILING_STATUS=MR","Sort=A","Dates=H","DateFormat=P","Fill=—","Direction=H","UseDPDF=Y")</f>
        <v>49.867600000000003</v>
      </c>
      <c r="I77" s="14">
        <f>_xll.BDH("NBIX US Equity","MODIFIED_WORKING_CPTL_SEQ_GRWTH","FQ2 2020","FQ2 2020","Currency=USD","Period=FQ","BEST_FPERIOD_OVERRIDE=FQ","FILING_STATUS=MR","Sort=A","Dates=H","DateFormat=P","Fill=—","Direction=H","UseDPDF=Y")</f>
        <v>0.35339999999999999</v>
      </c>
      <c r="J77" s="14">
        <f>_xll.BDH("NBIX US Equity","MODIFIED_WORKING_CPTL_SEQ_GRWTH","FQ3 2020","FQ3 2020","Currency=USD","Period=FQ","BEST_FPERIOD_OVERRIDE=FQ","FILING_STATUS=MR","Sort=A","Dates=H","DateFormat=P","Fill=—","Direction=H","UseDPDF=Y")</f>
        <v>4.1666999999999996</v>
      </c>
      <c r="K77" s="14">
        <f>_xll.BDH("NBIX US Equity","MODIFIED_WORKING_CPTL_SEQ_GRWTH","FQ4 2020","FQ4 2020","Currency=USD","Period=FQ","BEST_FPERIOD_OVERRIDE=FQ","FILING_STATUS=MR","Sort=A","Dates=H","DateFormat=P","Fill=—","Direction=H","UseDPDF=Y")</f>
        <v>-15.2113</v>
      </c>
      <c r="L77" s="14">
        <f>_xll.BDH("NBIX US Equity","MODIFIED_WORKING_CPTL_SEQ_GRWTH","FQ1 2021","FQ1 2021","Currency=USD","Period=FQ","BEST_FPERIOD_OVERRIDE=FQ","FILING_STATUS=MR","Sort=A","Dates=H","DateFormat=P","Fill=—","Direction=H","UseDPDF=Y")</f>
        <v>18.206</v>
      </c>
      <c r="M77" s="14">
        <f>_xll.BDH("NBIX US Equity","MODIFIED_WORKING_CPTL_SEQ_GRWTH","FQ2 2021","FQ2 2021","Currency=USD","Period=FQ","BEST_FPERIOD_OVERRIDE=FQ","FILING_STATUS=MR","Sort=A","Dates=H","DateFormat=P","Fill=—","Direction=H","UseDPDF=Y")</f>
        <v>5.0027999999999997</v>
      </c>
      <c r="N77" s="14">
        <f>_xll.BDH("NBIX US Equity","MODIFIED_WORKING_CPTL_SEQ_GRWTH","FQ3 2021","FQ3 2021","Currency=USD","Period=FQ","BEST_FPERIOD_OVERRIDE=FQ","FILING_STATUS=MR","Sort=A","Dates=H","DateFormat=P","Fill=—","Direction=H","UseDPDF=Y")</f>
        <v>1.3383</v>
      </c>
      <c r="O77" s="14">
        <f>_xll.BDH("NBIX US Equity","MODIFIED_WORKING_CPTL_SEQ_GRWTH","FQ4 2021","FQ4 2021","Currency=USD","Period=FQ","BEST_FPERIOD_OVERRIDE=FQ","FILING_STATUS=MR","Sort=A","Dates=H","DateFormat=P","Fill=—","Direction=H","UseDPDF=Y")</f>
        <v>-19.017399999999999</v>
      </c>
      <c r="P77" s="14">
        <f>_xll.BDH("NBIX US Equity","MODIFIED_WORKING_CPTL_SEQ_GRWTH","FQ1 2022","FQ1 2022","Currency=USD","Period=FQ","BEST_FPERIOD_OVERRIDE=FQ","FILING_STATUS=MR","Sort=A","Dates=H","DateFormat=P","Fill=—","Direction=H","UseDPDF=Y")</f>
        <v>90.802300000000002</v>
      </c>
      <c r="Q77" s="14">
        <f>_xll.BDH("NBIX US Equity","MODIFIED_WORKING_CPTL_SEQ_GRWTH","FQ2 2022","FQ2 2022","Currency=USD","Period=FQ","BEST_FPERIOD_OVERRIDE=FQ","FILING_STATUS=MR","Sort=A","Dates=H","DateFormat=P","Fill=—","Direction=H","UseDPDF=Y")</f>
        <v>5.4016999999999999</v>
      </c>
      <c r="R77" s="14">
        <f>_xll.BDH("NBIX US Equity","MODIFIED_WORKING_CPTL_SEQ_GRWTH","FQ3 2022","FQ3 2022","Currency=USD","Period=FQ","BEST_FPERIOD_OVERRIDE=FQ","FILING_STATUS=MR","Sort=A","Dates=H","DateFormat=P","Fill=—","Direction=H","UseDPDF=Y")</f>
        <v>9.6982999999999997</v>
      </c>
      <c r="S77" s="14">
        <f>_xll.BDH("NBIX US Equity","MODIFIED_WORKING_CPTL_SEQ_GRWTH","FQ4 2022","FQ4 2022","Currency=USD","Period=FQ","BEST_FPERIOD_OVERRIDE=FQ","FILING_STATUS=MR","Sort=A","Dates=H","DateFormat=P","Fill=—","Direction=H","UseDPDF=Y")</f>
        <v>-25.133099999999999</v>
      </c>
      <c r="T77" s="14">
        <f>_xll.BDH("NBIX US Equity","MODIFIED_WORKING_CPTL_SEQ_GRWTH","FQ1 2023","FQ1 2023","Currency=USD","Period=FQ","BEST_FPERIOD_OVERRIDE=FQ","FILING_STATUS=MR","Sort=A","Dates=H","DateFormat=P","Fill=—","Direction=H","UseDPDF=Y")</f>
        <v>67.851500000000001</v>
      </c>
      <c r="U77" s="14">
        <f>_xll.BDH("NBIX US Equity","MODIFIED_WORKING_CPTL_SEQ_GRWTH","FQ2 2023","FQ2 2023","Currency=USD","Period=FQ","BEST_FPERIOD_OVERRIDE=FQ","FILING_STATUS=MR","Sort=A","Dates=H","DateFormat=P","Fill=—","Direction=H","UseDPDF=Y")</f>
        <v>-1.3411999999999999</v>
      </c>
      <c r="V77" s="14">
        <f>_xll.BDH("NBIX US Equity","MODIFIED_WORKING_CPTL_SEQ_GRWTH","FQ3 2023","FQ3 2023","Currency=USD","Period=FQ","BEST_FPERIOD_OVERRIDE=FQ","FILING_STATUS=MR","Sort=A","Dates=H","DateFormat=P","Fill=—","Direction=H","UseDPDF=Y")</f>
        <v>6.5109000000000004</v>
      </c>
      <c r="W77" s="14">
        <f>_xll.BDH("NBIX US Equity","MODIFIED_WORKING_CPTL_SEQ_GRWTH","FQ4 2023","FQ4 2023","Currency=USD","Period=FQ","BEST_FPERIOD_OVERRIDE=FQ","FILING_STATUS=MR","Sort=A","Dates=H","DateFormat=P","Fill=—","Direction=H","UseDPDF=Y")</f>
        <v>-24.2499</v>
      </c>
      <c r="X77" s="14">
        <f>_xll.BDH("NBIX US Equity","MODIFIED_WORKING_CPTL_SEQ_GRWTH","FQ1 2024","FQ1 2024","Currency=USD","Period=FQ","BEST_FPERIOD_OVERRIDE=FQ","FILING_STATUS=MR","Sort=A","Dates=H","DateFormat=P","Fill=—","Direction=H","UseDPDF=Y")</f>
        <v>44.2211</v>
      </c>
      <c r="Y77" s="14">
        <f>_xll.BDH("NBIX US Equity","MODIFIED_WORKING_CPTL_SEQ_GRWTH","FQ2 2024","FQ2 2024","Currency=USD","Period=FQ","BEST_FPERIOD_OVERRIDE=FQ","FILING_STATUS=MR","Sort=A","Dates=H","DateFormat=P","Fill=—","Direction=H","UseDPDF=Y")</f>
        <v>4.6730999999999998</v>
      </c>
      <c r="Z77" s="14">
        <f>_xll.BDH("NBIX US Equity","MODIFIED_WORKING_CPTL_SEQ_GRWTH","FQ3 2024","FQ3 2024","Currency=USD","Period=FQ","BEST_FPERIOD_OVERRIDE=FQ","FILING_STATUS=MR","Sort=A","Dates=H","DateFormat=P","Fill=—","Direction=H","UseDPDF=Y")</f>
        <v>3.1720999999999999</v>
      </c>
      <c r="AA77" s="14">
        <f>_xll.BDH("NBIX US Equity","MODIFIED_WORKING_CPTL_SEQ_GRWTH","FQ4 2024","FQ4 2024","Currency=USD","Period=FQ","BEST_FPERIOD_OVERRIDE=FQ","FILING_STATUS=MR","Sort=A","Dates=H","DateFormat=P","Fill=—","Direction=H","UseDPDF=Y")</f>
        <v>-25.5456</v>
      </c>
    </row>
    <row r="78" spans="1:27" x14ac:dyDescent="0.25">
      <c r="A78" s="10" t="s">
        <v>1297</v>
      </c>
      <c r="B78" s="10" t="s">
        <v>1358</v>
      </c>
      <c r="C78" s="14">
        <f>_xll.BDH("NBIX US Equity","WORKING_CAPITAL_SEQ_GROWTH","FQ4 2018","FQ4 2018","Currency=USD","Period=FQ","BEST_FPERIOD_OVERRIDE=FQ","FILING_STATUS=MR","Sort=A","Dates=H","DateFormat=P","Fill=—","Direction=H","UseDPDF=Y")</f>
        <v>151.7671</v>
      </c>
      <c r="D78" s="14">
        <f>_xll.BDH("NBIX US Equity","WORKING_CAPITAL_SEQ_GROWTH","FQ1 2019","FQ1 2019","Currency=USD","Period=FQ","BEST_FPERIOD_OVERRIDE=FQ","FILING_STATUS=MR","Sort=A","Dates=H","DateFormat=P","Fill=—","Direction=H","UseDPDF=Y")</f>
        <v>-13.602600000000001</v>
      </c>
      <c r="E78" s="14">
        <f>_xll.BDH("NBIX US Equity","WORKING_CAPITAL_SEQ_GROWTH","FQ2 2019","FQ2 2019","Currency=USD","Period=FQ","BEST_FPERIOD_OVERRIDE=FQ","FILING_STATUS=MR","Sort=A","Dates=H","DateFormat=P","Fill=—","Direction=H","UseDPDF=Y")</f>
        <v>15.508100000000001</v>
      </c>
      <c r="F78" s="14">
        <f>_xll.BDH("NBIX US Equity","WORKING_CAPITAL_SEQ_GROWTH","FQ3 2019","FQ3 2019","Currency=USD","Period=FQ","BEST_FPERIOD_OVERRIDE=FQ","FILING_STATUS=MR","Sort=A","Dates=H","DateFormat=P","Fill=—","Direction=H","UseDPDF=Y")</f>
        <v>8.5404999999999998</v>
      </c>
      <c r="G78" s="14">
        <f>_xll.BDH("NBIX US Equity","WORKING_CAPITAL_SEQ_GROWTH","FQ4 2019","FQ4 2019","Currency=USD","Period=FQ","BEST_FPERIOD_OVERRIDE=FQ","FILING_STATUS=MR","Sort=A","Dates=H","DateFormat=P","Fill=—","Direction=H","UseDPDF=Y")</f>
        <v>-62.235999999999997</v>
      </c>
      <c r="H78" s="14">
        <f>_xll.BDH("NBIX US Equity","WORKING_CAPITAL_SEQ_GROWTH","FQ1 2020","FQ1 2020","Currency=USD","Period=FQ","BEST_FPERIOD_OVERRIDE=FQ","FILING_STATUS=MR","Sort=A","Dates=H","DateFormat=P","Fill=—","Direction=H","UseDPDF=Y")</f>
        <v>211.59200000000001</v>
      </c>
      <c r="I78" s="14">
        <f>_xll.BDH("NBIX US Equity","WORKING_CAPITAL_SEQ_GROWTH","FQ2 2020","FQ2 2020","Currency=USD","Period=FQ","BEST_FPERIOD_OVERRIDE=FQ","FILING_STATUS=MR","Sort=A","Dates=H","DateFormat=P","Fill=—","Direction=H","UseDPDF=Y")</f>
        <v>-30.764600000000002</v>
      </c>
      <c r="J78" s="14">
        <f>_xll.BDH("NBIX US Equity","WORKING_CAPITAL_SEQ_GROWTH","FQ3 2020","FQ3 2020","Currency=USD","Period=FQ","BEST_FPERIOD_OVERRIDE=FQ","FILING_STATUS=MR","Sort=A","Dates=H","DateFormat=P","Fill=—","Direction=H","UseDPDF=Y")</f>
        <v>-4.7626999999999997</v>
      </c>
      <c r="K78" s="14">
        <f>_xll.BDH("NBIX US Equity","WORKING_CAPITAL_SEQ_GROWTH","FQ4 2020","FQ4 2020","Currency=USD","Period=FQ","BEST_FPERIOD_OVERRIDE=FQ","FILING_STATUS=MR","Sort=A","Dates=H","DateFormat=P","Fill=—","Direction=H","UseDPDF=Y")</f>
        <v>51.987499999999997</v>
      </c>
      <c r="L78" s="14">
        <f>_xll.BDH("NBIX US Equity","WORKING_CAPITAL_SEQ_GROWTH","FQ1 2021","FQ1 2021","Currency=USD","Period=FQ","BEST_FPERIOD_OVERRIDE=FQ","FILING_STATUS=MR","Sort=A","Dates=H","DateFormat=P","Fill=—","Direction=H","UseDPDF=Y")</f>
        <v>7.9184999999999999</v>
      </c>
      <c r="M78" s="14">
        <f>_xll.BDH("NBIX US Equity","WORKING_CAPITAL_SEQ_GROWTH","FQ2 2021","FQ2 2021","Currency=USD","Period=FQ","BEST_FPERIOD_OVERRIDE=FQ","FILING_STATUS=MR","Sort=A","Dates=H","DateFormat=P","Fill=—","Direction=H","UseDPDF=Y")</f>
        <v>0.20100000000000001</v>
      </c>
      <c r="N78" s="14">
        <f>_xll.BDH("NBIX US Equity","WORKING_CAPITAL_SEQ_GROWTH","FQ3 2021","FQ3 2021","Currency=USD","Period=FQ","BEST_FPERIOD_OVERRIDE=FQ","FILING_STATUS=MR","Sort=A","Dates=H","DateFormat=P","Fill=—","Direction=H","UseDPDF=Y")</f>
        <v>-13.0852</v>
      </c>
      <c r="O78" s="14">
        <f>_xll.BDH("NBIX US Equity","WORKING_CAPITAL_SEQ_GROWTH","FQ4 2021","FQ4 2021","Currency=USD","Period=FQ","BEST_FPERIOD_OVERRIDE=FQ","FILING_STATUS=MR","Sort=A","Dates=H","DateFormat=P","Fill=—","Direction=H","UseDPDF=Y")</f>
        <v>-6.7709999999999999</v>
      </c>
      <c r="P78" s="14">
        <f>_xll.BDH("NBIX US Equity","WORKING_CAPITAL_SEQ_GROWTH","FQ1 2022","FQ1 2022","Currency=USD","Period=FQ","BEST_FPERIOD_OVERRIDE=FQ","FILING_STATUS=MR","Sort=A","Dates=H","DateFormat=P","Fill=—","Direction=H","UseDPDF=Y")</f>
        <v>5.1856999999999998</v>
      </c>
      <c r="Q78" s="14">
        <f>_xll.BDH("NBIX US Equity","WORKING_CAPITAL_SEQ_GROWTH","FQ2 2022","FQ2 2022","Currency=USD","Period=FQ","BEST_FPERIOD_OVERRIDE=FQ","FILING_STATUS=MR","Sort=A","Dates=H","DateFormat=P","Fill=—","Direction=H","UseDPDF=Y")</f>
        <v>-4.0670000000000002</v>
      </c>
      <c r="R78" s="14">
        <f>_xll.BDH("NBIX US Equity","WORKING_CAPITAL_SEQ_GROWTH","FQ3 2022","FQ3 2022","Currency=USD","Period=FQ","BEST_FPERIOD_OVERRIDE=FQ","FILING_STATUS=MR","Sort=A","Dates=H","DateFormat=P","Fill=—","Direction=H","UseDPDF=Y")</f>
        <v>-1.7992999999999999</v>
      </c>
      <c r="S78" s="14">
        <f>_xll.BDH("NBIX US Equity","WORKING_CAPITAL_SEQ_GROWTH","FQ4 2022","FQ4 2022","Currency=USD","Period=FQ","BEST_FPERIOD_OVERRIDE=FQ","FILING_STATUS=MR","Sort=A","Dates=H","DateFormat=P","Fill=—","Direction=H","UseDPDF=Y")</f>
        <v>27.123799999999999</v>
      </c>
      <c r="T78" s="14">
        <f>_xll.BDH("NBIX US Equity","WORKING_CAPITAL_SEQ_GROWTH","FQ1 2023","FQ1 2023","Currency=USD","Period=FQ","BEST_FPERIOD_OVERRIDE=FQ","FILING_STATUS=MR","Sort=A","Dates=H","DateFormat=P","Fill=—","Direction=H","UseDPDF=Y")</f>
        <v>15.6038</v>
      </c>
      <c r="U78" s="14">
        <f>_xll.BDH("NBIX US Equity","WORKING_CAPITAL_SEQ_GROWTH","FQ2 2023","FQ2 2023","Currency=USD","Period=FQ","BEST_FPERIOD_OVERRIDE=FQ","FILING_STATUS=MR","Sort=A","Dates=H","DateFormat=P","Fill=—","Direction=H","UseDPDF=Y")</f>
        <v>-13.658300000000001</v>
      </c>
      <c r="V78" s="14">
        <f>_xll.BDH("NBIX US Equity","WORKING_CAPITAL_SEQ_GROWTH","FQ3 2023","FQ3 2023","Currency=USD","Period=FQ","BEST_FPERIOD_OVERRIDE=FQ","FILING_STATUS=MR","Sort=A","Dates=H","DateFormat=P","Fill=—","Direction=H","UseDPDF=Y")</f>
        <v>4.8353999999999999</v>
      </c>
      <c r="W78" s="14">
        <f>_xll.BDH("NBIX US Equity","WORKING_CAPITAL_SEQ_GROWTH","FQ4 2023","FQ4 2023","Currency=USD","Period=FQ","BEST_FPERIOD_OVERRIDE=FQ","FILING_STATUS=MR","Sort=A","Dates=H","DateFormat=P","Fill=—","Direction=H","UseDPDF=Y")</f>
        <v>-0.63649999999999995</v>
      </c>
      <c r="X78" s="14">
        <f>_xll.BDH("NBIX US Equity","WORKING_CAPITAL_SEQ_GROWTH","FQ1 2024","FQ1 2024","Currency=USD","Period=FQ","BEST_FPERIOD_OVERRIDE=FQ","FILING_STATUS=MR","Sort=A","Dates=H","DateFormat=P","Fill=—","Direction=H","UseDPDF=Y")</f>
        <v>14.062200000000001</v>
      </c>
      <c r="Y78" s="14">
        <f>_xll.BDH("NBIX US Equity","WORKING_CAPITAL_SEQ_GROWTH","FQ2 2024","FQ2 2024","Currency=USD","Period=FQ","BEST_FPERIOD_OVERRIDE=FQ","FILING_STATUS=MR","Sort=A","Dates=H","DateFormat=P","Fill=—","Direction=H","UseDPDF=Y")</f>
        <v>17.0518</v>
      </c>
      <c r="Z78" s="14">
        <f>_xll.BDH("NBIX US Equity","WORKING_CAPITAL_SEQ_GROWTH","FQ3 2024","FQ3 2024","Currency=USD","Period=FQ","BEST_FPERIOD_OVERRIDE=FQ","FILING_STATUS=MR","Sort=A","Dates=H","DateFormat=P","Fill=—","Direction=H","UseDPDF=Y")</f>
        <v>13.8126</v>
      </c>
      <c r="AA78" s="14">
        <f>_xll.BDH("NBIX US Equity","WORKING_CAPITAL_SEQ_GROWTH","FQ4 2024","FQ4 2024","Currency=USD","Period=FQ","BEST_FPERIOD_OVERRIDE=FQ","FILING_STATUS=MR","Sort=A","Dates=H","DateFormat=P","Fill=—","Direction=H","UseDPDF=Y")</f>
        <v>-15.889099999999999</v>
      </c>
    </row>
    <row r="79" spans="1:27" x14ac:dyDescent="0.25">
      <c r="A79" s="10" t="s">
        <v>1299</v>
      </c>
      <c r="B79" s="10" t="s">
        <v>1359</v>
      </c>
      <c r="C79" s="14" t="str">
        <f>_xll.BDH("NBIX US Equity","EMPLOYEES_SEQUENTIAL_GROWTH","FQ4 2018","FQ4 2018","Currency=USD","Period=FQ","BEST_FPERIOD_OVERRIDE=FQ","FILING_STATUS=MR","Sort=A","Dates=H","DateFormat=P","Fill=—","Direction=H","UseDPDF=Y")</f>
        <v>—</v>
      </c>
      <c r="D79" s="14" t="str">
        <f>_xll.BDH("NBIX US Equity","EMPLOYEES_SEQUENTIAL_GROWTH","FQ1 2019","FQ1 2019","Currency=USD","Period=FQ","BEST_FPERIOD_OVERRIDE=FQ","FILING_STATUS=MR","Sort=A","Dates=H","DateFormat=P","Fill=—","Direction=H","UseDPDF=Y")</f>
        <v>—</v>
      </c>
      <c r="E79" s="14" t="str">
        <f>_xll.BDH("NBIX US Equity","EMPLOYEES_SEQUENTIAL_GROWTH","FQ2 2019","FQ2 2019","Currency=USD","Period=FQ","BEST_FPERIOD_OVERRIDE=FQ","FILING_STATUS=MR","Sort=A","Dates=H","DateFormat=P","Fill=—","Direction=H","UseDPDF=Y")</f>
        <v>—</v>
      </c>
      <c r="F79" s="14" t="str">
        <f>_xll.BDH("NBIX US Equity","EMPLOYEES_SEQUENTIAL_GROWTH","FQ3 2019","FQ3 2019","Currency=USD","Period=FQ","BEST_FPERIOD_OVERRIDE=FQ","FILING_STATUS=MR","Sort=A","Dates=H","DateFormat=P","Fill=—","Direction=H","UseDPDF=Y")</f>
        <v>—</v>
      </c>
      <c r="G79" s="14" t="str">
        <f>_xll.BDH("NBIX US Equity","EMPLOYEES_SEQUENTIAL_GROWTH","FQ4 2019","FQ4 2019","Currency=USD","Period=FQ","BEST_FPERIOD_OVERRIDE=FQ","FILING_STATUS=MR","Sort=A","Dates=H","DateFormat=P","Fill=—","Direction=H","UseDPDF=Y")</f>
        <v>—</v>
      </c>
      <c r="H79" s="14" t="str">
        <f>_xll.BDH("NBIX US Equity","EMPLOYEES_SEQUENTIAL_GROWTH","FQ1 2020","FQ1 2020","Currency=USD","Period=FQ","BEST_FPERIOD_OVERRIDE=FQ","FILING_STATUS=MR","Sort=A","Dates=H","DateFormat=P","Fill=—","Direction=H","UseDPDF=Y")</f>
        <v>—</v>
      </c>
      <c r="I79" s="14" t="str">
        <f>_xll.BDH("NBIX US Equity","EMPLOYEES_SEQUENTIAL_GROWTH","FQ2 2020","FQ2 2020","Currency=USD","Period=FQ","BEST_FPERIOD_OVERRIDE=FQ","FILING_STATUS=MR","Sort=A","Dates=H","DateFormat=P","Fill=—","Direction=H","UseDPDF=Y")</f>
        <v>—</v>
      </c>
      <c r="J79" s="14" t="str">
        <f>_xll.BDH("NBIX US Equity","EMPLOYEES_SEQUENTIAL_GROWTH","FQ3 2020","FQ3 2020","Currency=USD","Period=FQ","BEST_FPERIOD_OVERRIDE=FQ","FILING_STATUS=MR","Sort=A","Dates=H","DateFormat=P","Fill=—","Direction=H","UseDPDF=Y")</f>
        <v>—</v>
      </c>
      <c r="K79" s="14" t="str">
        <f>_xll.BDH("NBIX US Equity","EMPLOYEES_SEQUENTIAL_GROWTH","FQ4 2020","FQ4 2020","Currency=USD","Period=FQ","BEST_FPERIOD_OVERRIDE=FQ","FILING_STATUS=MR","Sort=A","Dates=H","DateFormat=P","Fill=—","Direction=H","UseDPDF=Y")</f>
        <v>—</v>
      </c>
      <c r="L79" s="14" t="str">
        <f>_xll.BDH("NBIX US Equity","EMPLOYEES_SEQUENTIAL_GROWTH","FQ1 2021","FQ1 2021","Currency=USD","Period=FQ","BEST_FPERIOD_OVERRIDE=FQ","FILING_STATUS=MR","Sort=A","Dates=H","DateFormat=P","Fill=—","Direction=H","UseDPDF=Y")</f>
        <v>—</v>
      </c>
      <c r="M79" s="14" t="str">
        <f>_xll.BDH("NBIX US Equity","EMPLOYEES_SEQUENTIAL_GROWTH","FQ2 2021","FQ2 2021","Currency=USD","Period=FQ","BEST_FPERIOD_OVERRIDE=FQ","FILING_STATUS=MR","Sort=A","Dates=H","DateFormat=P","Fill=—","Direction=H","UseDPDF=Y")</f>
        <v>—</v>
      </c>
      <c r="N79" s="14" t="str">
        <f>_xll.BDH("NBIX US Equity","EMPLOYEES_SEQUENTIAL_GROWTH","FQ3 2021","FQ3 2021","Currency=USD","Period=FQ","BEST_FPERIOD_OVERRIDE=FQ","FILING_STATUS=MR","Sort=A","Dates=H","DateFormat=P","Fill=—","Direction=H","UseDPDF=Y")</f>
        <v>—</v>
      </c>
      <c r="O79" s="14" t="str">
        <f>_xll.BDH("NBIX US Equity","EMPLOYEES_SEQUENTIAL_GROWTH","FQ4 2021","FQ4 2021","Currency=USD","Period=FQ","BEST_FPERIOD_OVERRIDE=FQ","FILING_STATUS=MR","Sort=A","Dates=H","DateFormat=P","Fill=—","Direction=H","UseDPDF=Y")</f>
        <v>—</v>
      </c>
      <c r="P79" s="14" t="str">
        <f>_xll.BDH("NBIX US Equity","EMPLOYEES_SEQUENTIAL_GROWTH","FQ1 2022","FQ1 2022","Currency=USD","Period=FQ","BEST_FPERIOD_OVERRIDE=FQ","FILING_STATUS=MR","Sort=A","Dates=H","DateFormat=P","Fill=—","Direction=H","UseDPDF=Y")</f>
        <v>—</v>
      </c>
      <c r="Q79" s="14" t="str">
        <f>_xll.BDH("NBIX US Equity","EMPLOYEES_SEQUENTIAL_GROWTH","FQ2 2022","FQ2 2022","Currency=USD","Period=FQ","BEST_FPERIOD_OVERRIDE=FQ","FILING_STATUS=MR","Sort=A","Dates=H","DateFormat=P","Fill=—","Direction=H","UseDPDF=Y")</f>
        <v>—</v>
      </c>
      <c r="R79" s="14" t="str">
        <f>_xll.BDH("NBIX US Equity","EMPLOYEES_SEQUENTIAL_GROWTH","FQ3 2022","FQ3 2022","Currency=USD","Period=FQ","BEST_FPERIOD_OVERRIDE=FQ","FILING_STATUS=MR","Sort=A","Dates=H","DateFormat=P","Fill=—","Direction=H","UseDPDF=Y")</f>
        <v>—</v>
      </c>
      <c r="S79" s="14" t="str">
        <f>_xll.BDH("NBIX US Equity","EMPLOYEES_SEQUENTIAL_GROWTH","FQ4 2022","FQ4 2022","Currency=USD","Period=FQ","BEST_FPERIOD_OVERRIDE=FQ","FILING_STATUS=MR","Sort=A","Dates=H","DateFormat=P","Fill=—","Direction=H","UseDPDF=Y")</f>
        <v>—</v>
      </c>
      <c r="T79" s="14" t="str">
        <f>_xll.BDH("NBIX US Equity","EMPLOYEES_SEQUENTIAL_GROWTH","FQ1 2023","FQ1 2023","Currency=USD","Period=FQ","BEST_FPERIOD_OVERRIDE=FQ","FILING_STATUS=MR","Sort=A","Dates=H","DateFormat=P","Fill=—","Direction=H","UseDPDF=Y")</f>
        <v>—</v>
      </c>
      <c r="U79" s="14" t="str">
        <f>_xll.BDH("NBIX US Equity","EMPLOYEES_SEQUENTIAL_GROWTH","FQ2 2023","FQ2 2023","Currency=USD","Period=FQ","BEST_FPERIOD_OVERRIDE=FQ","FILING_STATUS=MR","Sort=A","Dates=H","DateFormat=P","Fill=—","Direction=H","UseDPDF=Y")</f>
        <v>—</v>
      </c>
      <c r="V79" s="14" t="str">
        <f>_xll.BDH("NBIX US Equity","EMPLOYEES_SEQUENTIAL_GROWTH","FQ3 2023","FQ3 2023","Currency=USD","Period=FQ","BEST_FPERIOD_OVERRIDE=FQ","FILING_STATUS=MR","Sort=A","Dates=H","DateFormat=P","Fill=—","Direction=H","UseDPDF=Y")</f>
        <v>—</v>
      </c>
      <c r="W79" s="14" t="str">
        <f>_xll.BDH("NBIX US Equity","EMPLOYEES_SEQUENTIAL_GROWTH","FQ4 2023","FQ4 2023","Currency=USD","Period=FQ","BEST_FPERIOD_OVERRIDE=FQ","FILING_STATUS=MR","Sort=A","Dates=H","DateFormat=P","Fill=—","Direction=H","UseDPDF=Y")</f>
        <v>—</v>
      </c>
      <c r="X79" s="14" t="str">
        <f>_xll.BDH("NBIX US Equity","EMPLOYEES_SEQUENTIAL_GROWTH","FQ1 2024","FQ1 2024","Currency=USD","Period=FQ","BEST_FPERIOD_OVERRIDE=FQ","FILING_STATUS=MR","Sort=A","Dates=H","DateFormat=P","Fill=—","Direction=H","UseDPDF=Y")</f>
        <v>—</v>
      </c>
      <c r="Y79" s="14" t="str">
        <f>_xll.BDH("NBIX US Equity","EMPLOYEES_SEQUENTIAL_GROWTH","FQ2 2024","FQ2 2024","Currency=USD","Period=FQ","BEST_FPERIOD_OVERRIDE=FQ","FILING_STATUS=MR","Sort=A","Dates=H","DateFormat=P","Fill=—","Direction=H","UseDPDF=Y")</f>
        <v>—</v>
      </c>
      <c r="Z79" s="14" t="str">
        <f>_xll.BDH("NBIX US Equity","EMPLOYEES_SEQUENTIAL_GROWTH","FQ3 2024","FQ3 2024","Currency=USD","Period=FQ","BEST_FPERIOD_OVERRIDE=FQ","FILING_STATUS=MR","Sort=A","Dates=H","DateFormat=P","Fill=—","Direction=H","UseDPDF=Y")</f>
        <v>—</v>
      </c>
      <c r="AA79" s="14">
        <f>_xll.BDH("NBIX US Equity","EMPLOYEES_SEQUENTIAL_GROWTH","FQ4 2024","FQ4 2024","Currency=USD","Period=FQ","BEST_FPERIOD_OVERRIDE=FQ","FILING_STATUS=MR","Sort=A","Dates=H","DateFormat=P","Fill=—","Direction=H","UseDPDF=Y")</f>
        <v>5.8823999999999996</v>
      </c>
    </row>
    <row r="80" spans="1:27" x14ac:dyDescent="0.25">
      <c r="A80" s="10" t="s">
        <v>1303</v>
      </c>
      <c r="B80" s="10" t="s">
        <v>1360</v>
      </c>
      <c r="C80" s="14">
        <f>_xll.BDH("NBIX US Equity","ST_DEBT_SEQUENTIAL_GROWTH","FQ4 2018","FQ4 2018","Currency=USD","Period=FQ","BEST_FPERIOD_OVERRIDE=FQ","FILING_STATUS=MR","Sort=A","Dates=H","DateFormat=P","Fill=—","Direction=H","UseDPDF=Y")</f>
        <v>-100</v>
      </c>
      <c r="D80" s="14" t="str">
        <f>_xll.BDH("NBIX US Equity","ST_DEBT_SEQUENTIAL_GROWTH","FQ1 2019","FQ1 2019","Currency=USD","Period=FQ","BEST_FPERIOD_OVERRIDE=FQ","FILING_STATUS=MR","Sort=A","Dates=H","DateFormat=P","Fill=—","Direction=H","UseDPDF=Y")</f>
        <v>—</v>
      </c>
      <c r="E80" s="14">
        <f>_xll.BDH("NBIX US Equity","ST_DEBT_SEQUENTIAL_GROWTH","FQ2 2019","FQ2 2019","Currency=USD","Period=FQ","BEST_FPERIOD_OVERRIDE=FQ","FILING_STATUS=MR","Sort=A","Dates=H","DateFormat=P","Fill=—","Direction=H","UseDPDF=Y")</f>
        <v>14.7536</v>
      </c>
      <c r="F80" s="14">
        <f>_xll.BDH("NBIX US Equity","ST_DEBT_SEQUENTIAL_GROWTH","FQ3 2019","FQ3 2019","Currency=USD","Period=FQ","BEST_FPERIOD_OVERRIDE=FQ","FILING_STATUS=MR","Sort=A","Dates=H","DateFormat=P","Fill=—","Direction=H","UseDPDF=Y")</f>
        <v>117.6314</v>
      </c>
      <c r="G80" s="14">
        <f>_xll.BDH("NBIX US Equity","ST_DEBT_SEQUENTIAL_GROWTH","FQ4 2019","FQ4 2019","Currency=USD","Period=FQ","BEST_FPERIOD_OVERRIDE=FQ","FILING_STATUS=MR","Sort=A","Dates=H","DateFormat=P","Fill=—","Direction=H","UseDPDF=Y")</f>
        <v>5011.9255000000003</v>
      </c>
      <c r="H80" s="14">
        <f>_xll.BDH("NBIX US Equity","ST_DEBT_SEQUENTIAL_GROWTH","FQ1 2020","FQ1 2020","Currency=USD","Period=FQ","BEST_FPERIOD_OVERRIDE=FQ","FILING_STATUS=MR","Sort=A","Dates=H","DateFormat=P","Fill=—","Direction=H","UseDPDF=Y")</f>
        <v>-97.890100000000004</v>
      </c>
      <c r="I80" s="14">
        <f>_xll.BDH("NBIX US Equity","ST_DEBT_SEQUENTIAL_GROWTH","FQ2 2020","FQ2 2020","Currency=USD","Period=FQ","BEST_FPERIOD_OVERRIDE=FQ","FILING_STATUS=MR","Sort=A","Dates=H","DateFormat=P","Fill=—","Direction=H","UseDPDF=Y")</f>
        <v>4771.5909000000001</v>
      </c>
      <c r="J80" s="14">
        <f>_xll.BDH("NBIX US Equity","ST_DEBT_SEQUENTIAL_GROWTH","FQ3 2020","FQ3 2020","Currency=USD","Period=FQ","BEST_FPERIOD_OVERRIDE=FQ","FILING_STATUS=MR","Sort=A","Dates=H","DateFormat=P","Fill=—","Direction=H","UseDPDF=Y")</f>
        <v>1.3996</v>
      </c>
      <c r="K80" s="14">
        <f>_xll.BDH("NBIX US Equity","ST_DEBT_SEQUENTIAL_GROWTH","FQ4 2020","FQ4 2020","Currency=USD","Period=FQ","BEST_FPERIOD_OVERRIDE=FQ","FILING_STATUS=MR","Sort=A","Dates=H","DateFormat=P","Fill=—","Direction=H","UseDPDF=Y")</f>
        <v>-97.630499999999998</v>
      </c>
      <c r="L80" s="14">
        <f>_xll.BDH("NBIX US Equity","ST_DEBT_SEQUENTIAL_GROWTH","FQ1 2021","FQ1 2021","Currency=USD","Period=FQ","BEST_FPERIOD_OVERRIDE=FQ","FILING_STATUS=MR","Sort=A","Dates=H","DateFormat=P","Fill=—","Direction=H","UseDPDF=Y")</f>
        <v>18.4466</v>
      </c>
      <c r="M80" s="14">
        <f>_xll.BDH("NBIX US Equity","ST_DEBT_SEQUENTIAL_GROWTH","FQ2 2021","FQ2 2021","Currency=USD","Period=FQ","BEST_FPERIOD_OVERRIDE=FQ","FILING_STATUS=MR","Sort=A","Dates=H","DateFormat=P","Fill=—","Direction=H","UseDPDF=Y")</f>
        <v>22.950800000000001</v>
      </c>
      <c r="N80" s="14">
        <f>_xll.BDH("NBIX US Equity","ST_DEBT_SEQUENTIAL_GROWTH","FQ3 2021","FQ3 2021","Currency=USD","Period=FQ","BEST_FPERIOD_OVERRIDE=FQ","FILING_STATUS=MR","Sort=A","Dates=H","DateFormat=P","Fill=—","Direction=H","UseDPDF=Y")</f>
        <v>3.3332999999999999</v>
      </c>
      <c r="O80" s="14">
        <f>_xll.BDH("NBIX US Equity","ST_DEBT_SEQUENTIAL_GROWTH","FQ4 2021","FQ4 2021","Currency=USD","Period=FQ","BEST_FPERIOD_OVERRIDE=FQ","FILING_STATUS=MR","Sort=A","Dates=H","DateFormat=P","Fill=—","Direction=H","UseDPDF=Y")</f>
        <v>6.4516</v>
      </c>
      <c r="P80" s="14">
        <f>_xll.BDH("NBIX US Equity","ST_DEBT_SEQUENTIAL_GROWTH","FQ1 2022","FQ1 2022","Currency=USD","Period=FQ","BEST_FPERIOD_OVERRIDE=FQ","FILING_STATUS=MR","Sort=A","Dates=H","DateFormat=P","Fill=—","Direction=H","UseDPDF=Y")</f>
        <v>2.4241999999999999</v>
      </c>
      <c r="Q80" s="14">
        <f>_xll.BDH("NBIX US Equity","ST_DEBT_SEQUENTIAL_GROWTH","FQ2 2022","FQ2 2022","Currency=USD","Period=FQ","BEST_FPERIOD_OVERRIDE=FQ","FILING_STATUS=MR","Sort=A","Dates=H","DateFormat=P","Fill=—","Direction=H","UseDPDF=Y")</f>
        <v>1.1834</v>
      </c>
      <c r="R80" s="14">
        <f>_xll.BDH("NBIX US Equity","ST_DEBT_SEQUENTIAL_GROWTH","FQ3 2022","FQ3 2022","Currency=USD","Period=FQ","BEST_FPERIOD_OVERRIDE=FQ","FILING_STATUS=MR","Sort=A","Dates=H","DateFormat=P","Fill=—","Direction=H","UseDPDF=Y")</f>
        <v>990.64329999999995</v>
      </c>
      <c r="S80" s="14">
        <f>_xll.BDH("NBIX US Equity","ST_DEBT_SEQUENTIAL_GROWTH","FQ4 2022","FQ4 2022","Currency=USD","Period=FQ","BEST_FPERIOD_OVERRIDE=FQ","FILING_STATUS=MR","Sort=A","Dates=H","DateFormat=P","Fill=—","Direction=H","UseDPDF=Y")</f>
        <v>-9.1689000000000007</v>
      </c>
      <c r="T80" s="14">
        <f>_xll.BDH("NBIX US Equity","ST_DEBT_SEQUENTIAL_GROWTH","FQ1 2023","FQ1 2023","Currency=USD","Period=FQ","BEST_FPERIOD_OVERRIDE=FQ","FILING_STATUS=MR","Sort=A","Dates=H","DateFormat=P","Fill=—","Direction=H","UseDPDF=Y")</f>
        <v>-100</v>
      </c>
      <c r="U80" s="14" t="str">
        <f>_xll.BDH("NBIX US Equity","ST_DEBT_SEQUENTIAL_GROWTH","FQ2 2023","FQ2 2023","Currency=USD","Period=FQ","BEST_FPERIOD_OVERRIDE=FQ","FILING_STATUS=MR","Sort=A","Dates=H","DateFormat=P","Fill=—","Direction=H","UseDPDF=Y")</f>
        <v>—</v>
      </c>
      <c r="V80" s="14">
        <f>_xll.BDH("NBIX US Equity","ST_DEBT_SEQUENTIAL_GROWTH","FQ3 2023","FQ3 2023","Currency=USD","Period=FQ","BEST_FPERIOD_OVERRIDE=FQ","FILING_STATUS=MR","Sort=A","Dates=H","DateFormat=P","Fill=—","Direction=H","UseDPDF=Y")</f>
        <v>0.16009999999999999</v>
      </c>
      <c r="W80" s="14">
        <f>_xll.BDH("NBIX US Equity","ST_DEBT_SEQUENTIAL_GROWTH","FQ4 2023","FQ4 2023","Currency=USD","Period=FQ","BEST_FPERIOD_OVERRIDE=FQ","FILING_STATUS=MR","Sort=A","Dates=H","DateFormat=P","Fill=—","Direction=H","UseDPDF=Y")</f>
        <v>7.6718000000000002</v>
      </c>
      <c r="X80" s="14">
        <f>_xll.BDH("NBIX US Equity","ST_DEBT_SEQUENTIAL_GROWTH","FQ1 2024","FQ1 2024","Currency=USD","Period=FQ","BEST_FPERIOD_OVERRIDE=FQ","FILING_STATUS=MR","Sort=A","Dates=H","DateFormat=P","Fill=—","Direction=H","UseDPDF=Y")</f>
        <v>-21.919799999999999</v>
      </c>
      <c r="Y80" s="14">
        <f>_xll.BDH("NBIX US Equity","ST_DEBT_SEQUENTIAL_GROWTH","FQ2 2024","FQ2 2024","Currency=USD","Period=FQ","BEST_FPERIOD_OVERRIDE=FQ","FILING_STATUS=MR","Sort=A","Dates=H","DateFormat=P","Fill=—","Direction=H","UseDPDF=Y")</f>
        <v>-77.566500000000005</v>
      </c>
      <c r="Z80" s="14">
        <f>_xll.BDH("NBIX US Equity","ST_DEBT_SEQUENTIAL_GROWTH","FQ3 2024","FQ3 2024","Currency=USD","Period=FQ","BEST_FPERIOD_OVERRIDE=FQ","FILING_STATUS=MR","Sort=A","Dates=H","DateFormat=P","Fill=—","Direction=H","UseDPDF=Y")</f>
        <v>-1.6949000000000001</v>
      </c>
      <c r="AA80" s="14">
        <f>_xll.BDH("NBIX US Equity","ST_DEBT_SEQUENTIAL_GROWTH","FQ4 2024","FQ4 2024","Currency=USD","Period=FQ","BEST_FPERIOD_OVERRIDE=FQ","FILING_STATUS=MR","Sort=A","Dates=H","DateFormat=P","Fill=—","Direction=H","UseDPDF=Y")</f>
        <v>16.666699999999999</v>
      </c>
    </row>
    <row r="81" spans="1:27" x14ac:dyDescent="0.25">
      <c r="A81" s="10" t="s">
        <v>1305</v>
      </c>
      <c r="B81" s="10" t="s">
        <v>1361</v>
      </c>
      <c r="C81" s="14">
        <f>_xll.BDH("NBIX US Equity","TOTAL_DEBT_SEQUENTIAL_GROWTH","FQ4 2018","FQ4 2018","Currency=USD","Period=FQ","BEST_FPERIOD_OVERRIDE=FQ","FILING_STATUS=MR","Sort=A","Dates=H","DateFormat=P","Fill=—","Direction=H","UseDPDF=Y")</f>
        <v>1.2639</v>
      </c>
      <c r="D81" s="14">
        <f>_xll.BDH("NBIX US Equity","TOTAL_DEBT_SEQUENTIAL_GROWTH","FQ1 2019","FQ1 2019","Currency=USD","Period=FQ","BEST_FPERIOD_OVERRIDE=FQ","FILING_STATUS=MR","Sort=A","Dates=H","DateFormat=P","Fill=—","Direction=H","UseDPDF=Y")</f>
        <v>19.396100000000001</v>
      </c>
      <c r="E81" s="14">
        <f>_xll.BDH("NBIX US Equity","TOTAL_DEBT_SEQUENTIAL_GROWTH","FQ2 2019","FQ2 2019","Currency=USD","Period=FQ","BEST_FPERIOD_OVERRIDE=FQ","FILING_STATUS=MR","Sort=A","Dates=H","DateFormat=P","Fill=—","Direction=H","UseDPDF=Y")</f>
        <v>0.98109999999999997</v>
      </c>
      <c r="F81" s="14">
        <f>_xll.BDH("NBIX US Equity","TOTAL_DEBT_SEQUENTIAL_GROWTH","FQ3 2019","FQ3 2019","Currency=USD","Period=FQ","BEST_FPERIOD_OVERRIDE=FQ","FILING_STATUS=MR","Sort=A","Dates=H","DateFormat=P","Fill=—","Direction=H","UseDPDF=Y")</f>
        <v>3.8066</v>
      </c>
      <c r="G81" s="14">
        <f>_xll.BDH("NBIX US Equity","TOTAL_DEBT_SEQUENTIAL_GROWTH","FQ4 2019","FQ4 2019","Currency=USD","Period=FQ","BEST_FPERIOD_OVERRIDE=FQ","FILING_STATUS=MR","Sort=A","Dates=H","DateFormat=P","Fill=—","Direction=H","UseDPDF=Y")</f>
        <v>3.6097999999999999</v>
      </c>
      <c r="H81" s="14">
        <f>_xll.BDH("NBIX US Equity","TOTAL_DEBT_SEQUENTIAL_GROWTH","FQ1 2020","FQ1 2020","Currency=USD","Period=FQ","BEST_FPERIOD_OVERRIDE=FQ","FILING_STATUS=MR","Sort=A","Dates=H","DateFormat=P","Fill=—","Direction=H","UseDPDF=Y")</f>
        <v>0.9365</v>
      </c>
      <c r="I81" s="14">
        <f>_xll.BDH("NBIX US Equity","TOTAL_DEBT_SEQUENTIAL_GROWTH","FQ2 2020","FQ2 2020","Currency=USD","Period=FQ","BEST_FPERIOD_OVERRIDE=FQ","FILING_STATUS=MR","Sort=A","Dates=H","DateFormat=P","Fill=—","Direction=H","UseDPDF=Y")</f>
        <v>0.88500000000000001</v>
      </c>
      <c r="J81" s="14">
        <f>_xll.BDH("NBIX US Equity","TOTAL_DEBT_SEQUENTIAL_GROWTH","FQ3 2020","FQ3 2020","Currency=USD","Period=FQ","BEST_FPERIOD_OVERRIDE=FQ","FILING_STATUS=MR","Sort=A","Dates=H","DateFormat=P","Fill=—","Direction=H","UseDPDF=Y")</f>
        <v>0.91620000000000001</v>
      </c>
      <c r="K81" s="14">
        <f>_xll.BDH("NBIX US Equity","TOTAL_DEBT_SEQUENTIAL_GROWTH","FQ4 2020","FQ4 2020","Currency=USD","Period=FQ","BEST_FPERIOD_OVERRIDE=FQ","FILING_STATUS=MR","Sort=A","Dates=H","DateFormat=P","Fill=—","Direction=H","UseDPDF=Y")</f>
        <v>-18.369700000000002</v>
      </c>
      <c r="L81" s="14">
        <f>_xll.BDH("NBIX US Equity","TOTAL_DEBT_SEQUENTIAL_GROWTH","FQ1 2021","FQ1 2021","Currency=USD","Period=FQ","BEST_FPERIOD_OVERRIDE=FQ","FILING_STATUS=MR","Sort=A","Dates=H","DateFormat=P","Fill=—","Direction=H","UseDPDF=Y")</f>
        <v>4.5195999999999996</v>
      </c>
      <c r="M81" s="14">
        <f>_xll.BDH("NBIX US Equity","TOTAL_DEBT_SEQUENTIAL_GROWTH","FQ2 2021","FQ2 2021","Currency=USD","Period=FQ","BEST_FPERIOD_OVERRIDE=FQ","FILING_STATUS=MR","Sort=A","Dates=H","DateFormat=P","Fill=—","Direction=H","UseDPDF=Y")</f>
        <v>1.9470000000000001</v>
      </c>
      <c r="N81" s="14">
        <f>_xll.BDH("NBIX US Equity","TOTAL_DEBT_SEQUENTIAL_GROWTH","FQ3 2021","FQ3 2021","Currency=USD","Period=FQ","BEST_FPERIOD_OVERRIDE=FQ","FILING_STATUS=MR","Sort=A","Dates=H","DateFormat=P","Fill=—","Direction=H","UseDPDF=Y")</f>
        <v>0.51080000000000003</v>
      </c>
      <c r="O81" s="14">
        <f>_xll.BDH("NBIX US Equity","TOTAL_DEBT_SEQUENTIAL_GROWTH","FQ4 2021","FQ4 2021","Currency=USD","Period=FQ","BEST_FPERIOD_OVERRIDE=FQ","FILING_STATUS=MR","Sort=A","Dates=H","DateFormat=P","Fill=—","Direction=H","UseDPDF=Y")</f>
        <v>0.95009999999999994</v>
      </c>
      <c r="P81" s="14">
        <f>_xll.BDH("NBIX US Equity","TOTAL_DEBT_SEQUENTIAL_GROWTH","FQ1 2022","FQ1 2022","Currency=USD","Period=FQ","BEST_FPERIOD_OVERRIDE=FQ","FILING_STATUS=MR","Sort=A","Dates=H","DateFormat=P","Fill=—","Direction=H","UseDPDF=Y")</f>
        <v>8.7984000000000009</v>
      </c>
      <c r="Q81" s="14">
        <f>_xll.BDH("NBIX US Equity","TOTAL_DEBT_SEQUENTIAL_GROWTH","FQ2 2022","FQ2 2022","Currency=USD","Period=FQ","BEST_FPERIOD_OVERRIDE=FQ","FILING_STATUS=MR","Sort=A","Dates=H","DateFormat=P","Fill=—","Direction=H","UseDPDF=Y")</f>
        <v>-42.526699999999998</v>
      </c>
      <c r="R81" s="14">
        <f>_xll.BDH("NBIX US Equity","TOTAL_DEBT_SEQUENTIAL_GROWTH","FQ3 2022","FQ3 2022","Currency=USD","Period=FQ","BEST_FPERIOD_OVERRIDE=FQ","FILING_STATUS=MR","Sort=A","Dates=H","DateFormat=P","Fill=—","Direction=H","UseDPDF=Y")</f>
        <v>-0.91</v>
      </c>
      <c r="S81" s="14">
        <f>_xll.BDH("NBIX US Equity","TOTAL_DEBT_SEQUENTIAL_GROWTH","FQ4 2022","FQ4 2022","Currency=USD","Period=FQ","BEST_FPERIOD_OVERRIDE=FQ","FILING_STATUS=MR","Sort=A","Dates=H","DateFormat=P","Fill=—","Direction=H","UseDPDF=Y")</f>
        <v>-7.1353</v>
      </c>
      <c r="T81" s="14">
        <f>_xll.BDH("NBIX US Equity","TOTAL_DEBT_SEQUENTIAL_GROWTH","FQ1 2023","FQ1 2023","Currency=USD","Period=FQ","BEST_FPERIOD_OVERRIDE=FQ","FILING_STATUS=MR","Sort=A","Dates=H","DateFormat=P","Fill=—","Direction=H","UseDPDF=Y")</f>
        <v>-1.1411</v>
      </c>
      <c r="U81" s="14">
        <f>_xll.BDH("NBIX US Equity","TOTAL_DEBT_SEQUENTIAL_GROWTH","FQ2 2023","FQ2 2023","Currency=USD","Period=FQ","BEST_FPERIOD_OVERRIDE=FQ","FILING_STATUS=MR","Sort=A","Dates=H","DateFormat=P","Fill=—","Direction=H","UseDPDF=Y")</f>
        <v>6.3871000000000002</v>
      </c>
      <c r="V81" s="14">
        <f>_xll.BDH("NBIX US Equity","TOTAL_DEBT_SEQUENTIAL_GROWTH","FQ3 2023","FQ3 2023","Currency=USD","Period=FQ","BEST_FPERIOD_OVERRIDE=FQ","FILING_STATUS=MR","Sort=A","Dates=H","DateFormat=P","Fill=—","Direction=H","UseDPDF=Y")</f>
        <v>-1.0488</v>
      </c>
      <c r="W81" s="14">
        <f>_xll.BDH("NBIX US Equity","TOTAL_DEBT_SEQUENTIAL_GROWTH","FQ4 2023","FQ4 2023","Currency=USD","Period=FQ","BEST_FPERIOD_OVERRIDE=FQ","FILING_STATUS=MR","Sort=A","Dates=H","DateFormat=P","Fill=—","Direction=H","UseDPDF=Y")</f>
        <v>68.274900000000002</v>
      </c>
      <c r="X81" s="14">
        <f>_xll.BDH("NBIX US Equity","TOTAL_DEBT_SEQUENTIAL_GROWTH","FQ1 2024","FQ1 2024","Currency=USD","Period=FQ","BEST_FPERIOD_OVERRIDE=FQ","FILING_STATUS=MR","Sort=A","Dates=H","DateFormat=P","Fill=—","Direction=H","UseDPDF=Y")</f>
        <v>-10.795</v>
      </c>
      <c r="Y81" s="14">
        <f>_xll.BDH("NBIX US Equity","TOTAL_DEBT_SEQUENTIAL_GROWTH","FQ2 2024","FQ2 2024","Currency=USD","Period=FQ","BEST_FPERIOD_OVERRIDE=FQ","FILING_STATUS=MR","Sort=A","Dates=H","DateFormat=P","Fill=—","Direction=H","UseDPDF=Y")</f>
        <v>-28.999300000000002</v>
      </c>
      <c r="Z81" s="14">
        <f>_xll.BDH("NBIX US Equity","TOTAL_DEBT_SEQUENTIAL_GROWTH","FQ3 2024","FQ3 2024","Currency=USD","Period=FQ","BEST_FPERIOD_OVERRIDE=FQ","FILING_STATUS=MR","Sort=A","Dates=H","DateFormat=P","Fill=—","Direction=H","UseDPDF=Y")</f>
        <v>-1.8519000000000001</v>
      </c>
      <c r="AA81" s="14">
        <f>_xll.BDH("NBIX US Equity","TOTAL_DEBT_SEQUENTIAL_GROWTH","FQ4 2024","FQ4 2024","Currency=USD","Period=FQ","BEST_FPERIOD_OVERRIDE=FQ","FILING_STATUS=MR","Sort=A","Dates=H","DateFormat=P","Fill=—","Direction=H","UseDPDF=Y")</f>
        <v>73.200599999999994</v>
      </c>
    </row>
    <row r="82" spans="1:27" x14ac:dyDescent="0.25">
      <c r="A82" s="10" t="s">
        <v>118</v>
      </c>
      <c r="B82" s="10" t="s">
        <v>1362</v>
      </c>
      <c r="C82" s="14">
        <f>_xll.BDH("NBIX US Equity","TOTAL_EQUITY_SEQUENTIAL_GROWTH","FQ4 2018","FQ4 2018","Currency=USD","Period=FQ","BEST_FPERIOD_OVERRIDE=FQ","FILING_STATUS=MR","Sort=A","Dates=H","DateFormat=P","Fill=—","Direction=H","UseDPDF=Y")</f>
        <v>7.4303999999999997</v>
      </c>
      <c r="D82" s="14">
        <f>_xll.BDH("NBIX US Equity","TOTAL_EQUITY_SEQUENTIAL_GROWTH","FQ1 2019","FQ1 2019","Currency=USD","Period=FQ","BEST_FPERIOD_OVERRIDE=FQ","FILING_STATUS=MR","Sort=A","Dates=H","DateFormat=P","Fill=—","Direction=H","UseDPDF=Y")</f>
        <v>-14.870100000000001</v>
      </c>
      <c r="E82" s="14">
        <f>_xll.BDH("NBIX US Equity","TOTAL_EQUITY_SEQUENTIAL_GROWTH","FQ2 2019","FQ2 2019","Currency=USD","Period=FQ","BEST_FPERIOD_OVERRIDE=FQ","FILING_STATUS=MR","Sort=A","Dates=H","DateFormat=P","Fill=—","Direction=H","UseDPDF=Y")</f>
        <v>18.1861</v>
      </c>
      <c r="F82" s="14">
        <f>_xll.BDH("NBIX US Equity","TOTAL_EQUITY_SEQUENTIAL_GROWTH","FQ3 2019","FQ3 2019","Currency=USD","Period=FQ","BEST_FPERIOD_OVERRIDE=FQ","FILING_STATUS=MR","Sort=A","Dates=H","DateFormat=P","Fill=—","Direction=H","UseDPDF=Y")</f>
        <v>18.773599999999998</v>
      </c>
      <c r="G82" s="14">
        <f>_xll.BDH("NBIX US Equity","TOTAL_EQUITY_SEQUENTIAL_GROWTH","FQ4 2019","FQ4 2019","Currency=USD","Period=FQ","BEST_FPERIOD_OVERRIDE=FQ","FILING_STATUS=MR","Sort=A","Dates=H","DateFormat=P","Fill=—","Direction=H","UseDPDF=Y")</f>
        <v>10.858700000000001</v>
      </c>
      <c r="H82" s="14">
        <f>_xll.BDH("NBIX US Equity","TOTAL_EQUITY_SEQUENTIAL_GROWTH","FQ1 2020","FQ1 2020","Currency=USD","Period=FQ","BEST_FPERIOD_OVERRIDE=FQ","FILING_STATUS=MR","Sort=A","Dates=H","DateFormat=P","Fill=—","Direction=H","UseDPDF=Y")</f>
        <v>9.9544999999999995</v>
      </c>
      <c r="I82" s="14">
        <f>_xll.BDH("NBIX US Equity","TOTAL_EQUITY_SEQUENTIAL_GROWTH","FQ2 2020","FQ2 2020","Currency=USD","Period=FQ","BEST_FPERIOD_OVERRIDE=FQ","FILING_STATUS=MR","Sort=A","Dates=H","DateFormat=P","Fill=—","Direction=H","UseDPDF=Y")</f>
        <v>18.692</v>
      </c>
      <c r="J82" s="14">
        <f>_xll.BDH("NBIX US Equity","TOTAL_EQUITY_SEQUENTIAL_GROWTH","FQ3 2020","FQ3 2020","Currency=USD","Period=FQ","BEST_FPERIOD_OVERRIDE=FQ","FILING_STATUS=MR","Sort=A","Dates=H","DateFormat=P","Fill=—","Direction=H","UseDPDF=Y")</f>
        <v>-3.2363</v>
      </c>
      <c r="K82" s="14">
        <f>_xll.BDH("NBIX US Equity","TOTAL_EQUITY_SEQUENTIAL_GROWTH","FQ4 2020","FQ4 2020","Currency=USD","Period=FQ","BEST_FPERIOD_OVERRIDE=FQ","FILING_STATUS=MR","Sort=A","Dates=H","DateFormat=P","Fill=—","Direction=H","UseDPDF=Y")</f>
        <v>40.022399999999998</v>
      </c>
      <c r="L82" s="14">
        <f>_xll.BDH("NBIX US Equity","TOTAL_EQUITY_SEQUENTIAL_GROWTH","FQ1 2021","FQ1 2021","Currency=USD","Period=FQ","BEST_FPERIOD_OVERRIDE=FQ","FILING_STATUS=MR","Sort=A","Dates=H","DateFormat=P","Fill=—","Direction=H","UseDPDF=Y")</f>
        <v>7.0503</v>
      </c>
      <c r="M82" s="14">
        <f>_xll.BDH("NBIX US Equity","TOTAL_EQUITY_SEQUENTIAL_GROWTH","FQ2 2021","FQ2 2021","Currency=USD","Period=FQ","BEST_FPERIOD_OVERRIDE=FQ","FILING_STATUS=MR","Sort=A","Dates=H","DateFormat=P","Fill=—","Direction=H","UseDPDF=Y")</f>
        <v>6.1048</v>
      </c>
      <c r="N82" s="14">
        <f>_xll.BDH("NBIX US Equity","TOTAL_EQUITY_SEQUENTIAL_GROWTH","FQ3 2021","FQ3 2021","Currency=USD","Period=FQ","BEST_FPERIOD_OVERRIDE=FQ","FILING_STATUS=MR","Sort=A","Dates=H","DateFormat=P","Fill=—","Direction=H","UseDPDF=Y")</f>
        <v>5.2220000000000004</v>
      </c>
      <c r="O82" s="14">
        <f>_xll.BDH("NBIX US Equity","TOTAL_EQUITY_SEQUENTIAL_GROWTH","FQ4 2021","FQ4 2021","Currency=USD","Period=FQ","BEST_FPERIOD_OVERRIDE=FQ","FILING_STATUS=MR","Sort=A","Dates=H","DateFormat=P","Fill=—","Direction=H","UseDPDF=Y")</f>
        <v>2.0802</v>
      </c>
      <c r="P82" s="14">
        <f>_xll.BDH("NBIX US Equity","TOTAL_EQUITY_SEQUENTIAL_GROWTH","FQ1 2022","FQ1 2022","Currency=USD","Period=FQ","BEST_FPERIOD_OVERRIDE=FQ","FILING_STATUS=MR","Sort=A","Dates=H","DateFormat=P","Fill=—","Direction=H","UseDPDF=Y")</f>
        <v>1.2444999999999999</v>
      </c>
      <c r="Q82" s="14">
        <f>_xll.BDH("NBIX US Equity","TOTAL_EQUITY_SEQUENTIAL_GROWTH","FQ2 2022","FQ2 2022","Currency=USD","Period=FQ","BEST_FPERIOD_OVERRIDE=FQ","FILING_STATUS=MR","Sort=A","Dates=H","DateFormat=P","Fill=—","Direction=H","UseDPDF=Y")</f>
        <v>2.3218999999999999</v>
      </c>
      <c r="R82" s="14">
        <f>_xll.BDH("NBIX US Equity","TOTAL_EQUITY_SEQUENTIAL_GROWTH","FQ3 2022","FQ3 2022","Currency=USD","Period=FQ","BEST_FPERIOD_OVERRIDE=FQ","FILING_STATUS=MR","Sort=A","Dates=H","DateFormat=P","Fill=—","Direction=H","UseDPDF=Y")</f>
        <v>8.5147999999999993</v>
      </c>
      <c r="S82" s="14">
        <f>_xll.BDH("NBIX US Equity","TOTAL_EQUITY_SEQUENTIAL_GROWTH","FQ4 2022","FQ4 2022","Currency=USD","Period=FQ","BEST_FPERIOD_OVERRIDE=FQ","FILING_STATUS=MR","Sort=A","Dates=H","DateFormat=P","Fill=—","Direction=H","UseDPDF=Y")</f>
        <v>10.565799999999999</v>
      </c>
      <c r="T82" s="14">
        <f>_xll.BDH("NBIX US Equity","TOTAL_EQUITY_SEQUENTIAL_GROWTH","FQ1 2023","FQ1 2023","Currency=USD","Period=FQ","BEST_FPERIOD_OVERRIDE=FQ","FILING_STATUS=MR","Sort=A","Dates=H","DateFormat=P","Fill=—","Direction=H","UseDPDF=Y")</f>
        <v>-1.3643000000000001</v>
      </c>
      <c r="U82" s="14">
        <f>_xll.BDH("NBIX US Equity","TOTAL_EQUITY_SEQUENTIAL_GROWTH","FQ2 2023","FQ2 2023","Currency=USD","Period=FQ","BEST_FPERIOD_OVERRIDE=FQ","FILING_STATUS=MR","Sort=A","Dates=H","DateFormat=P","Fill=—","Direction=H","UseDPDF=Y")</f>
        <v>10.003</v>
      </c>
      <c r="V82" s="14">
        <f>_xll.BDH("NBIX US Equity","TOTAL_EQUITY_SEQUENTIAL_GROWTH","FQ3 2023","FQ3 2023","Currency=USD","Period=FQ","BEST_FPERIOD_OVERRIDE=FQ","FILING_STATUS=MR","Sort=A","Dates=H","DateFormat=P","Fill=—","Direction=H","UseDPDF=Y")</f>
        <v>8.0464000000000002</v>
      </c>
      <c r="W82" s="14">
        <f>_xll.BDH("NBIX US Equity","TOTAL_EQUITY_SEQUENTIAL_GROWTH","FQ4 2023","FQ4 2023","Currency=USD","Period=FQ","BEST_FPERIOD_OVERRIDE=FQ","FILING_STATUS=MR","Sort=A","Dates=H","DateFormat=P","Fill=—","Direction=H","UseDPDF=Y")</f>
        <v>11.482900000000001</v>
      </c>
      <c r="X82" s="14">
        <f>_xll.BDH("NBIX US Equity","TOTAL_EQUITY_SEQUENTIAL_GROWTH","FQ1 2024","FQ1 2024","Currency=USD","Period=FQ","BEST_FPERIOD_OVERRIDE=FQ","FILING_STATUS=MR","Sort=A","Dates=H","DateFormat=P","Fill=—","Direction=H","UseDPDF=Y")</f>
        <v>6.9040999999999997</v>
      </c>
      <c r="Y82" s="14">
        <f>_xll.BDH("NBIX US Equity","TOTAL_EQUITY_SEQUENTIAL_GROWTH","FQ2 2024","FQ2 2024","Currency=USD","Period=FQ","BEST_FPERIOD_OVERRIDE=FQ","FILING_STATUS=MR","Sort=A","Dates=H","DateFormat=P","Fill=—","Direction=H","UseDPDF=Y")</f>
        <v>5.1589999999999998</v>
      </c>
      <c r="Z82" s="14">
        <f>_xll.BDH("NBIX US Equity","TOTAL_EQUITY_SEQUENTIAL_GROWTH","FQ3 2024","FQ3 2024","Currency=USD","Period=FQ","BEST_FPERIOD_OVERRIDE=FQ","FILING_STATUS=MR","Sort=A","Dates=H","DateFormat=P","Fill=—","Direction=H","UseDPDF=Y")</f>
        <v>8.3572000000000006</v>
      </c>
      <c r="AA82" s="14">
        <f>_xll.BDH("NBIX US Equity","TOTAL_EQUITY_SEQUENTIAL_GROWTH","FQ4 2024","FQ4 2024","Currency=USD","Period=FQ","BEST_FPERIOD_OVERRIDE=FQ","FILING_STATUS=MR","Sort=A","Dates=H","DateFormat=P","Fill=—","Direction=H","UseDPDF=Y")</f>
        <v>-4.7519</v>
      </c>
    </row>
    <row r="83" spans="1:27" x14ac:dyDescent="0.25">
      <c r="A83" s="10" t="s">
        <v>1308</v>
      </c>
      <c r="B83" s="10" t="s">
        <v>1363</v>
      </c>
      <c r="C83" s="14">
        <f>_xll.BDH("NBIX US Equity","TOTAL_CAPITAL_SEQUENTIAL_GROWTH","FQ4 2018","FQ4 2018","Currency=USD","Period=FQ","BEST_FPERIOD_OVERRIDE=FQ","FILING_STATUS=MR","Sort=A","Dates=H","DateFormat=P","Fill=—","Direction=H","UseDPDF=Y")</f>
        <v>4.5841000000000003</v>
      </c>
      <c r="D83" s="14">
        <f>_xll.BDH("NBIX US Equity","TOTAL_CAPITAL_SEQUENTIAL_GROWTH","FQ1 2019","FQ1 2019","Currency=USD","Period=FQ","BEST_FPERIOD_OVERRIDE=FQ","FILING_STATUS=MR","Sort=A","Dates=H","DateFormat=P","Fill=—","Direction=H","UseDPDF=Y")</f>
        <v>0.44440000000000002</v>
      </c>
      <c r="E83" s="14">
        <f>_xll.BDH("NBIX US Equity","TOTAL_CAPITAL_SEQUENTIAL_GROWTH","FQ2 2019","FQ2 2019","Currency=USD","Period=FQ","BEST_FPERIOD_OVERRIDE=FQ","FILING_STATUS=MR","Sort=A","Dates=H","DateFormat=P","Fill=—","Direction=H","UseDPDF=Y")</f>
        <v>9.0458999999999996</v>
      </c>
      <c r="F83" s="14">
        <f>_xll.BDH("NBIX US Equity","TOTAL_CAPITAL_SEQUENTIAL_GROWTH","FQ3 2019","FQ3 2019","Currency=USD","Period=FQ","BEST_FPERIOD_OVERRIDE=FQ","FILING_STATUS=MR","Sort=A","Dates=H","DateFormat=P","Fill=—","Direction=H","UseDPDF=Y")</f>
        <v>11.410399999999999</v>
      </c>
      <c r="G83" s="14">
        <f>_xll.BDH("NBIX US Equity","TOTAL_CAPITAL_SEQUENTIAL_GROWTH","FQ4 2019","FQ4 2019","Currency=USD","Period=FQ","BEST_FPERIOD_OVERRIDE=FQ","FILING_STATUS=MR","Sort=A","Dates=H","DateFormat=P","Fill=—","Direction=H","UseDPDF=Y")</f>
        <v>7.5358999999999998</v>
      </c>
      <c r="H83" s="14">
        <f>_xll.BDH("NBIX US Equity","TOTAL_CAPITAL_SEQUENTIAL_GROWTH","FQ1 2020","FQ1 2020","Currency=USD","Period=FQ","BEST_FPERIOD_OVERRIDE=FQ","FILING_STATUS=MR","Sort=A","Dates=H","DateFormat=P","Fill=—","Direction=H","UseDPDF=Y")</f>
        <v>5.9717000000000002</v>
      </c>
      <c r="I83" s="14">
        <f>_xll.BDH("NBIX US Equity","TOTAL_CAPITAL_SEQUENTIAL_GROWTH","FQ2 2020","FQ2 2020","Currency=USD","Period=FQ","BEST_FPERIOD_OVERRIDE=FQ","FILING_STATUS=MR","Sort=A","Dates=H","DateFormat=P","Fill=—","Direction=H","UseDPDF=Y")</f>
        <v>11.2012</v>
      </c>
      <c r="J83" s="14">
        <f>_xll.BDH("NBIX US Equity","TOTAL_CAPITAL_SEQUENTIAL_GROWTH","FQ3 2020","FQ3 2020","Currency=USD","Period=FQ","BEST_FPERIOD_OVERRIDE=FQ","FILING_STATUS=MR","Sort=A","Dates=H","DateFormat=P","Fill=—","Direction=H","UseDPDF=Y")</f>
        <v>-1.6515</v>
      </c>
      <c r="K83" s="14">
        <f>_xll.BDH("NBIX US Equity","TOTAL_CAPITAL_SEQUENTIAL_GROWTH","FQ4 2020","FQ4 2020","Currency=USD","Period=FQ","BEST_FPERIOD_OVERRIDE=FQ","FILING_STATUS=MR","Sort=A","Dates=H","DateFormat=P","Fill=—","Direction=H","UseDPDF=Y")</f>
        <v>17.155799999999999</v>
      </c>
      <c r="L83" s="14">
        <f>_xll.BDH("NBIX US Equity","TOTAL_CAPITAL_SEQUENTIAL_GROWTH","FQ1 2021","FQ1 2021","Currency=USD","Period=FQ","BEST_FPERIOD_OVERRIDE=FQ","FILING_STATUS=MR","Sort=A","Dates=H","DateFormat=P","Fill=—","Direction=H","UseDPDF=Y")</f>
        <v>6.3597999999999999</v>
      </c>
      <c r="M83" s="14">
        <f>_xll.BDH("NBIX US Equity","TOTAL_CAPITAL_SEQUENTIAL_GROWTH","FQ2 2021","FQ2 2021","Currency=USD","Period=FQ","BEST_FPERIOD_OVERRIDE=FQ","FILING_STATUS=MR","Sort=A","Dates=H","DateFormat=P","Fill=—","Direction=H","UseDPDF=Y")</f>
        <v>4.99</v>
      </c>
      <c r="N83" s="14">
        <f>_xll.BDH("NBIX US Equity","TOTAL_CAPITAL_SEQUENTIAL_GROWTH","FQ3 2021","FQ3 2021","Currency=USD","Period=FQ","BEST_FPERIOD_OVERRIDE=FQ","FILING_STATUS=MR","Sort=A","Dates=H","DateFormat=P","Fill=—","Direction=H","UseDPDF=Y")</f>
        <v>3.9954000000000001</v>
      </c>
      <c r="O83" s="14">
        <f>_xll.BDH("NBIX US Equity","TOTAL_CAPITAL_SEQUENTIAL_GROWTH","FQ4 2021","FQ4 2021","Currency=USD","Period=FQ","BEST_FPERIOD_OVERRIDE=FQ","FILING_STATUS=MR","Sort=A","Dates=H","DateFormat=P","Fill=—","Direction=H","UseDPDF=Y")</f>
        <v>1.7958000000000001</v>
      </c>
      <c r="P83" s="14">
        <f>_xll.BDH("NBIX US Equity","TOTAL_CAPITAL_SEQUENTIAL_GROWTH","FQ1 2022","FQ1 2022","Currency=USD","Period=FQ","BEST_FPERIOD_OVERRIDE=FQ","FILING_STATUS=MR","Sort=A","Dates=H","DateFormat=P","Fill=—","Direction=H","UseDPDF=Y")</f>
        <v>3.1295999999999999</v>
      </c>
      <c r="Q83" s="14">
        <f>_xll.BDH("NBIX US Equity","TOTAL_CAPITAL_SEQUENTIAL_GROWTH","FQ2 2022","FQ2 2022","Currency=USD","Period=FQ","BEST_FPERIOD_OVERRIDE=FQ","FILING_STATUS=MR","Sort=A","Dates=H","DateFormat=P","Fill=—","Direction=H","UseDPDF=Y")</f>
        <v>-9.4852000000000007</v>
      </c>
      <c r="R83" s="14">
        <f>_xll.BDH("NBIX US Equity","TOTAL_CAPITAL_SEQUENTIAL_GROWTH","FQ3 2022","FQ3 2022","Currency=USD","Period=FQ","BEST_FPERIOD_OVERRIDE=FQ","FILING_STATUS=MR","Sort=A","Dates=H","DateFormat=P","Fill=—","Direction=H","UseDPDF=Y")</f>
        <v>6.9393000000000002</v>
      </c>
      <c r="S83" s="14">
        <f>_xll.BDH("NBIX US Equity","TOTAL_CAPITAL_SEQUENTIAL_GROWTH","FQ4 2022","FQ4 2022","Currency=USD","Period=FQ","BEST_FPERIOD_OVERRIDE=FQ","FILING_STATUS=MR","Sort=A","Dates=H","DateFormat=P","Fill=—","Direction=H","UseDPDF=Y")</f>
        <v>7.8239999999999998</v>
      </c>
      <c r="T83" s="14">
        <f>_xll.BDH("NBIX US Equity","TOTAL_CAPITAL_SEQUENTIAL_GROWTH","FQ1 2023","FQ1 2023","Currency=USD","Period=FQ","BEST_FPERIOD_OVERRIDE=FQ","FILING_STATUS=MR","Sort=A","Dates=H","DateFormat=P","Fill=—","Direction=H","UseDPDF=Y")</f>
        <v>-1.3346</v>
      </c>
      <c r="U83" s="14">
        <f>_xll.BDH("NBIX US Equity","TOTAL_CAPITAL_SEQUENTIAL_GROWTH","FQ2 2023","FQ2 2023","Currency=USD","Period=FQ","BEST_FPERIOD_OVERRIDE=FQ","FILING_STATUS=MR","Sort=A","Dates=H","DateFormat=P","Fill=—","Direction=H","UseDPDF=Y")</f>
        <v>9.5196000000000005</v>
      </c>
      <c r="V83" s="14">
        <f>_xll.BDH("NBIX US Equity","TOTAL_CAPITAL_SEQUENTIAL_GROWTH","FQ3 2023","FQ3 2023","Currency=USD","Period=FQ","BEST_FPERIOD_OVERRIDE=FQ","FILING_STATUS=MR","Sort=A","Dates=H","DateFormat=P","Fill=—","Direction=H","UseDPDF=Y")</f>
        <v>6.8654999999999999</v>
      </c>
      <c r="W83" s="14">
        <f>_xll.BDH("NBIX US Equity","TOTAL_CAPITAL_SEQUENTIAL_GROWTH","FQ4 2023","FQ4 2023","Currency=USD","Period=FQ","BEST_FPERIOD_OVERRIDE=FQ","FILING_STATUS=MR","Sort=A","Dates=H","DateFormat=P","Fill=—","Direction=H","UseDPDF=Y")</f>
        <v>18.3108</v>
      </c>
      <c r="X83" s="14">
        <f>_xll.BDH("NBIX US Equity","TOTAL_CAPITAL_SEQUENTIAL_GROWTH","FQ1 2024","FQ1 2024","Currency=USD","Period=FQ","BEST_FPERIOD_OVERRIDE=FQ","FILING_STATUS=MR","Sort=A","Dates=H","DateFormat=P","Fill=—","Direction=H","UseDPDF=Y")</f>
        <v>3.8776000000000002</v>
      </c>
      <c r="Y83" s="14">
        <f>_xll.BDH("NBIX US Equity","TOTAL_CAPITAL_SEQUENTIAL_GROWTH","FQ2 2024","FQ2 2024","Currency=USD","Period=FQ","BEST_FPERIOD_OVERRIDE=FQ","FILING_STATUS=MR","Sort=A","Dates=H","DateFormat=P","Fill=—","Direction=H","UseDPDF=Y")</f>
        <v>0.14299999999999999</v>
      </c>
      <c r="Z83" s="14">
        <f>_xll.BDH("NBIX US Equity","TOTAL_CAPITAL_SEQUENTIAL_GROWTH","FQ3 2024","FQ3 2024","Currency=USD","Period=FQ","BEST_FPERIOD_OVERRIDE=FQ","FILING_STATUS=MR","Sort=A","Dates=H","DateFormat=P","Fill=—","Direction=H","UseDPDF=Y")</f>
        <v>7.2942999999999998</v>
      </c>
      <c r="AA83" s="14">
        <f>_xll.BDH("NBIX US Equity","TOTAL_CAPITAL_SEQUENTIAL_GROWTH","FQ4 2024","FQ4 2024","Currency=USD","Period=FQ","BEST_FPERIOD_OVERRIDE=FQ","FILING_STATUS=MR","Sort=A","Dates=H","DateFormat=P","Fill=—","Direction=H","UseDPDF=Y")</f>
        <v>2.6720999999999999</v>
      </c>
    </row>
    <row r="84" spans="1:27" x14ac:dyDescent="0.25">
      <c r="A84" s="10" t="s">
        <v>1310</v>
      </c>
      <c r="B84" s="10" t="s">
        <v>1364</v>
      </c>
      <c r="C84" s="14">
        <f>_xll.BDH("NBIX US Equity","BPS_SEQUENTIAL_GROWTH","FQ4 2018","FQ4 2018","Currency=USD","Period=FQ","BEST_FPERIOD_OVERRIDE=FQ","FILING_STATUS=MR","Sort=A","Dates=H","DateFormat=P","Fill=—","Direction=H","UseDPDF=Y")</f>
        <v>7.2838000000000003</v>
      </c>
      <c r="D84" s="14">
        <f>_xll.BDH("NBIX US Equity","BPS_SEQUENTIAL_GROWTH","FQ1 2019","FQ1 2019","Currency=USD","Period=FQ","BEST_FPERIOD_OVERRIDE=FQ","FILING_STATUS=MR","Sort=A","Dates=H","DateFormat=P","Fill=—","Direction=H","UseDPDF=Y")</f>
        <v>-15.3241</v>
      </c>
      <c r="E84" s="14">
        <f>_xll.BDH("NBIX US Equity","BPS_SEQUENTIAL_GROWTH","FQ2 2019","FQ2 2019","Currency=USD","Period=FQ","BEST_FPERIOD_OVERRIDE=FQ","FILING_STATUS=MR","Sort=A","Dates=H","DateFormat=P","Fill=—","Direction=H","UseDPDF=Y")</f>
        <v>17.860700000000001</v>
      </c>
      <c r="F84" s="14">
        <f>_xll.BDH("NBIX US Equity","BPS_SEQUENTIAL_GROWTH","FQ3 2019","FQ3 2019","Currency=USD","Period=FQ","BEST_FPERIOD_OVERRIDE=FQ","FILING_STATUS=MR","Sort=A","Dates=H","DateFormat=P","Fill=—","Direction=H","UseDPDF=Y")</f>
        <v>18.071899999999999</v>
      </c>
      <c r="G84" s="14">
        <f>_xll.BDH("NBIX US Equity","BPS_SEQUENTIAL_GROWTH","FQ4 2019","FQ4 2019","Currency=USD","Period=FQ","BEST_FPERIOD_OVERRIDE=FQ","FILING_STATUS=MR","Sort=A","Dates=H","DateFormat=P","Fill=—","Direction=H","UseDPDF=Y")</f>
        <v>10.5945</v>
      </c>
      <c r="H84" s="14">
        <f>_xll.BDH("NBIX US Equity","BPS_SEQUENTIAL_GROWTH","FQ1 2020","FQ1 2020","Currency=USD","Period=FQ","BEST_FPERIOD_OVERRIDE=FQ","FILING_STATUS=MR","Sort=A","Dates=H","DateFormat=P","Fill=—","Direction=H","UseDPDF=Y")</f>
        <v>9.3620000000000001</v>
      </c>
      <c r="I84" s="14">
        <f>_xll.BDH("NBIX US Equity","BPS_SEQUENTIAL_GROWTH","FQ2 2020","FQ2 2020","Currency=USD","Period=FQ","BEST_FPERIOD_OVERRIDE=FQ","FILING_STATUS=MR","Sort=A","Dates=H","DateFormat=P","Fill=—","Direction=H","UseDPDF=Y")</f>
        <v>18.182600000000001</v>
      </c>
      <c r="J84" s="14">
        <f>_xll.BDH("NBIX US Equity","BPS_SEQUENTIAL_GROWTH","FQ3 2020","FQ3 2020","Currency=USD","Period=FQ","BEST_FPERIOD_OVERRIDE=FQ","FILING_STATUS=MR","Sort=A","Dates=H","DateFormat=P","Fill=—","Direction=H","UseDPDF=Y")</f>
        <v>-3.4434999999999998</v>
      </c>
      <c r="K84" s="14">
        <f>_xll.BDH("NBIX US Equity","BPS_SEQUENTIAL_GROWTH","FQ4 2020","FQ4 2020","Currency=USD","Period=FQ","BEST_FPERIOD_OVERRIDE=FQ","FILING_STATUS=MR","Sort=A","Dates=H","DateFormat=P","Fill=—","Direction=H","UseDPDF=Y")</f>
        <v>39.872599999999998</v>
      </c>
      <c r="L84" s="14">
        <f>_xll.BDH("NBIX US Equity","BPS_SEQUENTIAL_GROWTH","FQ1 2021","FQ1 2021","Currency=USD","Period=FQ","BEST_FPERIOD_OVERRIDE=FQ","FILING_STATUS=MR","Sort=A","Dates=H","DateFormat=P","Fill=—","Direction=H","UseDPDF=Y")</f>
        <v>5.9175000000000004</v>
      </c>
      <c r="M84" s="14">
        <f>_xll.BDH("NBIX US Equity","BPS_SEQUENTIAL_GROWTH","FQ2 2021","FQ2 2021","Currency=USD","Period=FQ","BEST_FPERIOD_OVERRIDE=FQ","FILING_STATUS=MR","Sort=A","Dates=H","DateFormat=P","Fill=—","Direction=H","UseDPDF=Y")</f>
        <v>5.9927000000000001</v>
      </c>
      <c r="N84" s="14">
        <f>_xll.BDH("NBIX US Equity","BPS_SEQUENTIAL_GROWTH","FQ3 2021","FQ3 2021","Currency=USD","Period=FQ","BEST_FPERIOD_OVERRIDE=FQ","FILING_STATUS=MR","Sort=A","Dates=H","DateFormat=P","Fill=—","Direction=H","UseDPDF=Y")</f>
        <v>5</v>
      </c>
      <c r="O84" s="14">
        <f>_xll.BDH("NBIX US Equity","BPS_SEQUENTIAL_GROWTH","FQ4 2021","FQ4 2021","Currency=USD","Period=FQ","BEST_FPERIOD_OVERRIDE=FQ","FILING_STATUS=MR","Sort=A","Dates=H","DateFormat=P","Fill=—","Direction=H","UseDPDF=Y")</f>
        <v>1.9726999999999999</v>
      </c>
      <c r="P84" s="14">
        <f>_xll.BDH("NBIX US Equity","BPS_SEQUENTIAL_GROWTH","FQ1 2022","FQ1 2022","Currency=USD","Period=FQ","BEST_FPERIOD_OVERRIDE=FQ","FILING_STATUS=MR","Sort=A","Dates=H","DateFormat=P","Fill=—","Direction=H","UseDPDF=Y")</f>
        <v>0.60850000000000004</v>
      </c>
      <c r="Q84" s="14">
        <f>_xll.BDH("NBIX US Equity","BPS_SEQUENTIAL_GROWTH","FQ2 2022","FQ2 2022","Currency=USD","Period=FQ","BEST_FPERIOD_OVERRIDE=FQ","FILING_STATUS=MR","Sort=A","Dates=H","DateFormat=P","Fill=—","Direction=H","UseDPDF=Y")</f>
        <v>2.2149000000000001</v>
      </c>
      <c r="R84" s="14">
        <f>_xll.BDH("NBIX US Equity","BPS_SEQUENTIAL_GROWTH","FQ3 2022","FQ3 2022","Currency=USD","Period=FQ","BEST_FPERIOD_OVERRIDE=FQ","FILING_STATUS=MR","Sort=A","Dates=H","DateFormat=P","Fill=—","Direction=H","UseDPDF=Y")</f>
        <v>7.9501999999999997</v>
      </c>
      <c r="S84" s="14">
        <f>_xll.BDH("NBIX US Equity","BPS_SEQUENTIAL_GROWTH","FQ4 2022","FQ4 2022","Currency=USD","Period=FQ","BEST_FPERIOD_OVERRIDE=FQ","FILING_STATUS=MR","Sort=A","Dates=H","DateFormat=P","Fill=—","Direction=H","UseDPDF=Y")</f>
        <v>10.1075</v>
      </c>
      <c r="T84" s="14">
        <f>_xll.BDH("NBIX US Equity","BPS_SEQUENTIAL_GROWTH","FQ1 2023","FQ1 2023","Currency=USD","Period=FQ","BEST_FPERIOD_OVERRIDE=FQ","FILING_STATUS=MR","Sort=A","Dates=H","DateFormat=P","Fill=—","Direction=H","UseDPDF=Y")</f>
        <v>-2.3759999999999999</v>
      </c>
      <c r="U84" s="14">
        <f>_xll.BDH("NBIX US Equity","BPS_SEQUENTIAL_GROWTH","FQ2 2023","FQ2 2023","Currency=USD","Period=FQ","BEST_FPERIOD_OVERRIDE=FQ","FILING_STATUS=MR","Sort=A","Dates=H","DateFormat=P","Fill=—","Direction=H","UseDPDF=Y")</f>
        <v>9.8902999999999999</v>
      </c>
      <c r="V84" s="14">
        <f>_xll.BDH("NBIX US Equity","BPS_SEQUENTIAL_GROWTH","FQ3 2023","FQ3 2023","Currency=USD","Period=FQ","BEST_FPERIOD_OVERRIDE=FQ","FILING_STATUS=MR","Sort=A","Dates=H","DateFormat=P","Fill=—","Direction=H","UseDPDF=Y")</f>
        <v>7.3861999999999997</v>
      </c>
      <c r="W84" s="14">
        <f>_xll.BDH("NBIX US Equity","BPS_SEQUENTIAL_GROWTH","FQ4 2023","FQ4 2023","Currency=USD","Period=FQ","BEST_FPERIOD_OVERRIDE=FQ","FILING_STATUS=MR","Sort=A","Dates=H","DateFormat=P","Fill=—","Direction=H","UseDPDF=Y")</f>
        <v>10.918200000000001</v>
      </c>
      <c r="X84" s="14">
        <f>_xll.BDH("NBIX US Equity","BPS_SEQUENTIAL_GROWTH","FQ1 2024","FQ1 2024","Currency=USD","Period=FQ","BEST_FPERIOD_OVERRIDE=FQ","FILING_STATUS=MR","Sort=A","Dates=H","DateFormat=P","Fill=—","Direction=H","UseDPDF=Y")</f>
        <v>4.8851000000000004</v>
      </c>
      <c r="Y84" s="14">
        <f>_xll.BDH("NBIX US Equity","BPS_SEQUENTIAL_GROWTH","FQ2 2024","FQ2 2024","Currency=USD","Period=FQ","BEST_FPERIOD_OVERRIDE=FQ","FILING_STATUS=MR","Sort=A","Dates=H","DateFormat=P","Fill=—","Direction=H","UseDPDF=Y")</f>
        <v>4.8464</v>
      </c>
      <c r="Z84" s="14">
        <f>_xll.BDH("NBIX US Equity","BPS_SEQUENTIAL_GROWTH","FQ3 2024","FQ3 2024","Currency=USD","Period=FQ","BEST_FPERIOD_OVERRIDE=FQ","FILING_STATUS=MR","Sort=A","Dates=H","DateFormat=P","Fill=—","Direction=H","UseDPDF=Y")</f>
        <v>8.0359999999999996</v>
      </c>
      <c r="AA84" s="14">
        <f>_xll.BDH("NBIX US Equity","BPS_SEQUENTIAL_GROWTH","FQ4 2024","FQ4 2024","Currency=USD","Period=FQ","BEST_FPERIOD_OVERRIDE=FQ","FILING_STATUS=MR","Sort=A","Dates=H","DateFormat=P","Fill=—","Direction=H","UseDPDF=Y")</f>
        <v>-3.0270999999999999</v>
      </c>
    </row>
    <row r="85" spans="1:27" x14ac:dyDescent="0.25">
      <c r="A85" s="1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5">
      <c r="A86" s="10" t="s">
        <v>124</v>
      </c>
      <c r="B86" s="10" t="s">
        <v>1365</v>
      </c>
      <c r="C86" s="14">
        <f>_xll.BDH("NBIX US Equity","CFO_SEQUENTIAL_GROWTH","FQ4 2018","FQ4 2018","Currency=USD","Period=FQ","BEST_FPERIOD_OVERRIDE=FQ","FILING_STATUS=MR","Sort=A","Dates=H","DateFormat=P","Fill=—","Direction=H","UseDPDF=Y")</f>
        <v>-26.790199999999999</v>
      </c>
      <c r="D86" s="14">
        <f>_xll.BDH("NBIX US Equity","CFO_SEQUENTIAL_GROWTH","FQ1 2019","FQ1 2019","Currency=USD","Period=FQ","BEST_FPERIOD_OVERRIDE=FQ","FILING_STATUS=MR","Sort=A","Dates=H","DateFormat=P","Fill=—","Direction=H","UseDPDF=Y")</f>
        <v>-322.95749999999998</v>
      </c>
      <c r="E86" s="14" t="str">
        <f>_xll.BDH("NBIX US Equity","CFO_SEQUENTIAL_GROWTH","FQ2 2019","FQ2 2019","Currency=USD","Period=FQ","BEST_FPERIOD_OVERRIDE=FQ","FILING_STATUS=MR","Sort=A","Dates=H","DateFormat=P","Fill=—","Direction=H","UseDPDF=Y")</f>
        <v>—</v>
      </c>
      <c r="F86" s="14">
        <f>_xll.BDH("NBIX US Equity","CFO_SEQUENTIAL_GROWTH","FQ3 2019","FQ3 2019","Currency=USD","Period=FQ","BEST_FPERIOD_OVERRIDE=FQ","FILING_STATUS=MR","Sort=A","Dates=H","DateFormat=P","Fill=—","Direction=H","UseDPDF=Y")</f>
        <v>52.457700000000003</v>
      </c>
      <c r="G86" s="14">
        <f>_xll.BDH("NBIX US Equity","CFO_SEQUENTIAL_GROWTH","FQ4 2019","FQ4 2019","Currency=USD","Period=FQ","BEST_FPERIOD_OVERRIDE=FQ","FILING_STATUS=MR","Sort=A","Dates=H","DateFormat=P","Fill=—","Direction=H","UseDPDF=Y")</f>
        <v>-0.33429999999999999</v>
      </c>
      <c r="H86" s="14">
        <f>_xll.BDH("NBIX US Equity","CFO_SEQUENTIAL_GROWTH","FQ1 2020","FQ1 2020","Currency=USD","Period=FQ","BEST_FPERIOD_OVERRIDE=FQ","FILING_STATUS=MR","Sort=A","Dates=H","DateFormat=P","Fill=—","Direction=H","UseDPDF=Y")</f>
        <v>-63.589399999999998</v>
      </c>
      <c r="I86" s="14">
        <f>_xll.BDH("NBIX US Equity","CFO_SEQUENTIAL_GROWTH","FQ2 2020","FQ2 2020","Currency=USD","Period=FQ","BEST_FPERIOD_OVERRIDE=FQ","FILING_STATUS=MR","Sort=A","Dates=H","DateFormat=P","Fill=—","Direction=H","UseDPDF=Y")</f>
        <v>234.92959999999999</v>
      </c>
      <c r="J86" s="14">
        <f>_xll.BDH("NBIX US Equity","CFO_SEQUENTIAL_GROWTH","FQ3 2020","FQ3 2020","Currency=USD","Period=FQ","BEST_FPERIOD_OVERRIDE=FQ","FILING_STATUS=MR","Sort=A","Dates=H","DateFormat=P","Fill=—","Direction=H","UseDPDF=Y")</f>
        <v>-117.15730000000001</v>
      </c>
      <c r="K86" s="14" t="str">
        <f>_xll.BDH("NBIX US Equity","CFO_SEQUENTIAL_GROWTH","FQ4 2020","FQ4 2020","Currency=USD","Period=FQ","BEST_FPERIOD_OVERRIDE=FQ","FILING_STATUS=MR","Sort=A","Dates=H","DateFormat=P","Fill=—","Direction=H","UseDPDF=Y")</f>
        <v>—</v>
      </c>
      <c r="L86" s="14">
        <f>_xll.BDH("NBIX US Equity","CFO_SEQUENTIAL_GROWTH","FQ1 2021","FQ1 2021","Currency=USD","Period=FQ","BEST_FPERIOD_OVERRIDE=FQ","FILING_STATUS=MR","Sort=A","Dates=H","DateFormat=P","Fill=—","Direction=H","UseDPDF=Y")</f>
        <v>-7.6189999999999998</v>
      </c>
      <c r="M86" s="14">
        <f>_xll.BDH("NBIX US Equity","CFO_SEQUENTIAL_GROWTH","FQ2 2021","FQ2 2021","Currency=USD","Period=FQ","BEST_FPERIOD_OVERRIDE=FQ","FILING_STATUS=MR","Sort=A","Dates=H","DateFormat=P","Fill=—","Direction=H","UseDPDF=Y")</f>
        <v>18.213100000000001</v>
      </c>
      <c r="N86" s="14">
        <f>_xll.BDH("NBIX US Equity","CFO_SEQUENTIAL_GROWTH","FQ3 2021","FQ3 2021","Currency=USD","Period=FQ","BEST_FPERIOD_OVERRIDE=FQ","FILING_STATUS=MR","Sort=A","Dates=H","DateFormat=P","Fill=—","Direction=H","UseDPDF=Y")</f>
        <v>-40.116300000000003</v>
      </c>
      <c r="O86" s="14">
        <f>_xll.BDH("NBIX US Equity","CFO_SEQUENTIAL_GROWTH","FQ4 2021","FQ4 2021","Currency=USD","Period=FQ","BEST_FPERIOD_OVERRIDE=FQ","FILING_STATUS=MR","Sort=A","Dates=H","DateFormat=P","Fill=—","Direction=H","UseDPDF=Y")</f>
        <v>-93.203900000000004</v>
      </c>
      <c r="P86" s="14">
        <f>_xll.BDH("NBIX US Equity","CFO_SEQUENTIAL_GROWTH","FQ1 2022","FQ1 2022","Currency=USD","Period=FQ","BEST_FPERIOD_OVERRIDE=FQ","FILING_STATUS=MR","Sort=A","Dates=H","DateFormat=P","Fill=—","Direction=H","UseDPDF=Y")</f>
        <v>-1064.2856999999999</v>
      </c>
      <c r="Q86" s="14" t="str">
        <f>_xll.BDH("NBIX US Equity","CFO_SEQUENTIAL_GROWTH","FQ2 2022","FQ2 2022","Currency=USD","Period=FQ","BEST_FPERIOD_OVERRIDE=FQ","FILING_STATUS=MR","Sort=A","Dates=H","DateFormat=P","Fill=—","Direction=H","UseDPDF=Y")</f>
        <v>—</v>
      </c>
      <c r="R86" s="14">
        <f>_xll.BDH("NBIX US Equity","CFO_SEQUENTIAL_GROWTH","FQ3 2022","FQ3 2022","Currency=USD","Period=FQ","BEST_FPERIOD_OVERRIDE=FQ","FILING_STATUS=MR","Sort=A","Dates=H","DateFormat=P","Fill=—","Direction=H","UseDPDF=Y")</f>
        <v>-28.457599999999999</v>
      </c>
      <c r="S86" s="14">
        <f>_xll.BDH("NBIX US Equity","CFO_SEQUENTIAL_GROWTH","FQ4 2022","FQ4 2022","Currency=USD","Period=FQ","BEST_FPERIOD_OVERRIDE=FQ","FILING_STATUS=MR","Sort=A","Dates=H","DateFormat=P","Fill=—","Direction=H","UseDPDF=Y")</f>
        <v>44.736800000000002</v>
      </c>
      <c r="T86" s="14">
        <f>_xll.BDH("NBIX US Equity","CFO_SEQUENTIAL_GROWTH","FQ1 2023","FQ1 2023","Currency=USD","Period=FQ","BEST_FPERIOD_OVERRIDE=FQ","FILING_STATUS=MR","Sort=A","Dates=H","DateFormat=P","Fill=—","Direction=H","UseDPDF=Y")</f>
        <v>-187.55240000000001</v>
      </c>
      <c r="U86" s="14" t="str">
        <f>_xll.BDH("NBIX US Equity","CFO_SEQUENTIAL_GROWTH","FQ2 2023","FQ2 2023","Currency=USD","Period=FQ","BEST_FPERIOD_OVERRIDE=FQ","FILING_STATUS=MR","Sort=A","Dates=H","DateFormat=P","Fill=—","Direction=H","UseDPDF=Y")</f>
        <v>—</v>
      </c>
      <c r="V86" s="14">
        <f>_xll.BDH("NBIX US Equity","CFO_SEQUENTIAL_GROWTH","FQ3 2023","FQ3 2023","Currency=USD","Period=FQ","BEST_FPERIOD_OVERRIDE=FQ","FILING_STATUS=MR","Sort=A","Dates=H","DateFormat=P","Fill=—","Direction=H","UseDPDF=Y")</f>
        <v>18.040099999999999</v>
      </c>
      <c r="W86" s="14">
        <f>_xll.BDH("NBIX US Equity","CFO_SEQUENTIAL_GROWTH","FQ4 2023","FQ4 2023","Currency=USD","Period=FQ","BEST_FPERIOD_OVERRIDE=FQ","FILING_STATUS=MR","Sort=A","Dates=H","DateFormat=P","Fill=—","Direction=H","UseDPDF=Y")</f>
        <v>-41.7453</v>
      </c>
      <c r="X86" s="14">
        <f>_xll.BDH("NBIX US Equity","CFO_SEQUENTIAL_GROWTH","FQ1 2024","FQ1 2024","Currency=USD","Period=FQ","BEST_FPERIOD_OVERRIDE=FQ","FILING_STATUS=MR","Sort=A","Dates=H","DateFormat=P","Fill=—","Direction=H","UseDPDF=Y")</f>
        <v>5.5061</v>
      </c>
      <c r="Y86" s="14">
        <f>_xll.BDH("NBIX US Equity","CFO_SEQUENTIAL_GROWTH","FQ2 2024","FQ2 2024","Currency=USD","Period=FQ","BEST_FPERIOD_OVERRIDE=FQ","FILING_STATUS=MR","Sort=A","Dates=H","DateFormat=P","Fill=—","Direction=H","UseDPDF=Y")</f>
        <v>-50.4221</v>
      </c>
      <c r="Z86" s="14">
        <f>_xll.BDH("NBIX US Equity","CFO_SEQUENTIAL_GROWTH","FQ3 2024","FQ3 2024","Currency=USD","Period=FQ","BEST_FPERIOD_OVERRIDE=FQ","FILING_STATUS=MR","Sort=A","Dates=H","DateFormat=P","Fill=—","Direction=H","UseDPDF=Y")</f>
        <v>144.58199999999999</v>
      </c>
      <c r="AA86" s="14">
        <f>_xll.BDH("NBIX US Equity","CFO_SEQUENTIAL_GROWTH","FQ4 2024","FQ4 2024","Currency=USD","Period=FQ","BEST_FPERIOD_OVERRIDE=FQ","FILING_STATUS=MR","Sort=A","Dates=H","DateFormat=P","Fill=—","Direction=H","UseDPDF=Y")</f>
        <v>53.481000000000002</v>
      </c>
    </row>
    <row r="87" spans="1:27" x14ac:dyDescent="0.25">
      <c r="A87" s="10" t="s">
        <v>86</v>
      </c>
      <c r="B87" s="10" t="s">
        <v>1366</v>
      </c>
      <c r="C87" s="14">
        <f>_xll.BDH("NBIX US Equity","CAPEX_SEQUENTIAL_GROWTH","FQ4 2018","FQ4 2018","Currency=USD","Period=FQ","BEST_FPERIOD_OVERRIDE=FQ","FILING_STATUS=MR","Sort=A","Dates=H","DateFormat=P","Fill=—","Direction=H","UseDPDF=Y")</f>
        <v>-51.371499999999997</v>
      </c>
      <c r="D87" s="14">
        <f>_xll.BDH("NBIX US Equity","CAPEX_SEQUENTIAL_GROWTH","FQ1 2019","FQ1 2019","Currency=USD","Period=FQ","BEST_FPERIOD_OVERRIDE=FQ","FILING_STATUS=MR","Sort=A","Dates=H","DateFormat=P","Fill=—","Direction=H","UseDPDF=Y")</f>
        <v>-34.459200000000003</v>
      </c>
      <c r="E87" s="14">
        <f>_xll.BDH("NBIX US Equity","CAPEX_SEQUENTIAL_GROWTH","FQ2 2019","FQ2 2019","Currency=USD","Period=FQ","BEST_FPERIOD_OVERRIDE=FQ","FILING_STATUS=MR","Sort=A","Dates=H","DateFormat=P","Fill=—","Direction=H","UseDPDF=Y")</f>
        <v>13.048999999999999</v>
      </c>
      <c r="F87" s="14">
        <f>_xll.BDH("NBIX US Equity","CAPEX_SEQUENTIAL_GROWTH","FQ3 2019","FQ3 2019","Currency=USD","Period=FQ","BEST_FPERIOD_OVERRIDE=FQ","FILING_STATUS=MR","Sort=A","Dates=H","DateFormat=P","Fill=—","Direction=H","UseDPDF=Y")</f>
        <v>-20.4132</v>
      </c>
      <c r="G87" s="14">
        <f>_xll.BDH("NBIX US Equity","CAPEX_SEQUENTIAL_GROWTH","FQ4 2019","FQ4 2019","Currency=USD","Period=FQ","BEST_FPERIOD_OVERRIDE=FQ","FILING_STATUS=MR","Sort=A","Dates=H","DateFormat=P","Fill=—","Direction=H","UseDPDF=Y")</f>
        <v>-21.783300000000001</v>
      </c>
      <c r="H87" s="14">
        <f>_xll.BDH("NBIX US Equity","CAPEX_SEQUENTIAL_GROWTH","FQ1 2020","FQ1 2020","Currency=USD","Period=FQ","BEST_FPERIOD_OVERRIDE=FQ","FILING_STATUS=MR","Sort=A","Dates=H","DateFormat=P","Fill=—","Direction=H","UseDPDF=Y")</f>
        <v>-53.102499999999999</v>
      </c>
      <c r="I87" s="14">
        <f>_xll.BDH("NBIX US Equity","CAPEX_SEQUENTIAL_GROWTH","FQ2 2020","FQ2 2020","Currency=USD","Period=FQ","BEST_FPERIOD_OVERRIDE=FQ","FILING_STATUS=MR","Sort=A","Dates=H","DateFormat=P","Fill=—","Direction=H","UseDPDF=Y")</f>
        <v>261.5385</v>
      </c>
      <c r="J87" s="14">
        <f>_xll.BDH("NBIX US Equity","CAPEX_SEQUENTIAL_GROWTH","FQ3 2020","FQ3 2020","Currency=USD","Period=FQ","BEST_FPERIOD_OVERRIDE=FQ","FILING_STATUS=MR","Sort=A","Dates=H","DateFormat=P","Fill=—","Direction=H","UseDPDF=Y")</f>
        <v>-91.489400000000003</v>
      </c>
      <c r="K87" s="14">
        <f>_xll.BDH("NBIX US Equity","CAPEX_SEQUENTIAL_GROWTH","FQ4 2020","FQ4 2020","Currency=USD","Period=FQ","BEST_FPERIOD_OVERRIDE=FQ","FILING_STATUS=MR","Sort=A","Dates=H","DateFormat=P","Fill=—","Direction=H","UseDPDF=Y")</f>
        <v>1025</v>
      </c>
      <c r="L87" s="14">
        <f>_xll.BDH("NBIX US Equity","CAPEX_SEQUENTIAL_GROWTH","FQ1 2021","FQ1 2021","Currency=USD","Period=FQ","BEST_FPERIOD_OVERRIDE=FQ","FILING_STATUS=MR","Sort=A","Dates=H","DateFormat=P","Fill=—","Direction=H","UseDPDF=Y")</f>
        <v>0</v>
      </c>
      <c r="M87" s="14">
        <f>_xll.BDH("NBIX US Equity","CAPEX_SEQUENTIAL_GROWTH","FQ2 2021","FQ2 2021","Currency=USD","Period=FQ","BEST_FPERIOD_OVERRIDE=FQ","FILING_STATUS=MR","Sort=A","Dates=H","DateFormat=P","Fill=—","Direction=H","UseDPDF=Y")</f>
        <v>-4.4443999999999999</v>
      </c>
      <c r="N87" s="14">
        <f>_xll.BDH("NBIX US Equity","CAPEX_SEQUENTIAL_GROWTH","FQ3 2021","FQ3 2021","Currency=USD","Period=FQ","BEST_FPERIOD_OVERRIDE=FQ","FILING_STATUS=MR","Sort=A","Dates=H","DateFormat=P","Fill=—","Direction=H","UseDPDF=Y")</f>
        <v>32.558100000000003</v>
      </c>
      <c r="O87" s="14">
        <f>_xll.BDH("NBIX US Equity","CAPEX_SEQUENTIAL_GROWTH","FQ4 2021","FQ4 2021","Currency=USD","Period=FQ","BEST_FPERIOD_OVERRIDE=FQ","FILING_STATUS=MR","Sort=A","Dates=H","DateFormat=P","Fill=—","Direction=H","UseDPDF=Y")</f>
        <v>56.1404</v>
      </c>
      <c r="P87" s="14">
        <f>_xll.BDH("NBIX US Equity","CAPEX_SEQUENTIAL_GROWTH","FQ1 2022","FQ1 2022","Currency=USD","Period=FQ","BEST_FPERIOD_OVERRIDE=FQ","FILING_STATUS=MR","Sort=A","Dates=H","DateFormat=P","Fill=—","Direction=H","UseDPDF=Y")</f>
        <v>-14.6067</v>
      </c>
      <c r="Q87" s="14">
        <f>_xll.BDH("NBIX US Equity","CAPEX_SEQUENTIAL_GROWTH","FQ2 2022","FQ2 2022","Currency=USD","Period=FQ","BEST_FPERIOD_OVERRIDE=FQ","FILING_STATUS=MR","Sort=A","Dates=H","DateFormat=P","Fill=—","Direction=H","UseDPDF=Y")</f>
        <v>15.7895</v>
      </c>
      <c r="R87" s="14" t="str">
        <f>_xll.BDH("NBIX US Equity","CAPEX_SEQUENTIAL_GROWTH","FQ3 2022","FQ3 2022","Currency=USD","Period=FQ","BEST_FPERIOD_OVERRIDE=FQ","FILING_STATUS=MR","Sort=A","Dates=H","DateFormat=P","Fill=—","Direction=H","UseDPDF=Y")</f>
        <v>—</v>
      </c>
      <c r="S87" s="14" t="str">
        <f>_xll.BDH("NBIX US Equity","CAPEX_SEQUENTIAL_GROWTH","FQ4 2022","FQ4 2022","Currency=USD","Period=FQ","BEST_FPERIOD_OVERRIDE=FQ","FILING_STATUS=MR","Sort=A","Dates=H","DateFormat=P","Fill=—","Direction=H","UseDPDF=Y")</f>
        <v>—</v>
      </c>
      <c r="T87" s="14">
        <f>_xll.BDH("NBIX US Equity","CAPEX_SEQUENTIAL_GROWTH","FQ1 2023","FQ1 2023","Currency=USD","Period=FQ","BEST_FPERIOD_OVERRIDE=FQ","FILING_STATUS=MR","Sort=A","Dates=H","DateFormat=P","Fill=—","Direction=H","UseDPDF=Y")</f>
        <v>372.22219999999999</v>
      </c>
      <c r="U87" s="14">
        <f>_xll.BDH("NBIX US Equity","CAPEX_SEQUENTIAL_GROWTH","FQ2 2023","FQ2 2023","Currency=USD","Period=FQ","BEST_FPERIOD_OVERRIDE=FQ","FILING_STATUS=MR","Sort=A","Dates=H","DateFormat=P","Fill=—","Direction=H","UseDPDF=Y")</f>
        <v>-20</v>
      </c>
      <c r="V87" s="14">
        <f>_xll.BDH("NBIX US Equity","CAPEX_SEQUENTIAL_GROWTH","FQ3 2023","FQ3 2023","Currency=USD","Period=FQ","BEST_FPERIOD_OVERRIDE=FQ","FILING_STATUS=MR","Sort=A","Dates=H","DateFormat=P","Fill=—","Direction=H","UseDPDF=Y")</f>
        <v>11.764699999999999</v>
      </c>
      <c r="W87" s="14">
        <f>_xll.BDH("NBIX US Equity","CAPEX_SEQUENTIAL_GROWTH","FQ4 2023","FQ4 2023","Currency=USD","Period=FQ","BEST_FPERIOD_OVERRIDE=FQ","FILING_STATUS=MR","Sort=A","Dates=H","DateFormat=P","Fill=—","Direction=H","UseDPDF=Y")</f>
        <v>-28.947399999999998</v>
      </c>
      <c r="X87" s="14">
        <f>_xll.BDH("NBIX US Equity","CAPEX_SEQUENTIAL_GROWTH","FQ1 2024","FQ1 2024","Currency=USD","Period=FQ","BEST_FPERIOD_OVERRIDE=FQ","FILING_STATUS=MR","Sort=A","Dates=H","DateFormat=P","Fill=—","Direction=H","UseDPDF=Y")</f>
        <v>107.4074</v>
      </c>
      <c r="Y87" s="14">
        <f>_xll.BDH("NBIX US Equity","CAPEX_SEQUENTIAL_GROWTH","FQ2 2024","FQ2 2024","Currency=USD","Period=FQ","BEST_FPERIOD_OVERRIDE=FQ","FILING_STATUS=MR","Sort=A","Dates=H","DateFormat=P","Fill=—","Direction=H","UseDPDF=Y")</f>
        <v>3.5714000000000001</v>
      </c>
      <c r="Z87" s="14">
        <f>_xll.BDH("NBIX US Equity","CAPEX_SEQUENTIAL_GROWTH","FQ3 2024","FQ3 2024","Currency=USD","Period=FQ","BEST_FPERIOD_OVERRIDE=FQ","FILING_STATUS=MR","Sort=A","Dates=H","DateFormat=P","Fill=—","Direction=H","UseDPDF=Y")</f>
        <v>-30.1724</v>
      </c>
      <c r="AA87" s="14">
        <f>_xll.BDH("NBIX US Equity","CAPEX_SEQUENTIAL_GROWTH","FQ4 2024","FQ4 2024","Currency=USD","Period=FQ","BEST_FPERIOD_OVERRIDE=FQ","FILING_STATUS=MR","Sort=A","Dates=H","DateFormat=P","Fill=—","Direction=H","UseDPDF=Y")</f>
        <v>-9.8765000000000001</v>
      </c>
    </row>
    <row r="88" spans="1:27" x14ac:dyDescent="0.25">
      <c r="A88" s="10" t="s">
        <v>1241</v>
      </c>
      <c r="B88" s="10" t="s">
        <v>1367</v>
      </c>
      <c r="C88" s="14">
        <f>_xll.BDH("NBIX US Equity","NET_CHANGE_IN_CASH_SEQ_GROWTH","FQ4 2018","FQ4 2018","Currency=USD","Period=FQ","BEST_FPERIOD_OVERRIDE=FQ","FILING_STATUS=MR","Sort=A","Dates=H","DateFormat=P","Fill=—","Direction=H","UseDPDF=Y")</f>
        <v>-284.29309999999998</v>
      </c>
      <c r="D88" s="14" t="str">
        <f>_xll.BDH("NBIX US Equity","NET_CHANGE_IN_CASH_SEQ_GROWTH","FQ1 2019","FQ1 2019","Currency=USD","Period=FQ","BEST_FPERIOD_OVERRIDE=FQ","FILING_STATUS=MR","Sort=A","Dates=H","DateFormat=P","Fill=—","Direction=H","UseDPDF=Y")</f>
        <v>—</v>
      </c>
      <c r="E88" s="14" t="str">
        <f>_xll.BDH("NBIX US Equity","NET_CHANGE_IN_CASH_SEQ_GROWTH","FQ2 2019","FQ2 2019","Currency=USD","Period=FQ","BEST_FPERIOD_OVERRIDE=FQ","FILING_STATUS=MR","Sort=A","Dates=H","DateFormat=P","Fill=—","Direction=H","UseDPDF=Y")</f>
        <v>—</v>
      </c>
      <c r="F88" s="14">
        <f>_xll.BDH("NBIX US Equity","NET_CHANGE_IN_CASH_SEQ_GROWTH","FQ3 2019","FQ3 2019","Currency=USD","Period=FQ","BEST_FPERIOD_OVERRIDE=FQ","FILING_STATUS=MR","Sort=A","Dates=H","DateFormat=P","Fill=—","Direction=H","UseDPDF=Y")</f>
        <v>-62.842500000000001</v>
      </c>
      <c r="G88" s="14">
        <f>_xll.BDH("NBIX US Equity","NET_CHANGE_IN_CASH_SEQ_GROWTH","FQ4 2019","FQ4 2019","Currency=USD","Period=FQ","BEST_FPERIOD_OVERRIDE=FQ","FILING_STATUS=MR","Sort=A","Dates=H","DateFormat=P","Fill=—","Direction=H","UseDPDF=Y")</f>
        <v>-322.20249999999999</v>
      </c>
      <c r="H88" s="14" t="str">
        <f>_xll.BDH("NBIX US Equity","NET_CHANGE_IN_CASH_SEQ_GROWTH","FQ1 2020","FQ1 2020","Currency=USD","Period=FQ","BEST_FPERIOD_OVERRIDE=FQ","FILING_STATUS=MR","Sort=A","Dates=H","DateFormat=P","Fill=—","Direction=H","UseDPDF=Y")</f>
        <v>—</v>
      </c>
      <c r="I88" s="14">
        <f>_xll.BDH("NBIX US Equity","NET_CHANGE_IN_CASH_SEQ_GROWTH","FQ2 2020","FQ2 2020","Currency=USD","Period=FQ","BEST_FPERIOD_OVERRIDE=FQ","FILING_STATUS=MR","Sort=A","Dates=H","DateFormat=P","Fill=—","Direction=H","UseDPDF=Y")</f>
        <v>205.35480000000001</v>
      </c>
      <c r="J88" s="14">
        <f>_xll.BDH("NBIX US Equity","NET_CHANGE_IN_CASH_SEQ_GROWTH","FQ3 2020","FQ3 2020","Currency=USD","Period=FQ","BEST_FPERIOD_OVERRIDE=FQ","FILING_STATUS=MR","Sort=A","Dates=H","DateFormat=P","Fill=—","Direction=H","UseDPDF=Y")</f>
        <v>-95.528300000000002</v>
      </c>
      <c r="K88" s="14">
        <f>_xll.BDH("NBIX US Equity","NET_CHANGE_IN_CASH_SEQ_GROWTH","FQ4 2020","FQ4 2020","Currency=USD","Period=FQ","BEST_FPERIOD_OVERRIDE=FQ","FILING_STATUS=MR","Sort=A","Dates=H","DateFormat=P","Fill=—","Direction=H","UseDPDF=Y")</f>
        <v>-2435.2941000000001</v>
      </c>
      <c r="L88" s="14" t="str">
        <f>_xll.BDH("NBIX US Equity","NET_CHANGE_IN_CASH_SEQ_GROWTH","FQ1 2021","FQ1 2021","Currency=USD","Period=FQ","BEST_FPERIOD_OVERRIDE=FQ","FILING_STATUS=MR","Sort=A","Dates=H","DateFormat=P","Fill=—","Direction=H","UseDPDF=Y")</f>
        <v>—</v>
      </c>
      <c r="M88" s="14">
        <f>_xll.BDH("NBIX US Equity","NET_CHANGE_IN_CASH_SEQ_GROWTH","FQ2 2021","FQ2 2021","Currency=USD","Period=FQ","BEST_FPERIOD_OVERRIDE=FQ","FILING_STATUS=MR","Sort=A","Dates=H","DateFormat=P","Fill=—","Direction=H","UseDPDF=Y")</f>
        <v>-90.694900000000004</v>
      </c>
      <c r="N88" s="14">
        <f>_xll.BDH("NBIX US Equity","NET_CHANGE_IN_CASH_SEQ_GROWTH","FQ3 2021","FQ3 2021","Currency=USD","Period=FQ","BEST_FPERIOD_OVERRIDE=FQ","FILING_STATUS=MR","Sort=A","Dates=H","DateFormat=P","Fill=—","Direction=H","UseDPDF=Y")</f>
        <v>-469.48050000000001</v>
      </c>
      <c r="O88" s="14" t="str">
        <f>_xll.BDH("NBIX US Equity","NET_CHANGE_IN_CASH_SEQ_GROWTH","FQ4 2021","FQ4 2021","Currency=USD","Period=FQ","BEST_FPERIOD_OVERRIDE=FQ","FILING_STATUS=MR","Sort=A","Dates=H","DateFormat=P","Fill=—","Direction=H","UseDPDF=Y")</f>
        <v>—</v>
      </c>
      <c r="P88" s="14">
        <f>_xll.BDH("NBIX US Equity","NET_CHANGE_IN_CASH_SEQ_GROWTH","FQ1 2022","FQ1 2022","Currency=USD","Period=FQ","BEST_FPERIOD_OVERRIDE=FQ","FILING_STATUS=MR","Sort=A","Dates=H","DateFormat=P","Fill=—","Direction=H","UseDPDF=Y")</f>
        <v>-322.22219999999999</v>
      </c>
      <c r="Q88" s="14" t="str">
        <f>_xll.BDH("NBIX US Equity","NET_CHANGE_IN_CASH_SEQ_GROWTH","FQ2 2022","FQ2 2022","Currency=USD","Period=FQ","BEST_FPERIOD_OVERRIDE=FQ","FILING_STATUS=MR","Sort=A","Dates=H","DateFormat=P","Fill=—","Direction=H","UseDPDF=Y")</f>
        <v>—</v>
      </c>
      <c r="R88" s="14" t="str">
        <f>_xll.BDH("NBIX US Equity","NET_CHANGE_IN_CASH_SEQ_GROWTH","FQ3 2022","FQ3 2022","Currency=USD","Period=FQ","BEST_FPERIOD_OVERRIDE=FQ","FILING_STATUS=MR","Sort=A","Dates=H","DateFormat=P","Fill=—","Direction=H","UseDPDF=Y")</f>
        <v>—</v>
      </c>
      <c r="S88" s="14">
        <f>_xll.BDH("NBIX US Equity","NET_CHANGE_IN_CASH_SEQ_GROWTH","FQ4 2022","FQ4 2022","Currency=USD","Period=FQ","BEST_FPERIOD_OVERRIDE=FQ","FILING_STATUS=MR","Sort=A","Dates=H","DateFormat=P","Fill=—","Direction=H","UseDPDF=Y")</f>
        <v>3.681</v>
      </c>
      <c r="T88" s="14">
        <f>_xll.BDH("NBIX US Equity","NET_CHANGE_IN_CASH_SEQ_GROWTH","FQ1 2023","FQ1 2023","Currency=USD","Period=FQ","BEST_FPERIOD_OVERRIDE=FQ","FILING_STATUS=MR","Sort=A","Dates=H","DateFormat=P","Fill=—","Direction=H","UseDPDF=Y")</f>
        <v>-413.80669999999998</v>
      </c>
      <c r="U88" s="14" t="str">
        <f>_xll.BDH("NBIX US Equity","NET_CHANGE_IN_CASH_SEQ_GROWTH","FQ2 2023","FQ2 2023","Currency=USD","Period=FQ","BEST_FPERIOD_OVERRIDE=FQ","FILING_STATUS=MR","Sort=A","Dates=H","DateFormat=P","Fill=—","Direction=H","UseDPDF=Y")</f>
        <v>—</v>
      </c>
      <c r="V88" s="14">
        <f>_xll.BDH("NBIX US Equity","NET_CHANGE_IN_CASH_SEQ_GROWTH","FQ3 2023","FQ3 2023","Currency=USD","Period=FQ","BEST_FPERIOD_OVERRIDE=FQ","FILING_STATUS=MR","Sort=A","Dates=H","DateFormat=P","Fill=—","Direction=H","UseDPDF=Y")</f>
        <v>135.8657</v>
      </c>
      <c r="W88" s="14">
        <f>_xll.BDH("NBIX US Equity","NET_CHANGE_IN_CASH_SEQ_GROWTH","FQ4 2023","FQ4 2023","Currency=USD","Period=FQ","BEST_FPERIOD_OVERRIDE=FQ","FILING_STATUS=MR","Sort=A","Dates=H","DateFormat=P","Fill=—","Direction=H","UseDPDF=Y")</f>
        <v>-131.9101</v>
      </c>
      <c r="X88" s="14" t="str">
        <f>_xll.BDH("NBIX US Equity","NET_CHANGE_IN_CASH_SEQ_GROWTH","FQ1 2024","FQ1 2024","Currency=USD","Period=FQ","BEST_FPERIOD_OVERRIDE=FQ","FILING_STATUS=MR","Sort=A","Dates=H","DateFormat=P","Fill=—","Direction=H","UseDPDF=Y")</f>
        <v>—</v>
      </c>
      <c r="Y88" s="14">
        <f>_xll.BDH("NBIX US Equity","NET_CHANGE_IN_CASH_SEQ_GROWTH","FQ2 2024","FQ2 2024","Currency=USD","Period=FQ","BEST_FPERIOD_OVERRIDE=FQ","FILING_STATUS=MR","Sort=A","Dates=H","DateFormat=P","Fill=—","Direction=H","UseDPDF=Y")</f>
        <v>-276.72179999999997</v>
      </c>
      <c r="Z88" s="14" t="str">
        <f>_xll.BDH("NBIX US Equity","NET_CHANGE_IN_CASH_SEQ_GROWTH","FQ3 2024","FQ3 2024","Currency=USD","Period=FQ","BEST_FPERIOD_OVERRIDE=FQ","FILING_STATUS=MR","Sort=A","Dates=H","DateFormat=P","Fill=—","Direction=H","UseDPDF=Y")</f>
        <v>—</v>
      </c>
      <c r="AA88" s="14">
        <f>_xll.BDH("NBIX US Equity","NET_CHANGE_IN_CASH_SEQ_GROWTH","FQ4 2024","FQ4 2024","Currency=USD","Period=FQ","BEST_FPERIOD_OVERRIDE=FQ","FILING_STATUS=MR","Sort=A","Dates=H","DateFormat=P","Fill=—","Direction=H","UseDPDF=Y")</f>
        <v>-155.44409999999999</v>
      </c>
    </row>
    <row r="89" spans="1:27" x14ac:dyDescent="0.25">
      <c r="A89" s="10" t="s">
        <v>88</v>
      </c>
      <c r="B89" s="10" t="s">
        <v>1368</v>
      </c>
      <c r="C89" s="14">
        <f>_xll.BDH("NBIX US Equity","FREE_CASH_FLOW_SEQUENTIAL_GROWTH","FQ4 2018","FQ4 2018","Currency=USD","Period=FQ","BEST_FPERIOD_OVERRIDE=FQ","FILING_STATUS=MR","Sort=A","Dates=H","DateFormat=P","Fill=—","Direction=H","UseDPDF=Y")</f>
        <v>-21.418700000000001</v>
      </c>
      <c r="D89" s="14">
        <f>_xll.BDH("NBIX US Equity","FREE_CASH_FLOW_SEQUENTIAL_GROWTH","FQ1 2019","FQ1 2019","Currency=USD","Period=FQ","BEST_FPERIOD_OVERRIDE=FQ","FILING_STATUS=MR","Sort=A","Dates=H","DateFormat=P","Fill=—","Direction=H","UseDPDF=Y")</f>
        <v>-361.9701</v>
      </c>
      <c r="E89" s="14" t="str">
        <f>_xll.BDH("NBIX US Equity","FREE_CASH_FLOW_SEQUENTIAL_GROWTH","FQ2 2019","FQ2 2019","Currency=USD","Period=FQ","BEST_FPERIOD_OVERRIDE=FQ","FILING_STATUS=MR","Sort=A","Dates=H","DateFormat=P","Fill=—","Direction=H","UseDPDF=Y")</f>
        <v>—</v>
      </c>
      <c r="F89" s="14">
        <f>_xll.BDH("NBIX US Equity","FREE_CASH_FLOW_SEQUENTIAL_GROWTH","FQ3 2019","FQ3 2019","Currency=USD","Period=FQ","BEST_FPERIOD_OVERRIDE=FQ","FILING_STATUS=MR","Sort=A","Dates=H","DateFormat=P","Fill=—","Direction=H","UseDPDF=Y")</f>
        <v>57.8919</v>
      </c>
      <c r="G89" s="14">
        <f>_xll.BDH("NBIX US Equity","FREE_CASH_FLOW_SEQUENTIAL_GROWTH","FQ4 2019","FQ4 2019","Currency=USD","Period=FQ","BEST_FPERIOD_OVERRIDE=FQ","FILING_STATUS=MR","Sort=A","Dates=H","DateFormat=P","Fill=—","Direction=H","UseDPDF=Y")</f>
        <v>0.47199999999999998</v>
      </c>
      <c r="H89" s="14">
        <f>_xll.BDH("NBIX US Equity","FREE_CASH_FLOW_SEQUENTIAL_GROWTH","FQ1 2020","FQ1 2020","Currency=USD","Period=FQ","BEST_FPERIOD_OVERRIDE=FQ","FILING_STATUS=MR","Sort=A","Dates=H","DateFormat=P","Fill=—","Direction=H","UseDPDF=Y")</f>
        <v>-63.8962</v>
      </c>
      <c r="I89" s="14">
        <f>_xll.BDH("NBIX US Equity","FREE_CASH_FLOW_SEQUENTIAL_GROWTH","FQ2 2020","FQ2 2020","Currency=USD","Period=FQ","BEST_FPERIOD_OVERRIDE=FQ","FILING_STATUS=MR","Sort=A","Dates=H","DateFormat=P","Fill=—","Direction=H","UseDPDF=Y")</f>
        <v>233.91810000000001</v>
      </c>
      <c r="J89" s="14">
        <f>_xll.BDH("NBIX US Equity","FREE_CASH_FLOW_SEQUENTIAL_GROWTH","FQ3 2020","FQ3 2020","Currency=USD","Period=FQ","BEST_FPERIOD_OVERRIDE=FQ","FILING_STATUS=MR","Sort=A","Dates=H","DateFormat=P","Fill=—","Direction=H","UseDPDF=Y")</f>
        <v>-118.2137</v>
      </c>
      <c r="K89" s="14" t="str">
        <f>_xll.BDH("NBIX US Equity","FREE_CASH_FLOW_SEQUENTIAL_GROWTH","FQ4 2020","FQ4 2020","Currency=USD","Period=FQ","BEST_FPERIOD_OVERRIDE=FQ","FILING_STATUS=MR","Sort=A","Dates=H","DateFormat=P","Fill=—","Direction=H","UseDPDF=Y")</f>
        <v>—</v>
      </c>
      <c r="L89" s="14">
        <f>_xll.BDH("NBIX US Equity","FREE_CASH_FLOW_SEQUENTIAL_GROWTH","FQ1 2021","FQ1 2021","Currency=USD","Period=FQ","BEST_FPERIOD_OVERRIDE=FQ","FILING_STATUS=MR","Sort=A","Dates=H","DateFormat=P","Fill=—","Direction=H","UseDPDF=Y")</f>
        <v>-8</v>
      </c>
      <c r="M89" s="14">
        <f>_xll.BDH("NBIX US Equity","FREE_CASH_FLOW_SEQUENTIAL_GROWTH","FQ2 2021","FQ2 2021","Currency=USD","Period=FQ","BEST_FPERIOD_OVERRIDE=FQ","FILING_STATUS=MR","Sort=A","Dates=H","DateFormat=P","Fill=—","Direction=H","UseDPDF=Y")</f>
        <v>19.444400000000002</v>
      </c>
      <c r="N89" s="14">
        <f>_xll.BDH("NBIX US Equity","FREE_CASH_FLOW_SEQUENTIAL_GROWTH","FQ3 2021","FQ3 2021","Currency=USD","Period=FQ","BEST_FPERIOD_OVERRIDE=FQ","FILING_STATUS=MR","Sort=A","Dates=H","DateFormat=P","Fill=—","Direction=H","UseDPDF=Y")</f>
        <v>-43.276000000000003</v>
      </c>
      <c r="O89" s="14">
        <f>_xll.BDH("NBIX US Equity","FREE_CASH_FLOW_SEQUENTIAL_GROWTH","FQ4 2021","FQ4 2021","Currency=USD","Period=FQ","BEST_FPERIOD_OVERRIDE=FQ","FILING_STATUS=MR","Sort=A","Dates=H","DateFormat=P","Fill=—","Direction=H","UseDPDF=Y")</f>
        <v>-108.3779</v>
      </c>
      <c r="P89" s="14" t="str">
        <f>_xll.BDH("NBIX US Equity","FREE_CASH_FLOW_SEQUENTIAL_GROWTH","FQ1 2022","FQ1 2022","Currency=USD","Period=FQ","BEST_FPERIOD_OVERRIDE=FQ","FILING_STATUS=MR","Sort=A","Dates=H","DateFormat=P","Fill=—","Direction=H","UseDPDF=Y")</f>
        <v>—</v>
      </c>
      <c r="Q89" s="14" t="str">
        <f>_xll.BDH("NBIX US Equity","FREE_CASH_FLOW_SEQUENTIAL_GROWTH","FQ2 2022","FQ2 2022","Currency=USD","Period=FQ","BEST_FPERIOD_OVERRIDE=FQ","FILING_STATUS=MR","Sort=A","Dates=H","DateFormat=P","Fill=—","Direction=H","UseDPDF=Y")</f>
        <v>—</v>
      </c>
      <c r="R89" s="14" t="str">
        <f>_xll.BDH("NBIX US Equity","FREE_CASH_FLOW_SEQUENTIAL_GROWTH","FQ3 2022","FQ3 2022","Currency=USD","Period=FQ","BEST_FPERIOD_OVERRIDE=FQ","FILING_STATUS=MR","Sort=A","Dates=H","DateFormat=P","Fill=—","Direction=H","UseDPDF=Y")</f>
        <v>—</v>
      </c>
      <c r="S89" s="14" t="str">
        <f>_xll.BDH("NBIX US Equity","FREE_CASH_FLOW_SEQUENTIAL_GROWTH","FQ4 2022","FQ4 2022","Currency=USD","Period=FQ","BEST_FPERIOD_OVERRIDE=FQ","FILING_STATUS=MR","Sort=A","Dates=H","DateFormat=P","Fill=—","Direction=H","UseDPDF=Y")</f>
        <v>—</v>
      </c>
      <c r="T89" s="14">
        <f>_xll.BDH("NBIX US Equity","FREE_CASH_FLOW_SEQUENTIAL_GROWTH","FQ1 2023","FQ1 2023","Currency=USD","Period=FQ","BEST_FPERIOD_OVERRIDE=FQ","FILING_STATUS=MR","Sort=A","Dates=H","DateFormat=P","Fill=—","Direction=H","UseDPDF=Y")</f>
        <v>-194.6884</v>
      </c>
      <c r="U89" s="14" t="str">
        <f>_xll.BDH("NBIX US Equity","FREE_CASH_FLOW_SEQUENTIAL_GROWTH","FQ2 2023","FQ2 2023","Currency=USD","Period=FQ","BEST_FPERIOD_OVERRIDE=FQ","FILING_STATUS=MR","Sort=A","Dates=H","DateFormat=P","Fill=—","Direction=H","UseDPDF=Y")</f>
        <v>—</v>
      </c>
      <c r="V89" s="14">
        <f>_xll.BDH("NBIX US Equity","FREE_CASH_FLOW_SEQUENTIAL_GROWTH","FQ3 2023","FQ3 2023","Currency=USD","Period=FQ","BEST_FPERIOD_OVERRIDE=FQ","FILING_STATUS=MR","Sort=A","Dates=H","DateFormat=P","Fill=—","Direction=H","UseDPDF=Y")</f>
        <v>18.286999999999999</v>
      </c>
      <c r="W89" s="14">
        <f>_xll.BDH("NBIX US Equity","FREE_CASH_FLOW_SEQUENTIAL_GROWTH","FQ4 2023","FQ4 2023","Currency=USD","Period=FQ","BEST_FPERIOD_OVERRIDE=FQ","FILING_STATUS=MR","Sort=A","Dates=H","DateFormat=P","Fill=—","Direction=H","UseDPDF=Y")</f>
        <v>-42.2211</v>
      </c>
      <c r="X89" s="14">
        <f>_xll.BDH("NBIX US Equity","FREE_CASH_FLOW_SEQUENTIAL_GROWTH","FQ1 2024","FQ1 2024","Currency=USD","Period=FQ","BEST_FPERIOD_OVERRIDE=FQ","FILING_STATUS=MR","Sort=A","Dates=H","DateFormat=P","Fill=—","Direction=H","UseDPDF=Y")</f>
        <v>0.84670000000000001</v>
      </c>
      <c r="Y89" s="14">
        <f>_xll.BDH("NBIX US Equity","FREE_CASH_FLOW_SEQUENTIAL_GROWTH","FQ2 2024","FQ2 2024","Currency=USD","Period=FQ","BEST_FPERIOD_OVERRIDE=FQ","FILING_STATUS=MR","Sort=A","Dates=H","DateFormat=P","Fill=—","Direction=H","UseDPDF=Y")</f>
        <v>-55.499600000000001</v>
      </c>
      <c r="Z89" s="14">
        <f>_xll.BDH("NBIX US Equity","FREE_CASH_FLOW_SEQUENTIAL_GROWTH","FQ3 2024","FQ3 2024","Currency=USD","Period=FQ","BEST_FPERIOD_OVERRIDE=FQ","FILING_STATUS=MR","Sort=A","Dates=H","DateFormat=P","Fill=—","Direction=H","UseDPDF=Y")</f>
        <v>182.83019999999999</v>
      </c>
      <c r="AA89" s="14">
        <f>_xll.BDH("NBIX US Equity","FREE_CASH_FLOW_SEQUENTIAL_GROWTH","FQ4 2024","FQ4 2024","Currency=USD","Period=FQ","BEST_FPERIOD_OVERRIDE=FQ","FILING_STATUS=MR","Sort=A","Dates=H","DateFormat=P","Fill=—","Direction=H","UseDPDF=Y")</f>
        <v>56.904600000000002</v>
      </c>
    </row>
    <row r="90" spans="1:27" x14ac:dyDescent="0.25">
      <c r="A90" s="10" t="s">
        <v>1316</v>
      </c>
      <c r="B90" s="10" t="s">
        <v>1369</v>
      </c>
      <c r="C90" s="14">
        <f>_xll.BDH("NBIX US Equity","CF_TO_FIRM_SEQUENTIAL_GROWTH","FQ4 2018","FQ4 2018","Currency=USD","Period=FQ","BEST_FPERIOD_OVERRIDE=FQ","FILING_STATUS=MR","FA_ADJUSTED=GAAP","Sort=A","Dates=H","DateFormat=P","Fill=—","Direction=H","UseDPDF=Y")</f>
        <v>-24.3812</v>
      </c>
      <c r="D90" s="14" t="str">
        <f>_xll.BDH("NBIX US Equity","CF_TO_FIRM_SEQUENTIAL_GROWTH","FQ1 2019","FQ1 2019","Currency=USD","Period=FQ","BEST_FPERIOD_OVERRIDE=FQ","FILING_STATUS=MR","FA_ADJUSTED=GAAP","Sort=A","Dates=H","DateFormat=P","Fill=—","Direction=H","UseDPDF=Y")</f>
        <v>—</v>
      </c>
      <c r="E90" s="14" t="str">
        <f>_xll.BDH("NBIX US Equity","CF_TO_FIRM_SEQUENTIAL_GROWTH","FQ2 2019","FQ2 2019","Currency=USD","Period=FQ","BEST_FPERIOD_OVERRIDE=FQ","FILING_STATUS=MR","FA_ADJUSTED=GAAP","Sort=A","Dates=H","DateFormat=P","Fill=—","Direction=H","UseDPDF=Y")</f>
        <v>—</v>
      </c>
      <c r="F90" s="14">
        <f>_xll.BDH("NBIX US Equity","CF_TO_FIRM_SEQUENTIAL_GROWTH","FQ3 2019","FQ3 2019","Currency=USD","Period=FQ","BEST_FPERIOD_OVERRIDE=FQ","FILING_STATUS=MR","FA_ADJUSTED=GAAP","Sort=A","Dates=H","DateFormat=P","Fill=—","Direction=H","UseDPDF=Y")</f>
        <v>46.164499999999997</v>
      </c>
      <c r="G90" s="14">
        <f>_xll.BDH("NBIX US Equity","CF_TO_FIRM_SEQUENTIAL_GROWTH","FQ4 2019","FQ4 2019","Currency=USD","Period=FQ","BEST_FPERIOD_OVERRIDE=FQ","FILING_STATUS=MR","FA_ADJUSTED=GAAP","Sort=A","Dates=H","DateFormat=P","Fill=—","Direction=H","UseDPDF=Y")</f>
        <v>-0.48149999999999998</v>
      </c>
      <c r="H90" s="14">
        <f>_xll.BDH("NBIX US Equity","CF_TO_FIRM_SEQUENTIAL_GROWTH","FQ1 2020","FQ1 2020","Currency=USD","Period=FQ","BEST_FPERIOD_OVERRIDE=FQ","FILING_STATUS=MR","FA_ADJUSTED=GAAP","Sort=A","Dates=H","DateFormat=P","Fill=—","Direction=H","UseDPDF=Y")</f>
        <v>-58.572299999999998</v>
      </c>
      <c r="I90" s="14">
        <f>_xll.BDH("NBIX US Equity","CF_TO_FIRM_SEQUENTIAL_GROWTH","FQ2 2020","FQ2 2020","Currency=USD","Period=FQ","BEST_FPERIOD_OVERRIDE=FQ","FILING_STATUS=MR","FA_ADJUSTED=GAAP","Sort=A","Dates=H","DateFormat=P","Fill=—","Direction=H","UseDPDF=Y")</f>
        <v>192.36920000000001</v>
      </c>
      <c r="J90" s="14">
        <f>_xll.BDH("NBIX US Equity","CF_TO_FIRM_SEQUENTIAL_GROWTH","FQ3 2020","FQ3 2020","Currency=USD","Period=FQ","BEST_FPERIOD_OVERRIDE=FQ","FILING_STATUS=MR","FA_ADJUSTED=GAAP","Sort=A","Dates=H","DateFormat=P","Fill=—","Direction=H","UseDPDF=Y")</f>
        <v>-110.0416</v>
      </c>
      <c r="K90" s="14" t="str">
        <f>_xll.BDH("NBIX US Equity","CF_TO_FIRM_SEQUENTIAL_GROWTH","FQ4 2020","FQ4 2020","Currency=USD","Period=FQ","BEST_FPERIOD_OVERRIDE=FQ","FILING_STATUS=MR","FA_ADJUSTED=GAAP","Sort=A","Dates=H","DateFormat=P","Fill=—","Direction=H","UseDPDF=Y")</f>
        <v>—</v>
      </c>
      <c r="L90" s="14" t="str">
        <f>_xll.BDH("NBIX US Equity","CF_TO_FIRM_SEQUENTIAL_GROWTH","FQ1 2021","FQ1 2021","Currency=USD","Period=FQ","BEST_FPERIOD_OVERRIDE=FQ","FILING_STATUS=MR","FA_ADJUSTED=GAAP","Sort=A","Dates=H","DateFormat=P","Fill=—","Direction=H","UseDPDF=Y")</f>
        <v>—</v>
      </c>
      <c r="M90" s="14" t="str">
        <f>_xll.BDH("NBIX US Equity","CF_TO_FIRM_SEQUENTIAL_GROWTH","FQ2 2021","FQ2 2021","Currency=USD","Period=FQ","BEST_FPERIOD_OVERRIDE=FQ","FILING_STATUS=MR","FA_ADJUSTED=GAAP","Sort=A","Dates=H","DateFormat=P","Fill=—","Direction=H","UseDPDF=Y")</f>
        <v>—</v>
      </c>
      <c r="N90" s="14">
        <f>_xll.BDH("NBIX US Equity","CF_TO_FIRM_SEQUENTIAL_GROWTH","FQ3 2021","FQ3 2021","Currency=USD","Period=FQ","BEST_FPERIOD_OVERRIDE=FQ","FILING_STATUS=MR","FA_ADJUSTED=GAAP","Sort=A","Dates=H","DateFormat=P","Fill=—","Direction=H","UseDPDF=Y")</f>
        <v>-38.1327</v>
      </c>
      <c r="O90" s="14">
        <f>_xll.BDH("NBIX US Equity","CF_TO_FIRM_SEQUENTIAL_GROWTH","FQ4 2021","FQ4 2021","Currency=USD","Period=FQ","BEST_FPERIOD_OVERRIDE=FQ","FILING_STATUS=MR","FA_ADJUSTED=GAAP","Sort=A","Dates=H","DateFormat=P","Fill=—","Direction=H","UseDPDF=Y")</f>
        <v>-84.952600000000004</v>
      </c>
      <c r="P90" s="14">
        <f>_xll.BDH("NBIX US Equity","CF_TO_FIRM_SEQUENTIAL_GROWTH","FQ1 2022","FQ1 2022","Currency=USD","Period=FQ","BEST_FPERIOD_OVERRIDE=FQ","FILING_STATUS=MR","FA_ADJUSTED=GAAP","Sort=A","Dates=H","DateFormat=P","Fill=—","Direction=H","UseDPDF=Y")</f>
        <v>-486.87599999999998</v>
      </c>
      <c r="Q90" s="14" t="str">
        <f>_xll.BDH("NBIX US Equity","CF_TO_FIRM_SEQUENTIAL_GROWTH","FQ2 2022","FQ2 2022","Currency=USD","Period=FQ","BEST_FPERIOD_OVERRIDE=FQ","FILING_STATUS=MR","FA_ADJUSTED=GAAP","Sort=A","Dates=H","DateFormat=P","Fill=—","Direction=H","UseDPDF=Y")</f>
        <v>—</v>
      </c>
      <c r="R90" s="14">
        <f>_xll.BDH("NBIX US Equity","CF_TO_FIRM_SEQUENTIAL_GROWTH","FQ3 2022","FQ3 2022","Currency=USD","Period=FQ","BEST_FPERIOD_OVERRIDE=FQ","FILING_STATUS=MR","FA_ADJUSTED=GAAP","Sort=A","Dates=H","DateFormat=P","Fill=—","Direction=H","UseDPDF=Y")</f>
        <v>-28.784800000000001</v>
      </c>
      <c r="S90" s="14">
        <f>_xll.BDH("NBIX US Equity","CF_TO_FIRM_SEQUENTIAL_GROWTH","FQ4 2022","FQ4 2022","Currency=USD","Period=FQ","BEST_FPERIOD_OVERRIDE=FQ","FILING_STATUS=MR","FA_ADJUSTED=GAAP","Sort=A","Dates=H","DateFormat=P","Fill=—","Direction=H","UseDPDF=Y")</f>
        <v>44.3506</v>
      </c>
      <c r="T90" s="14">
        <f>_xll.BDH("NBIX US Equity","CF_TO_FIRM_SEQUENTIAL_GROWTH","FQ1 2023","FQ1 2023","Currency=USD","Period=FQ","BEST_FPERIOD_OVERRIDE=FQ","FILING_STATUS=MR","FA_ADJUSTED=GAAP","Sort=A","Dates=H","DateFormat=P","Fill=—","Direction=H","UseDPDF=Y")</f>
        <v>-186.4983</v>
      </c>
      <c r="U90" s="14" t="str">
        <f>_xll.BDH("NBIX US Equity","CF_TO_FIRM_SEQUENTIAL_GROWTH","FQ2 2023","FQ2 2023","Currency=USD","Period=FQ","BEST_FPERIOD_OVERRIDE=FQ","FILING_STATUS=MR","FA_ADJUSTED=GAAP","Sort=A","Dates=H","DateFormat=P","Fill=—","Direction=H","UseDPDF=Y")</f>
        <v>—</v>
      </c>
      <c r="V90" s="14">
        <f>_xll.BDH("NBIX US Equity","CF_TO_FIRM_SEQUENTIAL_GROWTH","FQ3 2023","FQ3 2023","Currency=USD","Period=FQ","BEST_FPERIOD_OVERRIDE=FQ","FILING_STATUS=MR","FA_ADJUSTED=GAAP","Sort=A","Dates=H","DateFormat=P","Fill=—","Direction=H","UseDPDF=Y")</f>
        <v>17.810700000000001</v>
      </c>
      <c r="W90" s="14">
        <f>_xll.BDH("NBIX US Equity","CF_TO_FIRM_SEQUENTIAL_GROWTH","FQ4 2023","FQ4 2023","Currency=USD","Period=FQ","BEST_FPERIOD_OVERRIDE=FQ","FILING_STATUS=MR","FA_ADJUSTED=GAAP","Sort=A","Dates=H","DateFormat=P","Fill=—","Direction=H","UseDPDF=Y")</f>
        <v>-41.576500000000003</v>
      </c>
      <c r="X90" s="14">
        <f>_xll.BDH("NBIX US Equity","CF_TO_FIRM_SEQUENTIAL_GROWTH","FQ1 2024","FQ1 2024","Currency=USD","Period=FQ","BEST_FPERIOD_OVERRIDE=FQ","FILING_STATUS=MR","FA_ADJUSTED=GAAP","Sort=A","Dates=H","DateFormat=P","Fill=—","Direction=H","UseDPDF=Y")</f>
        <v>5.5065</v>
      </c>
      <c r="Y90" s="14" t="str">
        <f>_xll.BDH("NBIX US Equity","CF_TO_FIRM_SEQUENTIAL_GROWTH","FQ2 2024","FQ2 2024","Currency=USD","Period=FQ","BEST_FPERIOD_OVERRIDE=FQ","FILING_STATUS=MR","FA_ADJUSTED=GAAP","Sort=A","Dates=H","DateFormat=P","Fill=—","Direction=H","UseDPDF=Y")</f>
        <v>—</v>
      </c>
      <c r="Z90" s="14" t="str">
        <f>_xll.BDH("NBIX US Equity","CF_TO_FIRM_SEQUENTIAL_GROWTH","FQ3 2024","FQ3 2024","Currency=USD","Period=FQ","BEST_FPERIOD_OVERRIDE=FQ","FILING_STATUS=MR","FA_ADJUSTED=GAAP","Sort=A","Dates=H","DateFormat=P","Fill=—","Direction=H","UseDPDF=Y")</f>
        <v>—</v>
      </c>
      <c r="AA90" s="14" t="str">
        <f>_xll.BDH("NBIX US Equity","CF_TO_FIRM_SEQUENTIAL_GROWTH","FQ4 2024","FQ4 2024","Currency=USD","Period=FQ","BEST_FPERIOD_OVERRIDE=FQ","FILING_STATUS=MR","FA_ADJUSTED=GAAP","Sort=A","Dates=H","DateFormat=P","Fill=—","Direction=H","UseDPDF=Y")</f>
        <v>—</v>
      </c>
    </row>
    <row r="91" spans="1:27" x14ac:dyDescent="0.25">
      <c r="A91" s="10" t="s">
        <v>1160</v>
      </c>
      <c r="B91" s="10" t="s">
        <v>1370</v>
      </c>
      <c r="C91" s="14">
        <f>_xll.BDH("NBIX US Equity","FCF_TO_FIRM_SEQUENTIAL_GROWTH","FQ4 2018","FQ4 2018","Currency=USD","Period=FQ","BEST_FPERIOD_OVERRIDE=FQ","FILING_STATUS=MR","FA_ADJUSTED=GAAP","Sort=A","Dates=H","DateFormat=P","Fill=—","Direction=H","UseDPDF=Y")</f>
        <v>-19.187799999999999</v>
      </c>
      <c r="D91" s="14" t="str">
        <f>_xll.BDH("NBIX US Equity","FCF_TO_FIRM_SEQUENTIAL_GROWTH","FQ1 2019","FQ1 2019","Currency=USD","Period=FQ","BEST_FPERIOD_OVERRIDE=FQ","FILING_STATUS=MR","FA_ADJUSTED=GAAP","Sort=A","Dates=H","DateFormat=P","Fill=—","Direction=H","UseDPDF=Y")</f>
        <v>—</v>
      </c>
      <c r="E91" s="14" t="str">
        <f>_xll.BDH("NBIX US Equity","FCF_TO_FIRM_SEQUENTIAL_GROWTH","FQ2 2019","FQ2 2019","Currency=USD","Period=FQ","BEST_FPERIOD_OVERRIDE=FQ","FILING_STATUS=MR","FA_ADJUSTED=GAAP","Sort=A","Dates=H","DateFormat=P","Fill=—","Direction=H","UseDPDF=Y")</f>
        <v>—</v>
      </c>
      <c r="F91" s="14">
        <f>_xll.BDH("NBIX US Equity","FCF_TO_FIRM_SEQUENTIAL_GROWTH","FQ3 2019","FQ3 2019","Currency=USD","Period=FQ","BEST_FPERIOD_OVERRIDE=FQ","FILING_STATUS=MR","FA_ADJUSTED=GAAP","Sort=A","Dates=H","DateFormat=P","Fill=—","Direction=H","UseDPDF=Y")</f>
        <v>50.554000000000002</v>
      </c>
      <c r="G91" s="14">
        <f>_xll.BDH("NBIX US Equity","FCF_TO_FIRM_SEQUENTIAL_GROWTH","FQ4 2019","FQ4 2019","Currency=USD","Period=FQ","BEST_FPERIOD_OVERRIDE=FQ","FILING_STATUS=MR","FA_ADJUSTED=GAAP","Sort=A","Dates=H","DateFormat=P","Fill=—","Direction=H","UseDPDF=Y")</f>
        <v>0.26090000000000002</v>
      </c>
      <c r="H91" s="14">
        <f>_xll.BDH("NBIX US Equity","FCF_TO_FIRM_SEQUENTIAL_GROWTH","FQ1 2020","FQ1 2020","Currency=USD","Period=FQ","BEST_FPERIOD_OVERRIDE=FQ","FILING_STATUS=MR","FA_ADJUSTED=GAAP","Sort=A","Dates=H","DateFormat=P","Fill=—","Direction=H","UseDPDF=Y")</f>
        <v>-58.7211</v>
      </c>
      <c r="I91" s="14">
        <f>_xll.BDH("NBIX US Equity","FCF_TO_FIRM_SEQUENTIAL_GROWTH","FQ2 2020","FQ2 2020","Currency=USD","Period=FQ","BEST_FPERIOD_OVERRIDE=FQ","FILING_STATUS=MR","FA_ADJUSTED=GAAP","Sort=A","Dates=H","DateFormat=P","Fill=—","Direction=H","UseDPDF=Y")</f>
        <v>190.23249999999999</v>
      </c>
      <c r="J91" s="14">
        <f>_xll.BDH("NBIX US Equity","FCF_TO_FIRM_SEQUENTIAL_GROWTH","FQ3 2020","FQ3 2020","Currency=USD","Period=FQ","BEST_FPERIOD_OVERRIDE=FQ","FILING_STATUS=MR","FA_ADJUSTED=GAAP","Sort=A","Dates=H","DateFormat=P","Fill=—","Direction=H","UseDPDF=Y")</f>
        <v>-110.7555</v>
      </c>
      <c r="K91" s="14" t="str">
        <f>_xll.BDH("NBIX US Equity","FCF_TO_FIRM_SEQUENTIAL_GROWTH","FQ4 2020","FQ4 2020","Currency=USD","Period=FQ","BEST_FPERIOD_OVERRIDE=FQ","FILING_STATUS=MR","FA_ADJUSTED=GAAP","Sort=A","Dates=H","DateFormat=P","Fill=—","Direction=H","UseDPDF=Y")</f>
        <v>—</v>
      </c>
      <c r="L91" s="14" t="str">
        <f>_xll.BDH("NBIX US Equity","FCF_TO_FIRM_SEQUENTIAL_GROWTH","FQ1 2021","FQ1 2021","Currency=USD","Period=FQ","BEST_FPERIOD_OVERRIDE=FQ","FILING_STATUS=MR","FA_ADJUSTED=GAAP","Sort=A","Dates=H","DateFormat=P","Fill=—","Direction=H","UseDPDF=Y")</f>
        <v>—</v>
      </c>
      <c r="M91" s="14" t="str">
        <f>_xll.BDH("NBIX US Equity","FCF_TO_FIRM_SEQUENTIAL_GROWTH","FQ2 2021","FQ2 2021","Currency=USD","Period=FQ","BEST_FPERIOD_OVERRIDE=FQ","FILING_STATUS=MR","FA_ADJUSTED=GAAP","Sort=A","Dates=H","DateFormat=P","Fill=—","Direction=H","UseDPDF=Y")</f>
        <v>—</v>
      </c>
      <c r="N91" s="14">
        <f>_xll.BDH("NBIX US Equity","FCF_TO_FIRM_SEQUENTIAL_GROWTH","FQ3 2021","FQ3 2021","Currency=USD","Period=FQ","BEST_FPERIOD_OVERRIDE=FQ","FILING_STATUS=MR","FA_ADJUSTED=GAAP","Sort=A","Dates=H","DateFormat=P","Fill=—","Direction=H","UseDPDF=Y")</f>
        <v>-41.070700000000002</v>
      </c>
      <c r="O91" s="14">
        <f>_xll.BDH("NBIX US Equity","FCF_TO_FIRM_SEQUENTIAL_GROWTH","FQ4 2021","FQ4 2021","Currency=USD","Period=FQ","BEST_FPERIOD_OVERRIDE=FQ","FILING_STATUS=MR","FA_ADJUSTED=GAAP","Sort=A","Dates=H","DateFormat=P","Fill=—","Direction=H","UseDPDF=Y")</f>
        <v>-98.1434</v>
      </c>
      <c r="P91" s="14">
        <f>_xll.BDH("NBIX US Equity","FCF_TO_FIRM_SEQUENTIAL_GROWTH","FQ1 2022","FQ1 2022","Currency=USD","Period=FQ","BEST_FPERIOD_OVERRIDE=FQ","FILING_STATUS=MR","FA_ADJUSTED=GAAP","Sort=A","Dates=H","DateFormat=P","Fill=—","Direction=H","UseDPDF=Y")</f>
        <v>-4200.1021000000001</v>
      </c>
      <c r="Q91" s="14" t="str">
        <f>_xll.BDH("NBIX US Equity","FCF_TO_FIRM_SEQUENTIAL_GROWTH","FQ2 2022","FQ2 2022","Currency=USD","Period=FQ","BEST_FPERIOD_OVERRIDE=FQ","FILING_STATUS=MR","FA_ADJUSTED=GAAP","Sort=A","Dates=H","DateFormat=P","Fill=—","Direction=H","UseDPDF=Y")</f>
        <v>—</v>
      </c>
      <c r="R91" s="14" t="str">
        <f>_xll.BDH("NBIX US Equity","FCF_TO_FIRM_SEQUENTIAL_GROWTH","FQ3 2022","FQ3 2022","Currency=USD","Period=FQ","BEST_FPERIOD_OVERRIDE=FQ","FILING_STATUS=MR","FA_ADJUSTED=GAAP","Sort=A","Dates=H","DateFormat=P","Fill=—","Direction=H","UseDPDF=Y")</f>
        <v>—</v>
      </c>
      <c r="S91" s="14" t="str">
        <f>_xll.BDH("NBIX US Equity","FCF_TO_FIRM_SEQUENTIAL_GROWTH","FQ4 2022","FQ4 2022","Currency=USD","Period=FQ","BEST_FPERIOD_OVERRIDE=FQ","FILING_STATUS=MR","FA_ADJUSTED=GAAP","Sort=A","Dates=H","DateFormat=P","Fill=—","Direction=H","UseDPDF=Y")</f>
        <v>—</v>
      </c>
      <c r="T91" s="14">
        <f>_xll.BDH("NBIX US Equity","FCF_TO_FIRM_SEQUENTIAL_GROWTH","FQ1 2023","FQ1 2023","Currency=USD","Period=FQ","BEST_FPERIOD_OVERRIDE=FQ","FILING_STATUS=MR","FA_ADJUSTED=GAAP","Sort=A","Dates=H","DateFormat=P","Fill=—","Direction=H","UseDPDF=Y")</f>
        <v>-193.57910000000001</v>
      </c>
      <c r="U91" s="14" t="str">
        <f>_xll.BDH("NBIX US Equity","FCF_TO_FIRM_SEQUENTIAL_GROWTH","FQ2 2023","FQ2 2023","Currency=USD","Period=FQ","BEST_FPERIOD_OVERRIDE=FQ","FILING_STATUS=MR","FA_ADJUSTED=GAAP","Sort=A","Dates=H","DateFormat=P","Fill=—","Direction=H","UseDPDF=Y")</f>
        <v>—</v>
      </c>
      <c r="V91" s="14">
        <f>_xll.BDH("NBIX US Equity","FCF_TO_FIRM_SEQUENTIAL_GROWTH","FQ3 2023","FQ3 2023","Currency=USD","Period=FQ","BEST_FPERIOD_OVERRIDE=FQ","FILING_STATUS=MR","FA_ADJUSTED=GAAP","Sort=A","Dates=H","DateFormat=P","Fill=—","Direction=H","UseDPDF=Y")</f>
        <v>18.0472</v>
      </c>
      <c r="W91" s="14">
        <f>_xll.BDH("NBIX US Equity","FCF_TO_FIRM_SEQUENTIAL_GROWTH","FQ4 2023","FQ4 2023","Currency=USD","Period=FQ","BEST_FPERIOD_OVERRIDE=FQ","FILING_STATUS=MR","FA_ADJUSTED=GAAP","Sort=A","Dates=H","DateFormat=P","Fill=—","Direction=H","UseDPDF=Y")</f>
        <v>-42.0443</v>
      </c>
      <c r="X91" s="14">
        <f>_xll.BDH("NBIX US Equity","FCF_TO_FIRM_SEQUENTIAL_GROWTH","FQ1 2024","FQ1 2024","Currency=USD","Period=FQ","BEST_FPERIOD_OVERRIDE=FQ","FILING_STATUS=MR","FA_ADJUSTED=GAAP","Sort=A","Dates=H","DateFormat=P","Fill=—","Direction=H","UseDPDF=Y")</f>
        <v>0.87929999999999997</v>
      </c>
      <c r="Y91" s="14" t="str">
        <f>_xll.BDH("NBIX US Equity","FCF_TO_FIRM_SEQUENTIAL_GROWTH","FQ2 2024","FQ2 2024","Currency=USD","Period=FQ","BEST_FPERIOD_OVERRIDE=FQ","FILING_STATUS=MR","FA_ADJUSTED=GAAP","Sort=A","Dates=H","DateFormat=P","Fill=—","Direction=H","UseDPDF=Y")</f>
        <v>—</v>
      </c>
      <c r="Z91" s="14" t="str">
        <f>_xll.BDH("NBIX US Equity","FCF_TO_FIRM_SEQUENTIAL_GROWTH","FQ3 2024","FQ3 2024","Currency=USD","Period=FQ","BEST_FPERIOD_OVERRIDE=FQ","FILING_STATUS=MR","FA_ADJUSTED=GAAP","Sort=A","Dates=H","DateFormat=P","Fill=—","Direction=H","UseDPDF=Y")</f>
        <v>—</v>
      </c>
      <c r="AA91" s="14" t="str">
        <f>_xll.BDH("NBIX US Equity","FCF_TO_FIRM_SEQUENTIAL_GROWTH","FQ4 2024","FQ4 2024","Currency=USD","Period=FQ","BEST_FPERIOD_OVERRIDE=FQ","FILING_STATUS=MR","FA_ADJUSTED=GAAP","Sort=A","Dates=H","DateFormat=P","Fill=—","Direction=H","UseDPDF=Y")</f>
        <v>—</v>
      </c>
    </row>
    <row r="92" spans="1:27" x14ac:dyDescent="0.25">
      <c r="A92" s="7" t="s">
        <v>90</v>
      </c>
      <c r="B92" s="7"/>
      <c r="C92" s="7" t="s">
        <v>5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4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1371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195</v>
      </c>
      <c r="B6" s="10" t="s">
        <v>196</v>
      </c>
      <c r="C6" s="12" t="s">
        <v>1372</v>
      </c>
      <c r="D6" s="12" t="s">
        <v>197</v>
      </c>
      <c r="E6" s="12" t="s">
        <v>197</v>
      </c>
      <c r="F6" s="12" t="s">
        <v>197</v>
      </c>
      <c r="G6" s="12" t="s">
        <v>197</v>
      </c>
      <c r="H6" s="12" t="s">
        <v>197</v>
      </c>
      <c r="I6" s="12" t="s">
        <v>197</v>
      </c>
      <c r="J6" s="12" t="s">
        <v>197</v>
      </c>
      <c r="K6" s="12" t="s">
        <v>197</v>
      </c>
      <c r="L6" s="12" t="s">
        <v>197</v>
      </c>
      <c r="M6" s="12" t="s">
        <v>197</v>
      </c>
      <c r="N6" s="12" t="s">
        <v>197</v>
      </c>
      <c r="O6" s="12" t="s">
        <v>197</v>
      </c>
      <c r="P6" s="12" t="s">
        <v>197</v>
      </c>
      <c r="Q6" s="12" t="s">
        <v>197</v>
      </c>
      <c r="R6" s="12" t="s">
        <v>197</v>
      </c>
      <c r="S6" s="12" t="s">
        <v>197</v>
      </c>
      <c r="T6" s="12" t="s">
        <v>197</v>
      </c>
      <c r="U6" s="12" t="s">
        <v>197</v>
      </c>
      <c r="V6" s="12" t="s">
        <v>197</v>
      </c>
      <c r="W6" s="12" t="s">
        <v>197</v>
      </c>
      <c r="X6" s="12" t="s">
        <v>197</v>
      </c>
      <c r="Y6" s="12" t="s">
        <v>197</v>
      </c>
      <c r="Z6" s="12" t="s">
        <v>197</v>
      </c>
      <c r="AA6" s="12" t="s">
        <v>197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1305</v>
      </c>
      <c r="B8" s="10" t="s">
        <v>67</v>
      </c>
      <c r="C8" s="13">
        <f>_xll.BDH("NBIX US Equity","SHORT_AND_LONG_TERM_DEBT","FQ4 2018","FQ4 2018","Currency=USD","Period=FQ","BEST_FPERIOD_OVERRIDE=FQ","FILING_STATUS=MR","SCALING_FORMAT=MLN","Sort=A","Dates=H","DateFormat=P","Fill=—","Direction=H","UseDPDF=Y")</f>
        <v>388.49599999999998</v>
      </c>
      <c r="D8" s="13">
        <f>_xll.BDH("NBIX US Equity","SHORT_AND_LONG_TERM_DEBT","FQ1 2019","FQ1 2019","Currency=USD","Period=FQ","BEST_FPERIOD_OVERRIDE=FQ","FILING_STATUS=MR","SCALING_FORMAT=MLN","Sort=A","Dates=H","DateFormat=P","Fill=—","Direction=H","UseDPDF=Y")</f>
        <v>463.84899999999999</v>
      </c>
      <c r="E8" s="13">
        <f>_xll.BDH("NBIX US Equity","SHORT_AND_LONG_TERM_DEBT","FQ2 2019","FQ2 2019","Currency=USD","Period=FQ","BEST_FPERIOD_OVERRIDE=FQ","FILING_STATUS=MR","SCALING_FORMAT=MLN","Sort=A","Dates=H","DateFormat=P","Fill=—","Direction=H","UseDPDF=Y")</f>
        <v>468.4</v>
      </c>
      <c r="F8" s="13">
        <f>_xll.BDH("NBIX US Equity","SHORT_AND_LONG_TERM_DEBT","FQ3 2019","FQ3 2019","Currency=USD","Period=FQ","BEST_FPERIOD_OVERRIDE=FQ","FILING_STATUS=MR","SCALING_FORMAT=MLN","Sort=A","Dates=H","DateFormat=P","Fill=—","Direction=H","UseDPDF=Y")</f>
        <v>486.23</v>
      </c>
      <c r="G8" s="13">
        <f>_xll.BDH("NBIX US Equity","SHORT_AND_LONG_TERM_DEBT","FQ4 2019","FQ4 2019","Currency=USD","Period=FQ","BEST_FPERIOD_OVERRIDE=FQ","FILING_STATUS=MR","SCALING_FORMAT=MLN","Sort=A","Dates=H","DateFormat=P","Fill=—","Direction=H","UseDPDF=Y")</f>
        <v>503.78199999999998</v>
      </c>
      <c r="H8" s="13">
        <f>_xll.BDH("NBIX US Equity","SHORT_AND_LONG_TERM_DEBT","FQ1 2020","FQ1 2020","Currency=USD","Period=FQ","BEST_FPERIOD_OVERRIDE=FQ","FILING_STATUS=MR","SCALING_FORMAT=MLN","Sort=A","Dates=H","DateFormat=P","Fill=—","Direction=H","UseDPDF=Y")</f>
        <v>508.5</v>
      </c>
      <c r="I8" s="13">
        <f>_xll.BDH("NBIX US Equity","SHORT_AND_LONG_TERM_DEBT","FQ2 2020","FQ2 2020","Currency=USD","Period=FQ","BEST_FPERIOD_OVERRIDE=FQ","FILING_STATUS=MR","SCALING_FORMAT=MLN","Sort=A","Dates=H","DateFormat=P","Fill=—","Direction=H","UseDPDF=Y")</f>
        <v>513</v>
      </c>
      <c r="J8" s="13">
        <f>_xll.BDH("NBIX US Equity","SHORT_AND_LONG_TERM_DEBT","FQ3 2020","FQ3 2020","Currency=USD","Period=FQ","BEST_FPERIOD_OVERRIDE=FQ","FILING_STATUS=MR","SCALING_FORMAT=MLN","Sort=A","Dates=H","DateFormat=P","Fill=—","Direction=H","UseDPDF=Y")</f>
        <v>517.70000000000005</v>
      </c>
      <c r="K8" s="13">
        <f>_xll.BDH("NBIX US Equity","SHORT_AND_LONG_TERM_DEBT","FQ4 2020","FQ4 2020","Currency=USD","Period=FQ","BEST_FPERIOD_OVERRIDE=FQ","FILING_STATUS=MR","SCALING_FORMAT=MLN","Sort=A","Dates=H","DateFormat=P","Fill=—","Direction=H","UseDPDF=Y")</f>
        <v>422.6</v>
      </c>
      <c r="L8" s="13">
        <f>_xll.BDH("NBIX US Equity","SHORT_AND_LONG_TERM_DEBT","FQ1 2021","FQ1 2021","Currency=USD","Period=FQ","BEST_FPERIOD_OVERRIDE=FQ","FILING_STATUS=MR","SCALING_FORMAT=MLN","Sort=A","Dates=H","DateFormat=P","Fill=—","Direction=H","UseDPDF=Y")</f>
        <v>441.7</v>
      </c>
      <c r="M8" s="13">
        <f>_xll.BDH("NBIX US Equity","SHORT_AND_LONG_TERM_DEBT","FQ2 2021","FQ2 2021","Currency=USD","Period=FQ","BEST_FPERIOD_OVERRIDE=FQ","FILING_STATUS=MR","SCALING_FORMAT=MLN","Sort=A","Dates=H","DateFormat=P","Fill=—","Direction=H","UseDPDF=Y")</f>
        <v>450.3</v>
      </c>
      <c r="N8" s="13">
        <f>_xll.BDH("NBIX US Equity","SHORT_AND_LONG_TERM_DEBT","FQ3 2021","FQ3 2021","Currency=USD","Period=FQ","BEST_FPERIOD_OVERRIDE=FQ","FILING_STATUS=MR","SCALING_FORMAT=MLN","Sort=A","Dates=H","DateFormat=P","Fill=—","Direction=H","UseDPDF=Y")</f>
        <v>452.6</v>
      </c>
      <c r="O8" s="13">
        <f>_xll.BDH("NBIX US Equity","SHORT_AND_LONG_TERM_DEBT","FQ4 2021","FQ4 2021","Currency=USD","Period=FQ","BEST_FPERIOD_OVERRIDE=FQ","FILING_STATUS=MR","SCALING_FORMAT=MLN","Sort=A","Dates=H","DateFormat=P","Fill=—","Direction=H","UseDPDF=Y")</f>
        <v>456.9</v>
      </c>
      <c r="P8" s="13">
        <f>_xll.BDH("NBIX US Equity","SHORT_AND_LONG_TERM_DEBT","FQ1 2022","FQ1 2022","Currency=USD","Period=FQ","BEST_FPERIOD_OVERRIDE=FQ","FILING_STATUS=MR","SCALING_FORMAT=MLN","Sort=A","Dates=H","DateFormat=P","Fill=—","Direction=H","UseDPDF=Y")</f>
        <v>497.1</v>
      </c>
      <c r="Q8" s="13">
        <f>_xll.BDH("NBIX US Equity","SHORT_AND_LONG_TERM_DEBT","FQ2 2022","FQ2 2022","Currency=USD","Period=FQ","BEST_FPERIOD_OVERRIDE=FQ","FILING_STATUS=MR","SCALING_FORMAT=MLN","Sort=A","Dates=H","DateFormat=P","Fill=—","Direction=H","UseDPDF=Y")</f>
        <v>285.7</v>
      </c>
      <c r="R8" s="13">
        <f>_xll.BDH("NBIX US Equity","SHORT_AND_LONG_TERM_DEBT","FQ3 2022","FQ3 2022","Currency=USD","Period=FQ","BEST_FPERIOD_OVERRIDE=FQ","FILING_STATUS=MR","SCALING_FORMAT=MLN","Sort=A","Dates=H","DateFormat=P","Fill=—","Direction=H","UseDPDF=Y")</f>
        <v>283.10000000000002</v>
      </c>
      <c r="S8" s="13">
        <f>_xll.BDH("NBIX US Equity","SHORT_AND_LONG_TERM_DEBT","FQ4 2022","FQ4 2022","Currency=USD","Period=FQ","BEST_FPERIOD_OVERRIDE=FQ","FILING_STATUS=MR","SCALING_FORMAT=MLN","Sort=A","Dates=H","DateFormat=P","Fill=—","Direction=H","UseDPDF=Y")</f>
        <v>262.89999999999998</v>
      </c>
      <c r="T8" s="13">
        <f>_xll.BDH("NBIX US Equity","SHORT_AND_LONG_TERM_DEBT","FQ1 2023","FQ1 2023","Currency=USD","Period=FQ","BEST_FPERIOD_OVERRIDE=FQ","FILING_STATUS=MR","SCALING_FORMAT=MLN","Sort=A","Dates=H","DateFormat=P","Fill=—","Direction=H","UseDPDF=Y")</f>
        <v>259.89999999999998</v>
      </c>
      <c r="U8" s="13">
        <f>_xll.BDH("NBIX US Equity","SHORT_AND_LONG_TERM_DEBT","FQ2 2023","FQ2 2023","Currency=USD","Period=FQ","BEST_FPERIOD_OVERRIDE=FQ","FILING_STATUS=MR","SCALING_FORMAT=MLN","Sort=A","Dates=H","DateFormat=P","Fill=—","Direction=H","UseDPDF=Y")</f>
        <v>276.5</v>
      </c>
      <c r="V8" s="13">
        <f>_xll.BDH("NBIX US Equity","SHORT_AND_LONG_TERM_DEBT","FQ3 2023","FQ3 2023","Currency=USD","Period=FQ","BEST_FPERIOD_OVERRIDE=FQ","FILING_STATUS=MR","SCALING_FORMAT=MLN","Sort=A","Dates=H","DateFormat=P","Fill=—","Direction=H","UseDPDF=Y")</f>
        <v>273.60000000000002</v>
      </c>
      <c r="W8" s="13">
        <f>_xll.BDH("NBIX US Equity","SHORT_AND_LONG_TERM_DEBT","FQ4 2023","FQ4 2023","Currency=USD","Period=FQ","BEST_FPERIOD_OVERRIDE=FQ","FILING_STATUS=MR","SCALING_FORMAT=MLN","Sort=A","Dates=H","DateFormat=P","Fill=—","Direction=H","UseDPDF=Y")</f>
        <v>460.4</v>
      </c>
      <c r="X8" s="13">
        <f>_xll.BDH("NBIX US Equity","SHORT_AND_LONG_TERM_DEBT","FQ1 2024","FQ1 2024","Currency=USD","Period=FQ","BEST_FPERIOD_OVERRIDE=FQ","FILING_STATUS=MR","SCALING_FORMAT=MLN","Sort=A","Dates=H","DateFormat=P","Fill=—","Direction=H","UseDPDF=Y")</f>
        <v>410.7</v>
      </c>
      <c r="Y8" s="13">
        <f>_xll.BDH("NBIX US Equity","SHORT_AND_LONG_TERM_DEBT","FQ2 2024","FQ2 2024","Currency=USD","Period=FQ","BEST_FPERIOD_OVERRIDE=FQ","FILING_STATUS=MR","SCALING_FORMAT=MLN","Sort=A","Dates=H","DateFormat=P","Fill=—","Direction=H","UseDPDF=Y")</f>
        <v>291.60000000000002</v>
      </c>
      <c r="Z8" s="13">
        <f>_xll.BDH("NBIX US Equity","SHORT_AND_LONG_TERM_DEBT","FQ3 2024","FQ3 2024","Currency=USD","Period=FQ","BEST_FPERIOD_OVERRIDE=FQ","FILING_STATUS=MR","SCALING_FORMAT=MLN","Sort=A","Dates=H","DateFormat=P","Fill=—","Direction=H","UseDPDF=Y")</f>
        <v>286.2</v>
      </c>
      <c r="AA8" s="13">
        <f>_xll.BDH("NBIX US Equity","SHORT_AND_LONG_TERM_DEBT","FQ4 2024","FQ4 2024","Currency=USD","Period=FQ","BEST_FPERIOD_OVERRIDE=FQ","FILING_STATUS=MR","SCALING_FORMAT=MLN","Sort=A","Dates=H","DateFormat=P","Fill=—","Direction=H","UseDPDF=Y")</f>
        <v>495.7</v>
      </c>
    </row>
    <row r="9" spans="1:27" x14ac:dyDescent="0.25">
      <c r="A9" s="10" t="s">
        <v>1373</v>
      </c>
      <c r="B9" s="10" t="s">
        <v>727</v>
      </c>
      <c r="C9" s="13">
        <f>_xll.BDH("NBIX US Equity","BS_ST_BORROW","FQ4 2018","FQ4 2018","Currency=USD","Period=FQ","BEST_FPERIOD_OVERRIDE=FQ","FILING_STATUS=MR","SCALING_FORMAT=MLN","Sort=A","Dates=H","DateFormat=P","Fill=—","Direction=H","UseDPDF=Y")</f>
        <v>0</v>
      </c>
      <c r="D9" s="13">
        <f>_xll.BDH("NBIX US Equity","BS_ST_BORROW","FQ1 2019","FQ1 2019","Currency=USD","Period=FQ","BEST_FPERIOD_OVERRIDE=FQ","FILING_STATUS=MR","SCALING_FORMAT=MLN","Sort=A","Dates=H","DateFormat=P","Fill=—","Direction=H","UseDPDF=Y")</f>
        <v>3.2669999999999999</v>
      </c>
      <c r="E9" s="13">
        <f>_xll.BDH("NBIX US Equity","BS_ST_BORROW","FQ2 2019","FQ2 2019","Currency=USD","Period=FQ","BEST_FPERIOD_OVERRIDE=FQ","FILING_STATUS=MR","SCALING_FORMAT=MLN","Sort=A","Dates=H","DateFormat=P","Fill=—","Direction=H","UseDPDF=Y")</f>
        <v>3.7490000000000001</v>
      </c>
      <c r="F9" s="13">
        <f>_xll.BDH("NBIX US Equity","BS_ST_BORROW","FQ3 2019","FQ3 2019","Currency=USD","Period=FQ","BEST_FPERIOD_OVERRIDE=FQ","FILING_STATUS=MR","SCALING_FORMAT=MLN","Sort=A","Dates=H","DateFormat=P","Fill=—","Direction=H","UseDPDF=Y")</f>
        <v>8.1590000000000007</v>
      </c>
      <c r="G9" s="13">
        <f>_xll.BDH("NBIX US Equity","BS_ST_BORROW","FQ4 2019","FQ4 2019","Currency=USD","Period=FQ","BEST_FPERIOD_OVERRIDE=FQ","FILING_STATUS=MR","SCALING_FORMAT=MLN","Sort=A","Dates=H","DateFormat=P","Fill=—","Direction=H","UseDPDF=Y")</f>
        <v>417.08199999999999</v>
      </c>
      <c r="H9" s="13">
        <f>_xll.BDH("NBIX US Equity","BS_ST_BORROW","FQ1 2020","FQ1 2020","Currency=USD","Period=FQ","BEST_FPERIOD_OVERRIDE=FQ","FILING_STATUS=MR","SCALING_FORMAT=MLN","Sort=A","Dates=H","DateFormat=P","Fill=—","Direction=H","UseDPDF=Y")</f>
        <v>8.8000000000000007</v>
      </c>
      <c r="I9" s="13">
        <f>_xll.BDH("NBIX US Equity","BS_ST_BORROW","FQ2 2020","FQ2 2020","Currency=USD","Period=FQ","BEST_FPERIOD_OVERRIDE=FQ","FILING_STATUS=MR","SCALING_FORMAT=MLN","Sort=A","Dates=H","DateFormat=P","Fill=—","Direction=H","UseDPDF=Y")</f>
        <v>428.7</v>
      </c>
      <c r="J9" s="13">
        <f>_xll.BDH("NBIX US Equity","BS_ST_BORROW","FQ3 2020","FQ3 2020","Currency=USD","Period=FQ","BEST_FPERIOD_OVERRIDE=FQ","FILING_STATUS=MR","SCALING_FORMAT=MLN","Sort=A","Dates=H","DateFormat=P","Fill=—","Direction=H","UseDPDF=Y")</f>
        <v>434.7</v>
      </c>
      <c r="K9" s="13">
        <f>_xll.BDH("NBIX US Equity","BS_ST_BORROW","FQ4 2020","FQ4 2020","Currency=USD","Period=FQ","BEST_FPERIOD_OVERRIDE=FQ","FILING_STATUS=MR","SCALING_FORMAT=MLN","Sort=A","Dates=H","DateFormat=P","Fill=—","Direction=H","UseDPDF=Y")</f>
        <v>10.3</v>
      </c>
      <c r="L9" s="13">
        <f>_xll.BDH("NBIX US Equity","BS_ST_BORROW","FQ1 2021","FQ1 2021","Currency=USD","Period=FQ","BEST_FPERIOD_OVERRIDE=FQ","FILING_STATUS=MR","SCALING_FORMAT=MLN","Sort=A","Dates=H","DateFormat=P","Fill=—","Direction=H","UseDPDF=Y")</f>
        <v>12.2</v>
      </c>
      <c r="M9" s="13">
        <f>_xll.BDH("NBIX US Equity","BS_ST_BORROW","FQ2 2021","FQ2 2021","Currency=USD","Period=FQ","BEST_FPERIOD_OVERRIDE=FQ","FILING_STATUS=MR","SCALING_FORMAT=MLN","Sort=A","Dates=H","DateFormat=P","Fill=—","Direction=H","UseDPDF=Y")</f>
        <v>15</v>
      </c>
      <c r="N9" s="13">
        <f>_xll.BDH("NBIX US Equity","BS_ST_BORROW","FQ3 2021","FQ3 2021","Currency=USD","Period=FQ","BEST_FPERIOD_OVERRIDE=FQ","FILING_STATUS=MR","SCALING_FORMAT=MLN","Sort=A","Dates=H","DateFormat=P","Fill=—","Direction=H","UseDPDF=Y")</f>
        <v>15.5</v>
      </c>
      <c r="O9" s="13">
        <f>_xll.BDH("NBIX US Equity","BS_ST_BORROW","FQ4 2021","FQ4 2021","Currency=USD","Period=FQ","BEST_FPERIOD_OVERRIDE=FQ","FILING_STATUS=MR","SCALING_FORMAT=MLN","Sort=A","Dates=H","DateFormat=P","Fill=—","Direction=H","UseDPDF=Y")</f>
        <v>16.5</v>
      </c>
      <c r="P9" s="13">
        <f>_xll.BDH("NBIX US Equity","BS_ST_BORROW","FQ1 2022","FQ1 2022","Currency=USD","Period=FQ","BEST_FPERIOD_OVERRIDE=FQ","FILING_STATUS=MR","SCALING_FORMAT=MLN","Sort=A","Dates=H","DateFormat=P","Fill=—","Direction=H","UseDPDF=Y")</f>
        <v>16.899999999999999</v>
      </c>
      <c r="Q9" s="13">
        <f>_xll.BDH("NBIX US Equity","BS_ST_BORROW","FQ2 2022","FQ2 2022","Currency=USD","Period=FQ","BEST_FPERIOD_OVERRIDE=FQ","FILING_STATUS=MR","SCALING_FORMAT=MLN","Sort=A","Dates=H","DateFormat=P","Fill=—","Direction=H","UseDPDF=Y")</f>
        <v>17.100000000000001</v>
      </c>
      <c r="R9" s="13">
        <f>_xll.BDH("NBIX US Equity","BS_ST_BORROW","FQ3 2022","FQ3 2022","Currency=USD","Period=FQ","BEST_FPERIOD_OVERRIDE=FQ","FILING_STATUS=MR","SCALING_FORMAT=MLN","Sort=A","Dates=H","DateFormat=P","Fill=—","Direction=H","UseDPDF=Y")</f>
        <v>186.5</v>
      </c>
      <c r="S9" s="13">
        <f>_xll.BDH("NBIX US Equity","BS_ST_BORROW","FQ4 2022","FQ4 2022","Currency=USD","Period=FQ","BEST_FPERIOD_OVERRIDE=FQ","FILING_STATUS=MR","SCALING_FORMAT=MLN","Sort=A","Dates=H","DateFormat=P","Fill=—","Direction=H","UseDPDF=Y")</f>
        <v>169.4</v>
      </c>
      <c r="T9" s="13">
        <f>_xll.BDH("NBIX US Equity","BS_ST_BORROW","FQ1 2023","FQ1 2023","Currency=USD","Period=FQ","BEST_FPERIOD_OVERRIDE=FQ","FILING_STATUS=MR","SCALING_FORMAT=MLN","Sort=A","Dates=H","DateFormat=P","Fill=—","Direction=H","UseDPDF=Y")</f>
        <v>0</v>
      </c>
      <c r="U9" s="13">
        <f>_xll.BDH("NBIX US Equity","BS_ST_BORROW","FQ2 2023","FQ2 2023","Currency=USD","Period=FQ","BEST_FPERIOD_OVERRIDE=FQ","FILING_STATUS=MR","SCALING_FORMAT=MLN","Sort=A","Dates=H","DateFormat=P","Fill=—","Direction=H","UseDPDF=Y")</f>
        <v>187.4</v>
      </c>
      <c r="V9" s="13">
        <f>_xll.BDH("NBIX US Equity","BS_ST_BORROW","FQ3 2023","FQ3 2023","Currency=USD","Period=FQ","BEST_FPERIOD_OVERRIDE=FQ","FILING_STATUS=MR","SCALING_FORMAT=MLN","Sort=A","Dates=H","DateFormat=P","Fill=—","Direction=H","UseDPDF=Y")</f>
        <v>187.7</v>
      </c>
      <c r="W9" s="13">
        <f>_xll.BDH("NBIX US Equity","BS_ST_BORROW","FQ4 2023","FQ4 2023","Currency=USD","Period=FQ","BEST_FPERIOD_OVERRIDE=FQ","FILING_STATUS=MR","SCALING_FORMAT=MLN","Sort=A","Dates=H","DateFormat=P","Fill=—","Direction=H","UseDPDF=Y")</f>
        <v>202.1</v>
      </c>
      <c r="X9" s="13">
        <f>_xll.BDH("NBIX US Equity","BS_ST_BORROW","FQ1 2024","FQ1 2024","Currency=USD","Period=FQ","BEST_FPERIOD_OVERRIDE=FQ","FILING_STATUS=MR","SCALING_FORMAT=MLN","Sort=A","Dates=H","DateFormat=P","Fill=—","Direction=H","UseDPDF=Y")</f>
        <v>157.80000000000001</v>
      </c>
      <c r="Y9" s="13">
        <f>_xll.BDH("NBIX US Equity","BS_ST_BORROW","FQ2 2024","FQ2 2024","Currency=USD","Period=FQ","BEST_FPERIOD_OVERRIDE=FQ","FILING_STATUS=MR","SCALING_FORMAT=MLN","Sort=A","Dates=H","DateFormat=P","Fill=—","Direction=H","UseDPDF=Y")</f>
        <v>35.4</v>
      </c>
      <c r="Z9" s="13">
        <f>_xll.BDH("NBIX US Equity","BS_ST_BORROW","FQ3 2024","FQ3 2024","Currency=USD","Period=FQ","BEST_FPERIOD_OVERRIDE=FQ","FILING_STATUS=MR","SCALING_FORMAT=MLN","Sort=A","Dates=H","DateFormat=P","Fill=—","Direction=H","UseDPDF=Y")</f>
        <v>34.799999999999997</v>
      </c>
      <c r="AA9" s="13">
        <f>_xll.BDH("NBIX US Equity","BS_ST_BORROW","FQ4 2024","FQ4 2024","Currency=USD","Period=FQ","BEST_FPERIOD_OVERRIDE=FQ","FILING_STATUS=MR","SCALING_FORMAT=MLN","Sort=A","Dates=H","DateFormat=P","Fill=—","Direction=H","UseDPDF=Y")</f>
        <v>40.6</v>
      </c>
    </row>
    <row r="10" spans="1:27" x14ac:dyDescent="0.25">
      <c r="A10" s="10" t="s">
        <v>1374</v>
      </c>
      <c r="B10" s="10" t="s">
        <v>747</v>
      </c>
      <c r="C10" s="13">
        <f>_xll.BDH("NBIX US Equity","BS_LT_BORROW","FQ4 2018","FQ4 2018","Currency=USD","Period=FQ","BEST_FPERIOD_OVERRIDE=FQ","FILING_STATUS=MR","SCALING_FORMAT=MLN","Sort=A","Dates=H","DateFormat=P","Fill=—","Direction=H","UseDPDF=Y")</f>
        <v>388.49599999999998</v>
      </c>
      <c r="D10" s="13">
        <f>_xll.BDH("NBIX US Equity","BS_LT_BORROW","FQ1 2019","FQ1 2019","Currency=USD","Period=FQ","BEST_FPERIOD_OVERRIDE=FQ","FILING_STATUS=MR","SCALING_FORMAT=MLN","Sort=A","Dates=H","DateFormat=P","Fill=—","Direction=H","UseDPDF=Y")</f>
        <v>460.58199999999999</v>
      </c>
      <c r="E10" s="13">
        <f>_xll.BDH("NBIX US Equity","BS_LT_BORROW","FQ2 2019","FQ2 2019","Currency=USD","Period=FQ","BEST_FPERIOD_OVERRIDE=FQ","FILING_STATUS=MR","SCALING_FORMAT=MLN","Sort=A","Dates=H","DateFormat=P","Fill=—","Direction=H","UseDPDF=Y")</f>
        <v>464.65100000000001</v>
      </c>
      <c r="F10" s="13">
        <f>_xll.BDH("NBIX US Equity","BS_LT_BORROW","FQ3 2019","FQ3 2019","Currency=USD","Period=FQ","BEST_FPERIOD_OVERRIDE=FQ","FILING_STATUS=MR","SCALING_FORMAT=MLN","Sort=A","Dates=H","DateFormat=P","Fill=—","Direction=H","UseDPDF=Y")</f>
        <v>478.07100000000003</v>
      </c>
      <c r="G10" s="13">
        <f>_xll.BDH("NBIX US Equity","BS_LT_BORROW","FQ4 2019","FQ4 2019","Currency=USD","Period=FQ","BEST_FPERIOD_OVERRIDE=FQ","FILING_STATUS=MR","SCALING_FORMAT=MLN","Sort=A","Dates=H","DateFormat=P","Fill=—","Direction=H","UseDPDF=Y")</f>
        <v>86.7</v>
      </c>
      <c r="H10" s="13">
        <f>_xll.BDH("NBIX US Equity","BS_LT_BORROW","FQ1 2020","FQ1 2020","Currency=USD","Period=FQ","BEST_FPERIOD_OVERRIDE=FQ","FILING_STATUS=MR","SCALING_FORMAT=MLN","Sort=A","Dates=H","DateFormat=P","Fill=—","Direction=H","UseDPDF=Y")</f>
        <v>499.7</v>
      </c>
      <c r="I10" s="13">
        <f>_xll.BDH("NBIX US Equity","BS_LT_BORROW","FQ2 2020","FQ2 2020","Currency=USD","Period=FQ","BEST_FPERIOD_OVERRIDE=FQ","FILING_STATUS=MR","SCALING_FORMAT=MLN","Sort=A","Dates=H","DateFormat=P","Fill=—","Direction=H","UseDPDF=Y")</f>
        <v>84.3</v>
      </c>
      <c r="J10" s="13">
        <f>_xll.BDH("NBIX US Equity","BS_LT_BORROW","FQ3 2020","FQ3 2020","Currency=USD","Period=FQ","BEST_FPERIOD_OVERRIDE=FQ","FILING_STATUS=MR","SCALING_FORMAT=MLN","Sort=A","Dates=H","DateFormat=P","Fill=—","Direction=H","UseDPDF=Y")</f>
        <v>83</v>
      </c>
      <c r="K10" s="13">
        <f>_xll.BDH("NBIX US Equity","BS_LT_BORROW","FQ4 2020","FQ4 2020","Currency=USD","Period=FQ","BEST_FPERIOD_OVERRIDE=FQ","FILING_STATUS=MR","SCALING_FORMAT=MLN","Sort=A","Dates=H","DateFormat=P","Fill=—","Direction=H","UseDPDF=Y")</f>
        <v>412.3</v>
      </c>
      <c r="L10" s="13">
        <f>_xll.BDH("NBIX US Equity","BS_LT_BORROW","FQ1 2021","FQ1 2021","Currency=USD","Period=FQ","BEST_FPERIOD_OVERRIDE=FQ","FILING_STATUS=MR","SCALING_FORMAT=MLN","Sort=A","Dates=H","DateFormat=P","Fill=—","Direction=H","UseDPDF=Y")</f>
        <v>429.5</v>
      </c>
      <c r="M10" s="13">
        <f>_xll.BDH("NBIX US Equity","BS_LT_BORROW","FQ2 2021","FQ2 2021","Currency=USD","Period=FQ","BEST_FPERIOD_OVERRIDE=FQ","FILING_STATUS=MR","SCALING_FORMAT=MLN","Sort=A","Dates=H","DateFormat=P","Fill=—","Direction=H","UseDPDF=Y")</f>
        <v>435.3</v>
      </c>
      <c r="N10" s="13">
        <f>_xll.BDH("NBIX US Equity","BS_LT_BORROW","FQ3 2021","FQ3 2021","Currency=USD","Period=FQ","BEST_FPERIOD_OVERRIDE=FQ","FILING_STATUS=MR","SCALING_FORMAT=MLN","Sort=A","Dates=H","DateFormat=P","Fill=—","Direction=H","UseDPDF=Y")</f>
        <v>437.1</v>
      </c>
      <c r="O10" s="13">
        <f>_xll.BDH("NBIX US Equity","BS_LT_BORROW","FQ4 2021","FQ4 2021","Currency=USD","Period=FQ","BEST_FPERIOD_OVERRIDE=FQ","FILING_STATUS=MR","SCALING_FORMAT=MLN","Sort=A","Dates=H","DateFormat=P","Fill=—","Direction=H","UseDPDF=Y")</f>
        <v>440.4</v>
      </c>
      <c r="P10" s="13">
        <f>_xll.BDH("NBIX US Equity","BS_LT_BORROW","FQ1 2022","FQ1 2022","Currency=USD","Period=FQ","BEST_FPERIOD_OVERRIDE=FQ","FILING_STATUS=MR","SCALING_FORMAT=MLN","Sort=A","Dates=H","DateFormat=P","Fill=—","Direction=H","UseDPDF=Y")</f>
        <v>480.2</v>
      </c>
      <c r="Q10" s="13">
        <f>_xll.BDH("NBIX US Equity","BS_LT_BORROW","FQ2 2022","FQ2 2022","Currency=USD","Period=FQ","BEST_FPERIOD_OVERRIDE=FQ","FILING_STATUS=MR","SCALING_FORMAT=MLN","Sort=A","Dates=H","DateFormat=P","Fill=—","Direction=H","UseDPDF=Y")</f>
        <v>268.60000000000002</v>
      </c>
      <c r="R10" s="13">
        <f>_xll.BDH("NBIX US Equity","BS_LT_BORROW","FQ3 2022","FQ3 2022","Currency=USD","Period=FQ","BEST_FPERIOD_OVERRIDE=FQ","FILING_STATUS=MR","SCALING_FORMAT=MLN","Sort=A","Dates=H","DateFormat=P","Fill=—","Direction=H","UseDPDF=Y")</f>
        <v>96.6</v>
      </c>
      <c r="S10" s="13">
        <f>_xll.BDH("NBIX US Equity","BS_LT_BORROW","FQ4 2022","FQ4 2022","Currency=USD","Period=FQ","BEST_FPERIOD_OVERRIDE=FQ","FILING_STATUS=MR","SCALING_FORMAT=MLN","Sort=A","Dates=H","DateFormat=P","Fill=—","Direction=H","UseDPDF=Y")</f>
        <v>93.5</v>
      </c>
      <c r="T10" s="13">
        <f>_xll.BDH("NBIX US Equity","BS_LT_BORROW","FQ1 2023","FQ1 2023","Currency=USD","Period=FQ","BEST_FPERIOD_OVERRIDE=FQ","FILING_STATUS=MR","SCALING_FORMAT=MLN","Sort=A","Dates=H","DateFormat=P","Fill=—","Direction=H","UseDPDF=Y")</f>
        <v>259.89999999999998</v>
      </c>
      <c r="U10" s="13">
        <f>_xll.BDH("NBIX US Equity","BS_LT_BORROW","FQ2 2023","FQ2 2023","Currency=USD","Period=FQ","BEST_FPERIOD_OVERRIDE=FQ","FILING_STATUS=MR","SCALING_FORMAT=MLN","Sort=A","Dates=H","DateFormat=P","Fill=—","Direction=H","UseDPDF=Y")</f>
        <v>89.1</v>
      </c>
      <c r="V10" s="13">
        <f>_xll.BDH("NBIX US Equity","BS_LT_BORROW","FQ3 2023","FQ3 2023","Currency=USD","Period=FQ","BEST_FPERIOD_OVERRIDE=FQ","FILING_STATUS=MR","SCALING_FORMAT=MLN","Sort=A","Dates=H","DateFormat=P","Fill=—","Direction=H","UseDPDF=Y")</f>
        <v>85.9</v>
      </c>
      <c r="W10" s="13">
        <f>_xll.BDH("NBIX US Equity","BS_LT_BORROW","FQ4 2023","FQ4 2023","Currency=USD","Period=FQ","BEST_FPERIOD_OVERRIDE=FQ","FILING_STATUS=MR","SCALING_FORMAT=MLN","Sort=A","Dates=H","DateFormat=P","Fill=—","Direction=H","UseDPDF=Y")</f>
        <v>258.3</v>
      </c>
      <c r="X10" s="13">
        <f>_xll.BDH("NBIX US Equity","BS_LT_BORROW","FQ1 2024","FQ1 2024","Currency=USD","Period=FQ","BEST_FPERIOD_OVERRIDE=FQ","FILING_STATUS=MR","SCALING_FORMAT=MLN","Sort=A","Dates=H","DateFormat=P","Fill=—","Direction=H","UseDPDF=Y")</f>
        <v>252.9</v>
      </c>
      <c r="Y10" s="13">
        <f>_xll.BDH("NBIX US Equity","BS_LT_BORROW","FQ2 2024","FQ2 2024","Currency=USD","Period=FQ","BEST_FPERIOD_OVERRIDE=FQ","FILING_STATUS=MR","SCALING_FORMAT=MLN","Sort=A","Dates=H","DateFormat=P","Fill=—","Direction=H","UseDPDF=Y")</f>
        <v>256.2</v>
      </c>
      <c r="Z10" s="13">
        <f>_xll.BDH("NBIX US Equity","BS_LT_BORROW","FQ3 2024","FQ3 2024","Currency=USD","Period=FQ","BEST_FPERIOD_OVERRIDE=FQ","FILING_STATUS=MR","SCALING_FORMAT=MLN","Sort=A","Dates=H","DateFormat=P","Fill=—","Direction=H","UseDPDF=Y")</f>
        <v>251.4</v>
      </c>
      <c r="AA10" s="13">
        <f>_xll.BDH("NBIX US Equity","BS_LT_BORROW","FQ4 2024","FQ4 2024","Currency=USD","Period=FQ","BEST_FPERIOD_OVERRIDE=FQ","FILING_STATUS=MR","SCALING_FORMAT=MLN","Sort=A","Dates=H","DateFormat=P","Fill=—","Direction=H","UseDPDF=Y")</f>
        <v>455.1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1375</v>
      </c>
      <c r="B12" s="10" t="s">
        <v>1376</v>
      </c>
      <c r="C12" s="14">
        <f>_xll.BDH("NBIX US Equity","TOT_DEBT_TO_EBITDA","FQ4 2018","FQ4 2018","Currency=USD","Period=FQ","BEST_FPERIOD_OVERRIDE=FQ","FILING_STATUS=MR","FA_ADJUSTED=GAAP","Sort=A","Dates=H","DateFormat=P","Fill=—","Direction=H","UseDPDF=Y")</f>
        <v>9.4943000000000008</v>
      </c>
      <c r="D12" s="14" t="str">
        <f>_xll.BDH("NBIX US Equity","TOT_DEBT_TO_EBITDA","FQ1 2019","FQ1 2019","Currency=USD","Period=FQ","BEST_FPERIOD_OVERRIDE=FQ","FILING_STATUS=MR","FA_ADJUSTED=GAAP","Sort=A","Dates=H","DateFormat=P","Fill=—","Direction=H","UseDPDF=Y")</f>
        <v>—</v>
      </c>
      <c r="E12" s="14">
        <f>_xll.BDH("NBIX US Equity","TOT_DEBT_TO_EBITDA","FQ2 2019","FQ2 2019","Currency=USD","Period=FQ","BEST_FPERIOD_OVERRIDE=FQ","FILING_STATUS=MR","FA_ADJUSTED=GAAP","Sort=A","Dates=H","DateFormat=P","Fill=—","Direction=H","UseDPDF=Y")</f>
        <v>20.220199999999998</v>
      </c>
      <c r="F12" s="14">
        <f>_xll.BDH("NBIX US Equity","TOT_DEBT_TO_EBITDA","FQ3 2019","FQ3 2019","Currency=USD","Period=FQ","BEST_FPERIOD_OVERRIDE=FQ","FILING_STATUS=MR","FA_ADJUSTED=GAAP","Sort=A","Dates=H","DateFormat=P","Fill=—","Direction=H","UseDPDF=Y")</f>
        <v>8.1125000000000007</v>
      </c>
      <c r="G12" s="14">
        <f>_xll.BDH("NBIX US Equity","TOT_DEBT_TO_EBITDA","FQ4 2019","FQ4 2019","Currency=USD","Period=FQ","BEST_FPERIOD_OVERRIDE=FQ","FILING_STATUS=MR","FA_ADJUSTED=GAAP","Sort=A","Dates=H","DateFormat=P","Fill=—","Direction=H","UseDPDF=Y")</f>
        <v>5.7337999999999996</v>
      </c>
      <c r="H12" s="14">
        <f>_xll.BDH("NBIX US Equity","TOT_DEBT_TO_EBITDA","FQ1 2020","FQ1 2020","Currency=USD","Period=FQ","BEST_FPERIOD_OVERRIDE=FQ","FILING_STATUS=MR","FA_ADJUSTED=GAAP","Sort=A","Dates=H","DateFormat=P","Fill=—","Direction=H","UseDPDF=Y")</f>
        <v>2.0430000000000001</v>
      </c>
      <c r="I12" s="14">
        <f>_xll.BDH("NBIX US Equity","TOT_DEBT_TO_EBITDA","FQ2 2020","FQ2 2020","Currency=USD","Period=FQ","BEST_FPERIOD_OVERRIDE=FQ","FILING_STATUS=MR","FA_ADJUSTED=GAAP","Sort=A","Dates=H","DateFormat=P","Fill=—","Direction=H","UseDPDF=Y")</f>
        <v>1.7578</v>
      </c>
      <c r="J12" s="14">
        <f>_xll.BDH("NBIX US Equity","TOT_DEBT_TO_EBITDA","FQ3 2020","FQ3 2020","Currency=USD","Period=FQ","BEST_FPERIOD_OVERRIDE=FQ","FILING_STATUS=MR","FA_ADJUSTED=GAAP","Sort=A","Dates=H","DateFormat=P","Fill=—","Direction=H","UseDPDF=Y")</f>
        <v>3.2757999999999998</v>
      </c>
      <c r="K12" s="14">
        <f>_xll.BDH("NBIX US Equity","TOT_DEBT_TO_EBITDA","FQ4 2020","FQ4 2020","Currency=USD","Period=FQ","BEST_FPERIOD_OVERRIDE=FQ","FILING_STATUS=MR","FA_ADJUSTED=GAAP","Sort=A","Dates=H","DateFormat=P","Fill=—","Direction=H","UseDPDF=Y")</f>
        <v>2.3258000000000001</v>
      </c>
      <c r="L12" s="14">
        <f>_xll.BDH("NBIX US Equity","TOT_DEBT_TO_EBITDA","FQ1 2021","FQ1 2021","Currency=USD","Period=FQ","BEST_FPERIOD_OVERRIDE=FQ","FILING_STATUS=MR","FA_ADJUSTED=GAAP","Sort=A","Dates=H","DateFormat=P","Fill=—","Direction=H","UseDPDF=Y")</f>
        <v>2.8386999999999998</v>
      </c>
      <c r="M12" s="14">
        <f>_xll.BDH("NBIX US Equity","TOT_DEBT_TO_EBITDA","FQ2 2021","FQ2 2021","Currency=USD","Period=FQ","BEST_FPERIOD_OVERRIDE=FQ","FILING_STATUS=MR","FA_ADJUSTED=GAAP","Sort=A","Dates=H","DateFormat=P","Fill=—","Direction=H","UseDPDF=Y")</f>
        <v>3.1335999999999999</v>
      </c>
      <c r="N12" s="14">
        <f>_xll.BDH("NBIX US Equity","TOT_DEBT_TO_EBITDA","FQ3 2021","FQ3 2021","Currency=USD","Period=FQ","BEST_FPERIOD_OVERRIDE=FQ","FILING_STATUS=MR","FA_ADJUSTED=GAAP","Sort=A","Dates=H","DateFormat=P","Fill=—","Direction=H","UseDPDF=Y")</f>
        <v>1.9292</v>
      </c>
      <c r="O12" s="14">
        <f>_xll.BDH("NBIX US Equity","TOT_DEBT_TO_EBITDA","FQ4 2021","FQ4 2021","Currency=USD","Period=FQ","BEST_FPERIOD_OVERRIDE=FQ","FILING_STATUS=MR","FA_ADJUSTED=GAAP","Sort=A","Dates=H","DateFormat=P","Fill=—","Direction=H","UseDPDF=Y")</f>
        <v>3.5501</v>
      </c>
      <c r="P12" s="14">
        <f>_xll.BDH("NBIX US Equity","TOT_DEBT_TO_EBITDA","FQ1 2022","FQ1 2022","Currency=USD","Period=FQ","BEST_FPERIOD_OVERRIDE=FQ","FILING_STATUS=MR","FA_ADJUSTED=GAAP","Sort=A","Dates=H","DateFormat=P","Fill=—","Direction=H","UseDPDF=Y")</f>
        <v>4.8830999999999998</v>
      </c>
      <c r="Q12" s="14">
        <f>_xll.BDH("NBIX US Equity","TOT_DEBT_TO_EBITDA","FQ2 2022","FQ2 2022","Currency=USD","Period=FQ","BEST_FPERIOD_OVERRIDE=FQ","FILING_STATUS=MR","FA_ADJUSTED=GAAP","Sort=A","Dates=H","DateFormat=P","Fill=—","Direction=H","UseDPDF=Y")</f>
        <v>3.0011000000000001</v>
      </c>
      <c r="R12" s="14">
        <f>_xll.BDH("NBIX US Equity","TOT_DEBT_TO_EBITDA","FQ3 2022","FQ3 2022","Currency=USD","Period=FQ","BEST_FPERIOD_OVERRIDE=FQ","FILING_STATUS=MR","FA_ADJUSTED=GAAP","Sort=A","Dates=H","DateFormat=P","Fill=—","Direction=H","UseDPDF=Y")</f>
        <v>2.0207000000000002</v>
      </c>
      <c r="S12" s="14">
        <f>_xll.BDH("NBIX US Equity","TOT_DEBT_TO_EBITDA","FQ4 2022","FQ4 2022","Currency=USD","Period=FQ","BEST_FPERIOD_OVERRIDE=FQ","FILING_STATUS=MR","FA_ADJUSTED=GAAP","Sort=A","Dates=H","DateFormat=P","Fill=—","Direction=H","UseDPDF=Y")</f>
        <v>0.93589999999999995</v>
      </c>
      <c r="T12" s="14">
        <f>_xll.BDH("NBIX US Equity","TOT_DEBT_TO_EBITDA","FQ1 2023","FQ1 2023","Currency=USD","Period=FQ","BEST_FPERIOD_OVERRIDE=FQ","FILING_STATUS=MR","FA_ADJUSTED=GAAP","Sort=A","Dates=H","DateFormat=P","Fill=—","Direction=H","UseDPDF=Y")</f>
        <v>1.5723</v>
      </c>
      <c r="U12" s="14">
        <f>_xll.BDH("NBIX US Equity","TOT_DEBT_TO_EBITDA","FQ2 2023","FQ2 2023","Currency=USD","Period=FQ","BEST_FPERIOD_OVERRIDE=FQ","FILING_STATUS=MR","FA_ADJUSTED=GAAP","Sort=A","Dates=H","DateFormat=P","Fill=—","Direction=H","UseDPDF=Y")</f>
        <v>1.4914000000000001</v>
      </c>
      <c r="V12" s="14">
        <f>_xll.BDH("NBIX US Equity","TOT_DEBT_TO_EBITDA","FQ3 2023","FQ3 2023","Currency=USD","Period=FQ","BEST_FPERIOD_OVERRIDE=FQ","FILING_STATUS=MR","FA_ADJUSTED=GAAP","Sort=A","Dates=H","DateFormat=P","Fill=—","Direction=H","UseDPDF=Y")</f>
        <v>1.141</v>
      </c>
      <c r="W12" s="14">
        <f>_xll.BDH("NBIX US Equity","TOT_DEBT_TO_EBITDA","FQ4 2023","FQ4 2023","Currency=USD","Period=FQ","BEST_FPERIOD_OVERRIDE=FQ","FILING_STATUS=MR","FA_ADJUSTED=GAAP","Sort=A","Dates=H","DateFormat=P","Fill=—","Direction=H","UseDPDF=Y")</f>
        <v>1.5952999999999999</v>
      </c>
      <c r="X12" s="14">
        <f>_xll.BDH("NBIX US Equity","TOT_DEBT_TO_EBITDA","FQ1 2024","FQ1 2024","Currency=USD","Period=FQ","BEST_FPERIOD_OVERRIDE=FQ","FILING_STATUS=MR","FA_ADJUSTED=GAAP","Sort=A","Dates=H","DateFormat=P","Fill=—","Direction=H","UseDPDF=Y")</f>
        <v>0.80810000000000004</v>
      </c>
      <c r="Y12" s="14">
        <f>_xll.BDH("NBIX US Equity","TOT_DEBT_TO_EBITDA","FQ2 2024","FQ2 2024","Currency=USD","Period=FQ","BEST_FPERIOD_OVERRIDE=FQ","FILING_STATUS=MR","FA_ADJUSTED=GAAP","Sort=A","Dates=H","DateFormat=P","Fill=—","Direction=H","UseDPDF=Y")</f>
        <v>0.4965</v>
      </c>
      <c r="Z12" s="14">
        <f>_xll.BDH("NBIX US Equity","TOT_DEBT_TO_EBITDA","FQ3 2024","FQ3 2024","Currency=USD","Period=FQ","BEST_FPERIOD_OVERRIDE=FQ","FILING_STATUS=MR","FA_ADJUSTED=GAAP","Sort=A","Dates=H","DateFormat=P","Fill=—","Direction=H","UseDPDF=Y")</f>
        <v>0.4501</v>
      </c>
      <c r="AA12" s="14">
        <f>_xll.BDH("NBIX US Equity","TOT_DEBT_TO_EBITDA","FQ4 2024","FQ4 2024","Currency=USD","Period=FQ","BEST_FPERIOD_OVERRIDE=FQ","FILING_STATUS=MR","FA_ADJUSTED=GAAP","Sort=A","Dates=H","DateFormat=P","Fill=—","Direction=H","UseDPDF=Y")</f>
        <v>0.77500000000000002</v>
      </c>
    </row>
    <row r="13" spans="1:27" x14ac:dyDescent="0.25">
      <c r="A13" s="10" t="s">
        <v>1377</v>
      </c>
      <c r="B13" s="10" t="s">
        <v>1378</v>
      </c>
      <c r="C13" s="14">
        <f>_xll.BDH("NBIX US Equity","NET_DEBT_TO_EBITDA","FQ4 2018","FQ4 2018","Currency=USD","Period=FQ","BEST_FPERIOD_OVERRIDE=FQ","FILING_STATUS=MR","FA_ADJUSTED=GAAP","Sort=A","Dates=H","DateFormat=P","Fill=—","Direction=H","UseDPDF=Y")</f>
        <v>-6.4131</v>
      </c>
      <c r="D13" s="14" t="str">
        <f>_xll.BDH("NBIX US Equity","NET_DEBT_TO_EBITDA","FQ1 2019","FQ1 2019","Currency=USD","Period=FQ","BEST_FPERIOD_OVERRIDE=FQ","FILING_STATUS=MR","FA_ADJUSTED=GAAP","Sort=A","Dates=H","DateFormat=P","Fill=—","Direction=H","UseDPDF=Y")</f>
        <v>—</v>
      </c>
      <c r="E13" s="14">
        <f>_xll.BDH("NBIX US Equity","NET_DEBT_TO_EBITDA","FQ2 2019","FQ2 2019","Currency=USD","Period=FQ","BEST_FPERIOD_OVERRIDE=FQ","FILING_STATUS=MR","FA_ADJUSTED=GAAP","Sort=A","Dates=H","DateFormat=P","Fill=—","Direction=H","UseDPDF=Y")</f>
        <v>-6.5434000000000001</v>
      </c>
      <c r="F13" s="14">
        <f>_xll.BDH("NBIX US Equity","NET_DEBT_TO_EBITDA","FQ3 2019","FQ3 2019","Currency=USD","Period=FQ","BEST_FPERIOD_OVERRIDE=FQ","FILING_STATUS=MR","FA_ADJUSTED=GAAP","Sort=A","Dates=H","DateFormat=P","Fill=—","Direction=H","UseDPDF=Y")</f>
        <v>-3.0688</v>
      </c>
      <c r="G13" s="14">
        <f>_xll.BDH("NBIX US Equity","NET_DEBT_TO_EBITDA","FQ4 2019","FQ4 2019","Currency=USD","Period=FQ","BEST_FPERIOD_OVERRIDE=FQ","FILING_STATUS=MR","FA_ADJUSTED=GAAP","Sort=A","Dates=H","DateFormat=P","Fill=—","Direction=H","UseDPDF=Y")</f>
        <v>-1.8975</v>
      </c>
      <c r="H13" s="14">
        <f>_xll.BDH("NBIX US Equity","NET_DEBT_TO_EBITDA","FQ1 2020","FQ1 2020","Currency=USD","Period=FQ","BEST_FPERIOD_OVERRIDE=FQ","FILING_STATUS=MR","FA_ADJUSTED=GAAP","Sort=A","Dates=H","DateFormat=P","Fill=—","Direction=H","UseDPDF=Y")</f>
        <v>-1.0575000000000001</v>
      </c>
      <c r="I13" s="14">
        <f>_xll.BDH("NBIX US Equity","NET_DEBT_TO_EBITDA","FQ2 2020","FQ2 2020","Currency=USD","Period=FQ","BEST_FPERIOD_OVERRIDE=FQ","FILING_STATUS=MR","FA_ADJUSTED=GAAP","Sort=A","Dates=H","DateFormat=P","Fill=—","Direction=H","UseDPDF=Y")</f>
        <v>-1.4915</v>
      </c>
      <c r="J13" s="14">
        <f>_xll.BDH("NBIX US Equity","NET_DEBT_TO_EBITDA","FQ3 2020","FQ3 2020","Currency=USD","Period=FQ","BEST_FPERIOD_OVERRIDE=FQ","FILING_STATUS=MR","FA_ADJUSTED=GAAP","Sort=A","Dates=H","DateFormat=P","Fill=—","Direction=H","UseDPDF=Y")</f>
        <v>-2.7019000000000002</v>
      </c>
      <c r="K13" s="14">
        <f>_xll.BDH("NBIX US Equity","NET_DEBT_TO_EBITDA","FQ4 2020","FQ4 2020","Currency=USD","Period=FQ","BEST_FPERIOD_OVERRIDE=FQ","FILING_STATUS=MR","FA_ADJUSTED=GAAP","Sort=A","Dates=H","DateFormat=P","Fill=—","Direction=H","UseDPDF=Y")</f>
        <v>-2.0825999999999998</v>
      </c>
      <c r="L13" s="14">
        <f>_xll.BDH("NBIX US Equity","NET_DEBT_TO_EBITDA","FQ1 2021","FQ1 2021","Currency=USD","Period=FQ","BEST_FPERIOD_OVERRIDE=FQ","FILING_STATUS=MR","FA_ADJUSTED=GAAP","Sort=A","Dates=H","DateFormat=P","Fill=—","Direction=H","UseDPDF=Y")</f>
        <v>-2.7763</v>
      </c>
      <c r="M13" s="14">
        <f>_xll.BDH("NBIX US Equity","NET_DEBT_TO_EBITDA","FQ2 2021","FQ2 2021","Currency=USD","Period=FQ","BEST_FPERIOD_OVERRIDE=FQ","FILING_STATUS=MR","FA_ADJUSTED=GAAP","Sort=A","Dates=H","DateFormat=P","Fill=—","Direction=H","UseDPDF=Y")</f>
        <v>-3.0244</v>
      </c>
      <c r="N13" s="14">
        <f>_xll.BDH("NBIX US Equity","NET_DEBT_TO_EBITDA","FQ3 2021","FQ3 2021","Currency=USD","Period=FQ","BEST_FPERIOD_OVERRIDE=FQ","FILING_STATUS=MR","FA_ADJUSTED=GAAP","Sort=A","Dates=H","DateFormat=P","Fill=—","Direction=H","UseDPDF=Y")</f>
        <v>-1.3354999999999999</v>
      </c>
      <c r="O13" s="14">
        <f>_xll.BDH("NBIX US Equity","NET_DEBT_TO_EBITDA","FQ4 2021","FQ4 2021","Currency=USD","Period=FQ","BEST_FPERIOD_OVERRIDE=FQ","FILING_STATUS=MR","FA_ADJUSTED=GAAP","Sort=A","Dates=H","DateFormat=P","Fill=—","Direction=H","UseDPDF=Y")</f>
        <v>-1.9766999999999999</v>
      </c>
      <c r="P13" s="14">
        <f>_xll.BDH("NBIX US Equity","NET_DEBT_TO_EBITDA","FQ1 2022","FQ1 2022","Currency=USD","Period=FQ","BEST_FPERIOD_OVERRIDE=FQ","FILING_STATUS=MR","FA_ADJUSTED=GAAP","Sort=A","Dates=H","DateFormat=P","Fill=—","Direction=H","UseDPDF=Y")</f>
        <v>-1.6483000000000001</v>
      </c>
      <c r="Q13" s="14">
        <f>_xll.BDH("NBIX US Equity","NET_DEBT_TO_EBITDA","FQ2 2022","FQ2 2022","Currency=USD","Period=FQ","BEST_FPERIOD_OVERRIDE=FQ","FILING_STATUS=MR","FA_ADJUSTED=GAAP","Sort=A","Dates=H","DateFormat=P","Fill=—","Direction=H","UseDPDF=Y")</f>
        <v>-3.8088000000000002</v>
      </c>
      <c r="R13" s="14">
        <f>_xll.BDH("NBIX US Equity","NET_DEBT_TO_EBITDA","FQ3 2022","FQ3 2022","Currency=USD","Period=FQ","BEST_FPERIOD_OVERRIDE=FQ","FILING_STATUS=MR","FA_ADJUSTED=GAAP","Sort=A","Dates=H","DateFormat=P","Fill=—","Direction=H","UseDPDF=Y")</f>
        <v>-3.6852</v>
      </c>
      <c r="S13" s="14">
        <f>_xll.BDH("NBIX US Equity","NET_DEBT_TO_EBITDA","FQ4 2022","FQ4 2022","Currency=USD","Period=FQ","BEST_FPERIOD_OVERRIDE=FQ","FILING_STATUS=MR","FA_ADJUSTED=GAAP","Sort=A","Dates=H","DateFormat=P","Fill=—","Direction=H","UseDPDF=Y")</f>
        <v>-2.5859999999999999</v>
      </c>
      <c r="T13" s="14">
        <f>_xll.BDH("NBIX US Equity","NET_DEBT_TO_EBITDA","FQ1 2023","FQ1 2023","Currency=USD","Period=FQ","BEST_FPERIOD_OVERRIDE=FQ","FILING_STATUS=MR","FA_ADJUSTED=GAAP","Sort=A","Dates=H","DateFormat=P","Fill=—","Direction=H","UseDPDF=Y")</f>
        <v>-3.8397000000000001</v>
      </c>
      <c r="U13" s="14">
        <f>_xll.BDH("NBIX US Equity","NET_DEBT_TO_EBITDA","FQ2 2023","FQ2 2023","Currency=USD","Period=FQ","BEST_FPERIOD_OVERRIDE=FQ","FILING_STATUS=MR","FA_ADJUSTED=GAAP","Sort=A","Dates=H","DateFormat=P","Fill=—","Direction=H","UseDPDF=Y")</f>
        <v>-3.7766999999999999</v>
      </c>
      <c r="V13" s="14">
        <f>_xll.BDH("NBIX US Equity","NET_DEBT_TO_EBITDA","FQ3 2023","FQ3 2023","Currency=USD","Period=FQ","BEST_FPERIOD_OVERRIDE=FQ","FILING_STATUS=MR","FA_ADJUSTED=GAAP","Sort=A","Dates=H","DateFormat=P","Fill=—","Direction=H","UseDPDF=Y")</f>
        <v>-3.4258000000000002</v>
      </c>
      <c r="W13" s="14">
        <f>_xll.BDH("NBIX US Equity","NET_DEBT_TO_EBITDA","FQ4 2023","FQ4 2023","Currency=USD","Period=FQ","BEST_FPERIOD_OVERRIDE=FQ","FILING_STATUS=MR","FA_ADJUSTED=GAAP","Sort=A","Dates=H","DateFormat=P","Fill=—","Direction=H","UseDPDF=Y")</f>
        <v>-1.9792000000000001</v>
      </c>
      <c r="X13" s="14">
        <f>_xll.BDH("NBIX US Equity","NET_DEBT_TO_EBITDA","FQ1 2024","FQ1 2024","Currency=USD","Period=FQ","BEST_FPERIOD_OVERRIDE=FQ","FILING_STATUS=MR","FA_ADJUSTED=GAAP","Sort=A","Dates=H","DateFormat=P","Fill=—","Direction=H","UseDPDF=Y")</f>
        <v>-1.5740000000000001</v>
      </c>
      <c r="Y13" s="14">
        <f>_xll.BDH("NBIX US Equity","NET_DEBT_TO_EBITDA","FQ2 2024","FQ2 2024","Currency=USD","Period=FQ","BEST_FPERIOD_OVERRIDE=FQ","FILING_STATUS=MR","FA_ADJUSTED=GAAP","Sort=A","Dates=H","DateFormat=P","Fill=—","Direction=H","UseDPDF=Y")</f>
        <v>-1.2724</v>
      </c>
      <c r="Z13" s="14">
        <f>_xll.BDH("NBIX US Equity","NET_DEBT_TO_EBITDA","FQ3 2024","FQ3 2024","Currency=USD","Period=FQ","BEST_FPERIOD_OVERRIDE=FQ","FILING_STATUS=MR","FA_ADJUSTED=GAAP","Sort=A","Dates=H","DateFormat=P","Fill=—","Direction=H","UseDPDF=Y")</f>
        <v>-1.4811000000000001</v>
      </c>
      <c r="AA13" s="14">
        <f>_xll.BDH("NBIX US Equity","NET_DEBT_TO_EBITDA","FQ4 2024","FQ4 2024","Currency=USD","Period=FQ","BEST_FPERIOD_OVERRIDE=FQ","FILING_STATUS=MR","FA_ADJUSTED=GAAP","Sort=A","Dates=H","DateFormat=P","Fill=—","Direction=H","UseDPDF=Y")</f>
        <v>-0.90739999999999998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1379</v>
      </c>
      <c r="B15" s="10" t="s">
        <v>1380</v>
      </c>
      <c r="C15" s="14">
        <f>_xll.BDH("NBIX US Equity","TOTAL_DEBT_TO_EBIT","FQ4 2018","FQ4 2018","Currency=USD","Period=FQ","BEST_FPERIOD_OVERRIDE=FQ","FILING_STATUS=MR","FA_ADJUSTED=GAAP","Sort=A","Dates=H","DateFormat=P","Fill=—","Direction=H","UseDPDF=Y")</f>
        <v>10.5298</v>
      </c>
      <c r="D15" s="14" t="str">
        <f>_xll.BDH("NBIX US Equity","TOTAL_DEBT_TO_EBIT","FQ1 2019","FQ1 2019","Currency=USD","Period=FQ","BEST_FPERIOD_OVERRIDE=FQ","FILING_STATUS=MR","FA_ADJUSTED=GAAP","Sort=A","Dates=H","DateFormat=P","Fill=—","Direction=H","UseDPDF=Y")</f>
        <v>—</v>
      </c>
      <c r="E15" s="14">
        <f>_xll.BDH("NBIX US Equity","TOTAL_DEBT_TO_EBIT","FQ2 2019","FQ2 2019","Currency=USD","Period=FQ","BEST_FPERIOD_OVERRIDE=FQ","FILING_STATUS=MR","FA_ADJUSTED=GAAP","Sort=A","Dates=H","DateFormat=P","Fill=—","Direction=H","UseDPDF=Y")</f>
        <v>32.680900000000001</v>
      </c>
      <c r="F15" s="14">
        <f>_xll.BDH("NBIX US Equity","TOTAL_DEBT_TO_EBIT","FQ3 2019","FQ3 2019","Currency=USD","Period=FQ","BEST_FPERIOD_OVERRIDE=FQ","FILING_STATUS=MR","FA_ADJUSTED=GAAP","Sort=A","Dates=H","DateFormat=P","Fill=—","Direction=H","UseDPDF=Y")</f>
        <v>9.7179000000000002</v>
      </c>
      <c r="G15" s="14">
        <f>_xll.BDH("NBIX US Equity","TOTAL_DEBT_TO_EBIT","FQ4 2019","FQ4 2019","Currency=USD","Period=FQ","BEST_FPERIOD_OVERRIDE=FQ","FILING_STATUS=MR","FA_ADJUSTED=GAAP","Sort=A","Dates=H","DateFormat=P","Fill=—","Direction=H","UseDPDF=Y")</f>
        <v>6.5340999999999996</v>
      </c>
      <c r="H15" s="14">
        <f>_xll.BDH("NBIX US Equity","TOTAL_DEBT_TO_EBIT","FQ1 2020","FQ1 2020","Currency=USD","Period=FQ","BEST_FPERIOD_OVERRIDE=FQ","FILING_STATUS=MR","FA_ADJUSTED=GAAP","Sort=A","Dates=H","DateFormat=P","Fill=—","Direction=H","UseDPDF=Y")</f>
        <v>2.1438000000000001</v>
      </c>
      <c r="I15" s="14">
        <f>_xll.BDH("NBIX US Equity","TOTAL_DEBT_TO_EBIT","FQ2 2020","FQ2 2020","Currency=USD","Period=FQ","BEST_FPERIOD_OVERRIDE=FQ","FILING_STATUS=MR","FA_ADJUSTED=GAAP","Sort=A","Dates=H","DateFormat=P","Fill=—","Direction=H","UseDPDF=Y")</f>
        <v>1.8351999999999999</v>
      </c>
      <c r="J15" s="14">
        <f>_xll.BDH("NBIX US Equity","TOTAL_DEBT_TO_EBIT","FQ3 2020","FQ3 2020","Currency=USD","Period=FQ","BEST_FPERIOD_OVERRIDE=FQ","FILING_STATUS=MR","FA_ADJUSTED=GAAP","Sort=A","Dates=H","DateFormat=P","Fill=—","Direction=H","UseDPDF=Y")</f>
        <v>3.5611999999999999</v>
      </c>
      <c r="K15" s="14">
        <f>_xll.BDH("NBIX US Equity","TOTAL_DEBT_TO_EBIT","FQ4 2020","FQ4 2020","Currency=USD","Period=FQ","BEST_FPERIOD_OVERRIDE=FQ","FILING_STATUS=MR","FA_ADJUSTED=GAAP","Sort=A","Dates=H","DateFormat=P","Fill=—","Direction=H","UseDPDF=Y")</f>
        <v>2.5085000000000002</v>
      </c>
      <c r="L15" s="14">
        <f>_xll.BDH("NBIX US Equity","TOTAL_DEBT_TO_EBIT","FQ1 2021","FQ1 2021","Currency=USD","Period=FQ","BEST_FPERIOD_OVERRIDE=FQ","FILING_STATUS=MR","FA_ADJUSTED=GAAP","Sort=A","Dates=H","DateFormat=P","Fill=—","Direction=H","UseDPDF=Y")</f>
        <v>3.1286</v>
      </c>
      <c r="M15" s="14">
        <f>_xll.BDH("NBIX US Equity","TOTAL_DEBT_TO_EBIT","FQ2 2021","FQ2 2021","Currency=USD","Period=FQ","BEST_FPERIOD_OVERRIDE=FQ","FILING_STATUS=MR","FA_ADJUSTED=GAAP","Sort=A","Dates=H","DateFormat=P","Fill=—","Direction=H","UseDPDF=Y")</f>
        <v>3.5280999999999998</v>
      </c>
      <c r="N15" s="14">
        <f>_xll.BDH("NBIX US Equity","TOTAL_DEBT_TO_EBIT","FQ3 2021","FQ3 2021","Currency=USD","Period=FQ","BEST_FPERIOD_OVERRIDE=FQ","FILING_STATUS=MR","FA_ADJUSTED=GAAP","Sort=A","Dates=H","DateFormat=P","Fill=—","Direction=H","UseDPDF=Y")</f>
        <v>2.0884999999999998</v>
      </c>
      <c r="O15" s="14">
        <f>_xll.BDH("NBIX US Equity","TOTAL_DEBT_TO_EBIT","FQ4 2021","FQ4 2021","Currency=USD","Period=FQ","BEST_FPERIOD_OVERRIDE=FQ","FILING_STATUS=MR","FA_ADJUSTED=GAAP","Sort=A","Dates=H","DateFormat=P","Fill=—","Direction=H","UseDPDF=Y")</f>
        <v>4.4576000000000002</v>
      </c>
      <c r="P15" s="14">
        <f>_xll.BDH("NBIX US Equity","TOTAL_DEBT_TO_EBIT","FQ1 2022","FQ1 2022","Currency=USD","Period=FQ","BEST_FPERIOD_OVERRIDE=FQ","FILING_STATUS=MR","FA_ADJUSTED=GAAP","Sort=A","Dates=H","DateFormat=P","Fill=—","Direction=H","UseDPDF=Y")</f>
        <v>6.7084999999999999</v>
      </c>
      <c r="Q15" s="14">
        <f>_xll.BDH("NBIX US Equity","TOTAL_DEBT_TO_EBIT","FQ2 2022","FQ2 2022","Currency=USD","Period=FQ","BEST_FPERIOD_OVERRIDE=FQ","FILING_STATUS=MR","FA_ADJUSTED=GAAP","Sort=A","Dates=H","DateFormat=P","Fill=—","Direction=H","UseDPDF=Y")</f>
        <v>4.3288000000000002</v>
      </c>
      <c r="R15" s="14">
        <f>_xll.BDH("NBIX US Equity","TOTAL_DEBT_TO_EBIT","FQ3 2022","FQ3 2022","Currency=USD","Period=FQ","BEST_FPERIOD_OVERRIDE=FQ","FILING_STATUS=MR","FA_ADJUSTED=GAAP","Sort=A","Dates=H","DateFormat=P","Fill=—","Direction=H","UseDPDF=Y")</f>
        <v>2.5901000000000001</v>
      </c>
      <c r="S15" s="14">
        <f>_xll.BDH("NBIX US Equity","TOTAL_DEBT_TO_EBIT","FQ4 2022","FQ4 2022","Currency=USD","Period=FQ","BEST_FPERIOD_OVERRIDE=FQ","FILING_STATUS=MR","FA_ADJUSTED=GAAP","Sort=A","Dates=H","DateFormat=P","Fill=—","Direction=H","UseDPDF=Y")</f>
        <v>1.0558000000000001</v>
      </c>
      <c r="T15" s="14">
        <f>_xll.BDH("NBIX US Equity","TOTAL_DEBT_TO_EBIT","FQ1 2023","FQ1 2023","Currency=USD","Period=FQ","BEST_FPERIOD_OVERRIDE=FQ","FILING_STATUS=MR","FA_ADJUSTED=GAAP","Sort=A","Dates=H","DateFormat=P","Fill=—","Direction=H","UseDPDF=Y")</f>
        <v>1.9734</v>
      </c>
      <c r="U15" s="14">
        <f>_xll.BDH("NBIX US Equity","TOTAL_DEBT_TO_EBIT","FQ2 2023","FQ2 2023","Currency=USD","Period=FQ","BEST_FPERIOD_OVERRIDE=FQ","FILING_STATUS=MR","FA_ADJUSTED=GAAP","Sort=A","Dates=H","DateFormat=P","Fill=—","Direction=H","UseDPDF=Y")</f>
        <v>1.8360000000000001</v>
      </c>
      <c r="V15" s="14">
        <f>_xll.BDH("NBIX US Equity","TOTAL_DEBT_TO_EBIT","FQ3 2023","FQ3 2023","Currency=USD","Period=FQ","BEST_FPERIOD_OVERRIDE=FQ","FILING_STATUS=MR","FA_ADJUSTED=GAAP","Sort=A","Dates=H","DateFormat=P","Fill=—","Direction=H","UseDPDF=Y")</f>
        <v>1.3411999999999999</v>
      </c>
      <c r="W15" s="14">
        <f>_xll.BDH("NBIX US Equity","TOTAL_DEBT_TO_EBIT","FQ4 2023","FQ4 2023","Currency=USD","Period=FQ","BEST_FPERIOD_OVERRIDE=FQ","FILING_STATUS=MR","FA_ADJUSTED=GAAP","Sort=A","Dates=H","DateFormat=P","Fill=—","Direction=H","UseDPDF=Y")</f>
        <v>1.7887999999999999</v>
      </c>
      <c r="X15" s="14">
        <f>_xll.BDH("NBIX US Equity","TOTAL_DEBT_TO_EBIT","FQ1 2024","FQ1 2024","Currency=USD","Period=FQ","BEST_FPERIOD_OVERRIDE=FQ","FILING_STATUS=MR","FA_ADJUSTED=GAAP","Sort=A","Dates=H","DateFormat=P","Fill=—","Direction=H","UseDPDF=Y")</f>
        <v>0.86760000000000004</v>
      </c>
      <c r="Y15" s="14">
        <f>_xll.BDH("NBIX US Equity","TOTAL_DEBT_TO_EBIT","FQ2 2024","FQ2 2024","Currency=USD","Period=FQ","BEST_FPERIOD_OVERRIDE=FQ","FILING_STATUS=MR","FA_ADJUSTED=GAAP","Sort=A","Dates=H","DateFormat=P","Fill=—","Direction=H","UseDPDF=Y")</f>
        <v>0.53269999999999995</v>
      </c>
      <c r="Z15" s="14">
        <f>_xll.BDH("NBIX US Equity","TOTAL_DEBT_TO_EBIT","FQ3 2024","FQ3 2024","Currency=USD","Period=FQ","BEST_FPERIOD_OVERRIDE=FQ","FILING_STATUS=MR","FA_ADJUSTED=GAAP","Sort=A","Dates=H","DateFormat=P","Fill=—","Direction=H","UseDPDF=Y")</f>
        <v>0.48330000000000001</v>
      </c>
      <c r="AA15" s="14">
        <f>_xll.BDH("NBIX US Equity","TOTAL_DEBT_TO_EBIT","FQ4 2024","FQ4 2024","Currency=USD","Period=FQ","BEST_FPERIOD_OVERRIDE=FQ","FILING_STATUS=MR","FA_ADJUSTED=GAAP","Sort=A","Dates=H","DateFormat=P","Fill=—","Direction=H","UseDPDF=Y")</f>
        <v>0.84560000000000002</v>
      </c>
    </row>
    <row r="16" spans="1:27" x14ac:dyDescent="0.25">
      <c r="A16" s="10" t="s">
        <v>1381</v>
      </c>
      <c r="B16" s="10" t="s">
        <v>1382</v>
      </c>
      <c r="C16" s="14">
        <f>_xll.BDH("NBIX US Equity","NET_DEBT_TO_EBIT","FQ4 2018","FQ4 2018","Currency=USD","Period=FQ","BEST_FPERIOD_OVERRIDE=FQ","FILING_STATUS=MR","FA_ADJUSTED=GAAP","Sort=A","Dates=H","DateFormat=P","Fill=—","Direction=H","UseDPDF=Y")</f>
        <v>-7.1124999999999998</v>
      </c>
      <c r="D16" s="14" t="str">
        <f>_xll.BDH("NBIX US Equity","NET_DEBT_TO_EBIT","FQ1 2019","FQ1 2019","Currency=USD","Period=FQ","BEST_FPERIOD_OVERRIDE=FQ","FILING_STATUS=MR","FA_ADJUSTED=GAAP","Sort=A","Dates=H","DateFormat=P","Fill=—","Direction=H","UseDPDF=Y")</f>
        <v>—</v>
      </c>
      <c r="E16" s="14">
        <f>_xll.BDH("NBIX US Equity","NET_DEBT_TO_EBIT","FQ2 2019","FQ2 2019","Currency=USD","Period=FQ","BEST_FPERIOD_OVERRIDE=FQ","FILING_STATUS=MR","FA_ADJUSTED=GAAP","Sort=A","Dates=H","DateFormat=P","Fill=—","Direction=H","UseDPDF=Y")</f>
        <v>-10.575799999999999</v>
      </c>
      <c r="F16" s="14">
        <f>_xll.BDH("NBIX US Equity","NET_DEBT_TO_EBIT","FQ3 2019","FQ3 2019","Currency=USD","Period=FQ","BEST_FPERIOD_OVERRIDE=FQ","FILING_STATUS=MR","FA_ADJUSTED=GAAP","Sort=A","Dates=H","DateFormat=P","Fill=—","Direction=H","UseDPDF=Y")</f>
        <v>-3.6760999999999999</v>
      </c>
      <c r="G16" s="14">
        <f>_xll.BDH("NBIX US Equity","NET_DEBT_TO_EBIT","FQ4 2019","FQ4 2019","Currency=USD","Period=FQ","BEST_FPERIOD_OVERRIDE=FQ","FILING_STATUS=MR","FA_ADJUSTED=GAAP","Sort=A","Dates=H","DateFormat=P","Fill=—","Direction=H","UseDPDF=Y")</f>
        <v>-2.1623000000000001</v>
      </c>
      <c r="H16" s="14">
        <f>_xll.BDH("NBIX US Equity","NET_DEBT_TO_EBIT","FQ1 2020","FQ1 2020","Currency=USD","Period=FQ","BEST_FPERIOD_OVERRIDE=FQ","FILING_STATUS=MR","FA_ADJUSTED=GAAP","Sort=A","Dates=H","DateFormat=P","Fill=—","Direction=H","UseDPDF=Y")</f>
        <v>-1.1095999999999999</v>
      </c>
      <c r="I16" s="14">
        <f>_xll.BDH("NBIX US Equity","NET_DEBT_TO_EBIT","FQ2 2020","FQ2 2020","Currency=USD","Period=FQ","BEST_FPERIOD_OVERRIDE=FQ","FILING_STATUS=MR","FA_ADJUSTED=GAAP","Sort=A","Dates=H","DateFormat=P","Fill=—","Direction=H","UseDPDF=Y")</f>
        <v>-1.5571999999999999</v>
      </c>
      <c r="J16" s="14">
        <f>_xll.BDH("NBIX US Equity","NET_DEBT_TO_EBIT","FQ3 2020","FQ3 2020","Currency=USD","Period=FQ","BEST_FPERIOD_OVERRIDE=FQ","FILING_STATUS=MR","FA_ADJUSTED=GAAP","Sort=A","Dates=H","DateFormat=P","Fill=—","Direction=H","UseDPDF=Y")</f>
        <v>-2.9373</v>
      </c>
      <c r="K16" s="14">
        <f>_xll.BDH("NBIX US Equity","NET_DEBT_TO_EBIT","FQ4 2020","FQ4 2020","Currency=USD","Period=FQ","BEST_FPERIOD_OVERRIDE=FQ","FILING_STATUS=MR","FA_ADJUSTED=GAAP","Sort=A","Dates=H","DateFormat=P","Fill=—","Direction=H","UseDPDF=Y")</f>
        <v>-2.2461000000000002</v>
      </c>
      <c r="L16" s="14">
        <f>_xll.BDH("NBIX US Equity","NET_DEBT_TO_EBIT","FQ1 2021","FQ1 2021","Currency=USD","Period=FQ","BEST_FPERIOD_OVERRIDE=FQ","FILING_STATUS=MR","FA_ADJUSTED=GAAP","Sort=A","Dates=H","DateFormat=P","Fill=—","Direction=H","UseDPDF=Y")</f>
        <v>-3.0598999999999998</v>
      </c>
      <c r="M16" s="14">
        <f>_xll.BDH("NBIX US Equity","NET_DEBT_TO_EBIT","FQ2 2021","FQ2 2021","Currency=USD","Period=FQ","BEST_FPERIOD_OVERRIDE=FQ","FILING_STATUS=MR","FA_ADJUSTED=GAAP","Sort=A","Dates=H","DateFormat=P","Fill=—","Direction=H","UseDPDF=Y")</f>
        <v>-3.4051</v>
      </c>
      <c r="N16" s="14">
        <f>_xll.BDH("NBIX US Equity","NET_DEBT_TO_EBIT","FQ3 2021","FQ3 2021","Currency=USD","Period=FQ","BEST_FPERIOD_OVERRIDE=FQ","FILING_STATUS=MR","FA_ADJUSTED=GAAP","Sort=A","Dates=H","DateFormat=P","Fill=—","Direction=H","UseDPDF=Y")</f>
        <v>-1.4457</v>
      </c>
      <c r="O16" s="14">
        <f>_xll.BDH("NBIX US Equity","NET_DEBT_TO_EBIT","FQ4 2021","FQ4 2021","Currency=USD","Period=FQ","BEST_FPERIOD_OVERRIDE=FQ","FILING_STATUS=MR","FA_ADJUSTED=GAAP","Sort=A","Dates=H","DateFormat=P","Fill=—","Direction=H","UseDPDF=Y")</f>
        <v>-2.4820000000000002</v>
      </c>
      <c r="P16" s="14">
        <f>_xll.BDH("NBIX US Equity","NET_DEBT_TO_EBIT","FQ1 2022","FQ1 2022","Currency=USD","Period=FQ","BEST_FPERIOD_OVERRIDE=FQ","FILING_STATUS=MR","FA_ADJUSTED=GAAP","Sort=A","Dates=H","DateFormat=P","Fill=—","Direction=H","UseDPDF=Y")</f>
        <v>-2.2645</v>
      </c>
      <c r="Q16" s="14">
        <f>_xll.BDH("NBIX US Equity","NET_DEBT_TO_EBIT","FQ2 2022","FQ2 2022","Currency=USD","Period=FQ","BEST_FPERIOD_OVERRIDE=FQ","FILING_STATUS=MR","FA_ADJUSTED=GAAP","Sort=A","Dates=H","DateFormat=P","Fill=—","Direction=H","UseDPDF=Y")</f>
        <v>-5.4939</v>
      </c>
      <c r="R16" s="14">
        <f>_xll.BDH("NBIX US Equity","NET_DEBT_TO_EBIT","FQ3 2022","FQ3 2022","Currency=USD","Period=FQ","BEST_FPERIOD_OVERRIDE=FQ","FILING_STATUS=MR","FA_ADJUSTED=GAAP","Sort=A","Dates=H","DateFormat=P","Fill=—","Direction=H","UseDPDF=Y")</f>
        <v>-4.7237</v>
      </c>
      <c r="S16" s="14">
        <f>_xll.BDH("NBIX US Equity","NET_DEBT_TO_EBIT","FQ4 2022","FQ4 2022","Currency=USD","Period=FQ","BEST_FPERIOD_OVERRIDE=FQ","FILING_STATUS=MR","FA_ADJUSTED=GAAP","Sort=A","Dates=H","DateFormat=P","Fill=—","Direction=H","UseDPDF=Y")</f>
        <v>-2.9173</v>
      </c>
      <c r="T16" s="14">
        <f>_xll.BDH("NBIX US Equity","NET_DEBT_TO_EBIT","FQ1 2023","FQ1 2023","Currency=USD","Period=FQ","BEST_FPERIOD_OVERRIDE=FQ","FILING_STATUS=MR","FA_ADJUSTED=GAAP","Sort=A","Dates=H","DateFormat=P","Fill=—","Direction=H","UseDPDF=Y")</f>
        <v>-4.8193000000000001</v>
      </c>
      <c r="U16" s="14">
        <f>_xll.BDH("NBIX US Equity","NET_DEBT_TO_EBIT","FQ2 2023","FQ2 2023","Currency=USD","Period=FQ","BEST_FPERIOD_OVERRIDE=FQ","FILING_STATUS=MR","FA_ADJUSTED=GAAP","Sort=A","Dates=H","DateFormat=P","Fill=—","Direction=H","UseDPDF=Y")</f>
        <v>-4.6494</v>
      </c>
      <c r="V16" s="14">
        <f>_xll.BDH("NBIX US Equity","NET_DEBT_TO_EBIT","FQ3 2023","FQ3 2023","Currency=USD","Period=FQ","BEST_FPERIOD_OVERRIDE=FQ","FILING_STATUS=MR","FA_ADJUSTED=GAAP","Sort=A","Dates=H","DateFormat=P","Fill=—","Direction=H","UseDPDF=Y")</f>
        <v>-4.0270000000000001</v>
      </c>
      <c r="W16" s="14">
        <f>_xll.BDH("NBIX US Equity","NET_DEBT_TO_EBIT","FQ4 2023","FQ4 2023","Currency=USD","Period=FQ","BEST_FPERIOD_OVERRIDE=FQ","FILING_STATUS=MR","FA_ADJUSTED=GAAP","Sort=A","Dates=H","DateFormat=P","Fill=—","Direction=H","UseDPDF=Y")</f>
        <v>-2.2193000000000001</v>
      </c>
      <c r="X16" s="14">
        <f>_xll.BDH("NBIX US Equity","NET_DEBT_TO_EBIT","FQ1 2024","FQ1 2024","Currency=USD","Period=FQ","BEST_FPERIOD_OVERRIDE=FQ","FILING_STATUS=MR","FA_ADJUSTED=GAAP","Sort=A","Dates=H","DateFormat=P","Fill=—","Direction=H","UseDPDF=Y")</f>
        <v>-1.6899</v>
      </c>
      <c r="Y16" s="14">
        <f>_xll.BDH("NBIX US Equity","NET_DEBT_TO_EBIT","FQ2 2024","FQ2 2024","Currency=USD","Period=FQ","BEST_FPERIOD_OVERRIDE=FQ","FILING_STATUS=MR","FA_ADJUSTED=GAAP","Sort=A","Dates=H","DateFormat=P","Fill=—","Direction=H","UseDPDF=Y")</f>
        <v>-1.3651</v>
      </c>
      <c r="Z16" s="14">
        <f>_xll.BDH("NBIX US Equity","NET_DEBT_TO_EBIT","FQ3 2024","FQ3 2024","Currency=USD","Period=FQ","BEST_FPERIOD_OVERRIDE=FQ","FILING_STATUS=MR","FA_ADJUSTED=GAAP","Sort=A","Dates=H","DateFormat=P","Fill=—","Direction=H","UseDPDF=Y")</f>
        <v>-1.5903</v>
      </c>
      <c r="AA16" s="14">
        <f>_xll.BDH("NBIX US Equity","NET_DEBT_TO_EBIT","FQ4 2024","FQ4 2024","Currency=USD","Period=FQ","BEST_FPERIOD_OVERRIDE=FQ","FILING_STATUS=MR","FA_ADJUSTED=GAAP","Sort=A","Dates=H","DateFormat=P","Fill=—","Direction=H","UseDPDF=Y")</f>
        <v>-0.99009999999999998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1383</v>
      </c>
      <c r="B18" s="10" t="s">
        <v>1384</v>
      </c>
      <c r="C18" s="14">
        <f>_xll.BDH("NBIX US Equity","EBITDA_TO_INTEREST_EXPN","FQ4 2018","FQ4 2018","Currency=USD","Period=FQ","BEST_FPERIOD_OVERRIDE=FQ","FILING_STATUS=MR","FA_ADJUSTED=GAAP","Sort=A","Dates=H","DateFormat=P","Fill=—","Direction=H","UseDPDF=Y")</f>
        <v>2.9815999999999998</v>
      </c>
      <c r="D18" s="14">
        <f>_xll.BDH("NBIX US Equity","EBITDA_TO_INTEREST_EXPN","FQ1 2019","FQ1 2019","Currency=USD","Period=FQ","BEST_FPERIOD_OVERRIDE=FQ","FILING_STATUS=MR","FA_ADJUSTED=GAAP","Sort=A","Dates=H","DateFormat=P","Fill=—","Direction=H","UseDPDF=Y")</f>
        <v>-12.419600000000001</v>
      </c>
      <c r="E18" s="14">
        <f>_xll.BDH("NBIX US Equity","EBITDA_TO_INTEREST_EXPN","FQ2 2019","FQ2 2019","Currency=USD","Period=FQ","BEST_FPERIOD_OVERRIDE=FQ","FILING_STATUS=MR","FA_ADJUSTED=GAAP","Sort=A","Dates=H","DateFormat=P","Fill=—","Direction=H","UseDPDF=Y")</f>
        <v>4.8158000000000003</v>
      </c>
      <c r="F18" s="14">
        <f>_xll.BDH("NBIX US Equity","EBITDA_TO_INTEREST_EXPN","FQ3 2019","FQ3 2019","Currency=USD","Period=FQ","BEST_FPERIOD_OVERRIDE=FQ","FILING_STATUS=MR","FA_ADJUSTED=GAAP","Sort=A","Dates=H","DateFormat=P","Fill=—","Direction=H","UseDPDF=Y")</f>
        <v>11.707800000000001</v>
      </c>
      <c r="G18" s="14">
        <f>_xll.BDH("NBIX US Equity","EBITDA_TO_INTEREST_EXPN","FQ4 2019","FQ4 2019","Currency=USD","Period=FQ","BEST_FPERIOD_OVERRIDE=FQ","FILING_STATUS=MR","FA_ADJUSTED=GAAP","Sort=A","Dates=H","DateFormat=P","Fill=—","Direction=H","UseDPDF=Y")</f>
        <v>6.4682000000000004</v>
      </c>
      <c r="H18" s="14">
        <f>_xll.BDH("NBIX US Equity","EBITDA_TO_INTEREST_EXPN","FQ1 2020","FQ1 2020","Currency=USD","Period=FQ","BEST_FPERIOD_OVERRIDE=FQ","FILING_STATUS=MR","FA_ADJUSTED=GAAP","Sort=A","Dates=H","DateFormat=P","Fill=—","Direction=H","UseDPDF=Y")</f>
        <v>7.7439</v>
      </c>
      <c r="I18" s="14">
        <f>_xll.BDH("NBIX US Equity","EBITDA_TO_INTEREST_EXPN","FQ2 2020","FQ2 2020","Currency=USD","Period=FQ","BEST_FPERIOD_OVERRIDE=FQ","FILING_STATUS=MR","FA_ADJUSTED=GAAP","Sort=A","Dates=H","DateFormat=P","Fill=—","Direction=H","UseDPDF=Y")</f>
        <v>9.7830999999999992</v>
      </c>
      <c r="J18" s="14">
        <f>_xll.BDH("NBIX US Equity","EBITDA_TO_INTEREST_EXPN","FQ3 2020","FQ3 2020","Currency=USD","Period=FQ","BEST_FPERIOD_OVERRIDE=FQ","FILING_STATUS=MR","FA_ADJUSTED=GAAP","Sort=A","Dates=H","DateFormat=P","Fill=—","Direction=H","UseDPDF=Y")</f>
        <v>-4.6706000000000003</v>
      </c>
      <c r="K18" s="14">
        <f>_xll.BDH("NBIX US Equity","EBITDA_TO_INTEREST_EXPN","FQ4 2020","FQ4 2020","Currency=USD","Period=FQ","BEST_FPERIOD_OVERRIDE=FQ","FILING_STATUS=MR","FA_ADJUSTED=GAAP","Sort=A","Dates=H","DateFormat=P","Fill=—","Direction=H","UseDPDF=Y")</f>
        <v>9.8332999999999995</v>
      </c>
      <c r="L18" s="14">
        <f>_xll.BDH("NBIX US Equity","EBITDA_TO_INTEREST_EXPN","FQ1 2021","FQ1 2021","Currency=USD","Period=FQ","BEST_FPERIOD_OVERRIDE=FQ","FILING_STATUS=MR","FA_ADJUSTED=GAAP","Sort=A","Dates=H","DateFormat=P","Fill=—","Direction=H","UseDPDF=Y")</f>
        <v>5.8437000000000001</v>
      </c>
      <c r="M18" s="14">
        <f>_xll.BDH("NBIX US Equity","EBITDA_TO_INTEREST_EXPN","FQ2 2021","FQ2 2021","Currency=USD","Period=FQ","BEST_FPERIOD_OVERRIDE=FQ","FILING_STATUS=MR","FA_ADJUSTED=GAAP","Sort=A","Dates=H","DateFormat=P","Fill=—","Direction=H","UseDPDF=Y")</f>
        <v>11.1774</v>
      </c>
      <c r="N18" s="14">
        <f>_xll.BDH("NBIX US Equity","EBITDA_TO_INTEREST_EXPN","FQ3 2021","FQ3 2021","Currency=USD","Period=FQ","BEST_FPERIOD_OVERRIDE=FQ","FILING_STATUS=MR","FA_ADJUSTED=GAAP","Sort=A","Dates=H","DateFormat=P","Fill=—","Direction=H","UseDPDF=Y")</f>
        <v>7.7576000000000001</v>
      </c>
      <c r="O18" s="14">
        <f>_xll.BDH("NBIX US Equity","EBITDA_TO_INTEREST_EXPN","FQ4 2021","FQ4 2021","Currency=USD","Period=FQ","BEST_FPERIOD_OVERRIDE=FQ","FILING_STATUS=MR","FA_ADJUSTED=GAAP","Sort=A","Dates=H","DateFormat=P","Fill=—","Direction=H","UseDPDF=Y")</f>
        <v>-4.4241999999999999</v>
      </c>
      <c r="P18" s="14">
        <f>_xll.BDH("NBIX US Equity","EBITDA_TO_INTEREST_EXPN","FQ1 2022","FQ1 2022","Currency=USD","Period=FQ","BEST_FPERIOD_OVERRIDE=FQ","FILING_STATUS=MR","FA_ADJUSTED=GAAP","Sort=A","Dates=H","DateFormat=P","Fill=—","Direction=H","UseDPDF=Y")</f>
        <v>4.0385</v>
      </c>
      <c r="Q18" s="14">
        <f>_xll.BDH("NBIX US Equity","EBITDA_TO_INTEREST_EXPN","FQ2 2022","FQ2 2022","Currency=USD","Period=FQ","BEST_FPERIOD_OVERRIDE=FQ","FILING_STATUS=MR","FA_ADJUSTED=GAAP","Sort=A","Dates=H","DateFormat=P","Fill=—","Direction=H","UseDPDF=Y")</f>
        <v>28.5</v>
      </c>
      <c r="R18" s="14">
        <f>_xll.BDH("NBIX US Equity","EBITDA_TO_INTEREST_EXPN","FQ3 2022","FQ3 2022","Currency=USD","Period=FQ","BEST_FPERIOD_OVERRIDE=FQ","FILING_STATUS=MR","FA_ADJUSTED=GAAP","Sort=A","Dates=H","DateFormat=P","Fill=—","Direction=H","UseDPDF=Y")</f>
        <v>80.083299999999994</v>
      </c>
      <c r="S18" s="14">
        <f>_xll.BDH("NBIX US Equity","EBITDA_TO_INTEREST_EXPN","FQ4 2022","FQ4 2022","Currency=USD","Period=FQ","BEST_FPERIOD_OVERRIDE=FQ","FILING_STATUS=MR","FA_ADJUSTED=GAAP","Sort=A","Dates=H","DateFormat=P","Fill=—","Direction=H","UseDPDF=Y")</f>
        <v>101.4545</v>
      </c>
      <c r="T18" s="14">
        <f>_xll.BDH("NBIX US Equity","EBITDA_TO_INTEREST_EXPN","FQ1 2023","FQ1 2023","Currency=USD","Period=FQ","BEST_FPERIOD_OVERRIDE=FQ","FILING_STATUS=MR","FA_ADJUSTED=GAAP","Sort=A","Dates=H","DateFormat=P","Fill=—","Direction=H","UseDPDF=Y")</f>
        <v>-95.545500000000004</v>
      </c>
      <c r="U18" s="14">
        <f>_xll.BDH("NBIX US Equity","EBITDA_TO_INTEREST_EXPN","FQ2 2023","FQ2 2023","Currency=USD","Period=FQ","BEST_FPERIOD_OVERRIDE=FQ","FILING_STATUS=MR","FA_ADJUSTED=GAAP","Sort=A","Dates=H","DateFormat=P","Fill=—","Direction=H","UseDPDF=Y")</f>
        <v>63.692300000000003</v>
      </c>
      <c r="V18" s="14">
        <f>_xll.BDH("NBIX US Equity","EBITDA_TO_INTEREST_EXPN","FQ3 2023","FQ3 2023","Currency=USD","Period=FQ","BEST_FPERIOD_OVERRIDE=FQ","FILING_STATUS=MR","FA_ADJUSTED=GAAP","Sort=A","Dates=H","DateFormat=P","Fill=—","Direction=H","UseDPDF=Y")</f>
        <v>136.81819999999999</v>
      </c>
      <c r="W18" s="14">
        <f>_xll.BDH("NBIX US Equity","EBITDA_TO_INTEREST_EXPN","FQ4 2023","FQ4 2023","Currency=USD","Period=FQ","BEST_FPERIOD_OVERRIDE=FQ","FILING_STATUS=MR","FA_ADJUSTED=GAAP","Sort=A","Dates=H","DateFormat=P","Fill=—","Direction=H","UseDPDF=Y")</f>
        <v>145.81819999999999</v>
      </c>
      <c r="X18" s="14">
        <f>_xll.BDH("NBIX US Equity","EBITDA_TO_INTEREST_EXPN","FQ1 2024","FQ1 2024","Currency=USD","Period=FQ","BEST_FPERIOD_OVERRIDE=FQ","FILING_STATUS=MR","FA_ADJUSTED=GAAP","Sort=A","Dates=H","DateFormat=P","Fill=—","Direction=H","UseDPDF=Y")</f>
        <v>104.0909</v>
      </c>
      <c r="Y18" s="14" t="str">
        <f>_xll.BDH("NBIX US Equity","EBITDA_TO_INTEREST_EXPN","FQ2 2024","FQ2 2024","Currency=USD","Period=FQ","BEST_FPERIOD_OVERRIDE=FQ","FILING_STATUS=MR","FA_ADJUSTED=GAAP","Sort=A","Dates=H","DateFormat=P","Fill=—","Direction=H","UseDPDF=Y")</f>
        <v>—</v>
      </c>
      <c r="Z18" s="14" t="str">
        <f>_xll.BDH("NBIX US Equity","EBITDA_TO_INTEREST_EXPN","FQ3 2024","FQ3 2024","Currency=USD","Period=FQ","BEST_FPERIOD_OVERRIDE=FQ","FILING_STATUS=MR","FA_ADJUSTED=GAAP","Sort=A","Dates=H","DateFormat=P","Fill=—","Direction=H","UseDPDF=Y")</f>
        <v>—</v>
      </c>
      <c r="AA18" s="14" t="str">
        <f>_xll.BDH("NBIX US Equity","EBITDA_TO_INTEREST_EXPN","FQ4 2024","FQ4 2024","Currency=USD","Period=FQ","BEST_FPERIOD_OVERRIDE=FQ","FILING_STATUS=MR","FA_ADJUSTED=GAAP","Sort=A","Dates=H","DateFormat=P","Fill=—","Direction=H","UseDPDF=Y")</f>
        <v>—</v>
      </c>
    </row>
    <row r="19" spans="1:27" x14ac:dyDescent="0.25">
      <c r="A19" s="10" t="s">
        <v>1385</v>
      </c>
      <c r="B19" s="10" t="s">
        <v>1386</v>
      </c>
      <c r="C19" s="14">
        <f>_xll.BDH("NBIX US Equity","EBITDA_LES_CAP_EXPEND_TO_INT_EXP","FQ4 2018","FQ4 2018","Currency=USD","Period=FQ","BEST_FPERIOD_OVERRIDE=FQ","FILING_STATUS=MR","FA_ADJUSTED=GAAP","Sort=A","Dates=H","DateFormat=P","Fill=—","Direction=H","UseDPDF=Y")</f>
        <v>2.2073999999999998</v>
      </c>
      <c r="D19" s="14">
        <f>_xll.BDH("NBIX US Equity","EBITDA_LES_CAP_EXPEND_TO_INT_EXP","FQ1 2019","FQ1 2019","Currency=USD","Period=FQ","BEST_FPERIOD_OVERRIDE=FQ","FILING_STATUS=MR","FA_ADJUSTED=GAAP","Sort=A","Dates=H","DateFormat=P","Fill=—","Direction=H","UseDPDF=Y")</f>
        <v>-12.921200000000001</v>
      </c>
      <c r="E19" s="14">
        <f>_xll.BDH("NBIX US Equity","EBITDA_LES_CAP_EXPEND_TO_INT_EXP","FQ2 2019","FQ2 2019","Currency=USD","Period=FQ","BEST_FPERIOD_OVERRIDE=FQ","FILING_STATUS=MR","FA_ADJUSTED=GAAP","Sort=A","Dates=H","DateFormat=P","Fill=—","Direction=H","UseDPDF=Y")</f>
        <v>4.2550999999999997</v>
      </c>
      <c r="F19" s="14">
        <f>_xll.BDH("NBIX US Equity","EBITDA_LES_CAP_EXPEND_TO_INT_EXP","FQ3 2019","FQ3 2019","Currency=USD","Period=FQ","BEST_FPERIOD_OVERRIDE=FQ","FILING_STATUS=MR","FA_ADJUSTED=GAAP","Sort=A","Dates=H","DateFormat=P","Fill=—","Direction=H","UseDPDF=Y")</f>
        <v>11.2669</v>
      </c>
      <c r="G19" s="14">
        <f>_xll.BDH("NBIX US Equity","EBITDA_LES_CAP_EXPEND_TO_INT_EXP","FQ4 2019","FQ4 2019","Currency=USD","Period=FQ","BEST_FPERIOD_OVERRIDE=FQ","FILING_STATUS=MR","FA_ADJUSTED=GAAP","Sort=A","Dates=H","DateFormat=P","Fill=—","Direction=H","UseDPDF=Y")</f>
        <v>6.1300999999999997</v>
      </c>
      <c r="H19" s="14">
        <f>_xll.BDH("NBIX US Equity","EBITDA_LES_CAP_EXPEND_TO_INT_EXP","FQ1 2020","FQ1 2020","Currency=USD","Period=FQ","BEST_FPERIOD_OVERRIDE=FQ","FILING_STATUS=MR","FA_ADJUSTED=GAAP","Sort=A","Dates=H","DateFormat=P","Fill=—","Direction=H","UseDPDF=Y")</f>
        <v>7.5853999999999999</v>
      </c>
      <c r="I19" s="14">
        <f>_xll.BDH("NBIX US Equity","EBITDA_LES_CAP_EXPEND_TO_INT_EXP","FQ2 2020","FQ2 2020","Currency=USD","Period=FQ","BEST_FPERIOD_OVERRIDE=FQ","FILING_STATUS=MR","FA_ADJUSTED=GAAP","Sort=A","Dates=H","DateFormat=P","Fill=—","Direction=H","UseDPDF=Y")</f>
        <v>9.2169000000000008</v>
      </c>
      <c r="J19" s="14">
        <f>_xll.BDH("NBIX US Equity","EBITDA_LES_CAP_EXPEND_TO_INT_EXP","FQ3 2020","FQ3 2020","Currency=USD","Period=FQ","BEST_FPERIOD_OVERRIDE=FQ","FILING_STATUS=MR","FA_ADJUSTED=GAAP","Sort=A","Dates=H","DateFormat=P","Fill=—","Direction=H","UseDPDF=Y")</f>
        <v>-4.7176</v>
      </c>
      <c r="K19" s="14">
        <f>_xll.BDH("NBIX US Equity","EBITDA_LES_CAP_EXPEND_TO_INT_EXP","FQ4 2020","FQ4 2020","Currency=USD","Period=FQ","BEST_FPERIOD_OVERRIDE=FQ","FILING_STATUS=MR","FA_ADJUSTED=GAAP","Sort=A","Dates=H","DateFormat=P","Fill=—","Direction=H","UseDPDF=Y")</f>
        <v>9.2563999999999993</v>
      </c>
      <c r="L19" s="14">
        <f>_xll.BDH("NBIX US Equity","EBITDA_LES_CAP_EXPEND_TO_INT_EXP","FQ1 2021","FQ1 2021","Currency=USD","Period=FQ","BEST_FPERIOD_OVERRIDE=FQ","FILING_STATUS=MR","FA_ADJUSTED=GAAP","Sort=A","Dates=H","DateFormat=P","Fill=—","Direction=H","UseDPDF=Y")</f>
        <v>5.1406000000000001</v>
      </c>
      <c r="M19" s="14">
        <f>_xll.BDH("NBIX US Equity","EBITDA_LES_CAP_EXPEND_TO_INT_EXP","FQ2 2021","FQ2 2021","Currency=USD","Period=FQ","BEST_FPERIOD_OVERRIDE=FQ","FILING_STATUS=MR","FA_ADJUSTED=GAAP","Sort=A","Dates=H","DateFormat=P","Fill=—","Direction=H","UseDPDF=Y")</f>
        <v>10.4839</v>
      </c>
      <c r="N19" s="14">
        <f>_xll.BDH("NBIX US Equity","EBITDA_LES_CAP_EXPEND_TO_INT_EXP","FQ3 2021","FQ3 2021","Currency=USD","Period=FQ","BEST_FPERIOD_OVERRIDE=FQ","FILING_STATUS=MR","FA_ADJUSTED=GAAP","Sort=A","Dates=H","DateFormat=P","Fill=—","Direction=H","UseDPDF=Y")</f>
        <v>6.8939000000000004</v>
      </c>
      <c r="O19" s="14">
        <f>_xll.BDH("NBIX US Equity","EBITDA_LES_CAP_EXPEND_TO_INT_EXP","FQ4 2021","FQ4 2021","Currency=USD","Period=FQ","BEST_FPERIOD_OVERRIDE=FQ","FILING_STATUS=MR","FA_ADJUSTED=GAAP","Sort=A","Dates=H","DateFormat=P","Fill=—","Direction=H","UseDPDF=Y")</f>
        <v>-5.7727000000000004</v>
      </c>
      <c r="P19" s="14">
        <f>_xll.BDH("NBIX US Equity","EBITDA_LES_CAP_EXPEND_TO_INT_EXP","FQ1 2022","FQ1 2022","Currency=USD","Period=FQ","BEST_FPERIOD_OVERRIDE=FQ","FILING_STATUS=MR","FA_ADJUSTED=GAAP","Sort=A","Dates=H","DateFormat=P","Fill=—","Direction=H","UseDPDF=Y")</f>
        <v>1.1153999999999999</v>
      </c>
      <c r="Q19" s="14">
        <f>_xll.BDH("NBIX US Equity","EBITDA_LES_CAP_EXPEND_TO_INT_EXP","FQ2 2022","FQ2 2022","Currency=USD","Period=FQ","BEST_FPERIOD_OVERRIDE=FQ","FILING_STATUS=MR","FA_ADJUSTED=GAAP","Sort=A","Dates=H","DateFormat=P","Fill=—","Direction=H","UseDPDF=Y")</f>
        <v>24.5</v>
      </c>
      <c r="R19" s="14" t="str">
        <f>_xll.BDH("NBIX US Equity","EBITDA_LES_CAP_EXPEND_TO_INT_EXP","FQ3 2022","FQ3 2022","Currency=USD","Period=FQ","BEST_FPERIOD_OVERRIDE=FQ","FILING_STATUS=MR","FA_ADJUSTED=GAAP","Sort=A","Dates=H","DateFormat=P","Fill=—","Direction=H","UseDPDF=Y")</f>
        <v>—</v>
      </c>
      <c r="S19" s="14">
        <f>_xll.BDH("NBIX US Equity","EBITDA_LES_CAP_EXPEND_TO_INT_EXP","FQ4 2022","FQ4 2022","Currency=USD","Period=FQ","BEST_FPERIOD_OVERRIDE=FQ","FILING_STATUS=MR","FA_ADJUSTED=GAAP","Sort=A","Dates=H","DateFormat=P","Fill=—","Direction=H","UseDPDF=Y")</f>
        <v>99.818200000000004</v>
      </c>
      <c r="T19" s="14">
        <f>_xll.BDH("NBIX US Equity","EBITDA_LES_CAP_EXPEND_TO_INT_EXP","FQ1 2023","FQ1 2023","Currency=USD","Period=FQ","BEST_FPERIOD_OVERRIDE=FQ","FILING_STATUS=MR","FA_ADJUSTED=GAAP","Sort=A","Dates=H","DateFormat=P","Fill=—","Direction=H","UseDPDF=Y")</f>
        <v>-103.2727</v>
      </c>
      <c r="U19" s="14">
        <f>_xll.BDH("NBIX US Equity","EBITDA_LES_CAP_EXPEND_TO_INT_EXP","FQ2 2023","FQ2 2023","Currency=USD","Period=FQ","BEST_FPERIOD_OVERRIDE=FQ","FILING_STATUS=MR","FA_ADJUSTED=GAAP","Sort=A","Dates=H","DateFormat=P","Fill=—","Direction=H","UseDPDF=Y")</f>
        <v>58.461500000000001</v>
      </c>
      <c r="V19" s="14">
        <f>_xll.BDH("NBIX US Equity","EBITDA_LES_CAP_EXPEND_TO_INT_EXP","FQ3 2023","FQ3 2023","Currency=USD","Period=FQ","BEST_FPERIOD_OVERRIDE=FQ","FILING_STATUS=MR","FA_ADJUSTED=GAAP","Sort=A","Dates=H","DateFormat=P","Fill=—","Direction=H","UseDPDF=Y")</f>
        <v>129.9091</v>
      </c>
      <c r="W19" s="14">
        <f>_xll.BDH("NBIX US Equity","EBITDA_LES_CAP_EXPEND_TO_INT_EXP","FQ4 2023","FQ4 2023","Currency=USD","Period=FQ","BEST_FPERIOD_OVERRIDE=FQ","FILING_STATUS=MR","FA_ADJUSTED=GAAP","Sort=A","Dates=H","DateFormat=P","Fill=—","Direction=H","UseDPDF=Y")</f>
        <v>140.9091</v>
      </c>
      <c r="X19" s="14">
        <f>_xll.BDH("NBIX US Equity","EBITDA_LES_CAP_EXPEND_TO_INT_EXP","FQ1 2024","FQ1 2024","Currency=USD","Period=FQ","BEST_FPERIOD_OVERRIDE=FQ","FILING_STATUS=MR","FA_ADJUSTED=GAAP","Sort=A","Dates=H","DateFormat=P","Fill=—","Direction=H","UseDPDF=Y")</f>
        <v>93.909099999999995</v>
      </c>
      <c r="Y19" s="14" t="str">
        <f>_xll.BDH("NBIX US Equity","EBITDA_LES_CAP_EXPEND_TO_INT_EXP","FQ2 2024","FQ2 2024","Currency=USD","Period=FQ","BEST_FPERIOD_OVERRIDE=FQ","FILING_STATUS=MR","FA_ADJUSTED=GAAP","Sort=A","Dates=H","DateFormat=P","Fill=—","Direction=H","UseDPDF=Y")</f>
        <v>—</v>
      </c>
      <c r="Z19" s="14" t="str">
        <f>_xll.BDH("NBIX US Equity","EBITDA_LES_CAP_EXPEND_TO_INT_EXP","FQ3 2024","FQ3 2024","Currency=USD","Period=FQ","BEST_FPERIOD_OVERRIDE=FQ","FILING_STATUS=MR","FA_ADJUSTED=GAAP","Sort=A","Dates=H","DateFormat=P","Fill=—","Direction=H","UseDPDF=Y")</f>
        <v>—</v>
      </c>
      <c r="AA19" s="14" t="str">
        <f>_xll.BDH("NBIX US Equity","EBITDA_LES_CAP_EXPEND_TO_INT_EXP","FQ4 2024","FQ4 2024","Currency=USD","Period=FQ","BEST_FPERIOD_OVERRIDE=FQ","FILING_STATUS=MR","FA_ADJUSTED=GAAP","Sort=A","Dates=H","DateFormat=P","Fill=—","Direction=H","UseDPDF=Y")</f>
        <v>—</v>
      </c>
    </row>
    <row r="20" spans="1:27" x14ac:dyDescent="0.25">
      <c r="A20" s="10" t="s">
        <v>1387</v>
      </c>
      <c r="B20" s="10" t="s">
        <v>1388</v>
      </c>
      <c r="C20" s="14">
        <f>_xll.BDH("NBIX US Equity","OPER_INC_TO_INT_EXP","FQ4 2018","FQ4 2018","Currency=USD","Period=FQ","BEST_FPERIOD_OVERRIDE=FQ","FILING_STATUS=MR","FA_ADJUSTED=GAAP","Sort=A","Dates=H","DateFormat=P","Fill=—","Direction=H","UseDPDF=Y")</f>
        <v>2.8172999999999999</v>
      </c>
      <c r="D20" s="14">
        <f>_xll.BDH("NBIX US Equity","OPER_INC_TO_INT_EXP","FQ1 2019","FQ1 2019","Currency=USD","Period=FQ","BEST_FPERIOD_OVERRIDE=FQ","FILING_STATUS=MR","FA_ADJUSTED=GAAP","Sort=A","Dates=H","DateFormat=P","Fill=—","Direction=H","UseDPDF=Y")</f>
        <v>-12.860900000000001</v>
      </c>
      <c r="E20" s="14">
        <f>_xll.BDH("NBIX US Equity","OPER_INC_TO_INT_EXP","FQ2 2019","FQ2 2019","Currency=USD","Period=FQ","BEST_FPERIOD_OVERRIDE=FQ","FILING_STATUS=MR","FA_ADJUSTED=GAAP","Sort=A","Dates=H","DateFormat=P","Fill=—","Direction=H","UseDPDF=Y")</f>
        <v>4.3391000000000002</v>
      </c>
      <c r="F20" s="14">
        <f>_xll.BDH("NBIX US Equity","OPER_INC_TO_INT_EXP","FQ3 2019","FQ3 2019","Currency=USD","Period=FQ","BEST_FPERIOD_OVERRIDE=FQ","FILING_STATUS=MR","FA_ADJUSTED=GAAP","Sort=A","Dates=H","DateFormat=P","Fill=—","Direction=H","UseDPDF=Y")</f>
        <v>11.209</v>
      </c>
      <c r="G20" s="14">
        <f>_xll.BDH("NBIX US Equity","OPER_INC_TO_INT_EXP","FQ4 2019","FQ4 2019","Currency=USD","Period=FQ","BEST_FPERIOD_OVERRIDE=FQ","FILING_STATUS=MR","FA_ADJUSTED=GAAP","Sort=A","Dates=H","DateFormat=P","Fill=—","Direction=H","UseDPDF=Y")</f>
        <v>5.9512</v>
      </c>
      <c r="H20" s="14">
        <f>_xll.BDH("NBIX US Equity","OPER_INC_TO_INT_EXP","FQ1 2020","FQ1 2020","Currency=USD","Period=FQ","BEST_FPERIOD_OVERRIDE=FQ","FILING_STATUS=MR","FA_ADJUSTED=GAAP","Sort=A","Dates=H","DateFormat=P","Fill=—","Direction=H","UseDPDF=Y")</f>
        <v>7.1829000000000001</v>
      </c>
      <c r="I20" s="14">
        <f>_xll.BDH("NBIX US Equity","OPER_INC_TO_INT_EXP","FQ2 2020","FQ2 2020","Currency=USD","Period=FQ","BEST_FPERIOD_OVERRIDE=FQ","FILING_STATUS=MR","FA_ADJUSTED=GAAP","Sort=A","Dates=H","DateFormat=P","Fill=—","Direction=H","UseDPDF=Y")</f>
        <v>9.2288999999999994</v>
      </c>
      <c r="J20" s="14">
        <f>_xll.BDH("NBIX US Equity","OPER_INC_TO_INT_EXP","FQ3 2020","FQ3 2020","Currency=USD","Period=FQ","BEST_FPERIOD_OVERRIDE=FQ","FILING_STATUS=MR","FA_ADJUSTED=GAAP","Sort=A","Dates=H","DateFormat=P","Fill=—","Direction=H","UseDPDF=Y")</f>
        <v>-5.2118000000000002</v>
      </c>
      <c r="K20" s="14">
        <f>_xll.BDH("NBIX US Equity","OPER_INC_TO_INT_EXP","FQ4 2020","FQ4 2020","Currency=USD","Period=FQ","BEST_FPERIOD_OVERRIDE=FQ","FILING_STATUS=MR","FA_ADJUSTED=GAAP","Sort=A","Dates=H","DateFormat=P","Fill=—","Direction=H","UseDPDF=Y")</f>
        <v>9.2050999999999998</v>
      </c>
      <c r="L20" s="14">
        <f>_xll.BDH("NBIX US Equity","OPER_INC_TO_INT_EXP","FQ1 2021","FQ1 2021","Currency=USD","Period=FQ","BEST_FPERIOD_OVERRIDE=FQ","FILING_STATUS=MR","FA_ADJUSTED=GAAP","Sort=A","Dates=H","DateFormat=P","Fill=—","Direction=H","UseDPDF=Y")</f>
        <v>4.9218999999999999</v>
      </c>
      <c r="M20" s="14">
        <f>_xll.BDH("NBIX US Equity","OPER_INC_TO_INT_EXP","FQ2 2021","FQ2 2021","Currency=USD","Period=FQ","BEST_FPERIOD_OVERRIDE=FQ","FILING_STATUS=MR","FA_ADJUSTED=GAAP","Sort=A","Dates=H","DateFormat=P","Fill=—","Direction=H","UseDPDF=Y")</f>
        <v>10.129</v>
      </c>
      <c r="N20" s="14">
        <f>_xll.BDH("NBIX US Equity","OPER_INC_TO_INT_EXP","FQ3 2021","FQ3 2021","Currency=USD","Period=FQ","BEST_FPERIOD_OVERRIDE=FQ","FILING_STATUS=MR","FA_ADJUSTED=GAAP","Sort=A","Dates=H","DateFormat=P","Fill=—","Direction=H","UseDPDF=Y")</f>
        <v>6.7423999999999999</v>
      </c>
      <c r="O20" s="14">
        <f>_xll.BDH("NBIX US Equity","OPER_INC_TO_INT_EXP","FQ4 2021","FQ4 2021","Currency=USD","Period=FQ","BEST_FPERIOD_OVERRIDE=FQ","FILING_STATUS=MR","FA_ADJUSTED=GAAP","Sort=A","Dates=H","DateFormat=P","Fill=—","Direction=H","UseDPDF=Y")</f>
        <v>-5.5</v>
      </c>
      <c r="P20" s="14">
        <f>_xll.BDH("NBIX US Equity","OPER_INC_TO_INT_EXP","FQ1 2022","FQ1 2022","Currency=USD","Period=FQ","BEST_FPERIOD_OVERRIDE=FQ","FILING_STATUS=MR","FA_ADJUSTED=GAAP","Sort=A","Dates=H","DateFormat=P","Fill=—","Direction=H","UseDPDF=Y")</f>
        <v>1.1922999999999999</v>
      </c>
      <c r="Q20" s="14">
        <f>_xll.BDH("NBIX US Equity","OPER_INC_TO_INT_EXP","FQ2 2022","FQ2 2022","Currency=USD","Period=FQ","BEST_FPERIOD_OVERRIDE=FQ","FILING_STATUS=MR","FA_ADJUSTED=GAAP","Sort=A","Dates=H","DateFormat=P","Fill=—","Direction=H","UseDPDF=Y")</f>
        <v>24.863600000000002</v>
      </c>
      <c r="R20" s="14">
        <f>_xll.BDH("NBIX US Equity","OPER_INC_TO_INT_EXP","FQ3 2022","FQ3 2022","Currency=USD","Period=FQ","BEST_FPERIOD_OVERRIDE=FQ","FILING_STATUS=MR","FA_ADJUSTED=GAAP","Sort=A","Dates=H","DateFormat=P","Fill=—","Direction=H","UseDPDF=Y")</f>
        <v>73.166700000000006</v>
      </c>
      <c r="S20" s="14">
        <f>_xll.BDH("NBIX US Equity","OPER_INC_TO_INT_EXP","FQ4 2022","FQ4 2022","Currency=USD","Period=FQ","BEST_FPERIOD_OVERRIDE=FQ","FILING_STATUS=MR","FA_ADJUSTED=GAAP","Sort=A","Dates=H","DateFormat=P","Fill=—","Direction=H","UseDPDF=Y")</f>
        <v>94</v>
      </c>
      <c r="T20" s="14">
        <f>_xll.BDH("NBIX US Equity","OPER_INC_TO_INT_EXP","FQ1 2023","FQ1 2023","Currency=USD","Period=FQ","BEST_FPERIOD_OVERRIDE=FQ","FILING_STATUS=MR","FA_ADJUSTED=GAAP","Sort=A","Dates=H","DateFormat=P","Fill=—","Direction=H","UseDPDF=Y")</f>
        <v>-103.8182</v>
      </c>
      <c r="U20" s="14">
        <f>_xll.BDH("NBIX US Equity","OPER_INC_TO_INT_EXP","FQ2 2023","FQ2 2023","Currency=USD","Period=FQ","BEST_FPERIOD_OVERRIDE=FQ","FILING_STATUS=MR","FA_ADJUSTED=GAAP","Sort=A","Dates=H","DateFormat=P","Fill=—","Direction=H","UseDPDF=Y")</f>
        <v>56.615400000000001</v>
      </c>
      <c r="V20" s="14">
        <f>_xll.BDH("NBIX US Equity","OPER_INC_TO_INT_EXP","FQ3 2023","FQ3 2023","Currency=USD","Period=FQ","BEST_FPERIOD_OVERRIDE=FQ","FILING_STATUS=MR","FA_ADJUSTED=GAAP","Sort=A","Dates=H","DateFormat=P","Fill=—","Direction=H","UseDPDF=Y")</f>
        <v>128.36359999999999</v>
      </c>
      <c r="W20" s="14">
        <f>_xll.BDH("NBIX US Equity","OPER_INC_TO_INT_EXP","FQ4 2023","FQ4 2023","Currency=USD","Period=FQ","BEST_FPERIOD_OVERRIDE=FQ","FILING_STATUS=MR","FA_ADJUSTED=GAAP","Sort=A","Dates=H","DateFormat=P","Fill=—","Direction=H","UseDPDF=Y")</f>
        <v>136.63640000000001</v>
      </c>
      <c r="X20" s="14">
        <f>_xll.BDH("NBIX US Equity","OPER_INC_TO_INT_EXP","FQ1 2024","FQ1 2024","Currency=USD","Period=FQ","BEST_FPERIOD_OVERRIDE=FQ","FILING_STATUS=MR","FA_ADJUSTED=GAAP","Sort=A","Dates=H","DateFormat=P","Fill=—","Direction=H","UseDPDF=Y")</f>
        <v>90.2727</v>
      </c>
      <c r="Y20" s="14" t="str">
        <f>_xll.BDH("NBIX US Equity","OPER_INC_TO_INT_EXP","FQ2 2024","FQ2 2024","Currency=USD","Period=FQ","BEST_FPERIOD_OVERRIDE=FQ","FILING_STATUS=MR","FA_ADJUSTED=GAAP","Sort=A","Dates=H","DateFormat=P","Fill=—","Direction=H","UseDPDF=Y")</f>
        <v>—</v>
      </c>
      <c r="Z20" s="14" t="str">
        <f>_xll.BDH("NBIX US Equity","OPER_INC_TO_INT_EXP","FQ3 2024","FQ3 2024","Currency=USD","Period=FQ","BEST_FPERIOD_OVERRIDE=FQ","FILING_STATUS=MR","FA_ADJUSTED=GAAP","Sort=A","Dates=H","DateFormat=P","Fill=—","Direction=H","UseDPDF=Y")</f>
        <v>—</v>
      </c>
      <c r="AA20" s="14" t="str">
        <f>_xll.BDH("NBIX US Equity","OPER_INC_TO_INT_EXP","FQ4 2024","FQ4 2024","Currency=USD","Period=FQ","BEST_FPERIOD_OVERRIDE=FQ","FILING_STATUS=MR","FA_ADJUSTED=GAAP","Sort=A","Dates=H","DateFormat=P","Fill=—","Direction=H","UseDPDF=Y")</f>
        <v>—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446</v>
      </c>
      <c r="B23" s="10" t="s">
        <v>337</v>
      </c>
      <c r="C23" s="13">
        <f>_xll.BDH("NBIX US Equity","IS_INT_EXPENSE","FQ4 2018","FQ4 2018","Currency=USD","Period=FQ","BEST_FPERIOD_OVERRIDE=FQ","FILING_STATUS=MR","SCALING_FORMAT=MLN","FA_ADJUSTED=GAAP","Sort=A","Dates=H","DateFormat=P","Fill=—","Direction=H","UseDPDF=Y")</f>
        <v>7.7629999999999999</v>
      </c>
      <c r="D23" s="13">
        <f>_xll.BDH("NBIX US Equity","IS_INT_EXPENSE","FQ1 2019","FQ1 2019","Currency=USD","Period=FQ","BEST_FPERIOD_OVERRIDE=FQ","FILING_STATUS=MR","SCALING_FORMAT=MLN","FA_ADJUSTED=GAAP","Sort=A","Dates=H","DateFormat=P","Fill=—","Direction=H","UseDPDF=Y")</f>
        <v>7.8529999999999998</v>
      </c>
      <c r="E23" s="13">
        <f>_xll.BDH("NBIX US Equity","IS_INT_EXPENSE","FQ2 2019","FQ2 2019","Currency=USD","Period=FQ","BEST_FPERIOD_OVERRIDE=FQ","FILING_STATUS=MR","SCALING_FORMAT=MLN","FA_ADJUSTED=GAAP","Sort=A","Dates=H","DateFormat=P","Fill=—","Direction=H","UseDPDF=Y")</f>
        <v>7.9420000000000002</v>
      </c>
      <c r="F23" s="13">
        <f>_xll.BDH("NBIX US Equity","IS_INT_EXPENSE","FQ3 2019","FQ3 2019","Currency=USD","Period=FQ","BEST_FPERIOD_OVERRIDE=FQ","FILING_STATUS=MR","SCALING_FORMAT=MLN","FA_ADJUSTED=GAAP","Sort=A","Dates=H","DateFormat=P","Fill=—","Direction=H","UseDPDF=Y")</f>
        <v>8.0380000000000003</v>
      </c>
      <c r="G23" s="13">
        <f>_xll.BDH("NBIX US Equity","IS_INT_EXPENSE","FQ4 2019","FQ4 2019","Currency=USD","Period=FQ","BEST_FPERIOD_OVERRIDE=FQ","FILING_STATUS=MR","SCALING_FORMAT=MLN","FA_ADJUSTED=GAAP","Sort=A","Dates=H","DateFormat=P","Fill=—","Direction=H","UseDPDF=Y")</f>
        <v>8.1999999999999993</v>
      </c>
      <c r="H23" s="13">
        <f>_xll.BDH("NBIX US Equity","IS_INT_EXPENSE","FQ1 2020","FQ1 2020","Currency=USD","Period=FQ","BEST_FPERIOD_OVERRIDE=FQ","FILING_STATUS=MR","SCALING_FORMAT=MLN","FA_ADJUSTED=GAAP","Sort=A","Dates=H","DateFormat=P","Fill=—","Direction=H","UseDPDF=Y")</f>
        <v>8.1999999999999993</v>
      </c>
      <c r="I23" s="13">
        <f>_xll.BDH("NBIX US Equity","IS_INT_EXPENSE","FQ2 2020","FQ2 2020","Currency=USD","Period=FQ","BEST_FPERIOD_OVERRIDE=FQ","FILING_STATUS=MR","SCALING_FORMAT=MLN","FA_ADJUSTED=GAAP","Sort=A","Dates=H","DateFormat=P","Fill=—","Direction=H","UseDPDF=Y")</f>
        <v>8.3000000000000007</v>
      </c>
      <c r="J23" s="13">
        <f>_xll.BDH("NBIX US Equity","IS_INT_EXPENSE","FQ3 2020","FQ3 2020","Currency=USD","Period=FQ","BEST_FPERIOD_OVERRIDE=FQ","FILING_STATUS=MR","SCALING_FORMAT=MLN","FA_ADJUSTED=GAAP","Sort=A","Dates=H","DateFormat=P","Fill=—","Direction=H","UseDPDF=Y")</f>
        <v>8.5</v>
      </c>
      <c r="K23" s="13">
        <f>_xll.BDH("NBIX US Equity","IS_INT_EXPENSE","FQ4 2020","FQ4 2020","Currency=USD","Period=FQ","BEST_FPERIOD_OVERRIDE=FQ","FILING_STATUS=MR","SCALING_FORMAT=MLN","FA_ADJUSTED=GAAP","Sort=A","Dates=H","DateFormat=P","Fill=—","Direction=H","UseDPDF=Y")</f>
        <v>7.8</v>
      </c>
      <c r="L23" s="13">
        <f>_xll.BDH("NBIX US Equity","IS_INT_EXPENSE","FQ1 2021","FQ1 2021","Currency=USD","Period=FQ","BEST_FPERIOD_OVERRIDE=FQ","FILING_STATUS=MR","SCALING_FORMAT=MLN","FA_ADJUSTED=GAAP","Sort=A","Dates=H","DateFormat=P","Fill=—","Direction=H","UseDPDF=Y")</f>
        <v>6.4</v>
      </c>
      <c r="M23" s="13">
        <f>_xll.BDH("NBIX US Equity","IS_INT_EXPENSE","FQ2 2021","FQ2 2021","Currency=USD","Period=FQ","BEST_FPERIOD_OVERRIDE=FQ","FILING_STATUS=MR","SCALING_FORMAT=MLN","FA_ADJUSTED=GAAP","Sort=A","Dates=H","DateFormat=P","Fill=—","Direction=H","UseDPDF=Y")</f>
        <v>6.2</v>
      </c>
      <c r="N23" s="13">
        <f>_xll.BDH("NBIX US Equity","IS_INT_EXPENSE","FQ3 2021","FQ3 2021","Currency=USD","Period=FQ","BEST_FPERIOD_OVERRIDE=FQ","FILING_STATUS=MR","SCALING_FORMAT=MLN","FA_ADJUSTED=GAAP","Sort=A","Dates=H","DateFormat=P","Fill=—","Direction=H","UseDPDF=Y")</f>
        <v>6.6</v>
      </c>
      <c r="O23" s="13">
        <f>_xll.BDH("NBIX US Equity","IS_INT_EXPENSE","FQ4 2021","FQ4 2021","Currency=USD","Period=FQ","BEST_FPERIOD_OVERRIDE=FQ","FILING_STATUS=MR","SCALING_FORMAT=MLN","FA_ADJUSTED=GAAP","Sort=A","Dates=H","DateFormat=P","Fill=—","Direction=H","UseDPDF=Y")</f>
        <v>6.6</v>
      </c>
      <c r="P23" s="13">
        <f>_xll.BDH("NBIX US Equity","IS_INT_EXPENSE","FQ1 2022","FQ1 2022","Currency=USD","Period=FQ","BEST_FPERIOD_OVERRIDE=FQ","FILING_STATUS=MR","SCALING_FORMAT=MLN","FA_ADJUSTED=GAAP","Sort=A","Dates=H","DateFormat=P","Fill=—","Direction=H","UseDPDF=Y")</f>
        <v>2.6</v>
      </c>
      <c r="Q23" s="13">
        <f>_xll.BDH("NBIX US Equity","IS_INT_EXPENSE","FQ2 2022","FQ2 2022","Currency=USD","Period=FQ","BEST_FPERIOD_OVERRIDE=FQ","FILING_STATUS=MR","SCALING_FORMAT=MLN","FA_ADJUSTED=GAAP","Sort=A","Dates=H","DateFormat=P","Fill=—","Direction=H","UseDPDF=Y")</f>
        <v>2.2000000000000002</v>
      </c>
      <c r="R23" s="13">
        <f>_xll.BDH("NBIX US Equity","IS_INT_EXPENSE","FQ3 2022","FQ3 2022","Currency=USD","Period=FQ","BEST_FPERIOD_OVERRIDE=FQ","FILING_STATUS=MR","SCALING_FORMAT=MLN","FA_ADJUSTED=GAAP","Sort=A","Dates=H","DateFormat=P","Fill=—","Direction=H","UseDPDF=Y")</f>
        <v>1.2</v>
      </c>
      <c r="S23" s="13">
        <f>_xll.BDH("NBIX US Equity","IS_INT_EXPENSE","FQ4 2022","FQ4 2022","Currency=USD","Period=FQ","BEST_FPERIOD_OVERRIDE=FQ","FILING_STATUS=MR","SCALING_FORMAT=MLN","FA_ADJUSTED=GAAP","Sort=A","Dates=H","DateFormat=P","Fill=—","Direction=H","UseDPDF=Y")</f>
        <v>1.1000000000000001</v>
      </c>
      <c r="T23" s="13">
        <f>_xll.BDH("NBIX US Equity","IS_INT_EXPENSE","FQ1 2023","FQ1 2023","Currency=USD","Period=FQ","BEST_FPERIOD_OVERRIDE=FQ","FILING_STATUS=MR","SCALING_FORMAT=MLN","FA_ADJUSTED=GAAP","Sort=A","Dates=H","DateFormat=P","Fill=—","Direction=H","UseDPDF=Y")</f>
        <v>1.1000000000000001</v>
      </c>
      <c r="U23" s="13">
        <f>_xll.BDH("NBIX US Equity","IS_INT_EXPENSE","FQ2 2023","FQ2 2023","Currency=USD","Period=FQ","BEST_FPERIOD_OVERRIDE=FQ","FILING_STATUS=MR","SCALING_FORMAT=MLN","FA_ADJUSTED=GAAP","Sort=A","Dates=H","DateFormat=P","Fill=—","Direction=H","UseDPDF=Y")</f>
        <v>1.3</v>
      </c>
      <c r="V23" s="13">
        <f>_xll.BDH("NBIX US Equity","IS_INT_EXPENSE","FQ3 2023","FQ3 2023","Currency=USD","Period=FQ","BEST_FPERIOD_OVERRIDE=FQ","FILING_STATUS=MR","SCALING_FORMAT=MLN","FA_ADJUSTED=GAAP","Sort=A","Dates=H","DateFormat=P","Fill=—","Direction=H","UseDPDF=Y")</f>
        <v>1.1000000000000001</v>
      </c>
      <c r="W23" s="13">
        <f>_xll.BDH("NBIX US Equity","IS_INT_EXPENSE","FQ4 2023","FQ4 2023","Currency=USD","Period=FQ","BEST_FPERIOD_OVERRIDE=FQ","FILING_STATUS=MR","SCALING_FORMAT=MLN","FA_ADJUSTED=GAAP","Sort=A","Dates=H","DateFormat=P","Fill=—","Direction=H","UseDPDF=Y")</f>
        <v>1.1000000000000001</v>
      </c>
      <c r="X23" s="13">
        <f>_xll.BDH("NBIX US Equity","IS_INT_EXPENSE","FQ1 2024","FQ1 2024","Currency=USD","Period=FQ","BEST_FPERIOD_OVERRIDE=FQ","FILING_STATUS=MR","SCALING_FORMAT=MLN","FA_ADJUSTED=GAAP","Sort=A","Dates=H","DateFormat=P","Fill=—","Direction=H","UseDPDF=Y")</f>
        <v>1.1000000000000001</v>
      </c>
      <c r="Y23" s="13" t="str">
        <f>_xll.BDH("NBIX US Equity","IS_INT_EXPENSE","FQ2 2024","FQ2 2024","Currency=USD","Period=FQ","BEST_FPERIOD_OVERRIDE=FQ","FILING_STATUS=MR","SCALING_FORMAT=MLN","FA_ADJUSTED=GAAP","Sort=A","Dates=H","DateFormat=P","Fill=—","Direction=H","UseDPDF=Y")</f>
        <v>—</v>
      </c>
      <c r="Z23" s="13" t="str">
        <f>_xll.BDH("NBIX US Equity","IS_INT_EXPENSE","FQ3 2024","FQ3 2024","Currency=USD","Period=FQ","BEST_FPERIOD_OVERRIDE=FQ","FILING_STATUS=MR","SCALING_FORMAT=MLN","FA_ADJUSTED=GAAP","Sort=A","Dates=H","DateFormat=P","Fill=—","Direction=H","UseDPDF=Y")</f>
        <v>—</v>
      </c>
      <c r="AA23" s="13" t="str">
        <f>_xll.BDH("NBIX US Equity","IS_INT_EXPENSE","FQ4 2024","FQ4 2024","Currency=USD","Period=FQ","BEST_FPERIOD_OVERRIDE=FQ","FILING_STATUS=MR","SCALING_FORMAT=MLN","FA_ADJUSTED=GAAP","Sort=A","Dates=H","DateFormat=P","Fill=—","Direction=H","UseDPDF=Y")</f>
        <v>—</v>
      </c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1389</v>
      </c>
      <c r="B25" s="10" t="s">
        <v>1390</v>
      </c>
      <c r="C25" s="14">
        <f>_xll.BDH("NBIX US Equity","COM_EQY_TO_TOT_ASSET","FQ4 2018","FQ4 2018","Currency=USD","Period=FQ","BEST_FPERIOD_OVERRIDE=FQ","FILING_STATUS=MR","Sort=A","Dates=H","DateFormat=P","Fill=—","Direction=H","UseDPDF=Y")</f>
        <v>48.408000000000001</v>
      </c>
      <c r="D25" s="14">
        <f>_xll.BDH("NBIX US Equity","COM_EQY_TO_TOT_ASSET","FQ1 2019","FQ1 2019","Currency=USD","Period=FQ","BEST_FPERIOD_OVERRIDE=FQ","FILING_STATUS=MR","Sort=A","Dates=H","DateFormat=P","Fill=—","Direction=H","UseDPDF=Y")</f>
        <v>42.734200000000001</v>
      </c>
      <c r="E25" s="14">
        <f>_xll.BDH("NBIX US Equity","COM_EQY_TO_TOT_ASSET","FQ2 2019","FQ2 2019","Currency=USD","Period=FQ","BEST_FPERIOD_OVERRIDE=FQ","FILING_STATUS=MR","Sort=A","Dates=H","DateFormat=P","Fill=—","Direction=H","UseDPDF=Y")</f>
        <v>45.339199999999998</v>
      </c>
      <c r="F25" s="14">
        <f>_xll.BDH("NBIX US Equity","COM_EQY_TO_TOT_ASSET","FQ3 2019","FQ3 2019","Currency=USD","Period=FQ","BEST_FPERIOD_OVERRIDE=FQ","FILING_STATUS=MR","Sort=A","Dates=H","DateFormat=P","Fill=—","Direction=H","UseDPDF=Y")</f>
        <v>48.690399999999997</v>
      </c>
      <c r="G25" s="14">
        <f>_xll.BDH("NBIX US Equity","COM_EQY_TO_TOT_ASSET","FQ4 2019","FQ4 2019","Currency=USD","Period=FQ","BEST_FPERIOD_OVERRIDE=FQ","FILING_STATUS=MR","Sort=A","Dates=H","DateFormat=P","Fill=—","Direction=H","UseDPDF=Y")</f>
        <v>48.767200000000003</v>
      </c>
      <c r="H25" s="14">
        <f>_xll.BDH("NBIX US Equity","COM_EQY_TO_TOT_ASSET","FQ1 2020","FQ1 2020","Currency=USD","Period=FQ","BEST_FPERIOD_OVERRIDE=FQ","FILING_STATUS=MR","Sort=A","Dates=H","DateFormat=P","Fill=—","Direction=H","UseDPDF=Y")</f>
        <v>51.4208</v>
      </c>
      <c r="I25" s="14">
        <f>_xll.BDH("NBIX US Equity","COM_EQY_TO_TOT_ASSET","FQ2 2020","FQ2 2020","Currency=USD","Period=FQ","BEST_FPERIOD_OVERRIDE=FQ","FILING_STATUS=MR","Sort=A","Dates=H","DateFormat=P","Fill=—","Direction=H","UseDPDF=Y")</f>
        <v>54.843000000000004</v>
      </c>
      <c r="J25" s="14">
        <f>_xll.BDH("NBIX US Equity","COM_EQY_TO_TOT_ASSET","FQ3 2020","FQ3 2020","Currency=USD","Period=FQ","BEST_FPERIOD_OVERRIDE=FQ","FILING_STATUS=MR","Sort=A","Dates=H","DateFormat=P","Fill=—","Direction=H","UseDPDF=Y")</f>
        <v>53.527200000000001</v>
      </c>
      <c r="K25" s="14">
        <f>_xll.BDH("NBIX US Equity","COM_EQY_TO_TOT_ASSET","FQ4 2020","FQ4 2020","Currency=USD","Period=FQ","BEST_FPERIOD_OVERRIDE=FQ","FILING_STATUS=MR","Sort=A","Dates=H","DateFormat=P","Fill=—","Direction=H","UseDPDF=Y")</f>
        <v>64.921899999999994</v>
      </c>
      <c r="L25" s="14">
        <f>_xll.BDH("NBIX US Equity","COM_EQY_TO_TOT_ASSET","FQ1 2021","FQ1 2021","Currency=USD","Period=FQ","BEST_FPERIOD_OVERRIDE=FQ","FILING_STATUS=MR","Sort=A","Dates=H","DateFormat=P","Fill=—","Direction=H","UseDPDF=Y")</f>
        <v>65.294600000000003</v>
      </c>
      <c r="M25" s="14">
        <f>_xll.BDH("NBIX US Equity","COM_EQY_TO_TOT_ASSET","FQ2 2021","FQ2 2021","Currency=USD","Period=FQ","BEST_FPERIOD_OVERRIDE=FQ","FILING_STATUS=MR","Sort=A","Dates=H","DateFormat=P","Fill=—","Direction=H","UseDPDF=Y")</f>
        <v>65.385400000000004</v>
      </c>
      <c r="N25" s="14">
        <f>_xll.BDH("NBIX US Equity","COM_EQY_TO_TOT_ASSET","FQ3 2021","FQ3 2021","Currency=USD","Period=FQ","BEST_FPERIOD_OVERRIDE=FQ","FILING_STATUS=MR","Sort=A","Dates=H","DateFormat=P","Fill=—","Direction=H","UseDPDF=Y")</f>
        <v>66.722800000000007</v>
      </c>
      <c r="O25" s="14">
        <f>_xll.BDH("NBIX US Equity","COM_EQY_TO_TOT_ASSET","FQ4 2021","FQ4 2021","Currency=USD","Period=FQ","BEST_FPERIOD_OVERRIDE=FQ","FILING_STATUS=MR","Sort=A","Dates=H","DateFormat=P","Fill=—","Direction=H","UseDPDF=Y")</f>
        <v>66.296700000000001</v>
      </c>
      <c r="P25" s="14">
        <f>_xll.BDH("NBIX US Equity","COM_EQY_TO_TOT_ASSET","FQ1 2022","FQ1 2022","Currency=USD","Period=FQ","BEST_FPERIOD_OVERRIDE=FQ","FILING_STATUS=MR","Sort=A","Dates=H","DateFormat=P","Fill=—","Direction=H","UseDPDF=Y")</f>
        <v>64.868300000000005</v>
      </c>
      <c r="Q25" s="14">
        <f>_xll.BDH("NBIX US Equity","COM_EQY_TO_TOT_ASSET","FQ2 2022","FQ2 2022","Currency=USD","Period=FQ","BEST_FPERIOD_OVERRIDE=FQ","FILING_STATUS=MR","Sort=A","Dates=H","DateFormat=P","Fill=—","Direction=H","UseDPDF=Y")</f>
        <v>70.967699999999994</v>
      </c>
      <c r="R25" s="14">
        <f>_xll.BDH("NBIX US Equity","COM_EQY_TO_TOT_ASSET","FQ3 2022","FQ3 2022","Currency=USD","Period=FQ","BEST_FPERIOD_OVERRIDE=FQ","FILING_STATUS=MR","Sort=A","Dates=H","DateFormat=P","Fill=—","Direction=H","UseDPDF=Y")</f>
        <v>72.063100000000006</v>
      </c>
      <c r="S25" s="14">
        <f>_xll.BDH("NBIX US Equity","COM_EQY_TO_TOT_ASSET","FQ4 2022","FQ4 2022","Currency=USD","Period=FQ","BEST_FPERIOD_OVERRIDE=FQ","FILING_STATUS=MR","Sort=A","Dates=H","DateFormat=P","Fill=—","Direction=H","UseDPDF=Y")</f>
        <v>72.098600000000005</v>
      </c>
      <c r="T25" s="14">
        <f>_xll.BDH("NBIX US Equity","COM_EQY_TO_TOT_ASSET","FQ1 2023","FQ1 2023","Currency=USD","Period=FQ","BEST_FPERIOD_OVERRIDE=FQ","FILING_STATUS=MR","Sort=A","Dates=H","DateFormat=P","Fill=—","Direction=H","UseDPDF=Y")</f>
        <v>71.383200000000002</v>
      </c>
      <c r="U25" s="14">
        <f>_xll.BDH("NBIX US Equity","COM_EQY_TO_TOT_ASSET","FQ2 2023","FQ2 2023","Currency=USD","Period=FQ","BEST_FPERIOD_OVERRIDE=FQ","FILING_STATUS=MR","Sort=A","Dates=H","DateFormat=P","Fill=—","Direction=H","UseDPDF=Y")</f>
        <v>70.911900000000003</v>
      </c>
      <c r="V25" s="14">
        <f>_xll.BDH("NBIX US Equity","COM_EQY_TO_TOT_ASSET","FQ3 2023","FQ3 2023","Currency=USD","Period=FQ","BEST_FPERIOD_OVERRIDE=FQ","FILING_STATUS=MR","Sort=A","Dates=H","DateFormat=P","Fill=—","Direction=H","UseDPDF=Y")</f>
        <v>70.293499999999995</v>
      </c>
      <c r="W25" s="14">
        <f>_xll.BDH("NBIX US Equity","COM_EQY_TO_TOT_ASSET","FQ4 2023","FQ4 2023","Currency=USD","Period=FQ","BEST_FPERIOD_OVERRIDE=FQ","FILING_STATUS=MR","Sort=A","Dates=H","DateFormat=P","Fill=—","Direction=H","UseDPDF=Y")</f>
        <v>68.647400000000005</v>
      </c>
      <c r="X25" s="14">
        <f>_xll.BDH("NBIX US Equity","COM_EQY_TO_TOT_ASSET","FQ1 2024","FQ1 2024","Currency=USD","Period=FQ","BEST_FPERIOD_OVERRIDE=FQ","FILING_STATUS=MR","Sort=A","Dates=H","DateFormat=P","Fill=—","Direction=H","UseDPDF=Y")</f>
        <v>68.716200000000001</v>
      </c>
      <c r="Y25" s="14">
        <f>_xll.BDH("NBIX US Equity","COM_EQY_TO_TOT_ASSET","FQ2 2024","FQ2 2024","Currency=USD","Period=FQ","BEST_FPERIOD_OVERRIDE=FQ","FILING_STATUS=MR","Sort=A","Dates=H","DateFormat=P","Fill=—","Direction=H","UseDPDF=Y")</f>
        <v>75.921300000000002</v>
      </c>
      <c r="Z25" s="14">
        <f>_xll.BDH("NBIX US Equity","COM_EQY_TO_TOT_ASSET","FQ3 2024","FQ3 2024","Currency=USD","Period=FQ","BEST_FPERIOD_OVERRIDE=FQ","FILING_STATUS=MR","Sort=A","Dates=H","DateFormat=P","Fill=—","Direction=H","UseDPDF=Y")</f>
        <v>76.913700000000006</v>
      </c>
      <c r="AA25" s="14">
        <f>_xll.BDH("NBIX US Equity","COM_EQY_TO_TOT_ASSET","FQ4 2024","FQ4 2024","Currency=USD","Period=FQ","BEST_FPERIOD_OVERRIDE=FQ","FILING_STATUS=MR","Sort=A","Dates=H","DateFormat=P","Fill=—","Direction=H","UseDPDF=Y")</f>
        <v>69.639899999999997</v>
      </c>
    </row>
    <row r="26" spans="1:27" x14ac:dyDescent="0.25">
      <c r="A26" s="10" t="s">
        <v>1391</v>
      </c>
      <c r="B26" s="10" t="s">
        <v>1392</v>
      </c>
      <c r="C26" s="14">
        <f>_xll.BDH("NBIX US Equity","LT_DEBT_TO_TOT_EQY","FQ4 2018","FQ4 2018","Currency=USD","Period=FQ","BEST_FPERIOD_OVERRIDE=FQ","FILING_STATUS=MR","Sort=A","Dates=H","DateFormat=P","Fill=—","Direction=H","UseDPDF=Y")</f>
        <v>80.807900000000004</v>
      </c>
      <c r="D26" s="14">
        <f>_xll.BDH("NBIX US Equity","LT_DEBT_TO_TOT_EQY","FQ1 2019","FQ1 2019","Currency=USD","Period=FQ","BEST_FPERIOD_OVERRIDE=FQ","FILING_STATUS=MR","Sort=A","Dates=H","DateFormat=P","Fill=—","Direction=H","UseDPDF=Y")</f>
        <v>112.5361</v>
      </c>
      <c r="E26" s="14">
        <f>_xll.BDH("NBIX US Equity","LT_DEBT_TO_TOT_EQY","FQ2 2019","FQ2 2019","Currency=USD","Period=FQ","BEST_FPERIOD_OVERRIDE=FQ","FILING_STATUS=MR","Sort=A","Dates=H","DateFormat=P","Fill=—","Direction=H","UseDPDF=Y")</f>
        <v>96.060599999999994</v>
      </c>
      <c r="F26" s="14">
        <f>_xll.BDH("NBIX US Equity","LT_DEBT_TO_TOT_EQY","FQ3 2019","FQ3 2019","Currency=USD","Period=FQ","BEST_FPERIOD_OVERRIDE=FQ","FILING_STATUS=MR","Sort=A","Dates=H","DateFormat=P","Fill=—","Direction=H","UseDPDF=Y")</f>
        <v>83.212999999999994</v>
      </c>
      <c r="G26" s="14">
        <f>_xll.BDH("NBIX US Equity","LT_DEBT_TO_TOT_EQY","FQ4 2019","FQ4 2019","Currency=USD","Period=FQ","BEST_FPERIOD_OVERRIDE=FQ","FILING_STATUS=MR","Sort=A","Dates=H","DateFormat=P","Fill=—","Direction=H","UseDPDF=Y")</f>
        <v>13.6128</v>
      </c>
      <c r="H26" s="14">
        <f>_xll.BDH("NBIX US Equity","LT_DEBT_TO_TOT_EQY","FQ1 2020","FQ1 2020","Currency=USD","Period=FQ","BEST_FPERIOD_OVERRIDE=FQ","FILING_STATUS=MR","Sort=A","Dates=H","DateFormat=P","Fill=—","Direction=H","UseDPDF=Y")</f>
        <v>71.355099999999993</v>
      </c>
      <c r="I26" s="14">
        <f>_xll.BDH("NBIX US Equity","LT_DEBT_TO_TOT_EQY","FQ2 2020","FQ2 2020","Currency=USD","Period=FQ","BEST_FPERIOD_OVERRIDE=FQ","FILING_STATUS=MR","Sort=A","Dates=H","DateFormat=P","Fill=—","Direction=H","UseDPDF=Y")</f>
        <v>10.141999999999999</v>
      </c>
      <c r="J26" s="14">
        <f>_xll.BDH("NBIX US Equity","LT_DEBT_TO_TOT_EQY","FQ3 2020","FQ3 2020","Currency=USD","Period=FQ","BEST_FPERIOD_OVERRIDE=FQ","FILING_STATUS=MR","Sort=A","Dates=H","DateFormat=P","Fill=—","Direction=H","UseDPDF=Y")</f>
        <v>10.3195</v>
      </c>
      <c r="K26" s="14">
        <f>_xll.BDH("NBIX US Equity","LT_DEBT_TO_TOT_EQY","FQ4 2020","FQ4 2020","Currency=USD","Period=FQ","BEST_FPERIOD_OVERRIDE=FQ","FILING_STATUS=MR","Sort=A","Dates=H","DateFormat=P","Fill=—","Direction=H","UseDPDF=Y")</f>
        <v>36.6098</v>
      </c>
      <c r="L26" s="14">
        <f>_xll.BDH("NBIX US Equity","LT_DEBT_TO_TOT_EQY","FQ1 2021","FQ1 2021","Currency=USD","Period=FQ","BEST_FPERIOD_OVERRIDE=FQ","FILING_STATUS=MR","Sort=A","Dates=H","DateFormat=P","Fill=—","Direction=H","UseDPDF=Y")</f>
        <v>35.625399999999999</v>
      </c>
      <c r="M26" s="14">
        <f>_xll.BDH("NBIX US Equity","LT_DEBT_TO_TOT_EQY","FQ2 2021","FQ2 2021","Currency=USD","Period=FQ","BEST_FPERIOD_OVERRIDE=FQ","FILING_STATUS=MR","Sort=A","Dates=H","DateFormat=P","Fill=—","Direction=H","UseDPDF=Y")</f>
        <v>34.0291</v>
      </c>
      <c r="N26" s="14">
        <f>_xll.BDH("NBIX US Equity","LT_DEBT_TO_TOT_EQY","FQ3 2021","FQ3 2021","Currency=USD","Period=FQ","BEST_FPERIOD_OVERRIDE=FQ","FILING_STATUS=MR","Sort=A","Dates=H","DateFormat=P","Fill=—","Direction=H","UseDPDF=Y")</f>
        <v>32.473999999999997</v>
      </c>
      <c r="O26" s="14">
        <f>_xll.BDH("NBIX US Equity","LT_DEBT_TO_TOT_EQY","FQ4 2021","FQ4 2021","Currency=USD","Period=FQ","BEST_FPERIOD_OVERRIDE=FQ","FILING_STATUS=MR","Sort=A","Dates=H","DateFormat=P","Fill=—","Direction=H","UseDPDF=Y")</f>
        <v>32.052399999999999</v>
      </c>
      <c r="P26" s="14">
        <f>_xll.BDH("NBIX US Equity","LT_DEBT_TO_TOT_EQY","FQ1 2022","FQ1 2022","Currency=USD","Period=FQ","BEST_FPERIOD_OVERRIDE=FQ","FILING_STATUS=MR","Sort=A","Dates=H","DateFormat=P","Fill=—","Direction=H","UseDPDF=Y")</f>
        <v>34.519399999999997</v>
      </c>
      <c r="Q26" s="14">
        <f>_xll.BDH("NBIX US Equity","LT_DEBT_TO_TOT_EQY","FQ2 2022","FQ2 2022","Currency=USD","Period=FQ","BEST_FPERIOD_OVERRIDE=FQ","FILING_STATUS=MR","Sort=A","Dates=H","DateFormat=P","Fill=—","Direction=H","UseDPDF=Y")</f>
        <v>18.8703</v>
      </c>
      <c r="R26" s="14">
        <f>_xll.BDH("NBIX US Equity","LT_DEBT_TO_TOT_EQY","FQ3 2022","FQ3 2022","Currency=USD","Period=FQ","BEST_FPERIOD_OVERRIDE=FQ","FILING_STATUS=MR","Sort=A","Dates=H","DateFormat=P","Fill=—","Direction=H","UseDPDF=Y")</f>
        <v>6.2539999999999996</v>
      </c>
      <c r="S26" s="14">
        <f>_xll.BDH("NBIX US Equity","LT_DEBT_TO_TOT_EQY","FQ4 2022","FQ4 2022","Currency=USD","Period=FQ","BEST_FPERIOD_OVERRIDE=FQ","FILING_STATUS=MR","Sort=A","Dates=H","DateFormat=P","Fill=—","Direction=H","UseDPDF=Y")</f>
        <v>5.4748999999999999</v>
      </c>
      <c r="T26" s="14">
        <f>_xll.BDH("NBIX US Equity","LT_DEBT_TO_TOT_EQY","FQ1 2023","FQ1 2023","Currency=USD","Period=FQ","BEST_FPERIOD_OVERRIDE=FQ","FILING_STATUS=MR","Sort=A","Dates=H","DateFormat=P","Fill=—","Direction=H","UseDPDF=Y")</f>
        <v>15.428900000000001</v>
      </c>
      <c r="U26" s="14">
        <f>_xll.BDH("NBIX US Equity","LT_DEBT_TO_TOT_EQY","FQ2 2023","FQ2 2023","Currency=USD","Period=FQ","BEST_FPERIOD_OVERRIDE=FQ","FILING_STATUS=MR","Sort=A","Dates=H","DateFormat=P","Fill=—","Direction=H","UseDPDF=Y")</f>
        <v>4.8083999999999998</v>
      </c>
      <c r="V26" s="14">
        <f>_xll.BDH("NBIX US Equity","LT_DEBT_TO_TOT_EQY","FQ3 2023","FQ3 2023","Currency=USD","Period=FQ","BEST_FPERIOD_OVERRIDE=FQ","FILING_STATUS=MR","Sort=A","Dates=H","DateFormat=P","Fill=—","Direction=H","UseDPDF=Y")</f>
        <v>4.2904999999999998</v>
      </c>
      <c r="W26" s="14">
        <f>_xll.BDH("NBIX US Equity","LT_DEBT_TO_TOT_EQY","FQ4 2023","FQ4 2023","Currency=USD","Period=FQ","BEST_FPERIOD_OVERRIDE=FQ","FILING_STATUS=MR","Sort=A","Dates=H","DateFormat=P","Fill=—","Direction=H","UseDPDF=Y")</f>
        <v>11.5726</v>
      </c>
      <c r="X26" s="14">
        <f>_xll.BDH("NBIX US Equity","LT_DEBT_TO_TOT_EQY","FQ1 2024","FQ1 2024","Currency=USD","Period=FQ","BEST_FPERIOD_OVERRIDE=FQ","FILING_STATUS=MR","Sort=A","Dates=H","DateFormat=P","Fill=—","Direction=H","UseDPDF=Y")</f>
        <v>10.5989</v>
      </c>
      <c r="Y26" s="14">
        <f>_xll.BDH("NBIX US Equity","LT_DEBT_TO_TOT_EQY","FQ2 2024","FQ2 2024","Currency=USD","Period=FQ","BEST_FPERIOD_OVERRIDE=FQ","FILING_STATUS=MR","Sort=A","Dates=H","DateFormat=P","Fill=—","Direction=H","UseDPDF=Y")</f>
        <v>10.2104</v>
      </c>
      <c r="Z26" s="14">
        <f>_xll.BDH("NBIX US Equity","LT_DEBT_TO_TOT_EQY","FQ3 2024","FQ3 2024","Currency=USD","Period=FQ","BEST_FPERIOD_OVERRIDE=FQ","FILING_STATUS=MR","Sort=A","Dates=H","DateFormat=P","Fill=—","Direction=H","UseDPDF=Y")</f>
        <v>9.2463999999999995</v>
      </c>
      <c r="AA26" s="14">
        <f>_xll.BDH("NBIX US Equity","LT_DEBT_TO_TOT_EQY","FQ4 2024","FQ4 2024","Currency=USD","Period=FQ","BEST_FPERIOD_OVERRIDE=FQ","FILING_STATUS=MR","Sort=A","Dates=H","DateFormat=P","Fill=—","Direction=H","UseDPDF=Y")</f>
        <v>17.573499999999999</v>
      </c>
    </row>
    <row r="27" spans="1:27" x14ac:dyDescent="0.25">
      <c r="A27" s="10" t="s">
        <v>1393</v>
      </c>
      <c r="B27" s="10" t="s">
        <v>1394</v>
      </c>
      <c r="C27" s="14">
        <f>_xll.BDH("NBIX US Equity","LT_DEBT_TO_TOT_CAP","FQ4 2018","FQ4 2018","Currency=USD","Period=FQ","BEST_FPERIOD_OVERRIDE=FQ","FILING_STATUS=MR","Sort=A","Dates=H","DateFormat=P","Fill=—","Direction=H","UseDPDF=Y")</f>
        <v>44.692700000000002</v>
      </c>
      <c r="D27" s="14">
        <f>_xll.BDH("NBIX US Equity","LT_DEBT_TO_TOT_CAP","FQ1 2019","FQ1 2019","Currency=USD","Period=FQ","BEST_FPERIOD_OVERRIDE=FQ","FILING_STATUS=MR","Sort=A","Dates=H","DateFormat=P","Fill=—","Direction=H","UseDPDF=Y")</f>
        <v>52.750999999999998</v>
      </c>
      <c r="E27" s="14">
        <f>_xll.BDH("NBIX US Equity","LT_DEBT_TO_TOT_CAP","FQ2 2019","FQ2 2019","Currency=USD","Period=FQ","BEST_FPERIOD_OVERRIDE=FQ","FILING_STATUS=MR","Sort=A","Dates=H","DateFormat=P","Fill=—","Direction=H","UseDPDF=Y")</f>
        <v>48.802399999999999</v>
      </c>
      <c r="F27" s="14">
        <f>_xll.BDH("NBIX US Equity","LT_DEBT_TO_TOT_CAP","FQ3 2019","FQ3 2019","Currency=USD","Period=FQ","BEST_FPERIOD_OVERRIDE=FQ","FILING_STATUS=MR","Sort=A","Dates=H","DateFormat=P","Fill=—","Direction=H","UseDPDF=Y")</f>
        <v>45.069400000000002</v>
      </c>
      <c r="G27" s="14">
        <f>_xll.BDH("NBIX US Equity","LT_DEBT_TO_TOT_CAP","FQ4 2019","FQ4 2019","Currency=USD","Period=FQ","BEST_FPERIOD_OVERRIDE=FQ","FILING_STATUS=MR","Sort=A","Dates=H","DateFormat=P","Fill=—","Direction=H","UseDPDF=Y")</f>
        <v>7.6006999999999998</v>
      </c>
      <c r="H27" s="14">
        <f>_xll.BDH("NBIX US Equity","LT_DEBT_TO_TOT_CAP","FQ1 2020","FQ1 2020","Currency=USD","Period=FQ","BEST_FPERIOD_OVERRIDE=FQ","FILING_STATUS=MR","Sort=A","Dates=H","DateFormat=P","Fill=—","Direction=H","UseDPDF=Y")</f>
        <v>41.338500000000003</v>
      </c>
      <c r="I27" s="14">
        <f>_xll.BDH("NBIX US Equity","LT_DEBT_TO_TOT_CAP","FQ2 2020","FQ2 2020","Currency=USD","Period=FQ","BEST_FPERIOD_OVERRIDE=FQ","FILING_STATUS=MR","Sort=A","Dates=H","DateFormat=P","Fill=—","Direction=H","UseDPDF=Y")</f>
        <v>6.2713999999999999</v>
      </c>
      <c r="J27" s="14">
        <f>_xll.BDH("NBIX US Equity","LT_DEBT_TO_TOT_CAP","FQ3 2020","FQ3 2020","Currency=USD","Period=FQ","BEST_FPERIOD_OVERRIDE=FQ","FILING_STATUS=MR","Sort=A","Dates=H","DateFormat=P","Fill=—","Direction=H","UseDPDF=Y")</f>
        <v>6.2784000000000004</v>
      </c>
      <c r="K27" s="14">
        <f>_xll.BDH("NBIX US Equity","LT_DEBT_TO_TOT_CAP","FQ4 2020","FQ4 2020","Currency=USD","Period=FQ","BEST_FPERIOD_OVERRIDE=FQ","FILING_STATUS=MR","Sort=A","Dates=H","DateFormat=P","Fill=—","Direction=H","UseDPDF=Y")</f>
        <v>26.6206</v>
      </c>
      <c r="L27" s="14">
        <f>_xll.BDH("NBIX US Equity","LT_DEBT_TO_TOT_CAP","FQ1 2021","FQ1 2021","Currency=USD","Period=FQ","BEST_FPERIOD_OVERRIDE=FQ","FILING_STATUS=MR","Sort=A","Dates=H","DateFormat=P","Fill=—","Direction=H","UseDPDF=Y")</f>
        <v>26.073</v>
      </c>
      <c r="M27" s="14">
        <f>_xll.BDH("NBIX US Equity","LT_DEBT_TO_TOT_CAP","FQ2 2021","FQ2 2021","Currency=USD","Period=FQ","BEST_FPERIOD_OVERRIDE=FQ","FILING_STATUS=MR","Sort=A","Dates=H","DateFormat=P","Fill=—","Direction=H","UseDPDF=Y")</f>
        <v>25.1691</v>
      </c>
      <c r="N27" s="14">
        <f>_xll.BDH("NBIX US Equity","LT_DEBT_TO_TOT_CAP","FQ3 2021","FQ3 2021","Currency=USD","Period=FQ","BEST_FPERIOD_OVERRIDE=FQ","FILING_STATUS=MR","Sort=A","Dates=H","DateFormat=P","Fill=—","Direction=H","UseDPDF=Y")</f>
        <v>24.302199999999999</v>
      </c>
      <c r="O27" s="14">
        <f>_xll.BDH("NBIX US Equity","LT_DEBT_TO_TOT_CAP","FQ4 2021","FQ4 2021","Currency=USD","Period=FQ","BEST_FPERIOD_OVERRIDE=FQ","FILING_STATUS=MR","Sort=A","Dates=H","DateFormat=P","Fill=—","Direction=H","UseDPDF=Y")</f>
        <v>24.053699999999999</v>
      </c>
      <c r="P27" s="14">
        <f>_xll.BDH("NBIX US Equity","LT_DEBT_TO_TOT_CAP","FQ1 2022","FQ1 2022","Currency=USD","Period=FQ","BEST_FPERIOD_OVERRIDE=FQ","FILING_STATUS=MR","Sort=A","Dates=H","DateFormat=P","Fill=—","Direction=H","UseDPDF=Y")</f>
        <v>25.4316</v>
      </c>
      <c r="Q27" s="14">
        <f>_xll.BDH("NBIX US Equity","LT_DEBT_TO_TOT_CAP","FQ2 2022","FQ2 2022","Currency=USD","Period=FQ","BEST_FPERIOD_OVERRIDE=FQ","FILING_STATUS=MR","Sort=A","Dates=H","DateFormat=P","Fill=—","Direction=H","UseDPDF=Y")</f>
        <v>15.7159</v>
      </c>
      <c r="R27" s="14">
        <f>_xll.BDH("NBIX US Equity","LT_DEBT_TO_TOT_CAP","FQ3 2022","FQ3 2022","Currency=USD","Period=FQ","BEST_FPERIOD_OVERRIDE=FQ","FILING_STATUS=MR","Sort=A","Dates=H","DateFormat=P","Fill=—","Direction=H","UseDPDF=Y")</f>
        <v>5.2853000000000003</v>
      </c>
      <c r="S27" s="14">
        <f>_xll.BDH("NBIX US Equity","LT_DEBT_TO_TOT_CAP","FQ4 2022","FQ4 2022","Currency=USD","Period=FQ","BEST_FPERIOD_OVERRIDE=FQ","FILING_STATUS=MR","Sort=A","Dates=H","DateFormat=P","Fill=—","Direction=H","UseDPDF=Y")</f>
        <v>4.7445000000000004</v>
      </c>
      <c r="T27" s="14">
        <f>_xll.BDH("NBIX US Equity","LT_DEBT_TO_TOT_CAP","FQ1 2023","FQ1 2023","Currency=USD","Period=FQ","BEST_FPERIOD_OVERRIDE=FQ","FILING_STATUS=MR","Sort=A","Dates=H","DateFormat=P","Fill=—","Direction=H","UseDPDF=Y")</f>
        <v>13.3666</v>
      </c>
      <c r="U27" s="14">
        <f>_xll.BDH("NBIX US Equity","LT_DEBT_TO_TOT_CAP","FQ2 2023","FQ2 2023","Currency=USD","Period=FQ","BEST_FPERIOD_OVERRIDE=FQ","FILING_STATUS=MR","Sort=A","Dates=H","DateFormat=P","Fill=—","Direction=H","UseDPDF=Y")</f>
        <v>4.1840999999999999</v>
      </c>
      <c r="V27" s="14">
        <f>_xll.BDH("NBIX US Equity","LT_DEBT_TO_TOT_CAP","FQ3 2023","FQ3 2023","Currency=USD","Period=FQ","BEST_FPERIOD_OVERRIDE=FQ","FILING_STATUS=MR","Sort=A","Dates=H","DateFormat=P","Fill=—","Direction=H","UseDPDF=Y")</f>
        <v>3.7747000000000002</v>
      </c>
      <c r="W27" s="14">
        <f>_xll.BDH("NBIX US Equity","LT_DEBT_TO_TOT_CAP","FQ4 2023","FQ4 2023","Currency=USD","Period=FQ","BEST_FPERIOD_OVERRIDE=FQ","FILING_STATUS=MR","Sort=A","Dates=H","DateFormat=P","Fill=—","Direction=H","UseDPDF=Y")</f>
        <v>9.5937000000000001</v>
      </c>
      <c r="X27" s="14">
        <f>_xll.BDH("NBIX US Equity","LT_DEBT_TO_TOT_CAP","FQ1 2024","FQ1 2024","Currency=USD","Period=FQ","BEST_FPERIOD_OVERRIDE=FQ","FILING_STATUS=MR","Sort=A","Dates=H","DateFormat=P","Fill=—","Direction=H","UseDPDF=Y")</f>
        <v>9.0425000000000004</v>
      </c>
      <c r="Y27" s="14">
        <f>_xll.BDH("NBIX US Equity","LT_DEBT_TO_TOT_CAP","FQ2 2024","FQ2 2024","Currency=USD","Period=FQ","BEST_FPERIOD_OVERRIDE=FQ","FILING_STATUS=MR","Sort=A","Dates=H","DateFormat=P","Fill=—","Direction=H","UseDPDF=Y")</f>
        <v>9.1473999999999993</v>
      </c>
      <c r="Z27" s="14">
        <f>_xll.BDH("NBIX US Equity","LT_DEBT_TO_TOT_CAP","FQ3 2024","FQ3 2024","Currency=USD","Period=FQ","BEST_FPERIOD_OVERRIDE=FQ","FILING_STATUS=MR","Sort=A","Dates=H","DateFormat=P","Fill=—","Direction=H","UseDPDF=Y")</f>
        <v>8.3658000000000001</v>
      </c>
      <c r="AA27" s="14">
        <f>_xll.BDH("NBIX US Equity","LT_DEBT_TO_TOT_CAP","FQ4 2024","FQ4 2024","Currency=USD","Period=FQ","BEST_FPERIOD_OVERRIDE=FQ","FILING_STATUS=MR","Sort=A","Dates=H","DateFormat=P","Fill=—","Direction=H","UseDPDF=Y")</f>
        <v>14.7501</v>
      </c>
    </row>
    <row r="28" spans="1:27" x14ac:dyDescent="0.25">
      <c r="A28" s="10" t="s">
        <v>1395</v>
      </c>
      <c r="B28" s="10" t="s">
        <v>1396</v>
      </c>
      <c r="C28" s="14">
        <f>_xll.BDH("NBIX US Equity","LT_DEBT_TO_TOT_ASSET","FQ4 2018","FQ4 2018","Currency=USD","Period=FQ","BEST_FPERIOD_OVERRIDE=FQ","FILING_STATUS=MR","Sort=A","Dates=H","DateFormat=P","Fill=—","Direction=H","UseDPDF=Y")</f>
        <v>39.1175</v>
      </c>
      <c r="D28" s="14">
        <f>_xll.BDH("NBIX US Equity","LT_DEBT_TO_TOT_ASSET","FQ1 2019","FQ1 2019","Currency=USD","Period=FQ","BEST_FPERIOD_OVERRIDE=FQ","FILING_STATUS=MR","Sort=A","Dates=H","DateFormat=P","Fill=—","Direction=H","UseDPDF=Y")</f>
        <v>48.0914</v>
      </c>
      <c r="E28" s="14">
        <f>_xll.BDH("NBIX US Equity","LT_DEBT_TO_TOT_ASSET","FQ2 2019","FQ2 2019","Currency=USD","Period=FQ","BEST_FPERIOD_OVERRIDE=FQ","FILING_STATUS=MR","Sort=A","Dates=H","DateFormat=P","Fill=—","Direction=H","UseDPDF=Y")</f>
        <v>43.553100000000001</v>
      </c>
      <c r="F28" s="14">
        <f>_xll.BDH("NBIX US Equity","LT_DEBT_TO_TOT_ASSET","FQ3 2019","FQ3 2019","Currency=USD","Period=FQ","BEST_FPERIOD_OVERRIDE=FQ","FILING_STATUS=MR","Sort=A","Dates=H","DateFormat=P","Fill=—","Direction=H","UseDPDF=Y")</f>
        <v>40.5167</v>
      </c>
      <c r="G28" s="14">
        <f>_xll.BDH("NBIX US Equity","LT_DEBT_TO_TOT_ASSET","FQ4 2019","FQ4 2019","Currency=USD","Period=FQ","BEST_FPERIOD_OVERRIDE=FQ","FILING_STATUS=MR","Sort=A","Dates=H","DateFormat=P","Fill=—","Direction=H","UseDPDF=Y")</f>
        <v>6.6386000000000003</v>
      </c>
      <c r="H28" s="14">
        <f>_xll.BDH("NBIX US Equity","LT_DEBT_TO_TOT_ASSET","FQ1 2020","FQ1 2020","Currency=USD","Period=FQ","BEST_FPERIOD_OVERRIDE=FQ","FILING_STATUS=MR","Sort=A","Dates=H","DateFormat=P","Fill=—","Direction=H","UseDPDF=Y")</f>
        <v>36.691400000000002</v>
      </c>
      <c r="I28" s="14">
        <f>_xll.BDH("NBIX US Equity","LT_DEBT_TO_TOT_ASSET","FQ2 2020","FQ2 2020","Currency=USD","Period=FQ","BEST_FPERIOD_OVERRIDE=FQ","FILING_STATUS=MR","Sort=A","Dates=H","DateFormat=P","Fill=—","Direction=H","UseDPDF=Y")</f>
        <v>5.5621999999999998</v>
      </c>
      <c r="J28" s="14">
        <f>_xll.BDH("NBIX US Equity","LT_DEBT_TO_TOT_ASSET","FQ3 2020","FQ3 2020","Currency=USD","Period=FQ","BEST_FPERIOD_OVERRIDE=FQ","FILING_STATUS=MR","Sort=A","Dates=H","DateFormat=P","Fill=—","Direction=H","UseDPDF=Y")</f>
        <v>5.5237999999999996</v>
      </c>
      <c r="K28" s="14">
        <f>_xll.BDH("NBIX US Equity","LT_DEBT_TO_TOT_ASSET","FQ4 2020","FQ4 2020","Currency=USD","Period=FQ","BEST_FPERIOD_OVERRIDE=FQ","FILING_STATUS=MR","Sort=A","Dates=H","DateFormat=P","Fill=—","Direction=H","UseDPDF=Y")</f>
        <v>23.767800000000001</v>
      </c>
      <c r="L28" s="14">
        <f>_xll.BDH("NBIX US Equity","LT_DEBT_TO_TOT_ASSET","FQ1 2021","FQ1 2021","Currency=USD","Period=FQ","BEST_FPERIOD_OVERRIDE=FQ","FILING_STATUS=MR","Sort=A","Dates=H","DateFormat=P","Fill=—","Direction=H","UseDPDF=Y")</f>
        <v>23.261500000000002</v>
      </c>
      <c r="M28" s="14">
        <f>_xll.BDH("NBIX US Equity","LT_DEBT_TO_TOT_ASSET","FQ2 2021","FQ2 2021","Currency=USD","Period=FQ","BEST_FPERIOD_OVERRIDE=FQ","FILING_STATUS=MR","Sort=A","Dates=H","DateFormat=P","Fill=—","Direction=H","UseDPDF=Y")</f>
        <v>22.2501</v>
      </c>
      <c r="N28" s="14">
        <f>_xll.BDH("NBIX US Equity","LT_DEBT_TO_TOT_ASSET","FQ3 2021","FQ3 2021","Currency=USD","Period=FQ","BEST_FPERIOD_OVERRIDE=FQ","FILING_STATUS=MR","Sort=A","Dates=H","DateFormat=P","Fill=—","Direction=H","UseDPDF=Y")</f>
        <v>21.6676</v>
      </c>
      <c r="O28" s="14">
        <f>_xll.BDH("NBIX US Equity","LT_DEBT_TO_TOT_ASSET","FQ4 2021","FQ4 2021","Currency=USD","Period=FQ","BEST_FPERIOD_OVERRIDE=FQ","FILING_STATUS=MR","Sort=A","Dates=H","DateFormat=P","Fill=—","Direction=H","UseDPDF=Y")</f>
        <v>21.249700000000001</v>
      </c>
      <c r="P28" s="14">
        <f>_xll.BDH("NBIX US Equity","LT_DEBT_TO_TOT_ASSET","FQ1 2022","FQ1 2022","Currency=USD","Period=FQ","BEST_FPERIOD_OVERRIDE=FQ","FILING_STATUS=MR","Sort=A","Dates=H","DateFormat=P","Fill=—","Direction=H","UseDPDF=Y")</f>
        <v>22.392199999999999</v>
      </c>
      <c r="Q28" s="14">
        <f>_xll.BDH("NBIX US Equity","LT_DEBT_TO_TOT_ASSET","FQ2 2022","FQ2 2022","Currency=USD","Period=FQ","BEST_FPERIOD_OVERRIDE=FQ","FILING_STATUS=MR","Sort=A","Dates=H","DateFormat=P","Fill=—","Direction=H","UseDPDF=Y")</f>
        <v>13.3918</v>
      </c>
      <c r="R28" s="14">
        <f>_xll.BDH("NBIX US Equity","LT_DEBT_TO_TOT_ASSET","FQ3 2022","FQ3 2022","Currency=USD","Period=FQ","BEST_FPERIOD_OVERRIDE=FQ","FILING_STATUS=MR","Sort=A","Dates=H","DateFormat=P","Fill=—","Direction=H","UseDPDF=Y")</f>
        <v>4.5068999999999999</v>
      </c>
      <c r="S28" s="14">
        <f>_xll.BDH("NBIX US Equity","LT_DEBT_TO_TOT_ASSET","FQ4 2022","FQ4 2022","Currency=USD","Period=FQ","BEST_FPERIOD_OVERRIDE=FQ","FILING_STATUS=MR","Sort=A","Dates=H","DateFormat=P","Fill=—","Direction=H","UseDPDF=Y")</f>
        <v>3.9472999999999998</v>
      </c>
      <c r="T28" s="14">
        <f>_xll.BDH("NBIX US Equity","LT_DEBT_TO_TOT_ASSET","FQ1 2023","FQ1 2023","Currency=USD","Period=FQ","BEST_FPERIOD_OVERRIDE=FQ","FILING_STATUS=MR","Sort=A","Dates=H","DateFormat=P","Fill=—","Direction=H","UseDPDF=Y")</f>
        <v>11.0136</v>
      </c>
      <c r="U28" s="14">
        <f>_xll.BDH("NBIX US Equity","LT_DEBT_TO_TOT_ASSET","FQ2 2023","FQ2 2023","Currency=USD","Period=FQ","BEST_FPERIOD_OVERRIDE=FQ","FILING_STATUS=MR","Sort=A","Dates=H","DateFormat=P","Fill=—","Direction=H","UseDPDF=Y")</f>
        <v>3.4097</v>
      </c>
      <c r="V28" s="14">
        <f>_xll.BDH("NBIX US Equity","LT_DEBT_TO_TOT_ASSET","FQ3 2023","FQ3 2023","Currency=USD","Period=FQ","BEST_FPERIOD_OVERRIDE=FQ","FILING_STATUS=MR","Sort=A","Dates=H","DateFormat=P","Fill=—","Direction=H","UseDPDF=Y")</f>
        <v>3.0158999999999998</v>
      </c>
      <c r="W28" s="14">
        <f>_xll.BDH("NBIX US Equity","LT_DEBT_TO_TOT_ASSET","FQ4 2023","FQ4 2023","Currency=USD","Period=FQ","BEST_FPERIOD_OVERRIDE=FQ","FILING_STATUS=MR","Sort=A","Dates=H","DateFormat=P","Fill=—","Direction=H","UseDPDF=Y")</f>
        <v>7.9443000000000001</v>
      </c>
      <c r="X28" s="14">
        <f>_xll.BDH("NBIX US Equity","LT_DEBT_TO_TOT_ASSET","FQ1 2024","FQ1 2024","Currency=USD","Period=FQ","BEST_FPERIOD_OVERRIDE=FQ","FILING_STATUS=MR","Sort=A","Dates=H","DateFormat=P","Fill=—","Direction=H","UseDPDF=Y")</f>
        <v>7.2831000000000001</v>
      </c>
      <c r="Y28" s="14">
        <f>_xll.BDH("NBIX US Equity","LT_DEBT_TO_TOT_ASSET","FQ2 2024","FQ2 2024","Currency=USD","Period=FQ","BEST_FPERIOD_OVERRIDE=FQ","FILING_STATUS=MR","Sort=A","Dates=H","DateFormat=P","Fill=—","Direction=H","UseDPDF=Y")</f>
        <v>7.7519</v>
      </c>
      <c r="Z28" s="14">
        <f>_xll.BDH("NBIX US Equity","LT_DEBT_TO_TOT_ASSET","FQ3 2024","FQ3 2024","Currency=USD","Period=FQ","BEST_FPERIOD_OVERRIDE=FQ","FILING_STATUS=MR","Sort=A","Dates=H","DateFormat=P","Fill=—","Direction=H","UseDPDF=Y")</f>
        <v>7.1116999999999999</v>
      </c>
      <c r="AA28" s="14">
        <f>_xll.BDH("NBIX US Equity","LT_DEBT_TO_TOT_ASSET","FQ4 2024","FQ4 2024","Currency=USD","Period=FQ","BEST_FPERIOD_OVERRIDE=FQ","FILING_STATUS=MR","Sort=A","Dates=H","DateFormat=P","Fill=—","Direction=H","UseDPDF=Y")</f>
        <v>12.238099999999999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1397</v>
      </c>
      <c r="B30" s="10" t="s">
        <v>1398</v>
      </c>
      <c r="C30" s="14">
        <f>_xll.BDH("NBIX US Equity","TOT_DEBT_TO_TOT_EQY","FQ4 2018","FQ4 2018","Currency=USD","Period=FQ","BEST_FPERIOD_OVERRIDE=FQ","FILING_STATUS=MR","Sort=A","Dates=H","DateFormat=P","Fill=—","Direction=H","UseDPDF=Y")</f>
        <v>80.807900000000004</v>
      </c>
      <c r="D30" s="14">
        <f>_xll.BDH("NBIX US Equity","TOT_DEBT_TO_TOT_EQY","FQ1 2019","FQ1 2019","Currency=USD","Period=FQ","BEST_FPERIOD_OVERRIDE=FQ","FILING_STATUS=MR","Sort=A","Dates=H","DateFormat=P","Fill=—","Direction=H","UseDPDF=Y")</f>
        <v>113.3343</v>
      </c>
      <c r="E30" s="14">
        <f>_xll.BDH("NBIX US Equity","TOT_DEBT_TO_TOT_EQY","FQ2 2019","FQ2 2019","Currency=USD","Period=FQ","BEST_FPERIOD_OVERRIDE=FQ","FILING_STATUS=MR","Sort=A","Dates=H","DateFormat=P","Fill=—","Direction=H","UseDPDF=Y")</f>
        <v>96.835700000000003</v>
      </c>
      <c r="F30" s="14">
        <f>_xll.BDH("NBIX US Equity","TOT_DEBT_TO_TOT_EQY","FQ3 2019","FQ3 2019","Currency=USD","Period=FQ","BEST_FPERIOD_OVERRIDE=FQ","FILING_STATUS=MR","Sort=A","Dates=H","DateFormat=P","Fill=—","Direction=H","UseDPDF=Y")</f>
        <v>84.633099999999999</v>
      </c>
      <c r="G30" s="14">
        <f>_xll.BDH("NBIX US Equity","TOT_DEBT_TO_TOT_EQY","FQ4 2019","FQ4 2019","Currency=USD","Period=FQ","BEST_FPERIOD_OVERRIDE=FQ","FILING_STATUS=MR","Sort=A","Dates=H","DateFormat=P","Fill=—","Direction=H","UseDPDF=Y")</f>
        <v>79.099100000000007</v>
      </c>
      <c r="H30" s="14">
        <f>_xll.BDH("NBIX US Equity","TOT_DEBT_TO_TOT_EQY","FQ1 2020","FQ1 2020","Currency=USD","Period=FQ","BEST_FPERIOD_OVERRIDE=FQ","FILING_STATUS=MR","Sort=A","Dates=H","DateFormat=P","Fill=—","Direction=H","UseDPDF=Y")</f>
        <v>72.611699999999999</v>
      </c>
      <c r="I30" s="14">
        <f>_xll.BDH("NBIX US Equity","TOT_DEBT_TO_TOT_EQY","FQ2 2020","FQ2 2020","Currency=USD","Period=FQ","BEST_FPERIOD_OVERRIDE=FQ","FILING_STATUS=MR","Sort=A","Dates=H","DateFormat=P","Fill=—","Direction=H","UseDPDF=Y")</f>
        <v>61.718000000000004</v>
      </c>
      <c r="J30" s="14">
        <f>_xll.BDH("NBIX US Equity","TOT_DEBT_TO_TOT_EQY","FQ3 2020","FQ3 2020","Currency=USD","Period=FQ","BEST_FPERIOD_OVERRIDE=FQ","FILING_STATUS=MR","Sort=A","Dates=H","DateFormat=P","Fill=—","Direction=H","UseDPDF=Y")</f>
        <v>64.366500000000002</v>
      </c>
      <c r="K30" s="14">
        <f>_xll.BDH("NBIX US Equity","TOT_DEBT_TO_TOT_EQY","FQ4 2020","FQ4 2020","Currency=USD","Period=FQ","BEST_FPERIOD_OVERRIDE=FQ","FILING_STATUS=MR","Sort=A","Dates=H","DateFormat=P","Fill=—","Direction=H","UseDPDF=Y")</f>
        <v>37.5244</v>
      </c>
      <c r="L30" s="14">
        <f>_xll.BDH("NBIX US Equity","TOT_DEBT_TO_TOT_EQY","FQ1 2021","FQ1 2021","Currency=USD","Period=FQ","BEST_FPERIOD_OVERRIDE=FQ","FILING_STATUS=MR","Sort=A","Dates=H","DateFormat=P","Fill=—","Direction=H","UseDPDF=Y")</f>
        <v>36.6374</v>
      </c>
      <c r="M30" s="14">
        <f>_xll.BDH("NBIX US Equity","TOT_DEBT_TO_TOT_EQY","FQ2 2021","FQ2 2021","Currency=USD","Period=FQ","BEST_FPERIOD_OVERRIDE=FQ","FILING_STATUS=MR","Sort=A","Dates=H","DateFormat=P","Fill=—","Direction=H","UseDPDF=Y")</f>
        <v>35.201700000000002</v>
      </c>
      <c r="N30" s="14">
        <f>_xll.BDH("NBIX US Equity","TOT_DEBT_TO_TOT_EQY","FQ3 2021","FQ3 2021","Currency=USD","Period=FQ","BEST_FPERIOD_OVERRIDE=FQ","FILING_STATUS=MR","Sort=A","Dates=H","DateFormat=P","Fill=—","Direction=H","UseDPDF=Y")</f>
        <v>33.625599999999999</v>
      </c>
      <c r="O30" s="14">
        <f>_xll.BDH("NBIX US Equity","TOT_DEBT_TO_TOT_EQY","FQ4 2021","FQ4 2021","Currency=USD","Period=FQ","BEST_FPERIOD_OVERRIDE=FQ","FILING_STATUS=MR","Sort=A","Dates=H","DateFormat=P","Fill=—","Direction=H","UseDPDF=Y")</f>
        <v>33.253300000000003</v>
      </c>
      <c r="P30" s="14">
        <f>_xll.BDH("NBIX US Equity","TOT_DEBT_TO_TOT_EQY","FQ1 2022","FQ1 2022","Currency=USD","Period=FQ","BEST_FPERIOD_OVERRIDE=FQ","FILING_STATUS=MR","Sort=A","Dates=H","DateFormat=P","Fill=—","Direction=H","UseDPDF=Y")</f>
        <v>35.734299999999998</v>
      </c>
      <c r="Q30" s="14">
        <f>_xll.BDH("NBIX US Equity","TOT_DEBT_TO_TOT_EQY","FQ2 2022","FQ2 2022","Currency=USD","Period=FQ","BEST_FPERIOD_OVERRIDE=FQ","FILING_STATUS=MR","Sort=A","Dates=H","DateFormat=P","Fill=—","Direction=H","UseDPDF=Y")</f>
        <v>20.0717</v>
      </c>
      <c r="R30" s="14">
        <f>_xll.BDH("NBIX US Equity","TOT_DEBT_TO_TOT_EQY","FQ3 2022","FQ3 2022","Currency=USD","Period=FQ","BEST_FPERIOD_OVERRIDE=FQ","FILING_STATUS=MR","Sort=A","Dates=H","DateFormat=P","Fill=—","Direction=H","UseDPDF=Y")</f>
        <v>18.328399999999998</v>
      </c>
      <c r="S30" s="14">
        <f>_xll.BDH("NBIX US Equity","TOT_DEBT_TO_TOT_EQY","FQ4 2022","FQ4 2022","Currency=USD","Period=FQ","BEST_FPERIOD_OVERRIDE=FQ","FILING_STATUS=MR","Sort=A","Dates=H","DateFormat=P","Fill=—","Direction=H","UseDPDF=Y")</f>
        <v>15.3941</v>
      </c>
      <c r="T30" s="14">
        <f>_xll.BDH("NBIX US Equity","TOT_DEBT_TO_TOT_EQY","FQ1 2023","FQ1 2023","Currency=USD","Period=FQ","BEST_FPERIOD_OVERRIDE=FQ","FILING_STATUS=MR","Sort=A","Dates=H","DateFormat=P","Fill=—","Direction=H","UseDPDF=Y")</f>
        <v>15.428900000000001</v>
      </c>
      <c r="U30" s="14">
        <f>_xll.BDH("NBIX US Equity","TOT_DEBT_TO_TOT_EQY","FQ2 2023","FQ2 2023","Currency=USD","Period=FQ","BEST_FPERIOD_OVERRIDE=FQ","FILING_STATUS=MR","Sort=A","Dates=H","DateFormat=P","Fill=—","Direction=H","UseDPDF=Y")</f>
        <v>14.9217</v>
      </c>
      <c r="V30" s="14">
        <f>_xll.BDH("NBIX US Equity","TOT_DEBT_TO_TOT_EQY","FQ3 2023","FQ3 2023","Currency=USD","Period=FQ","BEST_FPERIOD_OVERRIDE=FQ","FILING_STATUS=MR","Sort=A","Dates=H","DateFormat=P","Fill=—","Direction=H","UseDPDF=Y")</f>
        <v>13.665699999999999</v>
      </c>
      <c r="W30" s="14">
        <f>_xll.BDH("NBIX US Equity","TOT_DEBT_TO_TOT_EQY","FQ4 2023","FQ4 2023","Currency=USD","Period=FQ","BEST_FPERIOD_OVERRIDE=FQ","FILING_STATUS=MR","Sort=A","Dates=H","DateFormat=P","Fill=—","Direction=H","UseDPDF=Y")</f>
        <v>20.627199999999998</v>
      </c>
      <c r="X30" s="14">
        <f>_xll.BDH("NBIX US Equity","TOT_DEBT_TO_TOT_EQY","FQ1 2024","FQ1 2024","Currency=USD","Period=FQ","BEST_FPERIOD_OVERRIDE=FQ","FILING_STATUS=MR","Sort=A","Dates=H","DateFormat=P","Fill=—","Direction=H","UseDPDF=Y")</f>
        <v>17.212199999999999</v>
      </c>
      <c r="Y30" s="14">
        <f>_xll.BDH("NBIX US Equity","TOT_DEBT_TO_TOT_EQY","FQ2 2024","FQ2 2024","Currency=USD","Period=FQ","BEST_FPERIOD_OVERRIDE=FQ","FILING_STATUS=MR","Sort=A","Dates=H","DateFormat=P","Fill=—","Direction=H","UseDPDF=Y")</f>
        <v>11.6212</v>
      </c>
      <c r="Z30" s="14">
        <f>_xll.BDH("NBIX US Equity","TOT_DEBT_TO_TOT_EQY","FQ3 2024","FQ3 2024","Currency=USD","Period=FQ","BEST_FPERIOD_OVERRIDE=FQ","FILING_STATUS=MR","Sort=A","Dates=H","DateFormat=P","Fill=—","Direction=H","UseDPDF=Y")</f>
        <v>10.526300000000001</v>
      </c>
      <c r="AA30" s="14">
        <f>_xll.BDH("NBIX US Equity","TOT_DEBT_TO_TOT_EQY","FQ4 2024","FQ4 2024","Currency=USD","Period=FQ","BEST_FPERIOD_OVERRIDE=FQ","FILING_STATUS=MR","Sort=A","Dates=H","DateFormat=P","Fill=—","Direction=H","UseDPDF=Y")</f>
        <v>19.141200000000001</v>
      </c>
    </row>
    <row r="31" spans="1:27" x14ac:dyDescent="0.25">
      <c r="A31" s="10" t="s">
        <v>1399</v>
      </c>
      <c r="B31" s="10" t="s">
        <v>175</v>
      </c>
      <c r="C31" s="14">
        <f>_xll.BDH("NBIX US Equity","TOT_DEBT_TO_TOT_CAP","FQ4 2018","FQ4 2018","Currency=USD","Period=FQ","BEST_FPERIOD_OVERRIDE=FQ","FILING_STATUS=MR","Sort=A","Dates=H","DateFormat=P","Fill=—","Direction=H","UseDPDF=Y")</f>
        <v>44.692700000000002</v>
      </c>
      <c r="D31" s="14">
        <f>_xll.BDH("NBIX US Equity","TOT_DEBT_TO_TOT_CAP","FQ1 2019","FQ1 2019","Currency=USD","Period=FQ","BEST_FPERIOD_OVERRIDE=FQ","FILING_STATUS=MR","Sort=A","Dates=H","DateFormat=P","Fill=—","Direction=H","UseDPDF=Y")</f>
        <v>53.1252</v>
      </c>
      <c r="E31" s="14">
        <f>_xll.BDH("NBIX US Equity","TOT_DEBT_TO_TOT_CAP","FQ2 2019","FQ2 2019","Currency=USD","Period=FQ","BEST_FPERIOD_OVERRIDE=FQ","FILING_STATUS=MR","Sort=A","Dates=H","DateFormat=P","Fill=—","Direction=H","UseDPDF=Y")</f>
        <v>49.196199999999997</v>
      </c>
      <c r="F31" s="14">
        <f>_xll.BDH("NBIX US Equity","TOT_DEBT_TO_TOT_CAP","FQ3 2019","FQ3 2019","Currency=USD","Period=FQ","BEST_FPERIOD_OVERRIDE=FQ","FILING_STATUS=MR","Sort=A","Dates=H","DateFormat=P","Fill=—","Direction=H","UseDPDF=Y")</f>
        <v>45.838500000000003</v>
      </c>
      <c r="G31" s="14">
        <f>_xll.BDH("NBIX US Equity","TOT_DEBT_TO_TOT_CAP","FQ4 2019","FQ4 2019","Currency=USD","Period=FQ","BEST_FPERIOD_OVERRIDE=FQ","FILING_STATUS=MR","Sort=A","Dates=H","DateFormat=P","Fill=—","Direction=H","UseDPDF=Y")</f>
        <v>44.164999999999999</v>
      </c>
      <c r="H31" s="14">
        <f>_xll.BDH("NBIX US Equity","TOT_DEBT_TO_TOT_CAP","FQ1 2020","FQ1 2020","Currency=USD","Period=FQ","BEST_FPERIOD_OVERRIDE=FQ","FILING_STATUS=MR","Sort=A","Dates=H","DateFormat=P","Fill=—","Direction=H","UseDPDF=Y")</f>
        <v>42.066499999999998</v>
      </c>
      <c r="I31" s="14">
        <f>_xll.BDH("NBIX US Equity","TOT_DEBT_TO_TOT_CAP","FQ2 2020","FQ2 2020","Currency=USD","Period=FQ","BEST_FPERIOD_OVERRIDE=FQ","FILING_STATUS=MR","Sort=A","Dates=H","DateFormat=P","Fill=—","Direction=H","UseDPDF=Y")</f>
        <v>38.164000000000001</v>
      </c>
      <c r="J31" s="14">
        <f>_xll.BDH("NBIX US Equity","TOT_DEBT_TO_TOT_CAP","FQ3 2020","FQ3 2020","Currency=USD","Period=FQ","BEST_FPERIOD_OVERRIDE=FQ","FILING_STATUS=MR","Sort=A","Dates=H","DateFormat=P","Fill=—","Direction=H","UseDPDF=Y")</f>
        <v>39.160400000000003</v>
      </c>
      <c r="K31" s="14">
        <f>_xll.BDH("NBIX US Equity","TOT_DEBT_TO_TOT_CAP","FQ4 2020","FQ4 2020","Currency=USD","Period=FQ","BEST_FPERIOD_OVERRIDE=FQ","FILING_STATUS=MR","Sort=A","Dates=H","DateFormat=P","Fill=—","Direction=H","UseDPDF=Y")</f>
        <v>27.285599999999999</v>
      </c>
      <c r="L31" s="14">
        <f>_xll.BDH("NBIX US Equity","TOT_DEBT_TO_TOT_CAP","FQ1 2021","FQ1 2021","Currency=USD","Period=FQ","BEST_FPERIOD_OVERRIDE=FQ","FILING_STATUS=MR","Sort=A","Dates=H","DateFormat=P","Fill=—","Direction=H","UseDPDF=Y")</f>
        <v>26.813600000000001</v>
      </c>
      <c r="M31" s="14">
        <f>_xll.BDH("NBIX US Equity","TOT_DEBT_TO_TOT_CAP","FQ2 2021","FQ2 2021","Currency=USD","Period=FQ","BEST_FPERIOD_OVERRIDE=FQ","FILING_STATUS=MR","Sort=A","Dates=H","DateFormat=P","Fill=—","Direction=H","UseDPDF=Y")</f>
        <v>26.0364</v>
      </c>
      <c r="N31" s="14">
        <f>_xll.BDH("NBIX US Equity","TOT_DEBT_TO_TOT_CAP","FQ3 2021","FQ3 2021","Currency=USD","Period=FQ","BEST_FPERIOD_OVERRIDE=FQ","FILING_STATUS=MR","Sort=A","Dates=H","DateFormat=P","Fill=—","Direction=H","UseDPDF=Y")</f>
        <v>25.164000000000001</v>
      </c>
      <c r="O31" s="14">
        <f>_xll.BDH("NBIX US Equity","TOT_DEBT_TO_TOT_CAP","FQ4 2021","FQ4 2021","Currency=USD","Period=FQ","BEST_FPERIOD_OVERRIDE=FQ","FILING_STATUS=MR","Sort=A","Dates=H","DateFormat=P","Fill=—","Direction=H","UseDPDF=Y")</f>
        <v>24.954899999999999</v>
      </c>
      <c r="P31" s="14">
        <f>_xll.BDH("NBIX US Equity","TOT_DEBT_TO_TOT_CAP","FQ1 2022","FQ1 2022","Currency=USD","Period=FQ","BEST_FPERIOD_OVERRIDE=FQ","FILING_STATUS=MR","Sort=A","Dates=H","DateFormat=P","Fill=—","Direction=H","UseDPDF=Y")</f>
        <v>26.326699999999999</v>
      </c>
      <c r="Q31" s="14">
        <f>_xll.BDH("NBIX US Equity","TOT_DEBT_TO_TOT_CAP","FQ2 2022","FQ2 2022","Currency=USD","Period=FQ","BEST_FPERIOD_OVERRIDE=FQ","FILING_STATUS=MR","Sort=A","Dates=H","DateFormat=P","Fill=—","Direction=H","UseDPDF=Y")</f>
        <v>16.7164</v>
      </c>
      <c r="R31" s="14">
        <f>_xll.BDH("NBIX US Equity","TOT_DEBT_TO_TOT_CAP","FQ3 2022","FQ3 2022","Currency=USD","Period=FQ","BEST_FPERIOD_OVERRIDE=FQ","FILING_STATUS=MR","Sort=A","Dates=H","DateFormat=P","Fill=—","Direction=H","UseDPDF=Y")</f>
        <v>15.4894</v>
      </c>
      <c r="S31" s="14">
        <f>_xll.BDH("NBIX US Equity","TOT_DEBT_TO_TOT_CAP","FQ4 2022","FQ4 2022","Currency=USD","Period=FQ","BEST_FPERIOD_OVERRIDE=FQ","FILING_STATUS=MR","Sort=A","Dates=H","DateFormat=P","Fill=—","Direction=H","UseDPDF=Y")</f>
        <v>13.340400000000001</v>
      </c>
      <c r="T31" s="14">
        <f>_xll.BDH("NBIX US Equity","TOT_DEBT_TO_TOT_CAP","FQ1 2023","FQ1 2023","Currency=USD","Period=FQ","BEST_FPERIOD_OVERRIDE=FQ","FILING_STATUS=MR","Sort=A","Dates=H","DateFormat=P","Fill=—","Direction=H","UseDPDF=Y")</f>
        <v>13.3666</v>
      </c>
      <c r="U31" s="14">
        <f>_xll.BDH("NBIX US Equity","TOT_DEBT_TO_TOT_CAP","FQ2 2023","FQ2 2023","Currency=USD","Period=FQ","BEST_FPERIOD_OVERRIDE=FQ","FILING_STATUS=MR","Sort=A","Dates=H","DateFormat=P","Fill=—","Direction=H","UseDPDF=Y")</f>
        <v>12.984299999999999</v>
      </c>
      <c r="V31" s="14">
        <f>_xll.BDH("NBIX US Equity","TOT_DEBT_TO_TOT_CAP","FQ3 2023","FQ3 2023","Currency=USD","Period=FQ","BEST_FPERIOD_OVERRIDE=FQ","FILING_STATUS=MR","Sort=A","Dates=H","DateFormat=P","Fill=—","Direction=H","UseDPDF=Y")</f>
        <v>12.0227</v>
      </c>
      <c r="W31" s="14">
        <f>_xll.BDH("NBIX US Equity","TOT_DEBT_TO_TOT_CAP","FQ4 2023","FQ4 2023","Currency=USD","Period=FQ","BEST_FPERIOD_OVERRIDE=FQ","FILING_STATUS=MR","Sort=A","Dates=H","DateFormat=P","Fill=—","Direction=H","UseDPDF=Y")</f>
        <v>17.100000000000001</v>
      </c>
      <c r="X31" s="14">
        <f>_xll.BDH("NBIX US Equity","TOT_DEBT_TO_TOT_CAP","FQ1 2024","FQ1 2024","Currency=USD","Period=FQ","BEST_FPERIOD_OVERRIDE=FQ","FILING_STATUS=MR","Sort=A","Dates=H","DateFormat=P","Fill=—","Direction=H","UseDPDF=Y")</f>
        <v>14.6846</v>
      </c>
      <c r="Y31" s="14">
        <f>_xll.BDH("NBIX US Equity","TOT_DEBT_TO_TOT_CAP","FQ2 2024","FQ2 2024","Currency=USD","Period=FQ","BEST_FPERIOD_OVERRIDE=FQ","FILING_STATUS=MR","Sort=A","Dates=H","DateFormat=P","Fill=—","Direction=H","UseDPDF=Y")</f>
        <v>10.411300000000001</v>
      </c>
      <c r="Z31" s="14">
        <f>_xll.BDH("NBIX US Equity","TOT_DEBT_TO_TOT_CAP","FQ3 2024","FQ3 2024","Currency=USD","Period=FQ","BEST_FPERIOD_OVERRIDE=FQ","FILING_STATUS=MR","Sort=A","Dates=H","DateFormat=P","Fill=—","Direction=H","UseDPDF=Y")</f>
        <v>9.5237999999999996</v>
      </c>
      <c r="AA31" s="14">
        <f>_xll.BDH("NBIX US Equity","TOT_DEBT_TO_TOT_CAP","FQ4 2024","FQ4 2024","Currency=USD","Period=FQ","BEST_FPERIOD_OVERRIDE=FQ","FILING_STATUS=MR","Sort=A","Dates=H","DateFormat=P","Fill=—","Direction=H","UseDPDF=Y")</f>
        <v>16.065999999999999</v>
      </c>
    </row>
    <row r="32" spans="1:27" x14ac:dyDescent="0.25">
      <c r="A32" s="10" t="s">
        <v>1400</v>
      </c>
      <c r="B32" s="10" t="s">
        <v>1401</v>
      </c>
      <c r="C32" s="14">
        <f>_xll.BDH("NBIX US Equity","TOT_DEBT_TO_TOT_ASSET","FQ4 2018","FQ4 2018","Currency=USD","Period=FQ","BEST_FPERIOD_OVERRIDE=FQ","FILING_STATUS=MR","Sort=A","Dates=H","DateFormat=P","Fill=—","Direction=H","UseDPDF=Y")</f>
        <v>39.1175</v>
      </c>
      <c r="D32" s="14">
        <f>_xll.BDH("NBIX US Equity","TOT_DEBT_TO_TOT_ASSET","FQ1 2019","FQ1 2019","Currency=USD","Period=FQ","BEST_FPERIOD_OVERRIDE=FQ","FILING_STATUS=MR","Sort=A","Dates=H","DateFormat=P","Fill=—","Direction=H","UseDPDF=Y")</f>
        <v>48.432499999999997</v>
      </c>
      <c r="E32" s="14">
        <f>_xll.BDH("NBIX US Equity","TOT_DEBT_TO_TOT_ASSET","FQ2 2019","FQ2 2019","Currency=USD","Period=FQ","BEST_FPERIOD_OVERRIDE=FQ","FILING_STATUS=MR","Sort=A","Dates=H","DateFormat=P","Fill=—","Direction=H","UseDPDF=Y")</f>
        <v>43.904499999999999</v>
      </c>
      <c r="F32" s="14">
        <f>_xll.BDH("NBIX US Equity","TOT_DEBT_TO_TOT_ASSET","FQ3 2019","FQ3 2019","Currency=USD","Period=FQ","BEST_FPERIOD_OVERRIDE=FQ","FILING_STATUS=MR","Sort=A","Dates=H","DateFormat=P","Fill=—","Direction=H","UseDPDF=Y")</f>
        <v>41.208199999999998</v>
      </c>
      <c r="G32" s="14">
        <f>_xll.BDH("NBIX US Equity","TOT_DEBT_TO_TOT_ASSET","FQ4 2019","FQ4 2019","Currency=USD","Period=FQ","BEST_FPERIOD_OVERRIDE=FQ","FILING_STATUS=MR","Sort=A","Dates=H","DateFormat=P","Fill=—","Direction=H","UseDPDF=Y")</f>
        <v>38.574399999999997</v>
      </c>
      <c r="H32" s="14">
        <f>_xll.BDH("NBIX US Equity","TOT_DEBT_TO_TOT_ASSET","FQ1 2020","FQ1 2020","Currency=USD","Period=FQ","BEST_FPERIOD_OVERRIDE=FQ","FILING_STATUS=MR","Sort=A","Dates=H","DateFormat=P","Fill=—","Direction=H","UseDPDF=Y")</f>
        <v>37.337499999999999</v>
      </c>
      <c r="I32" s="14">
        <f>_xll.BDH("NBIX US Equity","TOT_DEBT_TO_TOT_ASSET","FQ2 2020","FQ2 2020","Currency=USD","Period=FQ","BEST_FPERIOD_OVERRIDE=FQ","FILING_STATUS=MR","Sort=A","Dates=H","DateFormat=P","Fill=—","Direction=H","UseDPDF=Y")</f>
        <v>33.847999999999999</v>
      </c>
      <c r="J32" s="14">
        <f>_xll.BDH("NBIX US Equity","TOT_DEBT_TO_TOT_ASSET","FQ3 2020","FQ3 2020","Currency=USD","Period=FQ","BEST_FPERIOD_OVERRIDE=FQ","FILING_STATUS=MR","Sort=A","Dates=H","DateFormat=P","Fill=—","Direction=H","UseDPDF=Y")</f>
        <v>34.453600000000002</v>
      </c>
      <c r="K32" s="14">
        <f>_xll.BDH("NBIX US Equity","TOT_DEBT_TO_TOT_ASSET","FQ4 2020","FQ4 2020","Currency=USD","Period=FQ","BEST_FPERIOD_OVERRIDE=FQ","FILING_STATUS=MR","Sort=A","Dates=H","DateFormat=P","Fill=—","Direction=H","UseDPDF=Y")</f>
        <v>24.361599999999999</v>
      </c>
      <c r="L32" s="14">
        <f>_xll.BDH("NBIX US Equity","TOT_DEBT_TO_TOT_ASSET","FQ1 2021","FQ1 2021","Currency=USD","Period=FQ","BEST_FPERIOD_OVERRIDE=FQ","FILING_STATUS=MR","Sort=A","Dates=H","DateFormat=P","Fill=—","Direction=H","UseDPDF=Y")</f>
        <v>23.9222</v>
      </c>
      <c r="M32" s="14">
        <f>_xll.BDH("NBIX US Equity","TOT_DEBT_TO_TOT_ASSET","FQ2 2021","FQ2 2021","Currency=USD","Period=FQ","BEST_FPERIOD_OVERRIDE=FQ","FILING_STATUS=MR","Sort=A","Dates=H","DateFormat=P","Fill=—","Direction=H","UseDPDF=Y")</f>
        <v>23.0168</v>
      </c>
      <c r="N32" s="14">
        <f>_xll.BDH("NBIX US Equity","TOT_DEBT_TO_TOT_ASSET","FQ3 2021","FQ3 2021","Currency=USD","Period=FQ","BEST_FPERIOD_OVERRIDE=FQ","FILING_STATUS=MR","Sort=A","Dates=H","DateFormat=P","Fill=—","Direction=H","UseDPDF=Y")</f>
        <v>22.4359</v>
      </c>
      <c r="O32" s="14">
        <f>_xll.BDH("NBIX US Equity","TOT_DEBT_TO_TOT_ASSET","FQ4 2021","FQ4 2021","Currency=USD","Period=FQ","BEST_FPERIOD_OVERRIDE=FQ","FILING_STATUS=MR","Sort=A","Dates=H","DateFormat=P","Fill=—","Direction=H","UseDPDF=Y")</f>
        <v>22.0458</v>
      </c>
      <c r="P32" s="14">
        <f>_xll.BDH("NBIX US Equity","TOT_DEBT_TO_TOT_ASSET","FQ1 2022","FQ1 2022","Currency=USD","Period=FQ","BEST_FPERIOD_OVERRIDE=FQ","FILING_STATUS=MR","Sort=A","Dates=H","DateFormat=P","Fill=—","Direction=H","UseDPDF=Y")</f>
        <v>23.180199999999999</v>
      </c>
      <c r="Q32" s="14">
        <f>_xll.BDH("NBIX US Equity","TOT_DEBT_TO_TOT_ASSET","FQ2 2022","FQ2 2022","Currency=USD","Period=FQ","BEST_FPERIOD_OVERRIDE=FQ","FILING_STATUS=MR","Sort=A","Dates=H","DateFormat=P","Fill=—","Direction=H","UseDPDF=Y")</f>
        <v>14.244400000000001</v>
      </c>
      <c r="R32" s="14">
        <f>_xll.BDH("NBIX US Equity","TOT_DEBT_TO_TOT_ASSET","FQ3 2022","FQ3 2022","Currency=USD","Period=FQ","BEST_FPERIOD_OVERRIDE=FQ","FILING_STATUS=MR","Sort=A","Dates=H","DateFormat=P","Fill=—","Direction=H","UseDPDF=Y")</f>
        <v>13.208</v>
      </c>
      <c r="S32" s="14">
        <f>_xll.BDH("NBIX US Equity","TOT_DEBT_TO_TOT_ASSET","FQ4 2022","FQ4 2022","Currency=USD","Period=FQ","BEST_FPERIOD_OVERRIDE=FQ","FILING_STATUS=MR","Sort=A","Dates=H","DateFormat=P","Fill=—","Direction=H","UseDPDF=Y")</f>
        <v>11.0989</v>
      </c>
      <c r="T32" s="14">
        <f>_xll.BDH("NBIX US Equity","TOT_DEBT_TO_TOT_ASSET","FQ1 2023","FQ1 2023","Currency=USD","Period=FQ","BEST_FPERIOD_OVERRIDE=FQ","FILING_STATUS=MR","Sort=A","Dates=H","DateFormat=P","Fill=—","Direction=H","UseDPDF=Y")</f>
        <v>11.0136</v>
      </c>
      <c r="U32" s="14">
        <f>_xll.BDH("NBIX US Equity","TOT_DEBT_TO_TOT_ASSET","FQ2 2023","FQ2 2023","Currency=USD","Period=FQ","BEST_FPERIOD_OVERRIDE=FQ","FILING_STATUS=MR","Sort=A","Dates=H","DateFormat=P","Fill=—","Direction=H","UseDPDF=Y")</f>
        <v>10.581300000000001</v>
      </c>
      <c r="V32" s="14">
        <f>_xll.BDH("NBIX US Equity","TOT_DEBT_TO_TOT_ASSET","FQ3 2023","FQ3 2023","Currency=USD","Period=FQ","BEST_FPERIOD_OVERRIDE=FQ","FILING_STATUS=MR","Sort=A","Dates=H","DateFormat=P","Fill=—","Direction=H","UseDPDF=Y")</f>
        <v>9.6060999999999996</v>
      </c>
      <c r="W32" s="14">
        <f>_xll.BDH("NBIX US Equity","TOT_DEBT_TO_TOT_ASSET","FQ4 2023","FQ4 2023","Currency=USD","Period=FQ","BEST_FPERIOD_OVERRIDE=FQ","FILING_STATUS=MR","Sort=A","Dates=H","DateFormat=P","Fill=—","Direction=H","UseDPDF=Y")</f>
        <v>14.1601</v>
      </c>
      <c r="X32" s="14">
        <f>_xll.BDH("NBIX US Equity","TOT_DEBT_TO_TOT_ASSET","FQ1 2024","FQ1 2024","Currency=USD","Period=FQ","BEST_FPERIOD_OVERRIDE=FQ","FILING_STATUS=MR","Sort=A","Dates=H","DateFormat=P","Fill=—","Direction=H","UseDPDF=Y")</f>
        <v>11.8276</v>
      </c>
      <c r="Y32" s="14">
        <f>_xll.BDH("NBIX US Equity","TOT_DEBT_TO_TOT_ASSET","FQ2 2024","FQ2 2024","Currency=USD","Period=FQ","BEST_FPERIOD_OVERRIDE=FQ","FILING_STATUS=MR","Sort=A","Dates=H","DateFormat=P","Fill=—","Direction=H","UseDPDF=Y")</f>
        <v>8.8230000000000004</v>
      </c>
      <c r="Z32" s="14">
        <f>_xll.BDH("NBIX US Equity","TOT_DEBT_TO_TOT_ASSET","FQ3 2024","FQ3 2024","Currency=USD","Period=FQ","BEST_FPERIOD_OVERRIDE=FQ","FILING_STATUS=MR","Sort=A","Dates=H","DateFormat=P","Fill=—","Direction=H","UseDPDF=Y")</f>
        <v>8.0961999999999996</v>
      </c>
      <c r="AA32" s="14">
        <f>_xll.BDH("NBIX US Equity","TOT_DEBT_TO_TOT_ASSET","FQ4 2024","FQ4 2024","Currency=USD","Period=FQ","BEST_FPERIOD_OVERRIDE=FQ","FILING_STATUS=MR","Sort=A","Dates=H","DateFormat=P","Fill=—","Direction=H","UseDPDF=Y")</f>
        <v>13.3299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1402</v>
      </c>
      <c r="B34" s="10" t="s">
        <v>806</v>
      </c>
      <c r="C34" s="14">
        <f>_xll.BDH("NBIX US Equity","NET_DEBT_TO_SHRHLDR_EQTY","FQ4 2018","FQ4 2018","Currency=USD","Period=FQ","BEST_FPERIOD_OVERRIDE=FQ","FILING_STATUS=MR","Sort=A","Dates=H","DateFormat=P","Fill=—","Direction=H","UseDPDF=Y")</f>
        <v>-54.583199999999998</v>
      </c>
      <c r="D34" s="14">
        <f>_xll.BDH("NBIX US Equity","NET_DEBT_TO_SHRHLDR_EQTY","FQ1 2019","FQ1 2019","Currency=USD","Period=FQ","BEST_FPERIOD_OVERRIDE=FQ","FILING_STATUS=MR","Sort=A","Dates=H","DateFormat=P","Fill=—","Direction=H","UseDPDF=Y")</f>
        <v>-14.7136</v>
      </c>
      <c r="E34" s="14">
        <f>_xll.BDH("NBIX US Equity","NET_DEBT_TO_SHRHLDR_EQTY","FQ2 2019","FQ2 2019","Currency=USD","Period=FQ","BEST_FPERIOD_OVERRIDE=FQ","FILING_STATUS=MR","Sort=A","Dates=H","DateFormat=P","Fill=—","Direction=H","UseDPDF=Y")</f>
        <v>-31.3368</v>
      </c>
      <c r="F34" s="14">
        <f>_xll.BDH("NBIX US Equity","NET_DEBT_TO_SHRHLDR_EQTY","FQ3 2019","FQ3 2019","Currency=USD","Period=FQ","BEST_FPERIOD_OVERRIDE=FQ","FILING_STATUS=MR","Sort=A","Dates=H","DateFormat=P","Fill=—","Direction=H","UseDPDF=Y")</f>
        <v>-32.0152</v>
      </c>
      <c r="G34" s="14">
        <f>_xll.BDH("NBIX US Equity","NET_DEBT_TO_SHRHLDR_EQTY","FQ4 2019","FQ4 2019","Currency=USD","Period=FQ","BEST_FPERIOD_OVERRIDE=FQ","FILING_STATUS=MR","Sort=A","Dates=H","DateFormat=P","Fill=—","Direction=H","UseDPDF=Y")</f>
        <v>-26.176500000000001</v>
      </c>
      <c r="H34" s="14">
        <f>_xll.BDH("NBIX US Equity","NET_DEBT_TO_SHRHLDR_EQTY","FQ1 2020","FQ1 2020","Currency=USD","Period=FQ","BEST_FPERIOD_OVERRIDE=FQ","FILING_STATUS=MR","Sort=A","Dates=H","DateFormat=P","Fill=—","Direction=H","UseDPDF=Y")</f>
        <v>-37.5839</v>
      </c>
      <c r="I34" s="14">
        <f>_xll.BDH("NBIX US Equity","NET_DEBT_TO_SHRHLDR_EQTY","FQ2 2020","FQ2 2020","Currency=USD","Period=FQ","BEST_FPERIOD_OVERRIDE=FQ","FILING_STATUS=MR","Sort=A","Dates=H","DateFormat=P","Fill=—","Direction=H","UseDPDF=Y")</f>
        <v>-52.370100000000001</v>
      </c>
      <c r="J34" s="14">
        <f>_xll.BDH("NBIX US Equity","NET_DEBT_TO_SHRHLDR_EQTY","FQ3 2020","FQ3 2020","Currency=USD","Period=FQ","BEST_FPERIOD_OVERRIDE=FQ","FILING_STATUS=MR","Sort=A","Dates=H","DateFormat=P","Fill=—","Direction=H","UseDPDF=Y")</f>
        <v>-53.089599999999997</v>
      </c>
      <c r="K34" s="14">
        <f>_xll.BDH("NBIX US Equity","NET_DEBT_TO_SHRHLDR_EQTY","FQ4 2020","FQ4 2020","Currency=USD","Period=FQ","BEST_FPERIOD_OVERRIDE=FQ","FILING_STATUS=MR","Sort=A","Dates=H","DateFormat=P","Fill=—","Direction=H","UseDPDF=Y")</f>
        <v>-33.599699999999999</v>
      </c>
      <c r="L34" s="14">
        <f>_xll.BDH("NBIX US Equity","NET_DEBT_TO_SHRHLDR_EQTY","FQ1 2021","FQ1 2021","Currency=USD","Period=FQ","BEST_FPERIOD_OVERRIDE=FQ","FILING_STATUS=MR","Sort=A","Dates=H","DateFormat=P","Fill=—","Direction=H","UseDPDF=Y")</f>
        <v>-35.832799999999999</v>
      </c>
      <c r="M34" s="14">
        <f>_xll.BDH("NBIX US Equity","NET_DEBT_TO_SHRHLDR_EQTY","FQ2 2021","FQ2 2021","Currency=USD","Period=FQ","BEST_FPERIOD_OVERRIDE=FQ","FILING_STATUS=MR","Sort=A","Dates=H","DateFormat=P","Fill=—","Direction=H","UseDPDF=Y")</f>
        <v>-33.974400000000003</v>
      </c>
      <c r="N34" s="14">
        <f>_xll.BDH("NBIX US Equity","NET_DEBT_TO_SHRHLDR_EQTY","FQ3 2021","FQ3 2021","Currency=USD","Period=FQ","BEST_FPERIOD_OVERRIDE=FQ","FILING_STATUS=MR","Sort=A","Dates=H","DateFormat=P","Fill=—","Direction=H","UseDPDF=Y")</f>
        <v>-23.276399999999999</v>
      </c>
      <c r="O34" s="14">
        <f>_xll.BDH("NBIX US Equity","NET_DEBT_TO_SHRHLDR_EQTY","FQ4 2021","FQ4 2021","Currency=USD","Period=FQ","BEST_FPERIOD_OVERRIDE=FQ","FILING_STATUS=MR","Sort=A","Dates=H","DateFormat=P","Fill=—","Direction=H","UseDPDF=Y")</f>
        <v>-18.5153</v>
      </c>
      <c r="P34" s="14">
        <f>_xll.BDH("NBIX US Equity","NET_DEBT_TO_SHRHLDR_EQTY","FQ1 2022","FQ1 2022","Currency=USD","Period=FQ","BEST_FPERIOD_OVERRIDE=FQ","FILING_STATUS=MR","Sort=A","Dates=H","DateFormat=P","Fill=—","Direction=H","UseDPDF=Y")</f>
        <v>-12.0624</v>
      </c>
      <c r="Q34" s="14">
        <f>_xll.BDH("NBIX US Equity","NET_DEBT_TO_SHRHLDR_EQTY","FQ2 2022","FQ2 2022","Currency=USD","Period=FQ","BEST_FPERIOD_OVERRIDE=FQ","FILING_STATUS=MR","Sort=A","Dates=H","DateFormat=P","Fill=—","Direction=H","UseDPDF=Y")</f>
        <v>-25.4742</v>
      </c>
      <c r="R34" s="14">
        <f>_xll.BDH("NBIX US Equity","NET_DEBT_TO_SHRHLDR_EQTY","FQ3 2022","FQ3 2022","Currency=USD","Period=FQ","BEST_FPERIOD_OVERRIDE=FQ","FILING_STATUS=MR","Sort=A","Dates=H","DateFormat=P","Fill=—","Direction=H","UseDPDF=Y")</f>
        <v>-33.426099999999998</v>
      </c>
      <c r="S34" s="14">
        <f>_xll.BDH("NBIX US Equity","NET_DEBT_TO_SHRHLDR_EQTY","FQ4 2022","FQ4 2022","Currency=USD","Period=FQ","BEST_FPERIOD_OVERRIDE=FQ","FILING_STATUS=MR","Sort=A","Dates=H","DateFormat=P","Fill=—","Direction=H","UseDPDF=Y")</f>
        <v>-42.534300000000002</v>
      </c>
      <c r="T34" s="14">
        <f>_xll.BDH("NBIX US Equity","NET_DEBT_TO_SHRHLDR_EQTY","FQ1 2023","FQ1 2023","Currency=USD","Period=FQ","BEST_FPERIOD_OVERRIDE=FQ","FILING_STATUS=MR","Sort=A","Dates=H","DateFormat=P","Fill=—","Direction=H","UseDPDF=Y")</f>
        <v>-37.678800000000003</v>
      </c>
      <c r="U34" s="14">
        <f>_xll.BDH("NBIX US Equity","NET_DEBT_TO_SHRHLDR_EQTY","FQ2 2023","FQ2 2023","Currency=USD","Period=FQ","BEST_FPERIOD_OVERRIDE=FQ","FILING_STATUS=MR","Sort=A","Dates=H","DateFormat=P","Fill=—","Direction=H","UseDPDF=Y")</f>
        <v>-37.787399999999998</v>
      </c>
      <c r="V34" s="14">
        <f>_xll.BDH("NBIX US Equity","NET_DEBT_TO_SHRHLDR_EQTY","FQ3 2023","FQ3 2023","Currency=USD","Period=FQ","BEST_FPERIOD_OVERRIDE=FQ","FILING_STATUS=MR","Sort=A","Dates=H","DateFormat=P","Fill=—","Direction=H","UseDPDF=Y")</f>
        <v>-41.0319</v>
      </c>
      <c r="W34" s="14">
        <f>_xll.BDH("NBIX US Equity","NET_DEBT_TO_SHRHLDR_EQTY","FQ4 2023","FQ4 2023","Currency=USD","Period=FQ","BEST_FPERIOD_OVERRIDE=FQ","FILING_STATUS=MR","Sort=A","Dates=H","DateFormat=P","Fill=—","Direction=H","UseDPDF=Y")</f>
        <v>-25.5914</v>
      </c>
      <c r="X34" s="14">
        <f>_xll.BDH("NBIX US Equity","NET_DEBT_TO_SHRHLDR_EQTY","FQ1 2024","FQ1 2024","Currency=USD","Period=FQ","BEST_FPERIOD_OVERRIDE=FQ","FILING_STATUS=MR","Sort=A","Dates=H","DateFormat=P","Fill=—","Direction=H","UseDPDF=Y")</f>
        <v>-33.523299999999999</v>
      </c>
      <c r="Y34" s="14">
        <f>_xll.BDH("NBIX US Equity","NET_DEBT_TO_SHRHLDR_EQTY","FQ2 2024","FQ2 2024","Currency=USD","Period=FQ","BEST_FPERIOD_OVERRIDE=FQ","FILING_STATUS=MR","Sort=A","Dates=H","DateFormat=P","Fill=—","Direction=H","UseDPDF=Y")</f>
        <v>-29.782399999999999</v>
      </c>
      <c r="Z34" s="14">
        <f>_xll.BDH("NBIX US Equity","NET_DEBT_TO_SHRHLDR_EQTY","FQ3 2024","FQ3 2024","Currency=USD","Period=FQ","BEST_FPERIOD_OVERRIDE=FQ","FILING_STATUS=MR","Sort=A","Dates=H","DateFormat=P","Fill=—","Direction=H","UseDPDF=Y")</f>
        <v>-34.639000000000003</v>
      </c>
      <c r="AA34" s="14">
        <f>_xll.BDH("NBIX US Equity","NET_DEBT_TO_SHRHLDR_EQTY","FQ4 2024","FQ4 2024","Currency=USD","Period=FQ","BEST_FPERIOD_OVERRIDE=FQ","FILING_STATUS=MR","Sort=A","Dates=H","DateFormat=P","Fill=—","Direction=H","UseDPDF=Y")</f>
        <v>-22.411899999999999</v>
      </c>
    </row>
    <row r="35" spans="1:27" x14ac:dyDescent="0.25">
      <c r="A35" s="10" t="s">
        <v>1403</v>
      </c>
      <c r="B35" s="10" t="s">
        <v>1404</v>
      </c>
      <c r="C35" s="14">
        <f>_xll.BDH("NBIX US Equity","NET_DEBT_PCT_OF_TOT_CAPITAL","FQ4 2018","FQ4 2018","Currency=USD","Period=FQ","BEST_FPERIOD_OVERRIDE=FQ","FILING_STATUS=MR","Sort=A","Dates=H","DateFormat=P","Fill=—","Direction=H","UseDPDF=Y")</f>
        <v>-120.1829</v>
      </c>
      <c r="D35" s="14">
        <f>_xll.BDH("NBIX US Equity","NET_DEBT_PCT_OF_TOT_CAPITAL","FQ1 2019","FQ1 2019","Currency=USD","Period=FQ","BEST_FPERIOD_OVERRIDE=FQ","FILING_STATUS=MR","Sort=A","Dates=H","DateFormat=P","Fill=—","Direction=H","UseDPDF=Y")</f>
        <v>-17.251999999999999</v>
      </c>
      <c r="E35" s="14">
        <f>_xll.BDH("NBIX US Equity","NET_DEBT_PCT_OF_TOT_CAPITAL","FQ2 2019","FQ2 2019","Currency=USD","Period=FQ","BEST_FPERIOD_OVERRIDE=FQ","FILING_STATUS=MR","Sort=A","Dates=H","DateFormat=P","Fill=—","Direction=H","UseDPDF=Y")</f>
        <v>-45.638399999999997</v>
      </c>
      <c r="F35" s="14">
        <f>_xll.BDH("NBIX US Equity","NET_DEBT_PCT_OF_TOT_CAPITAL","FQ3 2019","FQ3 2019","Currency=USD","Period=FQ","BEST_FPERIOD_OVERRIDE=FQ","FILING_STATUS=MR","Sort=A","Dates=H","DateFormat=P","Fill=—","Direction=H","UseDPDF=Y")</f>
        <v>-47.091700000000003</v>
      </c>
      <c r="G35" s="14">
        <f>_xll.BDH("NBIX US Equity","NET_DEBT_PCT_OF_TOT_CAPITAL","FQ4 2019","FQ4 2019","Currency=USD","Period=FQ","BEST_FPERIOD_OVERRIDE=FQ","FILING_STATUS=MR","Sort=A","Dates=H","DateFormat=P","Fill=—","Direction=H","UseDPDF=Y")</f>
        <v>-35.458199999999998</v>
      </c>
      <c r="H35" s="14">
        <f>_xll.BDH("NBIX US Equity","NET_DEBT_PCT_OF_TOT_CAPITAL","FQ1 2020","FQ1 2020","Currency=USD","Period=FQ","BEST_FPERIOD_OVERRIDE=FQ","FILING_STATUS=MR","Sort=A","Dates=H","DateFormat=P","Fill=—","Direction=H","UseDPDF=Y")</f>
        <v>-60.2151</v>
      </c>
      <c r="I35" s="14">
        <f>_xll.BDH("NBIX US Equity","NET_DEBT_PCT_OF_TOT_CAPITAL","FQ2 2020","FQ2 2020","Currency=USD","Period=FQ","BEST_FPERIOD_OVERRIDE=FQ","FILING_STATUS=MR","Sort=A","Dates=H","DateFormat=P","Fill=—","Direction=H","UseDPDF=Y")</f>
        <v>-109.952</v>
      </c>
      <c r="J35" s="14">
        <f>_xll.BDH("NBIX US Equity","NET_DEBT_PCT_OF_TOT_CAPITAL","FQ3 2020","FQ3 2020","Currency=USD","Period=FQ","BEST_FPERIOD_OVERRIDE=FQ","FILING_STATUS=MR","Sort=A","Dates=H","DateFormat=P","Fill=—","Direction=H","UseDPDF=Y")</f>
        <v>-113.1725</v>
      </c>
      <c r="K35" s="14">
        <f>_xll.BDH("NBIX US Equity","NET_DEBT_PCT_OF_TOT_CAPITAL","FQ4 2020","FQ4 2020","Currency=USD","Period=FQ","BEST_FPERIOD_OVERRIDE=FQ","FILING_STATUS=MR","Sort=A","Dates=H","DateFormat=P","Fill=—","Direction=H","UseDPDF=Y")</f>
        <v>-50.601799999999997</v>
      </c>
      <c r="L35" s="14">
        <f>_xll.BDH("NBIX US Equity","NET_DEBT_PCT_OF_TOT_CAPITAL","FQ1 2021","FQ1 2021","Currency=USD","Period=FQ","BEST_FPERIOD_OVERRIDE=FQ","FILING_STATUS=MR","Sort=A","Dates=H","DateFormat=P","Fill=—","Direction=H","UseDPDF=Y")</f>
        <v>-55.842799999999997</v>
      </c>
      <c r="M35" s="14">
        <f>_xll.BDH("NBIX US Equity","NET_DEBT_PCT_OF_TOT_CAPITAL","FQ2 2021","FQ2 2021","Currency=USD","Period=FQ","BEST_FPERIOD_OVERRIDE=FQ","FILING_STATUS=MR","Sort=A","Dates=H","DateFormat=P","Fill=—","Direction=H","UseDPDF=Y")</f>
        <v>-51.456299999999999</v>
      </c>
      <c r="N35" s="14">
        <f>_xll.BDH("NBIX US Equity","NET_DEBT_PCT_OF_TOT_CAPITAL","FQ3 2021","FQ3 2021","Currency=USD","Period=FQ","BEST_FPERIOD_OVERRIDE=FQ","FILING_STATUS=MR","Sort=A","Dates=H","DateFormat=P","Fill=—","Direction=H","UseDPDF=Y")</f>
        <v>-30.337900000000001</v>
      </c>
      <c r="O35" s="14">
        <f>_xll.BDH("NBIX US Equity","NET_DEBT_PCT_OF_TOT_CAPITAL","FQ4 2021","FQ4 2021","Currency=USD","Period=FQ","BEST_FPERIOD_OVERRIDE=FQ","FILING_STATUS=MR","Sort=A","Dates=H","DateFormat=P","Fill=—","Direction=H","UseDPDF=Y")</f>
        <v>-22.7224</v>
      </c>
      <c r="P35" s="14">
        <f>_xll.BDH("NBIX US Equity","NET_DEBT_PCT_OF_TOT_CAPITAL","FQ1 2022","FQ1 2022","Currency=USD","Period=FQ","BEST_FPERIOD_OVERRIDE=FQ","FILING_STATUS=MR","Sort=A","Dates=H","DateFormat=P","Fill=—","Direction=H","UseDPDF=Y")</f>
        <v>-13.717000000000001</v>
      </c>
      <c r="Q35" s="14">
        <f>_xll.BDH("NBIX US Equity","NET_DEBT_PCT_OF_TOT_CAPITAL","FQ2 2022","FQ2 2022","Currency=USD","Period=FQ","BEST_FPERIOD_OVERRIDE=FQ","FILING_STATUS=MR","Sort=A","Dates=H","DateFormat=P","Fill=—","Direction=H","UseDPDF=Y")</f>
        <v>-34.181699999999999</v>
      </c>
      <c r="R35" s="14">
        <f>_xll.BDH("NBIX US Equity","NET_DEBT_PCT_OF_TOT_CAPITAL","FQ3 2022","FQ3 2022","Currency=USD","Period=FQ","BEST_FPERIOD_OVERRIDE=FQ","FILING_STATUS=MR","Sort=A","Dates=H","DateFormat=P","Fill=—","Direction=H","UseDPDF=Y")</f>
        <v>-50.209099999999999</v>
      </c>
      <c r="S35" s="14">
        <f>_xll.BDH("NBIX US Equity","NET_DEBT_PCT_OF_TOT_CAPITAL","FQ4 2022","FQ4 2022","Currency=USD","Period=FQ","BEST_FPERIOD_OVERRIDE=FQ","FILING_STATUS=MR","Sort=A","Dates=H","DateFormat=P","Fill=—","Direction=H","UseDPDF=Y")</f>
        <v>-74.0167</v>
      </c>
      <c r="T35" s="14">
        <f>_xll.BDH("NBIX US Equity","NET_DEBT_PCT_OF_TOT_CAPITAL","FQ1 2023","FQ1 2023","Currency=USD","Period=FQ","BEST_FPERIOD_OVERRIDE=FQ","FILING_STATUS=MR","Sort=A","Dates=H","DateFormat=P","Fill=—","Direction=H","UseDPDF=Y")</f>
        <v>-60.459099999999999</v>
      </c>
      <c r="U35" s="14">
        <f>_xll.BDH("NBIX US Equity","NET_DEBT_PCT_OF_TOT_CAPITAL","FQ2 2023","FQ2 2023","Currency=USD","Period=FQ","BEST_FPERIOD_OVERRIDE=FQ","FILING_STATUS=MR","Sort=A","Dates=H","DateFormat=P","Fill=—","Direction=H","UseDPDF=Y")</f>
        <v>-60.739100000000001</v>
      </c>
      <c r="V35" s="14">
        <f>_xll.BDH("NBIX US Equity","NET_DEBT_PCT_OF_TOT_CAPITAL","FQ3 2023","FQ3 2023","Currency=USD","Period=FQ","BEST_FPERIOD_OVERRIDE=FQ","FILING_STATUS=MR","Sort=A","Dates=H","DateFormat=P","Fill=—","Direction=H","UseDPDF=Y")</f>
        <v>-69.583299999999994</v>
      </c>
      <c r="W35" s="14">
        <f>_xll.BDH("NBIX US Equity","NET_DEBT_PCT_OF_TOT_CAPITAL","FQ4 2023","FQ4 2023","Currency=USD","Period=FQ","BEST_FPERIOD_OVERRIDE=FQ","FILING_STATUS=MR","Sort=A","Dates=H","DateFormat=P","Fill=—","Direction=H","UseDPDF=Y")</f>
        <v>-34.393099999999997</v>
      </c>
      <c r="X35" s="14">
        <f>_xll.BDH("NBIX US Equity","NET_DEBT_PCT_OF_TOT_CAPITAL","FQ1 2024","FQ1 2024","Currency=USD","Period=FQ","BEST_FPERIOD_OVERRIDE=FQ","FILING_STATUS=MR","Sort=A","Dates=H","DateFormat=P","Fill=—","Direction=H","UseDPDF=Y")</f>
        <v>-50.428699999999999</v>
      </c>
      <c r="Y35" s="14">
        <f>_xll.BDH("NBIX US Equity","NET_DEBT_PCT_OF_TOT_CAPITAL","FQ2 2024","FQ2 2024","Currency=USD","Period=FQ","BEST_FPERIOD_OVERRIDE=FQ","FILING_STATUS=MR","Sort=A","Dates=H","DateFormat=P","Fill=—","Direction=H","UseDPDF=Y")</f>
        <v>-42.414400000000001</v>
      </c>
      <c r="Z35" s="14">
        <f>_xll.BDH("NBIX US Equity","NET_DEBT_PCT_OF_TOT_CAPITAL","FQ3 2024","FQ3 2024","Currency=USD","Period=FQ","BEST_FPERIOD_OVERRIDE=FQ","FILING_STATUS=MR","Sort=A","Dates=H","DateFormat=P","Fill=—","Direction=H","UseDPDF=Y")</f>
        <v>-52.996499999999997</v>
      </c>
      <c r="AA35" s="14">
        <f>_xll.BDH("NBIX US Equity","NET_DEBT_PCT_OF_TOT_CAPITAL","FQ4 2024","FQ4 2024","Currency=USD","Period=FQ","BEST_FPERIOD_OVERRIDE=FQ","FILING_STATUS=MR","Sort=A","Dates=H","DateFormat=P","Fill=—","Direction=H","UseDPDF=Y")</f>
        <v>-28.8857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78</v>
      </c>
      <c r="B37" s="10" t="s">
        <v>78</v>
      </c>
      <c r="C37" s="13">
        <f>_xll.BDH("NBIX US Equity","EBITDA","FQ4 2018","FQ4 2018","Currency=USD","Period=FQ","BEST_FPERIOD_OVERRIDE=FQ","FILING_STATUS=MR","SCALING_FORMAT=MLN","FA_ADJUSTED=GAAP","Sort=A","Dates=H","DateFormat=P","Fill=—","Direction=H","UseDPDF=Y")</f>
        <v>23.146000000000001</v>
      </c>
      <c r="D37" s="13">
        <f>_xll.BDH("NBIX US Equity","EBITDA","FQ1 2019","FQ1 2019","Currency=USD","Period=FQ","BEST_FPERIOD_OVERRIDE=FQ","FILING_STATUS=MR","SCALING_FORMAT=MLN","FA_ADJUSTED=GAAP","Sort=A","Dates=H","DateFormat=P","Fill=—","Direction=H","UseDPDF=Y")</f>
        <v>-97.531000000000006</v>
      </c>
      <c r="E37" s="13">
        <f>_xll.BDH("NBIX US Equity","EBITDA","FQ2 2019","FQ2 2019","Currency=USD","Period=FQ","BEST_FPERIOD_OVERRIDE=FQ","FILING_STATUS=MR","SCALING_FORMAT=MLN","FA_ADJUSTED=GAAP","Sort=A","Dates=H","DateFormat=P","Fill=—","Direction=H","UseDPDF=Y")</f>
        <v>38.247</v>
      </c>
      <c r="F37" s="13">
        <f>_xll.BDH("NBIX US Equity","EBITDA","FQ3 2019","FQ3 2019","Currency=USD","Period=FQ","BEST_FPERIOD_OVERRIDE=FQ","FILING_STATUS=MR","SCALING_FORMAT=MLN","FA_ADJUSTED=GAAP","Sort=A","Dates=H","DateFormat=P","Fill=—","Direction=H","UseDPDF=Y")</f>
        <v>94.106999999999999</v>
      </c>
      <c r="G37" s="13">
        <f>_xll.BDH("NBIX US Equity","EBITDA","FQ4 2019","FQ4 2019","Currency=USD","Period=FQ","BEST_FPERIOD_OVERRIDE=FQ","FILING_STATUS=MR","SCALING_FORMAT=MLN","FA_ADJUSTED=GAAP","Sort=A","Dates=H","DateFormat=P","Fill=—","Direction=H","UseDPDF=Y")</f>
        <v>53.039000000000001</v>
      </c>
      <c r="H37" s="13">
        <f>_xll.BDH("NBIX US Equity","EBITDA","FQ1 2020","FQ1 2020","Currency=USD","Period=FQ","BEST_FPERIOD_OVERRIDE=FQ","FILING_STATUS=MR","SCALING_FORMAT=MLN","FA_ADJUSTED=GAAP","Sort=A","Dates=H","DateFormat=P","Fill=—","Direction=H","UseDPDF=Y")</f>
        <v>63.5</v>
      </c>
      <c r="I37" s="13">
        <f>_xll.BDH("NBIX US Equity","EBITDA","FQ2 2020","FQ2 2020","Currency=USD","Period=FQ","BEST_FPERIOD_OVERRIDE=FQ","FILING_STATUS=MR","SCALING_FORMAT=MLN","FA_ADJUSTED=GAAP","Sort=A","Dates=H","DateFormat=P","Fill=—","Direction=H","UseDPDF=Y")</f>
        <v>81.2</v>
      </c>
      <c r="J37" s="13">
        <f>_xll.BDH("NBIX US Equity","EBITDA","FQ3 2020","FQ3 2020","Currency=USD","Period=FQ","BEST_FPERIOD_OVERRIDE=FQ","FILING_STATUS=MR","SCALING_FORMAT=MLN","FA_ADJUSTED=GAAP","Sort=A","Dates=H","DateFormat=P","Fill=—","Direction=H","UseDPDF=Y")</f>
        <v>-39.700000000000003</v>
      </c>
      <c r="K37" s="13">
        <f>_xll.BDH("NBIX US Equity","EBITDA","FQ4 2020","FQ4 2020","Currency=USD","Period=FQ","BEST_FPERIOD_OVERRIDE=FQ","FILING_STATUS=MR","SCALING_FORMAT=MLN","FA_ADJUSTED=GAAP","Sort=A","Dates=H","DateFormat=P","Fill=—","Direction=H","UseDPDF=Y")</f>
        <v>76.7</v>
      </c>
      <c r="L37" s="13">
        <f>_xll.BDH("NBIX US Equity","EBITDA","FQ1 2021","FQ1 2021","Currency=USD","Period=FQ","BEST_FPERIOD_OVERRIDE=FQ","FILING_STATUS=MR","SCALING_FORMAT=MLN","FA_ADJUSTED=GAAP","Sort=A","Dates=H","DateFormat=P","Fill=—","Direction=H","UseDPDF=Y")</f>
        <v>37.4</v>
      </c>
      <c r="M37" s="13">
        <f>_xll.BDH("NBIX US Equity","EBITDA","FQ2 2021","FQ2 2021","Currency=USD","Period=FQ","BEST_FPERIOD_OVERRIDE=FQ","FILING_STATUS=MR","SCALING_FORMAT=MLN","FA_ADJUSTED=GAAP","Sort=A","Dates=H","DateFormat=P","Fill=—","Direction=H","UseDPDF=Y")</f>
        <v>69.3</v>
      </c>
      <c r="N37" s="13">
        <f>_xll.BDH("NBIX US Equity","EBITDA","FQ3 2021","FQ3 2021","Currency=USD","Period=FQ","BEST_FPERIOD_OVERRIDE=FQ","FILING_STATUS=MR","SCALING_FORMAT=MLN","FA_ADJUSTED=GAAP","Sort=A","Dates=H","DateFormat=P","Fill=—","Direction=H","UseDPDF=Y")</f>
        <v>51.2</v>
      </c>
      <c r="O37" s="13">
        <f>_xll.BDH("NBIX US Equity","EBITDA","FQ4 2021","FQ4 2021","Currency=USD","Period=FQ","BEST_FPERIOD_OVERRIDE=FQ","FILING_STATUS=MR","SCALING_FORMAT=MLN","FA_ADJUSTED=GAAP","Sort=A","Dates=H","DateFormat=P","Fill=—","Direction=H","UseDPDF=Y")</f>
        <v>-29.2</v>
      </c>
      <c r="P37" s="13">
        <f>_xll.BDH("NBIX US Equity","EBITDA","FQ1 2022","FQ1 2022","Currency=USD","Period=FQ","BEST_FPERIOD_OVERRIDE=FQ","FILING_STATUS=MR","SCALING_FORMAT=MLN","FA_ADJUSTED=GAAP","Sort=A","Dates=H","DateFormat=P","Fill=—","Direction=H","UseDPDF=Y")</f>
        <v>10.5</v>
      </c>
      <c r="Q37" s="13">
        <f>_xll.BDH("NBIX US Equity","EBITDA","FQ2 2022","FQ2 2022","Currency=USD","Period=FQ","BEST_FPERIOD_OVERRIDE=FQ","FILING_STATUS=MR","SCALING_FORMAT=MLN","FA_ADJUSTED=GAAP","Sort=A","Dates=H","DateFormat=P","Fill=—","Direction=H","UseDPDF=Y")</f>
        <v>62.7</v>
      </c>
      <c r="R37" s="13">
        <f>_xll.BDH("NBIX US Equity","EBITDA","FQ3 2022","FQ3 2022","Currency=USD","Period=FQ","BEST_FPERIOD_OVERRIDE=FQ","FILING_STATUS=MR","SCALING_FORMAT=MLN","FA_ADJUSTED=GAAP","Sort=A","Dates=H","DateFormat=P","Fill=—","Direction=H","UseDPDF=Y")</f>
        <v>96.1</v>
      </c>
      <c r="S37" s="13">
        <f>_xll.BDH("NBIX US Equity","EBITDA","FQ4 2022","FQ4 2022","Currency=USD","Period=FQ","BEST_FPERIOD_OVERRIDE=FQ","FILING_STATUS=MR","SCALING_FORMAT=MLN","FA_ADJUSTED=GAAP","Sort=A","Dates=H","DateFormat=P","Fill=—","Direction=H","UseDPDF=Y")</f>
        <v>111.6</v>
      </c>
      <c r="T37" s="13">
        <f>_xll.BDH("NBIX US Equity","EBITDA","FQ1 2023","FQ1 2023","Currency=USD","Period=FQ","BEST_FPERIOD_OVERRIDE=FQ","FILING_STATUS=MR","SCALING_FORMAT=MLN","FA_ADJUSTED=GAAP","Sort=A","Dates=H","DateFormat=P","Fill=—","Direction=H","UseDPDF=Y")</f>
        <v>-105.1</v>
      </c>
      <c r="U37" s="13">
        <f>_xll.BDH("NBIX US Equity","EBITDA","FQ2 2023","FQ2 2023","Currency=USD","Period=FQ","BEST_FPERIOD_OVERRIDE=FQ","FILING_STATUS=MR","SCALING_FORMAT=MLN","FA_ADJUSTED=GAAP","Sort=A","Dates=H","DateFormat=P","Fill=—","Direction=H","UseDPDF=Y")</f>
        <v>82.8</v>
      </c>
      <c r="V37" s="13">
        <f>_xll.BDH("NBIX US Equity","EBITDA","FQ3 2023","FQ3 2023","Currency=USD","Period=FQ","BEST_FPERIOD_OVERRIDE=FQ","FILING_STATUS=MR","SCALING_FORMAT=MLN","FA_ADJUSTED=GAAP","Sort=A","Dates=H","DateFormat=P","Fill=—","Direction=H","UseDPDF=Y")</f>
        <v>150.5</v>
      </c>
      <c r="W37" s="13">
        <f>_xll.BDH("NBIX US Equity","EBITDA","FQ4 2023","FQ4 2023","Currency=USD","Period=FQ","BEST_FPERIOD_OVERRIDE=FQ","FILING_STATUS=MR","SCALING_FORMAT=MLN","FA_ADJUSTED=GAAP","Sort=A","Dates=H","DateFormat=P","Fill=—","Direction=H","UseDPDF=Y")</f>
        <v>160.4</v>
      </c>
      <c r="X37" s="13">
        <f>_xll.BDH("NBIX US Equity","EBITDA","FQ1 2024","FQ1 2024","Currency=USD","Period=FQ","BEST_FPERIOD_OVERRIDE=FQ","FILING_STATUS=MR","SCALING_FORMAT=MLN","FA_ADJUSTED=GAAP","Sort=A","Dates=H","DateFormat=P","Fill=—","Direction=H","UseDPDF=Y")</f>
        <v>114.5</v>
      </c>
      <c r="Y37" s="13">
        <f>_xll.BDH("NBIX US Equity","EBITDA","FQ2 2024","FQ2 2024","Currency=USD","Period=FQ","BEST_FPERIOD_OVERRIDE=FQ","FILING_STATUS=MR","SCALING_FORMAT=MLN","FA_ADJUSTED=GAAP","Sort=A","Dates=H","DateFormat=P","Fill=—","Direction=H","UseDPDF=Y")</f>
        <v>161.9</v>
      </c>
      <c r="Z37" s="13">
        <f>_xll.BDH("NBIX US Equity","EBITDA","FQ3 2024","FQ3 2024","Currency=USD","Period=FQ","BEST_FPERIOD_OVERRIDE=FQ","FILING_STATUS=MR","SCALING_FORMAT=MLN","FA_ADJUSTED=GAAP","Sort=A","Dates=H","DateFormat=P","Fill=—","Direction=H","UseDPDF=Y")</f>
        <v>199.1</v>
      </c>
      <c r="AA37" s="13">
        <f>_xll.BDH("NBIX US Equity","EBITDA","FQ4 2024","FQ4 2024","Currency=USD","Period=FQ","BEST_FPERIOD_OVERRIDE=FQ","FILING_STATUS=MR","SCALING_FORMAT=MLN","FA_ADJUSTED=GAAP","Sort=A","Dates=H","DateFormat=P","Fill=—","Direction=H","UseDPDF=Y")</f>
        <v>164.1</v>
      </c>
    </row>
    <row r="38" spans="1:27" x14ac:dyDescent="0.25">
      <c r="A38" s="10" t="s">
        <v>1405</v>
      </c>
      <c r="B38" s="10" t="s">
        <v>1406</v>
      </c>
      <c r="C38" s="13">
        <f>_xll.BDH("NBIX US Equity","EBITDA_AFTER_CAPEX","FQ4 2018","FQ4 2018","Currency=USD","Period=FQ","BEST_FPERIOD_OVERRIDE=FQ","FILING_STATUS=MR","SCALING_FORMAT=MLN","FA_ADJUSTED=GAAP","Sort=A","Dates=H","DateFormat=P","Fill=—","Direction=H","UseDPDF=Y")</f>
        <v>17.135999999999999</v>
      </c>
      <c r="D38" s="13">
        <f>_xll.BDH("NBIX US Equity","EBITDA_AFTER_CAPEX","FQ1 2019","FQ1 2019","Currency=USD","Period=FQ","BEST_FPERIOD_OVERRIDE=FQ","FILING_STATUS=MR","SCALING_FORMAT=MLN","FA_ADJUSTED=GAAP","Sort=A","Dates=H","DateFormat=P","Fill=—","Direction=H","UseDPDF=Y")</f>
        <v>-101.47</v>
      </c>
      <c r="E38" s="13">
        <f>_xll.BDH("NBIX US Equity","EBITDA_AFTER_CAPEX","FQ2 2019","FQ2 2019","Currency=USD","Period=FQ","BEST_FPERIOD_OVERRIDE=FQ","FILING_STATUS=MR","SCALING_FORMAT=MLN","FA_ADJUSTED=GAAP","Sort=A","Dates=H","DateFormat=P","Fill=—","Direction=H","UseDPDF=Y")</f>
        <v>33.793999999999997</v>
      </c>
      <c r="F38" s="13">
        <f>_xll.BDH("NBIX US Equity","EBITDA_AFTER_CAPEX","FQ3 2019","FQ3 2019","Currency=USD","Period=FQ","BEST_FPERIOD_OVERRIDE=FQ","FILING_STATUS=MR","SCALING_FORMAT=MLN","FA_ADJUSTED=GAAP","Sort=A","Dates=H","DateFormat=P","Fill=—","Direction=H","UseDPDF=Y")</f>
        <v>90.563000000000002</v>
      </c>
      <c r="G38" s="13">
        <f>_xll.BDH("NBIX US Equity","EBITDA_AFTER_CAPEX","FQ4 2019","FQ4 2019","Currency=USD","Period=FQ","BEST_FPERIOD_OVERRIDE=FQ","FILING_STATUS=MR","SCALING_FORMAT=MLN","FA_ADJUSTED=GAAP","Sort=A","Dates=H","DateFormat=P","Fill=—","Direction=H","UseDPDF=Y")</f>
        <v>50.267000000000003</v>
      </c>
      <c r="H38" s="13">
        <f>_xll.BDH("NBIX US Equity","EBITDA_AFTER_CAPEX","FQ1 2020","FQ1 2020","Currency=USD","Period=FQ","BEST_FPERIOD_OVERRIDE=FQ","FILING_STATUS=MR","SCALING_FORMAT=MLN","FA_ADJUSTED=GAAP","Sort=A","Dates=H","DateFormat=P","Fill=—","Direction=H","UseDPDF=Y")</f>
        <v>62.2</v>
      </c>
      <c r="I38" s="13">
        <f>_xll.BDH("NBIX US Equity","EBITDA_AFTER_CAPEX","FQ2 2020","FQ2 2020","Currency=USD","Period=FQ","BEST_FPERIOD_OVERRIDE=FQ","FILING_STATUS=MR","SCALING_FORMAT=MLN","FA_ADJUSTED=GAAP","Sort=A","Dates=H","DateFormat=P","Fill=—","Direction=H","UseDPDF=Y")</f>
        <v>76.5</v>
      </c>
      <c r="J38" s="13">
        <f>_xll.BDH("NBIX US Equity","EBITDA_AFTER_CAPEX","FQ3 2020","FQ3 2020","Currency=USD","Period=FQ","BEST_FPERIOD_OVERRIDE=FQ","FILING_STATUS=MR","SCALING_FORMAT=MLN","FA_ADJUSTED=GAAP","Sort=A","Dates=H","DateFormat=P","Fill=—","Direction=H","UseDPDF=Y")</f>
        <v>-40.1</v>
      </c>
      <c r="K38" s="13">
        <f>_xll.BDH("NBIX US Equity","EBITDA_AFTER_CAPEX","FQ4 2020","FQ4 2020","Currency=USD","Period=FQ","BEST_FPERIOD_OVERRIDE=FQ","FILING_STATUS=MR","SCALING_FORMAT=MLN","FA_ADJUSTED=GAAP","Sort=A","Dates=H","DateFormat=P","Fill=—","Direction=H","UseDPDF=Y")</f>
        <v>72.2</v>
      </c>
      <c r="L38" s="13">
        <f>_xll.BDH("NBIX US Equity","EBITDA_AFTER_CAPEX","FQ1 2021","FQ1 2021","Currency=USD","Period=FQ","BEST_FPERIOD_OVERRIDE=FQ","FILING_STATUS=MR","SCALING_FORMAT=MLN","FA_ADJUSTED=GAAP","Sort=A","Dates=H","DateFormat=P","Fill=—","Direction=H","UseDPDF=Y")</f>
        <v>32.9</v>
      </c>
      <c r="M38" s="13">
        <f>_xll.BDH("NBIX US Equity","EBITDA_AFTER_CAPEX","FQ2 2021","FQ2 2021","Currency=USD","Period=FQ","BEST_FPERIOD_OVERRIDE=FQ","FILING_STATUS=MR","SCALING_FORMAT=MLN","FA_ADJUSTED=GAAP","Sort=A","Dates=H","DateFormat=P","Fill=—","Direction=H","UseDPDF=Y")</f>
        <v>65</v>
      </c>
      <c r="N38" s="13">
        <f>_xll.BDH("NBIX US Equity","EBITDA_AFTER_CAPEX","FQ3 2021","FQ3 2021","Currency=USD","Period=FQ","BEST_FPERIOD_OVERRIDE=FQ","FILING_STATUS=MR","SCALING_FORMAT=MLN","FA_ADJUSTED=GAAP","Sort=A","Dates=H","DateFormat=P","Fill=—","Direction=H","UseDPDF=Y")</f>
        <v>45.5</v>
      </c>
      <c r="O38" s="13">
        <f>_xll.BDH("NBIX US Equity","EBITDA_AFTER_CAPEX","FQ4 2021","FQ4 2021","Currency=USD","Period=FQ","BEST_FPERIOD_OVERRIDE=FQ","FILING_STATUS=MR","SCALING_FORMAT=MLN","FA_ADJUSTED=GAAP","Sort=A","Dates=H","DateFormat=P","Fill=—","Direction=H","UseDPDF=Y")</f>
        <v>-38.1</v>
      </c>
      <c r="P38" s="13">
        <f>_xll.BDH("NBIX US Equity","EBITDA_AFTER_CAPEX","FQ1 2022","FQ1 2022","Currency=USD","Period=FQ","BEST_FPERIOD_OVERRIDE=FQ","FILING_STATUS=MR","SCALING_FORMAT=MLN","FA_ADJUSTED=GAAP","Sort=A","Dates=H","DateFormat=P","Fill=—","Direction=H","UseDPDF=Y")</f>
        <v>2.9</v>
      </c>
      <c r="Q38" s="13">
        <f>_xll.BDH("NBIX US Equity","EBITDA_AFTER_CAPEX","FQ2 2022","FQ2 2022","Currency=USD","Period=FQ","BEST_FPERIOD_OVERRIDE=FQ","FILING_STATUS=MR","SCALING_FORMAT=MLN","FA_ADJUSTED=GAAP","Sort=A","Dates=H","DateFormat=P","Fill=—","Direction=H","UseDPDF=Y")</f>
        <v>53.9</v>
      </c>
      <c r="R38" s="13" t="str">
        <f>_xll.BDH("NBIX US Equity","EBITDA_AFTER_CAPEX","FQ3 2022","FQ3 2022","Currency=USD","Period=FQ","BEST_FPERIOD_OVERRIDE=FQ","FILING_STATUS=MR","SCALING_FORMAT=MLN","FA_ADJUSTED=GAAP","Sort=A","Dates=H","DateFormat=P","Fill=—","Direction=H","UseDPDF=Y")</f>
        <v>—</v>
      </c>
      <c r="S38" s="13">
        <f>_xll.BDH("NBIX US Equity","EBITDA_AFTER_CAPEX","FQ4 2022","FQ4 2022","Currency=USD","Period=FQ","BEST_FPERIOD_OVERRIDE=FQ","FILING_STATUS=MR","SCALING_FORMAT=MLN","FA_ADJUSTED=GAAP","Sort=A","Dates=H","DateFormat=P","Fill=—","Direction=H","UseDPDF=Y")</f>
        <v>109.8</v>
      </c>
      <c r="T38" s="13">
        <f>_xll.BDH("NBIX US Equity","EBITDA_AFTER_CAPEX","FQ1 2023","FQ1 2023","Currency=USD","Period=FQ","BEST_FPERIOD_OVERRIDE=FQ","FILING_STATUS=MR","SCALING_FORMAT=MLN","FA_ADJUSTED=GAAP","Sort=A","Dates=H","DateFormat=P","Fill=—","Direction=H","UseDPDF=Y")</f>
        <v>-113.6</v>
      </c>
      <c r="U38" s="13">
        <f>_xll.BDH("NBIX US Equity","EBITDA_AFTER_CAPEX","FQ2 2023","FQ2 2023","Currency=USD","Period=FQ","BEST_FPERIOD_OVERRIDE=FQ","FILING_STATUS=MR","SCALING_FORMAT=MLN","FA_ADJUSTED=GAAP","Sort=A","Dates=H","DateFormat=P","Fill=—","Direction=H","UseDPDF=Y")</f>
        <v>76</v>
      </c>
      <c r="V38" s="13">
        <f>_xll.BDH("NBIX US Equity","EBITDA_AFTER_CAPEX","FQ3 2023","FQ3 2023","Currency=USD","Period=FQ","BEST_FPERIOD_OVERRIDE=FQ","FILING_STATUS=MR","SCALING_FORMAT=MLN","FA_ADJUSTED=GAAP","Sort=A","Dates=H","DateFormat=P","Fill=—","Direction=H","UseDPDF=Y")</f>
        <v>142.9</v>
      </c>
      <c r="W38" s="13">
        <f>_xll.BDH("NBIX US Equity","EBITDA_AFTER_CAPEX","FQ4 2023","FQ4 2023","Currency=USD","Period=FQ","BEST_FPERIOD_OVERRIDE=FQ","FILING_STATUS=MR","SCALING_FORMAT=MLN","FA_ADJUSTED=GAAP","Sort=A","Dates=H","DateFormat=P","Fill=—","Direction=H","UseDPDF=Y")</f>
        <v>155</v>
      </c>
      <c r="X38" s="13">
        <f>_xll.BDH("NBIX US Equity","EBITDA_AFTER_CAPEX","FQ1 2024","FQ1 2024","Currency=USD","Period=FQ","BEST_FPERIOD_OVERRIDE=FQ","FILING_STATUS=MR","SCALING_FORMAT=MLN","FA_ADJUSTED=GAAP","Sort=A","Dates=H","DateFormat=P","Fill=—","Direction=H","UseDPDF=Y")</f>
        <v>103.3</v>
      </c>
      <c r="Y38" s="13">
        <f>_xll.BDH("NBIX US Equity","EBITDA_AFTER_CAPEX","FQ2 2024","FQ2 2024","Currency=USD","Period=FQ","BEST_FPERIOD_OVERRIDE=FQ","FILING_STATUS=MR","SCALING_FORMAT=MLN","FA_ADJUSTED=GAAP","Sort=A","Dates=H","DateFormat=P","Fill=—","Direction=H","UseDPDF=Y")</f>
        <v>150.30000000000001</v>
      </c>
      <c r="Z38" s="13">
        <f>_xll.BDH("NBIX US Equity","EBITDA_AFTER_CAPEX","FQ3 2024","FQ3 2024","Currency=USD","Period=FQ","BEST_FPERIOD_OVERRIDE=FQ","FILING_STATUS=MR","SCALING_FORMAT=MLN","FA_ADJUSTED=GAAP","Sort=A","Dates=H","DateFormat=P","Fill=—","Direction=H","UseDPDF=Y")</f>
        <v>191</v>
      </c>
      <c r="AA38" s="13">
        <f>_xll.BDH("NBIX US Equity","EBITDA_AFTER_CAPEX","FQ4 2024","FQ4 2024","Currency=USD","Period=FQ","BEST_FPERIOD_OVERRIDE=FQ","FILING_STATUS=MR","SCALING_FORMAT=MLN","FA_ADJUSTED=GAAP","Sort=A","Dates=H","DateFormat=P","Fill=—","Direction=H","UseDPDF=Y")</f>
        <v>156.80000000000001</v>
      </c>
    </row>
    <row r="39" spans="1:27" x14ac:dyDescent="0.25">
      <c r="A39" s="10" t="s">
        <v>142</v>
      </c>
      <c r="B39" s="10" t="s">
        <v>99</v>
      </c>
      <c r="C39" s="13">
        <f>_xll.BDH("NBIX US Equity","IS_OPER_INC","FQ4 2018","FQ4 2018","Currency=USD","Period=FQ","BEST_FPERIOD_OVERRIDE=FQ","FILING_STATUS=MR","SCALING_FORMAT=MLN","FA_ADJUSTED=GAAP","Sort=A","Dates=H","DateFormat=P","Fill=—","Direction=H","UseDPDF=Y")</f>
        <v>21.870999999999999</v>
      </c>
      <c r="D39" s="13">
        <f>_xll.BDH("NBIX US Equity","IS_OPER_INC","FQ1 2019","FQ1 2019","Currency=USD","Period=FQ","BEST_FPERIOD_OVERRIDE=FQ","FILING_STATUS=MR","SCALING_FORMAT=MLN","FA_ADJUSTED=GAAP","Sort=A","Dates=H","DateFormat=P","Fill=—","Direction=H","UseDPDF=Y")</f>
        <v>-100.997</v>
      </c>
      <c r="E39" s="13">
        <f>_xll.BDH("NBIX US Equity","IS_OPER_INC","FQ2 2019","FQ2 2019","Currency=USD","Period=FQ","BEST_FPERIOD_OVERRIDE=FQ","FILING_STATUS=MR","SCALING_FORMAT=MLN","FA_ADJUSTED=GAAP","Sort=A","Dates=H","DateFormat=P","Fill=—","Direction=H","UseDPDF=Y")</f>
        <v>34.460999999999999</v>
      </c>
      <c r="F39" s="13">
        <f>_xll.BDH("NBIX US Equity","IS_OPER_INC","FQ3 2019","FQ3 2019","Currency=USD","Period=FQ","BEST_FPERIOD_OVERRIDE=FQ","FILING_STATUS=MR","SCALING_FORMAT=MLN","FA_ADJUSTED=GAAP","Sort=A","Dates=H","DateFormat=P","Fill=—","Direction=H","UseDPDF=Y")</f>
        <v>90.097999999999999</v>
      </c>
      <c r="G39" s="13">
        <f>_xll.BDH("NBIX US Equity","IS_OPER_INC","FQ4 2019","FQ4 2019","Currency=USD","Period=FQ","BEST_FPERIOD_OVERRIDE=FQ","FILING_STATUS=MR","SCALING_FORMAT=MLN","FA_ADJUSTED=GAAP","Sort=A","Dates=H","DateFormat=P","Fill=—","Direction=H","UseDPDF=Y")</f>
        <v>48.8</v>
      </c>
      <c r="H39" s="13">
        <f>_xll.BDH("NBIX US Equity","IS_OPER_INC","FQ1 2020","FQ1 2020","Currency=USD","Period=FQ","BEST_FPERIOD_OVERRIDE=FQ","FILING_STATUS=MR","SCALING_FORMAT=MLN","FA_ADJUSTED=GAAP","Sort=A","Dates=H","DateFormat=P","Fill=—","Direction=H","UseDPDF=Y")</f>
        <v>58.9</v>
      </c>
      <c r="I39" s="13">
        <f>_xll.BDH("NBIX US Equity","IS_OPER_INC","FQ2 2020","FQ2 2020","Currency=USD","Period=FQ","BEST_FPERIOD_OVERRIDE=FQ","FILING_STATUS=MR","SCALING_FORMAT=MLN","FA_ADJUSTED=GAAP","Sort=A","Dates=H","DateFormat=P","Fill=—","Direction=H","UseDPDF=Y")</f>
        <v>76.599999999999994</v>
      </c>
      <c r="J39" s="13">
        <f>_xll.BDH("NBIX US Equity","IS_OPER_INC","FQ3 2020","FQ3 2020","Currency=USD","Period=FQ","BEST_FPERIOD_OVERRIDE=FQ","FILING_STATUS=MR","SCALING_FORMAT=MLN","FA_ADJUSTED=GAAP","Sort=A","Dates=H","DateFormat=P","Fill=—","Direction=H","UseDPDF=Y")</f>
        <v>-44.3</v>
      </c>
      <c r="K39" s="13">
        <f>_xll.BDH("NBIX US Equity","IS_OPER_INC","FQ4 2020","FQ4 2020","Currency=USD","Period=FQ","BEST_FPERIOD_OVERRIDE=FQ","FILING_STATUS=MR","SCALING_FORMAT=MLN","FA_ADJUSTED=GAAP","Sort=A","Dates=H","DateFormat=P","Fill=—","Direction=H","UseDPDF=Y")</f>
        <v>71.8</v>
      </c>
      <c r="L39" s="13">
        <f>_xll.BDH("NBIX US Equity","IS_OPER_INC","FQ1 2021","FQ1 2021","Currency=USD","Period=FQ","BEST_FPERIOD_OVERRIDE=FQ","FILING_STATUS=MR","SCALING_FORMAT=MLN","FA_ADJUSTED=GAAP","Sort=A","Dates=H","DateFormat=P","Fill=—","Direction=H","UseDPDF=Y")</f>
        <v>31.5</v>
      </c>
      <c r="M39" s="13">
        <f>_xll.BDH("NBIX US Equity","IS_OPER_INC","FQ2 2021","FQ2 2021","Currency=USD","Period=FQ","BEST_FPERIOD_OVERRIDE=FQ","FILING_STATUS=MR","SCALING_FORMAT=MLN","FA_ADJUSTED=GAAP","Sort=A","Dates=H","DateFormat=P","Fill=—","Direction=H","UseDPDF=Y")</f>
        <v>62.8</v>
      </c>
      <c r="N39" s="13">
        <f>_xll.BDH("NBIX US Equity","IS_OPER_INC","FQ3 2021","FQ3 2021","Currency=USD","Period=FQ","BEST_FPERIOD_OVERRIDE=FQ","FILING_STATUS=MR","SCALING_FORMAT=MLN","FA_ADJUSTED=GAAP","Sort=A","Dates=H","DateFormat=P","Fill=—","Direction=H","UseDPDF=Y")</f>
        <v>44.5</v>
      </c>
      <c r="O39" s="13">
        <f>_xll.BDH("NBIX US Equity","IS_OPER_INC","FQ4 2021","FQ4 2021","Currency=USD","Period=FQ","BEST_FPERIOD_OVERRIDE=FQ","FILING_STATUS=MR","SCALING_FORMAT=MLN","FA_ADJUSTED=GAAP","Sort=A","Dates=H","DateFormat=P","Fill=—","Direction=H","UseDPDF=Y")</f>
        <v>-36.299999999999997</v>
      </c>
      <c r="P39" s="13">
        <f>_xll.BDH("NBIX US Equity","IS_OPER_INC","FQ1 2022","FQ1 2022","Currency=USD","Period=FQ","BEST_FPERIOD_OVERRIDE=FQ","FILING_STATUS=MR","SCALING_FORMAT=MLN","FA_ADJUSTED=GAAP","Sort=A","Dates=H","DateFormat=P","Fill=—","Direction=H","UseDPDF=Y")</f>
        <v>3.1</v>
      </c>
      <c r="Q39" s="13">
        <f>_xll.BDH("NBIX US Equity","IS_OPER_INC","FQ2 2022","FQ2 2022","Currency=USD","Period=FQ","BEST_FPERIOD_OVERRIDE=FQ","FILING_STATUS=MR","SCALING_FORMAT=MLN","FA_ADJUSTED=GAAP","Sort=A","Dates=H","DateFormat=P","Fill=—","Direction=H","UseDPDF=Y")</f>
        <v>54.7</v>
      </c>
      <c r="R39" s="13">
        <f>_xll.BDH("NBIX US Equity","IS_OPER_INC","FQ3 2022","FQ3 2022","Currency=USD","Period=FQ","BEST_FPERIOD_OVERRIDE=FQ","FILING_STATUS=MR","SCALING_FORMAT=MLN","FA_ADJUSTED=GAAP","Sort=A","Dates=H","DateFormat=P","Fill=—","Direction=H","UseDPDF=Y")</f>
        <v>87.8</v>
      </c>
      <c r="S39" s="13">
        <f>_xll.BDH("NBIX US Equity","IS_OPER_INC","FQ4 2022","FQ4 2022","Currency=USD","Period=FQ","BEST_FPERIOD_OVERRIDE=FQ","FILING_STATUS=MR","SCALING_FORMAT=MLN","FA_ADJUSTED=GAAP","Sort=A","Dates=H","DateFormat=P","Fill=—","Direction=H","UseDPDF=Y")</f>
        <v>103.4</v>
      </c>
      <c r="T39" s="13">
        <f>_xll.BDH("NBIX US Equity","IS_OPER_INC","FQ1 2023","FQ1 2023","Currency=USD","Period=FQ","BEST_FPERIOD_OVERRIDE=FQ","FILING_STATUS=MR","SCALING_FORMAT=MLN","FA_ADJUSTED=GAAP","Sort=A","Dates=H","DateFormat=P","Fill=—","Direction=H","UseDPDF=Y")</f>
        <v>-114.2</v>
      </c>
      <c r="U39" s="13">
        <f>_xll.BDH("NBIX US Equity","IS_OPER_INC","FQ2 2023","FQ2 2023","Currency=USD","Period=FQ","BEST_FPERIOD_OVERRIDE=FQ","FILING_STATUS=MR","SCALING_FORMAT=MLN","FA_ADJUSTED=GAAP","Sort=A","Dates=H","DateFormat=P","Fill=—","Direction=H","UseDPDF=Y")</f>
        <v>73.599999999999994</v>
      </c>
      <c r="V39" s="13">
        <f>_xll.BDH("NBIX US Equity","IS_OPER_INC","FQ3 2023","FQ3 2023","Currency=USD","Period=FQ","BEST_FPERIOD_OVERRIDE=FQ","FILING_STATUS=MR","SCALING_FORMAT=MLN","FA_ADJUSTED=GAAP","Sort=A","Dates=H","DateFormat=P","Fill=—","Direction=H","UseDPDF=Y")</f>
        <v>141.19999999999999</v>
      </c>
      <c r="W39" s="13">
        <f>_xll.BDH("NBIX US Equity","IS_OPER_INC","FQ4 2023","FQ4 2023","Currency=USD","Period=FQ","BEST_FPERIOD_OVERRIDE=FQ","FILING_STATUS=MR","SCALING_FORMAT=MLN","FA_ADJUSTED=GAAP","Sort=A","Dates=H","DateFormat=P","Fill=—","Direction=H","UseDPDF=Y")</f>
        <v>150.30000000000001</v>
      </c>
      <c r="X39" s="13">
        <f>_xll.BDH("NBIX US Equity","IS_OPER_INC","FQ1 2024","FQ1 2024","Currency=USD","Period=FQ","BEST_FPERIOD_OVERRIDE=FQ","FILING_STATUS=MR","SCALING_FORMAT=MLN","FA_ADJUSTED=GAAP","Sort=A","Dates=H","DateFormat=P","Fill=—","Direction=H","UseDPDF=Y")</f>
        <v>99.3</v>
      </c>
      <c r="Y39" s="13">
        <f>_xll.BDH("NBIX US Equity","IS_OPER_INC","FQ2 2024","FQ2 2024","Currency=USD","Period=FQ","BEST_FPERIOD_OVERRIDE=FQ","FILING_STATUS=MR","SCALING_FORMAT=MLN","FA_ADJUSTED=GAAP","Sort=A","Dates=H","DateFormat=P","Fill=—","Direction=H","UseDPDF=Y")</f>
        <v>145.4</v>
      </c>
      <c r="Z39" s="13">
        <f>_xll.BDH("NBIX US Equity","IS_OPER_INC","FQ3 2024","FQ3 2024","Currency=USD","Period=FQ","BEST_FPERIOD_OVERRIDE=FQ","FILING_STATUS=MR","SCALING_FORMAT=MLN","FA_ADJUSTED=GAAP","Sort=A","Dates=H","DateFormat=P","Fill=—","Direction=H","UseDPDF=Y")</f>
        <v>183.8</v>
      </c>
      <c r="AA39" s="13">
        <f>_xll.BDH("NBIX US Equity","IS_OPER_INC","FQ4 2024","FQ4 2024","Currency=USD","Period=FQ","BEST_FPERIOD_OVERRIDE=FQ","FILING_STATUS=MR","SCALING_FORMAT=MLN","FA_ADJUSTED=GAAP","Sort=A","Dates=H","DateFormat=P","Fill=—","Direction=H","UseDPDF=Y")</f>
        <v>142</v>
      </c>
    </row>
    <row r="40" spans="1:27" x14ac:dyDescent="0.25">
      <c r="A40" s="7" t="s">
        <v>90</v>
      </c>
      <c r="B40" s="7"/>
      <c r="C40" s="7" t="s">
        <v>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4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195</v>
      </c>
      <c r="B6" s="10" t="s">
        <v>196</v>
      </c>
      <c r="C6" s="12" t="s">
        <v>1372</v>
      </c>
      <c r="D6" s="12" t="s">
        <v>197</v>
      </c>
      <c r="E6" s="12" t="s">
        <v>197</v>
      </c>
      <c r="F6" s="12" t="s">
        <v>197</v>
      </c>
      <c r="G6" s="12" t="s">
        <v>197</v>
      </c>
      <c r="H6" s="12" t="s">
        <v>197</v>
      </c>
      <c r="I6" s="12" t="s">
        <v>197</v>
      </c>
      <c r="J6" s="12" t="s">
        <v>197</v>
      </c>
      <c r="K6" s="12" t="s">
        <v>197</v>
      </c>
      <c r="L6" s="12" t="s">
        <v>197</v>
      </c>
      <c r="M6" s="12" t="s">
        <v>197</v>
      </c>
      <c r="N6" s="12" t="s">
        <v>197</v>
      </c>
      <c r="O6" s="12" t="s">
        <v>197</v>
      </c>
      <c r="P6" s="12" t="s">
        <v>197</v>
      </c>
      <c r="Q6" s="12" t="s">
        <v>197</v>
      </c>
      <c r="R6" s="12" t="s">
        <v>197</v>
      </c>
      <c r="S6" s="12" t="s">
        <v>197</v>
      </c>
      <c r="T6" s="12" t="s">
        <v>197</v>
      </c>
      <c r="U6" s="12" t="s">
        <v>197</v>
      </c>
      <c r="V6" s="12" t="s">
        <v>197</v>
      </c>
      <c r="W6" s="12" t="s">
        <v>197</v>
      </c>
      <c r="X6" s="12" t="s">
        <v>197</v>
      </c>
      <c r="Y6" s="12" t="s">
        <v>197</v>
      </c>
      <c r="Z6" s="12" t="s">
        <v>197</v>
      </c>
      <c r="AA6" s="12" t="s">
        <v>197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1305</v>
      </c>
      <c r="B8" s="10" t="s">
        <v>296</v>
      </c>
      <c r="C8" s="13">
        <f>_xll.BDH("NBIX US Equity","TOT_DEBT_EX_OPERATING_LEA_LIABS","FQ4 2018","FQ4 2018","Currency=USD","Period=FQ","BEST_FPERIOD_OVERRIDE=FQ","FILING_STATUS=MR","SCALING_FORMAT=MLN","Sort=A","Dates=H","DateFormat=P","Fill=—","Direction=H","UseDPDF=Y")</f>
        <v>388.49599999999998</v>
      </c>
      <c r="D8" s="13">
        <f>_xll.BDH("NBIX US Equity","TOT_DEBT_EX_OPERATING_LEA_LIABS","FQ1 2019","FQ1 2019","Currency=USD","Period=FQ","BEST_FPERIOD_OVERRIDE=FQ","FILING_STATUS=MR","SCALING_FORMAT=MLN","Sort=A","Dates=H","DateFormat=P","Fill=—","Direction=H","UseDPDF=Y")</f>
        <v>393.435</v>
      </c>
      <c r="E8" s="13">
        <f>_xll.BDH("NBIX US Equity","TOT_DEBT_EX_OPERATING_LEA_LIABS","FQ2 2019","FQ2 2019","Currency=USD","Period=FQ","BEST_FPERIOD_OVERRIDE=FQ","FILING_STATUS=MR","SCALING_FORMAT=MLN","Sort=A","Dates=H","DateFormat=P","Fill=—","Direction=H","UseDPDF=Y")</f>
        <v>398.46600000000001</v>
      </c>
      <c r="F8" s="13">
        <f>_xll.BDH("NBIX US Equity","TOT_DEBT_EX_OPERATING_LEA_LIABS","FQ3 2019","FQ3 2019","Currency=USD","Period=FQ","BEST_FPERIOD_OVERRIDE=FQ","FILING_STATUS=MR","SCALING_FORMAT=MLN","Sort=A","Dates=H","DateFormat=P","Fill=—","Direction=H","UseDPDF=Y")</f>
        <v>403.589</v>
      </c>
      <c r="G8" s="13">
        <f>_xll.BDH("NBIX US Equity","TOT_DEBT_EX_OPERATING_LEA_LIABS","FQ4 2019","FQ4 2019","Currency=USD","Period=FQ","BEST_FPERIOD_OVERRIDE=FQ","FILING_STATUS=MR","SCALING_FORMAT=MLN","Sort=A","Dates=H","DateFormat=P","Fill=—","Direction=H","UseDPDF=Y")</f>
        <v>408.8</v>
      </c>
      <c r="H8" s="13">
        <f>_xll.BDH("NBIX US Equity","TOT_DEBT_EX_OPERATING_LEA_LIABS","FQ1 2020","FQ1 2020","Currency=USD","Period=FQ","BEST_FPERIOD_OVERRIDE=FQ","FILING_STATUS=MR","SCALING_FORMAT=MLN","Sort=A","Dates=H","DateFormat=P","Fill=—","Direction=H","UseDPDF=Y")</f>
        <v>414.1</v>
      </c>
      <c r="I8" s="13">
        <f>_xll.BDH("NBIX US Equity","TOT_DEBT_EX_OPERATING_LEA_LIABS","FQ2 2020","FQ2 2020","Currency=USD","Period=FQ","BEST_FPERIOD_OVERRIDE=FQ","FILING_STATUS=MR","SCALING_FORMAT=MLN","Sort=A","Dates=H","DateFormat=P","Fill=—","Direction=H","UseDPDF=Y")</f>
        <v>419.5</v>
      </c>
      <c r="J8" s="13">
        <f>_xll.BDH("NBIX US Equity","TOT_DEBT_EX_OPERATING_LEA_LIABS","FQ3 2020","FQ3 2020","Currency=USD","Period=FQ","BEST_FPERIOD_OVERRIDE=FQ","FILING_STATUS=MR","SCALING_FORMAT=MLN","Sort=A","Dates=H","DateFormat=P","Fill=—","Direction=H","UseDPDF=Y")</f>
        <v>425</v>
      </c>
      <c r="K8" s="13">
        <f>_xll.BDH("NBIX US Equity","TOT_DEBT_EX_OPERATING_LEA_LIABS","FQ4 2020","FQ4 2020","Currency=USD","Period=FQ","BEST_FPERIOD_OVERRIDE=FQ","FILING_STATUS=MR","SCALING_FORMAT=MLN","Sort=A","Dates=H","DateFormat=P","Fill=—","Direction=H","UseDPDF=Y")</f>
        <v>317.89999999999998</v>
      </c>
      <c r="L8" s="13">
        <f>_xll.BDH("NBIX US Equity","TOT_DEBT_EX_OPERATING_LEA_LIABS","FQ1 2021","FQ1 2021","Currency=USD","Period=FQ","BEST_FPERIOD_OVERRIDE=FQ","FILING_STATUS=MR","SCALING_FORMAT=MLN","Sort=A","Dates=H","DateFormat=P","Fill=—","Direction=H","UseDPDF=Y")</f>
        <v>322</v>
      </c>
      <c r="M8" s="13">
        <f>_xll.BDH("NBIX US Equity","TOT_DEBT_EX_OPERATING_LEA_LIABS","FQ2 2021","FQ2 2021","Currency=USD","Period=FQ","BEST_FPERIOD_OVERRIDE=FQ","FILING_STATUS=MR","SCALING_FORMAT=MLN","Sort=A","Dates=H","DateFormat=P","Fill=—","Direction=H","UseDPDF=Y")</f>
        <v>326.3</v>
      </c>
      <c r="N8" s="13">
        <f>_xll.BDH("NBIX US Equity","TOT_DEBT_EX_OPERATING_LEA_LIABS","FQ3 2021","FQ3 2021","Currency=USD","Period=FQ","BEST_FPERIOD_OVERRIDE=FQ","FILING_STATUS=MR","SCALING_FORMAT=MLN","Sort=A","Dates=H","DateFormat=P","Fill=—","Direction=H","UseDPDF=Y")</f>
        <v>330.7</v>
      </c>
      <c r="O8" s="13">
        <f>_xll.BDH("NBIX US Equity","TOT_DEBT_EX_OPERATING_LEA_LIABS","FQ4 2021","FQ4 2021","Currency=USD","Period=FQ","BEST_FPERIOD_OVERRIDE=FQ","FILING_STATUS=MR","SCALING_FORMAT=MLN","Sort=A","Dates=H","DateFormat=P","Fill=—","Direction=H","UseDPDF=Y")</f>
        <v>335.1</v>
      </c>
      <c r="P8" s="13">
        <f>_xll.BDH("NBIX US Equity","TOT_DEBT_EX_OPERATING_LEA_LIABS","FQ1 2022","FQ1 2022","Currency=USD","Period=FQ","BEST_FPERIOD_OVERRIDE=FQ","FILING_STATUS=MR","SCALING_FORMAT=MLN","Sort=A","Dates=H","DateFormat=P","Fill=—","Direction=H","UseDPDF=Y")</f>
        <v>377.7</v>
      </c>
      <c r="Q8" s="13">
        <f>_xll.BDH("NBIX US Equity","TOT_DEBT_EX_OPERATING_LEA_LIABS","FQ2 2022","FQ2 2022","Currency=USD","Period=FQ","BEST_FPERIOD_OVERRIDE=FQ","FILING_STATUS=MR","SCALING_FORMAT=MLN","Sort=A","Dates=H","DateFormat=P","Fill=—","Direction=H","UseDPDF=Y")</f>
        <v>169</v>
      </c>
      <c r="R8" s="13">
        <f>_xll.BDH("NBIX US Equity","TOT_DEBT_EX_OPERATING_LEA_LIABS","FQ3 2022","FQ3 2022","Currency=USD","Period=FQ","BEST_FPERIOD_OVERRIDE=FQ","FILING_STATUS=MR","SCALING_FORMAT=MLN","Sort=A","Dates=H","DateFormat=P","Fill=—","Direction=H","UseDPDF=Y")</f>
        <v>169.2</v>
      </c>
      <c r="S8" s="13">
        <f>_xll.BDH("NBIX US Equity","TOT_DEBT_EX_OPERATING_LEA_LIABS","FQ4 2022","FQ4 2022","Currency=USD","Period=FQ","BEST_FPERIOD_OVERRIDE=FQ","FILING_STATUS=MR","SCALING_FORMAT=MLN","Sort=A","Dates=H","DateFormat=P","Fill=—","Direction=H","UseDPDF=Y")</f>
        <v>169.4</v>
      </c>
      <c r="T8" s="13">
        <f>_xll.BDH("NBIX US Equity","TOT_DEBT_EX_OPERATING_LEA_LIABS","FQ1 2023","FQ1 2023","Currency=USD","Period=FQ","BEST_FPERIOD_OVERRIDE=FQ","FILING_STATUS=MR","SCALING_FORMAT=MLN","Sort=A","Dates=H","DateFormat=P","Fill=—","Direction=H","UseDPDF=Y")</f>
        <v>169.5</v>
      </c>
      <c r="U8" s="13">
        <f>_xll.BDH("NBIX US Equity","TOT_DEBT_EX_OPERATING_LEA_LIABS","FQ2 2023","FQ2 2023","Currency=USD","Period=FQ","BEST_FPERIOD_OVERRIDE=FQ","FILING_STATUS=MR","SCALING_FORMAT=MLN","Sort=A","Dates=H","DateFormat=P","Fill=—","Direction=H","UseDPDF=Y")</f>
        <v>169.7</v>
      </c>
      <c r="V8" s="13">
        <f>_xll.BDH("NBIX US Equity","TOT_DEBT_EX_OPERATING_LEA_LIABS","FQ3 2023","FQ3 2023","Currency=USD","Period=FQ","BEST_FPERIOD_OVERRIDE=FQ","FILING_STATUS=MR","SCALING_FORMAT=MLN","Sort=A","Dates=H","DateFormat=P","Fill=—","Direction=H","UseDPDF=Y")</f>
        <v>169.9</v>
      </c>
      <c r="W8" s="13">
        <f>_xll.BDH("NBIX US Equity","TOT_DEBT_EX_OPERATING_LEA_LIABS","FQ4 2023","FQ4 2023","Currency=USD","Period=FQ","BEST_FPERIOD_OVERRIDE=FQ","FILING_STATUS=MR","SCALING_FORMAT=MLN","Sort=A","Dates=H","DateFormat=P","Fill=—","Direction=H","UseDPDF=Y")</f>
        <v>170.1</v>
      </c>
      <c r="X8" s="13">
        <f>_xll.BDH("NBIX US Equity","TOT_DEBT_EX_OPERATING_LEA_LIABS","FQ1 2024","FQ1 2024","Currency=USD","Period=FQ","BEST_FPERIOD_OVERRIDE=FQ","FILING_STATUS=MR","SCALING_FORMAT=MLN","Sort=A","Dates=H","DateFormat=P","Fill=—","Direction=H","UseDPDF=Y")</f>
        <v>122.8</v>
      </c>
      <c r="Y8" s="13">
        <f>_xll.BDH("NBIX US Equity","TOT_DEBT_EX_OPERATING_LEA_LIABS","FQ2 2024","FQ2 2024","Currency=USD","Period=FQ","BEST_FPERIOD_OVERRIDE=FQ","FILING_STATUS=MR","SCALING_FORMAT=MLN","Sort=A","Dates=H","DateFormat=P","Fill=—","Direction=H","UseDPDF=Y")</f>
        <v>0</v>
      </c>
      <c r="Z8" s="13">
        <f>_xll.BDH("NBIX US Equity","TOT_DEBT_EX_OPERATING_LEA_LIABS","FQ3 2024","FQ3 2024","Currency=USD","Period=FQ","BEST_FPERIOD_OVERRIDE=FQ","FILING_STATUS=MR","SCALING_FORMAT=MLN","Sort=A","Dates=H","DateFormat=P","Fill=—","Direction=H","UseDPDF=Y")</f>
        <v>0</v>
      </c>
      <c r="AA8" s="13">
        <f>_xll.BDH("NBIX US Equity","TOT_DEBT_EX_OPERATING_LEA_LIABS","FQ4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10" t="s">
        <v>1373</v>
      </c>
      <c r="B9" s="10" t="s">
        <v>1408</v>
      </c>
      <c r="C9" s="13">
        <f>_xll.BDH("NBIX US Equity","ST_DEBT_EX_OPERATING_LEASE_LIABS","FQ4 2018","FQ4 2018","Currency=USD","Period=FQ","BEST_FPERIOD_OVERRIDE=FQ","FILING_STATUS=MR","SCALING_FORMAT=MLN","Sort=A","Dates=H","DateFormat=P","Fill=—","Direction=H","UseDPDF=Y")</f>
        <v>0</v>
      </c>
      <c r="D9" s="13">
        <f>_xll.BDH("NBIX US Equity","ST_DEBT_EX_OPERATING_LEASE_LIABS","FQ1 2019","FQ1 2019","Currency=USD","Period=FQ","BEST_FPERIOD_OVERRIDE=FQ","FILING_STATUS=MR","SCALING_FORMAT=MLN","Sort=A","Dates=H","DateFormat=P","Fill=—","Direction=H","UseDPDF=Y")</f>
        <v>0</v>
      </c>
      <c r="E9" s="13">
        <f>_xll.BDH("NBIX US Equity","ST_DEBT_EX_OPERATING_LEASE_LIABS","FQ2 2019","FQ2 2019","Currency=USD","Period=FQ","BEST_FPERIOD_OVERRIDE=FQ","FILING_STATUS=MR","SCALING_FORMAT=MLN","Sort=A","Dates=H","DateFormat=P","Fill=—","Direction=H","UseDPDF=Y")</f>
        <v>0</v>
      </c>
      <c r="F9" s="13">
        <f>_xll.BDH("NBIX US Equity","ST_DEBT_EX_OPERATING_LEASE_LIABS","FQ3 2019","FQ3 2019","Currency=USD","Period=FQ","BEST_FPERIOD_OVERRIDE=FQ","FILING_STATUS=MR","SCALING_FORMAT=MLN","Sort=A","Dates=H","DateFormat=P","Fill=—","Direction=H","UseDPDF=Y")</f>
        <v>0</v>
      </c>
      <c r="G9" s="13">
        <f>_xll.BDH("NBIX US Equity","ST_DEBT_EX_OPERATING_LEASE_LIABS","FQ4 2019","FQ4 2019","Currency=USD","Period=FQ","BEST_FPERIOD_OVERRIDE=FQ","FILING_STATUS=MR","SCALING_FORMAT=MLN","Sort=A","Dates=H","DateFormat=P","Fill=—","Direction=H","UseDPDF=Y")</f>
        <v>408.8</v>
      </c>
      <c r="H9" s="13">
        <f>_xll.BDH("NBIX US Equity","ST_DEBT_EX_OPERATING_LEASE_LIABS","FQ1 2020","FQ1 2020","Currency=USD","Period=FQ","BEST_FPERIOD_OVERRIDE=FQ","FILING_STATUS=MR","SCALING_FORMAT=MLN","Sort=A","Dates=H","DateFormat=P","Fill=—","Direction=H","UseDPDF=Y")</f>
        <v>0</v>
      </c>
      <c r="I9" s="13">
        <f>_xll.BDH("NBIX US Equity","ST_DEBT_EX_OPERATING_LEASE_LIABS","FQ2 2020","FQ2 2020","Currency=USD","Period=FQ","BEST_FPERIOD_OVERRIDE=FQ","FILING_STATUS=MR","SCALING_FORMAT=MLN","Sort=A","Dates=H","DateFormat=P","Fill=—","Direction=H","UseDPDF=Y")</f>
        <v>419.5</v>
      </c>
      <c r="J9" s="13">
        <f>_xll.BDH("NBIX US Equity","ST_DEBT_EX_OPERATING_LEASE_LIABS","FQ3 2020","FQ3 2020","Currency=USD","Period=FQ","BEST_FPERIOD_OVERRIDE=FQ","FILING_STATUS=MR","SCALING_FORMAT=MLN","Sort=A","Dates=H","DateFormat=P","Fill=—","Direction=H","UseDPDF=Y")</f>
        <v>425</v>
      </c>
      <c r="K9" s="13">
        <f>_xll.BDH("NBIX US Equity","ST_DEBT_EX_OPERATING_LEASE_LIABS","FQ4 2020","FQ4 2020","Currency=USD","Period=FQ","BEST_FPERIOD_OVERRIDE=FQ","FILING_STATUS=MR","SCALING_FORMAT=MLN","Sort=A","Dates=H","DateFormat=P","Fill=—","Direction=H","UseDPDF=Y")</f>
        <v>0</v>
      </c>
      <c r="L9" s="13">
        <f>_xll.BDH("NBIX US Equity","ST_DEBT_EX_OPERATING_LEASE_LIABS","FQ1 2021","FQ1 2021","Currency=USD","Period=FQ","BEST_FPERIOD_OVERRIDE=FQ","FILING_STATUS=MR","SCALING_FORMAT=MLN","Sort=A","Dates=H","DateFormat=P","Fill=—","Direction=H","UseDPDF=Y")</f>
        <v>0</v>
      </c>
      <c r="M9" s="13">
        <f>_xll.BDH("NBIX US Equity","ST_DEBT_EX_OPERATING_LEASE_LIABS","FQ2 2021","FQ2 2021","Currency=USD","Period=FQ","BEST_FPERIOD_OVERRIDE=FQ","FILING_STATUS=MR","SCALING_FORMAT=MLN","Sort=A","Dates=H","DateFormat=P","Fill=—","Direction=H","UseDPDF=Y")</f>
        <v>0</v>
      </c>
      <c r="N9" s="13">
        <f>_xll.BDH("NBIX US Equity","ST_DEBT_EX_OPERATING_LEASE_LIABS","FQ3 2021","FQ3 2021","Currency=USD","Period=FQ","BEST_FPERIOD_OVERRIDE=FQ","FILING_STATUS=MR","SCALING_FORMAT=MLN","Sort=A","Dates=H","DateFormat=P","Fill=—","Direction=H","UseDPDF=Y")</f>
        <v>0</v>
      </c>
      <c r="O9" s="13">
        <f>_xll.BDH("NBIX US Equity","ST_DEBT_EX_OPERATING_LEASE_LIABS","FQ4 2021","FQ4 2021","Currency=USD","Period=FQ","BEST_FPERIOD_OVERRIDE=FQ","FILING_STATUS=MR","SCALING_FORMAT=MLN","Sort=A","Dates=H","DateFormat=P","Fill=—","Direction=H","UseDPDF=Y")</f>
        <v>0</v>
      </c>
      <c r="P9" s="13">
        <f>_xll.BDH("NBIX US Equity","ST_DEBT_EX_OPERATING_LEASE_LIABS","FQ1 2022","FQ1 2022","Currency=USD","Period=FQ","BEST_FPERIOD_OVERRIDE=FQ","FILING_STATUS=MR","SCALING_FORMAT=MLN","Sort=A","Dates=H","DateFormat=P","Fill=—","Direction=H","UseDPDF=Y")</f>
        <v>0</v>
      </c>
      <c r="Q9" s="13">
        <f>_xll.BDH("NBIX US Equity","ST_DEBT_EX_OPERATING_LEASE_LIABS","FQ2 2022","FQ2 2022","Currency=USD","Period=FQ","BEST_FPERIOD_OVERRIDE=FQ","FILING_STATUS=MR","SCALING_FORMAT=MLN","Sort=A","Dates=H","DateFormat=P","Fill=—","Direction=H","UseDPDF=Y")</f>
        <v>0</v>
      </c>
      <c r="R9" s="13">
        <f>_xll.BDH("NBIX US Equity","ST_DEBT_EX_OPERATING_LEASE_LIABS","FQ3 2022","FQ3 2022","Currency=USD","Period=FQ","BEST_FPERIOD_OVERRIDE=FQ","FILING_STATUS=MR","SCALING_FORMAT=MLN","Sort=A","Dates=H","DateFormat=P","Fill=—","Direction=H","UseDPDF=Y")</f>
        <v>169.2</v>
      </c>
      <c r="S9" s="13">
        <f>_xll.BDH("NBIX US Equity","ST_DEBT_EX_OPERATING_LEASE_LIABS","FQ4 2022","FQ4 2022","Currency=USD","Period=FQ","BEST_FPERIOD_OVERRIDE=FQ","FILING_STATUS=MR","SCALING_FORMAT=MLN","Sort=A","Dates=H","DateFormat=P","Fill=—","Direction=H","UseDPDF=Y")</f>
        <v>169.4</v>
      </c>
      <c r="T9" s="13">
        <f>_xll.BDH("NBIX US Equity","ST_DEBT_EX_OPERATING_LEASE_LIABS","FQ1 2023","FQ1 2023","Currency=USD","Period=FQ","BEST_FPERIOD_OVERRIDE=FQ","FILING_STATUS=MR","SCALING_FORMAT=MLN","Sort=A","Dates=H","DateFormat=P","Fill=—","Direction=H","UseDPDF=Y")</f>
        <v>0</v>
      </c>
      <c r="U9" s="13">
        <f>_xll.BDH("NBIX US Equity","ST_DEBT_EX_OPERATING_LEASE_LIABS","FQ2 2023","FQ2 2023","Currency=USD","Period=FQ","BEST_FPERIOD_OVERRIDE=FQ","FILING_STATUS=MR","SCALING_FORMAT=MLN","Sort=A","Dates=H","DateFormat=P","Fill=—","Direction=H","UseDPDF=Y")</f>
        <v>169.7</v>
      </c>
      <c r="V9" s="13">
        <f>_xll.BDH("NBIX US Equity","ST_DEBT_EX_OPERATING_LEASE_LIABS","FQ3 2023","FQ3 2023","Currency=USD","Period=FQ","BEST_FPERIOD_OVERRIDE=FQ","FILING_STATUS=MR","SCALING_FORMAT=MLN","Sort=A","Dates=H","DateFormat=P","Fill=—","Direction=H","UseDPDF=Y")</f>
        <v>169.9</v>
      </c>
      <c r="W9" s="13">
        <f>_xll.BDH("NBIX US Equity","ST_DEBT_EX_OPERATING_LEASE_LIABS","FQ4 2023","FQ4 2023","Currency=USD","Period=FQ","BEST_FPERIOD_OVERRIDE=FQ","FILING_STATUS=MR","SCALING_FORMAT=MLN","Sort=A","Dates=H","DateFormat=P","Fill=—","Direction=H","UseDPDF=Y")</f>
        <v>170.1</v>
      </c>
      <c r="X9" s="13">
        <f>_xll.BDH("NBIX US Equity","ST_DEBT_EX_OPERATING_LEASE_LIABS","FQ1 2024","FQ1 2024","Currency=USD","Period=FQ","BEST_FPERIOD_OVERRIDE=FQ","FILING_STATUS=MR","SCALING_FORMAT=MLN","Sort=A","Dates=H","DateFormat=P","Fill=—","Direction=H","UseDPDF=Y")</f>
        <v>122.8</v>
      </c>
      <c r="Y9" s="13">
        <f>_xll.BDH("NBIX US Equity","ST_DEBT_EX_OPERATING_LEASE_LIABS","FQ2 2024","FQ2 2024","Currency=USD","Period=FQ","BEST_FPERIOD_OVERRIDE=FQ","FILING_STATUS=MR","SCALING_FORMAT=MLN","Sort=A","Dates=H","DateFormat=P","Fill=—","Direction=H","UseDPDF=Y")</f>
        <v>0</v>
      </c>
      <c r="Z9" s="13">
        <f>_xll.BDH("NBIX US Equity","ST_DEBT_EX_OPERATING_LEASE_LIABS","FQ3 2024","FQ3 2024","Currency=USD","Period=FQ","BEST_FPERIOD_OVERRIDE=FQ","FILING_STATUS=MR","SCALING_FORMAT=MLN","Sort=A","Dates=H","DateFormat=P","Fill=—","Direction=H","UseDPDF=Y")</f>
        <v>0</v>
      </c>
      <c r="AA9" s="13">
        <f>_xll.BDH("NBIX US Equity","ST_DEBT_EX_OPERATING_LEASE_LIABS","FQ4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1374</v>
      </c>
      <c r="B10" s="10" t="s">
        <v>1409</v>
      </c>
      <c r="C10" s="13">
        <f>_xll.BDH("NBIX US Equity","LT_DEBT_EX_OPERATING_LEASE_LIABS","FQ4 2018","FQ4 2018","Currency=USD","Period=FQ","BEST_FPERIOD_OVERRIDE=FQ","FILING_STATUS=MR","SCALING_FORMAT=MLN","Sort=A","Dates=H","DateFormat=P","Fill=—","Direction=H","UseDPDF=Y")</f>
        <v>388.49599999999998</v>
      </c>
      <c r="D10" s="13">
        <f>_xll.BDH("NBIX US Equity","LT_DEBT_EX_OPERATING_LEASE_LIABS","FQ1 2019","FQ1 2019","Currency=USD","Period=FQ","BEST_FPERIOD_OVERRIDE=FQ","FILING_STATUS=MR","SCALING_FORMAT=MLN","Sort=A","Dates=H","DateFormat=P","Fill=—","Direction=H","UseDPDF=Y")</f>
        <v>393.435</v>
      </c>
      <c r="E10" s="13">
        <f>_xll.BDH("NBIX US Equity","LT_DEBT_EX_OPERATING_LEASE_LIABS","FQ2 2019","FQ2 2019","Currency=USD","Period=FQ","BEST_FPERIOD_OVERRIDE=FQ","FILING_STATUS=MR","SCALING_FORMAT=MLN","Sort=A","Dates=H","DateFormat=P","Fill=—","Direction=H","UseDPDF=Y")</f>
        <v>398.46600000000001</v>
      </c>
      <c r="F10" s="13">
        <f>_xll.BDH("NBIX US Equity","LT_DEBT_EX_OPERATING_LEASE_LIABS","FQ3 2019","FQ3 2019","Currency=USD","Period=FQ","BEST_FPERIOD_OVERRIDE=FQ","FILING_STATUS=MR","SCALING_FORMAT=MLN","Sort=A","Dates=H","DateFormat=P","Fill=—","Direction=H","UseDPDF=Y")</f>
        <v>403.589</v>
      </c>
      <c r="G10" s="13">
        <f>_xll.BDH("NBIX US Equity","LT_DEBT_EX_OPERATING_LEASE_LIABS","FQ4 2019","FQ4 2019","Currency=USD","Period=FQ","BEST_FPERIOD_OVERRIDE=FQ","FILING_STATUS=MR","SCALING_FORMAT=MLN","Sort=A","Dates=H","DateFormat=P","Fill=—","Direction=H","UseDPDF=Y")</f>
        <v>0</v>
      </c>
      <c r="H10" s="13">
        <f>_xll.BDH("NBIX US Equity","LT_DEBT_EX_OPERATING_LEASE_LIABS","FQ1 2020","FQ1 2020","Currency=USD","Period=FQ","BEST_FPERIOD_OVERRIDE=FQ","FILING_STATUS=MR","SCALING_FORMAT=MLN","Sort=A","Dates=H","DateFormat=P","Fill=—","Direction=H","UseDPDF=Y")</f>
        <v>414.1</v>
      </c>
      <c r="I10" s="13">
        <f>_xll.BDH("NBIX US Equity","LT_DEBT_EX_OPERATING_LEASE_LIABS","FQ2 2020","FQ2 2020","Currency=USD","Period=FQ","BEST_FPERIOD_OVERRIDE=FQ","FILING_STATUS=MR","SCALING_FORMAT=MLN","Sort=A","Dates=H","DateFormat=P","Fill=—","Direction=H","UseDPDF=Y")</f>
        <v>0</v>
      </c>
      <c r="J10" s="13">
        <f>_xll.BDH("NBIX US Equity","LT_DEBT_EX_OPERATING_LEASE_LIABS","FQ3 2020","FQ3 2020","Currency=USD","Period=FQ","BEST_FPERIOD_OVERRIDE=FQ","FILING_STATUS=MR","SCALING_FORMAT=MLN","Sort=A","Dates=H","DateFormat=P","Fill=—","Direction=H","UseDPDF=Y")</f>
        <v>0</v>
      </c>
      <c r="K10" s="13">
        <f>_xll.BDH("NBIX US Equity","LT_DEBT_EX_OPERATING_LEASE_LIABS","FQ4 2020","FQ4 2020","Currency=USD","Period=FQ","BEST_FPERIOD_OVERRIDE=FQ","FILING_STATUS=MR","SCALING_FORMAT=MLN","Sort=A","Dates=H","DateFormat=P","Fill=—","Direction=H","UseDPDF=Y")</f>
        <v>317.89999999999998</v>
      </c>
      <c r="L10" s="13">
        <f>_xll.BDH("NBIX US Equity","LT_DEBT_EX_OPERATING_LEASE_LIABS","FQ1 2021","FQ1 2021","Currency=USD","Period=FQ","BEST_FPERIOD_OVERRIDE=FQ","FILING_STATUS=MR","SCALING_FORMAT=MLN","Sort=A","Dates=H","DateFormat=P","Fill=—","Direction=H","UseDPDF=Y")</f>
        <v>322</v>
      </c>
      <c r="M10" s="13">
        <f>_xll.BDH("NBIX US Equity","LT_DEBT_EX_OPERATING_LEASE_LIABS","FQ2 2021","FQ2 2021","Currency=USD","Period=FQ","BEST_FPERIOD_OVERRIDE=FQ","FILING_STATUS=MR","SCALING_FORMAT=MLN","Sort=A","Dates=H","DateFormat=P","Fill=—","Direction=H","UseDPDF=Y")</f>
        <v>326.3</v>
      </c>
      <c r="N10" s="13">
        <f>_xll.BDH("NBIX US Equity","LT_DEBT_EX_OPERATING_LEASE_LIABS","FQ3 2021","FQ3 2021","Currency=USD","Period=FQ","BEST_FPERIOD_OVERRIDE=FQ","FILING_STATUS=MR","SCALING_FORMAT=MLN","Sort=A","Dates=H","DateFormat=P","Fill=—","Direction=H","UseDPDF=Y")</f>
        <v>330.7</v>
      </c>
      <c r="O10" s="13">
        <f>_xll.BDH("NBIX US Equity","LT_DEBT_EX_OPERATING_LEASE_LIABS","FQ4 2021","FQ4 2021","Currency=USD","Period=FQ","BEST_FPERIOD_OVERRIDE=FQ","FILING_STATUS=MR","SCALING_FORMAT=MLN","Sort=A","Dates=H","DateFormat=P","Fill=—","Direction=H","UseDPDF=Y")</f>
        <v>335.1</v>
      </c>
      <c r="P10" s="13">
        <f>_xll.BDH("NBIX US Equity","LT_DEBT_EX_OPERATING_LEASE_LIABS","FQ1 2022","FQ1 2022","Currency=USD","Period=FQ","BEST_FPERIOD_OVERRIDE=FQ","FILING_STATUS=MR","SCALING_FORMAT=MLN","Sort=A","Dates=H","DateFormat=P","Fill=—","Direction=H","UseDPDF=Y")</f>
        <v>377.7</v>
      </c>
      <c r="Q10" s="13">
        <f>_xll.BDH("NBIX US Equity","LT_DEBT_EX_OPERATING_LEASE_LIABS","FQ2 2022","FQ2 2022","Currency=USD","Period=FQ","BEST_FPERIOD_OVERRIDE=FQ","FILING_STATUS=MR","SCALING_FORMAT=MLN","Sort=A","Dates=H","DateFormat=P","Fill=—","Direction=H","UseDPDF=Y")</f>
        <v>169</v>
      </c>
      <c r="R10" s="13">
        <f>_xll.BDH("NBIX US Equity","LT_DEBT_EX_OPERATING_LEASE_LIABS","FQ3 2022","FQ3 2022","Currency=USD","Period=FQ","BEST_FPERIOD_OVERRIDE=FQ","FILING_STATUS=MR","SCALING_FORMAT=MLN","Sort=A","Dates=H","DateFormat=P","Fill=—","Direction=H","UseDPDF=Y")</f>
        <v>0</v>
      </c>
      <c r="S10" s="13">
        <f>_xll.BDH("NBIX US Equity","LT_DEBT_EX_OPERATING_LEASE_LIABS","FQ4 2022","FQ4 2022","Currency=USD","Period=FQ","BEST_FPERIOD_OVERRIDE=FQ","FILING_STATUS=MR","SCALING_FORMAT=MLN","Sort=A","Dates=H","DateFormat=P","Fill=—","Direction=H","UseDPDF=Y")</f>
        <v>0</v>
      </c>
      <c r="T10" s="13">
        <f>_xll.BDH("NBIX US Equity","LT_DEBT_EX_OPERATING_LEASE_LIABS","FQ1 2023","FQ1 2023","Currency=USD","Period=FQ","BEST_FPERIOD_OVERRIDE=FQ","FILING_STATUS=MR","SCALING_FORMAT=MLN","Sort=A","Dates=H","DateFormat=P","Fill=—","Direction=H","UseDPDF=Y")</f>
        <v>169.5</v>
      </c>
      <c r="U10" s="13">
        <f>_xll.BDH("NBIX US Equity","LT_DEBT_EX_OPERATING_LEASE_LIABS","FQ2 2023","FQ2 2023","Currency=USD","Period=FQ","BEST_FPERIOD_OVERRIDE=FQ","FILING_STATUS=MR","SCALING_FORMAT=MLN","Sort=A","Dates=H","DateFormat=P","Fill=—","Direction=H","UseDPDF=Y")</f>
        <v>0</v>
      </c>
      <c r="V10" s="13">
        <f>_xll.BDH("NBIX US Equity","LT_DEBT_EX_OPERATING_LEASE_LIABS","FQ3 2023","FQ3 2023","Currency=USD","Period=FQ","BEST_FPERIOD_OVERRIDE=FQ","FILING_STATUS=MR","SCALING_FORMAT=MLN","Sort=A","Dates=H","DateFormat=P","Fill=—","Direction=H","UseDPDF=Y")</f>
        <v>0</v>
      </c>
      <c r="W10" s="13">
        <f>_xll.BDH("NBIX US Equity","LT_DEBT_EX_OPERATING_LEASE_LIABS","FQ4 2023","FQ4 2023","Currency=USD","Period=FQ","BEST_FPERIOD_OVERRIDE=FQ","FILING_STATUS=MR","SCALING_FORMAT=MLN","Sort=A","Dates=H","DateFormat=P","Fill=—","Direction=H","UseDPDF=Y")</f>
        <v>0</v>
      </c>
      <c r="X10" s="13">
        <f>_xll.BDH("NBIX US Equity","LT_DEBT_EX_OPERATING_LEASE_LIABS","FQ1 2024","FQ1 2024","Currency=USD","Period=FQ","BEST_FPERIOD_OVERRIDE=FQ","FILING_STATUS=MR","SCALING_FORMAT=MLN","Sort=A","Dates=H","DateFormat=P","Fill=—","Direction=H","UseDPDF=Y")</f>
        <v>0</v>
      </c>
      <c r="Y10" s="13">
        <f>_xll.BDH("NBIX US Equity","LT_DEBT_EX_OPERATING_LEASE_LIABS","FQ2 2024","FQ2 2024","Currency=USD","Period=FQ","BEST_FPERIOD_OVERRIDE=FQ","FILING_STATUS=MR","SCALING_FORMAT=MLN","Sort=A","Dates=H","DateFormat=P","Fill=—","Direction=H","UseDPDF=Y")</f>
        <v>0</v>
      </c>
      <c r="Z10" s="13">
        <f>_xll.BDH("NBIX US Equity","LT_DEBT_EX_OPERATING_LEASE_LIABS","FQ3 2024","FQ3 2024","Currency=USD","Period=FQ","BEST_FPERIOD_OVERRIDE=FQ","FILING_STATUS=MR","SCALING_FORMAT=MLN","Sort=A","Dates=H","DateFormat=P","Fill=—","Direction=H","UseDPDF=Y")</f>
        <v>0</v>
      </c>
      <c r="AA10" s="13">
        <f>_xll.BDH("NBIX US Equity","LT_DEBT_EX_OPERATING_LEASE_LIABS","FQ4 2024","FQ4 2024","Currency=USD","Period=FQ","BEST_FPERIOD_OVERRIDE=FQ","FILING_STATUS=MR","SCALING_FORMAT=MLN","Sort=A","Dates=H","DateFormat=P","Fill=—","Direction=H","UseDPDF=Y")</f>
        <v>0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1375</v>
      </c>
      <c r="B12" s="10" t="s">
        <v>1410</v>
      </c>
      <c r="C12" s="14">
        <f>_xll.BDH("NBIX US Equity","TOT_DBT_TO_EBITDA_EX_OP_LEA_ACT","FQ4 2018","FQ4 2018","Currency=USD","Period=FQ","BEST_FPERIOD_OVERRIDE=FQ","FILING_STATUS=MR","FA_ADJUSTED=GAAP","Sort=A","Dates=H","DateFormat=P","Fill=—","Direction=H","UseDPDF=Y")</f>
        <v>9.4943000000000008</v>
      </c>
      <c r="D12" s="14" t="str">
        <f>_xll.BDH("NBIX US Equity","TOT_DBT_TO_EBITDA_EX_OP_LEA_ACT","FQ1 2019","FQ1 2019","Currency=USD","Period=FQ","BEST_FPERIOD_OVERRIDE=FQ","FILING_STATUS=MR","FA_ADJUSTED=GAAP","Sort=A","Dates=H","DateFormat=P","Fill=—","Direction=H","UseDPDF=Y")</f>
        <v>—</v>
      </c>
      <c r="E12" s="14">
        <f>_xll.BDH("NBIX US Equity","TOT_DBT_TO_EBITDA_EX_OP_LEA_ACT","FQ2 2019","FQ2 2019","Currency=USD","Period=FQ","BEST_FPERIOD_OVERRIDE=FQ","FILING_STATUS=MR","FA_ADJUSTED=GAAP","Sort=A","Dates=H","DateFormat=P","Fill=—","Direction=H","UseDPDF=Y")</f>
        <v>25.933399999999999</v>
      </c>
      <c r="F12" s="14">
        <f>_xll.BDH("NBIX US Equity","TOT_DBT_TO_EBITDA_EX_OP_LEA_ACT","FQ3 2019","FQ3 2019","Currency=USD","Period=FQ","BEST_FPERIOD_OVERRIDE=FQ","FILING_STATUS=MR","FA_ADJUSTED=GAAP","Sort=A","Dates=H","DateFormat=P","Fill=—","Direction=H","UseDPDF=Y")</f>
        <v>7.7510000000000003</v>
      </c>
      <c r="G12" s="14">
        <f>_xll.BDH("NBIX US Equity","TOT_DBT_TO_EBITDA_EX_OP_LEA_ACT","FQ4 2019","FQ4 2019","Currency=USD","Period=FQ","BEST_FPERIOD_OVERRIDE=FQ","FILING_STATUS=MR","FA_ADJUSTED=GAAP","Sort=A","Dates=H","DateFormat=P","Fill=—","Direction=H","UseDPDF=Y")</f>
        <v>5.1252000000000004</v>
      </c>
      <c r="H12" s="14">
        <f>_xll.BDH("NBIX US Equity","TOT_DBT_TO_EBITDA_EX_OP_LEA_ACT","FQ1 2020","FQ1 2020","Currency=USD","Period=FQ","BEST_FPERIOD_OVERRIDE=FQ","FILING_STATUS=MR","FA_ADJUSTED=GAAP","Sort=A","Dates=H","DateFormat=P","Fill=—","Direction=H","UseDPDF=Y")</f>
        <v>1.724</v>
      </c>
      <c r="I12" s="14">
        <f>_xll.BDH("NBIX US Equity","TOT_DBT_TO_EBITDA_EX_OP_LEA_ACT","FQ2 2020","FQ2 2020","Currency=USD","Period=FQ","BEST_FPERIOD_OVERRIDE=FQ","FILING_STATUS=MR","FA_ADJUSTED=GAAP","Sort=A","Dates=H","DateFormat=P","Fill=—","Direction=H","UseDPDF=Y")</f>
        <v>1.4842</v>
      </c>
      <c r="J12" s="14">
        <f>_xll.BDH("NBIX US Equity","TOT_DBT_TO_EBITDA_EX_OP_LEA_ACT","FQ3 2020","FQ3 2020","Currency=USD","Period=FQ","BEST_FPERIOD_OVERRIDE=FQ","FILING_STATUS=MR","FA_ADJUSTED=GAAP","Sort=A","Dates=H","DateFormat=P","Fill=—","Direction=H","UseDPDF=Y")</f>
        <v>2.8631000000000002</v>
      </c>
      <c r="K12" s="14">
        <f>_xll.BDH("NBIX US Equity","TOT_DBT_TO_EBITDA_EX_OP_LEA_ACT","FQ4 2020","FQ4 2020","Currency=USD","Period=FQ","BEST_FPERIOD_OVERRIDE=FQ","FILING_STATUS=MR","FA_ADJUSTED=GAAP","Sort=A","Dates=H","DateFormat=P","Fill=—","Direction=H","UseDPDF=Y")</f>
        <v>1.8526</v>
      </c>
      <c r="L12" s="14">
        <f>_xll.BDH("NBIX US Equity","TOT_DBT_TO_EBITDA_EX_OP_LEA_ACT","FQ1 2021","FQ1 2021","Currency=USD","Period=FQ","BEST_FPERIOD_OVERRIDE=FQ","FILING_STATUS=MR","FA_ADJUSTED=GAAP","Sort=A","Dates=H","DateFormat=P","Fill=—","Direction=H","UseDPDF=Y")</f>
        <v>2.2267999999999999</v>
      </c>
      <c r="M12" s="14">
        <f>_xll.BDH("NBIX US Equity","TOT_DBT_TO_EBITDA_EX_OP_LEA_ACT","FQ2 2021","FQ2 2021","Currency=USD","Period=FQ","BEST_FPERIOD_OVERRIDE=FQ","FILING_STATUS=MR","FA_ADJUSTED=GAAP","Sort=A","Dates=H","DateFormat=P","Fill=—","Direction=H","UseDPDF=Y")</f>
        <v>2.4851000000000001</v>
      </c>
      <c r="N12" s="14">
        <f>_xll.BDH("NBIX US Equity","TOT_DBT_TO_EBITDA_EX_OP_LEA_ACT","FQ3 2021","FQ3 2021","Currency=USD","Period=FQ","BEST_FPERIOD_OVERRIDE=FQ","FILING_STATUS=MR","FA_ADJUSTED=GAAP","Sort=A","Dates=H","DateFormat=P","Fill=—","Direction=H","UseDPDF=Y")</f>
        <v>1.4984</v>
      </c>
      <c r="O12" s="14">
        <f>_xll.BDH("NBIX US Equity","TOT_DBT_TO_EBITDA_EX_OP_LEA_ACT","FQ4 2021","FQ4 2021","Currency=USD","Period=FQ","BEST_FPERIOD_OVERRIDE=FQ","FILING_STATUS=MR","FA_ADJUSTED=GAAP","Sort=A","Dates=H","DateFormat=P","Fill=—","Direction=H","UseDPDF=Y")</f>
        <v>2.9550000000000001</v>
      </c>
      <c r="P12" s="14">
        <f>_xll.BDH("NBIX US Equity","TOT_DBT_TO_EBITDA_EX_OP_LEA_ACT","FQ1 2022","FQ1 2022","Currency=USD","Period=FQ","BEST_FPERIOD_OVERRIDE=FQ","FILING_STATUS=MR","FA_ADJUSTED=GAAP","Sort=A","Dates=H","DateFormat=P","Fill=—","Direction=H","UseDPDF=Y")</f>
        <v>4.4020999999999999</v>
      </c>
      <c r="Q12" s="14">
        <f>_xll.BDH("NBIX US Equity","TOT_DBT_TO_EBITDA_EX_OP_LEA_ACT","FQ2 2022","FQ2 2022","Currency=USD","Period=FQ","BEST_FPERIOD_OVERRIDE=FQ","FILING_STATUS=MR","FA_ADJUSTED=GAAP","Sort=A","Dates=H","DateFormat=P","Fill=—","Direction=H","UseDPDF=Y")</f>
        <v>2.1392000000000002</v>
      </c>
      <c r="R12" s="14">
        <f>_xll.BDH("NBIX US Equity","TOT_DBT_TO_EBITDA_EX_OP_LEA_ACT","FQ3 2022","FQ3 2022","Currency=USD","Period=FQ","BEST_FPERIOD_OVERRIDE=FQ","FILING_STATUS=MR","FA_ADJUSTED=GAAP","Sort=A","Dates=H","DateFormat=P","Fill=—","Direction=H","UseDPDF=Y")</f>
        <v>1.37</v>
      </c>
      <c r="S12" s="14">
        <f>_xll.BDH("NBIX US Equity","TOT_DBT_TO_EBITDA_EX_OP_LEA_ACT","FQ4 2022","FQ4 2022","Currency=USD","Period=FQ","BEST_FPERIOD_OVERRIDE=FQ","FILING_STATUS=MR","FA_ADJUSTED=GAAP","Sort=A","Dates=H","DateFormat=P","Fill=—","Direction=H","UseDPDF=Y")</f>
        <v>0.64019999999999999</v>
      </c>
      <c r="T12" s="14">
        <f>_xll.BDH("NBIX US Equity","TOT_DBT_TO_EBITDA_EX_OP_LEA_ACT","FQ1 2023","FQ1 2023","Currency=USD","Period=FQ","BEST_FPERIOD_OVERRIDE=FQ","FILING_STATUS=MR","FA_ADJUSTED=GAAP","Sort=A","Dates=H","DateFormat=P","Fill=—","Direction=H","UseDPDF=Y")</f>
        <v>1.1375999999999999</v>
      </c>
      <c r="U12" s="14">
        <f>_xll.BDH("NBIX US Equity","TOT_DBT_TO_EBITDA_EX_OP_LEA_ACT","FQ2 2023","FQ2 2023","Currency=USD","Period=FQ","BEST_FPERIOD_OVERRIDE=FQ","FILING_STATUS=MR","FA_ADJUSTED=GAAP","Sort=A","Dates=H","DateFormat=P","Fill=—","Direction=H","UseDPDF=Y")</f>
        <v>1.0035000000000001</v>
      </c>
      <c r="V12" s="14">
        <f>_xll.BDH("NBIX US Equity","TOT_DBT_TO_EBITDA_EX_OP_LEA_ACT","FQ3 2023","FQ3 2023","Currency=USD","Period=FQ","BEST_FPERIOD_OVERRIDE=FQ","FILING_STATUS=MR","FA_ADJUSTED=GAAP","Sort=A","Dates=H","DateFormat=P","Fill=—","Direction=H","UseDPDF=Y")</f>
        <v>0.75849999999999995</v>
      </c>
      <c r="W12" s="14">
        <f>_xll.BDH("NBIX US Equity","TOT_DBT_TO_EBITDA_EX_OP_LEA_ACT","FQ4 2023","FQ4 2023","Currency=USD","Period=FQ","BEST_FPERIOD_OVERRIDE=FQ","FILING_STATUS=MR","FA_ADJUSTED=GAAP","Sort=A","Dates=H","DateFormat=P","Fill=—","Direction=H","UseDPDF=Y")</f>
        <v>0.62490000000000001</v>
      </c>
      <c r="X12" s="14">
        <f>_xll.BDH("NBIX US Equity","TOT_DBT_TO_EBITDA_EX_OP_LEA_ACT","FQ1 2024","FQ1 2024","Currency=USD","Period=FQ","BEST_FPERIOD_OVERRIDE=FQ","FILING_STATUS=MR","FA_ADJUSTED=GAAP","Sort=A","Dates=H","DateFormat=P","Fill=—","Direction=H","UseDPDF=Y")</f>
        <v>0.25219999999999998</v>
      </c>
      <c r="Y12" s="14">
        <f>_xll.BDH("NBIX US Equity","TOT_DBT_TO_EBITDA_EX_OP_LEA_ACT","FQ2 2024","FQ2 2024","Currency=USD","Period=FQ","BEST_FPERIOD_OVERRIDE=FQ","FILING_STATUS=MR","FA_ADJUSTED=GAAP","Sort=A","Dates=H","DateFormat=P","Fill=—","Direction=H","UseDPDF=Y")</f>
        <v>0</v>
      </c>
      <c r="Z12" s="14">
        <f>_xll.BDH("NBIX US Equity","TOT_DBT_TO_EBITDA_EX_OP_LEA_ACT","FQ3 2024","FQ3 2024","Currency=USD","Period=FQ","BEST_FPERIOD_OVERRIDE=FQ","FILING_STATUS=MR","FA_ADJUSTED=GAAP","Sort=A","Dates=H","DateFormat=P","Fill=—","Direction=H","UseDPDF=Y")</f>
        <v>0</v>
      </c>
      <c r="AA12" s="14">
        <f>_xll.BDH("NBIX US Equity","TOT_DBT_TO_EBITDA_EX_OP_LEA_ACT","FQ4 2024","FQ4 2024","Currency=USD","Period=FQ","BEST_FPERIOD_OVERRIDE=FQ","FILING_STATUS=MR","FA_ADJUSTED=GAAP","Sort=A","Dates=H","DateFormat=P","Fill=—","Direction=H","UseDPDF=Y")</f>
        <v>0</v>
      </c>
    </row>
    <row r="13" spans="1:27" x14ac:dyDescent="0.25">
      <c r="A13" s="10" t="s">
        <v>1377</v>
      </c>
      <c r="B13" s="10" t="s">
        <v>1411</v>
      </c>
      <c r="C13" s="14">
        <f>_xll.BDH("NBIX US Equity","NET_DEBT_EBITDA_EX_OPER_LEA_ACT","FQ4 2018","FQ4 2018","Currency=USD","Period=FQ","BEST_FPERIOD_OVERRIDE=FQ","FILING_STATUS=MR","FA_ADJUSTED=GAAP","Sort=A","Dates=H","DateFormat=P","Fill=—","Direction=H","UseDPDF=Y")</f>
        <v>-6.4131</v>
      </c>
      <c r="D13" s="14" t="str">
        <f>_xll.BDH("NBIX US Equity","NET_DEBT_EBITDA_EX_OPER_LEA_ACT","FQ1 2019","FQ1 2019","Currency=USD","Period=FQ","BEST_FPERIOD_OVERRIDE=FQ","FILING_STATUS=MR","FA_ADJUSTED=GAAP","Sort=A","Dates=H","DateFormat=P","Fill=—","Direction=H","UseDPDF=Y")</f>
        <v>—</v>
      </c>
      <c r="E13" s="14">
        <f>_xll.BDH("NBIX US Equity","NET_DEBT_EBITDA_EX_OPER_LEA_ACT","FQ2 2019","FQ2 2019","Currency=USD","Period=FQ","BEST_FPERIOD_OVERRIDE=FQ","FILING_STATUS=MR","FA_ADJUSTED=GAAP","Sort=A","Dates=H","DateFormat=P","Fill=—","Direction=H","UseDPDF=Y")</f>
        <v>-14.416700000000001</v>
      </c>
      <c r="F13" s="14">
        <f>_xll.BDH("NBIX US Equity","NET_DEBT_EBITDA_EX_OPER_LEA_ACT","FQ3 2019","FQ3 2019","Currency=USD","Period=FQ","BEST_FPERIOD_OVERRIDE=FQ","FILING_STATUS=MR","FA_ADJUSTED=GAAP","Sort=A","Dates=H","DateFormat=P","Fill=—","Direction=H","UseDPDF=Y")</f>
        <v>-5.1196000000000002</v>
      </c>
      <c r="G13" s="14">
        <f>_xll.BDH("NBIX US Equity","NET_DEBT_EBITDA_EX_OPER_LEA_ACT","FQ4 2019","FQ4 2019","Currency=USD","Period=FQ","BEST_FPERIOD_OVERRIDE=FQ","FILING_STATUS=MR","FA_ADJUSTED=GAAP","Sort=A","Dates=H","DateFormat=P","Fill=—","Direction=H","UseDPDF=Y")</f>
        <v>-3.2810000000000001</v>
      </c>
      <c r="H13" s="14">
        <f>_xll.BDH("NBIX US Equity","NET_DEBT_EBITDA_EX_OPER_LEA_ACT","FQ1 2020","FQ1 2020","Currency=USD","Period=FQ","BEST_FPERIOD_OVERRIDE=FQ","FILING_STATUS=MR","FA_ADJUSTED=GAAP","Sort=A","Dates=H","DateFormat=P","Fill=—","Direction=H","UseDPDF=Y")</f>
        <v>-1.4887999999999999</v>
      </c>
      <c r="I13" s="14">
        <f>_xll.BDH("NBIX US Equity","NET_DEBT_EBITDA_EX_OPER_LEA_ACT","FQ2 2020","FQ2 2020","Currency=USD","Period=FQ","BEST_FPERIOD_OVERRIDE=FQ","FILING_STATUS=MR","FA_ADJUSTED=GAAP","Sort=A","Dates=H","DateFormat=P","Fill=—","Direction=H","UseDPDF=Y")</f>
        <v>-1.8709</v>
      </c>
      <c r="J13" s="14">
        <f>_xll.BDH("NBIX US Equity","NET_DEBT_EBITDA_EX_OPER_LEA_ACT","FQ3 2020","FQ3 2020","Currency=USD","Period=FQ","BEST_FPERIOD_OVERRIDE=FQ","FILING_STATUS=MR","FA_ADJUSTED=GAAP","Sort=A","Dates=H","DateFormat=P","Fill=—","Direction=H","UseDPDF=Y")</f>
        <v>-3.5011000000000001</v>
      </c>
      <c r="K13" s="14">
        <f>_xll.BDH("NBIX US Equity","NET_DEBT_EBITDA_EX_OPER_LEA_ACT","FQ4 2020","FQ4 2020","Currency=USD","Period=FQ","BEST_FPERIOD_OVERRIDE=FQ","FILING_STATUS=MR","FA_ADJUSTED=GAAP","Sort=A","Dates=H","DateFormat=P","Fill=—","Direction=H","UseDPDF=Y")</f>
        <v>-2.8153000000000001</v>
      </c>
      <c r="L13" s="14">
        <f>_xll.BDH("NBIX US Equity","NET_DEBT_EBITDA_EX_OPER_LEA_ACT","FQ1 2021","FQ1 2021","Currency=USD","Period=FQ","BEST_FPERIOD_OVERRIDE=FQ","FILING_STATUS=MR","FA_ADJUSTED=GAAP","Sort=A","Dates=H","DateFormat=P","Fill=—","Direction=H","UseDPDF=Y")</f>
        <v>-3.8153999999999999</v>
      </c>
      <c r="M13" s="14">
        <f>_xll.BDH("NBIX US Equity","NET_DEBT_EBITDA_EX_OPER_LEA_ACT","FQ2 2021","FQ2 2021","Currency=USD","Period=FQ","BEST_FPERIOD_OVERRIDE=FQ","FILING_STATUS=MR","FA_ADJUSTED=GAAP","Sort=A","Dates=H","DateFormat=P","Fill=—","Direction=H","UseDPDF=Y")</f>
        <v>-4.2544000000000004</v>
      </c>
      <c r="N13" s="14">
        <f>_xll.BDH("NBIX US Equity","NET_DEBT_EBITDA_EX_OPER_LEA_ACT","FQ3 2021","FQ3 2021","Currency=USD","Period=FQ","BEST_FPERIOD_OVERRIDE=FQ","FILING_STATUS=MR","FA_ADJUSTED=GAAP","Sort=A","Dates=H","DateFormat=P","Fill=—","Direction=H","UseDPDF=Y")</f>
        <v>-1.9719</v>
      </c>
      <c r="O13" s="14">
        <f>_xll.BDH("NBIX US Equity","NET_DEBT_EBITDA_EX_OPER_LEA_ACT","FQ4 2021","FQ4 2021","Currency=USD","Period=FQ","BEST_FPERIOD_OVERRIDE=FQ","FILING_STATUS=MR","FA_ADJUSTED=GAAP","Sort=A","Dates=H","DateFormat=P","Fill=—","Direction=H","UseDPDF=Y")</f>
        <v>-3.3174999999999999</v>
      </c>
      <c r="P13" s="14">
        <f>_xll.BDH("NBIX US Equity","NET_DEBT_EBITDA_EX_OPER_LEA_ACT","FQ1 2022","FQ1 2022","Currency=USD","Period=FQ","BEST_FPERIOD_OVERRIDE=FQ","FILING_STATUS=MR","FA_ADJUSTED=GAAP","Sort=A","Dates=H","DateFormat=P","Fill=—","Direction=H","UseDPDF=Y")</f>
        <v>-3.3473000000000002</v>
      </c>
      <c r="Q13" s="14">
        <f>_xll.BDH("NBIX US Equity","NET_DEBT_EBITDA_EX_OPER_LEA_ACT","FQ2 2022","FQ2 2022","Currency=USD","Period=FQ","BEST_FPERIOD_OVERRIDE=FQ","FILING_STATUS=MR","FA_ADJUSTED=GAAP","Sort=A","Dates=H","DateFormat=P","Fill=—","Direction=H","UseDPDF=Y")</f>
        <v>-6.0670999999999999</v>
      </c>
      <c r="R13" s="14">
        <f>_xll.BDH("NBIX US Equity","NET_DEBT_EBITDA_EX_OPER_LEA_ACT","FQ3 2022","FQ3 2022","Currency=USD","Period=FQ","BEST_FPERIOD_OVERRIDE=FQ","FILING_STATUS=MR","FA_ADJUSTED=GAAP","Sort=A","Dates=H","DateFormat=P","Fill=—","Direction=H","UseDPDF=Y")</f>
        <v>-5.1028000000000002</v>
      </c>
      <c r="S13" s="14">
        <f>_xll.BDH("NBIX US Equity","NET_DEBT_EBITDA_EX_OPER_LEA_ACT","FQ4 2022","FQ4 2022","Currency=USD","Period=FQ","BEST_FPERIOD_OVERRIDE=FQ","FILING_STATUS=MR","FA_ADJUSTED=GAAP","Sort=A","Dates=H","DateFormat=P","Fill=—","Direction=H","UseDPDF=Y")</f>
        <v>-3.0985999999999998</v>
      </c>
      <c r="T13" s="14">
        <f>_xll.BDH("NBIX US Equity","NET_DEBT_EBITDA_EX_OPER_LEA_ACT","FQ1 2023","FQ1 2023","Currency=USD","Period=FQ","BEST_FPERIOD_OVERRIDE=FQ","FILING_STATUS=MR","FA_ADJUSTED=GAAP","Sort=A","Dates=H","DateFormat=P","Fill=—","Direction=H","UseDPDF=Y")</f>
        <v>-4.8663999999999996</v>
      </c>
      <c r="U13" s="14">
        <f>_xll.BDH("NBIX US Equity","NET_DEBT_EBITDA_EX_OPER_LEA_ACT","FQ2 2023","FQ2 2023","Currency=USD","Period=FQ","BEST_FPERIOD_OVERRIDE=FQ","FILING_STATUS=MR","FA_ADJUSTED=GAAP","Sort=A","Dates=H","DateFormat=P","Fill=—","Direction=H","UseDPDF=Y")</f>
        <v>-4.7723000000000004</v>
      </c>
      <c r="V13" s="14">
        <f>_xll.BDH("NBIX US Equity","NET_DEBT_EBITDA_EX_OPER_LEA_ACT","FQ3 2023","FQ3 2023","Currency=USD","Period=FQ","BEST_FPERIOD_OVERRIDE=FQ","FILING_STATUS=MR","FA_ADJUSTED=GAAP","Sort=A","Dates=H","DateFormat=P","Fill=—","Direction=H","UseDPDF=Y")</f>
        <v>-4.1303999999999998</v>
      </c>
      <c r="W13" s="14">
        <f>_xll.BDH("NBIX US Equity","NET_DEBT_EBITDA_EX_OPER_LEA_ACT","FQ4 2023","FQ4 2023","Currency=USD","Period=FQ","BEST_FPERIOD_OVERRIDE=FQ","FILING_STATUS=MR","FA_ADJUSTED=GAAP","Sort=A","Dates=H","DateFormat=P","Fill=—","Direction=H","UseDPDF=Y")</f>
        <v>-3.165</v>
      </c>
      <c r="X13" s="14">
        <f>_xll.BDH("NBIX US Equity","NET_DEBT_EBITDA_EX_OPER_LEA_ACT","FQ1 2024","FQ1 2024","Currency=USD","Period=FQ","BEST_FPERIOD_OVERRIDE=FQ","FILING_STATUS=MR","FA_ADJUSTED=GAAP","Sort=A","Dates=H","DateFormat=P","Fill=—","Direction=H","UseDPDF=Y")</f>
        <v>-2.2341000000000002</v>
      </c>
      <c r="Y13" s="14">
        <f>_xll.BDH("NBIX US Equity","NET_DEBT_EBITDA_EX_OPER_LEA_ACT","FQ2 2024","FQ2 2024","Currency=USD","Period=FQ","BEST_FPERIOD_OVERRIDE=FQ","FILING_STATUS=MR","FA_ADJUSTED=GAAP","Sort=A","Dates=H","DateFormat=P","Fill=—","Direction=H","UseDPDF=Y")</f>
        <v>-1.8522000000000001</v>
      </c>
      <c r="Z13" s="14">
        <f>_xll.BDH("NBIX US Equity","NET_DEBT_EBITDA_EX_OPER_LEA_ACT","FQ3 2024","FQ3 2024","Currency=USD","Period=FQ","BEST_FPERIOD_OVERRIDE=FQ","FILING_STATUS=MR","FA_ADJUSTED=GAAP","Sort=A","Dates=H","DateFormat=P","Fill=—","Direction=H","UseDPDF=Y")</f>
        <v>-2.0314000000000001</v>
      </c>
      <c r="AA13" s="14">
        <f>_xll.BDH("NBIX US Equity","NET_DEBT_EBITDA_EX_OPER_LEA_ACT","FQ4 2024","FQ4 2024","Currency=USD","Period=FQ","BEST_FPERIOD_OVERRIDE=FQ","FILING_STATUS=MR","FA_ADJUSTED=GAAP","Sort=A","Dates=H","DateFormat=P","Fill=—","Direction=H","UseDPDF=Y")</f>
        <v>-1.8007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1379</v>
      </c>
      <c r="B15" s="10" t="s">
        <v>1412</v>
      </c>
      <c r="C15" s="14">
        <f>_xll.BDH("NBIX US Equity","TOT_DEBT_TO_EBIT_EX_OPER_LEA_ACT","FQ4 2018","FQ4 2018","Currency=USD","Period=FQ","BEST_FPERIOD_OVERRIDE=FQ","FILING_STATUS=MR","FA_ADJUSTED=GAAP","Sort=A","Dates=H","DateFormat=P","Fill=—","Direction=H","UseDPDF=Y")</f>
        <v>10.5298</v>
      </c>
      <c r="D15" s="14" t="str">
        <f>_xll.BDH("NBIX US Equity","TOT_DEBT_TO_EBIT_EX_OPER_LEA_ACT","FQ1 2019","FQ1 2019","Currency=USD","Period=FQ","BEST_FPERIOD_OVERRIDE=FQ","FILING_STATUS=MR","FA_ADJUSTED=GAAP","Sort=A","Dates=H","DateFormat=P","Fill=—","Direction=H","UseDPDF=Y")</f>
        <v>—</v>
      </c>
      <c r="E15" s="14">
        <f>_xll.BDH("NBIX US Equity","TOT_DEBT_TO_EBIT_EX_OPER_LEA_ACT","FQ2 2019","FQ2 2019","Currency=USD","Period=FQ","BEST_FPERIOD_OVERRIDE=FQ","FILING_STATUS=MR","FA_ADJUSTED=GAAP","Sort=A","Dates=H","DateFormat=P","Fill=—","Direction=H","UseDPDF=Y")</f>
        <v>41.257599999999996</v>
      </c>
      <c r="F15" s="14">
        <f>_xll.BDH("NBIX US Equity","TOT_DEBT_TO_EBIT_EX_OPER_LEA_ACT","FQ3 2019","FQ3 2019","Currency=USD","Period=FQ","BEST_FPERIOD_OVERRIDE=FQ","FILING_STATUS=MR","FA_ADJUSTED=GAAP","Sort=A","Dates=H","DateFormat=P","Fill=—","Direction=H","UseDPDF=Y")</f>
        <v>8.8832000000000004</v>
      </c>
      <c r="G15" s="14">
        <f>_xll.BDH("NBIX US Equity","TOT_DEBT_TO_EBIT_EX_OPER_LEA_ACT","FQ4 2019","FQ4 2019","Currency=USD","Period=FQ","BEST_FPERIOD_OVERRIDE=FQ","FILING_STATUS=MR","FA_ADJUSTED=GAAP","Sort=A","Dates=H","DateFormat=P","Fill=—","Direction=H","UseDPDF=Y")</f>
        <v>5.6494</v>
      </c>
      <c r="H15" s="14">
        <f>_xll.BDH("NBIX US Equity","TOT_DEBT_TO_EBIT_EX_OPER_LEA_ACT","FQ1 2020","FQ1 2020","Currency=USD","Period=FQ","BEST_FPERIOD_OVERRIDE=FQ","FILING_STATUS=MR","FA_ADJUSTED=GAAP","Sort=A","Dates=H","DateFormat=P","Fill=—","Direction=H","UseDPDF=Y")</f>
        <v>1.7828999999999999</v>
      </c>
      <c r="I15" s="14">
        <f>_xll.BDH("NBIX US Equity","TOT_DEBT_TO_EBIT_EX_OPER_LEA_ACT","FQ2 2020","FQ2 2020","Currency=USD","Period=FQ","BEST_FPERIOD_OVERRIDE=FQ","FILING_STATUS=MR","FA_ADJUSTED=GAAP","Sort=A","Dates=H","DateFormat=P","Fill=—","Direction=H","UseDPDF=Y")</f>
        <v>1.5287999999999999</v>
      </c>
      <c r="J15" s="14">
        <f>_xll.BDH("NBIX US Equity","TOT_DEBT_TO_EBIT_EX_OPER_LEA_ACT","FQ3 2020","FQ3 2020","Currency=USD","Period=FQ","BEST_FPERIOD_OVERRIDE=FQ","FILING_STATUS=MR","FA_ADJUSTED=GAAP","Sort=A","Dates=H","DateFormat=P","Fill=—","Direction=H","UseDPDF=Y")</f>
        <v>3.0356999999999998</v>
      </c>
      <c r="K15" s="14">
        <f>_xll.BDH("NBIX US Equity","TOT_DEBT_TO_EBIT_EX_OPER_LEA_ACT","FQ4 2020","FQ4 2020","Currency=USD","Period=FQ","BEST_FPERIOD_OVERRIDE=FQ","FILING_STATUS=MR","FA_ADJUSTED=GAAP","Sort=A","Dates=H","DateFormat=P","Fill=—","Direction=H","UseDPDF=Y")</f>
        <v>1.9502999999999999</v>
      </c>
      <c r="L15" s="14">
        <f>_xll.BDH("NBIX US Equity","TOT_DEBT_TO_EBIT_EX_OPER_LEA_ACT","FQ1 2021","FQ1 2021","Currency=USD","Period=FQ","BEST_FPERIOD_OVERRIDE=FQ","FILING_STATUS=MR","FA_ADJUSTED=GAAP","Sort=A","Dates=H","DateFormat=P","Fill=—","Direction=H","UseDPDF=Y")</f>
        <v>2.3746</v>
      </c>
      <c r="M15" s="14">
        <f>_xll.BDH("NBIX US Equity","TOT_DEBT_TO_EBIT_EX_OPER_LEA_ACT","FQ2 2021","FQ2 2021","Currency=USD","Period=FQ","BEST_FPERIOD_OVERRIDE=FQ","FILING_STATUS=MR","FA_ADJUSTED=GAAP","Sort=A","Dates=H","DateFormat=P","Fill=—","Direction=H","UseDPDF=Y")</f>
        <v>2.6789999999999998</v>
      </c>
      <c r="N15" s="14">
        <f>_xll.BDH("NBIX US Equity","TOT_DEBT_TO_EBIT_EX_OPER_LEA_ACT","FQ3 2021","FQ3 2021","Currency=USD","Period=FQ","BEST_FPERIOD_OVERRIDE=FQ","FILING_STATUS=MR","FA_ADJUSTED=GAAP","Sort=A","Dates=H","DateFormat=P","Fill=—","Direction=H","UseDPDF=Y")</f>
        <v>1.5703</v>
      </c>
      <c r="O15" s="14">
        <f>_xll.BDH("NBIX US Equity","TOT_DEBT_TO_EBIT_EX_OPER_LEA_ACT","FQ4 2021","FQ4 2021","Currency=USD","Period=FQ","BEST_FPERIOD_OVERRIDE=FQ","FILING_STATUS=MR","FA_ADJUSTED=GAAP","Sort=A","Dates=H","DateFormat=P","Fill=—","Direction=H","UseDPDF=Y")</f>
        <v>3.2692999999999999</v>
      </c>
      <c r="P15" s="14">
        <f>_xll.BDH("NBIX US Equity","TOT_DEBT_TO_EBIT_EX_OPER_LEA_ACT","FQ1 2022","FQ1 2022","Currency=USD","Period=FQ","BEST_FPERIOD_OVERRIDE=FQ","FILING_STATUS=MR","FA_ADJUSTED=GAAP","Sort=A","Dates=H","DateFormat=P","Fill=—","Direction=H","UseDPDF=Y")</f>
        <v>5.0972</v>
      </c>
      <c r="Q15" s="14">
        <f>_xll.BDH("NBIX US Equity","TOT_DEBT_TO_EBIT_EX_OPER_LEA_ACT","FQ2 2022","FQ2 2022","Currency=USD","Period=FQ","BEST_FPERIOD_OVERRIDE=FQ","FILING_STATUS=MR","FA_ADJUSTED=GAAP","Sort=A","Dates=H","DateFormat=P","Fill=—","Direction=H","UseDPDF=Y")</f>
        <v>2.5606</v>
      </c>
      <c r="R15" s="14">
        <f>_xll.BDH("NBIX US Equity","TOT_DEBT_TO_EBIT_EX_OPER_LEA_ACT","FQ3 2022","FQ3 2022","Currency=USD","Period=FQ","BEST_FPERIOD_OVERRIDE=FQ","FILING_STATUS=MR","FA_ADJUSTED=GAAP","Sort=A","Dates=H","DateFormat=P","Fill=—","Direction=H","UseDPDF=Y")</f>
        <v>1.548</v>
      </c>
      <c r="S15" s="14">
        <f>_xll.BDH("NBIX US Equity","TOT_DEBT_TO_EBIT_EX_OPER_LEA_ACT","FQ4 2022","FQ4 2022","Currency=USD","Period=FQ","BEST_FPERIOD_OVERRIDE=FQ","FILING_STATUS=MR","FA_ADJUSTED=GAAP","Sort=A","Dates=H","DateFormat=P","Fill=—","Direction=H","UseDPDF=Y")</f>
        <v>0.68030000000000002</v>
      </c>
      <c r="T15" s="14">
        <f>_xll.BDH("NBIX US Equity","TOT_DEBT_TO_EBIT_EX_OPER_LEA_ACT","FQ1 2023","FQ1 2023","Currency=USD","Period=FQ","BEST_FPERIOD_OVERRIDE=FQ","FILING_STATUS=MR","FA_ADJUSTED=GAAP","Sort=A","Dates=H","DateFormat=P","Fill=—","Direction=H","UseDPDF=Y")</f>
        <v>1.2869999999999999</v>
      </c>
      <c r="U15" s="14">
        <f>_xll.BDH("NBIX US Equity","TOT_DEBT_TO_EBIT_EX_OPER_LEA_ACT","FQ2 2023","FQ2 2023","Currency=USD","Period=FQ","BEST_FPERIOD_OVERRIDE=FQ","FILING_STATUS=MR","FA_ADJUSTED=GAAP","Sort=A","Dates=H","DateFormat=P","Fill=—","Direction=H","UseDPDF=Y")</f>
        <v>1.1268</v>
      </c>
      <c r="V15" s="14">
        <f>_xll.BDH("NBIX US Equity","TOT_DEBT_TO_EBIT_EX_OPER_LEA_ACT","FQ3 2023","FQ3 2023","Currency=USD","Period=FQ","BEST_FPERIOD_OVERRIDE=FQ","FILING_STATUS=MR","FA_ADJUSTED=GAAP","Sort=A","Dates=H","DateFormat=P","Fill=—","Direction=H","UseDPDF=Y")</f>
        <v>0.83279999999999998</v>
      </c>
      <c r="W15" s="14">
        <f>_xll.BDH("NBIX US Equity","TOT_DEBT_TO_EBIT_EX_OPER_LEA_ACT","FQ4 2023","FQ4 2023","Currency=USD","Period=FQ","BEST_FPERIOD_OVERRIDE=FQ","FILING_STATUS=MR","FA_ADJUSTED=GAAP","Sort=A","Dates=H","DateFormat=P","Fill=—","Direction=H","UseDPDF=Y")</f>
        <v>0.67800000000000005</v>
      </c>
      <c r="X15" s="14">
        <f>_xll.BDH("NBIX US Equity","TOT_DEBT_TO_EBIT_EX_OPER_LEA_ACT","FQ1 2024","FQ1 2024","Currency=USD","Period=FQ","BEST_FPERIOD_OVERRIDE=FQ","FILING_STATUS=MR","FA_ADJUSTED=GAAP","Sort=A","Dates=H","DateFormat=P","Fill=—","Direction=H","UseDPDF=Y")</f>
        <v>0.26440000000000002</v>
      </c>
      <c r="Y15" s="14">
        <f>_xll.BDH("NBIX US Equity","TOT_DEBT_TO_EBIT_EX_OPER_LEA_ACT","FQ2 2024","FQ2 2024","Currency=USD","Period=FQ","BEST_FPERIOD_OVERRIDE=FQ","FILING_STATUS=MR","FA_ADJUSTED=GAAP","Sort=A","Dates=H","DateFormat=P","Fill=—","Direction=H","UseDPDF=Y")</f>
        <v>0</v>
      </c>
      <c r="Z15" s="14">
        <f>_xll.BDH("NBIX US Equity","TOT_DEBT_TO_EBIT_EX_OPER_LEA_ACT","FQ3 2024","FQ3 2024","Currency=USD","Period=FQ","BEST_FPERIOD_OVERRIDE=FQ","FILING_STATUS=MR","FA_ADJUSTED=GAAP","Sort=A","Dates=H","DateFormat=P","Fill=—","Direction=H","UseDPDF=Y")</f>
        <v>0</v>
      </c>
      <c r="AA15" s="14">
        <f>_xll.BDH("NBIX US Equity","TOT_DEBT_TO_EBIT_EX_OPER_LEA_ACT","FQ4 2024","FQ4 2024","Currency=USD","Period=FQ","BEST_FPERIOD_OVERRIDE=FQ","FILING_STATUS=MR","FA_ADJUSTED=GAAP","Sort=A","Dates=H","DateFormat=P","Fill=—","Direction=H","UseDPDF=Y")</f>
        <v>0</v>
      </c>
    </row>
    <row r="16" spans="1:27" x14ac:dyDescent="0.25">
      <c r="A16" s="10" t="s">
        <v>1381</v>
      </c>
      <c r="B16" s="10" t="s">
        <v>1413</v>
      </c>
      <c r="C16" s="14">
        <f>_xll.BDH("NBIX US Equity","NET_DEBT_TO_EBIT_EX_OPER_LEA_ACT","FQ4 2018","FQ4 2018","Currency=USD","Period=FQ","BEST_FPERIOD_OVERRIDE=FQ","FILING_STATUS=MR","FA_ADJUSTED=GAAP","Sort=A","Dates=H","DateFormat=P","Fill=—","Direction=H","UseDPDF=Y")</f>
        <v>-7.1124999999999998</v>
      </c>
      <c r="D16" s="14" t="str">
        <f>_xll.BDH("NBIX US Equity","NET_DEBT_TO_EBIT_EX_OPER_LEA_ACT","FQ1 2019","FQ1 2019","Currency=USD","Period=FQ","BEST_FPERIOD_OVERRIDE=FQ","FILING_STATUS=MR","FA_ADJUSTED=GAAP","Sort=A","Dates=H","DateFormat=P","Fill=—","Direction=H","UseDPDF=Y")</f>
        <v>—</v>
      </c>
      <c r="E16" s="14">
        <f>_xll.BDH("NBIX US Equity","NET_DEBT_TO_EBIT_EX_OPER_LEA_ACT","FQ2 2019","FQ2 2019","Currency=USD","Period=FQ","BEST_FPERIOD_OVERRIDE=FQ","FILING_STATUS=MR","FA_ADJUSTED=GAAP","Sort=A","Dates=H","DateFormat=P","Fill=—","Direction=H","UseDPDF=Y")</f>
        <v>-22.935600000000001</v>
      </c>
      <c r="F16" s="14">
        <f>_xll.BDH("NBIX US Equity","NET_DEBT_TO_EBIT_EX_OPER_LEA_ACT","FQ3 2019","FQ3 2019","Currency=USD","Period=FQ","BEST_FPERIOD_OVERRIDE=FQ","FILING_STATUS=MR","FA_ADJUSTED=GAAP","Sort=A","Dates=H","DateFormat=P","Fill=—","Direction=H","UseDPDF=Y")</f>
        <v>-5.8673999999999999</v>
      </c>
      <c r="G16" s="14">
        <f>_xll.BDH("NBIX US Equity","NET_DEBT_TO_EBIT_EX_OPER_LEA_ACT","FQ4 2019","FQ4 2019","Currency=USD","Period=FQ","BEST_FPERIOD_OVERRIDE=FQ","FILING_STATUS=MR","FA_ADJUSTED=GAAP","Sort=A","Dates=H","DateFormat=P","Fill=—","Direction=H","UseDPDF=Y")</f>
        <v>-3.6164999999999998</v>
      </c>
      <c r="H16" s="14">
        <f>_xll.BDH("NBIX US Equity","NET_DEBT_TO_EBIT_EX_OPER_LEA_ACT","FQ1 2020","FQ1 2020","Currency=USD","Period=FQ","BEST_FPERIOD_OVERRIDE=FQ","FILING_STATUS=MR","FA_ADJUSTED=GAAP","Sort=A","Dates=H","DateFormat=P","Fill=—","Direction=H","UseDPDF=Y")</f>
        <v>-1.5397000000000001</v>
      </c>
      <c r="I16" s="14">
        <f>_xll.BDH("NBIX US Equity","NET_DEBT_TO_EBIT_EX_OPER_LEA_ACT","FQ2 2020","FQ2 2020","Currency=USD","Period=FQ","BEST_FPERIOD_OVERRIDE=FQ","FILING_STATUS=MR","FA_ADJUSTED=GAAP","Sort=A","Dates=H","DateFormat=P","Fill=—","Direction=H","UseDPDF=Y")</f>
        <v>-1.9271</v>
      </c>
      <c r="J16" s="14">
        <f>_xll.BDH("NBIX US Equity","NET_DEBT_TO_EBIT_EX_OPER_LEA_ACT","FQ3 2020","FQ3 2020","Currency=USD","Period=FQ","BEST_FPERIOD_OVERRIDE=FQ","FILING_STATUS=MR","FA_ADJUSTED=GAAP","Sort=A","Dates=H","DateFormat=P","Fill=—","Direction=H","UseDPDF=Y")</f>
        <v>-3.7121</v>
      </c>
      <c r="K16" s="14">
        <f>_xll.BDH("NBIX US Equity","NET_DEBT_TO_EBIT_EX_OPER_LEA_ACT","FQ4 2020","FQ4 2020","Currency=USD","Period=FQ","BEST_FPERIOD_OVERRIDE=FQ","FILING_STATUS=MR","FA_ADJUSTED=GAAP","Sort=A","Dates=H","DateFormat=P","Fill=—","Direction=H","UseDPDF=Y")</f>
        <v>-2.9638</v>
      </c>
      <c r="L16" s="14">
        <f>_xll.BDH("NBIX US Equity","NET_DEBT_TO_EBIT_EX_OPER_LEA_ACT","FQ1 2021","FQ1 2021","Currency=USD","Period=FQ","BEST_FPERIOD_OVERRIDE=FQ","FILING_STATUS=MR","FA_ADJUSTED=GAAP","Sort=A","Dates=H","DateFormat=P","Fill=—","Direction=H","UseDPDF=Y")</f>
        <v>-4.0686</v>
      </c>
      <c r="M16" s="14">
        <f>_xll.BDH("NBIX US Equity","NET_DEBT_TO_EBIT_EX_OPER_LEA_ACT","FQ2 2021","FQ2 2021","Currency=USD","Period=FQ","BEST_FPERIOD_OVERRIDE=FQ","FILING_STATUS=MR","FA_ADJUSTED=GAAP","Sort=A","Dates=H","DateFormat=P","Fill=—","Direction=H","UseDPDF=Y")</f>
        <v>-4.5861999999999998</v>
      </c>
      <c r="N16" s="14">
        <f>_xll.BDH("NBIX US Equity","NET_DEBT_TO_EBIT_EX_OPER_LEA_ACT","FQ3 2021","FQ3 2021","Currency=USD","Period=FQ","BEST_FPERIOD_OVERRIDE=FQ","FILING_STATUS=MR","FA_ADJUSTED=GAAP","Sort=A","Dates=H","DateFormat=P","Fill=—","Direction=H","UseDPDF=Y")</f>
        <v>-2.0665</v>
      </c>
      <c r="O16" s="14">
        <f>_xll.BDH("NBIX US Equity","NET_DEBT_TO_EBIT_EX_OPER_LEA_ACT","FQ4 2021","FQ4 2021","Currency=USD","Period=FQ","BEST_FPERIOD_OVERRIDE=FQ","FILING_STATUS=MR","FA_ADJUSTED=GAAP","Sort=A","Dates=H","DateFormat=P","Fill=—","Direction=H","UseDPDF=Y")</f>
        <v>-3.6701999999999999</v>
      </c>
      <c r="P16" s="14">
        <f>_xll.BDH("NBIX US Equity","NET_DEBT_TO_EBIT_EX_OPER_LEA_ACT","FQ1 2022","FQ1 2022","Currency=USD","Period=FQ","BEST_FPERIOD_OVERRIDE=FQ","FILING_STATUS=MR","FA_ADJUSTED=GAAP","Sort=A","Dates=H","DateFormat=P","Fill=—","Direction=H","UseDPDF=Y")</f>
        <v>-3.8757999999999999</v>
      </c>
      <c r="Q16" s="14">
        <f>_xll.BDH("NBIX US Equity","NET_DEBT_TO_EBIT_EX_OPER_LEA_ACT","FQ2 2022","FQ2 2022","Currency=USD","Period=FQ","BEST_FPERIOD_OVERRIDE=FQ","FILING_STATUS=MR","FA_ADJUSTED=GAAP","Sort=A","Dates=H","DateFormat=P","Fill=—","Direction=H","UseDPDF=Y")</f>
        <v>-7.2621000000000002</v>
      </c>
      <c r="R16" s="14">
        <f>_xll.BDH("NBIX US Equity","NET_DEBT_TO_EBIT_EX_OPER_LEA_ACT","FQ3 2022","FQ3 2022","Currency=USD","Period=FQ","BEST_FPERIOD_OVERRIDE=FQ","FILING_STATUS=MR","FA_ADJUSTED=GAAP","Sort=A","Dates=H","DateFormat=P","Fill=—","Direction=H","UseDPDF=Y")</f>
        <v>-5.7657999999999996</v>
      </c>
      <c r="S16" s="14">
        <f>_xll.BDH("NBIX US Equity","NET_DEBT_TO_EBIT_EX_OPER_LEA_ACT","FQ4 2022","FQ4 2022","Currency=USD","Period=FQ","BEST_FPERIOD_OVERRIDE=FQ","FILING_STATUS=MR","FA_ADJUSTED=GAAP","Sort=A","Dates=H","DateFormat=P","Fill=—","Direction=H","UseDPDF=Y")</f>
        <v>-3.2928000000000002</v>
      </c>
      <c r="T16" s="14">
        <f>_xll.BDH("NBIX US Equity","NET_DEBT_TO_EBIT_EX_OPER_LEA_ACT","FQ1 2023","FQ1 2023","Currency=USD","Period=FQ","BEST_FPERIOD_OVERRIDE=FQ","FILING_STATUS=MR","FA_ADJUSTED=GAAP","Sort=A","Dates=H","DateFormat=P","Fill=—","Direction=H","UseDPDF=Y")</f>
        <v>-5.5057</v>
      </c>
      <c r="U16" s="14">
        <f>_xll.BDH("NBIX US Equity","NET_DEBT_TO_EBIT_EX_OPER_LEA_ACT","FQ2 2023","FQ2 2023","Currency=USD","Period=FQ","BEST_FPERIOD_OVERRIDE=FQ","FILING_STATUS=MR","FA_ADJUSTED=GAAP","Sort=A","Dates=H","DateFormat=P","Fill=—","Direction=H","UseDPDF=Y")</f>
        <v>-5.3586</v>
      </c>
      <c r="V16" s="14">
        <f>_xll.BDH("NBIX US Equity","NET_DEBT_TO_EBIT_EX_OPER_LEA_ACT","FQ3 2023","FQ3 2023","Currency=USD","Period=FQ","BEST_FPERIOD_OVERRIDE=FQ","FILING_STATUS=MR","FA_ADJUSTED=GAAP","Sort=A","Dates=H","DateFormat=P","Fill=—","Direction=H","UseDPDF=Y")</f>
        <v>-4.5353000000000003</v>
      </c>
      <c r="W16" s="14">
        <f>_xll.BDH("NBIX US Equity","NET_DEBT_TO_EBIT_EX_OPER_LEA_ACT","FQ4 2023","FQ4 2023","Currency=USD","Period=FQ","BEST_FPERIOD_OVERRIDE=FQ","FILING_STATUS=MR","FA_ADJUSTED=GAAP","Sort=A","Dates=H","DateFormat=P","Fill=—","Direction=H","UseDPDF=Y")</f>
        <v>-3.4336000000000002</v>
      </c>
      <c r="X16" s="14">
        <f>_xll.BDH("NBIX US Equity","NET_DEBT_TO_EBIT_EX_OPER_LEA_ACT","FQ1 2024","FQ1 2024","Currency=USD","Period=FQ","BEST_FPERIOD_OVERRIDE=FQ","FILING_STATUS=MR","FA_ADJUSTED=GAAP","Sort=A","Dates=H","DateFormat=P","Fill=—","Direction=H","UseDPDF=Y")</f>
        <v>-2.3424</v>
      </c>
      <c r="Y16" s="14">
        <f>_xll.BDH("NBIX US Equity","NET_DEBT_TO_EBIT_EX_OPER_LEA_ACT","FQ2 2024","FQ2 2024","Currency=USD","Period=FQ","BEST_FPERIOD_OVERRIDE=FQ","FILING_STATUS=MR","FA_ADJUSTED=GAAP","Sort=A","Dates=H","DateFormat=P","Fill=—","Direction=H","UseDPDF=Y")</f>
        <v>-1.9375</v>
      </c>
      <c r="Z16" s="14">
        <f>_xll.BDH("NBIX US Equity","NET_DEBT_TO_EBIT_EX_OPER_LEA_ACT","FQ3 2024","FQ3 2024","Currency=USD","Period=FQ","BEST_FPERIOD_OVERRIDE=FQ","FILING_STATUS=MR","FA_ADJUSTED=GAAP","Sort=A","Dates=H","DateFormat=P","Fill=—","Direction=H","UseDPDF=Y")</f>
        <v>-2.1215999999999999</v>
      </c>
      <c r="AA16" s="14">
        <f>_xll.BDH("NBIX US Equity","NET_DEBT_TO_EBIT_EX_OPER_LEA_ACT","FQ4 2024","FQ4 2024","Currency=USD","Period=FQ","BEST_FPERIOD_OVERRIDE=FQ","FILING_STATUS=MR","FA_ADJUSTED=GAAP","Sort=A","Dates=H","DateFormat=P","Fill=—","Direction=H","UseDPDF=Y")</f>
        <v>-1.8862000000000001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1383</v>
      </c>
      <c r="B18" s="10" t="s">
        <v>1414</v>
      </c>
      <c r="C18" s="14">
        <f>_xll.BDH("NBIX US Equity","EBITDA_AFT_OP_LEA_EXP_TO_INT_EXP","FQ4 2018","FQ4 2018","Currency=USD","Period=FQ","BEST_FPERIOD_OVERRIDE=FQ","FILING_STATUS=MR","FA_ADJUSTED=GAAP","Sort=A","Dates=H","DateFormat=P","Fill=—","Direction=H","UseDPDF=Y")</f>
        <v>2.9815999999999998</v>
      </c>
      <c r="D18" s="14">
        <f>_xll.BDH("NBIX US Equity","EBITDA_AFT_OP_LEA_EXP_TO_INT_EXP","FQ1 2019","FQ1 2019","Currency=USD","Period=FQ","BEST_FPERIOD_OVERRIDE=FQ","FILING_STATUS=MR","FA_ADJUSTED=GAAP","Sort=A","Dates=H","DateFormat=P","Fill=—","Direction=H","UseDPDF=Y")</f>
        <v>-12.6615</v>
      </c>
      <c r="E18" s="14">
        <f>_xll.BDH("NBIX US Equity","EBITDA_AFT_OP_LEA_EXP_TO_INT_EXP","FQ2 2019","FQ2 2019","Currency=USD","Period=FQ","BEST_FPERIOD_OVERRIDE=FQ","FILING_STATUS=MR","FA_ADJUSTED=GAAP","Sort=A","Dates=H","DateFormat=P","Fill=—","Direction=H","UseDPDF=Y")</f>
        <v>4.5640000000000001</v>
      </c>
      <c r="F18" s="14">
        <f>_xll.BDH("NBIX US Equity","EBITDA_AFT_OP_LEA_EXP_TO_INT_EXP","FQ3 2019","FQ3 2019","Currency=USD","Period=FQ","BEST_FPERIOD_OVERRIDE=FQ","FILING_STATUS=MR","FA_ADJUSTED=GAAP","Sort=A","Dates=H","DateFormat=P","Fill=—","Direction=H","UseDPDF=Y")</f>
        <v>11.4589</v>
      </c>
      <c r="G18" s="14">
        <f>_xll.BDH("NBIX US Equity","EBITDA_AFT_OP_LEA_EXP_TO_INT_EXP","FQ4 2019","FQ4 2019","Currency=USD","Period=FQ","BEST_FPERIOD_OVERRIDE=FQ","FILING_STATUS=MR","FA_ADJUSTED=GAAP","Sort=A","Dates=H","DateFormat=P","Fill=—","Direction=H","UseDPDF=Y")</f>
        <v>6.1999000000000004</v>
      </c>
      <c r="H18" s="14">
        <f>_xll.BDH("NBIX US Equity","EBITDA_AFT_OP_LEA_EXP_TO_INT_EXP","FQ1 2020","FQ1 2020","Currency=USD","Period=FQ","BEST_FPERIOD_OVERRIDE=FQ","FILING_STATUS=MR","FA_ADJUSTED=GAAP","Sort=A","Dates=H","DateFormat=P","Fill=—","Direction=H","UseDPDF=Y")</f>
        <v>7.4390000000000001</v>
      </c>
      <c r="I18" s="14">
        <f>_xll.BDH("NBIX US Equity","EBITDA_AFT_OP_LEA_EXP_TO_INT_EXP","FQ2 2020","FQ2 2020","Currency=USD","Period=FQ","BEST_FPERIOD_OVERRIDE=FQ","FILING_STATUS=MR","FA_ADJUSTED=GAAP","Sort=A","Dates=H","DateFormat=P","Fill=—","Direction=H","UseDPDF=Y")</f>
        <v>9.4818999999999996</v>
      </c>
      <c r="J18" s="14">
        <f>_xll.BDH("NBIX US Equity","EBITDA_AFT_OP_LEA_EXP_TO_INT_EXP","FQ3 2020","FQ3 2020","Currency=USD","Period=FQ","BEST_FPERIOD_OVERRIDE=FQ","FILING_STATUS=MR","FA_ADJUSTED=GAAP","Sort=A","Dates=H","DateFormat=P","Fill=—","Direction=H","UseDPDF=Y")</f>
        <v>-4.9528999999999996</v>
      </c>
      <c r="K18" s="14">
        <f>_xll.BDH("NBIX US Equity","EBITDA_AFT_OP_LEA_EXP_TO_INT_EXP","FQ4 2020","FQ4 2020","Currency=USD","Period=FQ","BEST_FPERIOD_OVERRIDE=FQ","FILING_STATUS=MR","FA_ADJUSTED=GAAP","Sort=A","Dates=H","DateFormat=P","Fill=—","Direction=H","UseDPDF=Y")</f>
        <v>9.4871999999999996</v>
      </c>
      <c r="L18" s="14">
        <f>_xll.BDH("NBIX US Equity","EBITDA_AFT_OP_LEA_EXP_TO_INT_EXP","FQ1 2021","FQ1 2021","Currency=USD","Period=FQ","BEST_FPERIOD_OVERRIDE=FQ","FILING_STATUS=MR","FA_ADJUSTED=GAAP","Sort=A","Dates=H","DateFormat=P","Fill=—","Direction=H","UseDPDF=Y")</f>
        <v>5.3125</v>
      </c>
      <c r="M18" s="14">
        <f>_xll.BDH("NBIX US Equity","EBITDA_AFT_OP_LEA_EXP_TO_INT_EXP","FQ2 2021","FQ2 2021","Currency=USD","Period=FQ","BEST_FPERIOD_OVERRIDE=FQ","FILING_STATUS=MR","FA_ADJUSTED=GAAP","Sort=A","Dates=H","DateFormat=P","Fill=—","Direction=H","UseDPDF=Y")</f>
        <v>10.548400000000001</v>
      </c>
      <c r="N18" s="14">
        <f>_xll.BDH("NBIX US Equity","EBITDA_AFT_OP_LEA_EXP_TO_INT_EXP","FQ3 2021","FQ3 2021","Currency=USD","Period=FQ","BEST_FPERIOD_OVERRIDE=FQ","FILING_STATUS=MR","FA_ADJUSTED=GAAP","Sort=A","Dates=H","DateFormat=P","Fill=—","Direction=H","UseDPDF=Y")</f>
        <v>7.1666999999999996</v>
      </c>
      <c r="O18" s="14">
        <f>_xll.BDH("NBIX US Equity","EBITDA_AFT_OP_LEA_EXP_TO_INT_EXP","FQ4 2021","FQ4 2021","Currency=USD","Period=FQ","BEST_FPERIOD_OVERRIDE=FQ","FILING_STATUS=MR","FA_ADJUSTED=GAAP","Sort=A","Dates=H","DateFormat=P","Fill=—","Direction=H","UseDPDF=Y")</f>
        <v>-5.0454999999999997</v>
      </c>
      <c r="P18" s="14">
        <f>_xll.BDH("NBIX US Equity","EBITDA_AFT_OP_LEA_EXP_TO_INT_EXP","FQ1 2022","FQ1 2022","Currency=USD","Period=FQ","BEST_FPERIOD_OVERRIDE=FQ","FILING_STATUS=MR","FA_ADJUSTED=GAAP","Sort=A","Dates=H","DateFormat=P","Fill=—","Direction=H","UseDPDF=Y")</f>
        <v>2.4615</v>
      </c>
      <c r="Q18" s="14">
        <f>_xll.BDH("NBIX US Equity","EBITDA_AFT_OP_LEA_EXP_TO_INT_EXP","FQ2 2022","FQ2 2022","Currency=USD","Period=FQ","BEST_FPERIOD_OVERRIDE=FQ","FILING_STATUS=MR","FA_ADJUSTED=GAAP","Sort=A","Dates=H","DateFormat=P","Fill=—","Direction=H","UseDPDF=Y")</f>
        <v>26.636399999999998</v>
      </c>
      <c r="R18" s="14">
        <f>_xll.BDH("NBIX US Equity","EBITDA_AFT_OP_LEA_EXP_TO_INT_EXP","FQ3 2022","FQ3 2022","Currency=USD","Period=FQ","BEST_FPERIOD_OVERRIDE=FQ","FILING_STATUS=MR","FA_ADJUSTED=GAAP","Sort=A","Dates=H","DateFormat=P","Fill=—","Direction=H","UseDPDF=Y")</f>
        <v>76.5</v>
      </c>
      <c r="S18" s="14">
        <f>_xll.BDH("NBIX US Equity","EBITDA_AFT_OP_LEA_EXP_TO_INT_EXP","FQ4 2022","FQ4 2022","Currency=USD","Period=FQ","BEST_FPERIOD_OVERRIDE=FQ","FILING_STATUS=MR","FA_ADJUSTED=GAAP","Sort=A","Dates=H","DateFormat=P","Fill=—","Direction=H","UseDPDF=Y")</f>
        <v>98</v>
      </c>
      <c r="T18" s="14">
        <f>_xll.BDH("NBIX US Equity","EBITDA_AFT_OP_LEA_EXP_TO_INT_EXP","FQ1 2023","FQ1 2023","Currency=USD","Period=FQ","BEST_FPERIOD_OVERRIDE=FQ","FILING_STATUS=MR","FA_ADJUSTED=GAAP","Sort=A","Dates=H","DateFormat=P","Fill=—","Direction=H","UseDPDF=Y")</f>
        <v>-99.2727</v>
      </c>
      <c r="U18" s="14">
        <f>_xll.BDH("NBIX US Equity","EBITDA_AFT_OP_LEA_EXP_TO_INT_EXP","FQ2 2023","FQ2 2023","Currency=USD","Period=FQ","BEST_FPERIOD_OVERRIDE=FQ","FILING_STATUS=MR","FA_ADJUSTED=GAAP","Sort=A","Dates=H","DateFormat=P","Fill=—","Direction=H","UseDPDF=Y")</f>
        <v>60.538499999999999</v>
      </c>
      <c r="V18" s="14">
        <f>_xll.BDH("NBIX US Equity","EBITDA_AFT_OP_LEA_EXP_TO_INT_EXP","FQ3 2023","FQ3 2023","Currency=USD","Period=FQ","BEST_FPERIOD_OVERRIDE=FQ","FILING_STATUS=MR","FA_ADJUSTED=GAAP","Sort=A","Dates=H","DateFormat=P","Fill=—","Direction=H","UseDPDF=Y")</f>
        <v>133.36359999999999</v>
      </c>
      <c r="W18" s="14">
        <f>_xll.BDH("NBIX US Equity","EBITDA_AFT_OP_LEA_EXP_TO_INT_EXP","FQ4 2023","FQ4 2023","Currency=USD","Period=FQ","BEST_FPERIOD_OVERRIDE=FQ","FILING_STATUS=MR","FA_ADJUSTED=GAAP","Sort=A","Dates=H","DateFormat=P","Fill=—","Direction=H","UseDPDF=Y")</f>
        <v>141.81819999999999</v>
      </c>
      <c r="X18" s="14">
        <f>_xll.BDH("NBIX US Equity","EBITDA_AFT_OP_LEA_EXP_TO_INT_EXP","FQ1 2024","FQ1 2024","Currency=USD","Period=FQ","BEST_FPERIOD_OVERRIDE=FQ","FILING_STATUS=MR","FA_ADJUSTED=GAAP","Sort=A","Dates=H","DateFormat=P","Fill=—","Direction=H","UseDPDF=Y")</f>
        <v>95.909099999999995</v>
      </c>
      <c r="Y18" s="14" t="str">
        <f>_xll.BDH("NBIX US Equity","EBITDA_AFT_OP_LEA_EXP_TO_INT_EXP","FQ2 2024","FQ2 2024","Currency=USD","Period=FQ","BEST_FPERIOD_OVERRIDE=FQ","FILING_STATUS=MR","FA_ADJUSTED=GAAP","Sort=A","Dates=H","DateFormat=P","Fill=—","Direction=H","UseDPDF=Y")</f>
        <v>—</v>
      </c>
      <c r="Z18" s="14" t="str">
        <f>_xll.BDH("NBIX US Equity","EBITDA_AFT_OP_LEA_EXP_TO_INT_EXP","FQ3 2024","FQ3 2024","Currency=USD","Period=FQ","BEST_FPERIOD_OVERRIDE=FQ","FILING_STATUS=MR","FA_ADJUSTED=GAAP","Sort=A","Dates=H","DateFormat=P","Fill=—","Direction=H","UseDPDF=Y")</f>
        <v>—</v>
      </c>
      <c r="AA18" s="14" t="str">
        <f>_xll.BDH("NBIX US Equity","EBITDA_AFT_OP_LEA_EXP_TO_INT_EXP","FQ4 2024","FQ4 2024","Currency=USD","Period=FQ","BEST_FPERIOD_OVERRIDE=FQ","FILING_STATUS=MR","FA_ADJUSTED=GAAP","Sort=A","Dates=H","DateFormat=P","Fill=—","Direction=H","UseDPDF=Y")</f>
        <v>—</v>
      </c>
    </row>
    <row r="19" spans="1:27" x14ac:dyDescent="0.25">
      <c r="A19" s="10" t="s">
        <v>1385</v>
      </c>
      <c r="B19" s="10" t="s">
        <v>1415</v>
      </c>
      <c r="C19" s="14">
        <f>_xll.BDH("NBIX US Equity","EBITDA_AFT_CAPEX_OP_LEA_EX_INT","FQ4 2018","FQ4 2018","Currency=USD","Period=FQ","BEST_FPERIOD_OVERRIDE=FQ","FILING_STATUS=MR","FA_ADJUSTED=GAAP","Sort=A","Dates=H","DateFormat=P","Fill=—","Direction=H","UseDPDF=Y")</f>
        <v>2.2073999999999998</v>
      </c>
      <c r="D19" s="14">
        <f>_xll.BDH("NBIX US Equity","EBITDA_AFT_CAPEX_OP_LEA_EX_INT","FQ1 2019","FQ1 2019","Currency=USD","Period=FQ","BEST_FPERIOD_OVERRIDE=FQ","FILING_STATUS=MR","FA_ADJUSTED=GAAP","Sort=A","Dates=H","DateFormat=P","Fill=—","Direction=H","UseDPDF=Y")</f>
        <v>-13.1631</v>
      </c>
      <c r="E19" s="14">
        <f>_xll.BDH("NBIX US Equity","EBITDA_AFT_CAPEX_OP_LEA_EX_INT","FQ2 2019","FQ2 2019","Currency=USD","Period=FQ","BEST_FPERIOD_OVERRIDE=FQ","FILING_STATUS=MR","FA_ADJUSTED=GAAP","Sort=A","Dates=H","DateFormat=P","Fill=—","Direction=H","UseDPDF=Y")</f>
        <v>4.0033000000000003</v>
      </c>
      <c r="F19" s="14">
        <f>_xll.BDH("NBIX US Equity","EBITDA_AFT_CAPEX_OP_LEA_EX_INT","FQ3 2019","FQ3 2019","Currency=USD","Period=FQ","BEST_FPERIOD_OVERRIDE=FQ","FILING_STATUS=MR","FA_ADJUSTED=GAAP","Sort=A","Dates=H","DateFormat=P","Fill=—","Direction=H","UseDPDF=Y")</f>
        <v>11.018000000000001</v>
      </c>
      <c r="G19" s="14">
        <f>_xll.BDH("NBIX US Equity","EBITDA_AFT_CAPEX_OP_LEA_EX_INT","FQ4 2019","FQ4 2019","Currency=USD","Period=FQ","BEST_FPERIOD_OVERRIDE=FQ","FILING_STATUS=MR","FA_ADJUSTED=GAAP","Sort=A","Dates=H","DateFormat=P","Fill=—","Direction=H","UseDPDF=Y")</f>
        <v>5.8617999999999997</v>
      </c>
      <c r="H19" s="14">
        <f>_xll.BDH("NBIX US Equity","EBITDA_AFT_CAPEX_OP_LEA_EX_INT","FQ1 2020","FQ1 2020","Currency=USD","Period=FQ","BEST_FPERIOD_OVERRIDE=FQ","FILING_STATUS=MR","FA_ADJUSTED=GAAP","Sort=A","Dates=H","DateFormat=P","Fill=—","Direction=H","UseDPDF=Y")</f>
        <v>7.2805</v>
      </c>
      <c r="I19" s="14">
        <f>_xll.BDH("NBIX US Equity","EBITDA_AFT_CAPEX_OP_LEA_EX_INT","FQ2 2020","FQ2 2020","Currency=USD","Period=FQ","BEST_FPERIOD_OVERRIDE=FQ","FILING_STATUS=MR","FA_ADJUSTED=GAAP","Sort=A","Dates=H","DateFormat=P","Fill=—","Direction=H","UseDPDF=Y")</f>
        <v>8.9156999999999993</v>
      </c>
      <c r="J19" s="14">
        <f>_xll.BDH("NBIX US Equity","EBITDA_AFT_CAPEX_OP_LEA_EX_INT","FQ3 2020","FQ3 2020","Currency=USD","Period=FQ","BEST_FPERIOD_OVERRIDE=FQ","FILING_STATUS=MR","FA_ADJUSTED=GAAP","Sort=A","Dates=H","DateFormat=P","Fill=—","Direction=H","UseDPDF=Y")</f>
        <v>-5</v>
      </c>
      <c r="K19" s="14">
        <f>_xll.BDH("NBIX US Equity","EBITDA_AFT_CAPEX_OP_LEA_EX_INT","FQ4 2020","FQ4 2020","Currency=USD","Period=FQ","BEST_FPERIOD_OVERRIDE=FQ","FILING_STATUS=MR","FA_ADJUSTED=GAAP","Sort=A","Dates=H","DateFormat=P","Fill=—","Direction=H","UseDPDF=Y")</f>
        <v>8.9102999999999994</v>
      </c>
      <c r="L19" s="14">
        <f>_xll.BDH("NBIX US Equity","EBITDA_AFT_CAPEX_OP_LEA_EX_INT","FQ1 2021","FQ1 2021","Currency=USD","Period=FQ","BEST_FPERIOD_OVERRIDE=FQ","FILING_STATUS=MR","FA_ADJUSTED=GAAP","Sort=A","Dates=H","DateFormat=P","Fill=—","Direction=H","UseDPDF=Y")</f>
        <v>4.6093999999999999</v>
      </c>
      <c r="M19" s="14">
        <f>_xll.BDH("NBIX US Equity","EBITDA_AFT_CAPEX_OP_LEA_EX_INT","FQ2 2021","FQ2 2021","Currency=USD","Period=FQ","BEST_FPERIOD_OVERRIDE=FQ","FILING_STATUS=MR","FA_ADJUSTED=GAAP","Sort=A","Dates=H","DateFormat=P","Fill=—","Direction=H","UseDPDF=Y")</f>
        <v>9.8547999999999991</v>
      </c>
      <c r="N19" s="14">
        <f>_xll.BDH("NBIX US Equity","EBITDA_AFT_CAPEX_OP_LEA_EX_INT","FQ3 2021","FQ3 2021","Currency=USD","Period=FQ","BEST_FPERIOD_OVERRIDE=FQ","FILING_STATUS=MR","FA_ADJUSTED=GAAP","Sort=A","Dates=H","DateFormat=P","Fill=—","Direction=H","UseDPDF=Y")</f>
        <v>6.3029999999999999</v>
      </c>
      <c r="O19" s="14">
        <f>_xll.BDH("NBIX US Equity","EBITDA_AFT_CAPEX_OP_LEA_EX_INT","FQ4 2021","FQ4 2021","Currency=USD","Period=FQ","BEST_FPERIOD_OVERRIDE=FQ","FILING_STATUS=MR","FA_ADJUSTED=GAAP","Sort=A","Dates=H","DateFormat=P","Fill=—","Direction=H","UseDPDF=Y")</f>
        <v>-6.3939000000000004</v>
      </c>
      <c r="P19" s="14">
        <f>_xll.BDH("NBIX US Equity","EBITDA_AFT_CAPEX_OP_LEA_EX_INT","FQ1 2022","FQ1 2022","Currency=USD","Period=FQ","BEST_FPERIOD_OVERRIDE=FQ","FILING_STATUS=MR","FA_ADJUSTED=GAAP","Sort=A","Dates=H","DateFormat=P","Fill=—","Direction=H","UseDPDF=Y")</f>
        <v>-0.46150000000000002</v>
      </c>
      <c r="Q19" s="14">
        <f>_xll.BDH("NBIX US Equity","EBITDA_AFT_CAPEX_OP_LEA_EX_INT","FQ2 2022","FQ2 2022","Currency=USD","Period=FQ","BEST_FPERIOD_OVERRIDE=FQ","FILING_STATUS=MR","FA_ADJUSTED=GAAP","Sort=A","Dates=H","DateFormat=P","Fill=—","Direction=H","UseDPDF=Y")</f>
        <v>22.636399999999998</v>
      </c>
      <c r="R19" s="14" t="str">
        <f>_xll.BDH("NBIX US Equity","EBITDA_AFT_CAPEX_OP_LEA_EX_INT","FQ3 2022","FQ3 2022","Currency=USD","Period=FQ","BEST_FPERIOD_OVERRIDE=FQ","FILING_STATUS=MR","FA_ADJUSTED=GAAP","Sort=A","Dates=H","DateFormat=P","Fill=—","Direction=H","UseDPDF=Y")</f>
        <v>—</v>
      </c>
      <c r="S19" s="14">
        <f>_xll.BDH("NBIX US Equity","EBITDA_AFT_CAPEX_OP_LEA_EX_INT","FQ4 2022","FQ4 2022","Currency=USD","Period=FQ","BEST_FPERIOD_OVERRIDE=FQ","FILING_STATUS=MR","FA_ADJUSTED=GAAP","Sort=A","Dates=H","DateFormat=P","Fill=—","Direction=H","UseDPDF=Y")</f>
        <v>96.363600000000005</v>
      </c>
      <c r="T19" s="14">
        <f>_xll.BDH("NBIX US Equity","EBITDA_AFT_CAPEX_OP_LEA_EX_INT","FQ1 2023","FQ1 2023","Currency=USD","Period=FQ","BEST_FPERIOD_OVERRIDE=FQ","FILING_STATUS=MR","FA_ADJUSTED=GAAP","Sort=A","Dates=H","DateFormat=P","Fill=—","Direction=H","UseDPDF=Y")</f>
        <v>-107</v>
      </c>
      <c r="U19" s="14">
        <f>_xll.BDH("NBIX US Equity","EBITDA_AFT_CAPEX_OP_LEA_EX_INT","FQ2 2023","FQ2 2023","Currency=USD","Period=FQ","BEST_FPERIOD_OVERRIDE=FQ","FILING_STATUS=MR","FA_ADJUSTED=GAAP","Sort=A","Dates=H","DateFormat=P","Fill=—","Direction=H","UseDPDF=Y")</f>
        <v>55.307699999999997</v>
      </c>
      <c r="V19" s="14">
        <f>_xll.BDH("NBIX US Equity","EBITDA_AFT_CAPEX_OP_LEA_EX_INT","FQ3 2023","FQ3 2023","Currency=USD","Period=FQ","BEST_FPERIOD_OVERRIDE=FQ","FILING_STATUS=MR","FA_ADJUSTED=GAAP","Sort=A","Dates=H","DateFormat=P","Fill=—","Direction=H","UseDPDF=Y")</f>
        <v>126.4545</v>
      </c>
      <c r="W19" s="14">
        <f>_xll.BDH("NBIX US Equity","EBITDA_AFT_CAPEX_OP_LEA_EX_INT","FQ4 2023","FQ4 2023","Currency=USD","Period=FQ","BEST_FPERIOD_OVERRIDE=FQ","FILING_STATUS=MR","FA_ADJUSTED=GAAP","Sort=A","Dates=H","DateFormat=P","Fill=—","Direction=H","UseDPDF=Y")</f>
        <v>136.9091</v>
      </c>
      <c r="X19" s="14">
        <f>_xll.BDH("NBIX US Equity","EBITDA_AFT_CAPEX_OP_LEA_EX_INT","FQ1 2024","FQ1 2024","Currency=USD","Period=FQ","BEST_FPERIOD_OVERRIDE=FQ","FILING_STATUS=MR","FA_ADJUSTED=GAAP","Sort=A","Dates=H","DateFormat=P","Fill=—","Direction=H","UseDPDF=Y")</f>
        <v>85.7273</v>
      </c>
      <c r="Y19" s="14" t="str">
        <f>_xll.BDH("NBIX US Equity","EBITDA_AFT_CAPEX_OP_LEA_EX_INT","FQ2 2024","FQ2 2024","Currency=USD","Period=FQ","BEST_FPERIOD_OVERRIDE=FQ","FILING_STATUS=MR","FA_ADJUSTED=GAAP","Sort=A","Dates=H","DateFormat=P","Fill=—","Direction=H","UseDPDF=Y")</f>
        <v>—</v>
      </c>
      <c r="Z19" s="14" t="str">
        <f>_xll.BDH("NBIX US Equity","EBITDA_AFT_CAPEX_OP_LEA_EX_INT","FQ3 2024","FQ3 2024","Currency=USD","Period=FQ","BEST_FPERIOD_OVERRIDE=FQ","FILING_STATUS=MR","FA_ADJUSTED=GAAP","Sort=A","Dates=H","DateFormat=P","Fill=—","Direction=H","UseDPDF=Y")</f>
        <v>—</v>
      </c>
      <c r="AA19" s="14" t="str">
        <f>_xll.BDH("NBIX US Equity","EBITDA_AFT_CAPEX_OP_LEA_EX_INT","FQ4 2024","FQ4 2024","Currency=USD","Period=FQ","BEST_FPERIOD_OVERRIDE=FQ","FILING_STATUS=MR","FA_ADJUSTED=GAAP","Sort=A","Dates=H","DateFormat=P","Fill=—","Direction=H","UseDPDF=Y")</f>
        <v>—</v>
      </c>
    </row>
    <row r="20" spans="1:27" x14ac:dyDescent="0.25">
      <c r="A20" s="10" t="s">
        <v>1387</v>
      </c>
      <c r="B20" s="10" t="s">
        <v>1416</v>
      </c>
      <c r="C20" s="14">
        <f>_xll.BDH("NBIX US Equity","EBIT_AFT_OP_LEA_EXPN_TO_INT_EXPN","FQ4 2018","FQ4 2018","Currency=USD","Period=FQ","BEST_FPERIOD_OVERRIDE=FQ","FILING_STATUS=MR","FA_ADJUSTED=GAAP","Sort=A","Dates=H","DateFormat=P","Fill=—","Direction=H","UseDPDF=Y")</f>
        <v>2.8172999999999999</v>
      </c>
      <c r="D20" s="14">
        <f>_xll.BDH("NBIX US Equity","EBIT_AFT_OP_LEA_EXPN_TO_INT_EXPN","FQ1 2019","FQ1 2019","Currency=USD","Period=FQ","BEST_FPERIOD_OVERRIDE=FQ","FILING_STATUS=MR","FA_ADJUSTED=GAAP","Sort=A","Dates=H","DateFormat=P","Fill=—","Direction=H","UseDPDF=Y")</f>
        <v>-12.860900000000001</v>
      </c>
      <c r="E20" s="14">
        <f>_xll.BDH("NBIX US Equity","EBIT_AFT_OP_LEA_EXPN_TO_INT_EXPN","FQ2 2019","FQ2 2019","Currency=USD","Period=FQ","BEST_FPERIOD_OVERRIDE=FQ","FILING_STATUS=MR","FA_ADJUSTED=GAAP","Sort=A","Dates=H","DateFormat=P","Fill=—","Direction=H","UseDPDF=Y")</f>
        <v>4.3391000000000002</v>
      </c>
      <c r="F20" s="14">
        <f>_xll.BDH("NBIX US Equity","EBIT_AFT_OP_LEA_EXPN_TO_INT_EXPN","FQ3 2019","FQ3 2019","Currency=USD","Period=FQ","BEST_FPERIOD_OVERRIDE=FQ","FILING_STATUS=MR","FA_ADJUSTED=GAAP","Sort=A","Dates=H","DateFormat=P","Fill=—","Direction=H","UseDPDF=Y")</f>
        <v>11.209</v>
      </c>
      <c r="G20" s="14">
        <f>_xll.BDH("NBIX US Equity","EBIT_AFT_OP_LEA_EXPN_TO_INT_EXPN","FQ4 2019","FQ4 2019","Currency=USD","Period=FQ","BEST_FPERIOD_OVERRIDE=FQ","FILING_STATUS=MR","FA_ADJUSTED=GAAP","Sort=A","Dates=H","DateFormat=P","Fill=—","Direction=H","UseDPDF=Y")</f>
        <v>5.9512</v>
      </c>
      <c r="H20" s="14">
        <f>_xll.BDH("NBIX US Equity","EBIT_AFT_OP_LEA_EXPN_TO_INT_EXPN","FQ1 2020","FQ1 2020","Currency=USD","Period=FQ","BEST_FPERIOD_OVERRIDE=FQ","FILING_STATUS=MR","FA_ADJUSTED=GAAP","Sort=A","Dates=H","DateFormat=P","Fill=—","Direction=H","UseDPDF=Y")</f>
        <v>7.1829000000000001</v>
      </c>
      <c r="I20" s="14">
        <f>_xll.BDH("NBIX US Equity","EBIT_AFT_OP_LEA_EXPN_TO_INT_EXPN","FQ2 2020","FQ2 2020","Currency=USD","Period=FQ","BEST_FPERIOD_OVERRIDE=FQ","FILING_STATUS=MR","FA_ADJUSTED=GAAP","Sort=A","Dates=H","DateFormat=P","Fill=—","Direction=H","UseDPDF=Y")</f>
        <v>9.2288999999999994</v>
      </c>
      <c r="J20" s="14">
        <f>_xll.BDH("NBIX US Equity","EBIT_AFT_OP_LEA_EXPN_TO_INT_EXPN","FQ3 2020","FQ3 2020","Currency=USD","Period=FQ","BEST_FPERIOD_OVERRIDE=FQ","FILING_STATUS=MR","FA_ADJUSTED=GAAP","Sort=A","Dates=H","DateFormat=P","Fill=—","Direction=H","UseDPDF=Y")</f>
        <v>-5.2118000000000002</v>
      </c>
      <c r="K20" s="14">
        <f>_xll.BDH("NBIX US Equity","EBIT_AFT_OP_LEA_EXPN_TO_INT_EXPN","FQ4 2020","FQ4 2020","Currency=USD","Period=FQ","BEST_FPERIOD_OVERRIDE=FQ","FILING_STATUS=MR","FA_ADJUSTED=GAAP","Sort=A","Dates=H","DateFormat=P","Fill=—","Direction=H","UseDPDF=Y")</f>
        <v>9.2050999999999998</v>
      </c>
      <c r="L20" s="14">
        <f>_xll.BDH("NBIX US Equity","EBIT_AFT_OP_LEA_EXPN_TO_INT_EXPN","FQ1 2021","FQ1 2021","Currency=USD","Period=FQ","BEST_FPERIOD_OVERRIDE=FQ","FILING_STATUS=MR","FA_ADJUSTED=GAAP","Sort=A","Dates=H","DateFormat=P","Fill=—","Direction=H","UseDPDF=Y")</f>
        <v>4.9218999999999999</v>
      </c>
      <c r="M20" s="14">
        <f>_xll.BDH("NBIX US Equity","EBIT_AFT_OP_LEA_EXPN_TO_INT_EXPN","FQ2 2021","FQ2 2021","Currency=USD","Period=FQ","BEST_FPERIOD_OVERRIDE=FQ","FILING_STATUS=MR","FA_ADJUSTED=GAAP","Sort=A","Dates=H","DateFormat=P","Fill=—","Direction=H","UseDPDF=Y")</f>
        <v>10.129</v>
      </c>
      <c r="N20" s="14">
        <f>_xll.BDH("NBIX US Equity","EBIT_AFT_OP_LEA_EXPN_TO_INT_EXPN","FQ3 2021","FQ3 2021","Currency=USD","Period=FQ","BEST_FPERIOD_OVERRIDE=FQ","FILING_STATUS=MR","FA_ADJUSTED=GAAP","Sort=A","Dates=H","DateFormat=P","Fill=—","Direction=H","UseDPDF=Y")</f>
        <v>6.7423999999999999</v>
      </c>
      <c r="O20" s="14">
        <f>_xll.BDH("NBIX US Equity","EBIT_AFT_OP_LEA_EXPN_TO_INT_EXPN","FQ4 2021","FQ4 2021","Currency=USD","Period=FQ","BEST_FPERIOD_OVERRIDE=FQ","FILING_STATUS=MR","FA_ADJUSTED=GAAP","Sort=A","Dates=H","DateFormat=P","Fill=—","Direction=H","UseDPDF=Y")</f>
        <v>-5.5</v>
      </c>
      <c r="P20" s="14">
        <f>_xll.BDH("NBIX US Equity","EBIT_AFT_OP_LEA_EXPN_TO_INT_EXPN","FQ1 2022","FQ1 2022","Currency=USD","Period=FQ","BEST_FPERIOD_OVERRIDE=FQ","FILING_STATUS=MR","FA_ADJUSTED=GAAP","Sort=A","Dates=H","DateFormat=P","Fill=—","Direction=H","UseDPDF=Y")</f>
        <v>1.1922999999999999</v>
      </c>
      <c r="Q20" s="14">
        <f>_xll.BDH("NBIX US Equity","EBIT_AFT_OP_LEA_EXPN_TO_INT_EXPN","FQ2 2022","FQ2 2022","Currency=USD","Period=FQ","BEST_FPERIOD_OVERRIDE=FQ","FILING_STATUS=MR","FA_ADJUSTED=GAAP","Sort=A","Dates=H","DateFormat=P","Fill=—","Direction=H","UseDPDF=Y")</f>
        <v>24.863600000000002</v>
      </c>
      <c r="R20" s="14">
        <f>_xll.BDH("NBIX US Equity","EBIT_AFT_OP_LEA_EXPN_TO_INT_EXPN","FQ3 2022","FQ3 2022","Currency=USD","Period=FQ","BEST_FPERIOD_OVERRIDE=FQ","FILING_STATUS=MR","FA_ADJUSTED=GAAP","Sort=A","Dates=H","DateFormat=P","Fill=—","Direction=H","UseDPDF=Y")</f>
        <v>73.166700000000006</v>
      </c>
      <c r="S20" s="14">
        <f>_xll.BDH("NBIX US Equity","EBIT_AFT_OP_LEA_EXPN_TO_INT_EXPN","FQ4 2022","FQ4 2022","Currency=USD","Period=FQ","BEST_FPERIOD_OVERRIDE=FQ","FILING_STATUS=MR","FA_ADJUSTED=GAAP","Sort=A","Dates=H","DateFormat=P","Fill=—","Direction=H","UseDPDF=Y")</f>
        <v>94</v>
      </c>
      <c r="T20" s="14">
        <f>_xll.BDH("NBIX US Equity","EBIT_AFT_OP_LEA_EXPN_TO_INT_EXPN","FQ1 2023","FQ1 2023","Currency=USD","Period=FQ","BEST_FPERIOD_OVERRIDE=FQ","FILING_STATUS=MR","FA_ADJUSTED=GAAP","Sort=A","Dates=H","DateFormat=P","Fill=—","Direction=H","UseDPDF=Y")</f>
        <v>-103.8182</v>
      </c>
      <c r="U20" s="14">
        <f>_xll.BDH("NBIX US Equity","EBIT_AFT_OP_LEA_EXPN_TO_INT_EXPN","FQ2 2023","FQ2 2023","Currency=USD","Period=FQ","BEST_FPERIOD_OVERRIDE=FQ","FILING_STATUS=MR","FA_ADJUSTED=GAAP","Sort=A","Dates=H","DateFormat=P","Fill=—","Direction=H","UseDPDF=Y")</f>
        <v>56.615400000000001</v>
      </c>
      <c r="V20" s="14">
        <f>_xll.BDH("NBIX US Equity","EBIT_AFT_OP_LEA_EXPN_TO_INT_EXPN","FQ3 2023","FQ3 2023","Currency=USD","Period=FQ","BEST_FPERIOD_OVERRIDE=FQ","FILING_STATUS=MR","FA_ADJUSTED=GAAP","Sort=A","Dates=H","DateFormat=P","Fill=—","Direction=H","UseDPDF=Y")</f>
        <v>128.36359999999999</v>
      </c>
      <c r="W20" s="14">
        <f>_xll.BDH("NBIX US Equity","EBIT_AFT_OP_LEA_EXPN_TO_INT_EXPN","FQ4 2023","FQ4 2023","Currency=USD","Period=FQ","BEST_FPERIOD_OVERRIDE=FQ","FILING_STATUS=MR","FA_ADJUSTED=GAAP","Sort=A","Dates=H","DateFormat=P","Fill=—","Direction=H","UseDPDF=Y")</f>
        <v>136.63640000000001</v>
      </c>
      <c r="X20" s="14">
        <f>_xll.BDH("NBIX US Equity","EBIT_AFT_OP_LEA_EXPN_TO_INT_EXPN","FQ1 2024","FQ1 2024","Currency=USD","Period=FQ","BEST_FPERIOD_OVERRIDE=FQ","FILING_STATUS=MR","FA_ADJUSTED=GAAP","Sort=A","Dates=H","DateFormat=P","Fill=—","Direction=H","UseDPDF=Y")</f>
        <v>90.2727</v>
      </c>
      <c r="Y20" s="14" t="str">
        <f>_xll.BDH("NBIX US Equity","EBIT_AFT_OP_LEA_EXPN_TO_INT_EXPN","FQ2 2024","FQ2 2024","Currency=USD","Period=FQ","BEST_FPERIOD_OVERRIDE=FQ","FILING_STATUS=MR","FA_ADJUSTED=GAAP","Sort=A","Dates=H","DateFormat=P","Fill=—","Direction=H","UseDPDF=Y")</f>
        <v>—</v>
      </c>
      <c r="Z20" s="14" t="str">
        <f>_xll.BDH("NBIX US Equity","EBIT_AFT_OP_LEA_EXPN_TO_INT_EXPN","FQ3 2024","FQ3 2024","Currency=USD","Period=FQ","BEST_FPERIOD_OVERRIDE=FQ","FILING_STATUS=MR","FA_ADJUSTED=GAAP","Sort=A","Dates=H","DateFormat=P","Fill=—","Direction=H","UseDPDF=Y")</f>
        <v>—</v>
      </c>
      <c r="AA20" s="14" t="str">
        <f>_xll.BDH("NBIX US Equity","EBIT_AFT_OP_LEA_EXPN_TO_INT_EXPN","FQ4 2024","FQ4 2024","Currency=USD","Period=FQ","BEST_FPERIOD_OVERRIDE=FQ","FILING_STATUS=MR","FA_ADJUSTED=GAAP","Sort=A","Dates=H","DateFormat=P","Fill=—","Direction=H","UseDPDF=Y")</f>
        <v>—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446</v>
      </c>
      <c r="B23" s="10" t="s">
        <v>1417</v>
      </c>
      <c r="C23" s="13">
        <f>_xll.BDH("NBIX US Equity","INT_EXPN_AFTER_OPERATING_LEA_ACT","FQ4 2018","FQ4 2018","Currency=USD","Period=FQ","BEST_FPERIOD_OVERRIDE=FQ","FILING_STATUS=MR","SCALING_FORMAT=MLN","FA_ADJUSTED=GAAP","Sort=A","Dates=H","DateFormat=P","Fill=—","Direction=H","UseDPDF=Y")</f>
        <v>7.7629999999999999</v>
      </c>
      <c r="D23" s="13">
        <f>_xll.BDH("NBIX US Equity","INT_EXPN_AFTER_OPERATING_LEA_ACT","FQ1 2019","FQ1 2019","Currency=USD","Period=FQ","BEST_FPERIOD_OVERRIDE=FQ","FILING_STATUS=MR","SCALING_FORMAT=MLN","FA_ADJUSTED=GAAP","Sort=A","Dates=H","DateFormat=P","Fill=—","Direction=H","UseDPDF=Y")</f>
        <v>7.8529999999999998</v>
      </c>
      <c r="E23" s="13">
        <f>_xll.BDH("NBIX US Equity","INT_EXPN_AFTER_OPERATING_LEA_ACT","FQ2 2019","FQ2 2019","Currency=USD","Period=FQ","BEST_FPERIOD_OVERRIDE=FQ","FILING_STATUS=MR","SCALING_FORMAT=MLN","FA_ADJUSTED=GAAP","Sort=A","Dates=H","DateFormat=P","Fill=—","Direction=H","UseDPDF=Y")</f>
        <v>7.9420000000000002</v>
      </c>
      <c r="F23" s="13">
        <f>_xll.BDH("NBIX US Equity","INT_EXPN_AFTER_OPERATING_LEA_ACT","FQ3 2019","FQ3 2019","Currency=USD","Period=FQ","BEST_FPERIOD_OVERRIDE=FQ","FILING_STATUS=MR","SCALING_FORMAT=MLN","FA_ADJUSTED=GAAP","Sort=A","Dates=H","DateFormat=P","Fill=—","Direction=H","UseDPDF=Y")</f>
        <v>8.0380000000000003</v>
      </c>
      <c r="G23" s="13">
        <f>_xll.BDH("NBIX US Equity","INT_EXPN_AFTER_OPERATING_LEA_ACT","FQ4 2019","FQ4 2019","Currency=USD","Period=FQ","BEST_FPERIOD_OVERRIDE=FQ","FILING_STATUS=MR","SCALING_FORMAT=MLN","FA_ADJUSTED=GAAP","Sort=A","Dates=H","DateFormat=P","Fill=—","Direction=H","UseDPDF=Y")</f>
        <v>8.1999999999999993</v>
      </c>
      <c r="H23" s="13">
        <f>_xll.BDH("NBIX US Equity","INT_EXPN_AFTER_OPERATING_LEA_ACT","FQ1 2020","FQ1 2020","Currency=USD","Period=FQ","BEST_FPERIOD_OVERRIDE=FQ","FILING_STATUS=MR","SCALING_FORMAT=MLN","FA_ADJUSTED=GAAP","Sort=A","Dates=H","DateFormat=P","Fill=—","Direction=H","UseDPDF=Y")</f>
        <v>8.1999999999999993</v>
      </c>
      <c r="I23" s="13">
        <f>_xll.BDH("NBIX US Equity","INT_EXPN_AFTER_OPERATING_LEA_ACT","FQ2 2020","FQ2 2020","Currency=USD","Period=FQ","BEST_FPERIOD_OVERRIDE=FQ","FILING_STATUS=MR","SCALING_FORMAT=MLN","FA_ADJUSTED=GAAP","Sort=A","Dates=H","DateFormat=P","Fill=—","Direction=H","UseDPDF=Y")</f>
        <v>8.3000000000000007</v>
      </c>
      <c r="J23" s="13">
        <f>_xll.BDH("NBIX US Equity","INT_EXPN_AFTER_OPERATING_LEA_ACT","FQ3 2020","FQ3 2020","Currency=USD","Period=FQ","BEST_FPERIOD_OVERRIDE=FQ","FILING_STATUS=MR","SCALING_FORMAT=MLN","FA_ADJUSTED=GAAP","Sort=A","Dates=H","DateFormat=P","Fill=—","Direction=H","UseDPDF=Y")</f>
        <v>8.5</v>
      </c>
      <c r="K23" s="13">
        <f>_xll.BDH("NBIX US Equity","INT_EXPN_AFTER_OPERATING_LEA_ACT","FQ4 2020","FQ4 2020","Currency=USD","Period=FQ","BEST_FPERIOD_OVERRIDE=FQ","FILING_STATUS=MR","SCALING_FORMAT=MLN","FA_ADJUSTED=GAAP","Sort=A","Dates=H","DateFormat=P","Fill=—","Direction=H","UseDPDF=Y")</f>
        <v>7.8</v>
      </c>
      <c r="L23" s="13">
        <f>_xll.BDH("NBIX US Equity","INT_EXPN_AFTER_OPERATING_LEA_ACT","FQ1 2021","FQ1 2021","Currency=USD","Period=FQ","BEST_FPERIOD_OVERRIDE=FQ","FILING_STATUS=MR","SCALING_FORMAT=MLN","FA_ADJUSTED=GAAP","Sort=A","Dates=H","DateFormat=P","Fill=—","Direction=H","UseDPDF=Y")</f>
        <v>6.4</v>
      </c>
      <c r="M23" s="13">
        <f>_xll.BDH("NBIX US Equity","INT_EXPN_AFTER_OPERATING_LEA_ACT","FQ2 2021","FQ2 2021","Currency=USD","Period=FQ","BEST_FPERIOD_OVERRIDE=FQ","FILING_STATUS=MR","SCALING_FORMAT=MLN","FA_ADJUSTED=GAAP","Sort=A","Dates=H","DateFormat=P","Fill=—","Direction=H","UseDPDF=Y")</f>
        <v>6.2</v>
      </c>
      <c r="N23" s="13">
        <f>_xll.BDH("NBIX US Equity","INT_EXPN_AFTER_OPERATING_LEA_ACT","FQ3 2021","FQ3 2021","Currency=USD","Period=FQ","BEST_FPERIOD_OVERRIDE=FQ","FILING_STATUS=MR","SCALING_FORMAT=MLN","FA_ADJUSTED=GAAP","Sort=A","Dates=H","DateFormat=P","Fill=—","Direction=H","UseDPDF=Y")</f>
        <v>6.6</v>
      </c>
      <c r="O23" s="13">
        <f>_xll.BDH("NBIX US Equity","INT_EXPN_AFTER_OPERATING_LEA_ACT","FQ4 2021","FQ4 2021","Currency=USD","Period=FQ","BEST_FPERIOD_OVERRIDE=FQ","FILING_STATUS=MR","SCALING_FORMAT=MLN","FA_ADJUSTED=GAAP","Sort=A","Dates=H","DateFormat=P","Fill=—","Direction=H","UseDPDF=Y")</f>
        <v>6.6</v>
      </c>
      <c r="P23" s="13">
        <f>_xll.BDH("NBIX US Equity","INT_EXPN_AFTER_OPERATING_LEA_ACT","FQ1 2022","FQ1 2022","Currency=USD","Period=FQ","BEST_FPERIOD_OVERRIDE=FQ","FILING_STATUS=MR","SCALING_FORMAT=MLN","FA_ADJUSTED=GAAP","Sort=A","Dates=H","DateFormat=P","Fill=—","Direction=H","UseDPDF=Y")</f>
        <v>2.6</v>
      </c>
      <c r="Q23" s="13">
        <f>_xll.BDH("NBIX US Equity","INT_EXPN_AFTER_OPERATING_LEA_ACT","FQ2 2022","FQ2 2022","Currency=USD","Period=FQ","BEST_FPERIOD_OVERRIDE=FQ","FILING_STATUS=MR","SCALING_FORMAT=MLN","FA_ADJUSTED=GAAP","Sort=A","Dates=H","DateFormat=P","Fill=—","Direction=H","UseDPDF=Y")</f>
        <v>2.2000000000000002</v>
      </c>
      <c r="R23" s="13">
        <f>_xll.BDH("NBIX US Equity","INT_EXPN_AFTER_OPERATING_LEA_ACT","FQ3 2022","FQ3 2022","Currency=USD","Period=FQ","BEST_FPERIOD_OVERRIDE=FQ","FILING_STATUS=MR","SCALING_FORMAT=MLN","FA_ADJUSTED=GAAP","Sort=A","Dates=H","DateFormat=P","Fill=—","Direction=H","UseDPDF=Y")</f>
        <v>1.2</v>
      </c>
      <c r="S23" s="13">
        <f>_xll.BDH("NBIX US Equity","INT_EXPN_AFTER_OPERATING_LEA_ACT","FQ4 2022","FQ4 2022","Currency=USD","Period=FQ","BEST_FPERIOD_OVERRIDE=FQ","FILING_STATUS=MR","SCALING_FORMAT=MLN","FA_ADJUSTED=GAAP","Sort=A","Dates=H","DateFormat=P","Fill=—","Direction=H","UseDPDF=Y")</f>
        <v>1.1000000000000001</v>
      </c>
      <c r="T23" s="13">
        <f>_xll.BDH("NBIX US Equity","INT_EXPN_AFTER_OPERATING_LEA_ACT","FQ1 2023","FQ1 2023","Currency=USD","Period=FQ","BEST_FPERIOD_OVERRIDE=FQ","FILING_STATUS=MR","SCALING_FORMAT=MLN","FA_ADJUSTED=GAAP","Sort=A","Dates=H","DateFormat=P","Fill=—","Direction=H","UseDPDF=Y")</f>
        <v>1.1000000000000001</v>
      </c>
      <c r="U23" s="13">
        <f>_xll.BDH("NBIX US Equity","INT_EXPN_AFTER_OPERATING_LEA_ACT","FQ2 2023","FQ2 2023","Currency=USD","Period=FQ","BEST_FPERIOD_OVERRIDE=FQ","FILING_STATUS=MR","SCALING_FORMAT=MLN","FA_ADJUSTED=GAAP","Sort=A","Dates=H","DateFormat=P","Fill=—","Direction=H","UseDPDF=Y")</f>
        <v>1.3</v>
      </c>
      <c r="V23" s="13">
        <f>_xll.BDH("NBIX US Equity","INT_EXPN_AFTER_OPERATING_LEA_ACT","FQ3 2023","FQ3 2023","Currency=USD","Period=FQ","BEST_FPERIOD_OVERRIDE=FQ","FILING_STATUS=MR","SCALING_FORMAT=MLN","FA_ADJUSTED=GAAP","Sort=A","Dates=H","DateFormat=P","Fill=—","Direction=H","UseDPDF=Y")</f>
        <v>1.1000000000000001</v>
      </c>
      <c r="W23" s="13">
        <f>_xll.BDH("NBIX US Equity","INT_EXPN_AFTER_OPERATING_LEA_ACT","FQ4 2023","FQ4 2023","Currency=USD","Period=FQ","BEST_FPERIOD_OVERRIDE=FQ","FILING_STATUS=MR","SCALING_FORMAT=MLN","FA_ADJUSTED=GAAP","Sort=A","Dates=H","DateFormat=P","Fill=—","Direction=H","UseDPDF=Y")</f>
        <v>1.1000000000000001</v>
      </c>
      <c r="X23" s="13">
        <f>_xll.BDH("NBIX US Equity","INT_EXPN_AFTER_OPERATING_LEA_ACT","FQ1 2024","FQ1 2024","Currency=USD","Period=FQ","BEST_FPERIOD_OVERRIDE=FQ","FILING_STATUS=MR","SCALING_FORMAT=MLN","FA_ADJUSTED=GAAP","Sort=A","Dates=H","DateFormat=P","Fill=—","Direction=H","UseDPDF=Y")</f>
        <v>1.1000000000000001</v>
      </c>
      <c r="Y23" s="13" t="str">
        <f>_xll.BDH("NBIX US Equity","INT_EXPN_AFTER_OPERATING_LEA_ACT","FQ2 2024","FQ2 2024","Currency=USD","Period=FQ","BEST_FPERIOD_OVERRIDE=FQ","FILING_STATUS=MR","SCALING_FORMAT=MLN","FA_ADJUSTED=GAAP","Sort=A","Dates=H","DateFormat=P","Fill=—","Direction=H","UseDPDF=Y")</f>
        <v>—</v>
      </c>
      <c r="Z23" s="13" t="str">
        <f>_xll.BDH("NBIX US Equity","INT_EXPN_AFTER_OPERATING_LEA_ACT","FQ3 2024","FQ3 2024","Currency=USD","Period=FQ","BEST_FPERIOD_OVERRIDE=FQ","FILING_STATUS=MR","SCALING_FORMAT=MLN","FA_ADJUSTED=GAAP","Sort=A","Dates=H","DateFormat=P","Fill=—","Direction=H","UseDPDF=Y")</f>
        <v>—</v>
      </c>
      <c r="AA23" s="13" t="str">
        <f>_xll.BDH("NBIX US Equity","INT_EXPN_AFTER_OPERATING_LEA_ACT","FQ4 2024","FQ4 2024","Currency=USD","Period=FQ","BEST_FPERIOD_OVERRIDE=FQ","FILING_STATUS=MR","SCALING_FORMAT=MLN","FA_ADJUSTED=GAAP","Sort=A","Dates=H","DateFormat=P","Fill=—","Direction=H","UseDPDF=Y")</f>
        <v>—</v>
      </c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1389</v>
      </c>
      <c r="B25" s="10" t="s">
        <v>1418</v>
      </c>
      <c r="C25" s="14">
        <f>_xll.BDH("NBIX US Equity","CE_TO_TOT_AST_LESS_OPER_LEA_AST","FQ4 2018","FQ4 2018","Currency=USD","Period=FQ","BEST_FPERIOD_OVERRIDE=FQ","FILING_STATUS=MR","Sort=A","Dates=H","DateFormat=P","Fill=—","Direction=H","UseDPDF=Y")</f>
        <v>48.408000000000001</v>
      </c>
      <c r="D25" s="14">
        <f>_xll.BDH("NBIX US Equity","CE_TO_TOT_AST_LESS_OPER_LEA_AST","FQ1 2019","FQ1 2019","Currency=USD","Period=FQ","BEST_FPERIOD_OVERRIDE=FQ","FILING_STATUS=MR","Sort=A","Dates=H","DateFormat=P","Fill=—","Direction=H","UseDPDF=Y")</f>
        <v>45.0535</v>
      </c>
      <c r="E25" s="14">
        <f>_xll.BDH("NBIX US Equity","CE_TO_TOT_AST_LESS_OPER_LEA_AST","FQ2 2019","FQ2 2019","Currency=USD","Period=FQ","BEST_FPERIOD_OVERRIDE=FQ","FILING_STATUS=MR","Sort=A","Dates=H","DateFormat=P","Fill=—","Direction=H","UseDPDF=Y")</f>
        <v>47.525799999999997</v>
      </c>
      <c r="F25" s="14">
        <f>_xll.BDH("NBIX US Equity","CE_TO_TOT_AST_LESS_OPER_LEA_AST","FQ3 2019","FQ3 2019","Currency=USD","Period=FQ","BEST_FPERIOD_OVERRIDE=FQ","FILING_STATUS=MR","Sort=A","Dates=H","DateFormat=P","Fill=—","Direction=H","UseDPDF=Y")</f>
        <v>51.390099999999997</v>
      </c>
      <c r="G25" s="14">
        <f>_xll.BDH("NBIX US Equity","CE_TO_TOT_AST_LESS_OPER_LEA_AST","FQ4 2019","FQ4 2019","Currency=USD","Period=FQ","BEST_FPERIOD_OVERRIDE=FQ","FILING_STATUS=MR","Sort=A","Dates=H","DateFormat=P","Fill=—","Direction=H","UseDPDF=Y")</f>
        <v>51.709000000000003</v>
      </c>
      <c r="H25" s="14">
        <f>_xll.BDH("NBIX US Equity","CE_TO_TOT_AST_LESS_OPER_LEA_AST","FQ1 2020","FQ1 2020","Currency=USD","Period=FQ","BEST_FPERIOD_OVERRIDE=FQ","FILING_STATUS=MR","Sort=A","Dates=H","DateFormat=P","Fill=—","Direction=H","UseDPDF=Y")</f>
        <v>54.345799999999997</v>
      </c>
      <c r="I25" s="14">
        <f>_xll.BDH("NBIX US Equity","CE_TO_TOT_AST_LESS_OPER_LEA_AST","FQ2 2020","FQ2 2020","Currency=USD","Period=FQ","BEST_FPERIOD_OVERRIDE=FQ","FILING_STATUS=MR","Sort=A","Dates=H","DateFormat=P","Fill=—","Direction=H","UseDPDF=Y")</f>
        <v>57.582299999999996</v>
      </c>
      <c r="J25" s="14">
        <f>_xll.BDH("NBIX US Equity","CE_TO_TOT_AST_LESS_OPER_LEA_AST","FQ3 2020","FQ3 2020","Currency=USD","Period=FQ","BEST_FPERIOD_OVERRIDE=FQ","FILING_STATUS=MR","Sort=A","Dates=H","DateFormat=P","Fill=—","Direction=H","UseDPDF=Y")</f>
        <v>56.181899999999999</v>
      </c>
      <c r="K25" s="14">
        <f>_xll.BDH("NBIX US Equity","CE_TO_TOT_AST_LESS_OPER_LEA_AST","FQ4 2020","FQ4 2020","Currency=USD","Period=FQ","BEST_FPERIOD_OVERRIDE=FQ","FILING_STATUS=MR","Sort=A","Dates=H","DateFormat=P","Fill=—","Direction=H","UseDPDF=Y")</f>
        <v>68.176000000000002</v>
      </c>
      <c r="L25" s="14">
        <f>_xll.BDH("NBIX US Equity","CE_TO_TOT_AST_LESS_OPER_LEA_AST","FQ1 2021","FQ1 2021","Currency=USD","Period=FQ","BEST_FPERIOD_OVERRIDE=FQ","FILING_STATUS=MR","Sort=A","Dates=H","DateFormat=P","Fill=—","Direction=H","UseDPDF=Y")</f>
        <v>68.915099999999995</v>
      </c>
      <c r="M25" s="14">
        <f>_xll.BDH("NBIX US Equity","CE_TO_TOT_AST_LESS_OPER_LEA_AST","FQ2 2021","FQ2 2021","Currency=USD","Period=FQ","BEST_FPERIOD_OVERRIDE=FQ","FILING_STATUS=MR","Sort=A","Dates=H","DateFormat=P","Fill=—","Direction=H","UseDPDF=Y")</f>
        <v>68.918700000000001</v>
      </c>
      <c r="N25" s="14">
        <f>_xll.BDH("NBIX US Equity","CE_TO_TOT_AST_LESS_OPER_LEA_AST","FQ3 2021","FQ3 2021","Currency=USD","Period=FQ","BEST_FPERIOD_OVERRIDE=FQ","FILING_STATUS=MR","Sort=A","Dates=H","DateFormat=P","Fill=—","Direction=H","UseDPDF=Y")</f>
        <v>70.126099999999994</v>
      </c>
      <c r="O25" s="14">
        <f>_xll.BDH("NBIX US Equity","CE_TO_TOT_AST_LESS_OPER_LEA_AST","FQ4 2021","FQ4 2021","Currency=USD","Period=FQ","BEST_FPERIOD_OVERRIDE=FQ","FILING_STATUS=MR","Sort=A","Dates=H","DateFormat=P","Fill=—","Direction=H","UseDPDF=Y")</f>
        <v>69.559100000000001</v>
      </c>
      <c r="P25" s="14">
        <f>_xll.BDH("NBIX US Equity","CE_TO_TOT_AST_LESS_OPER_LEA_AST","FQ1 2022","FQ1 2022","Currency=USD","Period=FQ","BEST_FPERIOD_OVERRIDE=FQ","FILING_STATUS=MR","Sort=A","Dates=H","DateFormat=P","Fill=—","Direction=H","UseDPDF=Y")</f>
        <v>67.865200000000002</v>
      </c>
      <c r="Q25" s="14">
        <f>_xll.BDH("NBIX US Equity","CE_TO_TOT_AST_LESS_OPER_LEA_AST","FQ2 2022","FQ2 2022","Currency=USD","Period=FQ","BEST_FPERIOD_OVERRIDE=FQ","FILING_STATUS=MR","Sort=A","Dates=H","DateFormat=P","Fill=—","Direction=H","UseDPDF=Y")</f>
        <v>74.387200000000007</v>
      </c>
      <c r="R25" s="14">
        <f>_xll.BDH("NBIX US Equity","CE_TO_TOT_AST_LESS_OPER_LEA_AST","FQ3 2022","FQ3 2022","Currency=USD","Period=FQ","BEST_FPERIOD_OVERRIDE=FQ","FILING_STATUS=MR","Sort=A","Dates=H","DateFormat=P","Fill=—","Direction=H","UseDPDF=Y")</f>
        <v>75.206900000000005</v>
      </c>
      <c r="S25" s="14">
        <f>_xll.BDH("NBIX US Equity","CE_TO_TOT_AST_LESS_OPER_LEA_AST","FQ4 2022","FQ4 2022","Currency=USD","Period=FQ","BEST_FPERIOD_OVERRIDE=FQ","FILING_STATUS=MR","Sort=A","Dates=H","DateFormat=P","Fill=—","Direction=H","UseDPDF=Y")</f>
        <v>74.847700000000003</v>
      </c>
      <c r="T25" s="14">
        <f>_xll.BDH("NBIX US Equity","CE_TO_TOT_AST_LESS_OPER_LEA_AST","FQ1 2023","FQ1 2023","Currency=USD","Period=FQ","BEST_FPERIOD_OVERRIDE=FQ","FILING_STATUS=MR","Sort=A","Dates=H","DateFormat=P","Fill=—","Direction=H","UseDPDF=Y")</f>
        <v>74.030900000000003</v>
      </c>
      <c r="U25" s="14">
        <f>_xll.BDH("NBIX US Equity","CE_TO_TOT_AST_LESS_OPER_LEA_AST","FQ2 2023","FQ2 2023","Currency=USD","Period=FQ","BEST_FPERIOD_OVERRIDE=FQ","FILING_STATUS=MR","Sort=A","Dates=H","DateFormat=P","Fill=—","Direction=H","UseDPDF=Y")</f>
        <v>73.252700000000004</v>
      </c>
      <c r="V25" s="14">
        <f>_xll.BDH("NBIX US Equity","CE_TO_TOT_AST_LESS_OPER_LEA_AST","FQ3 2023","FQ3 2023","Currency=USD","Period=FQ","BEST_FPERIOD_OVERRIDE=FQ","FILING_STATUS=MR","Sort=A","Dates=H","DateFormat=P","Fill=—","Direction=H","UseDPDF=Y")</f>
        <v>72.3459</v>
      </c>
      <c r="W25" s="14">
        <f>_xll.BDH("NBIX US Equity","CE_TO_TOT_AST_LESS_OPER_LEA_AST","FQ4 2023","FQ4 2023","Currency=USD","Period=FQ","BEST_FPERIOD_OVERRIDE=FQ","FILING_STATUS=MR","Sort=A","Dates=H","DateFormat=P","Fill=—","Direction=H","UseDPDF=Y")</f>
        <v>75.027699999999996</v>
      </c>
      <c r="X25" s="14">
        <f>_xll.BDH("NBIX US Equity","CE_TO_TOT_AST_LESS_OPER_LEA_AST","FQ1 2024","FQ1 2024","Currency=USD","Period=FQ","BEST_FPERIOD_OVERRIDE=FQ","FILING_STATUS=MR","Sort=A","Dates=H","DateFormat=P","Fill=—","Direction=H","UseDPDF=Y")</f>
        <v>74.528400000000005</v>
      </c>
      <c r="Y25" s="14">
        <f>_xll.BDH("NBIX US Equity","CE_TO_TOT_AST_LESS_OPER_LEA_AST","FQ2 2024","FQ2 2024","Currency=USD","Period=FQ","BEST_FPERIOD_OVERRIDE=FQ","FILING_STATUS=MR","Sort=A","Dates=H","DateFormat=P","Fill=—","Direction=H","UseDPDF=Y")</f>
        <v>82.482500000000002</v>
      </c>
      <c r="Z25" s="14">
        <f>_xll.BDH("NBIX US Equity","CE_TO_TOT_AST_LESS_OPER_LEA_AST","FQ3 2024","FQ3 2024","Currency=USD","Period=FQ","BEST_FPERIOD_OVERRIDE=FQ","FILING_STATUS=MR","Sort=A","Dates=H","DateFormat=P","Fill=—","Direction=H","UseDPDF=Y")</f>
        <v>82.951499999999996</v>
      </c>
      <c r="AA25" s="14">
        <f>_xll.BDH("NBIX US Equity","CE_TO_TOT_AST_LESS_OPER_LEA_AST","FQ4 2024","FQ4 2024","Currency=USD","Period=FQ","BEST_FPERIOD_OVERRIDE=FQ","FILING_STATUS=MR","Sort=A","Dates=H","DateFormat=P","Fill=—","Direction=H","UseDPDF=Y")</f>
        <v>80.693600000000004</v>
      </c>
    </row>
    <row r="26" spans="1:27" x14ac:dyDescent="0.25">
      <c r="A26" s="10" t="s">
        <v>1391</v>
      </c>
      <c r="B26" s="10" t="s">
        <v>1419</v>
      </c>
      <c r="C26" s="14">
        <f>_xll.BDH("NBIX US Equity","LT_DBT_EX_OPER_LEA_LIABS_TO_EQTY","FQ4 2018","FQ4 2018","Currency=USD","Period=FQ","BEST_FPERIOD_OVERRIDE=FQ","FILING_STATUS=MR","Sort=A","Dates=H","DateFormat=P","Fill=—","Direction=H","UseDPDF=Y")</f>
        <v>80.807900000000004</v>
      </c>
      <c r="D26" s="14">
        <f>_xll.BDH("NBIX US Equity","LT_DBT_EX_OPER_LEA_LIABS_TO_EQTY","FQ1 2019","FQ1 2019","Currency=USD","Period=FQ","BEST_FPERIOD_OVERRIDE=FQ","FILING_STATUS=MR","Sort=A","Dates=H","DateFormat=P","Fill=—","Direction=H","UseDPDF=Y")</f>
        <v>96.1297</v>
      </c>
      <c r="E26" s="14">
        <f>_xll.BDH("NBIX US Equity","LT_DBT_EX_OPER_LEA_LIABS_TO_EQTY","FQ2 2019","FQ2 2019","Currency=USD","Period=FQ","BEST_FPERIOD_OVERRIDE=FQ","FILING_STATUS=MR","Sort=A","Dates=H","DateFormat=P","Fill=—","Direction=H","UseDPDF=Y")</f>
        <v>82.377700000000004</v>
      </c>
      <c r="F26" s="14">
        <f>_xll.BDH("NBIX US Equity","LT_DBT_EX_OPER_LEA_LIABS_TO_EQTY","FQ3 2019","FQ3 2019","Currency=USD","Period=FQ","BEST_FPERIOD_OVERRIDE=FQ","FILING_STATUS=MR","Sort=A","Dates=H","DateFormat=P","Fill=—","Direction=H","UseDPDF=Y")</f>
        <v>70.248599999999996</v>
      </c>
      <c r="G26" s="14">
        <f>_xll.BDH("NBIX US Equity","LT_DBT_EX_OPER_LEA_LIABS_TO_EQTY","FQ4 2019","FQ4 2019","Currency=USD","Period=FQ","BEST_FPERIOD_OVERRIDE=FQ","FILING_STATUS=MR","Sort=A","Dates=H","DateFormat=P","Fill=—","Direction=H","UseDPDF=Y")</f>
        <v>0</v>
      </c>
      <c r="H26" s="14">
        <f>_xll.BDH("NBIX US Equity","LT_DBT_EX_OPER_LEA_LIABS_TO_EQTY","FQ1 2020","FQ1 2020","Currency=USD","Period=FQ","BEST_FPERIOD_OVERRIDE=FQ","FILING_STATUS=MR","Sort=A","Dates=H","DateFormat=P","Fill=—","Direction=H","UseDPDF=Y")</f>
        <v>59.131799999999998</v>
      </c>
      <c r="I26" s="14">
        <f>_xll.BDH("NBIX US Equity","LT_DBT_EX_OPER_LEA_LIABS_TO_EQTY","FQ2 2020","FQ2 2020","Currency=USD","Period=FQ","BEST_FPERIOD_OVERRIDE=FQ","FILING_STATUS=MR","Sort=A","Dates=H","DateFormat=P","Fill=—","Direction=H","UseDPDF=Y")</f>
        <v>0</v>
      </c>
      <c r="J26" s="14">
        <f>_xll.BDH("NBIX US Equity","LT_DBT_EX_OPER_LEA_LIABS_TO_EQTY","FQ3 2020","FQ3 2020","Currency=USD","Period=FQ","BEST_FPERIOD_OVERRIDE=FQ","FILING_STATUS=MR","Sort=A","Dates=H","DateFormat=P","Fill=—","Direction=H","UseDPDF=Y")</f>
        <v>0</v>
      </c>
      <c r="K26" s="14">
        <f>_xll.BDH("NBIX US Equity","LT_DBT_EX_OPER_LEA_LIABS_TO_EQTY","FQ4 2020","FQ4 2020","Currency=USD","Period=FQ","BEST_FPERIOD_OVERRIDE=FQ","FILING_STATUS=MR","Sort=A","Dates=H","DateFormat=P","Fill=—","Direction=H","UseDPDF=Y")</f>
        <v>28.227699999999999</v>
      </c>
      <c r="L26" s="14">
        <f>_xll.BDH("NBIX US Equity","LT_DBT_EX_OPER_LEA_LIABS_TO_EQTY","FQ1 2021","FQ1 2021","Currency=USD","Period=FQ","BEST_FPERIOD_OVERRIDE=FQ","FILING_STATUS=MR","Sort=A","Dates=H","DateFormat=P","Fill=—","Direction=H","UseDPDF=Y")</f>
        <v>26.7087</v>
      </c>
      <c r="M26" s="14">
        <f>_xll.BDH("NBIX US Equity","LT_DBT_EX_OPER_LEA_LIABS_TO_EQTY","FQ2 2021","FQ2 2021","Currency=USD","Period=FQ","BEST_FPERIOD_OVERRIDE=FQ","FILING_STATUS=MR","Sort=A","Dates=H","DateFormat=P","Fill=—","Direction=H","UseDPDF=Y")</f>
        <v>25.508099999999999</v>
      </c>
      <c r="N26" s="14">
        <f>_xll.BDH("NBIX US Equity","LT_DBT_EX_OPER_LEA_LIABS_TO_EQTY","FQ3 2021","FQ3 2021","Currency=USD","Period=FQ","BEST_FPERIOD_OVERRIDE=FQ","FILING_STATUS=MR","Sort=A","Dates=H","DateFormat=P","Fill=—","Direction=H","UseDPDF=Y")</f>
        <v>24.569099999999999</v>
      </c>
      <c r="O26" s="14">
        <f>_xll.BDH("NBIX US Equity","LT_DBT_EX_OPER_LEA_LIABS_TO_EQTY","FQ4 2021","FQ4 2021","Currency=USD","Period=FQ","BEST_FPERIOD_OVERRIDE=FQ","FILING_STATUS=MR","Sort=A","Dates=H","DateFormat=P","Fill=—","Direction=H","UseDPDF=Y")</f>
        <v>24.3886</v>
      </c>
      <c r="P26" s="14">
        <f>_xll.BDH("NBIX US Equity","LT_DBT_EX_OPER_LEA_LIABS_TO_EQTY","FQ1 2022","FQ1 2022","Currency=USD","Period=FQ","BEST_FPERIOD_OVERRIDE=FQ","FILING_STATUS=MR","Sort=A","Dates=H","DateFormat=P","Fill=—","Direction=H","UseDPDF=Y")</f>
        <v>27.151199999999999</v>
      </c>
      <c r="Q26" s="14">
        <f>_xll.BDH("NBIX US Equity","LT_DBT_EX_OPER_LEA_LIABS_TO_EQTY","FQ2 2022","FQ2 2022","Currency=USD","Period=FQ","BEST_FPERIOD_OVERRIDE=FQ","FILING_STATUS=MR","Sort=A","Dates=H","DateFormat=P","Fill=—","Direction=H","UseDPDF=Y")</f>
        <v>11.872999999999999</v>
      </c>
      <c r="R26" s="14">
        <f>_xll.BDH("NBIX US Equity","LT_DBT_EX_OPER_LEA_LIABS_TO_EQTY","FQ3 2022","FQ3 2022","Currency=USD","Period=FQ","BEST_FPERIOD_OVERRIDE=FQ","FILING_STATUS=MR","Sort=A","Dates=H","DateFormat=P","Fill=—","Direction=H","UseDPDF=Y")</f>
        <v>0</v>
      </c>
      <c r="S26" s="14">
        <f>_xll.BDH("NBIX US Equity","LT_DBT_EX_OPER_LEA_LIABS_TO_EQTY","FQ4 2022","FQ4 2022","Currency=USD","Period=FQ","BEST_FPERIOD_OVERRIDE=FQ","FILING_STATUS=MR","Sort=A","Dates=H","DateFormat=P","Fill=—","Direction=H","UseDPDF=Y")</f>
        <v>0</v>
      </c>
      <c r="T26" s="14">
        <f>_xll.BDH("NBIX US Equity","LT_DBT_EX_OPER_LEA_LIABS_TO_EQTY","FQ1 2023","FQ1 2023","Currency=USD","Period=FQ","BEST_FPERIOD_OVERRIDE=FQ","FILING_STATUS=MR","Sort=A","Dates=H","DateFormat=P","Fill=—","Direction=H","UseDPDF=Y")</f>
        <v>10.0623</v>
      </c>
      <c r="U26" s="14">
        <f>_xll.BDH("NBIX US Equity","LT_DBT_EX_OPER_LEA_LIABS_TO_EQTY","FQ2 2023","FQ2 2023","Currency=USD","Period=FQ","BEST_FPERIOD_OVERRIDE=FQ","FILING_STATUS=MR","Sort=A","Dates=H","DateFormat=P","Fill=—","Direction=H","UseDPDF=Y")</f>
        <v>0</v>
      </c>
      <c r="V26" s="14">
        <f>_xll.BDH("NBIX US Equity","LT_DBT_EX_OPER_LEA_LIABS_TO_EQTY","FQ3 2023","FQ3 2023","Currency=USD","Period=FQ","BEST_FPERIOD_OVERRIDE=FQ","FILING_STATUS=MR","Sort=A","Dates=H","DateFormat=P","Fill=—","Direction=H","UseDPDF=Y")</f>
        <v>0</v>
      </c>
      <c r="W26" s="14">
        <f>_xll.BDH("NBIX US Equity","LT_DBT_EX_OPER_LEA_LIABS_TO_EQTY","FQ4 2023","FQ4 2023","Currency=USD","Period=FQ","BEST_FPERIOD_OVERRIDE=FQ","FILING_STATUS=MR","Sort=A","Dates=H","DateFormat=P","Fill=—","Direction=H","UseDPDF=Y")</f>
        <v>0</v>
      </c>
      <c r="X26" s="14">
        <f>_xll.BDH("NBIX US Equity","LT_DBT_EX_OPER_LEA_LIABS_TO_EQTY","FQ1 2024","FQ1 2024","Currency=USD","Period=FQ","BEST_FPERIOD_OVERRIDE=FQ","FILING_STATUS=MR","Sort=A","Dates=H","DateFormat=P","Fill=—","Direction=H","UseDPDF=Y")</f>
        <v>0</v>
      </c>
      <c r="Y26" s="14">
        <f>_xll.BDH("NBIX US Equity","LT_DBT_EX_OPER_LEA_LIABS_TO_EQTY","FQ2 2024","FQ2 2024","Currency=USD","Period=FQ","BEST_FPERIOD_OVERRIDE=FQ","FILING_STATUS=MR","Sort=A","Dates=H","DateFormat=P","Fill=—","Direction=H","UseDPDF=Y")</f>
        <v>0</v>
      </c>
      <c r="Z26" s="14">
        <f>_xll.BDH("NBIX US Equity","LT_DBT_EX_OPER_LEA_LIABS_TO_EQTY","FQ3 2024","FQ3 2024","Currency=USD","Period=FQ","BEST_FPERIOD_OVERRIDE=FQ","FILING_STATUS=MR","Sort=A","Dates=H","DateFormat=P","Fill=—","Direction=H","UseDPDF=Y")</f>
        <v>0</v>
      </c>
      <c r="AA26" s="14">
        <f>_xll.BDH("NBIX US Equity","LT_DBT_EX_OPER_LEA_LIABS_TO_EQTY","FQ4 2024","FQ4 2024","Currency=USD","Period=FQ","BEST_FPERIOD_OVERRIDE=FQ","FILING_STATUS=MR","Sort=A","Dates=H","DateFormat=P","Fill=—","Direction=H","UseDPDF=Y")</f>
        <v>0</v>
      </c>
    </row>
    <row r="27" spans="1:27" x14ac:dyDescent="0.25">
      <c r="A27" s="10" t="s">
        <v>1393</v>
      </c>
      <c r="B27" s="10" t="s">
        <v>1420</v>
      </c>
      <c r="C27" s="14">
        <f>_xll.BDH("NBIX US Equity","LT_DBT_TO_CPTL_EX_OPER_LEA_LIABS","FQ4 2018","FQ4 2018","Currency=USD","Period=FQ","BEST_FPERIOD_OVERRIDE=FQ","FILING_STATUS=MR","Sort=A","Dates=H","DateFormat=P","Fill=—","Direction=H","UseDPDF=Y")</f>
        <v>44.692700000000002</v>
      </c>
      <c r="D27" s="14">
        <f>_xll.BDH("NBIX US Equity","LT_DBT_TO_CPTL_EX_OPER_LEA_LIABS","FQ1 2019","FQ1 2019","Currency=USD","Period=FQ","BEST_FPERIOD_OVERRIDE=FQ","FILING_STATUS=MR","Sort=A","Dates=H","DateFormat=P","Fill=—","Direction=H","UseDPDF=Y")</f>
        <v>49.013300000000001</v>
      </c>
      <c r="E27" s="14">
        <f>_xll.BDH("NBIX US Equity","LT_DBT_TO_CPTL_EX_OPER_LEA_LIABS","FQ2 2019","FQ2 2019","Currency=USD","Period=FQ","BEST_FPERIOD_OVERRIDE=FQ","FILING_STATUS=MR","Sort=A","Dates=H","DateFormat=P","Fill=—","Direction=H","UseDPDF=Y")</f>
        <v>45.168700000000001</v>
      </c>
      <c r="F27" s="14">
        <f>_xll.BDH("NBIX US Equity","LT_DBT_TO_CPTL_EX_OPER_LEA_LIABS","FQ3 2019","FQ3 2019","Currency=USD","Period=FQ","BEST_FPERIOD_OVERRIDE=FQ","FILING_STATUS=MR","Sort=A","Dates=H","DateFormat=P","Fill=—","Direction=H","UseDPDF=Y")</f>
        <v>41.2624</v>
      </c>
      <c r="G27" s="14">
        <f>_xll.BDH("NBIX US Equity","LT_DBT_TO_CPTL_EX_OPER_LEA_LIABS","FQ4 2019","FQ4 2019","Currency=USD","Period=FQ","BEST_FPERIOD_OVERRIDE=FQ","FILING_STATUS=MR","Sort=A","Dates=H","DateFormat=P","Fill=—","Direction=H","UseDPDF=Y")</f>
        <v>0</v>
      </c>
      <c r="H27" s="14">
        <f>_xll.BDH("NBIX US Equity","LT_DBT_TO_CPTL_EX_OPER_LEA_LIABS","FQ1 2020","FQ1 2020","Currency=USD","Period=FQ","BEST_FPERIOD_OVERRIDE=FQ","FILING_STATUS=MR","Sort=A","Dates=H","DateFormat=P","Fill=—","Direction=H","UseDPDF=Y")</f>
        <v>37.158999999999999</v>
      </c>
      <c r="I27" s="14">
        <f>_xll.BDH("NBIX US Equity","LT_DBT_TO_CPTL_EX_OPER_LEA_LIABS","FQ2 2020","FQ2 2020","Currency=USD","Period=FQ","BEST_FPERIOD_OVERRIDE=FQ","FILING_STATUS=MR","Sort=A","Dates=H","DateFormat=P","Fill=—","Direction=H","UseDPDF=Y")</f>
        <v>0</v>
      </c>
      <c r="J27" s="14">
        <f>_xll.BDH("NBIX US Equity","LT_DBT_TO_CPTL_EX_OPER_LEA_LIABS","FQ3 2020","FQ3 2020","Currency=USD","Period=FQ","BEST_FPERIOD_OVERRIDE=FQ","FILING_STATUS=MR","Sort=A","Dates=H","DateFormat=P","Fill=—","Direction=H","UseDPDF=Y")</f>
        <v>0</v>
      </c>
      <c r="K27" s="14">
        <f>_xll.BDH("NBIX US Equity","LT_DBT_TO_CPTL_EX_OPER_LEA_LIABS","FQ4 2020","FQ4 2020","Currency=USD","Period=FQ","BEST_FPERIOD_OVERRIDE=FQ","FILING_STATUS=MR","Sort=A","Dates=H","DateFormat=P","Fill=—","Direction=H","UseDPDF=Y")</f>
        <v>22.0137</v>
      </c>
      <c r="L27" s="14">
        <f>_xll.BDH("NBIX US Equity","LT_DBT_TO_CPTL_EX_OPER_LEA_LIABS","FQ1 2021","FQ1 2021","Currency=USD","Period=FQ","BEST_FPERIOD_OVERRIDE=FQ","FILING_STATUS=MR","Sort=A","Dates=H","DateFormat=P","Fill=—","Direction=H","UseDPDF=Y")</f>
        <v>21.078800000000001</v>
      </c>
      <c r="M27" s="14">
        <f>_xll.BDH("NBIX US Equity","LT_DBT_TO_CPTL_EX_OPER_LEA_LIABS","FQ2 2021","FQ2 2021","Currency=USD","Period=FQ","BEST_FPERIOD_OVERRIDE=FQ","FILING_STATUS=MR","Sort=A","Dates=H","DateFormat=P","Fill=—","Direction=H","UseDPDF=Y")</f>
        <v>20.323899999999998</v>
      </c>
      <c r="N27" s="14">
        <f>_xll.BDH("NBIX US Equity","LT_DBT_TO_CPTL_EX_OPER_LEA_LIABS","FQ3 2021","FQ3 2021","Currency=USD","Period=FQ","BEST_FPERIOD_OVERRIDE=FQ","FILING_STATUS=MR","Sort=A","Dates=H","DateFormat=P","Fill=—","Direction=H","UseDPDF=Y")</f>
        <v>19.723299999999998</v>
      </c>
      <c r="O27" s="14">
        <f>_xll.BDH("NBIX US Equity","LT_DBT_TO_CPTL_EX_OPER_LEA_LIABS","FQ4 2021","FQ4 2021","Currency=USD","Period=FQ","BEST_FPERIOD_OVERRIDE=FQ","FILING_STATUS=MR","Sort=A","Dates=H","DateFormat=P","Fill=—","Direction=H","UseDPDF=Y")</f>
        <v>19.6068</v>
      </c>
      <c r="P27" s="14">
        <f>_xll.BDH("NBIX US Equity","LT_DBT_TO_CPTL_EX_OPER_LEA_LIABS","FQ1 2022","FQ1 2022","Currency=USD","Period=FQ","BEST_FPERIOD_OVERRIDE=FQ","FILING_STATUS=MR","Sort=A","Dates=H","DateFormat=P","Fill=—","Direction=H","UseDPDF=Y")</f>
        <v>21.3535</v>
      </c>
      <c r="Q27" s="14">
        <f>_xll.BDH("NBIX US Equity","LT_DBT_TO_CPTL_EX_OPER_LEA_LIABS","FQ2 2022","FQ2 2022","Currency=USD","Period=FQ","BEST_FPERIOD_OVERRIDE=FQ","FILING_STATUS=MR","Sort=A","Dates=H","DateFormat=P","Fill=—","Direction=H","UseDPDF=Y")</f>
        <v>10.6129</v>
      </c>
      <c r="R27" s="14">
        <f>_xll.BDH("NBIX US Equity","LT_DBT_TO_CPTL_EX_OPER_LEA_LIABS","FQ3 2022","FQ3 2022","Currency=USD","Period=FQ","BEST_FPERIOD_OVERRIDE=FQ","FILING_STATUS=MR","Sort=A","Dates=H","DateFormat=P","Fill=—","Direction=H","UseDPDF=Y")</f>
        <v>0</v>
      </c>
      <c r="S27" s="14">
        <f>_xll.BDH("NBIX US Equity","LT_DBT_TO_CPTL_EX_OPER_LEA_LIABS","FQ4 2022","FQ4 2022","Currency=USD","Period=FQ","BEST_FPERIOD_OVERRIDE=FQ","FILING_STATUS=MR","Sort=A","Dates=H","DateFormat=P","Fill=—","Direction=H","UseDPDF=Y")</f>
        <v>0</v>
      </c>
      <c r="T27" s="14">
        <f>_xll.BDH("NBIX US Equity","LT_DBT_TO_CPTL_EX_OPER_LEA_LIABS","FQ1 2023","FQ1 2023","Currency=USD","Period=FQ","BEST_FPERIOD_OVERRIDE=FQ","FILING_STATUS=MR","Sort=A","Dates=H","DateFormat=P","Fill=—","Direction=H","UseDPDF=Y")</f>
        <v>9.1424000000000003</v>
      </c>
      <c r="U27" s="14">
        <f>_xll.BDH("NBIX US Equity","LT_DBT_TO_CPTL_EX_OPER_LEA_LIABS","FQ2 2023","FQ2 2023","Currency=USD","Period=FQ","BEST_FPERIOD_OVERRIDE=FQ","FILING_STATUS=MR","Sort=A","Dates=H","DateFormat=P","Fill=—","Direction=H","UseDPDF=Y")</f>
        <v>0</v>
      </c>
      <c r="V27" s="14">
        <f>_xll.BDH("NBIX US Equity","LT_DBT_TO_CPTL_EX_OPER_LEA_LIABS","FQ3 2023","FQ3 2023","Currency=USD","Period=FQ","BEST_FPERIOD_OVERRIDE=FQ","FILING_STATUS=MR","Sort=A","Dates=H","DateFormat=P","Fill=—","Direction=H","UseDPDF=Y")</f>
        <v>0</v>
      </c>
      <c r="W27" s="14">
        <f>_xll.BDH("NBIX US Equity","LT_DBT_TO_CPTL_EX_OPER_LEA_LIABS","FQ4 2023","FQ4 2023","Currency=USD","Period=FQ","BEST_FPERIOD_OVERRIDE=FQ","FILING_STATUS=MR","Sort=A","Dates=H","DateFormat=P","Fill=—","Direction=H","UseDPDF=Y")</f>
        <v>0</v>
      </c>
      <c r="X27" s="14">
        <f>_xll.BDH("NBIX US Equity","LT_DBT_TO_CPTL_EX_OPER_LEA_LIABS","FQ1 2024","FQ1 2024","Currency=USD","Period=FQ","BEST_FPERIOD_OVERRIDE=FQ","FILING_STATUS=MR","Sort=A","Dates=H","DateFormat=P","Fill=—","Direction=H","UseDPDF=Y")</f>
        <v>0</v>
      </c>
      <c r="Y27" s="14">
        <f>_xll.BDH("NBIX US Equity","LT_DBT_TO_CPTL_EX_OPER_LEA_LIABS","FQ2 2024","FQ2 2024","Currency=USD","Period=FQ","BEST_FPERIOD_OVERRIDE=FQ","FILING_STATUS=MR","Sort=A","Dates=H","DateFormat=P","Fill=—","Direction=H","UseDPDF=Y")</f>
        <v>0</v>
      </c>
      <c r="Z27" s="14">
        <f>_xll.BDH("NBIX US Equity","LT_DBT_TO_CPTL_EX_OPER_LEA_LIABS","FQ3 2024","FQ3 2024","Currency=USD","Period=FQ","BEST_FPERIOD_OVERRIDE=FQ","FILING_STATUS=MR","Sort=A","Dates=H","DateFormat=P","Fill=—","Direction=H","UseDPDF=Y")</f>
        <v>0</v>
      </c>
      <c r="AA27" s="14">
        <f>_xll.BDH("NBIX US Equity","LT_DBT_TO_CPTL_EX_OPER_LEA_LIABS","FQ4 2024","FQ4 2024","Currency=USD","Period=FQ","BEST_FPERIOD_OVERRIDE=FQ","FILING_STATUS=MR","Sort=A","Dates=H","DateFormat=P","Fill=—","Direction=H","UseDPDF=Y")</f>
        <v>0</v>
      </c>
    </row>
    <row r="28" spans="1:27" x14ac:dyDescent="0.25">
      <c r="A28" s="10" t="s">
        <v>1395</v>
      </c>
      <c r="B28" s="10" t="s">
        <v>1421</v>
      </c>
      <c r="C28" s="14">
        <f>_xll.BDH("NBIX US Equity","LT_DBT_AST_EX_OP_LEA_LIAB_AST","FQ4 2018","FQ4 2018","Currency=USD","Period=FQ","BEST_FPERIOD_OVERRIDE=FQ","FILING_STATUS=MR","Sort=A","Dates=H","DateFormat=P","Fill=—","Direction=H","UseDPDF=Y")</f>
        <v>39.1175</v>
      </c>
      <c r="D28" s="14">
        <f>_xll.BDH("NBIX US Equity","LT_DBT_AST_EX_OP_LEA_LIAB_AST","FQ1 2019","FQ1 2019","Currency=USD","Period=FQ","BEST_FPERIOD_OVERRIDE=FQ","FILING_STATUS=MR","Sort=A","Dates=H","DateFormat=P","Fill=—","Direction=H","UseDPDF=Y")</f>
        <v>43.309899999999999</v>
      </c>
      <c r="E28" s="14">
        <f>_xll.BDH("NBIX US Equity","LT_DBT_AST_EX_OP_LEA_LIAB_AST","FQ2 2019","FQ2 2019","Currency=USD","Period=FQ","BEST_FPERIOD_OVERRIDE=FQ","FILING_STATUS=MR","Sort=A","Dates=H","DateFormat=P","Fill=—","Direction=H","UseDPDF=Y")</f>
        <v>39.150700000000001</v>
      </c>
      <c r="F28" s="14">
        <f>_xll.BDH("NBIX US Equity","LT_DBT_AST_EX_OP_LEA_LIAB_AST","FQ3 2019","FQ3 2019","Currency=USD","Period=FQ","BEST_FPERIOD_OVERRIDE=FQ","FILING_STATUS=MR","Sort=A","Dates=H","DateFormat=P","Fill=—","Direction=H","UseDPDF=Y")</f>
        <v>36.100900000000003</v>
      </c>
      <c r="G28" s="14">
        <f>_xll.BDH("NBIX US Equity","LT_DBT_AST_EX_OP_LEA_LIAB_AST","FQ4 2019","FQ4 2019","Currency=USD","Period=FQ","BEST_FPERIOD_OVERRIDE=FQ","FILING_STATUS=MR","Sort=A","Dates=H","DateFormat=P","Fill=—","Direction=H","UseDPDF=Y")</f>
        <v>0</v>
      </c>
      <c r="H28" s="14">
        <f>_xll.BDH("NBIX US Equity","LT_DBT_AST_EX_OP_LEA_LIAB_AST","FQ1 2020","FQ1 2020","Currency=USD","Period=FQ","BEST_FPERIOD_OVERRIDE=FQ","FILING_STATUS=MR","Sort=A","Dates=H","DateFormat=P","Fill=—","Direction=H","UseDPDF=Y")</f>
        <v>32.1357</v>
      </c>
      <c r="I28" s="14">
        <f>_xll.BDH("NBIX US Equity","LT_DBT_AST_EX_OP_LEA_LIAB_AST","FQ2 2020","FQ2 2020","Currency=USD","Period=FQ","BEST_FPERIOD_OVERRIDE=FQ","FILING_STATUS=MR","Sort=A","Dates=H","DateFormat=P","Fill=—","Direction=H","UseDPDF=Y")</f>
        <v>0</v>
      </c>
      <c r="J28" s="14">
        <f>_xll.BDH("NBIX US Equity","LT_DBT_AST_EX_OP_LEA_LIAB_AST","FQ3 2020","FQ3 2020","Currency=USD","Period=FQ","BEST_FPERIOD_OVERRIDE=FQ","FILING_STATUS=MR","Sort=A","Dates=H","DateFormat=P","Fill=—","Direction=H","UseDPDF=Y")</f>
        <v>0</v>
      </c>
      <c r="K28" s="14">
        <f>_xll.BDH("NBIX US Equity","LT_DBT_AST_EX_OP_LEA_LIAB_AST","FQ4 2020","FQ4 2020","Currency=USD","Period=FQ","BEST_FPERIOD_OVERRIDE=FQ","FILING_STATUS=MR","Sort=A","Dates=H","DateFormat=P","Fill=—","Direction=H","UseDPDF=Y")</f>
        <v>19.244499999999999</v>
      </c>
      <c r="L28" s="14">
        <f>_xll.BDH("NBIX US Equity","LT_DBT_AST_EX_OP_LEA_LIAB_AST","FQ1 2021","FQ1 2021","Currency=USD","Period=FQ","BEST_FPERIOD_OVERRIDE=FQ","FILING_STATUS=MR","Sort=A","Dates=H","DateFormat=P","Fill=—","Direction=H","UseDPDF=Y")</f>
        <v>18.406300000000002</v>
      </c>
      <c r="M28" s="14">
        <f>_xll.BDH("NBIX US Equity","LT_DBT_AST_EX_OP_LEA_LIAB_AST","FQ2 2021","FQ2 2021","Currency=USD","Period=FQ","BEST_FPERIOD_OVERRIDE=FQ","FILING_STATUS=MR","Sort=A","Dates=H","DateFormat=P","Fill=—","Direction=H","UseDPDF=Y")</f>
        <v>17.579899999999999</v>
      </c>
      <c r="N28" s="14">
        <f>_xll.BDH("NBIX US Equity","LT_DBT_AST_EX_OP_LEA_LIAB_AST","FQ3 2021","FQ3 2021","Currency=USD","Period=FQ","BEST_FPERIOD_OVERRIDE=FQ","FILING_STATUS=MR","Sort=A","Dates=H","DateFormat=P","Fill=—","Direction=H","UseDPDF=Y")</f>
        <v>17.229299999999999</v>
      </c>
      <c r="O28" s="14">
        <f>_xll.BDH("NBIX US Equity","LT_DBT_AST_EX_OP_LEA_LIAB_AST","FQ4 2021","FQ4 2021","Currency=USD","Period=FQ","BEST_FPERIOD_OVERRIDE=FQ","FILING_STATUS=MR","Sort=A","Dates=H","DateFormat=P","Fill=—","Direction=H","UseDPDF=Y")</f>
        <v>16.964500000000001</v>
      </c>
      <c r="P28" s="14">
        <f>_xll.BDH("NBIX US Equity","LT_DBT_AST_EX_OP_LEA_LIAB_AST","FQ1 2022","FQ1 2022","Currency=USD","Period=FQ","BEST_FPERIOD_OVERRIDE=FQ","FILING_STATUS=MR","Sort=A","Dates=H","DateFormat=P","Fill=—","Direction=H","UseDPDF=Y")</f>
        <v>18.426200000000001</v>
      </c>
      <c r="Q28" s="14">
        <f>_xll.BDH("NBIX US Equity","LT_DBT_AST_EX_OP_LEA_LIAB_AST","FQ2 2022","FQ2 2022","Currency=USD","Period=FQ","BEST_FPERIOD_OVERRIDE=FQ","FILING_STATUS=MR","Sort=A","Dates=H","DateFormat=P","Fill=—","Direction=H","UseDPDF=Y")</f>
        <v>8.8320000000000007</v>
      </c>
      <c r="R28" s="14">
        <f>_xll.BDH("NBIX US Equity","LT_DBT_AST_EX_OP_LEA_LIAB_AST","FQ3 2022","FQ3 2022","Currency=USD","Period=FQ","BEST_FPERIOD_OVERRIDE=FQ","FILING_STATUS=MR","Sort=A","Dates=H","DateFormat=P","Fill=—","Direction=H","UseDPDF=Y")</f>
        <v>0</v>
      </c>
      <c r="S28" s="14">
        <f>_xll.BDH("NBIX US Equity","LT_DBT_AST_EX_OP_LEA_LIAB_AST","FQ4 2022","FQ4 2022","Currency=USD","Period=FQ","BEST_FPERIOD_OVERRIDE=FQ","FILING_STATUS=MR","Sort=A","Dates=H","DateFormat=P","Fill=—","Direction=H","UseDPDF=Y")</f>
        <v>0</v>
      </c>
      <c r="T28" s="14">
        <f>_xll.BDH("NBIX US Equity","LT_DBT_AST_EX_OP_LEA_LIAB_AST","FQ1 2023","FQ1 2023","Currency=USD","Period=FQ","BEST_FPERIOD_OVERRIDE=FQ","FILING_STATUS=MR","Sort=A","Dates=H","DateFormat=P","Fill=—","Direction=H","UseDPDF=Y")</f>
        <v>7.4492000000000003</v>
      </c>
      <c r="U28" s="14">
        <f>_xll.BDH("NBIX US Equity","LT_DBT_AST_EX_OP_LEA_LIAB_AST","FQ2 2023","FQ2 2023","Currency=USD","Period=FQ","BEST_FPERIOD_OVERRIDE=FQ","FILING_STATUS=MR","Sort=A","Dates=H","DateFormat=P","Fill=—","Direction=H","UseDPDF=Y")</f>
        <v>0</v>
      </c>
      <c r="V28" s="14">
        <f>_xll.BDH("NBIX US Equity","LT_DBT_AST_EX_OP_LEA_LIAB_AST","FQ3 2023","FQ3 2023","Currency=USD","Period=FQ","BEST_FPERIOD_OVERRIDE=FQ","FILING_STATUS=MR","Sort=A","Dates=H","DateFormat=P","Fill=—","Direction=H","UseDPDF=Y")</f>
        <v>0</v>
      </c>
      <c r="W28" s="14">
        <f>_xll.BDH("NBIX US Equity","LT_DBT_AST_EX_OP_LEA_LIAB_AST","FQ4 2023","FQ4 2023","Currency=USD","Period=FQ","BEST_FPERIOD_OVERRIDE=FQ","FILING_STATUS=MR","Sort=A","Dates=H","DateFormat=P","Fill=—","Direction=H","UseDPDF=Y")</f>
        <v>0</v>
      </c>
      <c r="X28" s="14">
        <f>_xll.BDH("NBIX US Equity","LT_DBT_AST_EX_OP_LEA_LIAB_AST","FQ1 2024","FQ1 2024","Currency=USD","Period=FQ","BEST_FPERIOD_OVERRIDE=FQ","FILING_STATUS=MR","Sort=A","Dates=H","DateFormat=P","Fill=—","Direction=H","UseDPDF=Y")</f>
        <v>0</v>
      </c>
      <c r="Y28" s="14">
        <f>_xll.BDH("NBIX US Equity","LT_DBT_AST_EX_OP_LEA_LIAB_AST","FQ2 2024","FQ2 2024","Currency=USD","Period=FQ","BEST_FPERIOD_OVERRIDE=FQ","FILING_STATUS=MR","Sort=A","Dates=H","DateFormat=P","Fill=—","Direction=H","UseDPDF=Y")</f>
        <v>0</v>
      </c>
      <c r="Z28" s="14">
        <f>_xll.BDH("NBIX US Equity","LT_DBT_AST_EX_OP_LEA_LIAB_AST","FQ3 2024","FQ3 2024","Currency=USD","Period=FQ","BEST_FPERIOD_OVERRIDE=FQ","FILING_STATUS=MR","Sort=A","Dates=H","DateFormat=P","Fill=—","Direction=H","UseDPDF=Y")</f>
        <v>0</v>
      </c>
      <c r="AA28" s="14">
        <f>_xll.BDH("NBIX US Equity","LT_DBT_AST_EX_OP_LEA_LIAB_AST","FQ4 2024","FQ4 2024","Currency=USD","Period=FQ","BEST_FPERIOD_OVERRIDE=FQ","FILING_STATUS=MR","Sort=A","Dates=H","DateFormat=P","Fill=—","Direction=H","UseDPDF=Y")</f>
        <v>0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1397</v>
      </c>
      <c r="B30" s="10" t="s">
        <v>1422</v>
      </c>
      <c r="C30" s="14">
        <f>_xll.BDH("NBIX US Equity","TOT_DBT_EX_OP_LEA_LIABS_TO_EQTY","FQ4 2018","FQ4 2018","Currency=USD","Period=FQ","BEST_FPERIOD_OVERRIDE=FQ","FILING_STATUS=MR","Sort=A","Dates=H","DateFormat=P","Fill=—","Direction=H","UseDPDF=Y")</f>
        <v>80.807900000000004</v>
      </c>
      <c r="D30" s="14">
        <f>_xll.BDH("NBIX US Equity","TOT_DBT_EX_OP_LEA_LIABS_TO_EQTY","FQ1 2019","FQ1 2019","Currency=USD","Period=FQ","BEST_FPERIOD_OVERRIDE=FQ","FILING_STATUS=MR","Sort=A","Dates=H","DateFormat=P","Fill=—","Direction=H","UseDPDF=Y")</f>
        <v>96.1297</v>
      </c>
      <c r="E30" s="14">
        <f>_xll.BDH("NBIX US Equity","TOT_DBT_EX_OP_LEA_LIABS_TO_EQTY","FQ2 2019","FQ2 2019","Currency=USD","Period=FQ","BEST_FPERIOD_OVERRIDE=FQ","FILING_STATUS=MR","Sort=A","Dates=H","DateFormat=P","Fill=—","Direction=H","UseDPDF=Y")</f>
        <v>82.377700000000004</v>
      </c>
      <c r="F30" s="14">
        <f>_xll.BDH("NBIX US Equity","TOT_DBT_EX_OP_LEA_LIABS_TO_EQTY","FQ3 2019","FQ3 2019","Currency=USD","Period=FQ","BEST_FPERIOD_OVERRIDE=FQ","FILING_STATUS=MR","Sort=A","Dates=H","DateFormat=P","Fill=—","Direction=H","UseDPDF=Y")</f>
        <v>70.248599999999996</v>
      </c>
      <c r="G30" s="14">
        <f>_xll.BDH("NBIX US Equity","TOT_DBT_EX_OP_LEA_LIABS_TO_EQTY","FQ4 2019","FQ4 2019","Currency=USD","Period=FQ","BEST_FPERIOD_OVERRIDE=FQ","FILING_STATUS=MR","Sort=A","Dates=H","DateFormat=P","Fill=—","Direction=H","UseDPDF=Y")</f>
        <v>64.185900000000004</v>
      </c>
      <c r="H30" s="14">
        <f>_xll.BDH("NBIX US Equity","TOT_DBT_EX_OP_LEA_LIABS_TO_EQTY","FQ1 2020","FQ1 2020","Currency=USD","Period=FQ","BEST_FPERIOD_OVERRIDE=FQ","FILING_STATUS=MR","Sort=A","Dates=H","DateFormat=P","Fill=—","Direction=H","UseDPDF=Y")</f>
        <v>59.131799999999998</v>
      </c>
      <c r="I30" s="14">
        <f>_xll.BDH("NBIX US Equity","TOT_DBT_EX_OP_LEA_LIABS_TO_EQTY","FQ2 2020","FQ2 2020","Currency=USD","Period=FQ","BEST_FPERIOD_OVERRIDE=FQ","FILING_STATUS=MR","Sort=A","Dates=H","DateFormat=P","Fill=—","Direction=H","UseDPDF=Y")</f>
        <v>50.469200000000001</v>
      </c>
      <c r="J30" s="14">
        <f>_xll.BDH("NBIX US Equity","TOT_DBT_EX_OP_LEA_LIABS_TO_EQTY","FQ3 2020","FQ3 2020","Currency=USD","Period=FQ","BEST_FPERIOD_OVERRIDE=FQ","FILING_STATUS=MR","Sort=A","Dates=H","DateFormat=P","Fill=—","Direction=H","UseDPDF=Y")</f>
        <v>52.841000000000001</v>
      </c>
      <c r="K30" s="14">
        <f>_xll.BDH("NBIX US Equity","TOT_DBT_EX_OP_LEA_LIABS_TO_EQTY","FQ4 2020","FQ4 2020","Currency=USD","Period=FQ","BEST_FPERIOD_OVERRIDE=FQ","FILING_STATUS=MR","Sort=A","Dates=H","DateFormat=P","Fill=—","Direction=H","UseDPDF=Y")</f>
        <v>28.227699999999999</v>
      </c>
      <c r="L30" s="14">
        <f>_xll.BDH("NBIX US Equity","TOT_DBT_EX_OP_LEA_LIABS_TO_EQTY","FQ1 2021","FQ1 2021","Currency=USD","Period=FQ","BEST_FPERIOD_OVERRIDE=FQ","FILING_STATUS=MR","Sort=A","Dates=H","DateFormat=P","Fill=—","Direction=H","UseDPDF=Y")</f>
        <v>26.7087</v>
      </c>
      <c r="M30" s="14">
        <f>_xll.BDH("NBIX US Equity","TOT_DBT_EX_OP_LEA_LIABS_TO_EQTY","FQ2 2021","FQ2 2021","Currency=USD","Period=FQ","BEST_FPERIOD_OVERRIDE=FQ","FILING_STATUS=MR","Sort=A","Dates=H","DateFormat=P","Fill=—","Direction=H","UseDPDF=Y")</f>
        <v>25.508099999999999</v>
      </c>
      <c r="N30" s="14">
        <f>_xll.BDH("NBIX US Equity","TOT_DBT_EX_OP_LEA_LIABS_TO_EQTY","FQ3 2021","FQ3 2021","Currency=USD","Period=FQ","BEST_FPERIOD_OVERRIDE=FQ","FILING_STATUS=MR","Sort=A","Dates=H","DateFormat=P","Fill=—","Direction=H","UseDPDF=Y")</f>
        <v>24.569099999999999</v>
      </c>
      <c r="O30" s="14">
        <f>_xll.BDH("NBIX US Equity","TOT_DBT_EX_OP_LEA_LIABS_TO_EQTY","FQ4 2021","FQ4 2021","Currency=USD","Period=FQ","BEST_FPERIOD_OVERRIDE=FQ","FILING_STATUS=MR","Sort=A","Dates=H","DateFormat=P","Fill=—","Direction=H","UseDPDF=Y")</f>
        <v>24.3886</v>
      </c>
      <c r="P30" s="14">
        <f>_xll.BDH("NBIX US Equity","TOT_DBT_EX_OP_LEA_LIABS_TO_EQTY","FQ1 2022","FQ1 2022","Currency=USD","Period=FQ","BEST_FPERIOD_OVERRIDE=FQ","FILING_STATUS=MR","Sort=A","Dates=H","DateFormat=P","Fill=—","Direction=H","UseDPDF=Y")</f>
        <v>27.151199999999999</v>
      </c>
      <c r="Q30" s="14">
        <f>_xll.BDH("NBIX US Equity","TOT_DBT_EX_OP_LEA_LIABS_TO_EQTY","FQ2 2022","FQ2 2022","Currency=USD","Period=FQ","BEST_FPERIOD_OVERRIDE=FQ","FILING_STATUS=MR","Sort=A","Dates=H","DateFormat=P","Fill=—","Direction=H","UseDPDF=Y")</f>
        <v>11.872999999999999</v>
      </c>
      <c r="R30" s="14">
        <f>_xll.BDH("NBIX US Equity","TOT_DBT_EX_OP_LEA_LIABS_TO_EQTY","FQ3 2022","FQ3 2022","Currency=USD","Period=FQ","BEST_FPERIOD_OVERRIDE=FQ","FILING_STATUS=MR","Sort=A","Dates=H","DateFormat=P","Fill=—","Direction=H","UseDPDF=Y")</f>
        <v>10.9543</v>
      </c>
      <c r="S30" s="14">
        <f>_xll.BDH("NBIX US Equity","TOT_DBT_EX_OP_LEA_LIABS_TO_EQTY","FQ4 2022","FQ4 2022","Currency=USD","Period=FQ","BEST_FPERIOD_OVERRIDE=FQ","FILING_STATUS=MR","Sort=A","Dates=H","DateFormat=P","Fill=—","Direction=H","UseDPDF=Y")</f>
        <v>9.9192</v>
      </c>
      <c r="T30" s="14">
        <f>_xll.BDH("NBIX US Equity","TOT_DBT_EX_OP_LEA_LIABS_TO_EQTY","FQ1 2023","FQ1 2023","Currency=USD","Period=FQ","BEST_FPERIOD_OVERRIDE=FQ","FILING_STATUS=MR","Sort=A","Dates=H","DateFormat=P","Fill=—","Direction=H","UseDPDF=Y")</f>
        <v>10.0623</v>
      </c>
      <c r="U30" s="14">
        <f>_xll.BDH("NBIX US Equity","TOT_DBT_EX_OP_LEA_LIABS_TO_EQTY","FQ2 2023","FQ2 2023","Currency=USD","Period=FQ","BEST_FPERIOD_OVERRIDE=FQ","FILING_STATUS=MR","Sort=A","Dates=H","DateFormat=P","Fill=—","Direction=H","UseDPDF=Y")</f>
        <v>9.1580999999999992</v>
      </c>
      <c r="V30" s="14">
        <f>_xll.BDH("NBIX US Equity","TOT_DBT_EX_OP_LEA_LIABS_TO_EQTY","FQ3 2023","FQ3 2023","Currency=USD","Period=FQ","BEST_FPERIOD_OVERRIDE=FQ","FILING_STATUS=MR","Sort=A","Dates=H","DateFormat=P","Fill=—","Direction=H","UseDPDF=Y")</f>
        <v>8.4861000000000004</v>
      </c>
      <c r="W30" s="14">
        <f>_xll.BDH("NBIX US Equity","TOT_DBT_EX_OP_LEA_LIABS_TO_EQTY","FQ4 2023","FQ4 2023","Currency=USD","Period=FQ","BEST_FPERIOD_OVERRIDE=FQ","FILING_STATUS=MR","Sort=A","Dates=H","DateFormat=P","Fill=—","Direction=H","UseDPDF=Y")</f>
        <v>7.6210000000000004</v>
      </c>
      <c r="X30" s="14">
        <f>_xll.BDH("NBIX US Equity","TOT_DBT_EX_OP_LEA_LIABS_TO_EQTY","FQ1 2024","FQ1 2024","Currency=USD","Period=FQ","BEST_FPERIOD_OVERRIDE=FQ","FILING_STATUS=MR","Sort=A","Dates=H","DateFormat=P","Fill=—","Direction=H","UseDPDF=Y")</f>
        <v>5.1464999999999996</v>
      </c>
      <c r="Y30" s="14">
        <f>_xll.BDH("NBIX US Equity","TOT_DBT_EX_OP_LEA_LIABS_TO_EQTY","FQ2 2024","FQ2 2024","Currency=USD","Period=FQ","BEST_FPERIOD_OVERRIDE=FQ","FILING_STATUS=MR","Sort=A","Dates=H","DateFormat=P","Fill=—","Direction=H","UseDPDF=Y")</f>
        <v>0</v>
      </c>
      <c r="Z30" s="14">
        <f>_xll.BDH("NBIX US Equity","TOT_DBT_EX_OP_LEA_LIABS_TO_EQTY","FQ3 2024","FQ3 2024","Currency=USD","Period=FQ","BEST_FPERIOD_OVERRIDE=FQ","FILING_STATUS=MR","Sort=A","Dates=H","DateFormat=P","Fill=—","Direction=H","UseDPDF=Y")</f>
        <v>0</v>
      </c>
      <c r="AA30" s="14">
        <f>_xll.BDH("NBIX US Equity","TOT_DBT_EX_OP_LEA_LIABS_TO_EQTY","FQ4 2024","FQ4 2024","Currency=USD","Period=FQ","BEST_FPERIOD_OVERRIDE=FQ","FILING_STATUS=MR","Sort=A","Dates=H","DateFormat=P","Fill=—","Direction=H","UseDPDF=Y")</f>
        <v>0</v>
      </c>
    </row>
    <row r="31" spans="1:27" x14ac:dyDescent="0.25">
      <c r="A31" s="10" t="s">
        <v>1399</v>
      </c>
      <c r="B31" s="10" t="s">
        <v>299</v>
      </c>
      <c r="C31" s="14">
        <f>_xll.BDH("NBIX US Equity","TOT_DBT_TO_CPTL_EX_OP_LEA_LIABS","FQ4 2018","FQ4 2018","Currency=USD","Period=FQ","BEST_FPERIOD_OVERRIDE=FQ","FILING_STATUS=MR","Sort=A","Dates=H","DateFormat=P","Fill=—","Direction=H","UseDPDF=Y")</f>
        <v>44.692700000000002</v>
      </c>
      <c r="D31" s="14">
        <f>_xll.BDH("NBIX US Equity","TOT_DBT_TO_CPTL_EX_OP_LEA_LIABS","FQ1 2019","FQ1 2019","Currency=USD","Period=FQ","BEST_FPERIOD_OVERRIDE=FQ","FILING_STATUS=MR","Sort=A","Dates=H","DateFormat=P","Fill=—","Direction=H","UseDPDF=Y")</f>
        <v>49.013300000000001</v>
      </c>
      <c r="E31" s="14">
        <f>_xll.BDH("NBIX US Equity","TOT_DBT_TO_CPTL_EX_OP_LEA_LIABS","FQ2 2019","FQ2 2019","Currency=USD","Period=FQ","BEST_FPERIOD_OVERRIDE=FQ","FILING_STATUS=MR","Sort=A","Dates=H","DateFormat=P","Fill=—","Direction=H","UseDPDF=Y")</f>
        <v>45.168700000000001</v>
      </c>
      <c r="F31" s="14">
        <f>_xll.BDH("NBIX US Equity","TOT_DBT_TO_CPTL_EX_OP_LEA_LIABS","FQ3 2019","FQ3 2019","Currency=USD","Period=FQ","BEST_FPERIOD_OVERRIDE=FQ","FILING_STATUS=MR","Sort=A","Dates=H","DateFormat=P","Fill=—","Direction=H","UseDPDF=Y")</f>
        <v>41.2624</v>
      </c>
      <c r="G31" s="14">
        <f>_xll.BDH("NBIX US Equity","TOT_DBT_TO_CPTL_EX_OP_LEA_LIABS","FQ4 2019","FQ4 2019","Currency=USD","Period=FQ","BEST_FPERIOD_OVERRIDE=FQ","FILING_STATUS=MR","Sort=A","Dates=H","DateFormat=P","Fill=—","Direction=H","UseDPDF=Y")</f>
        <v>39.093400000000003</v>
      </c>
      <c r="H31" s="14">
        <f>_xll.BDH("NBIX US Equity","TOT_DBT_TO_CPTL_EX_OP_LEA_LIABS","FQ1 2020","FQ1 2020","Currency=USD","Period=FQ","BEST_FPERIOD_OVERRIDE=FQ","FILING_STATUS=MR","Sort=A","Dates=H","DateFormat=P","Fill=—","Direction=H","UseDPDF=Y")</f>
        <v>37.158999999999999</v>
      </c>
      <c r="I31" s="14">
        <f>_xll.BDH("NBIX US Equity","TOT_DBT_TO_CPTL_EX_OP_LEA_LIABS","FQ2 2020","FQ2 2020","Currency=USD","Period=FQ","BEST_FPERIOD_OVERRIDE=FQ","FILING_STATUS=MR","Sort=A","Dates=H","DateFormat=P","Fill=—","Direction=H","UseDPDF=Y")</f>
        <v>33.541200000000003</v>
      </c>
      <c r="J31" s="14">
        <f>_xll.BDH("NBIX US Equity","TOT_DBT_TO_CPTL_EX_OP_LEA_LIABS","FQ3 2020","FQ3 2020","Currency=USD","Period=FQ","BEST_FPERIOD_OVERRIDE=FQ","FILING_STATUS=MR","Sort=A","Dates=H","DateFormat=P","Fill=—","Direction=H","UseDPDF=Y")</f>
        <v>34.572499999999998</v>
      </c>
      <c r="K31" s="14">
        <f>_xll.BDH("NBIX US Equity","TOT_DBT_TO_CPTL_EX_OP_LEA_LIABS","FQ4 2020","FQ4 2020","Currency=USD","Period=FQ","BEST_FPERIOD_OVERRIDE=FQ","FILING_STATUS=MR","Sort=A","Dates=H","DateFormat=P","Fill=—","Direction=H","UseDPDF=Y")</f>
        <v>22.0137</v>
      </c>
      <c r="L31" s="14">
        <f>_xll.BDH("NBIX US Equity","TOT_DBT_TO_CPTL_EX_OP_LEA_LIABS","FQ1 2021","FQ1 2021","Currency=USD","Period=FQ","BEST_FPERIOD_OVERRIDE=FQ","FILING_STATUS=MR","Sort=A","Dates=H","DateFormat=P","Fill=—","Direction=H","UseDPDF=Y")</f>
        <v>21.078800000000001</v>
      </c>
      <c r="M31" s="14">
        <f>_xll.BDH("NBIX US Equity","TOT_DBT_TO_CPTL_EX_OP_LEA_LIABS","FQ2 2021","FQ2 2021","Currency=USD","Period=FQ","BEST_FPERIOD_OVERRIDE=FQ","FILING_STATUS=MR","Sort=A","Dates=H","DateFormat=P","Fill=—","Direction=H","UseDPDF=Y")</f>
        <v>20.323899999999998</v>
      </c>
      <c r="N31" s="14">
        <f>_xll.BDH("NBIX US Equity","TOT_DBT_TO_CPTL_EX_OP_LEA_LIABS","FQ3 2021","FQ3 2021","Currency=USD","Period=FQ","BEST_FPERIOD_OVERRIDE=FQ","FILING_STATUS=MR","Sort=A","Dates=H","DateFormat=P","Fill=—","Direction=H","UseDPDF=Y")</f>
        <v>19.723299999999998</v>
      </c>
      <c r="O31" s="14">
        <f>_xll.BDH("NBIX US Equity","TOT_DBT_TO_CPTL_EX_OP_LEA_LIABS","FQ4 2021","FQ4 2021","Currency=USD","Period=FQ","BEST_FPERIOD_OVERRIDE=FQ","FILING_STATUS=MR","Sort=A","Dates=H","DateFormat=P","Fill=—","Direction=H","UseDPDF=Y")</f>
        <v>19.6068</v>
      </c>
      <c r="P31" s="14">
        <f>_xll.BDH("NBIX US Equity","TOT_DBT_TO_CPTL_EX_OP_LEA_LIABS","FQ1 2022","FQ1 2022","Currency=USD","Period=FQ","BEST_FPERIOD_OVERRIDE=FQ","FILING_STATUS=MR","Sort=A","Dates=H","DateFormat=P","Fill=—","Direction=H","UseDPDF=Y")</f>
        <v>21.3535</v>
      </c>
      <c r="Q31" s="14">
        <f>_xll.BDH("NBIX US Equity","TOT_DBT_TO_CPTL_EX_OP_LEA_LIABS","FQ2 2022","FQ2 2022","Currency=USD","Period=FQ","BEST_FPERIOD_OVERRIDE=FQ","FILING_STATUS=MR","Sort=A","Dates=H","DateFormat=P","Fill=—","Direction=H","UseDPDF=Y")</f>
        <v>10.6129</v>
      </c>
      <c r="R31" s="14">
        <f>_xll.BDH("NBIX US Equity","TOT_DBT_TO_CPTL_EX_OP_LEA_LIABS","FQ3 2022","FQ3 2022","Currency=USD","Period=FQ","BEST_FPERIOD_OVERRIDE=FQ","FILING_STATUS=MR","Sort=A","Dates=H","DateFormat=P","Fill=—","Direction=H","UseDPDF=Y")</f>
        <v>9.8727999999999998</v>
      </c>
      <c r="S31" s="14">
        <f>_xll.BDH("NBIX US Equity","TOT_DBT_TO_CPTL_EX_OP_LEA_LIABS","FQ4 2022","FQ4 2022","Currency=USD","Period=FQ","BEST_FPERIOD_OVERRIDE=FQ","FILING_STATUS=MR","Sort=A","Dates=H","DateFormat=P","Fill=—","Direction=H","UseDPDF=Y")</f>
        <v>9.0241000000000007</v>
      </c>
      <c r="T31" s="14">
        <f>_xll.BDH("NBIX US Equity","TOT_DBT_TO_CPTL_EX_OP_LEA_LIABS","FQ1 2023","FQ1 2023","Currency=USD","Period=FQ","BEST_FPERIOD_OVERRIDE=FQ","FILING_STATUS=MR","Sort=A","Dates=H","DateFormat=P","Fill=—","Direction=H","UseDPDF=Y")</f>
        <v>9.1424000000000003</v>
      </c>
      <c r="U31" s="14">
        <f>_xll.BDH("NBIX US Equity","TOT_DBT_TO_CPTL_EX_OP_LEA_LIABS","FQ2 2023","FQ2 2023","Currency=USD","Period=FQ","BEST_FPERIOD_OVERRIDE=FQ","FILING_STATUS=MR","Sort=A","Dates=H","DateFormat=P","Fill=—","Direction=H","UseDPDF=Y")</f>
        <v>8.3897999999999993</v>
      </c>
      <c r="V31" s="14">
        <f>_xll.BDH("NBIX US Equity","TOT_DBT_TO_CPTL_EX_OP_LEA_LIABS","FQ3 2023","FQ3 2023","Currency=USD","Period=FQ","BEST_FPERIOD_OVERRIDE=FQ","FILING_STATUS=MR","Sort=A","Dates=H","DateFormat=P","Fill=—","Direction=H","UseDPDF=Y")</f>
        <v>7.8223000000000003</v>
      </c>
      <c r="W31" s="14">
        <f>_xll.BDH("NBIX US Equity","TOT_DBT_TO_CPTL_EX_OP_LEA_LIABS","FQ4 2023","FQ4 2023","Currency=USD","Period=FQ","BEST_FPERIOD_OVERRIDE=FQ","FILING_STATUS=MR","Sort=A","Dates=H","DateFormat=P","Fill=—","Direction=H","UseDPDF=Y")</f>
        <v>7.0812999999999997</v>
      </c>
      <c r="X31" s="14">
        <f>_xll.BDH("NBIX US Equity","TOT_DBT_TO_CPTL_EX_OP_LEA_LIABS","FQ1 2024","FQ1 2024","Currency=USD","Period=FQ","BEST_FPERIOD_OVERRIDE=FQ","FILING_STATUS=MR","Sort=A","Dates=H","DateFormat=P","Fill=—","Direction=H","UseDPDF=Y")</f>
        <v>4.8945999999999996</v>
      </c>
      <c r="Y31" s="14">
        <f>_xll.BDH("NBIX US Equity","TOT_DBT_TO_CPTL_EX_OP_LEA_LIABS","FQ2 2024","FQ2 2024","Currency=USD","Period=FQ","BEST_FPERIOD_OVERRIDE=FQ","FILING_STATUS=MR","Sort=A","Dates=H","DateFormat=P","Fill=—","Direction=H","UseDPDF=Y")</f>
        <v>0</v>
      </c>
      <c r="Z31" s="14">
        <f>_xll.BDH("NBIX US Equity","TOT_DBT_TO_CPTL_EX_OP_LEA_LIABS","FQ3 2024","FQ3 2024","Currency=USD","Period=FQ","BEST_FPERIOD_OVERRIDE=FQ","FILING_STATUS=MR","Sort=A","Dates=H","DateFormat=P","Fill=—","Direction=H","UseDPDF=Y")</f>
        <v>0</v>
      </c>
      <c r="AA31" s="14">
        <f>_xll.BDH("NBIX US Equity","TOT_DBT_TO_CPTL_EX_OP_LEA_LIABS","FQ4 2024","FQ4 2024","Currency=USD","Period=FQ","BEST_FPERIOD_OVERRIDE=FQ","FILING_STATUS=MR","Sort=A","Dates=H","DateFormat=P","Fill=—","Direction=H","UseDPDF=Y")</f>
        <v>0</v>
      </c>
    </row>
    <row r="32" spans="1:27" x14ac:dyDescent="0.25">
      <c r="A32" s="10" t="s">
        <v>1400</v>
      </c>
      <c r="B32" s="10" t="s">
        <v>1423</v>
      </c>
      <c r="C32" s="14">
        <f>_xll.BDH("NBIX US Equity","TOT_DBT_AST_EX_OP_LEA_LIAB_AST","FQ4 2018","FQ4 2018","Currency=USD","Period=FQ","BEST_FPERIOD_OVERRIDE=FQ","FILING_STATUS=MR","Sort=A","Dates=H","DateFormat=P","Fill=—","Direction=H","UseDPDF=Y")</f>
        <v>39.1175</v>
      </c>
      <c r="D32" s="14">
        <f>_xll.BDH("NBIX US Equity","TOT_DBT_AST_EX_OP_LEA_LIAB_AST","FQ1 2019","FQ1 2019","Currency=USD","Period=FQ","BEST_FPERIOD_OVERRIDE=FQ","FILING_STATUS=MR","Sort=A","Dates=H","DateFormat=P","Fill=—","Direction=H","UseDPDF=Y")</f>
        <v>43.309899999999999</v>
      </c>
      <c r="E32" s="14">
        <f>_xll.BDH("NBIX US Equity","TOT_DBT_AST_EX_OP_LEA_LIAB_AST","FQ2 2019","FQ2 2019","Currency=USD","Period=FQ","BEST_FPERIOD_OVERRIDE=FQ","FILING_STATUS=MR","Sort=A","Dates=H","DateFormat=P","Fill=—","Direction=H","UseDPDF=Y")</f>
        <v>39.150700000000001</v>
      </c>
      <c r="F32" s="14">
        <f>_xll.BDH("NBIX US Equity","TOT_DBT_AST_EX_OP_LEA_LIAB_AST","FQ3 2019","FQ3 2019","Currency=USD","Period=FQ","BEST_FPERIOD_OVERRIDE=FQ","FILING_STATUS=MR","Sort=A","Dates=H","DateFormat=P","Fill=—","Direction=H","UseDPDF=Y")</f>
        <v>36.100900000000003</v>
      </c>
      <c r="G32" s="14">
        <f>_xll.BDH("NBIX US Equity","TOT_DBT_AST_EX_OP_LEA_LIAB_AST","FQ4 2019","FQ4 2019","Currency=USD","Period=FQ","BEST_FPERIOD_OVERRIDE=FQ","FILING_STATUS=MR","Sort=A","Dates=H","DateFormat=P","Fill=—","Direction=H","UseDPDF=Y")</f>
        <v>33.189900000000002</v>
      </c>
      <c r="H32" s="14">
        <f>_xll.BDH("NBIX US Equity","TOT_DBT_AST_EX_OP_LEA_LIAB_AST","FQ1 2020","FQ1 2020","Currency=USD","Period=FQ","BEST_FPERIOD_OVERRIDE=FQ","FILING_STATUS=MR","Sort=A","Dates=H","DateFormat=P","Fill=—","Direction=H","UseDPDF=Y")</f>
        <v>32.1357</v>
      </c>
      <c r="I32" s="14">
        <f>_xll.BDH("NBIX US Equity","TOT_DBT_AST_EX_OP_LEA_LIAB_AST","FQ2 2020","FQ2 2020","Currency=USD","Period=FQ","BEST_FPERIOD_OVERRIDE=FQ","FILING_STATUS=MR","Sort=A","Dates=H","DateFormat=P","Fill=—","Direction=H","UseDPDF=Y")</f>
        <v>29.061299999999999</v>
      </c>
      <c r="J32" s="14">
        <f>_xll.BDH("NBIX US Equity","TOT_DBT_AST_EX_OP_LEA_LIAB_AST","FQ3 2020","FQ3 2020","Currency=USD","Period=FQ","BEST_FPERIOD_OVERRIDE=FQ","FILING_STATUS=MR","Sort=A","Dates=H","DateFormat=P","Fill=—","Direction=H","UseDPDF=Y")</f>
        <v>29.687100000000001</v>
      </c>
      <c r="K32" s="14">
        <f>_xll.BDH("NBIX US Equity","TOT_DBT_AST_EX_OP_LEA_LIAB_AST","FQ4 2020","FQ4 2020","Currency=USD","Period=FQ","BEST_FPERIOD_OVERRIDE=FQ","FILING_STATUS=MR","Sort=A","Dates=H","DateFormat=P","Fill=—","Direction=H","UseDPDF=Y")</f>
        <v>19.244499999999999</v>
      </c>
      <c r="L32" s="14">
        <f>_xll.BDH("NBIX US Equity","TOT_DBT_AST_EX_OP_LEA_LIAB_AST","FQ1 2021","FQ1 2021","Currency=USD","Period=FQ","BEST_FPERIOD_OVERRIDE=FQ","FILING_STATUS=MR","Sort=A","Dates=H","DateFormat=P","Fill=—","Direction=H","UseDPDF=Y")</f>
        <v>18.406300000000002</v>
      </c>
      <c r="M32" s="14">
        <f>_xll.BDH("NBIX US Equity","TOT_DBT_AST_EX_OP_LEA_LIAB_AST","FQ2 2021","FQ2 2021","Currency=USD","Period=FQ","BEST_FPERIOD_OVERRIDE=FQ","FILING_STATUS=MR","Sort=A","Dates=H","DateFormat=P","Fill=—","Direction=H","UseDPDF=Y")</f>
        <v>17.579899999999999</v>
      </c>
      <c r="N32" s="14">
        <f>_xll.BDH("NBIX US Equity","TOT_DBT_AST_EX_OP_LEA_LIAB_AST","FQ3 2021","FQ3 2021","Currency=USD","Period=FQ","BEST_FPERIOD_OVERRIDE=FQ","FILING_STATUS=MR","Sort=A","Dates=H","DateFormat=P","Fill=—","Direction=H","UseDPDF=Y")</f>
        <v>17.229299999999999</v>
      </c>
      <c r="O32" s="14">
        <f>_xll.BDH("NBIX US Equity","TOT_DBT_AST_EX_OP_LEA_LIAB_AST","FQ4 2021","FQ4 2021","Currency=USD","Period=FQ","BEST_FPERIOD_OVERRIDE=FQ","FILING_STATUS=MR","Sort=A","Dates=H","DateFormat=P","Fill=—","Direction=H","UseDPDF=Y")</f>
        <v>16.964500000000001</v>
      </c>
      <c r="P32" s="14">
        <f>_xll.BDH("NBIX US Equity","TOT_DBT_AST_EX_OP_LEA_LIAB_AST","FQ1 2022","FQ1 2022","Currency=USD","Period=FQ","BEST_FPERIOD_OVERRIDE=FQ","FILING_STATUS=MR","Sort=A","Dates=H","DateFormat=P","Fill=—","Direction=H","UseDPDF=Y")</f>
        <v>18.426200000000001</v>
      </c>
      <c r="Q32" s="14">
        <f>_xll.BDH("NBIX US Equity","TOT_DBT_AST_EX_OP_LEA_LIAB_AST","FQ2 2022","FQ2 2022","Currency=USD","Period=FQ","BEST_FPERIOD_OVERRIDE=FQ","FILING_STATUS=MR","Sort=A","Dates=H","DateFormat=P","Fill=—","Direction=H","UseDPDF=Y")</f>
        <v>8.8320000000000007</v>
      </c>
      <c r="R32" s="14">
        <f>_xll.BDH("NBIX US Equity","TOT_DBT_AST_EX_OP_LEA_LIAB_AST","FQ3 2022","FQ3 2022","Currency=USD","Period=FQ","BEST_FPERIOD_OVERRIDE=FQ","FILING_STATUS=MR","Sort=A","Dates=H","DateFormat=P","Fill=—","Direction=H","UseDPDF=Y")</f>
        <v>8.2384000000000004</v>
      </c>
      <c r="S32" s="14">
        <f>_xll.BDH("NBIX US Equity","TOT_DBT_AST_EX_OP_LEA_LIAB_AST","FQ4 2022","FQ4 2022","Currency=USD","Period=FQ","BEST_FPERIOD_OVERRIDE=FQ","FILING_STATUS=MR","Sort=A","Dates=H","DateFormat=P","Fill=—","Direction=H","UseDPDF=Y")</f>
        <v>7.4242999999999997</v>
      </c>
      <c r="T32" s="14">
        <f>_xll.BDH("NBIX US Equity","TOT_DBT_AST_EX_OP_LEA_LIAB_AST","FQ1 2023","FQ1 2023","Currency=USD","Period=FQ","BEST_FPERIOD_OVERRIDE=FQ","FILING_STATUS=MR","Sort=A","Dates=H","DateFormat=P","Fill=—","Direction=H","UseDPDF=Y")</f>
        <v>7.4492000000000003</v>
      </c>
      <c r="U32" s="14">
        <f>_xll.BDH("NBIX US Equity","TOT_DBT_AST_EX_OP_LEA_LIAB_AST","FQ2 2023","FQ2 2023","Currency=USD","Period=FQ","BEST_FPERIOD_OVERRIDE=FQ","FILING_STATUS=MR","Sort=A","Dates=H","DateFormat=P","Fill=—","Direction=H","UseDPDF=Y")</f>
        <v>6.7085999999999997</v>
      </c>
      <c r="V32" s="14">
        <f>_xll.BDH("NBIX US Equity","TOT_DBT_AST_EX_OP_LEA_LIAB_AST","FQ3 2023","FQ3 2023","Currency=USD","Period=FQ","BEST_FPERIOD_OVERRIDE=FQ","FILING_STATUS=MR","Sort=A","Dates=H","DateFormat=P","Fill=—","Direction=H","UseDPDF=Y")</f>
        <v>6.1393000000000004</v>
      </c>
      <c r="W32" s="14">
        <f>_xll.BDH("NBIX US Equity","TOT_DBT_AST_EX_OP_LEA_LIAB_AST","FQ4 2023","FQ4 2023","Currency=USD","Period=FQ","BEST_FPERIOD_OVERRIDE=FQ","FILING_STATUS=MR","Sort=A","Dates=H","DateFormat=P","Fill=—","Direction=H","UseDPDF=Y")</f>
        <v>5.7178000000000004</v>
      </c>
      <c r="X32" s="14">
        <f>_xll.BDH("NBIX US Equity","TOT_DBT_AST_EX_OP_LEA_LIAB_AST","FQ1 2024","FQ1 2024","Currency=USD","Period=FQ","BEST_FPERIOD_OVERRIDE=FQ","FILING_STATUS=MR","Sort=A","Dates=H","DateFormat=P","Fill=—","Direction=H","UseDPDF=Y")</f>
        <v>3.8355999999999999</v>
      </c>
      <c r="Y32" s="14">
        <f>_xll.BDH("NBIX US Equity","TOT_DBT_AST_EX_OP_LEA_LIAB_AST","FQ2 2024","FQ2 2024","Currency=USD","Period=FQ","BEST_FPERIOD_OVERRIDE=FQ","FILING_STATUS=MR","Sort=A","Dates=H","DateFormat=P","Fill=—","Direction=H","UseDPDF=Y")</f>
        <v>0</v>
      </c>
      <c r="Z32" s="14">
        <f>_xll.BDH("NBIX US Equity","TOT_DBT_AST_EX_OP_LEA_LIAB_AST","FQ3 2024","FQ3 2024","Currency=USD","Period=FQ","BEST_FPERIOD_OVERRIDE=FQ","FILING_STATUS=MR","Sort=A","Dates=H","DateFormat=P","Fill=—","Direction=H","UseDPDF=Y")</f>
        <v>0</v>
      </c>
      <c r="AA32" s="14">
        <f>_xll.BDH("NBIX US Equity","TOT_DBT_AST_EX_OP_LEA_LIAB_AST","FQ4 2024","FQ4 2024","Currency=USD","Period=FQ","BEST_FPERIOD_OVERRIDE=FQ","FILING_STATUS=MR","Sort=A","Dates=H","DateFormat=P","Fill=—","Direction=H","UseDPDF=Y")</f>
        <v>0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1402</v>
      </c>
      <c r="B34" s="10" t="s">
        <v>1424</v>
      </c>
      <c r="C34" s="14">
        <f>_xll.BDH("NBIX US Equity","NET_DBT_EX_OPER_LEA_LIABS_EQTY","FQ4 2018","FQ4 2018","Currency=USD","Period=FQ","BEST_FPERIOD_OVERRIDE=FQ","FILING_STATUS=MR","Sort=A","Dates=H","DateFormat=P","Fill=—","Direction=H","UseDPDF=Y")</f>
        <v>-54.583199999999998</v>
      </c>
      <c r="D34" s="14">
        <f>_xll.BDH("NBIX US Equity","NET_DBT_EX_OPER_LEA_LIABS_EQTY","FQ1 2019","FQ1 2019","Currency=USD","Period=FQ","BEST_FPERIOD_OVERRIDE=FQ","FILING_STATUS=MR","Sort=A","Dates=H","DateFormat=P","Fill=—","Direction=H","UseDPDF=Y")</f>
        <v>-31.918099999999999</v>
      </c>
      <c r="E34" s="14">
        <f>_xll.BDH("NBIX US Equity","NET_DBT_EX_OPER_LEA_LIABS_EQTY","FQ2 2019","FQ2 2019","Currency=USD","Period=FQ","BEST_FPERIOD_OVERRIDE=FQ","FILING_STATUS=MR","Sort=A","Dates=H","DateFormat=P","Fill=—","Direction=H","UseDPDF=Y")</f>
        <v>-45.794800000000002</v>
      </c>
      <c r="F34" s="14">
        <f>_xll.BDH("NBIX US Equity","NET_DBT_EX_OPER_LEA_LIABS_EQTY","FQ3 2019","FQ3 2019","Currency=USD","Period=FQ","BEST_FPERIOD_OVERRIDE=FQ","FILING_STATUS=MR","Sort=A","Dates=H","DateFormat=P","Fill=—","Direction=H","UseDPDF=Y")</f>
        <v>-46.399700000000003</v>
      </c>
      <c r="G34" s="14">
        <f>_xll.BDH("NBIX US Equity","NET_DBT_EX_OPER_LEA_LIABS_EQTY","FQ4 2019","FQ4 2019","Currency=USD","Period=FQ","BEST_FPERIOD_OVERRIDE=FQ","FILING_STATUS=MR","Sort=A","Dates=H","DateFormat=P","Fill=—","Direction=H","UseDPDF=Y")</f>
        <v>-41.089700000000001</v>
      </c>
      <c r="H34" s="14">
        <f>_xll.BDH("NBIX US Equity","NET_DBT_EX_OPER_LEA_LIABS_EQTY","FQ1 2020","FQ1 2020","Currency=USD","Period=FQ","BEST_FPERIOD_OVERRIDE=FQ","FILING_STATUS=MR","Sort=A","Dates=H","DateFormat=P","Fill=—","Direction=H","UseDPDF=Y")</f>
        <v>-51.063800000000001</v>
      </c>
      <c r="I34" s="14">
        <f>_xll.BDH("NBIX US Equity","NET_DBT_EX_OPER_LEA_LIABS_EQTY","FQ2 2020","FQ2 2020","Currency=USD","Period=FQ","BEST_FPERIOD_OVERRIDE=FQ","FILING_STATUS=MR","Sort=A","Dates=H","DateFormat=P","Fill=—","Direction=H","UseDPDF=Y")</f>
        <v>-63.618899999999996</v>
      </c>
      <c r="J34" s="14">
        <f>_xll.BDH("NBIX US Equity","NET_DBT_EX_OPER_LEA_LIABS_EQTY","FQ3 2020","FQ3 2020","Currency=USD","Period=FQ","BEST_FPERIOD_OVERRIDE=FQ","FILING_STATUS=MR","Sort=A","Dates=H","DateFormat=P","Fill=—","Direction=H","UseDPDF=Y")</f>
        <v>-64.615200000000002</v>
      </c>
      <c r="K34" s="14">
        <f>_xll.BDH("NBIX US Equity","NET_DBT_EX_OPER_LEA_LIABS_EQTY","FQ4 2020","FQ4 2020","Currency=USD","Period=FQ","BEST_FPERIOD_OVERRIDE=FQ","FILING_STATUS=MR","Sort=A","Dates=H","DateFormat=P","Fill=—","Direction=H","UseDPDF=Y")</f>
        <v>-42.896500000000003</v>
      </c>
      <c r="L34" s="14">
        <f>_xll.BDH("NBIX US Equity","NET_DBT_EX_OPER_LEA_LIABS_EQTY","FQ1 2021","FQ1 2021","Currency=USD","Period=FQ","BEST_FPERIOD_OVERRIDE=FQ","FILING_STATUS=MR","Sort=A","Dates=H","DateFormat=P","Fill=—","Direction=H","UseDPDF=Y")</f>
        <v>-45.761400000000002</v>
      </c>
      <c r="M34" s="14">
        <f>_xll.BDH("NBIX US Equity","NET_DBT_EX_OPER_LEA_LIABS_EQTY","FQ2 2021","FQ2 2021","Currency=USD","Period=FQ","BEST_FPERIOD_OVERRIDE=FQ","FILING_STATUS=MR","Sort=A","Dates=H","DateFormat=P","Fill=—","Direction=H","UseDPDF=Y")</f>
        <v>-43.667900000000003</v>
      </c>
      <c r="N34" s="14">
        <f>_xll.BDH("NBIX US Equity","NET_DBT_EX_OPER_LEA_LIABS_EQTY","FQ3 2021","FQ3 2021","Currency=USD","Period=FQ","BEST_FPERIOD_OVERRIDE=FQ","FILING_STATUS=MR","Sort=A","Dates=H","DateFormat=P","Fill=—","Direction=H","UseDPDF=Y")</f>
        <v>-32.332799999999999</v>
      </c>
      <c r="O34" s="14">
        <f>_xll.BDH("NBIX US Equity","NET_DBT_EX_OPER_LEA_LIABS_EQTY","FQ4 2021","FQ4 2021","Currency=USD","Period=FQ","BEST_FPERIOD_OVERRIDE=FQ","FILING_STATUS=MR","Sort=A","Dates=H","DateFormat=P","Fill=—","Direction=H","UseDPDF=Y")</f>
        <v>-27.379899999999999</v>
      </c>
      <c r="P34" s="14">
        <f>_xll.BDH("NBIX US Equity","NET_DBT_EX_OPER_LEA_LIABS_EQTY","FQ1 2022","FQ1 2022","Currency=USD","Period=FQ","BEST_FPERIOD_OVERRIDE=FQ","FILING_STATUS=MR","Sort=A","Dates=H","DateFormat=P","Fill=—","Direction=H","UseDPDF=Y")</f>
        <v>-20.645499999999998</v>
      </c>
      <c r="Q34" s="14">
        <f>_xll.BDH("NBIX US Equity","NET_DBT_EX_OPER_LEA_LIABS_EQTY","FQ2 2022","FQ2 2022","Currency=USD","Period=FQ","BEST_FPERIOD_OVERRIDE=FQ","FILING_STATUS=MR","Sort=A","Dates=H","DateFormat=P","Fill=—","Direction=H","UseDPDF=Y")</f>
        <v>-33.672899999999998</v>
      </c>
      <c r="R34" s="14">
        <f>_xll.BDH("NBIX US Equity","NET_DBT_EX_OPER_LEA_LIABS_EQTY","FQ3 2022","FQ3 2022","Currency=USD","Period=FQ","BEST_FPERIOD_OVERRIDE=FQ","FILING_STATUS=MR","Sort=A","Dates=H","DateFormat=P","Fill=—","Direction=H","UseDPDF=Y")</f>
        <v>-40.800199999999997</v>
      </c>
      <c r="S34" s="14">
        <f>_xll.BDH("NBIX US Equity","NET_DBT_EX_OPER_LEA_LIABS_EQTY","FQ4 2022","FQ4 2022","Currency=USD","Period=FQ","BEST_FPERIOD_OVERRIDE=FQ","FILING_STATUS=MR","Sort=A","Dates=H","DateFormat=P","Fill=—","Direction=H","UseDPDF=Y")</f>
        <v>-48.009099999999997</v>
      </c>
      <c r="T34" s="14">
        <f>_xll.BDH("NBIX US Equity","NET_DBT_EX_OPER_LEA_LIABS_EQTY","FQ1 2023","FQ1 2023","Currency=USD","Period=FQ","BEST_FPERIOD_OVERRIDE=FQ","FILING_STATUS=MR","Sort=A","Dates=H","DateFormat=P","Fill=—","Direction=H","UseDPDF=Y")</f>
        <v>-43.045400000000001</v>
      </c>
      <c r="U34" s="14">
        <f>_xll.BDH("NBIX US Equity","NET_DBT_EX_OPER_LEA_LIABS_EQTY","FQ2 2023","FQ2 2023","Currency=USD","Period=FQ","BEST_FPERIOD_OVERRIDE=FQ","FILING_STATUS=MR","Sort=A","Dates=H","DateFormat=P","Fill=—","Direction=H","UseDPDF=Y")</f>
        <v>-43.551000000000002</v>
      </c>
      <c r="V34" s="14">
        <f>_xll.BDH("NBIX US Equity","NET_DBT_EX_OPER_LEA_LIABS_EQTY","FQ3 2023","FQ3 2023","Currency=USD","Period=FQ","BEST_FPERIOD_OVERRIDE=FQ","FILING_STATUS=MR","Sort=A","Dates=H","DateFormat=P","Fill=—","Direction=H","UseDPDF=Y")</f>
        <v>-46.211500000000001</v>
      </c>
      <c r="W34" s="14">
        <f>_xll.BDH("NBIX US Equity","NET_DBT_EX_OPER_LEA_LIABS_EQTY","FQ4 2023","FQ4 2023","Currency=USD","Period=FQ","BEST_FPERIOD_OVERRIDE=FQ","FILING_STATUS=MR","Sort=A","Dates=H","DateFormat=P","Fill=—","Direction=H","UseDPDF=Y")</f>
        <v>-38.597700000000003</v>
      </c>
      <c r="X34" s="14">
        <f>_xll.BDH("NBIX US Equity","NET_DBT_EX_OPER_LEA_LIABS_EQTY","FQ1 2024","FQ1 2024","Currency=USD","Period=FQ","BEST_FPERIOD_OVERRIDE=FQ","FILING_STATUS=MR","Sort=A","Dates=H","DateFormat=P","Fill=—","Direction=H","UseDPDF=Y")</f>
        <v>-45.588999999999999</v>
      </c>
      <c r="Y34" s="14">
        <f>_xll.BDH("NBIX US Equity","NET_DBT_EX_OPER_LEA_LIABS_EQTY","FQ2 2024","FQ2 2024","Currency=USD","Period=FQ","BEST_FPERIOD_OVERRIDE=FQ","FILING_STATUS=MR","Sort=A","Dates=H","DateFormat=P","Fill=—","Direction=H","UseDPDF=Y")</f>
        <v>-41.403599999999997</v>
      </c>
      <c r="Z34" s="14">
        <f>_xll.BDH("NBIX US Equity","NET_DBT_EX_OPER_LEA_LIABS_EQTY","FQ3 2024","FQ3 2024","Currency=USD","Period=FQ","BEST_FPERIOD_OVERRIDE=FQ","FILING_STATUS=MR","Sort=A","Dates=H","DateFormat=P","Fill=—","Direction=H","UseDPDF=Y")</f>
        <v>-45.165300000000002</v>
      </c>
      <c r="AA34" s="14">
        <f>_xll.BDH("NBIX US Equity","NET_DBT_EX_OPER_LEA_LIABS_EQTY","FQ4 2024","FQ4 2024","Currency=USD","Period=FQ","BEST_FPERIOD_OVERRIDE=FQ","FILING_STATUS=MR","Sort=A","Dates=H","DateFormat=P","Fill=—","Direction=H","UseDPDF=Y")</f>
        <v>-41.553100000000001</v>
      </c>
    </row>
    <row r="35" spans="1:27" x14ac:dyDescent="0.25">
      <c r="A35" s="10" t="s">
        <v>1403</v>
      </c>
      <c r="B35" s="10" t="s">
        <v>1425</v>
      </c>
      <c r="C35" s="14">
        <f>_xll.BDH("NBIX US Equity","NET_DBT_CPTL_EX_OPER_LEA_LIABS","FQ4 2018","FQ4 2018","Currency=USD","Period=FQ","BEST_FPERIOD_OVERRIDE=FQ","FILING_STATUS=MR","Sort=A","Dates=H","DateFormat=P","Fill=—","Direction=H","UseDPDF=Y")</f>
        <v>-120.1829</v>
      </c>
      <c r="D35" s="14">
        <f>_xll.BDH("NBIX US Equity","NET_DBT_CPTL_EX_OPER_LEA_LIABS","FQ1 2019","FQ1 2019","Currency=USD","Period=FQ","BEST_FPERIOD_OVERRIDE=FQ","FILING_STATUS=MR","Sort=A","Dates=H","DateFormat=P","Fill=—","Direction=H","UseDPDF=Y")</f>
        <v>-46.881999999999998</v>
      </c>
      <c r="E35" s="14">
        <f>_xll.BDH("NBIX US Equity","NET_DBT_CPTL_EX_OPER_LEA_LIABS","FQ2 2019","FQ2 2019","Currency=USD","Period=FQ","BEST_FPERIOD_OVERRIDE=FQ","FILING_STATUS=MR","Sort=A","Dates=H","DateFormat=P","Fill=—","Direction=H","UseDPDF=Y")</f>
        <v>-84.483999999999995</v>
      </c>
      <c r="F35" s="14">
        <f>_xll.BDH("NBIX US Equity","NET_DBT_CPTL_EX_OPER_LEA_LIABS","FQ3 2019","FQ3 2019","Currency=USD","Period=FQ","BEST_FPERIOD_OVERRIDE=FQ","FILING_STATUS=MR","Sort=A","Dates=H","DateFormat=P","Fill=—","Direction=H","UseDPDF=Y")</f>
        <v>-86.566000000000003</v>
      </c>
      <c r="G35" s="14">
        <f>_xll.BDH("NBIX US Equity","NET_DBT_CPTL_EX_OPER_LEA_LIABS","FQ4 2019","FQ4 2019","Currency=USD","Period=FQ","BEST_FPERIOD_OVERRIDE=FQ","FILING_STATUS=MR","Sort=A","Dates=H","DateFormat=P","Fill=—","Direction=H","UseDPDF=Y")</f>
        <v>-69.749499999999998</v>
      </c>
      <c r="H35" s="14">
        <f>_xll.BDH("NBIX US Equity","NET_DBT_CPTL_EX_OPER_LEA_LIABS","FQ1 2020","FQ1 2020","Currency=USD","Period=FQ","BEST_FPERIOD_OVERRIDE=FQ","FILING_STATUS=MR","Sort=A","Dates=H","DateFormat=P","Fill=—","Direction=H","UseDPDF=Y")</f>
        <v>-104.34780000000001</v>
      </c>
      <c r="I35" s="14">
        <f>_xll.BDH("NBIX US Equity","NET_DBT_CPTL_EX_OPER_LEA_LIABS","FQ2 2020","FQ2 2020","Currency=USD","Period=FQ","BEST_FPERIOD_OVERRIDE=FQ","FILING_STATUS=MR","Sort=A","Dates=H","DateFormat=P","Fill=—","Direction=H","UseDPDF=Y")</f>
        <v>-174.86770000000001</v>
      </c>
      <c r="J35" s="14">
        <f>_xll.BDH("NBIX US Equity","NET_DBT_CPTL_EX_OPER_LEA_LIABS","FQ3 2020","FQ3 2020","Currency=USD","Period=FQ","BEST_FPERIOD_OVERRIDE=FQ","FILING_STATUS=MR","Sort=A","Dates=H","DateFormat=P","Fill=—","Direction=H","UseDPDF=Y")</f>
        <v>-182.60720000000001</v>
      </c>
      <c r="K35" s="14">
        <f>_xll.BDH("NBIX US Equity","NET_DBT_CPTL_EX_OPER_LEA_LIABS","FQ4 2020","FQ4 2020","Currency=USD","Period=FQ","BEST_FPERIOD_OVERRIDE=FQ","FILING_STATUS=MR","Sort=A","Dates=H","DateFormat=P","Fill=—","Direction=H","UseDPDF=Y")</f>
        <v>-75.120500000000007</v>
      </c>
      <c r="L35" s="14">
        <f>_xll.BDH("NBIX US Equity","NET_DBT_CPTL_EX_OPER_LEA_LIABS","FQ1 2021","FQ1 2021","Currency=USD","Period=FQ","BEST_FPERIOD_OVERRIDE=FQ","FILING_STATUS=MR","Sort=A","Dates=H","DateFormat=P","Fill=—","Direction=H","UseDPDF=Y")</f>
        <v>-84.370699999999999</v>
      </c>
      <c r="M35" s="14">
        <f>_xll.BDH("NBIX US Equity","NET_DBT_CPTL_EX_OPER_LEA_LIABS","FQ2 2021","FQ2 2021","Currency=USD","Period=FQ","BEST_FPERIOD_OVERRIDE=FQ","FILING_STATUS=MR","Sort=A","Dates=H","DateFormat=P","Fill=—","Direction=H","UseDPDF=Y")</f>
        <v>-77.518699999999995</v>
      </c>
      <c r="N35" s="14">
        <f>_xll.BDH("NBIX US Equity","NET_DBT_CPTL_EX_OPER_LEA_LIABS","FQ3 2021","FQ3 2021","Currency=USD","Period=FQ","BEST_FPERIOD_OVERRIDE=FQ","FILING_STATUS=MR","Sort=A","Dates=H","DateFormat=P","Fill=—","Direction=H","UseDPDF=Y")</f>
        <v>-47.782200000000003</v>
      </c>
      <c r="O35" s="14">
        <f>_xll.BDH("NBIX US Equity","NET_DBT_CPTL_EX_OPER_LEA_LIABS","FQ4 2021","FQ4 2021","Currency=USD","Period=FQ","BEST_FPERIOD_OVERRIDE=FQ","FILING_STATUS=MR","Sort=A","Dates=H","DateFormat=P","Fill=—","Direction=H","UseDPDF=Y")</f>
        <v>-37.7029</v>
      </c>
      <c r="P35" s="14">
        <f>_xll.BDH("NBIX US Equity","NET_DBT_CPTL_EX_OPER_LEA_LIABS","FQ1 2022","FQ1 2022","Currency=USD","Period=FQ","BEST_FPERIOD_OVERRIDE=FQ","FILING_STATUS=MR","Sort=A","Dates=H","DateFormat=P","Fill=—","Direction=H","UseDPDF=Y")</f>
        <v>-26.0168</v>
      </c>
      <c r="Q35" s="14">
        <f>_xll.BDH("NBIX US Equity","NET_DBT_CPTL_EX_OPER_LEA_LIABS","FQ2 2022","FQ2 2022","Currency=USD","Period=FQ","BEST_FPERIOD_OVERRIDE=FQ","FILING_STATUS=MR","Sort=A","Dates=H","DateFormat=P","Fill=—","Direction=H","UseDPDF=Y")</f>
        <v>-50.767899999999997</v>
      </c>
      <c r="R35" s="14">
        <f>_xll.BDH("NBIX US Equity","NET_DBT_CPTL_EX_OPER_LEA_LIABS","FQ3 2022","FQ3 2022","Currency=USD","Period=FQ","BEST_FPERIOD_OVERRIDE=FQ","FILING_STATUS=MR","Sort=A","Dates=H","DateFormat=P","Fill=—","Direction=H","UseDPDF=Y")</f>
        <v>-68.919499999999999</v>
      </c>
      <c r="S35" s="14">
        <f>_xll.BDH("NBIX US Equity","NET_DBT_CPTL_EX_OPER_LEA_LIABS","FQ4 2022","FQ4 2022","Currency=USD","Period=FQ","BEST_FPERIOD_OVERRIDE=FQ","FILING_STATUS=MR","Sort=A","Dates=H","DateFormat=P","Fill=—","Direction=H","UseDPDF=Y")</f>
        <v>-92.341499999999996</v>
      </c>
      <c r="T35" s="14">
        <f>_xll.BDH("NBIX US Equity","NET_DBT_CPTL_EX_OPER_LEA_LIABS","FQ1 2023","FQ1 2023","Currency=USD","Period=FQ","BEST_FPERIOD_OVERRIDE=FQ","FILING_STATUS=MR","Sort=A","Dates=H","DateFormat=P","Fill=—","Direction=H","UseDPDF=Y")</f>
        <v>-75.578500000000005</v>
      </c>
      <c r="U35" s="14">
        <f>_xll.BDH("NBIX US Equity","NET_DBT_CPTL_EX_OPER_LEA_LIABS","FQ2 2023","FQ2 2023","Currency=USD","Period=FQ","BEST_FPERIOD_OVERRIDE=FQ","FILING_STATUS=MR","Sort=A","Dates=H","DateFormat=P","Fill=—","Direction=H","UseDPDF=Y")</f>
        <v>-77.1511</v>
      </c>
      <c r="V35" s="14">
        <f>_xll.BDH("NBIX US Equity","NET_DBT_CPTL_EX_OPER_LEA_LIABS","FQ3 2023","FQ3 2023","Currency=USD","Period=FQ","BEST_FPERIOD_OVERRIDE=FQ","FILING_STATUS=MR","Sort=A","Dates=H","DateFormat=P","Fill=—","Direction=H","UseDPDF=Y")</f>
        <v>-85.913300000000007</v>
      </c>
      <c r="W35" s="14">
        <f>_xll.BDH("NBIX US Equity","NET_DBT_CPTL_EX_OPER_LEA_LIABS","FQ4 2023","FQ4 2023","Currency=USD","Period=FQ","BEST_FPERIOD_OVERRIDE=FQ","FILING_STATUS=MR","Sort=A","Dates=H","DateFormat=P","Fill=—","Direction=H","UseDPDF=Y")</f>
        <v>-62.860300000000002</v>
      </c>
      <c r="X35" s="14">
        <f>_xll.BDH("NBIX US Equity","NET_DBT_CPTL_EX_OPER_LEA_LIABS","FQ1 2024","FQ1 2024","Currency=USD","Period=FQ","BEST_FPERIOD_OVERRIDE=FQ","FILING_STATUS=MR","Sort=A","Dates=H","DateFormat=P","Fill=—","Direction=H","UseDPDF=Y")</f>
        <v>-83.786500000000004</v>
      </c>
      <c r="Y35" s="14">
        <f>_xll.BDH("NBIX US Equity","NET_DBT_CPTL_EX_OPER_LEA_LIABS","FQ2 2024","FQ2 2024","Currency=USD","Period=FQ","BEST_FPERIOD_OVERRIDE=FQ","FILING_STATUS=MR","Sort=A","Dates=H","DateFormat=P","Fill=—","Direction=H","UseDPDF=Y")</f>
        <v>-70.659000000000006</v>
      </c>
      <c r="Z35" s="14">
        <f>_xll.BDH("NBIX US Equity","NET_DBT_CPTL_EX_OPER_LEA_LIABS","FQ3 2024","FQ3 2024","Currency=USD","Period=FQ","BEST_FPERIOD_OVERRIDE=FQ","FILING_STATUS=MR","Sort=A","Dates=H","DateFormat=P","Fill=—","Direction=H","UseDPDF=Y")</f>
        <v>-82.366399999999999</v>
      </c>
      <c r="AA35" s="14">
        <f>_xll.BDH("NBIX US Equity","NET_DBT_CPTL_EX_OPER_LEA_LIABS","FQ4 2024","FQ4 2024","Currency=USD","Period=FQ","BEST_FPERIOD_OVERRIDE=FQ","FILING_STATUS=MR","Sort=A","Dates=H","DateFormat=P","Fill=—","Direction=H","UseDPDF=Y")</f>
        <v>-71.095399999999998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78</v>
      </c>
      <c r="B37" s="10" t="s">
        <v>1426</v>
      </c>
      <c r="C37" s="13">
        <f>_xll.BDH("NBIX US Equity","EBITDA_AFTER_OPERATING_LEA_EXPN","FQ4 2018","FQ4 2018","Currency=USD","Period=FQ","BEST_FPERIOD_OVERRIDE=FQ","FILING_STATUS=MR","SCALING_FORMAT=MLN","FA_ADJUSTED=GAAP","Sort=A","Dates=H","DateFormat=P","Fill=—","Direction=H","UseDPDF=Y")</f>
        <v>23.146000000000001</v>
      </c>
      <c r="D37" s="13">
        <f>_xll.BDH("NBIX US Equity","EBITDA_AFTER_OPERATING_LEA_EXPN","FQ1 2019","FQ1 2019","Currency=USD","Period=FQ","BEST_FPERIOD_OVERRIDE=FQ","FILING_STATUS=MR","SCALING_FORMAT=MLN","FA_ADJUSTED=GAAP","Sort=A","Dates=H","DateFormat=P","Fill=—","Direction=H","UseDPDF=Y")</f>
        <v>-99.430999999999997</v>
      </c>
      <c r="E37" s="13">
        <f>_xll.BDH("NBIX US Equity","EBITDA_AFTER_OPERATING_LEA_EXPN","FQ2 2019","FQ2 2019","Currency=USD","Period=FQ","BEST_FPERIOD_OVERRIDE=FQ","FILING_STATUS=MR","SCALING_FORMAT=MLN","FA_ADJUSTED=GAAP","Sort=A","Dates=H","DateFormat=P","Fill=—","Direction=H","UseDPDF=Y")</f>
        <v>36.247</v>
      </c>
      <c r="F37" s="13">
        <f>_xll.BDH("NBIX US Equity","EBITDA_AFTER_OPERATING_LEA_EXPN","FQ3 2019","FQ3 2019","Currency=USD","Period=FQ","BEST_FPERIOD_OVERRIDE=FQ","FILING_STATUS=MR","SCALING_FORMAT=MLN","FA_ADJUSTED=GAAP","Sort=A","Dates=H","DateFormat=P","Fill=—","Direction=H","UseDPDF=Y")</f>
        <v>92.106999999999999</v>
      </c>
      <c r="G37" s="13">
        <f>_xll.BDH("NBIX US Equity","EBITDA_AFTER_OPERATING_LEA_EXPN","FQ4 2019","FQ4 2019","Currency=USD","Period=FQ","BEST_FPERIOD_OVERRIDE=FQ","FILING_STATUS=MR","SCALING_FORMAT=MLN","FA_ADJUSTED=GAAP","Sort=A","Dates=H","DateFormat=P","Fill=—","Direction=H","UseDPDF=Y")</f>
        <v>50.838999999999999</v>
      </c>
      <c r="H37" s="13">
        <f>_xll.BDH("NBIX US Equity","EBITDA_AFTER_OPERATING_LEA_EXPN","FQ1 2020","FQ1 2020","Currency=USD","Period=FQ","BEST_FPERIOD_OVERRIDE=FQ","FILING_STATUS=MR","SCALING_FORMAT=MLN","FA_ADJUSTED=GAAP","Sort=A","Dates=H","DateFormat=P","Fill=—","Direction=H","UseDPDF=Y")</f>
        <v>61</v>
      </c>
      <c r="I37" s="13">
        <f>_xll.BDH("NBIX US Equity","EBITDA_AFTER_OPERATING_LEA_EXPN","FQ2 2020","FQ2 2020","Currency=USD","Period=FQ","BEST_FPERIOD_OVERRIDE=FQ","FILING_STATUS=MR","SCALING_FORMAT=MLN","FA_ADJUSTED=GAAP","Sort=A","Dates=H","DateFormat=P","Fill=—","Direction=H","UseDPDF=Y")</f>
        <v>78.7</v>
      </c>
      <c r="J37" s="13">
        <f>_xll.BDH("NBIX US Equity","EBITDA_AFTER_OPERATING_LEA_EXPN","FQ3 2020","FQ3 2020","Currency=USD","Period=FQ","BEST_FPERIOD_OVERRIDE=FQ","FILING_STATUS=MR","SCALING_FORMAT=MLN","FA_ADJUSTED=GAAP","Sort=A","Dates=H","DateFormat=P","Fill=—","Direction=H","UseDPDF=Y")</f>
        <v>-42.1</v>
      </c>
      <c r="K37" s="13">
        <f>_xll.BDH("NBIX US Equity","EBITDA_AFTER_OPERATING_LEA_EXPN","FQ4 2020","FQ4 2020","Currency=USD","Period=FQ","BEST_FPERIOD_OVERRIDE=FQ","FILING_STATUS=MR","SCALING_FORMAT=MLN","FA_ADJUSTED=GAAP","Sort=A","Dates=H","DateFormat=P","Fill=—","Direction=H","UseDPDF=Y")</f>
        <v>74</v>
      </c>
      <c r="L37" s="13">
        <f>_xll.BDH("NBIX US Equity","EBITDA_AFTER_OPERATING_LEA_EXPN","FQ1 2021","FQ1 2021","Currency=USD","Period=FQ","BEST_FPERIOD_OVERRIDE=FQ","FILING_STATUS=MR","SCALING_FORMAT=MLN","FA_ADJUSTED=GAAP","Sort=A","Dates=H","DateFormat=P","Fill=—","Direction=H","UseDPDF=Y")</f>
        <v>34</v>
      </c>
      <c r="M37" s="13">
        <f>_xll.BDH("NBIX US Equity","EBITDA_AFTER_OPERATING_LEA_EXPN","FQ2 2021","FQ2 2021","Currency=USD","Period=FQ","BEST_FPERIOD_OVERRIDE=FQ","FILING_STATUS=MR","SCALING_FORMAT=MLN","FA_ADJUSTED=GAAP","Sort=A","Dates=H","DateFormat=P","Fill=—","Direction=H","UseDPDF=Y")</f>
        <v>65.400000000000006</v>
      </c>
      <c r="N37" s="13">
        <f>_xll.BDH("NBIX US Equity","EBITDA_AFTER_OPERATING_LEA_EXPN","FQ3 2021","FQ3 2021","Currency=USD","Period=FQ","BEST_FPERIOD_OVERRIDE=FQ","FILING_STATUS=MR","SCALING_FORMAT=MLN","FA_ADJUSTED=GAAP","Sort=A","Dates=H","DateFormat=P","Fill=—","Direction=H","UseDPDF=Y")</f>
        <v>47.3</v>
      </c>
      <c r="O37" s="13">
        <f>_xll.BDH("NBIX US Equity","EBITDA_AFTER_OPERATING_LEA_EXPN","FQ4 2021","FQ4 2021","Currency=USD","Period=FQ","BEST_FPERIOD_OVERRIDE=FQ","FILING_STATUS=MR","SCALING_FORMAT=MLN","FA_ADJUSTED=GAAP","Sort=A","Dates=H","DateFormat=P","Fill=—","Direction=H","UseDPDF=Y")</f>
        <v>-33.299999999999997</v>
      </c>
      <c r="P37" s="13">
        <f>_xll.BDH("NBIX US Equity","EBITDA_AFTER_OPERATING_LEA_EXPN","FQ1 2022","FQ1 2022","Currency=USD","Period=FQ","BEST_FPERIOD_OVERRIDE=FQ","FILING_STATUS=MR","SCALING_FORMAT=MLN","FA_ADJUSTED=GAAP","Sort=A","Dates=H","DateFormat=P","Fill=—","Direction=H","UseDPDF=Y")</f>
        <v>6.4</v>
      </c>
      <c r="Q37" s="13">
        <f>_xll.BDH("NBIX US Equity","EBITDA_AFTER_OPERATING_LEA_EXPN","FQ2 2022","FQ2 2022","Currency=USD","Period=FQ","BEST_FPERIOD_OVERRIDE=FQ","FILING_STATUS=MR","SCALING_FORMAT=MLN","FA_ADJUSTED=GAAP","Sort=A","Dates=H","DateFormat=P","Fill=—","Direction=H","UseDPDF=Y")</f>
        <v>58.6</v>
      </c>
      <c r="R37" s="13">
        <f>_xll.BDH("NBIX US Equity","EBITDA_AFTER_OPERATING_LEA_EXPN","FQ3 2022","FQ3 2022","Currency=USD","Period=FQ","BEST_FPERIOD_OVERRIDE=FQ","FILING_STATUS=MR","SCALING_FORMAT=MLN","FA_ADJUSTED=GAAP","Sort=A","Dates=H","DateFormat=P","Fill=—","Direction=H","UseDPDF=Y")</f>
        <v>91.8</v>
      </c>
      <c r="S37" s="13">
        <f>_xll.BDH("NBIX US Equity","EBITDA_AFTER_OPERATING_LEA_EXPN","FQ4 2022","FQ4 2022","Currency=USD","Period=FQ","BEST_FPERIOD_OVERRIDE=FQ","FILING_STATUS=MR","SCALING_FORMAT=MLN","FA_ADJUSTED=GAAP","Sort=A","Dates=H","DateFormat=P","Fill=—","Direction=H","UseDPDF=Y")</f>
        <v>107.8</v>
      </c>
      <c r="T37" s="13">
        <f>_xll.BDH("NBIX US Equity","EBITDA_AFTER_OPERATING_LEA_EXPN","FQ1 2023","FQ1 2023","Currency=USD","Period=FQ","BEST_FPERIOD_OVERRIDE=FQ","FILING_STATUS=MR","SCALING_FORMAT=MLN","FA_ADJUSTED=GAAP","Sort=A","Dates=H","DateFormat=P","Fill=—","Direction=H","UseDPDF=Y")</f>
        <v>-109.2</v>
      </c>
      <c r="U37" s="13">
        <f>_xll.BDH("NBIX US Equity","EBITDA_AFTER_OPERATING_LEA_EXPN","FQ2 2023","FQ2 2023","Currency=USD","Period=FQ","BEST_FPERIOD_OVERRIDE=FQ","FILING_STATUS=MR","SCALING_FORMAT=MLN","FA_ADJUSTED=GAAP","Sort=A","Dates=H","DateFormat=P","Fill=—","Direction=H","UseDPDF=Y")</f>
        <v>78.7</v>
      </c>
      <c r="V37" s="13">
        <f>_xll.BDH("NBIX US Equity","EBITDA_AFTER_OPERATING_LEA_EXPN","FQ3 2023","FQ3 2023","Currency=USD","Period=FQ","BEST_FPERIOD_OVERRIDE=FQ","FILING_STATUS=MR","SCALING_FORMAT=MLN","FA_ADJUSTED=GAAP","Sort=A","Dates=H","DateFormat=P","Fill=—","Direction=H","UseDPDF=Y")</f>
        <v>146.69999999999999</v>
      </c>
      <c r="W37" s="13">
        <f>_xll.BDH("NBIX US Equity","EBITDA_AFTER_OPERATING_LEA_EXPN","FQ4 2023","FQ4 2023","Currency=USD","Period=FQ","BEST_FPERIOD_OVERRIDE=FQ","FILING_STATUS=MR","SCALING_FORMAT=MLN","FA_ADJUSTED=GAAP","Sort=A","Dates=H","DateFormat=P","Fill=—","Direction=H","UseDPDF=Y")</f>
        <v>156</v>
      </c>
      <c r="X37" s="13">
        <f>_xll.BDH("NBIX US Equity","EBITDA_AFTER_OPERATING_LEA_EXPN","FQ1 2024","FQ1 2024","Currency=USD","Period=FQ","BEST_FPERIOD_OVERRIDE=FQ","FILING_STATUS=MR","SCALING_FORMAT=MLN","FA_ADJUSTED=GAAP","Sort=A","Dates=H","DateFormat=P","Fill=—","Direction=H","UseDPDF=Y")</f>
        <v>105.5</v>
      </c>
      <c r="Y37" s="13">
        <f>_xll.BDH("NBIX US Equity","EBITDA_AFTER_OPERATING_LEA_EXPN","FQ2 2024","FQ2 2024","Currency=USD","Period=FQ","BEST_FPERIOD_OVERRIDE=FQ","FILING_STATUS=MR","SCALING_FORMAT=MLN","FA_ADJUSTED=GAAP","Sort=A","Dates=H","DateFormat=P","Fill=—","Direction=H","UseDPDF=Y")</f>
        <v>152.69999999999999</v>
      </c>
      <c r="Z37" s="13">
        <f>_xll.BDH("NBIX US Equity","EBITDA_AFTER_OPERATING_LEA_EXPN","FQ3 2024","FQ3 2024","Currency=USD","Period=FQ","BEST_FPERIOD_OVERRIDE=FQ","FILING_STATUS=MR","SCALING_FORMAT=MLN","FA_ADJUSTED=GAAP","Sort=A","Dates=H","DateFormat=P","Fill=—","Direction=H","UseDPDF=Y")</f>
        <v>190.3</v>
      </c>
      <c r="AA37" s="13">
        <f>_xll.BDH("NBIX US Equity","EBITDA_AFTER_OPERATING_LEA_EXPN","FQ4 2024","FQ4 2024","Currency=USD","Period=FQ","BEST_FPERIOD_OVERRIDE=FQ","FILING_STATUS=MR","SCALING_FORMAT=MLN","FA_ADJUSTED=GAAP","Sort=A","Dates=H","DateFormat=P","Fill=—","Direction=H","UseDPDF=Y")</f>
        <v>149.1</v>
      </c>
    </row>
    <row r="38" spans="1:27" x14ac:dyDescent="0.25">
      <c r="A38" s="10" t="s">
        <v>1405</v>
      </c>
      <c r="B38" s="10" t="s">
        <v>1427</v>
      </c>
      <c r="C38" s="13">
        <f>_xll.BDH("NBIX US Equity","EBITDA_AFT_CAPEX_AND_OP_LEA_EXPN","FQ4 2018","FQ4 2018","Currency=USD","Period=FQ","BEST_FPERIOD_OVERRIDE=FQ","FILING_STATUS=MR","SCALING_FORMAT=MLN","FA_ADJUSTED=GAAP","Sort=A","Dates=H","DateFormat=P","Fill=—","Direction=H","UseDPDF=Y")</f>
        <v>17.135999999999999</v>
      </c>
      <c r="D38" s="13">
        <f>_xll.BDH("NBIX US Equity","EBITDA_AFT_CAPEX_AND_OP_LEA_EXPN","FQ1 2019","FQ1 2019","Currency=USD","Period=FQ","BEST_FPERIOD_OVERRIDE=FQ","FILING_STATUS=MR","SCALING_FORMAT=MLN","FA_ADJUSTED=GAAP","Sort=A","Dates=H","DateFormat=P","Fill=—","Direction=H","UseDPDF=Y")</f>
        <v>-103.37</v>
      </c>
      <c r="E38" s="13">
        <f>_xll.BDH("NBIX US Equity","EBITDA_AFT_CAPEX_AND_OP_LEA_EXPN","FQ2 2019","FQ2 2019","Currency=USD","Period=FQ","BEST_FPERIOD_OVERRIDE=FQ","FILING_STATUS=MR","SCALING_FORMAT=MLN","FA_ADJUSTED=GAAP","Sort=A","Dates=H","DateFormat=P","Fill=—","Direction=H","UseDPDF=Y")</f>
        <v>31.794</v>
      </c>
      <c r="F38" s="13">
        <f>_xll.BDH("NBIX US Equity","EBITDA_AFT_CAPEX_AND_OP_LEA_EXPN","FQ3 2019","FQ3 2019","Currency=USD","Period=FQ","BEST_FPERIOD_OVERRIDE=FQ","FILING_STATUS=MR","SCALING_FORMAT=MLN","FA_ADJUSTED=GAAP","Sort=A","Dates=H","DateFormat=P","Fill=—","Direction=H","UseDPDF=Y")</f>
        <v>88.563000000000002</v>
      </c>
      <c r="G38" s="13">
        <f>_xll.BDH("NBIX US Equity","EBITDA_AFT_CAPEX_AND_OP_LEA_EXPN","FQ4 2019","FQ4 2019","Currency=USD","Period=FQ","BEST_FPERIOD_OVERRIDE=FQ","FILING_STATUS=MR","SCALING_FORMAT=MLN","FA_ADJUSTED=GAAP","Sort=A","Dates=H","DateFormat=P","Fill=—","Direction=H","UseDPDF=Y")</f>
        <v>48.067</v>
      </c>
      <c r="H38" s="13">
        <f>_xll.BDH("NBIX US Equity","EBITDA_AFT_CAPEX_AND_OP_LEA_EXPN","FQ1 2020","FQ1 2020","Currency=USD","Period=FQ","BEST_FPERIOD_OVERRIDE=FQ","FILING_STATUS=MR","SCALING_FORMAT=MLN","FA_ADJUSTED=GAAP","Sort=A","Dates=H","DateFormat=P","Fill=—","Direction=H","UseDPDF=Y")</f>
        <v>59.7</v>
      </c>
      <c r="I38" s="13">
        <f>_xll.BDH("NBIX US Equity","EBITDA_AFT_CAPEX_AND_OP_LEA_EXPN","FQ2 2020","FQ2 2020","Currency=USD","Period=FQ","BEST_FPERIOD_OVERRIDE=FQ","FILING_STATUS=MR","SCALING_FORMAT=MLN","FA_ADJUSTED=GAAP","Sort=A","Dates=H","DateFormat=P","Fill=—","Direction=H","UseDPDF=Y")</f>
        <v>74</v>
      </c>
      <c r="J38" s="13">
        <f>_xll.BDH("NBIX US Equity","EBITDA_AFT_CAPEX_AND_OP_LEA_EXPN","FQ3 2020","FQ3 2020","Currency=USD","Period=FQ","BEST_FPERIOD_OVERRIDE=FQ","FILING_STATUS=MR","SCALING_FORMAT=MLN","FA_ADJUSTED=GAAP","Sort=A","Dates=H","DateFormat=P","Fill=—","Direction=H","UseDPDF=Y")</f>
        <v>-42.5</v>
      </c>
      <c r="K38" s="13">
        <f>_xll.BDH("NBIX US Equity","EBITDA_AFT_CAPEX_AND_OP_LEA_EXPN","FQ4 2020","FQ4 2020","Currency=USD","Period=FQ","BEST_FPERIOD_OVERRIDE=FQ","FILING_STATUS=MR","SCALING_FORMAT=MLN","FA_ADJUSTED=GAAP","Sort=A","Dates=H","DateFormat=P","Fill=—","Direction=H","UseDPDF=Y")</f>
        <v>69.5</v>
      </c>
      <c r="L38" s="13">
        <f>_xll.BDH("NBIX US Equity","EBITDA_AFT_CAPEX_AND_OP_LEA_EXPN","FQ1 2021","FQ1 2021","Currency=USD","Period=FQ","BEST_FPERIOD_OVERRIDE=FQ","FILING_STATUS=MR","SCALING_FORMAT=MLN","FA_ADJUSTED=GAAP","Sort=A","Dates=H","DateFormat=P","Fill=—","Direction=H","UseDPDF=Y")</f>
        <v>29.5</v>
      </c>
      <c r="M38" s="13">
        <f>_xll.BDH("NBIX US Equity","EBITDA_AFT_CAPEX_AND_OP_LEA_EXPN","FQ2 2021","FQ2 2021","Currency=USD","Period=FQ","BEST_FPERIOD_OVERRIDE=FQ","FILING_STATUS=MR","SCALING_FORMAT=MLN","FA_ADJUSTED=GAAP","Sort=A","Dates=H","DateFormat=P","Fill=—","Direction=H","UseDPDF=Y")</f>
        <v>61.1</v>
      </c>
      <c r="N38" s="13">
        <f>_xll.BDH("NBIX US Equity","EBITDA_AFT_CAPEX_AND_OP_LEA_EXPN","FQ3 2021","FQ3 2021","Currency=USD","Period=FQ","BEST_FPERIOD_OVERRIDE=FQ","FILING_STATUS=MR","SCALING_FORMAT=MLN","FA_ADJUSTED=GAAP","Sort=A","Dates=H","DateFormat=P","Fill=—","Direction=H","UseDPDF=Y")</f>
        <v>41.6</v>
      </c>
      <c r="O38" s="13">
        <f>_xll.BDH("NBIX US Equity","EBITDA_AFT_CAPEX_AND_OP_LEA_EXPN","FQ4 2021","FQ4 2021","Currency=USD","Period=FQ","BEST_FPERIOD_OVERRIDE=FQ","FILING_STATUS=MR","SCALING_FORMAT=MLN","FA_ADJUSTED=GAAP","Sort=A","Dates=H","DateFormat=P","Fill=—","Direction=H","UseDPDF=Y")</f>
        <v>-42.2</v>
      </c>
      <c r="P38" s="13">
        <f>_xll.BDH("NBIX US Equity","EBITDA_AFT_CAPEX_AND_OP_LEA_EXPN","FQ1 2022","FQ1 2022","Currency=USD","Period=FQ","BEST_FPERIOD_OVERRIDE=FQ","FILING_STATUS=MR","SCALING_FORMAT=MLN","FA_ADJUSTED=GAAP","Sort=A","Dates=H","DateFormat=P","Fill=—","Direction=H","UseDPDF=Y")</f>
        <v>-1.2</v>
      </c>
      <c r="Q38" s="13">
        <f>_xll.BDH("NBIX US Equity","EBITDA_AFT_CAPEX_AND_OP_LEA_EXPN","FQ2 2022","FQ2 2022","Currency=USD","Period=FQ","BEST_FPERIOD_OVERRIDE=FQ","FILING_STATUS=MR","SCALING_FORMAT=MLN","FA_ADJUSTED=GAAP","Sort=A","Dates=H","DateFormat=P","Fill=—","Direction=H","UseDPDF=Y")</f>
        <v>49.8</v>
      </c>
      <c r="R38" s="13" t="str">
        <f>_xll.BDH("NBIX US Equity","EBITDA_AFT_CAPEX_AND_OP_LEA_EXPN","FQ3 2022","FQ3 2022","Currency=USD","Period=FQ","BEST_FPERIOD_OVERRIDE=FQ","FILING_STATUS=MR","SCALING_FORMAT=MLN","FA_ADJUSTED=GAAP","Sort=A","Dates=H","DateFormat=P","Fill=—","Direction=H","UseDPDF=Y")</f>
        <v>—</v>
      </c>
      <c r="S38" s="13">
        <f>_xll.BDH("NBIX US Equity","EBITDA_AFT_CAPEX_AND_OP_LEA_EXPN","FQ4 2022","FQ4 2022","Currency=USD","Period=FQ","BEST_FPERIOD_OVERRIDE=FQ","FILING_STATUS=MR","SCALING_FORMAT=MLN","FA_ADJUSTED=GAAP","Sort=A","Dates=H","DateFormat=P","Fill=—","Direction=H","UseDPDF=Y")</f>
        <v>106</v>
      </c>
      <c r="T38" s="13">
        <f>_xll.BDH("NBIX US Equity","EBITDA_AFT_CAPEX_AND_OP_LEA_EXPN","FQ1 2023","FQ1 2023","Currency=USD","Period=FQ","BEST_FPERIOD_OVERRIDE=FQ","FILING_STATUS=MR","SCALING_FORMAT=MLN","FA_ADJUSTED=GAAP","Sort=A","Dates=H","DateFormat=P","Fill=—","Direction=H","UseDPDF=Y")</f>
        <v>-117.7</v>
      </c>
      <c r="U38" s="13">
        <f>_xll.BDH("NBIX US Equity","EBITDA_AFT_CAPEX_AND_OP_LEA_EXPN","FQ2 2023","FQ2 2023","Currency=USD","Period=FQ","BEST_FPERIOD_OVERRIDE=FQ","FILING_STATUS=MR","SCALING_FORMAT=MLN","FA_ADJUSTED=GAAP","Sort=A","Dates=H","DateFormat=P","Fill=—","Direction=H","UseDPDF=Y")</f>
        <v>71.900000000000006</v>
      </c>
      <c r="V38" s="13">
        <f>_xll.BDH("NBIX US Equity","EBITDA_AFT_CAPEX_AND_OP_LEA_EXPN","FQ3 2023","FQ3 2023","Currency=USD","Period=FQ","BEST_FPERIOD_OVERRIDE=FQ","FILING_STATUS=MR","SCALING_FORMAT=MLN","FA_ADJUSTED=GAAP","Sort=A","Dates=H","DateFormat=P","Fill=—","Direction=H","UseDPDF=Y")</f>
        <v>139.1</v>
      </c>
      <c r="W38" s="13">
        <f>_xll.BDH("NBIX US Equity","EBITDA_AFT_CAPEX_AND_OP_LEA_EXPN","FQ4 2023","FQ4 2023","Currency=USD","Period=FQ","BEST_FPERIOD_OVERRIDE=FQ","FILING_STATUS=MR","SCALING_FORMAT=MLN","FA_ADJUSTED=GAAP","Sort=A","Dates=H","DateFormat=P","Fill=—","Direction=H","UseDPDF=Y")</f>
        <v>150.6</v>
      </c>
      <c r="X38" s="13">
        <f>_xll.BDH("NBIX US Equity","EBITDA_AFT_CAPEX_AND_OP_LEA_EXPN","FQ1 2024","FQ1 2024","Currency=USD","Period=FQ","BEST_FPERIOD_OVERRIDE=FQ","FILING_STATUS=MR","SCALING_FORMAT=MLN","FA_ADJUSTED=GAAP","Sort=A","Dates=H","DateFormat=P","Fill=—","Direction=H","UseDPDF=Y")</f>
        <v>94.3</v>
      </c>
      <c r="Y38" s="13">
        <f>_xll.BDH("NBIX US Equity","EBITDA_AFT_CAPEX_AND_OP_LEA_EXPN","FQ2 2024","FQ2 2024","Currency=USD","Period=FQ","BEST_FPERIOD_OVERRIDE=FQ","FILING_STATUS=MR","SCALING_FORMAT=MLN","FA_ADJUSTED=GAAP","Sort=A","Dates=H","DateFormat=P","Fill=—","Direction=H","UseDPDF=Y")</f>
        <v>141.1</v>
      </c>
      <c r="Z38" s="13">
        <f>_xll.BDH("NBIX US Equity","EBITDA_AFT_CAPEX_AND_OP_LEA_EXPN","FQ3 2024","FQ3 2024","Currency=USD","Period=FQ","BEST_FPERIOD_OVERRIDE=FQ","FILING_STATUS=MR","SCALING_FORMAT=MLN","FA_ADJUSTED=GAAP","Sort=A","Dates=H","DateFormat=P","Fill=—","Direction=H","UseDPDF=Y")</f>
        <v>182.2</v>
      </c>
      <c r="AA38" s="13">
        <f>_xll.BDH("NBIX US Equity","EBITDA_AFT_CAPEX_AND_OP_LEA_EXPN","FQ4 2024","FQ4 2024","Currency=USD","Period=FQ","BEST_FPERIOD_OVERRIDE=FQ","FILING_STATUS=MR","SCALING_FORMAT=MLN","FA_ADJUSTED=GAAP","Sort=A","Dates=H","DateFormat=P","Fill=—","Direction=H","UseDPDF=Y")</f>
        <v>141.80000000000001</v>
      </c>
    </row>
    <row r="39" spans="1:27" x14ac:dyDescent="0.25">
      <c r="A39" s="10" t="s">
        <v>142</v>
      </c>
      <c r="B39" s="10" t="s">
        <v>1428</v>
      </c>
      <c r="C39" s="13">
        <f>_xll.BDH("NBIX US Equity","EBIT_AFTER_OPERATING_LEASE","FQ4 2018","FQ4 2018","Currency=USD","Period=FQ","BEST_FPERIOD_OVERRIDE=FQ","FILING_STATUS=MR","SCALING_FORMAT=MLN","FA_ADJUSTED=GAAP","Sort=A","Dates=H","DateFormat=P","Fill=—","Direction=H","UseDPDF=Y")</f>
        <v>21.870999999999999</v>
      </c>
      <c r="D39" s="13">
        <f>_xll.BDH("NBIX US Equity","EBIT_AFTER_OPERATING_LEASE","FQ1 2019","FQ1 2019","Currency=USD","Period=FQ","BEST_FPERIOD_OVERRIDE=FQ","FILING_STATUS=MR","SCALING_FORMAT=MLN","FA_ADJUSTED=GAAP","Sort=A","Dates=H","DateFormat=P","Fill=—","Direction=H","UseDPDF=Y")</f>
        <v>-100.997</v>
      </c>
      <c r="E39" s="13">
        <f>_xll.BDH("NBIX US Equity","EBIT_AFTER_OPERATING_LEASE","FQ2 2019","FQ2 2019","Currency=USD","Period=FQ","BEST_FPERIOD_OVERRIDE=FQ","FILING_STATUS=MR","SCALING_FORMAT=MLN","FA_ADJUSTED=GAAP","Sort=A","Dates=H","DateFormat=P","Fill=—","Direction=H","UseDPDF=Y")</f>
        <v>34.460999999999999</v>
      </c>
      <c r="F39" s="13">
        <f>_xll.BDH("NBIX US Equity","EBIT_AFTER_OPERATING_LEASE","FQ3 2019","FQ3 2019","Currency=USD","Period=FQ","BEST_FPERIOD_OVERRIDE=FQ","FILING_STATUS=MR","SCALING_FORMAT=MLN","FA_ADJUSTED=GAAP","Sort=A","Dates=H","DateFormat=P","Fill=—","Direction=H","UseDPDF=Y")</f>
        <v>90.097999999999999</v>
      </c>
      <c r="G39" s="13">
        <f>_xll.BDH("NBIX US Equity","EBIT_AFTER_OPERATING_LEASE","FQ4 2019","FQ4 2019","Currency=USD","Period=FQ","BEST_FPERIOD_OVERRIDE=FQ","FILING_STATUS=MR","SCALING_FORMAT=MLN","FA_ADJUSTED=GAAP","Sort=A","Dates=H","DateFormat=P","Fill=—","Direction=H","UseDPDF=Y")</f>
        <v>48.8</v>
      </c>
      <c r="H39" s="13">
        <f>_xll.BDH("NBIX US Equity","EBIT_AFTER_OPERATING_LEASE","FQ1 2020","FQ1 2020","Currency=USD","Period=FQ","BEST_FPERIOD_OVERRIDE=FQ","FILING_STATUS=MR","SCALING_FORMAT=MLN","FA_ADJUSTED=GAAP","Sort=A","Dates=H","DateFormat=P","Fill=—","Direction=H","UseDPDF=Y")</f>
        <v>58.9</v>
      </c>
      <c r="I39" s="13">
        <f>_xll.BDH("NBIX US Equity","EBIT_AFTER_OPERATING_LEASE","FQ2 2020","FQ2 2020","Currency=USD","Period=FQ","BEST_FPERIOD_OVERRIDE=FQ","FILING_STATUS=MR","SCALING_FORMAT=MLN","FA_ADJUSTED=GAAP","Sort=A","Dates=H","DateFormat=P","Fill=—","Direction=H","UseDPDF=Y")</f>
        <v>76.599999999999994</v>
      </c>
      <c r="J39" s="13">
        <f>_xll.BDH("NBIX US Equity","EBIT_AFTER_OPERATING_LEASE","FQ3 2020","FQ3 2020","Currency=USD","Period=FQ","BEST_FPERIOD_OVERRIDE=FQ","FILING_STATUS=MR","SCALING_FORMAT=MLN","FA_ADJUSTED=GAAP","Sort=A","Dates=H","DateFormat=P","Fill=—","Direction=H","UseDPDF=Y")</f>
        <v>-44.3</v>
      </c>
      <c r="K39" s="13">
        <f>_xll.BDH("NBIX US Equity","EBIT_AFTER_OPERATING_LEASE","FQ4 2020","FQ4 2020","Currency=USD","Period=FQ","BEST_FPERIOD_OVERRIDE=FQ","FILING_STATUS=MR","SCALING_FORMAT=MLN","FA_ADJUSTED=GAAP","Sort=A","Dates=H","DateFormat=P","Fill=—","Direction=H","UseDPDF=Y")</f>
        <v>71.8</v>
      </c>
      <c r="L39" s="13">
        <f>_xll.BDH("NBIX US Equity","EBIT_AFTER_OPERATING_LEASE","FQ1 2021","FQ1 2021","Currency=USD","Period=FQ","BEST_FPERIOD_OVERRIDE=FQ","FILING_STATUS=MR","SCALING_FORMAT=MLN","FA_ADJUSTED=GAAP","Sort=A","Dates=H","DateFormat=P","Fill=—","Direction=H","UseDPDF=Y")</f>
        <v>31.5</v>
      </c>
      <c r="M39" s="13">
        <f>_xll.BDH("NBIX US Equity","EBIT_AFTER_OPERATING_LEASE","FQ2 2021","FQ2 2021","Currency=USD","Period=FQ","BEST_FPERIOD_OVERRIDE=FQ","FILING_STATUS=MR","SCALING_FORMAT=MLN","FA_ADJUSTED=GAAP","Sort=A","Dates=H","DateFormat=P","Fill=—","Direction=H","UseDPDF=Y")</f>
        <v>62.8</v>
      </c>
      <c r="N39" s="13">
        <f>_xll.BDH("NBIX US Equity","EBIT_AFTER_OPERATING_LEASE","FQ3 2021","FQ3 2021","Currency=USD","Period=FQ","BEST_FPERIOD_OVERRIDE=FQ","FILING_STATUS=MR","SCALING_FORMAT=MLN","FA_ADJUSTED=GAAP","Sort=A","Dates=H","DateFormat=P","Fill=—","Direction=H","UseDPDF=Y")</f>
        <v>44.5</v>
      </c>
      <c r="O39" s="13">
        <f>_xll.BDH("NBIX US Equity","EBIT_AFTER_OPERATING_LEASE","FQ4 2021","FQ4 2021","Currency=USD","Period=FQ","BEST_FPERIOD_OVERRIDE=FQ","FILING_STATUS=MR","SCALING_FORMAT=MLN","FA_ADJUSTED=GAAP","Sort=A","Dates=H","DateFormat=P","Fill=—","Direction=H","UseDPDF=Y")</f>
        <v>-36.299999999999997</v>
      </c>
      <c r="P39" s="13">
        <f>_xll.BDH("NBIX US Equity","EBIT_AFTER_OPERATING_LEASE","FQ1 2022","FQ1 2022","Currency=USD","Period=FQ","BEST_FPERIOD_OVERRIDE=FQ","FILING_STATUS=MR","SCALING_FORMAT=MLN","FA_ADJUSTED=GAAP","Sort=A","Dates=H","DateFormat=P","Fill=—","Direction=H","UseDPDF=Y")</f>
        <v>3.1</v>
      </c>
      <c r="Q39" s="13">
        <f>_xll.BDH("NBIX US Equity","EBIT_AFTER_OPERATING_LEASE","FQ2 2022","FQ2 2022","Currency=USD","Period=FQ","BEST_FPERIOD_OVERRIDE=FQ","FILING_STATUS=MR","SCALING_FORMAT=MLN","FA_ADJUSTED=GAAP","Sort=A","Dates=H","DateFormat=P","Fill=—","Direction=H","UseDPDF=Y")</f>
        <v>54.7</v>
      </c>
      <c r="R39" s="13">
        <f>_xll.BDH("NBIX US Equity","EBIT_AFTER_OPERATING_LEASE","FQ3 2022","FQ3 2022","Currency=USD","Period=FQ","BEST_FPERIOD_OVERRIDE=FQ","FILING_STATUS=MR","SCALING_FORMAT=MLN","FA_ADJUSTED=GAAP","Sort=A","Dates=H","DateFormat=P","Fill=—","Direction=H","UseDPDF=Y")</f>
        <v>87.8</v>
      </c>
      <c r="S39" s="13">
        <f>_xll.BDH("NBIX US Equity","EBIT_AFTER_OPERATING_LEASE","FQ4 2022","FQ4 2022","Currency=USD","Period=FQ","BEST_FPERIOD_OVERRIDE=FQ","FILING_STATUS=MR","SCALING_FORMAT=MLN","FA_ADJUSTED=GAAP","Sort=A","Dates=H","DateFormat=P","Fill=—","Direction=H","UseDPDF=Y")</f>
        <v>103.4</v>
      </c>
      <c r="T39" s="13">
        <f>_xll.BDH("NBIX US Equity","EBIT_AFTER_OPERATING_LEASE","FQ1 2023","FQ1 2023","Currency=USD","Period=FQ","BEST_FPERIOD_OVERRIDE=FQ","FILING_STATUS=MR","SCALING_FORMAT=MLN","FA_ADJUSTED=GAAP","Sort=A","Dates=H","DateFormat=P","Fill=—","Direction=H","UseDPDF=Y")</f>
        <v>-114.2</v>
      </c>
      <c r="U39" s="13">
        <f>_xll.BDH("NBIX US Equity","EBIT_AFTER_OPERATING_LEASE","FQ2 2023","FQ2 2023","Currency=USD","Period=FQ","BEST_FPERIOD_OVERRIDE=FQ","FILING_STATUS=MR","SCALING_FORMAT=MLN","FA_ADJUSTED=GAAP","Sort=A","Dates=H","DateFormat=P","Fill=—","Direction=H","UseDPDF=Y")</f>
        <v>73.599999999999994</v>
      </c>
      <c r="V39" s="13">
        <f>_xll.BDH("NBIX US Equity","EBIT_AFTER_OPERATING_LEASE","FQ3 2023","FQ3 2023","Currency=USD","Period=FQ","BEST_FPERIOD_OVERRIDE=FQ","FILING_STATUS=MR","SCALING_FORMAT=MLN","FA_ADJUSTED=GAAP","Sort=A","Dates=H","DateFormat=P","Fill=—","Direction=H","UseDPDF=Y")</f>
        <v>141.19999999999999</v>
      </c>
      <c r="W39" s="13">
        <f>_xll.BDH("NBIX US Equity","EBIT_AFTER_OPERATING_LEASE","FQ4 2023","FQ4 2023","Currency=USD","Period=FQ","BEST_FPERIOD_OVERRIDE=FQ","FILING_STATUS=MR","SCALING_FORMAT=MLN","FA_ADJUSTED=GAAP","Sort=A","Dates=H","DateFormat=P","Fill=—","Direction=H","UseDPDF=Y")</f>
        <v>150.30000000000001</v>
      </c>
      <c r="X39" s="13">
        <f>_xll.BDH("NBIX US Equity","EBIT_AFTER_OPERATING_LEASE","FQ1 2024","FQ1 2024","Currency=USD","Period=FQ","BEST_FPERIOD_OVERRIDE=FQ","FILING_STATUS=MR","SCALING_FORMAT=MLN","FA_ADJUSTED=GAAP","Sort=A","Dates=H","DateFormat=P","Fill=—","Direction=H","UseDPDF=Y")</f>
        <v>99.3</v>
      </c>
      <c r="Y39" s="13">
        <f>_xll.BDH("NBIX US Equity","EBIT_AFTER_OPERATING_LEASE","FQ2 2024","FQ2 2024","Currency=USD","Period=FQ","BEST_FPERIOD_OVERRIDE=FQ","FILING_STATUS=MR","SCALING_FORMAT=MLN","FA_ADJUSTED=GAAP","Sort=A","Dates=H","DateFormat=P","Fill=—","Direction=H","UseDPDF=Y")</f>
        <v>145.4</v>
      </c>
      <c r="Z39" s="13">
        <f>_xll.BDH("NBIX US Equity","EBIT_AFTER_OPERATING_LEASE","FQ3 2024","FQ3 2024","Currency=USD","Period=FQ","BEST_FPERIOD_OVERRIDE=FQ","FILING_STATUS=MR","SCALING_FORMAT=MLN","FA_ADJUSTED=GAAP","Sort=A","Dates=H","DateFormat=P","Fill=—","Direction=H","UseDPDF=Y")</f>
        <v>183.8</v>
      </c>
      <c r="AA39" s="13">
        <f>_xll.BDH("NBIX US Equity","EBIT_AFTER_OPERATING_LEASE","FQ4 2024","FQ4 2024","Currency=USD","Period=FQ","BEST_FPERIOD_OVERRIDE=FQ","FILING_STATUS=MR","SCALING_FORMAT=MLN","FA_ADJUSTED=GAAP","Sort=A","Dates=H","DateFormat=P","Fill=—","Direction=H","UseDPDF=Y")</f>
        <v>142</v>
      </c>
    </row>
    <row r="40" spans="1:27" x14ac:dyDescent="0.25">
      <c r="A40" s="7" t="s">
        <v>90</v>
      </c>
      <c r="B40" s="7"/>
      <c r="C40" s="7" t="s">
        <v>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2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1430</v>
      </c>
      <c r="B6" s="10" t="s">
        <v>1431</v>
      </c>
      <c r="C6" s="14">
        <f>_xll.BDH("NBIX US Equity","CASH_RATIO","FQ4 2018","FQ4 2018","Currency=USD","Period=FQ","BEST_FPERIOD_OVERRIDE=FQ","FILING_STATUS=MR","Sort=A","Dates=H","DateFormat=P","Fill=—","Direction=H","UseDPDF=Y")</f>
        <v>7.3772000000000002</v>
      </c>
      <c r="D6" s="14">
        <f>_xll.BDH("NBIX US Equity","CASH_RATIO","FQ1 2019","FQ1 2019","Currency=USD","Period=FQ","BEST_FPERIOD_OVERRIDE=FQ","FILING_STATUS=MR","Sort=A","Dates=H","DateFormat=P","Fill=—","Direction=H","UseDPDF=Y")</f>
        <v>7.2784000000000004</v>
      </c>
      <c r="E6" s="14">
        <f>_xll.BDH("NBIX US Equity","CASH_RATIO","FQ2 2019","FQ2 2019","Currency=USD","Period=FQ","BEST_FPERIOD_OVERRIDE=FQ","FILING_STATUS=MR","Sort=A","Dates=H","DateFormat=P","Fill=—","Direction=H","UseDPDF=Y")</f>
        <v>6.1635</v>
      </c>
      <c r="F6" s="14">
        <f>_xll.BDH("NBIX US Equity","CASH_RATIO","FQ3 2019","FQ3 2019","Currency=USD","Period=FQ","BEST_FPERIOD_OVERRIDE=FQ","FILING_STATUS=MR","Sort=A","Dates=H","DateFormat=P","Fill=—","Direction=H","UseDPDF=Y")</f>
        <v>5.7946</v>
      </c>
      <c r="G6" s="14">
        <f>_xll.BDH("NBIX US Equity","CASH_RATIO","FQ4 2019","FQ4 2019","Currency=USD","Period=FQ","BEST_FPERIOD_OVERRIDE=FQ","FILING_STATUS=MR","Sort=A","Dates=H","DateFormat=P","Fill=—","Direction=H","UseDPDF=Y")</f>
        <v>1.1860999999999999</v>
      </c>
      <c r="H6" s="14">
        <f>_xll.BDH("NBIX US Equity","CASH_RATIO","FQ1 2020","FQ1 2020","Currency=USD","Period=FQ","BEST_FPERIOD_OVERRIDE=FQ","FILING_STATUS=MR","Sort=A","Dates=H","DateFormat=P","Fill=—","Direction=H","UseDPDF=Y")</f>
        <v>5.5004</v>
      </c>
      <c r="I6" s="14">
        <f>_xll.BDH("NBIX US Equity","CASH_RATIO","FQ2 2020","FQ2 2020","Currency=USD","Period=FQ","BEST_FPERIOD_OVERRIDE=FQ","FILING_STATUS=MR","Sort=A","Dates=H","DateFormat=P","Fill=—","Direction=H","UseDPDF=Y")</f>
        <v>1.655</v>
      </c>
      <c r="J6" s="14">
        <f>_xll.BDH("NBIX US Equity","CASH_RATIO","FQ3 2020","FQ3 2020","Currency=USD","Period=FQ","BEST_FPERIOD_OVERRIDE=FQ","FILING_STATUS=MR","Sort=A","Dates=H","DateFormat=P","Fill=—","Direction=H","UseDPDF=Y")</f>
        <v>1.5462</v>
      </c>
      <c r="K6" s="14">
        <f>_xll.BDH("NBIX US Equity","CASH_RATIO","FQ4 2020","FQ4 2020","Currency=USD","Period=FQ","BEST_FPERIOD_OVERRIDE=FQ","FILING_STATUS=MR","Sort=A","Dates=H","DateFormat=P","Fill=—","Direction=H","UseDPDF=Y")</f>
        <v>4.2949000000000002</v>
      </c>
      <c r="L6" s="14">
        <f>_xll.BDH("NBIX US Equity","CASH_RATIO","FQ1 2021","FQ1 2021","Currency=USD","Period=FQ","BEST_FPERIOD_OVERRIDE=FQ","FILING_STATUS=MR","Sort=A","Dates=H","DateFormat=P","Fill=—","Direction=H","UseDPDF=Y")</f>
        <v>4.5983999999999998</v>
      </c>
      <c r="M6" s="14">
        <f>_xll.BDH("NBIX US Equity","CASH_RATIO","FQ2 2021","FQ2 2021","Currency=USD","Period=FQ","BEST_FPERIOD_OVERRIDE=FQ","FILING_STATUS=MR","Sort=A","Dates=H","DateFormat=P","Fill=—","Direction=H","UseDPDF=Y")</f>
        <v>4.1563999999999997</v>
      </c>
      <c r="N6" s="14">
        <f>_xll.BDH("NBIX US Equity","CASH_RATIO","FQ3 2021","FQ3 2021","Currency=USD","Period=FQ","BEST_FPERIOD_OVERRIDE=FQ","FILING_STATUS=MR","Sort=A","Dates=H","DateFormat=P","Fill=—","Direction=H","UseDPDF=Y")</f>
        <v>3.3904000000000001</v>
      </c>
      <c r="O6" s="14">
        <f>_xll.BDH("NBIX US Equity","CASH_RATIO","FQ4 2021","FQ4 2021","Currency=USD","Period=FQ","BEST_FPERIOD_OVERRIDE=FQ","FILING_STATUS=MR","Sort=A","Dates=H","DateFormat=P","Fill=—","Direction=H","UseDPDF=Y")</f>
        <v>2.8938000000000001</v>
      </c>
      <c r="P6" s="14">
        <f>_xll.BDH("NBIX US Equity","CASH_RATIO","FQ1 2022","FQ1 2022","Currency=USD","Period=FQ","BEST_FPERIOD_OVERRIDE=FQ","FILING_STATUS=MR","Sort=A","Dates=H","DateFormat=P","Fill=—","Direction=H","UseDPDF=Y")</f>
        <v>2.6229</v>
      </c>
      <c r="Q6" s="14">
        <f>_xll.BDH("NBIX US Equity","CASH_RATIO","FQ2 2022","FQ2 2022","Currency=USD","Period=FQ","BEST_FPERIOD_OVERRIDE=FQ","FILING_STATUS=MR","Sort=A","Dates=H","DateFormat=P","Fill=—","Direction=H","UseDPDF=Y")</f>
        <v>2.2692000000000001</v>
      </c>
      <c r="R6" s="14">
        <f>_xll.BDH("NBIX US Equity","CASH_RATIO","FQ3 2022","FQ3 2022","Currency=USD","Period=FQ","BEST_FPERIOD_OVERRIDE=FQ","FILING_STATUS=MR","Sort=A","Dates=H","DateFormat=P","Fill=—","Direction=H","UseDPDF=Y")</f>
        <v>1.6478999999999999</v>
      </c>
      <c r="S6" s="14">
        <f>_xll.BDH("NBIX US Equity","CASH_RATIO","FQ4 2022","FQ4 2022","Currency=USD","Period=FQ","BEST_FPERIOD_OVERRIDE=FQ","FILING_STATUS=MR","Sort=A","Dates=H","DateFormat=P","Fill=—","Direction=H","UseDPDF=Y")</f>
        <v>1.8399000000000001</v>
      </c>
      <c r="T6" s="14">
        <f>_xll.BDH("NBIX US Equity","CASH_RATIO","FQ1 2023","FQ1 2023","Currency=USD","Period=FQ","BEST_FPERIOD_OVERRIDE=FQ","FILING_STATUS=MR","Sort=A","Dates=H","DateFormat=P","Fill=—","Direction=H","UseDPDF=Y")</f>
        <v>2.3913000000000002</v>
      </c>
      <c r="U6" s="14">
        <f>_xll.BDH("NBIX US Equity","CASH_RATIO","FQ2 2023","FQ2 2023","Currency=USD","Period=FQ","BEST_FPERIOD_OVERRIDE=FQ","FILING_STATUS=MR","Sort=A","Dates=H","DateFormat=P","Fill=—","Direction=H","UseDPDF=Y")</f>
        <v>1.6767000000000001</v>
      </c>
      <c r="V6" s="14">
        <f>_xll.BDH("NBIX US Equity","CASH_RATIO","FQ3 2023","FQ3 2023","Currency=USD","Period=FQ","BEST_FPERIOD_OVERRIDE=FQ","FILING_STATUS=MR","Sort=A","Dates=H","DateFormat=P","Fill=—","Direction=H","UseDPDF=Y")</f>
        <v>1.5833999999999999</v>
      </c>
      <c r="W6" s="14">
        <f>_xll.BDH("NBIX US Equity","CASH_RATIO","FQ4 2023","FQ4 2023","Currency=USD","Period=FQ","BEST_FPERIOD_OVERRIDE=FQ","FILING_STATUS=MR","Sort=A","Dates=H","DateFormat=P","Fill=—","Direction=H","UseDPDF=Y")</f>
        <v>1.5753999999999999</v>
      </c>
      <c r="X6" s="14">
        <f>_xll.BDH("NBIX US Equity","CASH_RATIO","FQ1 2024","FQ1 2024","Currency=USD","Period=FQ","BEST_FPERIOD_OVERRIDE=FQ","FILING_STATUS=MR","Sort=A","Dates=H","DateFormat=P","Fill=—","Direction=H","UseDPDF=Y")</f>
        <v>1.6980999999999999</v>
      </c>
      <c r="Y6" s="14">
        <f>_xll.BDH("NBIX US Equity","CASH_RATIO","FQ2 2024","FQ2 2024","Currency=USD","Period=FQ","BEST_FPERIOD_OVERRIDE=FQ","FILING_STATUS=MR","Sort=A","Dates=H","DateFormat=P","Fill=—","Direction=H","UseDPDF=Y")</f>
        <v>2.6070000000000002</v>
      </c>
      <c r="Z6" s="14">
        <f>_xll.BDH("NBIX US Equity","CASH_RATIO","FQ3 2024","FQ3 2024","Currency=USD","Period=FQ","BEST_FPERIOD_OVERRIDE=FQ","FILING_STATUS=MR","Sort=A","Dates=H","DateFormat=P","Fill=—","Direction=H","UseDPDF=Y")</f>
        <v>2.8578000000000001</v>
      </c>
      <c r="AA6" s="14">
        <f>_xll.BDH("NBIX US Equity","CASH_RATIO","FQ4 2024","FQ4 2024","Currency=USD","Period=FQ","BEST_FPERIOD_OVERRIDE=FQ","FILING_STATUS=MR","Sort=A","Dates=H","DateFormat=P","Fill=—","Direction=H","UseDPDF=Y")</f>
        <v>2.1196000000000002</v>
      </c>
    </row>
    <row r="7" spans="1:27" x14ac:dyDescent="0.25">
      <c r="A7" s="10" t="s">
        <v>809</v>
      </c>
      <c r="B7" s="10" t="s">
        <v>810</v>
      </c>
      <c r="C7" s="14">
        <f>_xll.BDH("NBIX US Equity","CUR_RATIO","FQ4 2018","FQ4 2018","Currency=USD","Period=FQ","BEST_FPERIOD_OVERRIDE=FQ","FILING_STATUS=MR","Sort=A","Dates=H","DateFormat=P","Fill=—","Direction=H","UseDPDF=Y")</f>
        <v>8.3617000000000008</v>
      </c>
      <c r="D7" s="14">
        <f>_xll.BDH("NBIX US Equity","CUR_RATIO","FQ1 2019","FQ1 2019","Currency=USD","Period=FQ","BEST_FPERIOD_OVERRIDE=FQ","FILING_STATUS=MR","Sort=A","Dates=H","DateFormat=P","Fill=—","Direction=H","UseDPDF=Y")</f>
        <v>8.7940000000000005</v>
      </c>
      <c r="E7" s="14">
        <f>_xll.BDH("NBIX US Equity","CUR_RATIO","FQ2 2019","FQ2 2019","Currency=USD","Period=FQ","BEST_FPERIOD_OVERRIDE=FQ","FILING_STATUS=MR","Sort=A","Dates=H","DateFormat=P","Fill=—","Direction=H","UseDPDF=Y")</f>
        <v>7.4442000000000004</v>
      </c>
      <c r="F7" s="14">
        <f>_xll.BDH("NBIX US Equity","CUR_RATIO","FQ3 2019","FQ3 2019","Currency=USD","Period=FQ","BEST_FPERIOD_OVERRIDE=FQ","FILING_STATUS=MR","Sort=A","Dates=H","DateFormat=P","Fill=—","Direction=H","UseDPDF=Y")</f>
        <v>7.0835999999999997</v>
      </c>
      <c r="G7" s="14">
        <f>_xll.BDH("NBIX US Equity","CUR_RATIO","FQ4 2019","FQ4 2019","Currency=USD","Period=FQ","BEST_FPERIOD_OVERRIDE=FQ","FILING_STATUS=MR","Sort=A","Dates=H","DateFormat=P","Fill=—","Direction=H","UseDPDF=Y")</f>
        <v>1.47</v>
      </c>
      <c r="H7" s="14">
        <f>_xll.BDH("NBIX US Equity","CUR_RATIO","FQ1 2020","FQ1 2020","Currency=USD","Period=FQ","BEST_FPERIOD_OVERRIDE=FQ","FILING_STATUS=MR","Sort=A","Dates=H","DateFormat=P","Fill=—","Direction=H","UseDPDF=Y")</f>
        <v>6.9009</v>
      </c>
      <c r="I7" s="14">
        <f>_xll.BDH("NBIX US Equity","CUR_RATIO","FQ2 2020","FQ2 2020","Currency=USD","Period=FQ","BEST_FPERIOD_OVERRIDE=FQ","FILING_STATUS=MR","Sort=A","Dates=H","DateFormat=P","Fill=—","Direction=H","UseDPDF=Y")</f>
        <v>2.0003000000000002</v>
      </c>
      <c r="J7" s="14">
        <f>_xll.BDH("NBIX US Equity","CUR_RATIO","FQ3 2020","FQ3 2020","Currency=USD","Period=FQ","BEST_FPERIOD_OVERRIDE=FQ","FILING_STATUS=MR","Sort=A","Dates=H","DateFormat=P","Fill=—","Direction=H","UseDPDF=Y")</f>
        <v>1.8935</v>
      </c>
      <c r="K7" s="14">
        <f>_xll.BDH("NBIX US Equity","CUR_RATIO","FQ4 2020","FQ4 2020","Currency=USD","Period=FQ","BEST_FPERIOD_OVERRIDE=FQ","FILING_STATUS=MR","Sort=A","Dates=H","DateFormat=P","Fill=—","Direction=H","UseDPDF=Y")</f>
        <v>5.4488000000000003</v>
      </c>
      <c r="L7" s="14">
        <f>_xll.BDH("NBIX US Equity","CUR_RATIO","FQ1 2021","FQ1 2021","Currency=USD","Period=FQ","BEST_FPERIOD_OVERRIDE=FQ","FILING_STATUS=MR","Sort=A","Dates=H","DateFormat=P","Fill=—","Direction=H","UseDPDF=Y")</f>
        <v>5.7126000000000001</v>
      </c>
      <c r="M7" s="14">
        <f>_xll.BDH("NBIX US Equity","CUR_RATIO","FQ2 2021","FQ2 2021","Currency=USD","Period=FQ","BEST_FPERIOD_OVERRIDE=FQ","FILING_STATUS=MR","Sort=A","Dates=H","DateFormat=P","Fill=—","Direction=H","UseDPDF=Y")</f>
        <v>5.2141999999999999</v>
      </c>
      <c r="N7" s="14">
        <f>_xll.BDH("NBIX US Equity","CUR_RATIO","FQ3 2021","FQ3 2021","Currency=USD","Period=FQ","BEST_FPERIOD_OVERRIDE=FQ","FILING_STATUS=MR","Sort=A","Dates=H","DateFormat=P","Fill=—","Direction=H","UseDPDF=Y")</f>
        <v>4.452</v>
      </c>
      <c r="O7" s="14">
        <f>_xll.BDH("NBIX US Equity","CUR_RATIO","FQ4 2021","FQ4 2021","Currency=USD","Period=FQ","BEST_FPERIOD_OVERRIDE=FQ","FILING_STATUS=MR","Sort=A","Dates=H","DateFormat=P","Fill=—","Direction=H","UseDPDF=Y")</f>
        <v>3.9577</v>
      </c>
      <c r="P7" s="14">
        <f>_xll.BDH("NBIX US Equity","CUR_RATIO","FQ1 2022","FQ1 2022","Currency=USD","Period=FQ","BEST_FPERIOD_OVERRIDE=FQ","FILING_STATUS=MR","Sort=A","Dates=H","DateFormat=P","Fill=—","Direction=H","UseDPDF=Y")</f>
        <v>4.0166000000000004</v>
      </c>
      <c r="Q7" s="14">
        <f>_xll.BDH("NBIX US Equity","CUR_RATIO","FQ2 2022","FQ2 2022","Currency=USD","Period=FQ","BEST_FPERIOD_OVERRIDE=FQ","FILING_STATUS=MR","Sort=A","Dates=H","DateFormat=P","Fill=—","Direction=H","UseDPDF=Y")</f>
        <v>3.5676999999999999</v>
      </c>
      <c r="R7" s="14">
        <f>_xll.BDH("NBIX US Equity","CUR_RATIO","FQ3 2022","FQ3 2022","Currency=USD","Period=FQ","BEST_FPERIOD_OVERRIDE=FQ","FILING_STATUS=MR","Sort=A","Dates=H","DateFormat=P","Fill=—","Direction=H","UseDPDF=Y")</f>
        <v>2.4851000000000001</v>
      </c>
      <c r="S7" s="14">
        <f>_xll.BDH("NBIX US Equity","CUR_RATIO","FQ4 2022","FQ4 2022","Currency=USD","Period=FQ","BEST_FPERIOD_OVERRIDE=FQ","FILING_STATUS=MR","Sort=A","Dates=H","DateFormat=P","Fill=—","Direction=H","UseDPDF=Y")</f>
        <v>2.7031999999999998</v>
      </c>
      <c r="T7" s="14">
        <f>_xll.BDH("NBIX US Equity","CUR_RATIO","FQ1 2023","FQ1 2023","Currency=USD","Period=FQ","BEST_FPERIOD_OVERRIDE=FQ","FILING_STATUS=MR","Sort=A","Dates=H","DateFormat=P","Fill=—","Direction=H","UseDPDF=Y")</f>
        <v>3.83</v>
      </c>
      <c r="U7" s="14">
        <f>_xll.BDH("NBIX US Equity","CUR_RATIO","FQ2 2023","FQ2 2023","Currency=USD","Period=FQ","BEST_FPERIOD_OVERRIDE=FQ","FILING_STATUS=MR","Sort=A","Dates=H","DateFormat=P","Fill=—","Direction=H","UseDPDF=Y")</f>
        <v>2.5693000000000001</v>
      </c>
      <c r="V7" s="14">
        <f>_xll.BDH("NBIX US Equity","CUR_RATIO","FQ3 2023","FQ3 2023","Currency=USD","Period=FQ","BEST_FPERIOD_OVERRIDE=FQ","FILING_STATUS=MR","Sort=A","Dates=H","DateFormat=P","Fill=—","Direction=H","UseDPDF=Y")</f>
        <v>2.3856000000000002</v>
      </c>
      <c r="W7" s="14">
        <f>_xll.BDH("NBIX US Equity","CUR_RATIO","FQ4 2023","FQ4 2023","Currency=USD","Period=FQ","BEST_FPERIOD_OVERRIDE=FQ","FILING_STATUS=MR","Sort=A","Dates=H","DateFormat=P","Fill=—","Direction=H","UseDPDF=Y")</f>
        <v>2.4542000000000002</v>
      </c>
      <c r="X7" s="14">
        <f>_xll.BDH("NBIX US Equity","CUR_RATIO","FQ1 2024","FQ1 2024","Currency=USD","Period=FQ","BEST_FPERIOD_OVERRIDE=FQ","FILING_STATUS=MR","Sort=A","Dates=H","DateFormat=P","Fill=—","Direction=H","UseDPDF=Y")</f>
        <v>2.5234999999999999</v>
      </c>
      <c r="Y7" s="14">
        <f>_xll.BDH("NBIX US Equity","CUR_RATIO","FQ2 2024","FQ2 2024","Currency=USD","Period=FQ","BEST_FPERIOD_OVERRIDE=FQ","FILING_STATUS=MR","Sort=A","Dates=H","DateFormat=P","Fill=—","Direction=H","UseDPDF=Y")</f>
        <v>4.1901999999999999</v>
      </c>
      <c r="Z7" s="14">
        <f>_xll.BDH("NBIX US Equity","CUR_RATIO","FQ3 2024","FQ3 2024","Currency=USD","Period=FQ","BEST_FPERIOD_OVERRIDE=FQ","FILING_STATUS=MR","Sort=A","Dates=H","DateFormat=P","Fill=—","Direction=H","UseDPDF=Y")</f>
        <v>4.3672000000000004</v>
      </c>
      <c r="AA7" s="14">
        <f>_xll.BDH("NBIX US Equity","CUR_RATIO","FQ4 2024","FQ4 2024","Currency=USD","Period=FQ","BEST_FPERIOD_OVERRIDE=FQ","FILING_STATUS=MR","Sort=A","Dates=H","DateFormat=P","Fill=—","Direction=H","UseDPDF=Y")</f>
        <v>3.3971</v>
      </c>
    </row>
    <row r="8" spans="1:27" x14ac:dyDescent="0.25">
      <c r="A8" s="10" t="s">
        <v>1432</v>
      </c>
      <c r="B8" s="10" t="s">
        <v>1433</v>
      </c>
      <c r="C8" s="14">
        <f>_xll.BDH("NBIX US Equity","QUICK_RATIO","FQ4 2018","FQ4 2018","Currency=USD","Period=FQ","BEST_FPERIOD_OVERRIDE=FQ","FILING_STATUS=MR","Sort=A","Dates=H","DateFormat=P","Fill=—","Direction=H","UseDPDF=Y")</f>
        <v>8.0145999999999997</v>
      </c>
      <c r="D8" s="14">
        <f>_xll.BDH("NBIX US Equity","QUICK_RATIO","FQ1 2019","FQ1 2019","Currency=USD","Period=FQ","BEST_FPERIOD_OVERRIDE=FQ","FILING_STATUS=MR","Sort=A","Dates=H","DateFormat=P","Fill=—","Direction=H","UseDPDF=Y")</f>
        <v>8.2779000000000007</v>
      </c>
      <c r="E8" s="14">
        <f>_xll.BDH("NBIX US Equity","QUICK_RATIO","FQ2 2019","FQ2 2019","Currency=USD","Period=FQ","BEST_FPERIOD_OVERRIDE=FQ","FILING_STATUS=MR","Sort=A","Dates=H","DateFormat=P","Fill=—","Direction=H","UseDPDF=Y")</f>
        <v>7.1115000000000004</v>
      </c>
      <c r="F8" s="14">
        <f>_xll.BDH("NBIX US Equity","QUICK_RATIO","FQ3 2019","FQ3 2019","Currency=USD","Period=FQ","BEST_FPERIOD_OVERRIDE=FQ","FILING_STATUS=MR","Sort=A","Dates=H","DateFormat=P","Fill=—","Direction=H","UseDPDF=Y")</f>
        <v>6.7918000000000003</v>
      </c>
      <c r="G8" s="14">
        <f>_xll.BDH("NBIX US Equity","QUICK_RATIO","FQ4 2019","FQ4 2019","Currency=USD","Period=FQ","BEST_FPERIOD_OVERRIDE=FQ","FILING_STATUS=MR","Sort=A","Dates=H","DateFormat=P","Fill=—","Direction=H","UseDPDF=Y")</f>
        <v>1.41</v>
      </c>
      <c r="H8" s="14">
        <f>_xll.BDH("NBIX US Equity","QUICK_RATIO","FQ1 2020","FQ1 2020","Currency=USD","Period=FQ","BEST_FPERIOD_OVERRIDE=FQ","FILING_STATUS=MR","Sort=A","Dates=H","DateFormat=P","Fill=—","Direction=H","UseDPDF=Y")</f>
        <v>6.5594999999999999</v>
      </c>
      <c r="I8" s="14">
        <f>_xll.BDH("NBIX US Equity","QUICK_RATIO","FQ2 2020","FQ2 2020","Currency=USD","Period=FQ","BEST_FPERIOD_OVERRIDE=FQ","FILING_STATUS=MR","Sort=A","Dates=H","DateFormat=P","Fill=—","Direction=H","UseDPDF=Y")</f>
        <v>1.9139999999999999</v>
      </c>
      <c r="J8" s="14">
        <f>_xll.BDH("NBIX US Equity","QUICK_RATIO","FQ3 2020","FQ3 2020","Currency=USD","Period=FQ","BEST_FPERIOD_OVERRIDE=FQ","FILING_STATUS=MR","Sort=A","Dates=H","DateFormat=P","Fill=—","Direction=H","UseDPDF=Y")</f>
        <v>1.8028999999999999</v>
      </c>
      <c r="K8" s="14">
        <f>_xll.BDH("NBIX US Equity","QUICK_RATIO","FQ4 2020","FQ4 2020","Currency=USD","Period=FQ","BEST_FPERIOD_OVERRIDE=FQ","FILING_STATUS=MR","Sort=A","Dates=H","DateFormat=P","Fill=—","Direction=H","UseDPDF=Y")</f>
        <v>5.1372999999999998</v>
      </c>
      <c r="L8" s="14">
        <f>_xll.BDH("NBIX US Equity","QUICK_RATIO","FQ1 2021","FQ1 2021","Currency=USD","Period=FQ","BEST_FPERIOD_OVERRIDE=FQ","FILING_STATUS=MR","Sort=A","Dates=H","DateFormat=P","Fill=—","Direction=H","UseDPDF=Y")</f>
        <v>5.3762999999999996</v>
      </c>
      <c r="M8" s="14">
        <f>_xll.BDH("NBIX US Equity","QUICK_RATIO","FQ2 2021","FQ2 2021","Currency=USD","Period=FQ","BEST_FPERIOD_OVERRIDE=FQ","FILING_STATUS=MR","Sort=A","Dates=H","DateFormat=P","Fill=—","Direction=H","UseDPDF=Y")</f>
        <v>4.9009</v>
      </c>
      <c r="N8" s="14">
        <f>_xll.BDH("NBIX US Equity","QUICK_RATIO","FQ3 2021","FQ3 2021","Currency=USD","Period=FQ","BEST_FPERIOD_OVERRIDE=FQ","FILING_STATUS=MR","Sort=A","Dates=H","DateFormat=P","Fill=—","Direction=H","UseDPDF=Y")</f>
        <v>4.1154999999999999</v>
      </c>
      <c r="O8" s="14">
        <f>_xll.BDH("NBIX US Equity","QUICK_RATIO","FQ4 2021","FQ4 2021","Currency=USD","Period=FQ","BEST_FPERIOD_OVERRIDE=FQ","FILING_STATUS=MR","Sort=A","Dates=H","DateFormat=P","Fill=—","Direction=H","UseDPDF=Y")</f>
        <v>3.6484999999999999</v>
      </c>
      <c r="P8" s="14">
        <f>_xll.BDH("NBIX US Equity","QUICK_RATIO","FQ1 2022","FQ1 2022","Currency=USD","Period=FQ","BEST_FPERIOD_OVERRIDE=FQ","FILING_STATUS=MR","Sort=A","Dates=H","DateFormat=P","Fill=—","Direction=H","UseDPDF=Y")</f>
        <v>3.6623000000000001</v>
      </c>
      <c r="Q8" s="14">
        <f>_xll.BDH("NBIX US Equity","QUICK_RATIO","FQ2 2022","FQ2 2022","Currency=USD","Period=FQ","BEST_FPERIOD_OVERRIDE=FQ","FILING_STATUS=MR","Sort=A","Dates=H","DateFormat=P","Fill=—","Direction=H","UseDPDF=Y")</f>
        <v>3.2456999999999998</v>
      </c>
      <c r="R8" s="14">
        <f>_xll.BDH("NBIX US Equity","QUICK_RATIO","FQ3 2022","FQ3 2022","Currency=USD","Period=FQ","BEST_FPERIOD_OVERRIDE=FQ","FILING_STATUS=MR","Sort=A","Dates=H","DateFormat=P","Fill=—","Direction=H","UseDPDF=Y")</f>
        <v>2.2688000000000001</v>
      </c>
      <c r="S8" s="14">
        <f>_xll.BDH("NBIX US Equity","QUICK_RATIO","FQ4 2022","FQ4 2022","Currency=USD","Period=FQ","BEST_FPERIOD_OVERRIDE=FQ","FILING_STATUS=MR","Sort=A","Dates=H","DateFormat=P","Fill=—","Direction=H","UseDPDF=Y")</f>
        <v>2.4908000000000001</v>
      </c>
      <c r="T8" s="14">
        <f>_xll.BDH("NBIX US Equity","QUICK_RATIO","FQ1 2023","FQ1 2023","Currency=USD","Period=FQ","BEST_FPERIOD_OVERRIDE=FQ","FILING_STATUS=MR","Sort=A","Dates=H","DateFormat=P","Fill=—","Direction=H","UseDPDF=Y")</f>
        <v>3.4380999999999999</v>
      </c>
      <c r="U8" s="14">
        <f>_xll.BDH("NBIX US Equity","QUICK_RATIO","FQ2 2023","FQ2 2023","Currency=USD","Period=FQ","BEST_FPERIOD_OVERRIDE=FQ","FILING_STATUS=MR","Sort=A","Dates=H","DateFormat=P","Fill=—","Direction=H","UseDPDF=Y")</f>
        <v>2.3420999999999998</v>
      </c>
      <c r="V8" s="14">
        <f>_xll.BDH("NBIX US Equity","QUICK_RATIO","FQ3 2023","FQ3 2023","Currency=USD","Period=FQ","BEST_FPERIOD_OVERRIDE=FQ","FILING_STATUS=MR","Sort=A","Dates=H","DateFormat=P","Fill=—","Direction=H","UseDPDF=Y")</f>
        <v>2.1875</v>
      </c>
      <c r="W8" s="14">
        <f>_xll.BDH("NBIX US Equity","QUICK_RATIO","FQ4 2023","FQ4 2023","Currency=USD","Period=FQ","BEST_FPERIOD_OVERRIDE=FQ","FILING_STATUS=MR","Sort=A","Dates=H","DateFormat=P","Fill=—","Direction=H","UseDPDF=Y")</f>
        <v>2.2463000000000002</v>
      </c>
      <c r="X8" s="14">
        <f>_xll.BDH("NBIX US Equity","QUICK_RATIO","FQ1 2024","FQ1 2024","Currency=USD","Period=FQ","BEST_FPERIOD_OVERRIDE=FQ","FILING_STATUS=MR","Sort=A","Dates=H","DateFormat=P","Fill=—","Direction=H","UseDPDF=Y")</f>
        <v>2.3302999999999998</v>
      </c>
      <c r="Y8" s="14">
        <f>_xll.BDH("NBIX US Equity","QUICK_RATIO","FQ2 2024","FQ2 2024","Currency=USD","Period=FQ","BEST_FPERIOD_OVERRIDE=FQ","FILING_STATUS=MR","Sort=A","Dates=H","DateFormat=P","Fill=—","Direction=H","UseDPDF=Y")</f>
        <v>3.7818999999999998</v>
      </c>
      <c r="Z8" s="14">
        <f>_xll.BDH("NBIX US Equity","QUICK_RATIO","FQ3 2024","FQ3 2024","Currency=USD","Period=FQ","BEST_FPERIOD_OVERRIDE=FQ","FILING_STATUS=MR","Sort=A","Dates=H","DateFormat=P","Fill=—","Direction=H","UseDPDF=Y")</f>
        <v>3.9773999999999998</v>
      </c>
      <c r="AA8" s="14">
        <f>_xll.BDH("NBIX US Equity","QUICK_RATIO","FQ4 2024","FQ4 2024","Currency=USD","Period=FQ","BEST_FPERIOD_OVERRIDE=FQ","FILING_STATUS=MR","Sort=A","Dates=H","DateFormat=P","Fill=—","Direction=H","UseDPDF=Y")</f>
        <v>3.0632000000000001</v>
      </c>
    </row>
    <row r="9" spans="1:27" x14ac:dyDescent="0.25">
      <c r="A9" s="10" t="s">
        <v>1434</v>
      </c>
      <c r="B9" s="10" t="s">
        <v>1435</v>
      </c>
      <c r="C9" s="14">
        <f>_xll.BDH("NBIX US Equity","CFO_TO_AVG_CURRENT_LIABILITIES","FQ4 2018","FQ4 2018","Currency=USD","Period=FQ","BEST_FPERIOD_OVERRIDE=FQ","FILING_STATUS=MR","Sort=A","Dates=H","DateFormat=P","Fill=—","Direction=H","UseDPDF=Y")</f>
        <v>1.4211</v>
      </c>
      <c r="D9" s="14">
        <f>_xll.BDH("NBIX US Equity","CFO_TO_AVG_CURRENT_LIABILITIES","FQ1 2019","FQ1 2019","Currency=USD","Period=FQ","BEST_FPERIOD_OVERRIDE=FQ","FILING_STATUS=MR","Sort=A","Dates=H","DateFormat=P","Fill=—","Direction=H","UseDPDF=Y")</f>
        <v>0.46189999999999998</v>
      </c>
      <c r="E9" s="14">
        <f>_xll.BDH("NBIX US Equity","CFO_TO_AVG_CURRENT_LIABILITIES","FQ2 2019","FQ2 2019","Currency=USD","Period=FQ","BEST_FPERIOD_OVERRIDE=FQ","FILING_STATUS=MR","Sort=A","Dates=H","DateFormat=P","Fill=—","Direction=H","UseDPDF=Y")</f>
        <v>0.87519999999999998</v>
      </c>
      <c r="F9" s="14">
        <f>_xll.BDH("NBIX US Equity","CFO_TO_AVG_CURRENT_LIABILITIES","FQ3 2019","FQ3 2019","Currency=USD","Period=FQ","BEST_FPERIOD_OVERRIDE=FQ","FILING_STATUS=MR","Sort=A","Dates=H","DateFormat=P","Fill=—","Direction=H","UseDPDF=Y")</f>
        <v>0.34949999999999998</v>
      </c>
      <c r="G9" s="14">
        <f>_xll.BDH("NBIX US Equity","CFO_TO_AVG_CURRENT_LIABILITIES","FQ4 2019","FQ4 2019","Currency=USD","Period=FQ","BEST_FPERIOD_OVERRIDE=FQ","FILING_STATUS=MR","Sort=A","Dates=H","DateFormat=P","Fill=—","Direction=H","UseDPDF=Y")</f>
        <v>0.44990000000000002</v>
      </c>
      <c r="H9" s="14">
        <f>_xll.BDH("NBIX US Equity","CFO_TO_AVG_CURRENT_LIABILITIES","FQ1 2020","FQ1 2020","Currency=USD","Period=FQ","BEST_FPERIOD_OVERRIDE=FQ","FILING_STATUS=MR","Sort=A","Dates=H","DateFormat=P","Fill=—","Direction=H","UseDPDF=Y")</f>
        <v>2.7789999999999999</v>
      </c>
      <c r="I9" s="14">
        <f>_xll.BDH("NBIX US Equity","CFO_TO_AVG_CURRENT_LIABILITIES","FQ2 2020","FQ2 2020","Currency=USD","Period=FQ","BEST_FPERIOD_OVERRIDE=FQ","FILING_STATUS=MR","Sort=A","Dates=H","DateFormat=P","Fill=—","Direction=H","UseDPDF=Y")</f>
        <v>1.0384</v>
      </c>
      <c r="J9" s="14">
        <f>_xll.BDH("NBIX US Equity","CFO_TO_AVG_CURRENT_LIABILITIES","FQ3 2020","FQ3 2020","Currency=USD","Period=FQ","BEST_FPERIOD_OVERRIDE=FQ","FILING_STATUS=MR","Sort=A","Dates=H","DateFormat=P","Fill=—","Direction=H","UseDPDF=Y")</f>
        <v>0.63719999999999999</v>
      </c>
      <c r="K9" s="14">
        <f>_xll.BDH("NBIX US Equity","CFO_TO_AVG_CURRENT_LIABILITIES","FQ4 2020","FQ4 2020","Currency=USD","Period=FQ","BEST_FPERIOD_OVERRIDE=FQ","FILING_STATUS=MR","Sort=A","Dates=H","DateFormat=P","Fill=—","Direction=H","UseDPDF=Y")</f>
        <v>0.6079</v>
      </c>
      <c r="L9" s="14">
        <f>_xll.BDH("NBIX US Equity","CFO_TO_AVG_CURRENT_LIABILITIES","FQ1 2021","FQ1 2021","Currency=USD","Period=FQ","BEST_FPERIOD_OVERRIDE=FQ","FILING_STATUS=MR","Sort=A","Dates=H","DateFormat=P","Fill=—","Direction=H","UseDPDF=Y")</f>
        <v>1.6972</v>
      </c>
      <c r="M9" s="14">
        <f>_xll.BDH("NBIX US Equity","CFO_TO_AVG_CURRENT_LIABILITIES","FQ2 2021","FQ2 2021","Currency=USD","Period=FQ","BEST_FPERIOD_OVERRIDE=FQ","FILING_STATUS=MR","Sort=A","Dates=H","DateFormat=P","Fill=—","Direction=H","UseDPDF=Y")</f>
        <v>0.6734</v>
      </c>
      <c r="N9" s="14">
        <f>_xll.BDH("NBIX US Equity","CFO_TO_AVG_CURRENT_LIABILITIES","FQ3 2021","FQ3 2021","Currency=USD","Period=FQ","BEST_FPERIOD_OVERRIDE=FQ","FILING_STATUS=MR","Sort=A","Dates=H","DateFormat=P","Fill=—","Direction=H","UseDPDF=Y")</f>
        <v>0.82879999999999998</v>
      </c>
      <c r="O9" s="14">
        <f>_xll.BDH("NBIX US Equity","CFO_TO_AVG_CURRENT_LIABILITIES","FQ4 2021","FQ4 2021","Currency=USD","Period=FQ","BEST_FPERIOD_OVERRIDE=FQ","FILING_STATUS=MR","Sort=A","Dates=H","DateFormat=P","Fill=—","Direction=H","UseDPDF=Y")</f>
        <v>1.1867000000000001</v>
      </c>
      <c r="P9" s="14">
        <f>_xll.BDH("NBIX US Equity","CFO_TO_AVG_CURRENT_LIABILITIES","FQ1 2022","FQ1 2022","Currency=USD","Period=FQ","BEST_FPERIOD_OVERRIDE=FQ","FILING_STATUS=MR","Sort=A","Dates=H","DateFormat=P","Fill=—","Direction=H","UseDPDF=Y")</f>
        <v>0.58040000000000003</v>
      </c>
      <c r="Q9" s="14">
        <f>_xll.BDH("NBIX US Equity","CFO_TO_AVG_CURRENT_LIABILITIES","FQ2 2022","FQ2 2022","Currency=USD","Period=FQ","BEST_FPERIOD_OVERRIDE=FQ","FILING_STATUS=MR","Sort=A","Dates=H","DateFormat=P","Fill=—","Direction=H","UseDPDF=Y")</f>
        <v>0.65620000000000001</v>
      </c>
      <c r="R9" s="14">
        <f>_xll.BDH("NBIX US Equity","CFO_TO_AVG_CURRENT_LIABILITIES","FQ3 2022","FQ3 2022","Currency=USD","Period=FQ","BEST_FPERIOD_OVERRIDE=FQ","FILING_STATUS=MR","Sort=A","Dates=H","DateFormat=P","Fill=—","Direction=H","UseDPDF=Y")</f>
        <v>0.56430000000000002</v>
      </c>
      <c r="S9" s="14">
        <f>_xll.BDH("NBIX US Equity","CFO_TO_AVG_CURRENT_LIABILITIES","FQ4 2022","FQ4 2022","Currency=USD","Period=FQ","BEST_FPERIOD_OVERRIDE=FQ","FILING_STATUS=MR","Sort=A","Dates=H","DateFormat=P","Fill=—","Direction=H","UseDPDF=Y")</f>
        <v>0.86639999999999995</v>
      </c>
      <c r="T9" s="14">
        <f>_xll.BDH("NBIX US Equity","CFO_TO_AVG_CURRENT_LIABILITIES","FQ1 2023","FQ1 2023","Currency=USD","Period=FQ","BEST_FPERIOD_OVERRIDE=FQ","FILING_STATUS=MR","Sort=A","Dates=H","DateFormat=P","Fill=—","Direction=H","UseDPDF=Y")</f>
        <v>0.81169999999999998</v>
      </c>
      <c r="U9" s="14">
        <f>_xll.BDH("NBIX US Equity","CFO_TO_AVG_CURRENT_LIABILITIES","FQ2 2023","FQ2 2023","Currency=USD","Period=FQ","BEST_FPERIOD_OVERRIDE=FQ","FILING_STATUS=MR","Sort=A","Dates=H","DateFormat=P","Fill=—","Direction=H","UseDPDF=Y")</f>
        <v>0.68230000000000002</v>
      </c>
      <c r="V9" s="14">
        <f>_xll.BDH("NBIX US Equity","CFO_TO_AVG_CURRENT_LIABILITIES","FQ3 2023","FQ3 2023","Currency=USD","Period=FQ","BEST_FPERIOD_OVERRIDE=FQ","FILING_STATUS=MR","Sort=A","Dates=H","DateFormat=P","Fill=—","Direction=H","UseDPDF=Y")</f>
        <v>0.69579999999999997</v>
      </c>
      <c r="W9" s="14">
        <f>_xll.BDH("NBIX US Equity","CFO_TO_AVG_CURRENT_LIABILITIES","FQ4 2023","FQ4 2023","Currency=USD","Period=FQ","BEST_FPERIOD_OVERRIDE=FQ","FILING_STATUS=MR","Sort=A","Dates=H","DateFormat=P","Fill=—","Direction=H","UseDPDF=Y")</f>
        <v>0.65390000000000004</v>
      </c>
      <c r="X9" s="14">
        <f>_xll.BDH("NBIX US Equity","CFO_TO_AVG_CURRENT_LIABILITIES","FQ1 2024","FQ1 2024","Currency=USD","Period=FQ","BEST_FPERIOD_OVERRIDE=FQ","FILING_STATUS=MR","Sort=A","Dates=H","DateFormat=P","Fill=—","Direction=H","UseDPDF=Y")</f>
        <v>1.1875</v>
      </c>
      <c r="Y9" s="14">
        <f>_xll.BDH("NBIX US Equity","CFO_TO_AVG_CURRENT_LIABILITIES","FQ2 2024","FQ2 2024","Currency=USD","Period=FQ","BEST_FPERIOD_OVERRIDE=FQ","FILING_STATUS=MR","Sort=A","Dates=H","DateFormat=P","Fill=—","Direction=H","UseDPDF=Y")</f>
        <v>1.0812999999999999</v>
      </c>
      <c r="Z9" s="14">
        <f>_xll.BDH("NBIX US Equity","CFO_TO_AVG_CURRENT_LIABILITIES","FQ3 2024","FQ3 2024","Currency=USD","Period=FQ","BEST_FPERIOD_OVERRIDE=FQ","FILING_STATUS=MR","Sort=A","Dates=H","DateFormat=P","Fill=—","Direction=H","UseDPDF=Y")</f>
        <v>0.84970000000000001</v>
      </c>
      <c r="AA9" s="14">
        <f>_xll.BDH("NBIX US Equity","CFO_TO_AVG_CURRENT_LIABILITIES","FQ4 2024","FQ4 2024","Currency=USD","Period=FQ","BEST_FPERIOD_OVERRIDE=FQ","FILING_STATUS=MR","Sort=A","Dates=H","DateFormat=P","Fill=—","Direction=H","UseDPDF=Y")</f>
        <v>1.0243</v>
      </c>
    </row>
    <row r="10" spans="1:27" x14ac:dyDescent="0.25">
      <c r="A10" s="10" t="s">
        <v>1389</v>
      </c>
      <c r="B10" s="10" t="s">
        <v>1390</v>
      </c>
      <c r="C10" s="14">
        <f>_xll.BDH("NBIX US Equity","COM_EQY_TO_TOT_ASSET","FQ4 2018","FQ4 2018","Currency=USD","Period=FQ","BEST_FPERIOD_OVERRIDE=FQ","FILING_STATUS=MR","Sort=A","Dates=H","DateFormat=P","Fill=—","Direction=H","UseDPDF=Y")</f>
        <v>48.408000000000001</v>
      </c>
      <c r="D10" s="14">
        <f>_xll.BDH("NBIX US Equity","COM_EQY_TO_TOT_ASSET","FQ1 2019","FQ1 2019","Currency=USD","Period=FQ","BEST_FPERIOD_OVERRIDE=FQ","FILING_STATUS=MR","Sort=A","Dates=H","DateFormat=P","Fill=—","Direction=H","UseDPDF=Y")</f>
        <v>42.734200000000001</v>
      </c>
      <c r="E10" s="14">
        <f>_xll.BDH("NBIX US Equity","COM_EQY_TO_TOT_ASSET","FQ2 2019","FQ2 2019","Currency=USD","Period=FQ","BEST_FPERIOD_OVERRIDE=FQ","FILING_STATUS=MR","Sort=A","Dates=H","DateFormat=P","Fill=—","Direction=H","UseDPDF=Y")</f>
        <v>45.339199999999998</v>
      </c>
      <c r="F10" s="14">
        <f>_xll.BDH("NBIX US Equity","COM_EQY_TO_TOT_ASSET","FQ3 2019","FQ3 2019","Currency=USD","Period=FQ","BEST_FPERIOD_OVERRIDE=FQ","FILING_STATUS=MR","Sort=A","Dates=H","DateFormat=P","Fill=—","Direction=H","UseDPDF=Y")</f>
        <v>48.690399999999997</v>
      </c>
      <c r="G10" s="14">
        <f>_xll.BDH("NBIX US Equity","COM_EQY_TO_TOT_ASSET","FQ4 2019","FQ4 2019","Currency=USD","Period=FQ","BEST_FPERIOD_OVERRIDE=FQ","FILING_STATUS=MR","Sort=A","Dates=H","DateFormat=P","Fill=—","Direction=H","UseDPDF=Y")</f>
        <v>48.767200000000003</v>
      </c>
      <c r="H10" s="14">
        <f>_xll.BDH("NBIX US Equity","COM_EQY_TO_TOT_ASSET","FQ1 2020","FQ1 2020","Currency=USD","Period=FQ","BEST_FPERIOD_OVERRIDE=FQ","FILING_STATUS=MR","Sort=A","Dates=H","DateFormat=P","Fill=—","Direction=H","UseDPDF=Y")</f>
        <v>51.4208</v>
      </c>
      <c r="I10" s="14">
        <f>_xll.BDH("NBIX US Equity","COM_EQY_TO_TOT_ASSET","FQ2 2020","FQ2 2020","Currency=USD","Period=FQ","BEST_FPERIOD_OVERRIDE=FQ","FILING_STATUS=MR","Sort=A","Dates=H","DateFormat=P","Fill=—","Direction=H","UseDPDF=Y")</f>
        <v>54.843000000000004</v>
      </c>
      <c r="J10" s="14">
        <f>_xll.BDH("NBIX US Equity","COM_EQY_TO_TOT_ASSET","FQ3 2020","FQ3 2020","Currency=USD","Period=FQ","BEST_FPERIOD_OVERRIDE=FQ","FILING_STATUS=MR","Sort=A","Dates=H","DateFormat=P","Fill=—","Direction=H","UseDPDF=Y")</f>
        <v>53.527200000000001</v>
      </c>
      <c r="K10" s="14">
        <f>_xll.BDH("NBIX US Equity","COM_EQY_TO_TOT_ASSET","FQ4 2020","FQ4 2020","Currency=USD","Period=FQ","BEST_FPERIOD_OVERRIDE=FQ","FILING_STATUS=MR","Sort=A","Dates=H","DateFormat=P","Fill=—","Direction=H","UseDPDF=Y")</f>
        <v>64.921899999999994</v>
      </c>
      <c r="L10" s="14">
        <f>_xll.BDH("NBIX US Equity","COM_EQY_TO_TOT_ASSET","FQ1 2021","FQ1 2021","Currency=USD","Period=FQ","BEST_FPERIOD_OVERRIDE=FQ","FILING_STATUS=MR","Sort=A","Dates=H","DateFormat=P","Fill=—","Direction=H","UseDPDF=Y")</f>
        <v>65.294600000000003</v>
      </c>
      <c r="M10" s="14">
        <f>_xll.BDH("NBIX US Equity","COM_EQY_TO_TOT_ASSET","FQ2 2021","FQ2 2021","Currency=USD","Period=FQ","BEST_FPERIOD_OVERRIDE=FQ","FILING_STATUS=MR","Sort=A","Dates=H","DateFormat=P","Fill=—","Direction=H","UseDPDF=Y")</f>
        <v>65.385400000000004</v>
      </c>
      <c r="N10" s="14">
        <f>_xll.BDH("NBIX US Equity","COM_EQY_TO_TOT_ASSET","FQ3 2021","FQ3 2021","Currency=USD","Period=FQ","BEST_FPERIOD_OVERRIDE=FQ","FILING_STATUS=MR","Sort=A","Dates=H","DateFormat=P","Fill=—","Direction=H","UseDPDF=Y")</f>
        <v>66.722800000000007</v>
      </c>
      <c r="O10" s="14">
        <f>_xll.BDH("NBIX US Equity","COM_EQY_TO_TOT_ASSET","FQ4 2021","FQ4 2021","Currency=USD","Period=FQ","BEST_FPERIOD_OVERRIDE=FQ","FILING_STATUS=MR","Sort=A","Dates=H","DateFormat=P","Fill=—","Direction=H","UseDPDF=Y")</f>
        <v>66.296700000000001</v>
      </c>
      <c r="P10" s="14">
        <f>_xll.BDH("NBIX US Equity","COM_EQY_TO_TOT_ASSET","FQ1 2022","FQ1 2022","Currency=USD","Period=FQ","BEST_FPERIOD_OVERRIDE=FQ","FILING_STATUS=MR","Sort=A","Dates=H","DateFormat=P","Fill=—","Direction=H","UseDPDF=Y")</f>
        <v>64.868300000000005</v>
      </c>
      <c r="Q10" s="14">
        <f>_xll.BDH("NBIX US Equity","COM_EQY_TO_TOT_ASSET","FQ2 2022","FQ2 2022","Currency=USD","Period=FQ","BEST_FPERIOD_OVERRIDE=FQ","FILING_STATUS=MR","Sort=A","Dates=H","DateFormat=P","Fill=—","Direction=H","UseDPDF=Y")</f>
        <v>70.967699999999994</v>
      </c>
      <c r="R10" s="14">
        <f>_xll.BDH("NBIX US Equity","COM_EQY_TO_TOT_ASSET","FQ3 2022","FQ3 2022","Currency=USD","Period=FQ","BEST_FPERIOD_OVERRIDE=FQ","FILING_STATUS=MR","Sort=A","Dates=H","DateFormat=P","Fill=—","Direction=H","UseDPDF=Y")</f>
        <v>72.063100000000006</v>
      </c>
      <c r="S10" s="14">
        <f>_xll.BDH("NBIX US Equity","COM_EQY_TO_TOT_ASSET","FQ4 2022","FQ4 2022","Currency=USD","Period=FQ","BEST_FPERIOD_OVERRIDE=FQ","FILING_STATUS=MR","Sort=A","Dates=H","DateFormat=P","Fill=—","Direction=H","UseDPDF=Y")</f>
        <v>72.098600000000005</v>
      </c>
      <c r="T10" s="14">
        <f>_xll.BDH("NBIX US Equity","COM_EQY_TO_TOT_ASSET","FQ1 2023","FQ1 2023","Currency=USD","Period=FQ","BEST_FPERIOD_OVERRIDE=FQ","FILING_STATUS=MR","Sort=A","Dates=H","DateFormat=P","Fill=—","Direction=H","UseDPDF=Y")</f>
        <v>71.383200000000002</v>
      </c>
      <c r="U10" s="14">
        <f>_xll.BDH("NBIX US Equity","COM_EQY_TO_TOT_ASSET","FQ2 2023","FQ2 2023","Currency=USD","Period=FQ","BEST_FPERIOD_OVERRIDE=FQ","FILING_STATUS=MR","Sort=A","Dates=H","DateFormat=P","Fill=—","Direction=H","UseDPDF=Y")</f>
        <v>70.911900000000003</v>
      </c>
      <c r="V10" s="14">
        <f>_xll.BDH("NBIX US Equity","COM_EQY_TO_TOT_ASSET","FQ3 2023","FQ3 2023","Currency=USD","Period=FQ","BEST_FPERIOD_OVERRIDE=FQ","FILING_STATUS=MR","Sort=A","Dates=H","DateFormat=P","Fill=—","Direction=H","UseDPDF=Y")</f>
        <v>70.293499999999995</v>
      </c>
      <c r="W10" s="14">
        <f>_xll.BDH("NBIX US Equity","COM_EQY_TO_TOT_ASSET","FQ4 2023","FQ4 2023","Currency=USD","Period=FQ","BEST_FPERIOD_OVERRIDE=FQ","FILING_STATUS=MR","Sort=A","Dates=H","DateFormat=P","Fill=—","Direction=H","UseDPDF=Y")</f>
        <v>68.647400000000005</v>
      </c>
      <c r="X10" s="14">
        <f>_xll.BDH("NBIX US Equity","COM_EQY_TO_TOT_ASSET","FQ1 2024","FQ1 2024","Currency=USD","Period=FQ","BEST_FPERIOD_OVERRIDE=FQ","FILING_STATUS=MR","Sort=A","Dates=H","DateFormat=P","Fill=—","Direction=H","UseDPDF=Y")</f>
        <v>68.716200000000001</v>
      </c>
      <c r="Y10" s="14">
        <f>_xll.BDH("NBIX US Equity","COM_EQY_TO_TOT_ASSET","FQ2 2024","FQ2 2024","Currency=USD","Period=FQ","BEST_FPERIOD_OVERRIDE=FQ","FILING_STATUS=MR","Sort=A","Dates=H","DateFormat=P","Fill=—","Direction=H","UseDPDF=Y")</f>
        <v>75.921300000000002</v>
      </c>
      <c r="Z10" s="14">
        <f>_xll.BDH("NBIX US Equity","COM_EQY_TO_TOT_ASSET","FQ3 2024","FQ3 2024","Currency=USD","Period=FQ","BEST_FPERIOD_OVERRIDE=FQ","FILING_STATUS=MR","Sort=A","Dates=H","DateFormat=P","Fill=—","Direction=H","UseDPDF=Y")</f>
        <v>76.913700000000006</v>
      </c>
      <c r="AA10" s="14">
        <f>_xll.BDH("NBIX US Equity","COM_EQY_TO_TOT_ASSET","FQ4 2024","FQ4 2024","Currency=USD","Period=FQ","BEST_FPERIOD_OVERRIDE=FQ","FILING_STATUS=MR","Sort=A","Dates=H","DateFormat=P","Fill=—","Direction=H","UseDPDF=Y")</f>
        <v>69.639899999999997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1391</v>
      </c>
      <c r="B12" s="10" t="s">
        <v>1392</v>
      </c>
      <c r="C12" s="14">
        <f>_xll.BDH("NBIX US Equity","LT_DEBT_TO_TOT_EQY","FQ4 2018","FQ4 2018","Currency=USD","Period=FQ","BEST_FPERIOD_OVERRIDE=FQ","FILING_STATUS=MR","Sort=A","Dates=H","DateFormat=P","Fill=—","Direction=H","UseDPDF=Y")</f>
        <v>80.807900000000004</v>
      </c>
      <c r="D12" s="14">
        <f>_xll.BDH("NBIX US Equity","LT_DEBT_TO_TOT_EQY","FQ1 2019","FQ1 2019","Currency=USD","Period=FQ","BEST_FPERIOD_OVERRIDE=FQ","FILING_STATUS=MR","Sort=A","Dates=H","DateFormat=P","Fill=—","Direction=H","UseDPDF=Y")</f>
        <v>112.5361</v>
      </c>
      <c r="E12" s="14">
        <f>_xll.BDH("NBIX US Equity","LT_DEBT_TO_TOT_EQY","FQ2 2019","FQ2 2019","Currency=USD","Period=FQ","BEST_FPERIOD_OVERRIDE=FQ","FILING_STATUS=MR","Sort=A","Dates=H","DateFormat=P","Fill=—","Direction=H","UseDPDF=Y")</f>
        <v>96.060599999999994</v>
      </c>
      <c r="F12" s="14">
        <f>_xll.BDH("NBIX US Equity","LT_DEBT_TO_TOT_EQY","FQ3 2019","FQ3 2019","Currency=USD","Period=FQ","BEST_FPERIOD_OVERRIDE=FQ","FILING_STATUS=MR","Sort=A","Dates=H","DateFormat=P","Fill=—","Direction=H","UseDPDF=Y")</f>
        <v>83.212999999999994</v>
      </c>
      <c r="G12" s="14">
        <f>_xll.BDH("NBIX US Equity","LT_DEBT_TO_TOT_EQY","FQ4 2019","FQ4 2019","Currency=USD","Period=FQ","BEST_FPERIOD_OVERRIDE=FQ","FILING_STATUS=MR","Sort=A","Dates=H","DateFormat=P","Fill=—","Direction=H","UseDPDF=Y")</f>
        <v>13.6128</v>
      </c>
      <c r="H12" s="14">
        <f>_xll.BDH("NBIX US Equity","LT_DEBT_TO_TOT_EQY","FQ1 2020","FQ1 2020","Currency=USD","Period=FQ","BEST_FPERIOD_OVERRIDE=FQ","FILING_STATUS=MR","Sort=A","Dates=H","DateFormat=P","Fill=—","Direction=H","UseDPDF=Y")</f>
        <v>71.355099999999993</v>
      </c>
      <c r="I12" s="14">
        <f>_xll.BDH("NBIX US Equity","LT_DEBT_TO_TOT_EQY","FQ2 2020","FQ2 2020","Currency=USD","Period=FQ","BEST_FPERIOD_OVERRIDE=FQ","FILING_STATUS=MR","Sort=A","Dates=H","DateFormat=P","Fill=—","Direction=H","UseDPDF=Y")</f>
        <v>10.141999999999999</v>
      </c>
      <c r="J12" s="14">
        <f>_xll.BDH("NBIX US Equity","LT_DEBT_TO_TOT_EQY","FQ3 2020","FQ3 2020","Currency=USD","Period=FQ","BEST_FPERIOD_OVERRIDE=FQ","FILING_STATUS=MR","Sort=A","Dates=H","DateFormat=P","Fill=—","Direction=H","UseDPDF=Y")</f>
        <v>10.3195</v>
      </c>
      <c r="K12" s="14">
        <f>_xll.BDH("NBIX US Equity","LT_DEBT_TO_TOT_EQY","FQ4 2020","FQ4 2020","Currency=USD","Period=FQ","BEST_FPERIOD_OVERRIDE=FQ","FILING_STATUS=MR","Sort=A","Dates=H","DateFormat=P","Fill=—","Direction=H","UseDPDF=Y")</f>
        <v>36.6098</v>
      </c>
      <c r="L12" s="14">
        <f>_xll.BDH("NBIX US Equity","LT_DEBT_TO_TOT_EQY","FQ1 2021","FQ1 2021","Currency=USD","Period=FQ","BEST_FPERIOD_OVERRIDE=FQ","FILING_STATUS=MR","Sort=A","Dates=H","DateFormat=P","Fill=—","Direction=H","UseDPDF=Y")</f>
        <v>35.625399999999999</v>
      </c>
      <c r="M12" s="14">
        <f>_xll.BDH("NBIX US Equity","LT_DEBT_TO_TOT_EQY","FQ2 2021","FQ2 2021","Currency=USD","Period=FQ","BEST_FPERIOD_OVERRIDE=FQ","FILING_STATUS=MR","Sort=A","Dates=H","DateFormat=P","Fill=—","Direction=H","UseDPDF=Y")</f>
        <v>34.0291</v>
      </c>
      <c r="N12" s="14">
        <f>_xll.BDH("NBIX US Equity","LT_DEBT_TO_TOT_EQY","FQ3 2021","FQ3 2021","Currency=USD","Period=FQ","BEST_FPERIOD_OVERRIDE=FQ","FILING_STATUS=MR","Sort=A","Dates=H","DateFormat=P","Fill=—","Direction=H","UseDPDF=Y")</f>
        <v>32.473999999999997</v>
      </c>
      <c r="O12" s="14">
        <f>_xll.BDH("NBIX US Equity","LT_DEBT_TO_TOT_EQY","FQ4 2021","FQ4 2021","Currency=USD","Period=FQ","BEST_FPERIOD_OVERRIDE=FQ","FILING_STATUS=MR","Sort=A","Dates=H","DateFormat=P","Fill=—","Direction=H","UseDPDF=Y")</f>
        <v>32.052399999999999</v>
      </c>
      <c r="P12" s="14">
        <f>_xll.BDH("NBIX US Equity","LT_DEBT_TO_TOT_EQY","FQ1 2022","FQ1 2022","Currency=USD","Period=FQ","BEST_FPERIOD_OVERRIDE=FQ","FILING_STATUS=MR","Sort=A","Dates=H","DateFormat=P","Fill=—","Direction=H","UseDPDF=Y")</f>
        <v>34.519399999999997</v>
      </c>
      <c r="Q12" s="14">
        <f>_xll.BDH("NBIX US Equity","LT_DEBT_TO_TOT_EQY","FQ2 2022","FQ2 2022","Currency=USD","Period=FQ","BEST_FPERIOD_OVERRIDE=FQ","FILING_STATUS=MR","Sort=A","Dates=H","DateFormat=P","Fill=—","Direction=H","UseDPDF=Y")</f>
        <v>18.8703</v>
      </c>
      <c r="R12" s="14">
        <f>_xll.BDH("NBIX US Equity","LT_DEBT_TO_TOT_EQY","FQ3 2022","FQ3 2022","Currency=USD","Period=FQ","BEST_FPERIOD_OVERRIDE=FQ","FILING_STATUS=MR","Sort=A","Dates=H","DateFormat=P","Fill=—","Direction=H","UseDPDF=Y")</f>
        <v>6.2539999999999996</v>
      </c>
      <c r="S12" s="14">
        <f>_xll.BDH("NBIX US Equity","LT_DEBT_TO_TOT_EQY","FQ4 2022","FQ4 2022","Currency=USD","Period=FQ","BEST_FPERIOD_OVERRIDE=FQ","FILING_STATUS=MR","Sort=A","Dates=H","DateFormat=P","Fill=—","Direction=H","UseDPDF=Y")</f>
        <v>5.4748999999999999</v>
      </c>
      <c r="T12" s="14">
        <f>_xll.BDH("NBIX US Equity","LT_DEBT_TO_TOT_EQY","FQ1 2023","FQ1 2023","Currency=USD","Period=FQ","BEST_FPERIOD_OVERRIDE=FQ","FILING_STATUS=MR","Sort=A","Dates=H","DateFormat=P","Fill=—","Direction=H","UseDPDF=Y")</f>
        <v>15.428900000000001</v>
      </c>
      <c r="U12" s="14">
        <f>_xll.BDH("NBIX US Equity","LT_DEBT_TO_TOT_EQY","FQ2 2023","FQ2 2023","Currency=USD","Period=FQ","BEST_FPERIOD_OVERRIDE=FQ","FILING_STATUS=MR","Sort=A","Dates=H","DateFormat=P","Fill=—","Direction=H","UseDPDF=Y")</f>
        <v>4.8083999999999998</v>
      </c>
      <c r="V12" s="14">
        <f>_xll.BDH("NBIX US Equity","LT_DEBT_TO_TOT_EQY","FQ3 2023","FQ3 2023","Currency=USD","Period=FQ","BEST_FPERIOD_OVERRIDE=FQ","FILING_STATUS=MR","Sort=A","Dates=H","DateFormat=P","Fill=—","Direction=H","UseDPDF=Y")</f>
        <v>4.2904999999999998</v>
      </c>
      <c r="W12" s="14">
        <f>_xll.BDH("NBIX US Equity","LT_DEBT_TO_TOT_EQY","FQ4 2023","FQ4 2023","Currency=USD","Period=FQ","BEST_FPERIOD_OVERRIDE=FQ","FILING_STATUS=MR","Sort=A","Dates=H","DateFormat=P","Fill=—","Direction=H","UseDPDF=Y")</f>
        <v>11.5726</v>
      </c>
      <c r="X12" s="14">
        <f>_xll.BDH("NBIX US Equity","LT_DEBT_TO_TOT_EQY","FQ1 2024","FQ1 2024","Currency=USD","Period=FQ","BEST_FPERIOD_OVERRIDE=FQ","FILING_STATUS=MR","Sort=A","Dates=H","DateFormat=P","Fill=—","Direction=H","UseDPDF=Y")</f>
        <v>10.5989</v>
      </c>
      <c r="Y12" s="14">
        <f>_xll.BDH("NBIX US Equity","LT_DEBT_TO_TOT_EQY","FQ2 2024","FQ2 2024","Currency=USD","Period=FQ","BEST_FPERIOD_OVERRIDE=FQ","FILING_STATUS=MR","Sort=A","Dates=H","DateFormat=P","Fill=—","Direction=H","UseDPDF=Y")</f>
        <v>10.2104</v>
      </c>
      <c r="Z12" s="14">
        <f>_xll.BDH("NBIX US Equity","LT_DEBT_TO_TOT_EQY","FQ3 2024","FQ3 2024","Currency=USD","Period=FQ","BEST_FPERIOD_OVERRIDE=FQ","FILING_STATUS=MR","Sort=A","Dates=H","DateFormat=P","Fill=—","Direction=H","UseDPDF=Y")</f>
        <v>9.2463999999999995</v>
      </c>
      <c r="AA12" s="14">
        <f>_xll.BDH("NBIX US Equity","LT_DEBT_TO_TOT_EQY","FQ4 2024","FQ4 2024","Currency=USD","Period=FQ","BEST_FPERIOD_OVERRIDE=FQ","FILING_STATUS=MR","Sort=A","Dates=H","DateFormat=P","Fill=—","Direction=H","UseDPDF=Y")</f>
        <v>17.573499999999999</v>
      </c>
    </row>
    <row r="13" spans="1:27" x14ac:dyDescent="0.25">
      <c r="A13" s="10" t="s">
        <v>1393</v>
      </c>
      <c r="B13" s="10" t="s">
        <v>1394</v>
      </c>
      <c r="C13" s="14">
        <f>_xll.BDH("NBIX US Equity","LT_DEBT_TO_TOT_CAP","FQ4 2018","FQ4 2018","Currency=USD","Period=FQ","BEST_FPERIOD_OVERRIDE=FQ","FILING_STATUS=MR","Sort=A","Dates=H","DateFormat=P","Fill=—","Direction=H","UseDPDF=Y")</f>
        <v>44.692700000000002</v>
      </c>
      <c r="D13" s="14">
        <f>_xll.BDH("NBIX US Equity","LT_DEBT_TO_TOT_CAP","FQ1 2019","FQ1 2019","Currency=USD","Period=FQ","BEST_FPERIOD_OVERRIDE=FQ","FILING_STATUS=MR","Sort=A","Dates=H","DateFormat=P","Fill=—","Direction=H","UseDPDF=Y")</f>
        <v>52.750999999999998</v>
      </c>
      <c r="E13" s="14">
        <f>_xll.BDH("NBIX US Equity","LT_DEBT_TO_TOT_CAP","FQ2 2019","FQ2 2019","Currency=USD","Period=FQ","BEST_FPERIOD_OVERRIDE=FQ","FILING_STATUS=MR","Sort=A","Dates=H","DateFormat=P","Fill=—","Direction=H","UseDPDF=Y")</f>
        <v>48.802399999999999</v>
      </c>
      <c r="F13" s="14">
        <f>_xll.BDH("NBIX US Equity","LT_DEBT_TO_TOT_CAP","FQ3 2019","FQ3 2019","Currency=USD","Period=FQ","BEST_FPERIOD_OVERRIDE=FQ","FILING_STATUS=MR","Sort=A","Dates=H","DateFormat=P","Fill=—","Direction=H","UseDPDF=Y")</f>
        <v>45.069400000000002</v>
      </c>
      <c r="G13" s="14">
        <f>_xll.BDH("NBIX US Equity","LT_DEBT_TO_TOT_CAP","FQ4 2019","FQ4 2019","Currency=USD","Period=FQ","BEST_FPERIOD_OVERRIDE=FQ","FILING_STATUS=MR","Sort=A","Dates=H","DateFormat=P","Fill=—","Direction=H","UseDPDF=Y")</f>
        <v>7.6006999999999998</v>
      </c>
      <c r="H13" s="14">
        <f>_xll.BDH("NBIX US Equity","LT_DEBT_TO_TOT_CAP","FQ1 2020","FQ1 2020","Currency=USD","Period=FQ","BEST_FPERIOD_OVERRIDE=FQ","FILING_STATUS=MR","Sort=A","Dates=H","DateFormat=P","Fill=—","Direction=H","UseDPDF=Y")</f>
        <v>41.338500000000003</v>
      </c>
      <c r="I13" s="14">
        <f>_xll.BDH("NBIX US Equity","LT_DEBT_TO_TOT_CAP","FQ2 2020","FQ2 2020","Currency=USD","Period=FQ","BEST_FPERIOD_OVERRIDE=FQ","FILING_STATUS=MR","Sort=A","Dates=H","DateFormat=P","Fill=—","Direction=H","UseDPDF=Y")</f>
        <v>6.2713999999999999</v>
      </c>
      <c r="J13" s="14">
        <f>_xll.BDH("NBIX US Equity","LT_DEBT_TO_TOT_CAP","FQ3 2020","FQ3 2020","Currency=USD","Period=FQ","BEST_FPERIOD_OVERRIDE=FQ","FILING_STATUS=MR","Sort=A","Dates=H","DateFormat=P","Fill=—","Direction=H","UseDPDF=Y")</f>
        <v>6.2784000000000004</v>
      </c>
      <c r="K13" s="14">
        <f>_xll.BDH("NBIX US Equity","LT_DEBT_TO_TOT_CAP","FQ4 2020","FQ4 2020","Currency=USD","Period=FQ","BEST_FPERIOD_OVERRIDE=FQ","FILING_STATUS=MR","Sort=A","Dates=H","DateFormat=P","Fill=—","Direction=H","UseDPDF=Y")</f>
        <v>26.6206</v>
      </c>
      <c r="L13" s="14">
        <f>_xll.BDH("NBIX US Equity","LT_DEBT_TO_TOT_CAP","FQ1 2021","FQ1 2021","Currency=USD","Period=FQ","BEST_FPERIOD_OVERRIDE=FQ","FILING_STATUS=MR","Sort=A","Dates=H","DateFormat=P","Fill=—","Direction=H","UseDPDF=Y")</f>
        <v>26.073</v>
      </c>
      <c r="M13" s="14">
        <f>_xll.BDH("NBIX US Equity","LT_DEBT_TO_TOT_CAP","FQ2 2021","FQ2 2021","Currency=USD","Period=FQ","BEST_FPERIOD_OVERRIDE=FQ","FILING_STATUS=MR","Sort=A","Dates=H","DateFormat=P","Fill=—","Direction=H","UseDPDF=Y")</f>
        <v>25.1691</v>
      </c>
      <c r="N13" s="14">
        <f>_xll.BDH("NBIX US Equity","LT_DEBT_TO_TOT_CAP","FQ3 2021","FQ3 2021","Currency=USD","Period=FQ","BEST_FPERIOD_OVERRIDE=FQ","FILING_STATUS=MR","Sort=A","Dates=H","DateFormat=P","Fill=—","Direction=H","UseDPDF=Y")</f>
        <v>24.302199999999999</v>
      </c>
      <c r="O13" s="14">
        <f>_xll.BDH("NBIX US Equity","LT_DEBT_TO_TOT_CAP","FQ4 2021","FQ4 2021","Currency=USD","Period=FQ","BEST_FPERIOD_OVERRIDE=FQ","FILING_STATUS=MR","Sort=A","Dates=H","DateFormat=P","Fill=—","Direction=H","UseDPDF=Y")</f>
        <v>24.053699999999999</v>
      </c>
      <c r="P13" s="14">
        <f>_xll.BDH("NBIX US Equity","LT_DEBT_TO_TOT_CAP","FQ1 2022","FQ1 2022","Currency=USD","Period=FQ","BEST_FPERIOD_OVERRIDE=FQ","FILING_STATUS=MR","Sort=A","Dates=H","DateFormat=P","Fill=—","Direction=H","UseDPDF=Y")</f>
        <v>25.4316</v>
      </c>
      <c r="Q13" s="14">
        <f>_xll.BDH("NBIX US Equity","LT_DEBT_TO_TOT_CAP","FQ2 2022","FQ2 2022","Currency=USD","Period=FQ","BEST_FPERIOD_OVERRIDE=FQ","FILING_STATUS=MR","Sort=A","Dates=H","DateFormat=P","Fill=—","Direction=H","UseDPDF=Y")</f>
        <v>15.7159</v>
      </c>
      <c r="R13" s="14">
        <f>_xll.BDH("NBIX US Equity","LT_DEBT_TO_TOT_CAP","FQ3 2022","FQ3 2022","Currency=USD","Period=FQ","BEST_FPERIOD_OVERRIDE=FQ","FILING_STATUS=MR","Sort=A","Dates=H","DateFormat=P","Fill=—","Direction=H","UseDPDF=Y")</f>
        <v>5.2853000000000003</v>
      </c>
      <c r="S13" s="14">
        <f>_xll.BDH("NBIX US Equity","LT_DEBT_TO_TOT_CAP","FQ4 2022","FQ4 2022","Currency=USD","Period=FQ","BEST_FPERIOD_OVERRIDE=FQ","FILING_STATUS=MR","Sort=A","Dates=H","DateFormat=P","Fill=—","Direction=H","UseDPDF=Y")</f>
        <v>4.7445000000000004</v>
      </c>
      <c r="T13" s="14">
        <f>_xll.BDH("NBIX US Equity","LT_DEBT_TO_TOT_CAP","FQ1 2023","FQ1 2023","Currency=USD","Period=FQ","BEST_FPERIOD_OVERRIDE=FQ","FILING_STATUS=MR","Sort=A","Dates=H","DateFormat=P","Fill=—","Direction=H","UseDPDF=Y")</f>
        <v>13.3666</v>
      </c>
      <c r="U13" s="14">
        <f>_xll.BDH("NBIX US Equity","LT_DEBT_TO_TOT_CAP","FQ2 2023","FQ2 2023","Currency=USD","Period=FQ","BEST_FPERIOD_OVERRIDE=FQ","FILING_STATUS=MR","Sort=A","Dates=H","DateFormat=P","Fill=—","Direction=H","UseDPDF=Y")</f>
        <v>4.1840999999999999</v>
      </c>
      <c r="V13" s="14">
        <f>_xll.BDH("NBIX US Equity","LT_DEBT_TO_TOT_CAP","FQ3 2023","FQ3 2023","Currency=USD","Period=FQ","BEST_FPERIOD_OVERRIDE=FQ","FILING_STATUS=MR","Sort=A","Dates=H","DateFormat=P","Fill=—","Direction=H","UseDPDF=Y")</f>
        <v>3.7747000000000002</v>
      </c>
      <c r="W13" s="14">
        <f>_xll.BDH("NBIX US Equity","LT_DEBT_TO_TOT_CAP","FQ4 2023","FQ4 2023","Currency=USD","Period=FQ","BEST_FPERIOD_OVERRIDE=FQ","FILING_STATUS=MR","Sort=A","Dates=H","DateFormat=P","Fill=—","Direction=H","UseDPDF=Y")</f>
        <v>9.5937000000000001</v>
      </c>
      <c r="X13" s="14">
        <f>_xll.BDH("NBIX US Equity","LT_DEBT_TO_TOT_CAP","FQ1 2024","FQ1 2024","Currency=USD","Period=FQ","BEST_FPERIOD_OVERRIDE=FQ","FILING_STATUS=MR","Sort=A","Dates=H","DateFormat=P","Fill=—","Direction=H","UseDPDF=Y")</f>
        <v>9.0425000000000004</v>
      </c>
      <c r="Y13" s="14">
        <f>_xll.BDH("NBIX US Equity","LT_DEBT_TO_TOT_CAP","FQ2 2024","FQ2 2024","Currency=USD","Period=FQ","BEST_FPERIOD_OVERRIDE=FQ","FILING_STATUS=MR","Sort=A","Dates=H","DateFormat=P","Fill=—","Direction=H","UseDPDF=Y")</f>
        <v>9.1473999999999993</v>
      </c>
      <c r="Z13" s="14">
        <f>_xll.BDH("NBIX US Equity","LT_DEBT_TO_TOT_CAP","FQ3 2024","FQ3 2024","Currency=USD","Period=FQ","BEST_FPERIOD_OVERRIDE=FQ","FILING_STATUS=MR","Sort=A","Dates=H","DateFormat=P","Fill=—","Direction=H","UseDPDF=Y")</f>
        <v>8.3658000000000001</v>
      </c>
      <c r="AA13" s="14">
        <f>_xll.BDH("NBIX US Equity","LT_DEBT_TO_TOT_CAP","FQ4 2024","FQ4 2024","Currency=USD","Period=FQ","BEST_FPERIOD_OVERRIDE=FQ","FILING_STATUS=MR","Sort=A","Dates=H","DateFormat=P","Fill=—","Direction=H","UseDPDF=Y")</f>
        <v>14.7501</v>
      </c>
    </row>
    <row r="14" spans="1:27" x14ac:dyDescent="0.25">
      <c r="A14" s="10" t="s">
        <v>1395</v>
      </c>
      <c r="B14" s="10" t="s">
        <v>1396</v>
      </c>
      <c r="C14" s="14">
        <f>_xll.BDH("NBIX US Equity","LT_DEBT_TO_TOT_ASSET","FQ4 2018","FQ4 2018","Currency=USD","Period=FQ","BEST_FPERIOD_OVERRIDE=FQ","FILING_STATUS=MR","Sort=A","Dates=H","DateFormat=P","Fill=—","Direction=H","UseDPDF=Y")</f>
        <v>39.1175</v>
      </c>
      <c r="D14" s="14">
        <f>_xll.BDH("NBIX US Equity","LT_DEBT_TO_TOT_ASSET","FQ1 2019","FQ1 2019","Currency=USD","Period=FQ","BEST_FPERIOD_OVERRIDE=FQ","FILING_STATUS=MR","Sort=A","Dates=H","DateFormat=P","Fill=—","Direction=H","UseDPDF=Y")</f>
        <v>48.0914</v>
      </c>
      <c r="E14" s="14">
        <f>_xll.BDH("NBIX US Equity","LT_DEBT_TO_TOT_ASSET","FQ2 2019","FQ2 2019","Currency=USD","Period=FQ","BEST_FPERIOD_OVERRIDE=FQ","FILING_STATUS=MR","Sort=A","Dates=H","DateFormat=P","Fill=—","Direction=H","UseDPDF=Y")</f>
        <v>43.553100000000001</v>
      </c>
      <c r="F14" s="14">
        <f>_xll.BDH("NBIX US Equity","LT_DEBT_TO_TOT_ASSET","FQ3 2019","FQ3 2019","Currency=USD","Period=FQ","BEST_FPERIOD_OVERRIDE=FQ","FILING_STATUS=MR","Sort=A","Dates=H","DateFormat=P","Fill=—","Direction=H","UseDPDF=Y")</f>
        <v>40.5167</v>
      </c>
      <c r="G14" s="14">
        <f>_xll.BDH("NBIX US Equity","LT_DEBT_TO_TOT_ASSET","FQ4 2019","FQ4 2019","Currency=USD","Period=FQ","BEST_FPERIOD_OVERRIDE=FQ","FILING_STATUS=MR","Sort=A","Dates=H","DateFormat=P","Fill=—","Direction=H","UseDPDF=Y")</f>
        <v>6.6386000000000003</v>
      </c>
      <c r="H14" s="14">
        <f>_xll.BDH("NBIX US Equity","LT_DEBT_TO_TOT_ASSET","FQ1 2020","FQ1 2020","Currency=USD","Period=FQ","BEST_FPERIOD_OVERRIDE=FQ","FILING_STATUS=MR","Sort=A","Dates=H","DateFormat=P","Fill=—","Direction=H","UseDPDF=Y")</f>
        <v>36.691400000000002</v>
      </c>
      <c r="I14" s="14">
        <f>_xll.BDH("NBIX US Equity","LT_DEBT_TO_TOT_ASSET","FQ2 2020","FQ2 2020","Currency=USD","Period=FQ","BEST_FPERIOD_OVERRIDE=FQ","FILING_STATUS=MR","Sort=A","Dates=H","DateFormat=P","Fill=—","Direction=H","UseDPDF=Y")</f>
        <v>5.5621999999999998</v>
      </c>
      <c r="J14" s="14">
        <f>_xll.BDH("NBIX US Equity","LT_DEBT_TO_TOT_ASSET","FQ3 2020","FQ3 2020","Currency=USD","Period=FQ","BEST_FPERIOD_OVERRIDE=FQ","FILING_STATUS=MR","Sort=A","Dates=H","DateFormat=P","Fill=—","Direction=H","UseDPDF=Y")</f>
        <v>5.5237999999999996</v>
      </c>
      <c r="K14" s="14">
        <f>_xll.BDH("NBIX US Equity","LT_DEBT_TO_TOT_ASSET","FQ4 2020","FQ4 2020","Currency=USD","Period=FQ","BEST_FPERIOD_OVERRIDE=FQ","FILING_STATUS=MR","Sort=A","Dates=H","DateFormat=P","Fill=—","Direction=H","UseDPDF=Y")</f>
        <v>23.767800000000001</v>
      </c>
      <c r="L14" s="14">
        <f>_xll.BDH("NBIX US Equity","LT_DEBT_TO_TOT_ASSET","FQ1 2021","FQ1 2021","Currency=USD","Period=FQ","BEST_FPERIOD_OVERRIDE=FQ","FILING_STATUS=MR","Sort=A","Dates=H","DateFormat=P","Fill=—","Direction=H","UseDPDF=Y")</f>
        <v>23.261500000000002</v>
      </c>
      <c r="M14" s="14">
        <f>_xll.BDH("NBIX US Equity","LT_DEBT_TO_TOT_ASSET","FQ2 2021","FQ2 2021","Currency=USD","Period=FQ","BEST_FPERIOD_OVERRIDE=FQ","FILING_STATUS=MR","Sort=A","Dates=H","DateFormat=P","Fill=—","Direction=H","UseDPDF=Y")</f>
        <v>22.2501</v>
      </c>
      <c r="N14" s="14">
        <f>_xll.BDH("NBIX US Equity","LT_DEBT_TO_TOT_ASSET","FQ3 2021","FQ3 2021","Currency=USD","Period=FQ","BEST_FPERIOD_OVERRIDE=FQ","FILING_STATUS=MR","Sort=A","Dates=H","DateFormat=P","Fill=—","Direction=H","UseDPDF=Y")</f>
        <v>21.6676</v>
      </c>
      <c r="O14" s="14">
        <f>_xll.BDH("NBIX US Equity","LT_DEBT_TO_TOT_ASSET","FQ4 2021","FQ4 2021","Currency=USD","Period=FQ","BEST_FPERIOD_OVERRIDE=FQ","FILING_STATUS=MR","Sort=A","Dates=H","DateFormat=P","Fill=—","Direction=H","UseDPDF=Y")</f>
        <v>21.249700000000001</v>
      </c>
      <c r="P14" s="14">
        <f>_xll.BDH("NBIX US Equity","LT_DEBT_TO_TOT_ASSET","FQ1 2022","FQ1 2022","Currency=USD","Period=FQ","BEST_FPERIOD_OVERRIDE=FQ","FILING_STATUS=MR","Sort=A","Dates=H","DateFormat=P","Fill=—","Direction=H","UseDPDF=Y")</f>
        <v>22.392199999999999</v>
      </c>
      <c r="Q14" s="14">
        <f>_xll.BDH("NBIX US Equity","LT_DEBT_TO_TOT_ASSET","FQ2 2022","FQ2 2022","Currency=USD","Period=FQ","BEST_FPERIOD_OVERRIDE=FQ","FILING_STATUS=MR","Sort=A","Dates=H","DateFormat=P","Fill=—","Direction=H","UseDPDF=Y")</f>
        <v>13.3918</v>
      </c>
      <c r="R14" s="14">
        <f>_xll.BDH("NBIX US Equity","LT_DEBT_TO_TOT_ASSET","FQ3 2022","FQ3 2022","Currency=USD","Period=FQ","BEST_FPERIOD_OVERRIDE=FQ","FILING_STATUS=MR","Sort=A","Dates=H","DateFormat=P","Fill=—","Direction=H","UseDPDF=Y")</f>
        <v>4.5068999999999999</v>
      </c>
      <c r="S14" s="14">
        <f>_xll.BDH("NBIX US Equity","LT_DEBT_TO_TOT_ASSET","FQ4 2022","FQ4 2022","Currency=USD","Period=FQ","BEST_FPERIOD_OVERRIDE=FQ","FILING_STATUS=MR","Sort=A","Dates=H","DateFormat=P","Fill=—","Direction=H","UseDPDF=Y")</f>
        <v>3.9472999999999998</v>
      </c>
      <c r="T14" s="14">
        <f>_xll.BDH("NBIX US Equity","LT_DEBT_TO_TOT_ASSET","FQ1 2023","FQ1 2023","Currency=USD","Period=FQ","BEST_FPERIOD_OVERRIDE=FQ","FILING_STATUS=MR","Sort=A","Dates=H","DateFormat=P","Fill=—","Direction=H","UseDPDF=Y")</f>
        <v>11.0136</v>
      </c>
      <c r="U14" s="14">
        <f>_xll.BDH("NBIX US Equity","LT_DEBT_TO_TOT_ASSET","FQ2 2023","FQ2 2023","Currency=USD","Period=FQ","BEST_FPERIOD_OVERRIDE=FQ","FILING_STATUS=MR","Sort=A","Dates=H","DateFormat=P","Fill=—","Direction=H","UseDPDF=Y")</f>
        <v>3.4097</v>
      </c>
      <c r="V14" s="14">
        <f>_xll.BDH("NBIX US Equity","LT_DEBT_TO_TOT_ASSET","FQ3 2023","FQ3 2023","Currency=USD","Period=FQ","BEST_FPERIOD_OVERRIDE=FQ","FILING_STATUS=MR","Sort=A","Dates=H","DateFormat=P","Fill=—","Direction=H","UseDPDF=Y")</f>
        <v>3.0158999999999998</v>
      </c>
      <c r="W14" s="14">
        <f>_xll.BDH("NBIX US Equity","LT_DEBT_TO_TOT_ASSET","FQ4 2023","FQ4 2023","Currency=USD","Period=FQ","BEST_FPERIOD_OVERRIDE=FQ","FILING_STATUS=MR","Sort=A","Dates=H","DateFormat=P","Fill=—","Direction=H","UseDPDF=Y")</f>
        <v>7.9443000000000001</v>
      </c>
      <c r="X14" s="14">
        <f>_xll.BDH("NBIX US Equity","LT_DEBT_TO_TOT_ASSET","FQ1 2024","FQ1 2024","Currency=USD","Period=FQ","BEST_FPERIOD_OVERRIDE=FQ","FILING_STATUS=MR","Sort=A","Dates=H","DateFormat=P","Fill=—","Direction=H","UseDPDF=Y")</f>
        <v>7.2831000000000001</v>
      </c>
      <c r="Y14" s="14">
        <f>_xll.BDH("NBIX US Equity","LT_DEBT_TO_TOT_ASSET","FQ2 2024","FQ2 2024","Currency=USD","Period=FQ","BEST_FPERIOD_OVERRIDE=FQ","FILING_STATUS=MR","Sort=A","Dates=H","DateFormat=P","Fill=—","Direction=H","UseDPDF=Y")</f>
        <v>7.7519</v>
      </c>
      <c r="Z14" s="14">
        <f>_xll.BDH("NBIX US Equity","LT_DEBT_TO_TOT_ASSET","FQ3 2024","FQ3 2024","Currency=USD","Period=FQ","BEST_FPERIOD_OVERRIDE=FQ","FILING_STATUS=MR","Sort=A","Dates=H","DateFormat=P","Fill=—","Direction=H","UseDPDF=Y")</f>
        <v>7.1116999999999999</v>
      </c>
      <c r="AA14" s="14">
        <f>_xll.BDH("NBIX US Equity","LT_DEBT_TO_TOT_ASSET","FQ4 2024","FQ4 2024","Currency=USD","Period=FQ","BEST_FPERIOD_OVERRIDE=FQ","FILING_STATUS=MR","Sort=A","Dates=H","DateFormat=P","Fill=—","Direction=H","UseDPDF=Y")</f>
        <v>12.238099999999999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1397</v>
      </c>
      <c r="B16" s="10" t="s">
        <v>1398</v>
      </c>
      <c r="C16" s="14">
        <f>_xll.BDH("NBIX US Equity","TOT_DEBT_TO_TOT_EQY","FQ4 2018","FQ4 2018","Currency=USD","Period=FQ","BEST_FPERIOD_OVERRIDE=FQ","FILING_STATUS=MR","Sort=A","Dates=H","DateFormat=P","Fill=—","Direction=H","UseDPDF=Y")</f>
        <v>80.807900000000004</v>
      </c>
      <c r="D16" s="14">
        <f>_xll.BDH("NBIX US Equity","TOT_DEBT_TO_TOT_EQY","FQ1 2019","FQ1 2019","Currency=USD","Period=FQ","BEST_FPERIOD_OVERRIDE=FQ","FILING_STATUS=MR","Sort=A","Dates=H","DateFormat=P","Fill=—","Direction=H","UseDPDF=Y")</f>
        <v>113.3343</v>
      </c>
      <c r="E16" s="14">
        <f>_xll.BDH("NBIX US Equity","TOT_DEBT_TO_TOT_EQY","FQ2 2019","FQ2 2019","Currency=USD","Period=FQ","BEST_FPERIOD_OVERRIDE=FQ","FILING_STATUS=MR","Sort=A","Dates=H","DateFormat=P","Fill=—","Direction=H","UseDPDF=Y")</f>
        <v>96.835700000000003</v>
      </c>
      <c r="F16" s="14">
        <f>_xll.BDH("NBIX US Equity","TOT_DEBT_TO_TOT_EQY","FQ3 2019","FQ3 2019","Currency=USD","Period=FQ","BEST_FPERIOD_OVERRIDE=FQ","FILING_STATUS=MR","Sort=A","Dates=H","DateFormat=P","Fill=—","Direction=H","UseDPDF=Y")</f>
        <v>84.633099999999999</v>
      </c>
      <c r="G16" s="14">
        <f>_xll.BDH("NBIX US Equity","TOT_DEBT_TO_TOT_EQY","FQ4 2019","FQ4 2019","Currency=USD","Period=FQ","BEST_FPERIOD_OVERRIDE=FQ","FILING_STATUS=MR","Sort=A","Dates=H","DateFormat=P","Fill=—","Direction=H","UseDPDF=Y")</f>
        <v>79.099100000000007</v>
      </c>
      <c r="H16" s="14">
        <f>_xll.BDH("NBIX US Equity","TOT_DEBT_TO_TOT_EQY","FQ1 2020","FQ1 2020","Currency=USD","Period=FQ","BEST_FPERIOD_OVERRIDE=FQ","FILING_STATUS=MR","Sort=A","Dates=H","DateFormat=P","Fill=—","Direction=H","UseDPDF=Y")</f>
        <v>72.611699999999999</v>
      </c>
      <c r="I16" s="14">
        <f>_xll.BDH("NBIX US Equity","TOT_DEBT_TO_TOT_EQY","FQ2 2020","FQ2 2020","Currency=USD","Period=FQ","BEST_FPERIOD_OVERRIDE=FQ","FILING_STATUS=MR","Sort=A","Dates=H","DateFormat=P","Fill=—","Direction=H","UseDPDF=Y")</f>
        <v>61.718000000000004</v>
      </c>
      <c r="J16" s="14">
        <f>_xll.BDH("NBIX US Equity","TOT_DEBT_TO_TOT_EQY","FQ3 2020","FQ3 2020","Currency=USD","Period=FQ","BEST_FPERIOD_OVERRIDE=FQ","FILING_STATUS=MR","Sort=A","Dates=H","DateFormat=P","Fill=—","Direction=H","UseDPDF=Y")</f>
        <v>64.366500000000002</v>
      </c>
      <c r="K16" s="14">
        <f>_xll.BDH("NBIX US Equity","TOT_DEBT_TO_TOT_EQY","FQ4 2020","FQ4 2020","Currency=USD","Period=FQ","BEST_FPERIOD_OVERRIDE=FQ","FILING_STATUS=MR","Sort=A","Dates=H","DateFormat=P","Fill=—","Direction=H","UseDPDF=Y")</f>
        <v>37.5244</v>
      </c>
      <c r="L16" s="14">
        <f>_xll.BDH("NBIX US Equity","TOT_DEBT_TO_TOT_EQY","FQ1 2021","FQ1 2021","Currency=USD","Period=FQ","BEST_FPERIOD_OVERRIDE=FQ","FILING_STATUS=MR","Sort=A","Dates=H","DateFormat=P","Fill=—","Direction=H","UseDPDF=Y")</f>
        <v>36.6374</v>
      </c>
      <c r="M16" s="14">
        <f>_xll.BDH("NBIX US Equity","TOT_DEBT_TO_TOT_EQY","FQ2 2021","FQ2 2021","Currency=USD","Period=FQ","BEST_FPERIOD_OVERRIDE=FQ","FILING_STATUS=MR","Sort=A","Dates=H","DateFormat=P","Fill=—","Direction=H","UseDPDF=Y")</f>
        <v>35.201700000000002</v>
      </c>
      <c r="N16" s="14">
        <f>_xll.BDH("NBIX US Equity","TOT_DEBT_TO_TOT_EQY","FQ3 2021","FQ3 2021","Currency=USD","Period=FQ","BEST_FPERIOD_OVERRIDE=FQ","FILING_STATUS=MR","Sort=A","Dates=H","DateFormat=P","Fill=—","Direction=H","UseDPDF=Y")</f>
        <v>33.625599999999999</v>
      </c>
      <c r="O16" s="14">
        <f>_xll.BDH("NBIX US Equity","TOT_DEBT_TO_TOT_EQY","FQ4 2021","FQ4 2021","Currency=USD","Period=FQ","BEST_FPERIOD_OVERRIDE=FQ","FILING_STATUS=MR","Sort=A","Dates=H","DateFormat=P","Fill=—","Direction=H","UseDPDF=Y")</f>
        <v>33.253300000000003</v>
      </c>
      <c r="P16" s="14">
        <f>_xll.BDH("NBIX US Equity","TOT_DEBT_TO_TOT_EQY","FQ1 2022","FQ1 2022","Currency=USD","Period=FQ","BEST_FPERIOD_OVERRIDE=FQ","FILING_STATUS=MR","Sort=A","Dates=H","DateFormat=P","Fill=—","Direction=H","UseDPDF=Y")</f>
        <v>35.734299999999998</v>
      </c>
      <c r="Q16" s="14">
        <f>_xll.BDH("NBIX US Equity","TOT_DEBT_TO_TOT_EQY","FQ2 2022","FQ2 2022","Currency=USD","Period=FQ","BEST_FPERIOD_OVERRIDE=FQ","FILING_STATUS=MR","Sort=A","Dates=H","DateFormat=P","Fill=—","Direction=H","UseDPDF=Y")</f>
        <v>20.0717</v>
      </c>
      <c r="R16" s="14">
        <f>_xll.BDH("NBIX US Equity","TOT_DEBT_TO_TOT_EQY","FQ3 2022","FQ3 2022","Currency=USD","Period=FQ","BEST_FPERIOD_OVERRIDE=FQ","FILING_STATUS=MR","Sort=A","Dates=H","DateFormat=P","Fill=—","Direction=H","UseDPDF=Y")</f>
        <v>18.328399999999998</v>
      </c>
      <c r="S16" s="14">
        <f>_xll.BDH("NBIX US Equity","TOT_DEBT_TO_TOT_EQY","FQ4 2022","FQ4 2022","Currency=USD","Period=FQ","BEST_FPERIOD_OVERRIDE=FQ","FILING_STATUS=MR","Sort=A","Dates=H","DateFormat=P","Fill=—","Direction=H","UseDPDF=Y")</f>
        <v>15.3941</v>
      </c>
      <c r="T16" s="14">
        <f>_xll.BDH("NBIX US Equity","TOT_DEBT_TO_TOT_EQY","FQ1 2023","FQ1 2023","Currency=USD","Period=FQ","BEST_FPERIOD_OVERRIDE=FQ","FILING_STATUS=MR","Sort=A","Dates=H","DateFormat=P","Fill=—","Direction=H","UseDPDF=Y")</f>
        <v>15.428900000000001</v>
      </c>
      <c r="U16" s="14">
        <f>_xll.BDH("NBIX US Equity","TOT_DEBT_TO_TOT_EQY","FQ2 2023","FQ2 2023","Currency=USD","Period=FQ","BEST_FPERIOD_OVERRIDE=FQ","FILING_STATUS=MR","Sort=A","Dates=H","DateFormat=P","Fill=—","Direction=H","UseDPDF=Y")</f>
        <v>14.9217</v>
      </c>
      <c r="V16" s="14">
        <f>_xll.BDH("NBIX US Equity","TOT_DEBT_TO_TOT_EQY","FQ3 2023","FQ3 2023","Currency=USD","Period=FQ","BEST_FPERIOD_OVERRIDE=FQ","FILING_STATUS=MR","Sort=A","Dates=H","DateFormat=P","Fill=—","Direction=H","UseDPDF=Y")</f>
        <v>13.665699999999999</v>
      </c>
      <c r="W16" s="14">
        <f>_xll.BDH("NBIX US Equity","TOT_DEBT_TO_TOT_EQY","FQ4 2023","FQ4 2023","Currency=USD","Period=FQ","BEST_FPERIOD_OVERRIDE=FQ","FILING_STATUS=MR","Sort=A","Dates=H","DateFormat=P","Fill=—","Direction=H","UseDPDF=Y")</f>
        <v>20.627199999999998</v>
      </c>
      <c r="X16" s="14">
        <f>_xll.BDH("NBIX US Equity","TOT_DEBT_TO_TOT_EQY","FQ1 2024","FQ1 2024","Currency=USD","Period=FQ","BEST_FPERIOD_OVERRIDE=FQ","FILING_STATUS=MR","Sort=A","Dates=H","DateFormat=P","Fill=—","Direction=H","UseDPDF=Y")</f>
        <v>17.212199999999999</v>
      </c>
      <c r="Y16" s="14">
        <f>_xll.BDH("NBIX US Equity","TOT_DEBT_TO_TOT_EQY","FQ2 2024","FQ2 2024","Currency=USD","Period=FQ","BEST_FPERIOD_OVERRIDE=FQ","FILING_STATUS=MR","Sort=A","Dates=H","DateFormat=P","Fill=—","Direction=H","UseDPDF=Y")</f>
        <v>11.6212</v>
      </c>
      <c r="Z16" s="14">
        <f>_xll.BDH("NBIX US Equity","TOT_DEBT_TO_TOT_EQY","FQ3 2024","FQ3 2024","Currency=USD","Period=FQ","BEST_FPERIOD_OVERRIDE=FQ","FILING_STATUS=MR","Sort=A","Dates=H","DateFormat=P","Fill=—","Direction=H","UseDPDF=Y")</f>
        <v>10.526300000000001</v>
      </c>
      <c r="AA16" s="14">
        <f>_xll.BDH("NBIX US Equity","TOT_DEBT_TO_TOT_EQY","FQ4 2024","FQ4 2024","Currency=USD","Period=FQ","BEST_FPERIOD_OVERRIDE=FQ","FILING_STATUS=MR","Sort=A","Dates=H","DateFormat=P","Fill=—","Direction=H","UseDPDF=Y")</f>
        <v>19.141200000000001</v>
      </c>
    </row>
    <row r="17" spans="1:27" x14ac:dyDescent="0.25">
      <c r="A17" s="10" t="s">
        <v>1399</v>
      </c>
      <c r="B17" s="10" t="s">
        <v>175</v>
      </c>
      <c r="C17" s="14">
        <f>_xll.BDH("NBIX US Equity","TOT_DEBT_TO_TOT_CAP","FQ4 2018","FQ4 2018","Currency=USD","Period=FQ","BEST_FPERIOD_OVERRIDE=FQ","FILING_STATUS=MR","Sort=A","Dates=H","DateFormat=P","Fill=—","Direction=H","UseDPDF=Y")</f>
        <v>44.692700000000002</v>
      </c>
      <c r="D17" s="14">
        <f>_xll.BDH("NBIX US Equity","TOT_DEBT_TO_TOT_CAP","FQ1 2019","FQ1 2019","Currency=USD","Period=FQ","BEST_FPERIOD_OVERRIDE=FQ","FILING_STATUS=MR","Sort=A","Dates=H","DateFormat=P","Fill=—","Direction=H","UseDPDF=Y")</f>
        <v>53.1252</v>
      </c>
      <c r="E17" s="14">
        <f>_xll.BDH("NBIX US Equity","TOT_DEBT_TO_TOT_CAP","FQ2 2019","FQ2 2019","Currency=USD","Period=FQ","BEST_FPERIOD_OVERRIDE=FQ","FILING_STATUS=MR","Sort=A","Dates=H","DateFormat=P","Fill=—","Direction=H","UseDPDF=Y")</f>
        <v>49.196199999999997</v>
      </c>
      <c r="F17" s="14">
        <f>_xll.BDH("NBIX US Equity","TOT_DEBT_TO_TOT_CAP","FQ3 2019","FQ3 2019","Currency=USD","Period=FQ","BEST_FPERIOD_OVERRIDE=FQ","FILING_STATUS=MR","Sort=A","Dates=H","DateFormat=P","Fill=—","Direction=H","UseDPDF=Y")</f>
        <v>45.838500000000003</v>
      </c>
      <c r="G17" s="14">
        <f>_xll.BDH("NBIX US Equity","TOT_DEBT_TO_TOT_CAP","FQ4 2019","FQ4 2019","Currency=USD","Period=FQ","BEST_FPERIOD_OVERRIDE=FQ","FILING_STATUS=MR","Sort=A","Dates=H","DateFormat=P","Fill=—","Direction=H","UseDPDF=Y")</f>
        <v>44.164999999999999</v>
      </c>
      <c r="H17" s="14">
        <f>_xll.BDH("NBIX US Equity","TOT_DEBT_TO_TOT_CAP","FQ1 2020","FQ1 2020","Currency=USD","Period=FQ","BEST_FPERIOD_OVERRIDE=FQ","FILING_STATUS=MR","Sort=A","Dates=H","DateFormat=P","Fill=—","Direction=H","UseDPDF=Y")</f>
        <v>42.066499999999998</v>
      </c>
      <c r="I17" s="14">
        <f>_xll.BDH("NBIX US Equity","TOT_DEBT_TO_TOT_CAP","FQ2 2020","FQ2 2020","Currency=USD","Period=FQ","BEST_FPERIOD_OVERRIDE=FQ","FILING_STATUS=MR","Sort=A","Dates=H","DateFormat=P","Fill=—","Direction=H","UseDPDF=Y")</f>
        <v>38.164000000000001</v>
      </c>
      <c r="J17" s="14">
        <f>_xll.BDH("NBIX US Equity","TOT_DEBT_TO_TOT_CAP","FQ3 2020","FQ3 2020","Currency=USD","Period=FQ","BEST_FPERIOD_OVERRIDE=FQ","FILING_STATUS=MR","Sort=A","Dates=H","DateFormat=P","Fill=—","Direction=H","UseDPDF=Y")</f>
        <v>39.160400000000003</v>
      </c>
      <c r="K17" s="14">
        <f>_xll.BDH("NBIX US Equity","TOT_DEBT_TO_TOT_CAP","FQ4 2020","FQ4 2020","Currency=USD","Period=FQ","BEST_FPERIOD_OVERRIDE=FQ","FILING_STATUS=MR","Sort=A","Dates=H","DateFormat=P","Fill=—","Direction=H","UseDPDF=Y")</f>
        <v>27.285599999999999</v>
      </c>
      <c r="L17" s="14">
        <f>_xll.BDH("NBIX US Equity","TOT_DEBT_TO_TOT_CAP","FQ1 2021","FQ1 2021","Currency=USD","Period=FQ","BEST_FPERIOD_OVERRIDE=FQ","FILING_STATUS=MR","Sort=A","Dates=H","DateFormat=P","Fill=—","Direction=H","UseDPDF=Y")</f>
        <v>26.813600000000001</v>
      </c>
      <c r="M17" s="14">
        <f>_xll.BDH("NBIX US Equity","TOT_DEBT_TO_TOT_CAP","FQ2 2021","FQ2 2021","Currency=USD","Period=FQ","BEST_FPERIOD_OVERRIDE=FQ","FILING_STATUS=MR","Sort=A","Dates=H","DateFormat=P","Fill=—","Direction=H","UseDPDF=Y")</f>
        <v>26.0364</v>
      </c>
      <c r="N17" s="14">
        <f>_xll.BDH("NBIX US Equity","TOT_DEBT_TO_TOT_CAP","FQ3 2021","FQ3 2021","Currency=USD","Period=FQ","BEST_FPERIOD_OVERRIDE=FQ","FILING_STATUS=MR","Sort=A","Dates=H","DateFormat=P","Fill=—","Direction=H","UseDPDF=Y")</f>
        <v>25.164000000000001</v>
      </c>
      <c r="O17" s="14">
        <f>_xll.BDH("NBIX US Equity","TOT_DEBT_TO_TOT_CAP","FQ4 2021","FQ4 2021","Currency=USD","Period=FQ","BEST_FPERIOD_OVERRIDE=FQ","FILING_STATUS=MR","Sort=A","Dates=H","DateFormat=P","Fill=—","Direction=H","UseDPDF=Y")</f>
        <v>24.954899999999999</v>
      </c>
      <c r="P17" s="14">
        <f>_xll.BDH("NBIX US Equity","TOT_DEBT_TO_TOT_CAP","FQ1 2022","FQ1 2022","Currency=USD","Period=FQ","BEST_FPERIOD_OVERRIDE=FQ","FILING_STATUS=MR","Sort=A","Dates=H","DateFormat=P","Fill=—","Direction=H","UseDPDF=Y")</f>
        <v>26.326699999999999</v>
      </c>
      <c r="Q17" s="14">
        <f>_xll.BDH("NBIX US Equity","TOT_DEBT_TO_TOT_CAP","FQ2 2022","FQ2 2022","Currency=USD","Period=FQ","BEST_FPERIOD_OVERRIDE=FQ","FILING_STATUS=MR","Sort=A","Dates=H","DateFormat=P","Fill=—","Direction=H","UseDPDF=Y")</f>
        <v>16.7164</v>
      </c>
      <c r="R17" s="14">
        <f>_xll.BDH("NBIX US Equity","TOT_DEBT_TO_TOT_CAP","FQ3 2022","FQ3 2022","Currency=USD","Period=FQ","BEST_FPERIOD_OVERRIDE=FQ","FILING_STATUS=MR","Sort=A","Dates=H","DateFormat=P","Fill=—","Direction=H","UseDPDF=Y")</f>
        <v>15.4894</v>
      </c>
      <c r="S17" s="14">
        <f>_xll.BDH("NBIX US Equity","TOT_DEBT_TO_TOT_CAP","FQ4 2022","FQ4 2022","Currency=USD","Period=FQ","BEST_FPERIOD_OVERRIDE=FQ","FILING_STATUS=MR","Sort=A","Dates=H","DateFormat=P","Fill=—","Direction=H","UseDPDF=Y")</f>
        <v>13.340400000000001</v>
      </c>
      <c r="T17" s="14">
        <f>_xll.BDH("NBIX US Equity","TOT_DEBT_TO_TOT_CAP","FQ1 2023","FQ1 2023","Currency=USD","Period=FQ","BEST_FPERIOD_OVERRIDE=FQ","FILING_STATUS=MR","Sort=A","Dates=H","DateFormat=P","Fill=—","Direction=H","UseDPDF=Y")</f>
        <v>13.3666</v>
      </c>
      <c r="U17" s="14">
        <f>_xll.BDH("NBIX US Equity","TOT_DEBT_TO_TOT_CAP","FQ2 2023","FQ2 2023","Currency=USD","Period=FQ","BEST_FPERIOD_OVERRIDE=FQ","FILING_STATUS=MR","Sort=A","Dates=H","DateFormat=P","Fill=—","Direction=H","UseDPDF=Y")</f>
        <v>12.984299999999999</v>
      </c>
      <c r="V17" s="14">
        <f>_xll.BDH("NBIX US Equity","TOT_DEBT_TO_TOT_CAP","FQ3 2023","FQ3 2023","Currency=USD","Period=FQ","BEST_FPERIOD_OVERRIDE=FQ","FILING_STATUS=MR","Sort=A","Dates=H","DateFormat=P","Fill=—","Direction=H","UseDPDF=Y")</f>
        <v>12.0227</v>
      </c>
      <c r="W17" s="14">
        <f>_xll.BDH("NBIX US Equity","TOT_DEBT_TO_TOT_CAP","FQ4 2023","FQ4 2023","Currency=USD","Period=FQ","BEST_FPERIOD_OVERRIDE=FQ","FILING_STATUS=MR","Sort=A","Dates=H","DateFormat=P","Fill=—","Direction=H","UseDPDF=Y")</f>
        <v>17.100000000000001</v>
      </c>
      <c r="X17" s="14">
        <f>_xll.BDH("NBIX US Equity","TOT_DEBT_TO_TOT_CAP","FQ1 2024","FQ1 2024","Currency=USD","Period=FQ","BEST_FPERIOD_OVERRIDE=FQ","FILING_STATUS=MR","Sort=A","Dates=H","DateFormat=P","Fill=—","Direction=H","UseDPDF=Y")</f>
        <v>14.6846</v>
      </c>
      <c r="Y17" s="14">
        <f>_xll.BDH("NBIX US Equity","TOT_DEBT_TO_TOT_CAP","FQ2 2024","FQ2 2024","Currency=USD","Period=FQ","BEST_FPERIOD_OVERRIDE=FQ","FILING_STATUS=MR","Sort=A","Dates=H","DateFormat=P","Fill=—","Direction=H","UseDPDF=Y")</f>
        <v>10.411300000000001</v>
      </c>
      <c r="Z17" s="14">
        <f>_xll.BDH("NBIX US Equity","TOT_DEBT_TO_TOT_CAP","FQ3 2024","FQ3 2024","Currency=USD","Period=FQ","BEST_FPERIOD_OVERRIDE=FQ","FILING_STATUS=MR","Sort=A","Dates=H","DateFormat=P","Fill=—","Direction=H","UseDPDF=Y")</f>
        <v>9.5237999999999996</v>
      </c>
      <c r="AA17" s="14">
        <f>_xll.BDH("NBIX US Equity","TOT_DEBT_TO_TOT_CAP","FQ4 2024","FQ4 2024","Currency=USD","Period=FQ","BEST_FPERIOD_OVERRIDE=FQ","FILING_STATUS=MR","Sort=A","Dates=H","DateFormat=P","Fill=—","Direction=H","UseDPDF=Y")</f>
        <v>16.065999999999999</v>
      </c>
    </row>
    <row r="18" spans="1:27" x14ac:dyDescent="0.25">
      <c r="A18" s="10" t="s">
        <v>1400</v>
      </c>
      <c r="B18" s="10" t="s">
        <v>1401</v>
      </c>
      <c r="C18" s="14">
        <f>_xll.BDH("NBIX US Equity","TOT_DEBT_TO_TOT_ASSET","FQ4 2018","FQ4 2018","Currency=USD","Period=FQ","BEST_FPERIOD_OVERRIDE=FQ","FILING_STATUS=MR","Sort=A","Dates=H","DateFormat=P","Fill=—","Direction=H","UseDPDF=Y")</f>
        <v>39.1175</v>
      </c>
      <c r="D18" s="14">
        <f>_xll.BDH("NBIX US Equity","TOT_DEBT_TO_TOT_ASSET","FQ1 2019","FQ1 2019","Currency=USD","Period=FQ","BEST_FPERIOD_OVERRIDE=FQ","FILING_STATUS=MR","Sort=A","Dates=H","DateFormat=P","Fill=—","Direction=H","UseDPDF=Y")</f>
        <v>48.432499999999997</v>
      </c>
      <c r="E18" s="14">
        <f>_xll.BDH("NBIX US Equity","TOT_DEBT_TO_TOT_ASSET","FQ2 2019","FQ2 2019","Currency=USD","Period=FQ","BEST_FPERIOD_OVERRIDE=FQ","FILING_STATUS=MR","Sort=A","Dates=H","DateFormat=P","Fill=—","Direction=H","UseDPDF=Y")</f>
        <v>43.904499999999999</v>
      </c>
      <c r="F18" s="14">
        <f>_xll.BDH("NBIX US Equity","TOT_DEBT_TO_TOT_ASSET","FQ3 2019","FQ3 2019","Currency=USD","Period=FQ","BEST_FPERIOD_OVERRIDE=FQ","FILING_STATUS=MR","Sort=A","Dates=H","DateFormat=P","Fill=—","Direction=H","UseDPDF=Y")</f>
        <v>41.208199999999998</v>
      </c>
      <c r="G18" s="14">
        <f>_xll.BDH("NBIX US Equity","TOT_DEBT_TO_TOT_ASSET","FQ4 2019","FQ4 2019","Currency=USD","Period=FQ","BEST_FPERIOD_OVERRIDE=FQ","FILING_STATUS=MR","Sort=A","Dates=H","DateFormat=P","Fill=—","Direction=H","UseDPDF=Y")</f>
        <v>38.574399999999997</v>
      </c>
      <c r="H18" s="14">
        <f>_xll.BDH("NBIX US Equity","TOT_DEBT_TO_TOT_ASSET","FQ1 2020","FQ1 2020","Currency=USD","Period=FQ","BEST_FPERIOD_OVERRIDE=FQ","FILING_STATUS=MR","Sort=A","Dates=H","DateFormat=P","Fill=—","Direction=H","UseDPDF=Y")</f>
        <v>37.337499999999999</v>
      </c>
      <c r="I18" s="14">
        <f>_xll.BDH("NBIX US Equity","TOT_DEBT_TO_TOT_ASSET","FQ2 2020","FQ2 2020","Currency=USD","Period=FQ","BEST_FPERIOD_OVERRIDE=FQ","FILING_STATUS=MR","Sort=A","Dates=H","DateFormat=P","Fill=—","Direction=H","UseDPDF=Y")</f>
        <v>33.847999999999999</v>
      </c>
      <c r="J18" s="14">
        <f>_xll.BDH("NBIX US Equity","TOT_DEBT_TO_TOT_ASSET","FQ3 2020","FQ3 2020","Currency=USD","Period=FQ","BEST_FPERIOD_OVERRIDE=FQ","FILING_STATUS=MR","Sort=A","Dates=H","DateFormat=P","Fill=—","Direction=H","UseDPDF=Y")</f>
        <v>34.453600000000002</v>
      </c>
      <c r="K18" s="14">
        <f>_xll.BDH("NBIX US Equity","TOT_DEBT_TO_TOT_ASSET","FQ4 2020","FQ4 2020","Currency=USD","Period=FQ","BEST_FPERIOD_OVERRIDE=FQ","FILING_STATUS=MR","Sort=A","Dates=H","DateFormat=P","Fill=—","Direction=H","UseDPDF=Y")</f>
        <v>24.361599999999999</v>
      </c>
      <c r="L18" s="14">
        <f>_xll.BDH("NBIX US Equity","TOT_DEBT_TO_TOT_ASSET","FQ1 2021","FQ1 2021","Currency=USD","Period=FQ","BEST_FPERIOD_OVERRIDE=FQ","FILING_STATUS=MR","Sort=A","Dates=H","DateFormat=P","Fill=—","Direction=H","UseDPDF=Y")</f>
        <v>23.9222</v>
      </c>
      <c r="M18" s="14">
        <f>_xll.BDH("NBIX US Equity","TOT_DEBT_TO_TOT_ASSET","FQ2 2021","FQ2 2021","Currency=USD","Period=FQ","BEST_FPERIOD_OVERRIDE=FQ","FILING_STATUS=MR","Sort=A","Dates=H","DateFormat=P","Fill=—","Direction=H","UseDPDF=Y")</f>
        <v>23.0168</v>
      </c>
      <c r="N18" s="14">
        <f>_xll.BDH("NBIX US Equity","TOT_DEBT_TO_TOT_ASSET","FQ3 2021","FQ3 2021","Currency=USD","Period=FQ","BEST_FPERIOD_OVERRIDE=FQ","FILING_STATUS=MR","Sort=A","Dates=H","DateFormat=P","Fill=—","Direction=H","UseDPDF=Y")</f>
        <v>22.4359</v>
      </c>
      <c r="O18" s="14">
        <f>_xll.BDH("NBIX US Equity","TOT_DEBT_TO_TOT_ASSET","FQ4 2021","FQ4 2021","Currency=USD","Period=FQ","BEST_FPERIOD_OVERRIDE=FQ","FILING_STATUS=MR","Sort=A","Dates=H","DateFormat=P","Fill=—","Direction=H","UseDPDF=Y")</f>
        <v>22.0458</v>
      </c>
      <c r="P18" s="14">
        <f>_xll.BDH("NBIX US Equity","TOT_DEBT_TO_TOT_ASSET","FQ1 2022","FQ1 2022","Currency=USD","Period=FQ","BEST_FPERIOD_OVERRIDE=FQ","FILING_STATUS=MR","Sort=A","Dates=H","DateFormat=P","Fill=—","Direction=H","UseDPDF=Y")</f>
        <v>23.180199999999999</v>
      </c>
      <c r="Q18" s="14">
        <f>_xll.BDH("NBIX US Equity","TOT_DEBT_TO_TOT_ASSET","FQ2 2022","FQ2 2022","Currency=USD","Period=FQ","BEST_FPERIOD_OVERRIDE=FQ","FILING_STATUS=MR","Sort=A","Dates=H","DateFormat=P","Fill=—","Direction=H","UseDPDF=Y")</f>
        <v>14.244400000000001</v>
      </c>
      <c r="R18" s="14">
        <f>_xll.BDH("NBIX US Equity","TOT_DEBT_TO_TOT_ASSET","FQ3 2022","FQ3 2022","Currency=USD","Period=FQ","BEST_FPERIOD_OVERRIDE=FQ","FILING_STATUS=MR","Sort=A","Dates=H","DateFormat=P","Fill=—","Direction=H","UseDPDF=Y")</f>
        <v>13.208</v>
      </c>
      <c r="S18" s="14">
        <f>_xll.BDH("NBIX US Equity","TOT_DEBT_TO_TOT_ASSET","FQ4 2022","FQ4 2022","Currency=USD","Period=FQ","BEST_FPERIOD_OVERRIDE=FQ","FILING_STATUS=MR","Sort=A","Dates=H","DateFormat=P","Fill=—","Direction=H","UseDPDF=Y")</f>
        <v>11.0989</v>
      </c>
      <c r="T18" s="14">
        <f>_xll.BDH("NBIX US Equity","TOT_DEBT_TO_TOT_ASSET","FQ1 2023","FQ1 2023","Currency=USD","Period=FQ","BEST_FPERIOD_OVERRIDE=FQ","FILING_STATUS=MR","Sort=A","Dates=H","DateFormat=P","Fill=—","Direction=H","UseDPDF=Y")</f>
        <v>11.0136</v>
      </c>
      <c r="U18" s="14">
        <f>_xll.BDH("NBIX US Equity","TOT_DEBT_TO_TOT_ASSET","FQ2 2023","FQ2 2023","Currency=USD","Period=FQ","BEST_FPERIOD_OVERRIDE=FQ","FILING_STATUS=MR","Sort=A","Dates=H","DateFormat=P","Fill=—","Direction=H","UseDPDF=Y")</f>
        <v>10.581300000000001</v>
      </c>
      <c r="V18" s="14">
        <f>_xll.BDH("NBIX US Equity","TOT_DEBT_TO_TOT_ASSET","FQ3 2023","FQ3 2023","Currency=USD","Period=FQ","BEST_FPERIOD_OVERRIDE=FQ","FILING_STATUS=MR","Sort=A","Dates=H","DateFormat=P","Fill=—","Direction=H","UseDPDF=Y")</f>
        <v>9.6060999999999996</v>
      </c>
      <c r="W18" s="14">
        <f>_xll.BDH("NBIX US Equity","TOT_DEBT_TO_TOT_ASSET","FQ4 2023","FQ4 2023","Currency=USD","Period=FQ","BEST_FPERIOD_OVERRIDE=FQ","FILING_STATUS=MR","Sort=A","Dates=H","DateFormat=P","Fill=—","Direction=H","UseDPDF=Y")</f>
        <v>14.1601</v>
      </c>
      <c r="X18" s="14">
        <f>_xll.BDH("NBIX US Equity","TOT_DEBT_TO_TOT_ASSET","FQ1 2024","FQ1 2024","Currency=USD","Period=FQ","BEST_FPERIOD_OVERRIDE=FQ","FILING_STATUS=MR","Sort=A","Dates=H","DateFormat=P","Fill=—","Direction=H","UseDPDF=Y")</f>
        <v>11.8276</v>
      </c>
      <c r="Y18" s="14">
        <f>_xll.BDH("NBIX US Equity","TOT_DEBT_TO_TOT_ASSET","FQ2 2024","FQ2 2024","Currency=USD","Period=FQ","BEST_FPERIOD_OVERRIDE=FQ","FILING_STATUS=MR","Sort=A","Dates=H","DateFormat=P","Fill=—","Direction=H","UseDPDF=Y")</f>
        <v>8.8230000000000004</v>
      </c>
      <c r="Z18" s="14">
        <f>_xll.BDH("NBIX US Equity","TOT_DEBT_TO_TOT_ASSET","FQ3 2024","FQ3 2024","Currency=USD","Period=FQ","BEST_FPERIOD_OVERRIDE=FQ","FILING_STATUS=MR","Sort=A","Dates=H","DateFormat=P","Fill=—","Direction=H","UseDPDF=Y")</f>
        <v>8.0961999999999996</v>
      </c>
      <c r="AA18" s="14">
        <f>_xll.BDH("NBIX US Equity","TOT_DEBT_TO_TOT_ASSET","FQ4 2024","FQ4 2024","Currency=USD","Period=FQ","BEST_FPERIOD_OVERRIDE=FQ","FILING_STATUS=MR","Sort=A","Dates=H","DateFormat=P","Fill=—","Direction=H","UseDPDF=Y")</f>
        <v>13.3299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1436</v>
      </c>
      <c r="B20" s="10" t="s">
        <v>1437</v>
      </c>
      <c r="C20" s="14">
        <f>_xll.BDH("NBIX US Equity","CASH_FLOW_TO_TOT_LIAB","FQ4 2018","FQ4 2018","Currency=USD","Period=FQ","BEST_FPERIOD_OVERRIDE=FQ","FILING_STATUS=MR","Sort=A","Dates=H","DateFormat=P","Fill=—","Direction=H","UseDPDF=Y")</f>
        <v>19.782699999999998</v>
      </c>
      <c r="D20" s="14">
        <f>_xll.BDH("NBIX US Equity","CASH_FLOW_TO_TOT_LIAB","FQ1 2019","FQ1 2019","Currency=USD","Period=FQ","BEST_FPERIOD_OVERRIDE=FQ","FILING_STATUS=MR","Sort=A","Dates=H","DateFormat=P","Fill=—","Direction=H","UseDPDF=Y")</f>
        <v>4.9884000000000004</v>
      </c>
      <c r="E20" s="14">
        <f>_xll.BDH("NBIX US Equity","CASH_FLOW_TO_TOT_LIAB","FQ2 2019","FQ2 2019","Currency=USD","Period=FQ","BEST_FPERIOD_OVERRIDE=FQ","FILING_STATUS=MR","Sort=A","Dates=H","DateFormat=P","Fill=—","Direction=H","UseDPDF=Y")</f>
        <v>12.183</v>
      </c>
      <c r="F20" s="14">
        <f>_xll.BDH("NBIX US Equity","CASH_FLOW_TO_TOT_LIAB","FQ3 2019","FQ3 2019","Currency=USD","Period=FQ","BEST_FPERIOD_OVERRIDE=FQ","FILING_STATUS=MR","Sort=A","Dates=H","DateFormat=P","Fill=—","Direction=H","UseDPDF=Y")</f>
        <v>16.510000000000002</v>
      </c>
      <c r="G20" s="14">
        <f>_xll.BDH("NBIX US Equity","CASH_FLOW_TO_TOT_LIAB","FQ4 2019","FQ4 2019","Currency=USD","Period=FQ","BEST_FPERIOD_OVERRIDE=FQ","FILING_STATUS=MR","Sort=A","Dates=H","DateFormat=P","Fill=—","Direction=H","UseDPDF=Y")</f>
        <v>21.969799999999999</v>
      </c>
      <c r="H20" s="14">
        <f>_xll.BDH("NBIX US Equity","CASH_FLOW_TO_TOT_LIAB","FQ1 2020","FQ1 2020","Currency=USD","Period=FQ","BEST_FPERIOD_OVERRIDE=FQ","FILING_STATUS=MR","Sort=A","Dates=H","DateFormat=P","Fill=—","Direction=H","UseDPDF=Y")</f>
        <v>44.587499999999999</v>
      </c>
      <c r="I20" s="14">
        <f>_xll.BDH("NBIX US Equity","CASH_FLOW_TO_TOT_LIAB","FQ2 2020","FQ2 2020","Currency=USD","Period=FQ","BEST_FPERIOD_OVERRIDE=FQ","FILING_STATUS=MR","Sort=A","Dates=H","DateFormat=P","Fill=—","Direction=H","UseDPDF=Y")</f>
        <v>51.099499999999999</v>
      </c>
      <c r="J20" s="14">
        <f>_xll.BDH("NBIX US Equity","CASH_FLOW_TO_TOT_LIAB","FQ3 2020","FQ3 2020","Currency=USD","Period=FQ","BEST_FPERIOD_OVERRIDE=FQ","FILING_STATUS=MR","Sort=A","Dates=H","DateFormat=P","Fill=—","Direction=H","UseDPDF=Y")</f>
        <v>33.151800000000001</v>
      </c>
      <c r="K20" s="14">
        <f>_xll.BDH("NBIX US Equity","CASH_FLOW_TO_TOT_LIAB","FQ4 2020","FQ4 2020","Currency=USD","Period=FQ","BEST_FPERIOD_OVERRIDE=FQ","FILING_STATUS=MR","Sort=A","Dates=H","DateFormat=P","Fill=—","Direction=H","UseDPDF=Y")</f>
        <v>37.551400000000001</v>
      </c>
      <c r="L20" s="14">
        <f>_xll.BDH("NBIX US Equity","CASH_FLOW_TO_TOT_LIAB","FQ1 2021","FQ1 2021","Currency=USD","Period=FQ","BEST_FPERIOD_OVERRIDE=FQ","FILING_STATUS=MR","Sort=A","Dates=H","DateFormat=P","Fill=—","Direction=H","UseDPDF=Y")</f>
        <v>43.742199999999997</v>
      </c>
      <c r="M20" s="14">
        <f>_xll.BDH("NBIX US Equity","CASH_FLOW_TO_TOT_LIAB","FQ2 2021","FQ2 2021","Currency=USD","Period=FQ","BEST_FPERIOD_OVERRIDE=FQ","FILING_STATUS=MR","Sort=A","Dates=H","DateFormat=P","Fill=—","Direction=H","UseDPDF=Y")</f>
        <v>39.072699999999998</v>
      </c>
      <c r="N20" s="14">
        <f>_xll.BDH("NBIX US Equity","CASH_FLOW_TO_TOT_LIAB","FQ3 2021","FQ3 2021","Currency=USD","Period=FQ","BEST_FPERIOD_OVERRIDE=FQ","FILING_STATUS=MR","Sort=A","Dates=H","DateFormat=P","Fill=—","Direction=H","UseDPDF=Y")</f>
        <v>51.661000000000001</v>
      </c>
      <c r="O20" s="14">
        <f>_xll.BDH("NBIX US Equity","CASH_FLOW_TO_TOT_LIAB","FQ4 2021","FQ4 2021","Currency=USD","Period=FQ","BEST_FPERIOD_OVERRIDE=FQ","FILING_STATUS=MR","Sort=A","Dates=H","DateFormat=P","Fill=—","Direction=H","UseDPDF=Y")</f>
        <v>36.721499999999999</v>
      </c>
      <c r="P20" s="14">
        <f>_xll.BDH("NBIX US Equity","CASH_FLOW_TO_TOT_LIAB","FQ1 2022","FQ1 2022","Currency=USD","Period=FQ","BEST_FPERIOD_OVERRIDE=FQ","FILING_STATUS=MR","Sort=A","Dates=H","DateFormat=P","Fill=—","Direction=H","UseDPDF=Y")</f>
        <v>17.082599999999999</v>
      </c>
      <c r="Q20" s="14">
        <f>_xll.BDH("NBIX US Equity","CASH_FLOW_TO_TOT_LIAB","FQ2 2022","FQ2 2022","Currency=USD","Period=FQ","BEST_FPERIOD_OVERRIDE=FQ","FILING_STATUS=MR","Sort=A","Dates=H","DateFormat=P","Fill=—","Direction=H","UseDPDF=Y")</f>
        <v>28.095500000000001</v>
      </c>
      <c r="R20" s="14">
        <f>_xll.BDH("NBIX US Equity","CASH_FLOW_TO_TOT_LIAB","FQ3 2022","FQ3 2022","Currency=USD","Period=FQ","BEST_FPERIOD_OVERRIDE=FQ","FILING_STATUS=MR","Sort=A","Dates=H","DateFormat=P","Fill=—","Direction=H","UseDPDF=Y")</f>
        <v>33.500300000000003</v>
      </c>
      <c r="S20" s="14">
        <f>_xll.BDH("NBIX US Equity","CASH_FLOW_TO_TOT_LIAB","FQ4 2022","FQ4 2022","Currency=USD","Period=FQ","BEST_FPERIOD_OVERRIDE=FQ","FILING_STATUS=MR","Sort=A","Dates=H","DateFormat=P","Fill=—","Direction=H","UseDPDF=Y")</f>
        <v>51.354199999999999</v>
      </c>
      <c r="T20" s="14">
        <f>_xll.BDH("NBIX US Equity","CASH_FLOW_TO_TOT_LIAB","FQ1 2023","FQ1 2023","Currency=USD","Period=FQ","BEST_FPERIOD_OVERRIDE=FQ","FILING_STATUS=MR","Sort=A","Dates=H","DateFormat=P","Fill=—","Direction=H","UseDPDF=Y")</f>
        <v>37.7166</v>
      </c>
      <c r="U20" s="14">
        <f>_xll.BDH("NBIX US Equity","CASH_FLOW_TO_TOT_LIAB","FQ2 2023","FQ2 2023","Currency=USD","Period=FQ","BEST_FPERIOD_OVERRIDE=FQ","FILING_STATUS=MR","Sort=A","Dates=H","DateFormat=P","Fill=—","Direction=H","UseDPDF=Y")</f>
        <v>38.968600000000002</v>
      </c>
      <c r="V20" s="14">
        <f>_xll.BDH("NBIX US Equity","CASH_FLOW_TO_TOT_LIAB","FQ3 2023","FQ3 2023","Currency=USD","Period=FQ","BEST_FPERIOD_OVERRIDE=FQ","FILING_STATUS=MR","Sort=A","Dates=H","DateFormat=P","Fill=—","Direction=H","UseDPDF=Y")</f>
        <v>48.386699999999998</v>
      </c>
      <c r="W20" s="14">
        <f>_xll.BDH("NBIX US Equity","CASH_FLOW_TO_TOT_LIAB","FQ4 2023","FQ4 2023","Currency=USD","Period=FQ","BEST_FPERIOD_OVERRIDE=FQ","FILING_STATUS=MR","Sort=A","Dates=H","DateFormat=P","Fill=—","Direction=H","UseDPDF=Y")</f>
        <v>38.247999999999998</v>
      </c>
      <c r="X20" s="14">
        <f>_xll.BDH("NBIX US Equity","CASH_FLOW_TO_TOT_LIAB","FQ1 2024","FQ1 2024","Currency=USD","Period=FQ","BEST_FPERIOD_OVERRIDE=FQ","FILING_STATUS=MR","Sort=A","Dates=H","DateFormat=P","Fill=—","Direction=H","UseDPDF=Y")</f>
        <v>59.412700000000001</v>
      </c>
      <c r="Y20" s="14">
        <f>_xll.BDH("NBIX US Equity","CASH_FLOW_TO_TOT_LIAB","FQ2 2024","FQ2 2024","Currency=USD","Period=FQ","BEST_FPERIOD_OVERRIDE=FQ","FILING_STATUS=MR","Sort=A","Dates=H","DateFormat=P","Fill=—","Direction=H","UseDPDF=Y")</f>
        <v>66.649900000000002</v>
      </c>
      <c r="Z20" s="14">
        <f>_xll.BDH("NBIX US Equity","CASH_FLOW_TO_TOT_LIAB","FQ3 2024","FQ3 2024","Currency=USD","Period=FQ","BEST_FPERIOD_OVERRIDE=FQ","FILING_STATUS=MR","Sort=A","Dates=H","DateFormat=P","Fill=—","Direction=H","UseDPDF=Y")</f>
        <v>58.3752</v>
      </c>
      <c r="AA20" s="14">
        <f>_xll.BDH("NBIX US Equity","CASH_FLOW_TO_TOT_LIAB","FQ4 2024","FQ4 2024","Currency=USD","Period=FQ","BEST_FPERIOD_OVERRIDE=FQ","FILING_STATUS=MR","Sort=A","Dates=H","DateFormat=P","Fill=—","Direction=H","UseDPDF=Y")</f>
        <v>52.736899999999999</v>
      </c>
    </row>
    <row r="21" spans="1:27" x14ac:dyDescent="0.25">
      <c r="A21" s="10" t="s">
        <v>1438</v>
      </c>
      <c r="B21" s="10" t="s">
        <v>1439</v>
      </c>
      <c r="C21" s="14">
        <f>_xll.BDH("NBIX US Equity","CAP_EXPEND_RATIO","FQ4 2018","FQ4 2018","Currency=USD","Period=FQ","BEST_FPERIOD_OVERRIDE=FQ","FILING_STATUS=MR","Sort=A","Dates=H","DateFormat=P","Fill=—","Direction=H","UseDPDF=Y")</f>
        <v>8.3949999999999996</v>
      </c>
      <c r="D21" s="14">
        <f>_xll.BDH("NBIX US Equity","CAP_EXPEND_RATIO","FQ1 2019","FQ1 2019","Currency=USD","Period=FQ","BEST_FPERIOD_OVERRIDE=FQ","FILING_STATUS=MR","Sort=A","Dates=H","DateFormat=P","Fill=—","Direction=H","UseDPDF=Y")</f>
        <v>-28.558299999999999</v>
      </c>
      <c r="E21" s="14">
        <f>_xll.BDH("NBIX US Equity","CAP_EXPEND_RATIO","FQ2 2019","FQ2 2019","Currency=USD","Period=FQ","BEST_FPERIOD_OVERRIDE=FQ","FILING_STATUS=MR","Sort=A","Dates=H","DateFormat=P","Fill=—","Direction=H","UseDPDF=Y")</f>
        <v>14.409599999999999</v>
      </c>
      <c r="F21" s="14">
        <f>_xll.BDH("NBIX US Equity","CAP_EXPEND_RATIO","FQ3 2019","FQ3 2019","Currency=USD","Period=FQ","BEST_FPERIOD_OVERRIDE=FQ","FILING_STATUS=MR","Sort=A","Dates=H","DateFormat=P","Fill=—","Direction=H","UseDPDF=Y")</f>
        <v>27.603300000000001</v>
      </c>
      <c r="G21" s="14">
        <f>_xll.BDH("NBIX US Equity","CAP_EXPEND_RATIO","FQ4 2019","FQ4 2019","Currency=USD","Period=FQ","BEST_FPERIOD_OVERRIDE=FQ","FILING_STATUS=MR","Sort=A","Dates=H","DateFormat=P","Fill=—","Direction=H","UseDPDF=Y")</f>
        <v>35.172800000000002</v>
      </c>
      <c r="H21" s="14">
        <f>_xll.BDH("NBIX US Equity","CAP_EXPEND_RATIO","FQ1 2020","FQ1 2020","Currency=USD","Period=FQ","BEST_FPERIOD_OVERRIDE=FQ","FILING_STATUS=MR","Sort=A","Dates=H","DateFormat=P","Fill=—","Direction=H","UseDPDF=Y")</f>
        <v>27.307700000000001</v>
      </c>
      <c r="I21" s="14">
        <f>_xll.BDH("NBIX US Equity","CAP_EXPEND_RATIO","FQ2 2020","FQ2 2020","Currency=USD","Period=FQ","BEST_FPERIOD_OVERRIDE=FQ","FILING_STATUS=MR","Sort=A","Dates=H","DateFormat=P","Fill=—","Direction=H","UseDPDF=Y")</f>
        <v>25.297899999999998</v>
      </c>
      <c r="J21" s="14">
        <f>_xll.BDH("NBIX US Equity","CAP_EXPEND_RATIO","FQ3 2020","FQ3 2020","Currency=USD","Period=FQ","BEST_FPERIOD_OVERRIDE=FQ","FILING_STATUS=MR","Sort=A","Dates=H","DateFormat=P","Fill=—","Direction=H","UseDPDF=Y")</f>
        <v>-51</v>
      </c>
      <c r="K21" s="14">
        <f>_xll.BDH("NBIX US Equity","CAP_EXPEND_RATIO","FQ4 2020","FQ4 2020","Currency=USD","Period=FQ","BEST_FPERIOD_OVERRIDE=FQ","FILING_STATUS=MR","Sort=A","Dates=H","DateFormat=P","Fill=—","Direction=H","UseDPDF=Y")</f>
        <v>21</v>
      </c>
      <c r="L21" s="14">
        <f>_xll.BDH("NBIX US Equity","CAP_EXPEND_RATIO","FQ1 2021","FQ1 2021","Currency=USD","Period=FQ","BEST_FPERIOD_OVERRIDE=FQ","FILING_STATUS=MR","Sort=A","Dates=H","DateFormat=P","Fill=—","Direction=H","UseDPDF=Y")</f>
        <v>19.399999999999999</v>
      </c>
      <c r="M21" s="14">
        <f>_xll.BDH("NBIX US Equity","CAP_EXPEND_RATIO","FQ2 2021","FQ2 2021","Currency=USD","Period=FQ","BEST_FPERIOD_OVERRIDE=FQ","FILING_STATUS=MR","Sort=A","Dates=H","DateFormat=P","Fill=—","Direction=H","UseDPDF=Y")</f>
        <v>24</v>
      </c>
      <c r="N21" s="14">
        <f>_xll.BDH("NBIX US Equity","CAP_EXPEND_RATIO","FQ3 2021","FQ3 2021","Currency=USD","Period=FQ","BEST_FPERIOD_OVERRIDE=FQ","FILING_STATUS=MR","Sort=A","Dates=H","DateFormat=P","Fill=—","Direction=H","UseDPDF=Y")</f>
        <v>10.8421</v>
      </c>
      <c r="O21" s="14">
        <f>_xll.BDH("NBIX US Equity","CAP_EXPEND_RATIO","FQ4 2021","FQ4 2021","Currency=USD","Period=FQ","BEST_FPERIOD_OVERRIDE=FQ","FILING_STATUS=MR","Sort=A","Dates=H","DateFormat=P","Fill=—","Direction=H","UseDPDF=Y")</f>
        <v>0.47189999999999999</v>
      </c>
      <c r="P21" s="14">
        <f>_xll.BDH("NBIX US Equity","CAP_EXPEND_RATIO","FQ1 2022","FQ1 2022","Currency=USD","Period=FQ","BEST_FPERIOD_OVERRIDE=FQ","FILING_STATUS=MR","Sort=A","Dates=H","DateFormat=P","Fill=—","Direction=H","UseDPDF=Y")</f>
        <v>-5.3289</v>
      </c>
      <c r="Q21" s="14">
        <f>_xll.BDH("NBIX US Equity","CAP_EXPEND_RATIO","FQ2 2022","FQ2 2022","Currency=USD","Period=FQ","BEST_FPERIOD_OVERRIDE=FQ","FILING_STATUS=MR","Sort=A","Dates=H","DateFormat=P","Fill=—","Direction=H","UseDPDF=Y")</f>
        <v>15.693199999999999</v>
      </c>
      <c r="R21" s="14" t="str">
        <f>_xll.BDH("NBIX US Equity","CAP_EXPEND_RATIO","FQ3 2022","FQ3 2022","Currency=USD","Period=FQ","BEST_FPERIOD_OVERRIDE=FQ","FILING_STATUS=MR","Sort=A","Dates=H","DateFormat=P","Fill=—","Direction=H","UseDPDF=Y")</f>
        <v>—</v>
      </c>
      <c r="S21" s="14">
        <f>_xll.BDH("NBIX US Equity","CAP_EXPEND_RATIO","FQ4 2022","FQ4 2022","Currency=USD","Period=FQ","BEST_FPERIOD_OVERRIDE=FQ","FILING_STATUS=MR","Sort=A","Dates=H","DateFormat=P","Fill=—","Direction=H","UseDPDF=Y")</f>
        <v>79.444400000000002</v>
      </c>
      <c r="T21" s="14">
        <f>_xll.BDH("NBIX US Equity","CAP_EXPEND_RATIO","FQ1 2023","FQ1 2023","Currency=USD","Period=FQ","BEST_FPERIOD_OVERRIDE=FQ","FILING_STATUS=MR","Sort=A","Dates=H","DateFormat=P","Fill=—","Direction=H","UseDPDF=Y")</f>
        <v>-14.7294</v>
      </c>
      <c r="U21" s="14">
        <f>_xll.BDH("NBIX US Equity","CAP_EXPEND_RATIO","FQ2 2023","FQ2 2023","Currency=USD","Period=FQ","BEST_FPERIOD_OVERRIDE=FQ","FILING_STATUS=MR","Sort=A","Dates=H","DateFormat=P","Fill=—","Direction=H","UseDPDF=Y")</f>
        <v>26.411799999999999</v>
      </c>
      <c r="V21" s="14">
        <f>_xll.BDH("NBIX US Equity","CAP_EXPEND_RATIO","FQ3 2023","FQ3 2023","Currency=USD","Period=FQ","BEST_FPERIOD_OVERRIDE=FQ","FILING_STATUS=MR","Sort=A","Dates=H","DateFormat=P","Fill=—","Direction=H","UseDPDF=Y")</f>
        <v>27.8947</v>
      </c>
      <c r="W21" s="14">
        <f>_xll.BDH("NBIX US Equity","CAP_EXPEND_RATIO","FQ4 2023","FQ4 2023","Currency=USD","Period=FQ","BEST_FPERIOD_OVERRIDE=FQ","FILING_STATUS=MR","Sort=A","Dates=H","DateFormat=P","Fill=—","Direction=H","UseDPDF=Y")</f>
        <v>22.8704</v>
      </c>
      <c r="X21" s="14">
        <f>_xll.BDH("NBIX US Equity","CAP_EXPEND_RATIO","FQ1 2024","FQ1 2024","Currency=USD","Period=FQ","BEST_FPERIOD_OVERRIDE=FQ","FILING_STATUS=MR","Sort=A","Dates=H","DateFormat=P","Fill=—","Direction=H","UseDPDF=Y")</f>
        <v>11.633900000000001</v>
      </c>
      <c r="Y21" s="14">
        <f>_xll.BDH("NBIX US Equity","CAP_EXPEND_RATIO","FQ2 2024","FQ2 2024","Currency=USD","Period=FQ","BEST_FPERIOD_OVERRIDE=FQ","FILING_STATUS=MR","Sort=A","Dates=H","DateFormat=P","Fill=—","Direction=H","UseDPDF=Y")</f>
        <v>5.569</v>
      </c>
      <c r="Z21" s="14">
        <f>_xll.BDH("NBIX US Equity","CAP_EXPEND_RATIO","FQ3 2024","FQ3 2024","Currency=USD","Period=FQ","BEST_FPERIOD_OVERRIDE=FQ","FILING_STATUS=MR","Sort=A","Dates=H","DateFormat=P","Fill=—","Direction=H","UseDPDF=Y")</f>
        <v>19.5062</v>
      </c>
      <c r="AA21" s="14">
        <f>_xll.BDH("NBIX US Equity","CAP_EXPEND_RATIO","FQ4 2024","FQ4 2024","Currency=USD","Period=FQ","BEST_FPERIOD_OVERRIDE=FQ","FILING_STATUS=MR","Sort=A","Dates=H","DateFormat=P","Fill=—","Direction=H","UseDPDF=Y")</f>
        <v>33.219200000000001</v>
      </c>
    </row>
    <row r="22" spans="1:27" x14ac:dyDescent="0.25">
      <c r="A22" s="10" t="s">
        <v>1440</v>
      </c>
      <c r="B22" s="10" t="s">
        <v>1441</v>
      </c>
      <c r="C22" s="14">
        <f>_xll.BDH("NBIX US Equity","ALTMAN_Z_SCORE","FQ4 2018","FQ4 2018","Currency=USD","Period=FQ","BEST_FPERIOD_OVERRIDE=FQ","FILING_STATUS=MR","Sort=A","Dates=H","DateFormat=P","Fill=—","Direction=H","UseDPDF=Y")</f>
        <v>7.2843999999999998</v>
      </c>
      <c r="D22" s="14">
        <f>_xll.BDH("NBIX US Equity","ALTMAN_Z_SCORE","FQ1 2019","FQ1 2019","Currency=USD","Period=FQ","BEST_FPERIOD_OVERRIDE=FQ","FILING_STATUS=MR","Sort=A","Dates=H","DateFormat=P","Fill=—","Direction=H","UseDPDF=Y")</f>
        <v>8.0471000000000004</v>
      </c>
      <c r="E22" s="14">
        <f>_xll.BDH("NBIX US Equity","ALTMAN_Z_SCORE","FQ2 2019","FQ2 2019","Currency=USD","Period=FQ","BEST_FPERIOD_OVERRIDE=FQ","FILING_STATUS=MR","Sort=A","Dates=H","DateFormat=P","Fill=—","Direction=H","UseDPDF=Y")</f>
        <v>7.6547000000000001</v>
      </c>
      <c r="F22" s="14">
        <f>_xll.BDH("NBIX US Equity","ALTMAN_Z_SCORE","FQ3 2019","FQ3 2019","Currency=USD","Period=FQ","BEST_FPERIOD_OVERRIDE=FQ","FILING_STATUS=MR","Sort=A","Dates=H","DateFormat=P","Fill=—","Direction=H","UseDPDF=Y")</f>
        <v>8.2091999999999992</v>
      </c>
      <c r="G22" s="14">
        <f>_xll.BDH("NBIX US Equity","ALTMAN_Z_SCORE","FQ4 2019","FQ4 2019","Currency=USD","Period=FQ","BEST_FPERIOD_OVERRIDE=FQ","FILING_STATUS=MR","Sort=A","Dates=H","DateFormat=P","Fill=—","Direction=H","UseDPDF=Y")</f>
        <v>8.6928999999999998</v>
      </c>
      <c r="H22" s="14">
        <f>_xll.BDH("NBIX US Equity","ALTMAN_Z_SCORE","FQ1 2020","FQ1 2020","Currency=USD","Period=FQ","BEST_FPERIOD_OVERRIDE=FQ","FILING_STATUS=MR","Sort=A","Dates=H","DateFormat=P","Fill=—","Direction=H","UseDPDF=Y")</f>
        <v>8.0617000000000001</v>
      </c>
      <c r="I22" s="14">
        <f>_xll.BDH("NBIX US Equity","ALTMAN_Z_SCORE","FQ2 2020","FQ2 2020","Currency=USD","Period=FQ","BEST_FPERIOD_OVERRIDE=FQ","FILING_STATUS=MR","Sort=A","Dates=H","DateFormat=P","Fill=—","Direction=H","UseDPDF=Y")</f>
        <v>10.709</v>
      </c>
      <c r="J22" s="14">
        <f>_xll.BDH("NBIX US Equity","ALTMAN_Z_SCORE","FQ3 2020","FQ3 2020","Currency=USD","Period=FQ","BEST_FPERIOD_OVERRIDE=FQ","FILING_STATUS=MR","Sort=A","Dates=H","DateFormat=P","Fill=—","Direction=H","UseDPDF=Y")</f>
        <v>8.1419999999999995</v>
      </c>
      <c r="K22" s="14">
        <f>_xll.BDH("NBIX US Equity","ALTMAN_Z_SCORE","FQ4 2020","FQ4 2020","Currency=USD","Period=FQ","BEST_FPERIOD_OVERRIDE=FQ","FILING_STATUS=MR","Sort=A","Dates=H","DateFormat=P","Fill=—","Direction=H","UseDPDF=Y")</f>
        <v>9.7316000000000003</v>
      </c>
      <c r="L22" s="14">
        <f>_xll.BDH("NBIX US Equity","ALTMAN_Z_SCORE","FQ1 2021","FQ1 2021","Currency=USD","Period=FQ","BEST_FPERIOD_OVERRIDE=FQ","FILING_STATUS=MR","Sort=A","Dates=H","DateFormat=P","Fill=—","Direction=H","UseDPDF=Y")</f>
        <v>9.4191000000000003</v>
      </c>
      <c r="M22" s="14">
        <f>_xll.BDH("NBIX US Equity","ALTMAN_Z_SCORE","FQ2 2021","FQ2 2021","Currency=USD","Period=FQ","BEST_FPERIOD_OVERRIDE=FQ","FILING_STATUS=MR","Sort=A","Dates=H","DateFormat=P","Fill=—","Direction=H","UseDPDF=Y")</f>
        <v>8.9695999999999998</v>
      </c>
      <c r="N22" s="14">
        <f>_xll.BDH("NBIX US Equity","ALTMAN_Z_SCORE","FQ3 2021","FQ3 2021","Currency=USD","Period=FQ","BEST_FPERIOD_OVERRIDE=FQ","FILING_STATUS=MR","Sort=A","Dates=H","DateFormat=P","Fill=—","Direction=H","UseDPDF=Y")</f>
        <v>9.0157000000000007</v>
      </c>
      <c r="O22" s="14">
        <f>_xll.BDH("NBIX US Equity","ALTMAN_Z_SCORE","FQ4 2021","FQ4 2021","Currency=USD","Period=FQ","BEST_FPERIOD_OVERRIDE=FQ","FILING_STATUS=MR","Sort=A","Dates=H","DateFormat=P","Fill=—","Direction=H","UseDPDF=Y")</f>
        <v>7.6420000000000003</v>
      </c>
      <c r="P22" s="14">
        <f>_xll.BDH("NBIX US Equity","ALTMAN_Z_SCORE","FQ1 2022","FQ1 2022","Currency=USD","Period=FQ","BEST_FPERIOD_OVERRIDE=FQ","FILING_STATUS=MR","Sort=A","Dates=H","DateFormat=P","Fill=—","Direction=H","UseDPDF=Y")</f>
        <v>7.8586</v>
      </c>
      <c r="Q22" s="14">
        <f>_xll.BDH("NBIX US Equity","ALTMAN_Z_SCORE","FQ2 2022","FQ2 2022","Currency=USD","Period=FQ","BEST_FPERIOD_OVERRIDE=FQ","FILING_STATUS=MR","Sort=A","Dates=H","DateFormat=P","Fill=—","Direction=H","UseDPDF=Y")</f>
        <v>10.4002</v>
      </c>
      <c r="R22" s="14">
        <f>_xll.BDH("NBIX US Equity","ALTMAN_Z_SCORE","FQ3 2022","FQ3 2022","Currency=USD","Period=FQ","BEST_FPERIOD_OVERRIDE=FQ","FILING_STATUS=MR","Sort=A","Dates=H","DateFormat=P","Fill=—","Direction=H","UseDPDF=Y")</f>
        <v>11.0739</v>
      </c>
      <c r="S22" s="14">
        <f>_xll.BDH("NBIX US Equity","ALTMAN_Z_SCORE","FQ4 2022","FQ4 2022","Currency=USD","Period=FQ","BEST_FPERIOD_OVERRIDE=FQ","FILING_STATUS=MR","Sort=A","Dates=H","DateFormat=P","Fill=—","Direction=H","UseDPDF=Y")</f>
        <v>11.642300000000001</v>
      </c>
      <c r="T22" s="14">
        <f>_xll.BDH("NBIX US Equity","ALTMAN_Z_SCORE","FQ1 2023","FQ1 2023","Currency=USD","Period=FQ","BEST_FPERIOD_OVERRIDE=FQ","FILING_STATUS=MR","Sort=A","Dates=H","DateFormat=P","Fill=—","Direction=H","UseDPDF=Y")</f>
        <v>9.8173999999999992</v>
      </c>
      <c r="U22" s="14">
        <f>_xll.BDH("NBIX US Equity","ALTMAN_Z_SCORE","FQ2 2023","FQ2 2023","Currency=USD","Period=FQ","BEST_FPERIOD_OVERRIDE=FQ","FILING_STATUS=MR","Sort=A","Dates=H","DateFormat=P","Fill=—","Direction=H","UseDPDF=Y")</f>
        <v>8.3204999999999991</v>
      </c>
      <c r="V22" s="14">
        <f>_xll.BDH("NBIX US Equity","ALTMAN_Z_SCORE","FQ3 2023","FQ3 2023","Currency=USD","Period=FQ","BEST_FPERIOD_OVERRIDE=FQ","FILING_STATUS=MR","Sort=A","Dates=H","DateFormat=P","Fill=—","Direction=H","UseDPDF=Y")</f>
        <v>8.9209999999999994</v>
      </c>
      <c r="W22" s="14">
        <f>_xll.BDH("NBIX US Equity","ALTMAN_Z_SCORE","FQ4 2023","FQ4 2023","Currency=USD","Period=FQ","BEST_FPERIOD_OVERRIDE=FQ","FILING_STATUS=MR","Sort=A","Dates=H","DateFormat=P","Fill=—","Direction=H","UseDPDF=Y")</f>
        <v>8.7507999999999999</v>
      </c>
      <c r="X22" s="14">
        <f>_xll.BDH("NBIX US Equity","ALTMAN_Z_SCORE","FQ1 2024","FQ1 2024","Currency=USD","Period=FQ","BEST_FPERIOD_OVERRIDE=FQ","FILING_STATUS=MR","Sort=A","Dates=H","DateFormat=P","Fill=—","Direction=H","UseDPDF=Y")</f>
        <v>8.9352999999999998</v>
      </c>
      <c r="Y22" s="14">
        <f>_xll.BDH("NBIX US Equity","ALTMAN_Z_SCORE","FQ2 2024","FQ2 2024","Currency=USD","Period=FQ","BEST_FPERIOD_OVERRIDE=FQ","FILING_STATUS=MR","Sort=A","Dates=H","DateFormat=P","Fill=—","Direction=H","UseDPDF=Y")</f>
        <v>12.0801</v>
      </c>
      <c r="Z22" s="14">
        <f>_xll.BDH("NBIX US Equity","ALTMAN_Z_SCORE","FQ3 2024","FQ3 2024","Currency=USD","Period=FQ","BEST_FPERIOD_OVERRIDE=FQ","FILING_STATUS=MR","Sort=A","Dates=H","DateFormat=P","Fill=—","Direction=H","UseDPDF=Y")</f>
        <v>10.2685</v>
      </c>
      <c r="AA22" s="14">
        <f>_xll.BDH("NBIX US Equity","ALTMAN_Z_SCORE","FQ4 2024","FQ4 2024","Currency=USD","Period=FQ","BEST_FPERIOD_OVERRIDE=FQ","FILING_STATUS=MR","Sort=A","Dates=H","DateFormat=P","Fill=—","Direction=H","UseDPDF=Y")</f>
        <v>8.9032999999999998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1442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1443</v>
      </c>
      <c r="B6" s="6" t="s">
        <v>1444</v>
      </c>
      <c r="C6" s="20">
        <f>_xll.BDH("NBIX US Equity","ACCT_RCV_TURN","FQ4 2018","FQ4 2018","Currency=USD","Period=FQ","BEST_FPERIOD_OVERRIDE=FQ","FILING_STATUS=MR","FA_ADJUSTED=GAAP","Sort=A","Dates=H","DateFormat=P","Fill=—","Direction=H","UseDPDF=Y")</f>
        <v>10.329800000000001</v>
      </c>
      <c r="D6" s="20">
        <f>_xll.BDH("NBIX US Equity","ACCT_RCV_TURN","FQ1 2019","FQ1 2019","Currency=USD","Period=FQ","BEST_FPERIOD_OVERRIDE=FQ","FILING_STATUS=MR","FA_ADJUSTED=GAAP","Sort=A","Dates=H","DateFormat=P","Fill=—","Direction=H","UseDPDF=Y")</f>
        <v>8.8955000000000002</v>
      </c>
      <c r="E6" s="20">
        <f>_xll.BDH("NBIX US Equity","ACCT_RCV_TURN","FQ2 2019","FQ2 2019","Currency=USD","Period=FQ","BEST_FPERIOD_OVERRIDE=FQ","FILING_STATUS=MR","FA_ADJUSTED=GAAP","Sort=A","Dates=H","DateFormat=P","Fill=—","Direction=H","UseDPDF=Y")</f>
        <v>8.7713000000000001</v>
      </c>
      <c r="F6" s="20">
        <f>_xll.BDH("NBIX US Equity","ACCT_RCV_TURN","FQ3 2019","FQ3 2019","Currency=USD","Period=FQ","BEST_FPERIOD_OVERRIDE=FQ","FILING_STATUS=MR","FA_ADJUSTED=GAAP","Sort=A","Dates=H","DateFormat=P","Fill=—","Direction=H","UseDPDF=Y")</f>
        <v>7.9752999999999998</v>
      </c>
      <c r="G6" s="20">
        <f>_xll.BDH("NBIX US Equity","ACCT_RCV_TURN","FQ4 2019","FQ4 2019","Currency=USD","Period=FQ","BEST_FPERIOD_OVERRIDE=FQ","FILING_STATUS=MR","FA_ADJUSTED=GAAP","Sort=A","Dates=H","DateFormat=P","Fill=—","Direction=H","UseDPDF=Y")</f>
        <v>8.6214999999999993</v>
      </c>
      <c r="H6" s="20">
        <f>_xll.BDH("NBIX US Equity","ACCT_RCV_TURN","FQ1 2020","FQ1 2020","Currency=USD","Period=FQ","BEST_FPERIOD_OVERRIDE=FQ","FILING_STATUS=MR","FA_ADJUSTED=GAAP","Sort=A","Dates=H","DateFormat=P","Fill=—","Direction=H","UseDPDF=Y")</f>
        <v>8.0419</v>
      </c>
      <c r="I6" s="20">
        <f>_xll.BDH("NBIX US Equity","ACCT_RCV_TURN","FQ2 2020","FQ2 2020","Currency=USD","Period=FQ","BEST_FPERIOD_OVERRIDE=FQ","FILING_STATUS=MR","FA_ADJUSTED=GAAP","Sort=A","Dates=H","DateFormat=P","Fill=—","Direction=H","UseDPDF=Y")</f>
        <v>8.2515999999999998</v>
      </c>
      <c r="J6" s="20">
        <f>_xll.BDH("NBIX US Equity","ACCT_RCV_TURN","FQ3 2020","FQ3 2020","Currency=USD","Period=FQ","BEST_FPERIOD_OVERRIDE=FQ","FILING_STATUS=MR","FA_ADJUSTED=GAAP","Sort=A","Dates=H","DateFormat=P","Fill=—","Direction=H","UseDPDF=Y")</f>
        <v>7.6563999999999997</v>
      </c>
      <c r="K6" s="20">
        <f>_xll.BDH("NBIX US Equity","ACCT_RCV_TURN","FQ4 2020","FQ4 2020","Currency=USD","Period=FQ","BEST_FPERIOD_OVERRIDE=FQ","FILING_STATUS=MR","FA_ADJUSTED=GAAP","Sort=A","Dates=H","DateFormat=P","Fill=—","Direction=H","UseDPDF=Y")</f>
        <v>7.3733000000000004</v>
      </c>
      <c r="L6" s="20">
        <f>_xll.BDH("NBIX US Equity","ACCT_RCV_TURN","FQ1 2021","FQ1 2021","Currency=USD","Period=FQ","BEST_FPERIOD_OVERRIDE=FQ","FILING_STATUS=MR","FA_ADJUSTED=GAAP","Sort=A","Dates=H","DateFormat=P","Fill=—","Direction=H","UseDPDF=Y")</f>
        <v>7.0540000000000003</v>
      </c>
      <c r="M6" s="20">
        <f>_xll.BDH("NBIX US Equity","ACCT_RCV_TURN","FQ2 2021","FQ2 2021","Currency=USD","Period=FQ","BEST_FPERIOD_OVERRIDE=FQ","FILING_STATUS=MR","FA_ADJUSTED=GAAP","Sort=A","Dates=H","DateFormat=P","Fill=—","Direction=H","UseDPDF=Y")</f>
        <v>6.7247000000000003</v>
      </c>
      <c r="N6" s="20">
        <f>_xll.BDH("NBIX US Equity","ACCT_RCV_TURN","FQ3 2021","FQ3 2021","Currency=USD","Period=FQ","BEST_FPERIOD_OVERRIDE=FQ","FILING_STATUS=MR","FA_ADJUSTED=GAAP","Sort=A","Dates=H","DateFormat=P","Fill=—","Direction=H","UseDPDF=Y")</f>
        <v>6.6692</v>
      </c>
      <c r="O6" s="20">
        <f>_xll.BDH("NBIX US Equity","ACCT_RCV_TURN","FQ4 2021","FQ4 2021","Currency=USD","Period=FQ","BEST_FPERIOD_OVERRIDE=FQ","FILING_STATUS=MR","FA_ADJUSTED=GAAP","Sort=A","Dates=H","DateFormat=P","Fill=—","Direction=H","UseDPDF=Y")</f>
        <v>6.617</v>
      </c>
      <c r="P6" s="20">
        <f>_xll.BDH("NBIX US Equity","ACCT_RCV_TURN","FQ1 2022","FQ1 2022","Currency=USD","Period=FQ","BEST_FPERIOD_OVERRIDE=FQ","FILING_STATUS=MR","FA_ADJUSTED=GAAP","Sort=A","Dates=H","DateFormat=P","Fill=—","Direction=H","UseDPDF=Y")</f>
        <v>5.8715999999999999</v>
      </c>
      <c r="Q6" s="20">
        <f>_xll.BDH("NBIX US Equity","ACCT_RCV_TURN","FQ2 2022","FQ2 2022","Currency=USD","Period=FQ","BEST_FPERIOD_OVERRIDE=FQ","FILING_STATUS=MR","FA_ADJUSTED=GAAP","Sort=A","Dates=H","DateFormat=P","Fill=—","Direction=H","UseDPDF=Y")</f>
        <v>5.9282000000000004</v>
      </c>
      <c r="R6" s="20">
        <f>_xll.BDH("NBIX US Equity","ACCT_RCV_TURN","FQ3 2022","FQ3 2022","Currency=USD","Period=FQ","BEST_FPERIOD_OVERRIDE=FQ","FILING_STATUS=MR","FA_ADJUSTED=GAAP","Sort=A","Dates=H","DateFormat=P","Fill=—","Direction=H","UseDPDF=Y")</f>
        <v>5.9729000000000001</v>
      </c>
      <c r="S6" s="20">
        <f>_xll.BDH("NBIX US Equity","ACCT_RCV_TURN","FQ4 2022","FQ4 2022","Currency=USD","Period=FQ","BEST_FPERIOD_OVERRIDE=FQ","FILING_STATUS=MR","FA_ADJUSTED=GAAP","Sort=A","Dates=H","DateFormat=P","Fill=—","Direction=H","UseDPDF=Y")</f>
        <v>5.56</v>
      </c>
      <c r="T6" s="20">
        <f>_xll.BDH("NBIX US Equity","ACCT_RCV_TURN","FQ1 2023","FQ1 2023","Currency=USD","Period=FQ","BEST_FPERIOD_OVERRIDE=FQ","FILING_STATUS=MR","FA_ADJUSTED=GAAP","Sort=A","Dates=H","DateFormat=P","Fill=—","Direction=H","UseDPDF=Y")</f>
        <v>4.8802000000000003</v>
      </c>
      <c r="U6" s="20">
        <f>_xll.BDH("NBIX US Equity","ACCT_RCV_TURN","FQ2 2023","FQ2 2023","Currency=USD","Period=FQ","BEST_FPERIOD_OVERRIDE=FQ","FILING_STATUS=MR","FA_ADJUSTED=GAAP","Sort=A","Dates=H","DateFormat=P","Fill=—","Direction=H","UseDPDF=Y")</f>
        <v>5.0194999999999999</v>
      </c>
      <c r="V6" s="20">
        <f>_xll.BDH("NBIX US Equity","ACCT_RCV_TURN","FQ3 2023","FQ3 2023","Currency=USD","Period=FQ","BEST_FPERIOD_OVERRIDE=FQ","FILING_STATUS=MR","FA_ADJUSTED=GAAP","Sort=A","Dates=H","DateFormat=P","Fill=—","Direction=H","UseDPDF=Y")</f>
        <v>4.9622000000000002</v>
      </c>
      <c r="W6" s="20">
        <f>_xll.BDH("NBIX US Equity","ACCT_RCV_TURN","FQ4 2023","FQ4 2023","Currency=USD","Period=FQ","BEST_FPERIOD_OVERRIDE=FQ","FILING_STATUS=MR","FA_ADJUSTED=GAAP","Sort=A","Dates=H","DateFormat=P","Fill=—","Direction=H","UseDPDF=Y")</f>
        <v>4.7816999999999998</v>
      </c>
      <c r="X6" s="20">
        <f>_xll.BDH("NBIX US Equity","ACCT_RCV_TURN","FQ1 2024","FQ1 2024","Currency=USD","Period=FQ","BEST_FPERIOD_OVERRIDE=FQ","FILING_STATUS=MR","FA_ADJUSTED=GAAP","Sort=A","Dates=H","DateFormat=P","Fill=—","Direction=H","UseDPDF=Y")</f>
        <v>4.7061999999999999</v>
      </c>
      <c r="Y6" s="20">
        <f>_xll.BDH("NBIX US Equity","ACCT_RCV_TURN","FQ2 2024","FQ2 2024","Currency=USD","Period=FQ","BEST_FPERIOD_OVERRIDE=FQ","FILING_STATUS=MR","FA_ADJUSTED=GAAP","Sort=A","Dates=H","DateFormat=P","Fill=—","Direction=H","UseDPDF=Y")</f>
        <v>4.9532999999999996</v>
      </c>
      <c r="Z6" s="20">
        <f>_xll.BDH("NBIX US Equity","ACCT_RCV_TURN","FQ3 2024","FQ3 2024","Currency=USD","Period=FQ","BEST_FPERIOD_OVERRIDE=FQ","FILING_STATUS=MR","FA_ADJUSTED=GAAP","Sort=A","Dates=H","DateFormat=P","Fill=—","Direction=H","UseDPDF=Y")</f>
        <v>4.9901</v>
      </c>
      <c r="AA6" s="20">
        <f>_xll.BDH("NBIX US Equity","ACCT_RCV_TURN","FQ4 2024","FQ4 2024","Currency=USD","Period=FQ","BEST_FPERIOD_OVERRIDE=FQ","FILING_STATUS=MR","FA_ADJUSTED=GAAP","Sort=A","Dates=H","DateFormat=P","Fill=—","Direction=H","UseDPDF=Y")</f>
        <v>5.1291000000000002</v>
      </c>
    </row>
    <row r="7" spans="1:27" x14ac:dyDescent="0.25">
      <c r="A7" s="10" t="s">
        <v>1445</v>
      </c>
      <c r="B7" s="10" t="s">
        <v>1446</v>
      </c>
      <c r="C7" s="14">
        <f>_xll.BDH("NBIX US Equity","ACCT_RCV_DAYS","FQ4 2018","FQ4 2018","Currency=USD","Period=FQ","BEST_FPERIOD_OVERRIDE=FQ","FILING_STATUS=MR","FA_ADJUSTED=GAAP","Sort=A","Dates=H","DateFormat=P","Fill=—","Direction=H","UseDPDF=Y")</f>
        <v>35.334800000000001</v>
      </c>
      <c r="D7" s="14">
        <f>_xll.BDH("NBIX US Equity","ACCT_RCV_DAYS","FQ1 2019","FQ1 2019","Currency=USD","Period=FQ","BEST_FPERIOD_OVERRIDE=FQ","FILING_STATUS=MR","FA_ADJUSTED=GAAP","Sort=A","Dates=H","DateFormat=P","Fill=—","Direction=H","UseDPDF=Y")</f>
        <v>41.031799999999997</v>
      </c>
      <c r="E7" s="14">
        <f>_xll.BDH("NBIX US Equity","ACCT_RCV_DAYS","FQ2 2019","FQ2 2019","Currency=USD","Period=FQ","BEST_FPERIOD_OVERRIDE=FQ","FILING_STATUS=MR","FA_ADJUSTED=GAAP","Sort=A","Dates=H","DateFormat=P","Fill=—","Direction=H","UseDPDF=Y")</f>
        <v>41.613</v>
      </c>
      <c r="F7" s="14">
        <f>_xll.BDH("NBIX US Equity","ACCT_RCV_DAYS","FQ3 2019","FQ3 2019","Currency=USD","Period=FQ","BEST_FPERIOD_OVERRIDE=FQ","FILING_STATUS=MR","FA_ADJUSTED=GAAP","Sort=A","Dates=H","DateFormat=P","Fill=—","Direction=H","UseDPDF=Y")</f>
        <v>45.766199999999998</v>
      </c>
      <c r="G7" s="14">
        <f>_xll.BDH("NBIX US Equity","ACCT_RCV_DAYS","FQ4 2019","FQ4 2019","Currency=USD","Period=FQ","BEST_FPERIOD_OVERRIDE=FQ","FILING_STATUS=MR","FA_ADJUSTED=GAAP","Sort=A","Dates=H","DateFormat=P","Fill=—","Direction=H","UseDPDF=Y")</f>
        <v>42.335999999999999</v>
      </c>
      <c r="H7" s="14">
        <f>_xll.BDH("NBIX US Equity","ACCT_RCV_DAYS","FQ1 2020","FQ1 2020","Currency=USD","Period=FQ","BEST_FPERIOD_OVERRIDE=FQ","FILING_STATUS=MR","FA_ADJUSTED=GAAP","Sort=A","Dates=H","DateFormat=P","Fill=—","Direction=H","UseDPDF=Y")</f>
        <v>45.511800000000001</v>
      </c>
      <c r="I7" s="14">
        <f>_xll.BDH("NBIX US Equity","ACCT_RCV_DAYS","FQ2 2020","FQ2 2020","Currency=USD","Period=FQ","BEST_FPERIOD_OVERRIDE=FQ","FILING_STATUS=MR","FA_ADJUSTED=GAAP","Sort=A","Dates=H","DateFormat=P","Fill=—","Direction=H","UseDPDF=Y")</f>
        <v>44.354999999999997</v>
      </c>
      <c r="J7" s="14">
        <f>_xll.BDH("NBIX US Equity","ACCT_RCV_DAYS","FQ3 2020","FQ3 2020","Currency=USD","Period=FQ","BEST_FPERIOD_OVERRIDE=FQ","FILING_STATUS=MR","FA_ADJUSTED=GAAP","Sort=A","Dates=H","DateFormat=P","Fill=—","Direction=H","UseDPDF=Y")</f>
        <v>47.803400000000003</v>
      </c>
      <c r="K7" s="14">
        <f>_xll.BDH("NBIX US Equity","ACCT_RCV_DAYS","FQ4 2020","FQ4 2020","Currency=USD","Period=FQ","BEST_FPERIOD_OVERRIDE=FQ","FILING_STATUS=MR","FA_ADJUSTED=GAAP","Sort=A","Dates=H","DateFormat=P","Fill=—","Direction=H","UseDPDF=Y")</f>
        <v>49.6387</v>
      </c>
      <c r="L7" s="14">
        <f>_xll.BDH("NBIX US Equity","ACCT_RCV_DAYS","FQ1 2021","FQ1 2021","Currency=USD","Period=FQ","BEST_FPERIOD_OVERRIDE=FQ","FILING_STATUS=MR","FA_ADJUSTED=GAAP","Sort=A","Dates=H","DateFormat=P","Fill=—","Direction=H","UseDPDF=Y")</f>
        <v>51.7438</v>
      </c>
      <c r="M7" s="14">
        <f>_xll.BDH("NBIX US Equity","ACCT_RCV_DAYS","FQ2 2021","FQ2 2021","Currency=USD","Period=FQ","BEST_FPERIOD_OVERRIDE=FQ","FILING_STATUS=MR","FA_ADJUSTED=GAAP","Sort=A","Dates=H","DateFormat=P","Fill=—","Direction=H","UseDPDF=Y")</f>
        <v>54.277799999999999</v>
      </c>
      <c r="N7" s="14">
        <f>_xll.BDH("NBIX US Equity","ACCT_RCV_DAYS","FQ3 2021","FQ3 2021","Currency=USD","Period=FQ","BEST_FPERIOD_OVERRIDE=FQ","FILING_STATUS=MR","FA_ADJUSTED=GAAP","Sort=A","Dates=H","DateFormat=P","Fill=—","Direction=H","UseDPDF=Y")</f>
        <v>54.729500000000002</v>
      </c>
      <c r="O7" s="14">
        <f>_xll.BDH("NBIX US Equity","ACCT_RCV_DAYS","FQ4 2021","FQ4 2021","Currency=USD","Period=FQ","BEST_FPERIOD_OVERRIDE=FQ","FILING_STATUS=MR","FA_ADJUSTED=GAAP","Sort=A","Dates=H","DateFormat=P","Fill=—","Direction=H","UseDPDF=Y")</f>
        <v>55.160600000000002</v>
      </c>
      <c r="P7" s="14">
        <f>_xll.BDH("NBIX US Equity","ACCT_RCV_DAYS","FQ1 2022","FQ1 2022","Currency=USD","Period=FQ","BEST_FPERIOD_OVERRIDE=FQ","FILING_STATUS=MR","FA_ADJUSTED=GAAP","Sort=A","Dates=H","DateFormat=P","Fill=—","Direction=H","UseDPDF=Y")</f>
        <v>62.163400000000003</v>
      </c>
      <c r="Q7" s="14">
        <f>_xll.BDH("NBIX US Equity","ACCT_RCV_DAYS","FQ2 2022","FQ2 2022","Currency=USD","Period=FQ","BEST_FPERIOD_OVERRIDE=FQ","FILING_STATUS=MR","FA_ADJUSTED=GAAP","Sort=A","Dates=H","DateFormat=P","Fill=—","Direction=H","UseDPDF=Y")</f>
        <v>61.569800000000001</v>
      </c>
      <c r="R7" s="14">
        <f>_xll.BDH("NBIX US Equity","ACCT_RCV_DAYS","FQ3 2022","FQ3 2022","Currency=USD","Period=FQ","BEST_FPERIOD_OVERRIDE=FQ","FILING_STATUS=MR","FA_ADJUSTED=GAAP","Sort=A","Dates=H","DateFormat=P","Fill=—","Direction=H","UseDPDF=Y")</f>
        <v>61.109299999999998</v>
      </c>
      <c r="S7" s="14">
        <f>_xll.BDH("NBIX US Equity","ACCT_RCV_DAYS","FQ4 2022","FQ4 2022","Currency=USD","Period=FQ","BEST_FPERIOD_OVERRIDE=FQ","FILING_STATUS=MR","FA_ADJUSTED=GAAP","Sort=A","Dates=H","DateFormat=P","Fill=—","Direction=H","UseDPDF=Y")</f>
        <v>65.647000000000006</v>
      </c>
      <c r="T7" s="14">
        <f>_xll.BDH("NBIX US Equity","ACCT_RCV_DAYS","FQ1 2023","FQ1 2023","Currency=USD","Period=FQ","BEST_FPERIOD_OVERRIDE=FQ","FILING_STATUS=MR","FA_ADJUSTED=GAAP","Sort=A","Dates=H","DateFormat=P","Fill=—","Direction=H","UseDPDF=Y")</f>
        <v>74.792500000000004</v>
      </c>
      <c r="U7" s="14">
        <f>_xll.BDH("NBIX US Equity","ACCT_RCV_DAYS","FQ2 2023","FQ2 2023","Currency=USD","Period=FQ","BEST_FPERIOD_OVERRIDE=FQ","FILING_STATUS=MR","FA_ADJUSTED=GAAP","Sort=A","Dates=H","DateFormat=P","Fill=—","Direction=H","UseDPDF=Y")</f>
        <v>72.716399999999993</v>
      </c>
      <c r="V7" s="14">
        <f>_xll.BDH("NBIX US Equity","ACCT_RCV_DAYS","FQ3 2023","FQ3 2023","Currency=USD","Period=FQ","BEST_FPERIOD_OVERRIDE=FQ","FILING_STATUS=MR","FA_ADJUSTED=GAAP","Sort=A","Dates=H","DateFormat=P","Fill=—","Direction=H","UseDPDF=Y")</f>
        <v>73.5565</v>
      </c>
      <c r="W7" s="14">
        <f>_xll.BDH("NBIX US Equity","ACCT_RCV_DAYS","FQ4 2023","FQ4 2023","Currency=USD","Period=FQ","BEST_FPERIOD_OVERRIDE=FQ","FILING_STATUS=MR","FA_ADJUSTED=GAAP","Sort=A","Dates=H","DateFormat=P","Fill=—","Direction=H","UseDPDF=Y")</f>
        <v>76.332599999999999</v>
      </c>
      <c r="X7" s="14">
        <f>_xll.BDH("NBIX US Equity","ACCT_RCV_DAYS","FQ1 2024","FQ1 2024","Currency=USD","Period=FQ","BEST_FPERIOD_OVERRIDE=FQ","FILING_STATUS=MR","FA_ADJUSTED=GAAP","Sort=A","Dates=H","DateFormat=P","Fill=—","Direction=H","UseDPDF=Y")</f>
        <v>77.770399999999995</v>
      </c>
      <c r="Y7" s="14">
        <f>_xll.BDH("NBIX US Equity","ACCT_RCV_DAYS","FQ2 2024","FQ2 2024","Currency=USD","Period=FQ","BEST_FPERIOD_OVERRIDE=FQ","FILING_STATUS=MR","FA_ADJUSTED=GAAP","Sort=A","Dates=H","DateFormat=P","Fill=—","Direction=H","UseDPDF=Y")</f>
        <v>73.890699999999995</v>
      </c>
      <c r="Z7" s="14">
        <f>_xll.BDH("NBIX US Equity","ACCT_RCV_DAYS","FQ3 2024","FQ3 2024","Currency=USD","Period=FQ","BEST_FPERIOD_OVERRIDE=FQ","FILING_STATUS=MR","FA_ADJUSTED=GAAP","Sort=A","Dates=H","DateFormat=P","Fill=—","Direction=H","UseDPDF=Y")</f>
        <v>73.345200000000006</v>
      </c>
      <c r="AA7" s="14">
        <f>_xll.BDH("NBIX US Equity","ACCT_RCV_DAYS","FQ4 2024","FQ4 2024","Currency=USD","Period=FQ","BEST_FPERIOD_OVERRIDE=FQ","FILING_STATUS=MR","FA_ADJUSTED=GAAP","Sort=A","Dates=H","DateFormat=P","Fill=—","Direction=H","UseDPDF=Y")</f>
        <v>71.356999999999999</v>
      </c>
    </row>
    <row r="8" spans="1:27" x14ac:dyDescent="0.25">
      <c r="A8" s="6" t="s">
        <v>1447</v>
      </c>
      <c r="B8" s="6" t="s">
        <v>1448</v>
      </c>
      <c r="C8" s="20">
        <f>_xll.BDH("NBIX US Equity","INVENT_TURN","FQ4 2018","FQ4 2018","Currency=USD","Period=FQ","BEST_FPERIOD_OVERRIDE=FQ","FILING_STATUS=MR","FA_ADJUSTED=GAAP","Sort=A","Dates=H","DateFormat=P","Fill=—","Direction=H","UseDPDF=Y")</f>
        <v>0.82250000000000001</v>
      </c>
      <c r="D8" s="20">
        <f>_xll.BDH("NBIX US Equity","INVENT_TURN","FQ1 2019","FQ1 2019","Currency=USD","Period=FQ","BEST_FPERIOD_OVERRIDE=FQ","FILING_STATUS=MR","FA_ADJUSTED=GAAP","Sort=A","Dates=H","DateFormat=P","Fill=—","Direction=H","UseDPDF=Y")</f>
        <v>0.77910000000000001</v>
      </c>
      <c r="E8" s="20">
        <f>_xll.BDH("NBIX US Equity","INVENT_TURN","FQ2 2019","FQ2 2019","Currency=USD","Period=FQ","BEST_FPERIOD_OVERRIDE=FQ","FILING_STATUS=MR","FA_ADJUSTED=GAAP","Sort=A","Dates=H","DateFormat=P","Fill=—","Direction=H","UseDPDF=Y")</f>
        <v>0.96889999999999998</v>
      </c>
      <c r="F8" s="20">
        <f>_xll.BDH("NBIX US Equity","INVENT_TURN","FQ3 2019","FQ3 2019","Currency=USD","Period=FQ","BEST_FPERIOD_OVERRIDE=FQ","FILING_STATUS=MR","FA_ADJUSTED=GAAP","Sort=A","Dates=H","DateFormat=P","Fill=—","Direction=H","UseDPDF=Y")</f>
        <v>0.77139999999999997</v>
      </c>
      <c r="G8" s="20">
        <f>_xll.BDH("NBIX US Equity","INVENT_TURN","FQ4 2019","FQ4 2019","Currency=USD","Period=FQ","BEST_FPERIOD_OVERRIDE=FQ","FILING_STATUS=MR","FA_ADJUSTED=GAAP","Sort=A","Dates=H","DateFormat=P","Fill=—","Direction=H","UseDPDF=Y")</f>
        <v>0.5302</v>
      </c>
      <c r="H8" s="20">
        <f>_xll.BDH("NBIX US Equity","INVENT_TURN","FQ1 2020","FQ1 2020","Currency=USD","Period=FQ","BEST_FPERIOD_OVERRIDE=FQ","FILING_STATUS=MR","FA_ADJUSTED=GAAP","Sort=A","Dates=H","DateFormat=P","Fill=—","Direction=H","UseDPDF=Y")</f>
        <v>0.49320000000000003</v>
      </c>
      <c r="I8" s="20">
        <f>_xll.BDH("NBIX US Equity","INVENT_TURN","FQ2 2020","FQ2 2020","Currency=USD","Period=FQ","BEST_FPERIOD_OVERRIDE=FQ","FILING_STATUS=MR","FA_ADJUSTED=GAAP","Sort=A","Dates=H","DateFormat=P","Fill=—","Direction=H","UseDPDF=Y")</f>
        <v>0.54259999999999997</v>
      </c>
      <c r="J8" s="20">
        <f>_xll.BDH("NBIX US Equity","INVENT_TURN","FQ3 2020","FQ3 2020","Currency=USD","Period=FQ","BEST_FPERIOD_OVERRIDE=FQ","FILING_STATUS=MR","FA_ADJUSTED=GAAP","Sort=A","Dates=H","DateFormat=P","Fill=—","Direction=H","UseDPDF=Y")</f>
        <v>0.6179</v>
      </c>
      <c r="K8" s="20">
        <f>_xll.BDH("NBIX US Equity","INVENT_TURN","FQ4 2020","FQ4 2020","Currency=USD","Period=FQ","BEST_FPERIOD_OVERRIDE=FQ","FILING_STATUS=MR","FA_ADJUSTED=GAAP","Sort=A","Dates=H","DateFormat=P","Fill=—","Direction=H","UseDPDF=Y")</f>
        <v>0.44590000000000002</v>
      </c>
      <c r="L8" s="20">
        <f>_xll.BDH("NBIX US Equity","INVENT_TURN","FQ1 2021","FQ1 2021","Currency=USD","Period=FQ","BEST_FPERIOD_OVERRIDE=FQ","FILING_STATUS=MR","FA_ADJUSTED=GAAP","Sort=A","Dates=H","DateFormat=P","Fill=—","Direction=H","UseDPDF=Y")</f>
        <v>0.42499999999999999</v>
      </c>
      <c r="M8" s="20">
        <f>_xll.BDH("NBIX US Equity","INVENT_TURN","FQ2 2021","FQ2 2021","Currency=USD","Period=FQ","BEST_FPERIOD_OVERRIDE=FQ","FILING_STATUS=MR","FA_ADJUSTED=GAAP","Sort=A","Dates=H","DateFormat=P","Fill=—","Direction=H","UseDPDF=Y")</f>
        <v>0.4612</v>
      </c>
      <c r="N8" s="20">
        <f>_xll.BDH("NBIX US Equity","INVENT_TURN","FQ3 2021","FQ3 2021","Currency=USD","Period=FQ","BEST_FPERIOD_OVERRIDE=FQ","FILING_STATUS=MR","FA_ADJUSTED=GAAP","Sort=A","Dates=H","DateFormat=P","Fill=—","Direction=H","UseDPDF=Y")</f>
        <v>0.56830000000000003</v>
      </c>
      <c r="O8" s="20">
        <f>_xll.BDH("NBIX US Equity","INVENT_TURN","FQ4 2021","FQ4 2021","Currency=USD","Period=FQ","BEST_FPERIOD_OVERRIDE=FQ","FILING_STATUS=MR","FA_ADJUSTED=GAAP","Sort=A","Dates=H","DateFormat=P","Fill=—","Direction=H","UseDPDF=Y")</f>
        <v>0.4889</v>
      </c>
      <c r="P8" s="20">
        <f>_xll.BDH("NBIX US Equity","INVENT_TURN","FQ1 2022","FQ1 2022","Currency=USD","Period=FQ","BEST_FPERIOD_OVERRIDE=FQ","FILING_STATUS=MR","FA_ADJUSTED=GAAP","Sort=A","Dates=H","DateFormat=P","Fill=—","Direction=H","UseDPDF=Y")</f>
        <v>0.54149999999999998</v>
      </c>
      <c r="Q8" s="20">
        <f>_xll.BDH("NBIX US Equity","INVENT_TURN","FQ2 2022","FQ2 2022","Currency=USD","Period=FQ","BEST_FPERIOD_OVERRIDE=FQ","FILING_STATUS=MR","FA_ADJUSTED=GAAP","Sort=A","Dates=H","DateFormat=P","Fill=—","Direction=H","UseDPDF=Y")</f>
        <v>0.61460000000000004</v>
      </c>
      <c r="R8" s="20">
        <f>_xll.BDH("NBIX US Equity","INVENT_TURN","FQ3 2022","FQ3 2022","Currency=USD","Period=FQ","BEST_FPERIOD_OVERRIDE=FQ","FILING_STATUS=MR","FA_ADJUSTED=GAAP","Sort=A","Dates=H","DateFormat=P","Fill=—","Direction=H","UseDPDF=Y")</f>
        <v>0.62719999999999998</v>
      </c>
      <c r="S8" s="20">
        <f>_xll.BDH("NBIX US Equity","INVENT_TURN","FQ4 2022","FQ4 2022","Currency=USD","Period=FQ","BEST_FPERIOD_OVERRIDE=FQ","FILING_STATUS=MR","FA_ADJUSTED=GAAP","Sort=A","Dates=H","DateFormat=P","Fill=—","Direction=H","UseDPDF=Y")</f>
        <v>0.70730000000000004</v>
      </c>
      <c r="T8" s="20">
        <f>_xll.BDH("NBIX US Equity","INVENT_TURN","FQ1 2023","FQ1 2023","Currency=USD","Period=FQ","BEST_FPERIOD_OVERRIDE=FQ","FILING_STATUS=MR","FA_ADJUSTED=GAAP","Sort=A","Dates=H","DateFormat=P","Fill=—","Direction=H","UseDPDF=Y")</f>
        <v>0.86860000000000004</v>
      </c>
      <c r="U8" s="20">
        <f>_xll.BDH("NBIX US Equity","INVENT_TURN","FQ2 2023","FQ2 2023","Currency=USD","Period=FQ","BEST_FPERIOD_OVERRIDE=FQ","FILING_STATUS=MR","FA_ADJUSTED=GAAP","Sort=A","Dates=H","DateFormat=P","Fill=—","Direction=H","UseDPDF=Y")</f>
        <v>1.1082000000000001</v>
      </c>
      <c r="V8" s="20">
        <f>_xll.BDH("NBIX US Equity","INVENT_TURN","FQ3 2023","FQ3 2023","Currency=USD","Period=FQ","BEST_FPERIOD_OVERRIDE=FQ","FILING_STATUS=MR","FA_ADJUSTED=GAAP","Sort=A","Dates=H","DateFormat=P","Fill=—","Direction=H","UseDPDF=Y")</f>
        <v>1.1823999999999999</v>
      </c>
      <c r="W8" s="20">
        <f>_xll.BDH("NBIX US Equity","INVENT_TURN","FQ4 2023","FQ4 2023","Currency=USD","Period=FQ","BEST_FPERIOD_OVERRIDE=FQ","FILING_STATUS=MR","FA_ADJUSTED=GAAP","Sort=A","Dates=H","DateFormat=P","Fill=—","Direction=H","UseDPDF=Y")</f>
        <v>1.0817000000000001</v>
      </c>
      <c r="X8" s="20">
        <f>_xll.BDH("NBIX US Equity","INVENT_TURN","FQ1 2024","FQ1 2024","Currency=USD","Period=FQ","BEST_FPERIOD_OVERRIDE=FQ","FILING_STATUS=MR","FA_ADJUSTED=GAAP","Sort=A","Dates=H","DateFormat=P","Fill=—","Direction=H","UseDPDF=Y")</f>
        <v>1.0963000000000001</v>
      </c>
      <c r="Y8" s="20">
        <f>_xll.BDH("NBIX US Equity","INVENT_TURN","FQ2 2024","FQ2 2024","Currency=USD","Period=FQ","BEST_FPERIOD_OVERRIDE=FQ","FILING_STATUS=MR","FA_ADJUSTED=GAAP","Sort=A","Dates=H","DateFormat=P","Fill=—","Direction=H","UseDPDF=Y")</f>
        <v>0.98109999999999997</v>
      </c>
      <c r="Z8" s="20">
        <f>_xll.BDH("NBIX US Equity","INVENT_TURN","FQ3 2024","FQ3 2024","Currency=USD","Period=FQ","BEST_FPERIOD_OVERRIDE=FQ","FILING_STATUS=MR","FA_ADJUSTED=GAAP","Sort=A","Dates=H","DateFormat=P","Fill=—","Direction=H","UseDPDF=Y")</f>
        <v>0.8901</v>
      </c>
      <c r="AA8" s="20">
        <f>_xll.BDH("NBIX US Equity","INVENT_TURN","FQ4 2024","FQ4 2024","Currency=USD","Period=FQ","BEST_FPERIOD_OVERRIDE=FQ","FILING_STATUS=MR","FA_ADJUSTED=GAAP","Sort=A","Dates=H","DateFormat=P","Fill=—","Direction=H","UseDPDF=Y")</f>
        <v>0.71060000000000001</v>
      </c>
    </row>
    <row r="9" spans="1:27" x14ac:dyDescent="0.25">
      <c r="A9" s="10" t="s">
        <v>1449</v>
      </c>
      <c r="B9" s="10" t="s">
        <v>1450</v>
      </c>
      <c r="C9" s="14">
        <f>_xll.BDH("NBIX US Equity","INVENT_DAYS","FQ4 2018","FQ4 2018","Currency=USD","Period=FQ","BEST_FPERIOD_OVERRIDE=FQ","FILING_STATUS=MR","FA_ADJUSTED=GAAP","Sort=A","Dates=H","DateFormat=P","Fill=—","Direction=H","UseDPDF=Y")</f>
        <v>443.7636</v>
      </c>
      <c r="D9" s="14">
        <f>_xll.BDH("NBIX US Equity","INVENT_DAYS","FQ1 2019","FQ1 2019","Currency=USD","Period=FQ","BEST_FPERIOD_OVERRIDE=FQ","FILING_STATUS=MR","FA_ADJUSTED=GAAP","Sort=A","Dates=H","DateFormat=P","Fill=—","Direction=H","UseDPDF=Y")</f>
        <v>468.49349999999998</v>
      </c>
      <c r="E9" s="14">
        <f>_xll.BDH("NBIX US Equity","INVENT_DAYS","FQ2 2019","FQ2 2019","Currency=USD","Period=FQ","BEST_FPERIOD_OVERRIDE=FQ","FILING_STATUS=MR","FA_ADJUSTED=GAAP","Sort=A","Dates=H","DateFormat=P","Fill=—","Direction=H","UseDPDF=Y")</f>
        <v>376.72359999999998</v>
      </c>
      <c r="F9" s="14">
        <f>_xll.BDH("NBIX US Equity","INVENT_DAYS","FQ3 2019","FQ3 2019","Currency=USD","Period=FQ","BEST_FPERIOD_OVERRIDE=FQ","FILING_STATUS=MR","FA_ADJUSTED=GAAP","Sort=A","Dates=H","DateFormat=P","Fill=—","Direction=H","UseDPDF=Y")</f>
        <v>473.15230000000003</v>
      </c>
      <c r="G9" s="14">
        <f>_xll.BDH("NBIX US Equity","INVENT_DAYS","FQ4 2019","FQ4 2019","Currency=USD","Period=FQ","BEST_FPERIOD_OVERRIDE=FQ","FILING_STATUS=MR","FA_ADJUSTED=GAAP","Sort=A","Dates=H","DateFormat=P","Fill=—","Direction=H","UseDPDF=Y")</f>
        <v>688.44500000000005</v>
      </c>
      <c r="H9" s="14">
        <f>_xll.BDH("NBIX US Equity","INVENT_DAYS","FQ1 2020","FQ1 2020","Currency=USD","Period=FQ","BEST_FPERIOD_OVERRIDE=FQ","FILING_STATUS=MR","FA_ADJUSTED=GAAP","Sort=A","Dates=H","DateFormat=P","Fill=—","Direction=H","UseDPDF=Y")</f>
        <v>742.02089999999998</v>
      </c>
      <c r="I9" s="14">
        <f>_xll.BDH("NBIX US Equity","INVENT_DAYS","FQ2 2020","FQ2 2020","Currency=USD","Period=FQ","BEST_FPERIOD_OVERRIDE=FQ","FILING_STATUS=MR","FA_ADJUSTED=GAAP","Sort=A","Dates=H","DateFormat=P","Fill=—","Direction=H","UseDPDF=Y")</f>
        <v>674.53610000000003</v>
      </c>
      <c r="J9" s="14">
        <f>_xll.BDH("NBIX US Equity","INVENT_DAYS","FQ3 2020","FQ3 2020","Currency=USD","Period=FQ","BEST_FPERIOD_OVERRIDE=FQ","FILING_STATUS=MR","FA_ADJUSTED=GAAP","Sort=A","Dates=H","DateFormat=P","Fill=—","Direction=H","UseDPDF=Y")</f>
        <v>592.35400000000004</v>
      </c>
      <c r="K9" s="14">
        <f>_xll.BDH("NBIX US Equity","INVENT_DAYS","FQ4 2020","FQ4 2020","Currency=USD","Period=FQ","BEST_FPERIOD_OVERRIDE=FQ","FILING_STATUS=MR","FA_ADJUSTED=GAAP","Sort=A","Dates=H","DateFormat=P","Fill=—","Direction=H","UseDPDF=Y")</f>
        <v>820.78219999999999</v>
      </c>
      <c r="L9" s="14">
        <f>_xll.BDH("NBIX US Equity","INVENT_DAYS","FQ1 2021","FQ1 2021","Currency=USD","Period=FQ","BEST_FPERIOD_OVERRIDE=FQ","FILING_STATUS=MR","FA_ADJUSTED=GAAP","Sort=A","Dates=H","DateFormat=P","Fill=—","Direction=H","UseDPDF=Y")</f>
        <v>858.92200000000003</v>
      </c>
      <c r="M9" s="14">
        <f>_xll.BDH("NBIX US Equity","INVENT_DAYS","FQ2 2021","FQ2 2021","Currency=USD","Period=FQ","BEST_FPERIOD_OVERRIDE=FQ","FILING_STATUS=MR","FA_ADJUSTED=GAAP","Sort=A","Dates=H","DateFormat=P","Fill=—","Direction=H","UseDPDF=Y")</f>
        <v>791.3578</v>
      </c>
      <c r="N9" s="14">
        <f>_xll.BDH("NBIX US Equity","INVENT_DAYS","FQ3 2021","FQ3 2021","Currency=USD","Period=FQ","BEST_FPERIOD_OVERRIDE=FQ","FILING_STATUS=MR","FA_ADJUSTED=GAAP","Sort=A","Dates=H","DateFormat=P","Fill=—","Direction=H","UseDPDF=Y")</f>
        <v>642.2328</v>
      </c>
      <c r="O9" s="14">
        <f>_xll.BDH("NBIX US Equity","INVENT_DAYS","FQ4 2021","FQ4 2021","Currency=USD","Period=FQ","BEST_FPERIOD_OVERRIDE=FQ","FILING_STATUS=MR","FA_ADJUSTED=GAAP","Sort=A","Dates=H","DateFormat=P","Fill=—","Direction=H","UseDPDF=Y")</f>
        <v>746.59090000000003</v>
      </c>
      <c r="P9" s="14">
        <f>_xll.BDH("NBIX US Equity","INVENT_DAYS","FQ1 2022","FQ1 2022","Currency=USD","Period=FQ","BEST_FPERIOD_OVERRIDE=FQ","FILING_STATUS=MR","FA_ADJUSTED=GAAP","Sort=A","Dates=H","DateFormat=P","Fill=—","Direction=H","UseDPDF=Y")</f>
        <v>674.10940000000005</v>
      </c>
      <c r="Q9" s="14">
        <f>_xll.BDH("NBIX US Equity","INVENT_DAYS","FQ2 2022","FQ2 2022","Currency=USD","Period=FQ","BEST_FPERIOD_OVERRIDE=FQ","FILING_STATUS=MR","FA_ADJUSTED=GAAP","Sort=A","Dates=H","DateFormat=P","Fill=—","Direction=H","UseDPDF=Y")</f>
        <v>593.89829999999995</v>
      </c>
      <c r="R9" s="14">
        <f>_xll.BDH("NBIX US Equity","INVENT_DAYS","FQ3 2022","FQ3 2022","Currency=USD","Period=FQ","BEST_FPERIOD_OVERRIDE=FQ","FILING_STATUS=MR","FA_ADJUSTED=GAAP","Sort=A","Dates=H","DateFormat=P","Fill=—","Direction=H","UseDPDF=Y")</f>
        <v>581.95150000000001</v>
      </c>
      <c r="S9" s="14">
        <f>_xll.BDH("NBIX US Equity","INVENT_DAYS","FQ4 2022","FQ4 2022","Currency=USD","Period=FQ","BEST_FPERIOD_OVERRIDE=FQ","FILING_STATUS=MR","FA_ADJUSTED=GAAP","Sort=A","Dates=H","DateFormat=P","Fill=—","Direction=H","UseDPDF=Y")</f>
        <v>516.03449999999998</v>
      </c>
      <c r="T9" s="14">
        <f>_xll.BDH("NBIX US Equity","INVENT_DAYS","FQ1 2023","FQ1 2023","Currency=USD","Period=FQ","BEST_FPERIOD_OVERRIDE=FQ","FILING_STATUS=MR","FA_ADJUSTED=GAAP","Sort=A","Dates=H","DateFormat=P","Fill=—","Direction=H","UseDPDF=Y")</f>
        <v>420.22140000000002</v>
      </c>
      <c r="U9" s="14">
        <f>_xll.BDH("NBIX US Equity","INVENT_DAYS","FQ2 2023","FQ2 2023","Currency=USD","Period=FQ","BEST_FPERIOD_OVERRIDE=FQ","FILING_STATUS=MR","FA_ADJUSTED=GAAP","Sort=A","Dates=H","DateFormat=P","Fill=—","Direction=H","UseDPDF=Y")</f>
        <v>329.3639</v>
      </c>
      <c r="V9" s="14">
        <f>_xll.BDH("NBIX US Equity","INVENT_DAYS","FQ3 2023","FQ3 2023","Currency=USD","Period=FQ","BEST_FPERIOD_OVERRIDE=FQ","FILING_STATUS=MR","FA_ADJUSTED=GAAP","Sort=A","Dates=H","DateFormat=P","Fill=—","Direction=H","UseDPDF=Y")</f>
        <v>308.70179999999999</v>
      </c>
      <c r="W9" s="14">
        <f>_xll.BDH("NBIX US Equity","INVENT_DAYS","FQ4 2023","FQ4 2023","Currency=USD","Period=FQ","BEST_FPERIOD_OVERRIDE=FQ","FILING_STATUS=MR","FA_ADJUSTED=GAAP","Sort=A","Dates=H","DateFormat=P","Fill=—","Direction=H","UseDPDF=Y")</f>
        <v>337.41809999999998</v>
      </c>
      <c r="X9" s="14">
        <f>_xll.BDH("NBIX US Equity","INVENT_DAYS","FQ1 2024","FQ1 2024","Currency=USD","Period=FQ","BEST_FPERIOD_OVERRIDE=FQ","FILING_STATUS=MR","FA_ADJUSTED=GAAP","Sort=A","Dates=H","DateFormat=P","Fill=—","Direction=H","UseDPDF=Y")</f>
        <v>333.84500000000003</v>
      </c>
      <c r="Y9" s="14">
        <f>_xll.BDH("NBIX US Equity","INVENT_DAYS","FQ2 2024","FQ2 2024","Currency=USD","Period=FQ","BEST_FPERIOD_OVERRIDE=FQ","FILING_STATUS=MR","FA_ADJUSTED=GAAP","Sort=A","Dates=H","DateFormat=P","Fill=—","Direction=H","UseDPDF=Y")</f>
        <v>373.0385</v>
      </c>
      <c r="Z9" s="14">
        <f>_xll.BDH("NBIX US Equity","INVENT_DAYS","FQ3 2024","FQ3 2024","Currency=USD","Period=FQ","BEST_FPERIOD_OVERRIDE=FQ","FILING_STATUS=MR","FA_ADJUSTED=GAAP","Sort=A","Dates=H","DateFormat=P","Fill=—","Direction=H","UseDPDF=Y")</f>
        <v>411.19880000000001</v>
      </c>
      <c r="AA9" s="14">
        <f>_xll.BDH("NBIX US Equity","INVENT_DAYS","FQ4 2024","FQ4 2024","Currency=USD","Period=FQ","BEST_FPERIOD_OVERRIDE=FQ","FILING_STATUS=MR","FA_ADJUSTED=GAAP","Sort=A","Dates=H","DateFormat=P","Fill=—","Direction=H","UseDPDF=Y")</f>
        <v>515.09119999999996</v>
      </c>
    </row>
    <row r="10" spans="1:27" x14ac:dyDescent="0.25">
      <c r="A10" s="6" t="s">
        <v>1451</v>
      </c>
      <c r="B10" s="6" t="s">
        <v>1452</v>
      </c>
      <c r="C10" s="20">
        <f>_xll.BDH("NBIX US Equity","ACCOUNTS_PAYABLE_TURNOVER","FQ4 2018","FQ4 2018","Currency=USD","Period=FQ","BEST_FPERIOD_OVERRIDE=FQ","FILING_STATUS=MR","FA_ADJUSTED=GAAP","Sort=A","Dates=H","DateFormat=P","Fill=—","Direction=H","UseDPDF=Y")</f>
        <v>1.5145999999999999</v>
      </c>
      <c r="D10" s="20" t="str">
        <f>_xll.BDH("NBIX US Equity","ACCOUNTS_PAYABLE_TURNOVER","FQ1 2019","FQ1 2019","Currency=USD","Period=FQ","BEST_FPERIOD_OVERRIDE=FQ","FILING_STATUS=MR","FA_ADJUSTED=GAAP","Sort=A","Dates=H","DateFormat=P","Fill=—","Direction=H","UseDPDF=Y")</f>
        <v>—</v>
      </c>
      <c r="E10" s="20" t="str">
        <f>_xll.BDH("NBIX US Equity","ACCOUNTS_PAYABLE_TURNOVER","FQ2 2019","FQ2 2019","Currency=USD","Period=FQ","BEST_FPERIOD_OVERRIDE=FQ","FILING_STATUS=MR","FA_ADJUSTED=GAAP","Sort=A","Dates=H","DateFormat=P","Fill=—","Direction=H","UseDPDF=Y")</f>
        <v>—</v>
      </c>
      <c r="F10" s="20" t="str">
        <f>_xll.BDH("NBIX US Equity","ACCOUNTS_PAYABLE_TURNOVER","FQ3 2019","FQ3 2019","Currency=USD","Period=FQ","BEST_FPERIOD_OVERRIDE=FQ","FILING_STATUS=MR","FA_ADJUSTED=GAAP","Sort=A","Dates=H","DateFormat=P","Fill=—","Direction=H","UseDPDF=Y")</f>
        <v>—</v>
      </c>
      <c r="G10" s="20">
        <f>_xll.BDH("NBIX US Equity","ACCOUNTS_PAYABLE_TURNOVER","FQ4 2019","FQ4 2019","Currency=USD","Period=FQ","BEST_FPERIOD_OVERRIDE=FQ","FILING_STATUS=MR","FA_ADJUSTED=GAAP","Sort=A","Dates=H","DateFormat=P","Fill=—","Direction=H","UseDPDF=Y")</f>
        <v>0.62619999999999998</v>
      </c>
      <c r="H10" s="20" t="str">
        <f>_xll.BDH("NBIX US Equity","ACCOUNTS_PAYABLE_TURNOVER","FQ1 2020","FQ1 2020","Currency=USD","Period=FQ","BEST_FPERIOD_OVERRIDE=FQ","FILING_STATUS=MR","FA_ADJUSTED=GAAP","Sort=A","Dates=H","DateFormat=P","Fill=—","Direction=H","UseDPDF=Y")</f>
        <v>—</v>
      </c>
      <c r="I10" s="20" t="str">
        <f>_xll.BDH("NBIX US Equity","ACCOUNTS_PAYABLE_TURNOVER","FQ2 2020","FQ2 2020","Currency=USD","Period=FQ","BEST_FPERIOD_OVERRIDE=FQ","FILING_STATUS=MR","FA_ADJUSTED=GAAP","Sort=A","Dates=H","DateFormat=P","Fill=—","Direction=H","UseDPDF=Y")</f>
        <v>—</v>
      </c>
      <c r="J10" s="20" t="str">
        <f>_xll.BDH("NBIX US Equity","ACCOUNTS_PAYABLE_TURNOVER","FQ3 2020","FQ3 2020","Currency=USD","Period=FQ","BEST_FPERIOD_OVERRIDE=FQ","FILING_STATUS=MR","FA_ADJUSTED=GAAP","Sort=A","Dates=H","DateFormat=P","Fill=—","Direction=H","UseDPDF=Y")</f>
        <v>—</v>
      </c>
      <c r="K10" s="20">
        <f>_xll.BDH("NBIX US Equity","ACCOUNTS_PAYABLE_TURNOVER","FQ4 2020","FQ4 2020","Currency=USD","Period=FQ","BEST_FPERIOD_OVERRIDE=FQ","FILING_STATUS=MR","FA_ADJUSTED=GAAP","Sort=A","Dates=H","DateFormat=P","Fill=—","Direction=H","UseDPDF=Y")</f>
        <v>0.63800000000000001</v>
      </c>
      <c r="L10" s="20" t="str">
        <f>_xll.BDH("NBIX US Equity","ACCOUNTS_PAYABLE_TURNOVER","FQ1 2021","FQ1 2021","Currency=USD","Period=FQ","BEST_FPERIOD_OVERRIDE=FQ","FILING_STATUS=MR","FA_ADJUSTED=GAAP","Sort=A","Dates=H","DateFormat=P","Fill=—","Direction=H","UseDPDF=Y")</f>
        <v>—</v>
      </c>
      <c r="M10" s="20" t="str">
        <f>_xll.BDH("NBIX US Equity","ACCOUNTS_PAYABLE_TURNOVER","FQ2 2021","FQ2 2021","Currency=USD","Period=FQ","BEST_FPERIOD_OVERRIDE=FQ","FILING_STATUS=MR","FA_ADJUSTED=GAAP","Sort=A","Dates=H","DateFormat=P","Fill=—","Direction=H","UseDPDF=Y")</f>
        <v>—</v>
      </c>
      <c r="N10" s="20" t="str">
        <f>_xll.BDH("NBIX US Equity","ACCOUNTS_PAYABLE_TURNOVER","FQ3 2021","FQ3 2021","Currency=USD","Period=FQ","BEST_FPERIOD_OVERRIDE=FQ","FILING_STATUS=MR","FA_ADJUSTED=GAAP","Sort=A","Dates=H","DateFormat=P","Fill=—","Direction=H","UseDPDF=Y")</f>
        <v>—</v>
      </c>
      <c r="O10" s="20">
        <f>_xll.BDH("NBIX US Equity","ACCOUNTS_PAYABLE_TURNOVER","FQ4 2021","FQ4 2021","Currency=USD","Period=FQ","BEST_FPERIOD_OVERRIDE=FQ","FILING_STATUS=MR","FA_ADJUSTED=GAAP","Sort=A","Dates=H","DateFormat=P","Fill=—","Direction=H","UseDPDF=Y")</f>
        <v>0.3453</v>
      </c>
      <c r="P10" s="20" t="str">
        <f>_xll.BDH("NBIX US Equity","ACCOUNTS_PAYABLE_TURNOVER","FQ1 2022","FQ1 2022","Currency=USD","Period=FQ","BEST_FPERIOD_OVERRIDE=FQ","FILING_STATUS=MR","FA_ADJUSTED=GAAP","Sort=A","Dates=H","DateFormat=P","Fill=—","Direction=H","UseDPDF=Y")</f>
        <v>—</v>
      </c>
      <c r="Q10" s="20" t="str">
        <f>_xll.BDH("NBIX US Equity","ACCOUNTS_PAYABLE_TURNOVER","FQ2 2022","FQ2 2022","Currency=USD","Period=FQ","BEST_FPERIOD_OVERRIDE=FQ","FILING_STATUS=MR","FA_ADJUSTED=GAAP","Sort=A","Dates=H","DateFormat=P","Fill=—","Direction=H","UseDPDF=Y")</f>
        <v>—</v>
      </c>
      <c r="R10" s="20" t="str">
        <f>_xll.BDH("NBIX US Equity","ACCOUNTS_PAYABLE_TURNOVER","FQ3 2022","FQ3 2022","Currency=USD","Period=FQ","BEST_FPERIOD_OVERRIDE=FQ","FILING_STATUS=MR","FA_ADJUSTED=GAAP","Sort=A","Dates=H","DateFormat=P","Fill=—","Direction=H","UseDPDF=Y")</f>
        <v>—</v>
      </c>
      <c r="S10" s="20">
        <f>_xll.BDH("NBIX US Equity","ACCOUNTS_PAYABLE_TURNOVER","FQ4 2022","FQ4 2022","Currency=USD","Period=FQ","BEST_FPERIOD_OVERRIDE=FQ","FILING_STATUS=MR","FA_ADJUSTED=GAAP","Sort=A","Dates=H","DateFormat=P","Fill=—","Direction=H","UseDPDF=Y")</f>
        <v>0.28570000000000001</v>
      </c>
      <c r="T10" s="20" t="str">
        <f>_xll.BDH("NBIX US Equity","ACCOUNTS_PAYABLE_TURNOVER","FQ1 2023","FQ1 2023","Currency=USD","Period=FQ","BEST_FPERIOD_OVERRIDE=FQ","FILING_STATUS=MR","FA_ADJUSTED=GAAP","Sort=A","Dates=H","DateFormat=P","Fill=—","Direction=H","UseDPDF=Y")</f>
        <v>—</v>
      </c>
      <c r="U10" s="20" t="str">
        <f>_xll.BDH("NBIX US Equity","ACCOUNTS_PAYABLE_TURNOVER","FQ2 2023","FQ2 2023","Currency=USD","Period=FQ","BEST_FPERIOD_OVERRIDE=FQ","FILING_STATUS=MR","FA_ADJUSTED=GAAP","Sort=A","Dates=H","DateFormat=P","Fill=—","Direction=H","UseDPDF=Y")</f>
        <v>—</v>
      </c>
      <c r="V10" s="20" t="str">
        <f>_xll.BDH("NBIX US Equity","ACCOUNTS_PAYABLE_TURNOVER","FQ3 2023","FQ3 2023","Currency=USD","Period=FQ","BEST_FPERIOD_OVERRIDE=FQ","FILING_STATUS=MR","FA_ADJUSTED=GAAP","Sort=A","Dates=H","DateFormat=P","Fill=—","Direction=H","UseDPDF=Y")</f>
        <v>—</v>
      </c>
      <c r="W10" s="20">
        <f>_xll.BDH("NBIX US Equity","ACCOUNTS_PAYABLE_TURNOVER","FQ4 2023","FQ4 2023","Currency=USD","Period=FQ","BEST_FPERIOD_OVERRIDE=FQ","FILING_STATUS=MR","FA_ADJUSTED=GAAP","Sort=A","Dates=H","DateFormat=P","Fill=—","Direction=H","UseDPDF=Y")</f>
        <v>0.31640000000000001</v>
      </c>
      <c r="X10" s="20" t="str">
        <f>_xll.BDH("NBIX US Equity","ACCOUNTS_PAYABLE_TURNOVER","FQ1 2024","FQ1 2024","Currency=USD","Period=FQ","BEST_FPERIOD_OVERRIDE=FQ","FILING_STATUS=MR","FA_ADJUSTED=GAAP","Sort=A","Dates=H","DateFormat=P","Fill=—","Direction=H","UseDPDF=Y")</f>
        <v>—</v>
      </c>
      <c r="Y10" s="20" t="str">
        <f>_xll.BDH("NBIX US Equity","ACCOUNTS_PAYABLE_TURNOVER","FQ2 2024","FQ2 2024","Currency=USD","Period=FQ","BEST_FPERIOD_OVERRIDE=FQ","FILING_STATUS=MR","FA_ADJUSTED=GAAP","Sort=A","Dates=H","DateFormat=P","Fill=—","Direction=H","UseDPDF=Y")</f>
        <v>—</v>
      </c>
      <c r="Z10" s="20" t="str">
        <f>_xll.BDH("NBIX US Equity","ACCOUNTS_PAYABLE_TURNOVER","FQ3 2024","FQ3 2024","Currency=USD","Period=FQ","BEST_FPERIOD_OVERRIDE=FQ","FILING_STATUS=MR","FA_ADJUSTED=GAAP","Sort=A","Dates=H","DateFormat=P","Fill=—","Direction=H","UseDPDF=Y")</f>
        <v>—</v>
      </c>
      <c r="AA10" s="20">
        <f>_xll.BDH("NBIX US Equity","ACCOUNTS_PAYABLE_TURNOVER","FQ4 2024","FQ4 2024","Currency=USD","Period=FQ","BEST_FPERIOD_OVERRIDE=FQ","FILING_STATUS=MR","FA_ADJUSTED=GAAP","Sort=A","Dates=H","DateFormat=P","Fill=—","Direction=H","UseDPDF=Y")</f>
        <v>0.37459999999999999</v>
      </c>
    </row>
    <row r="11" spans="1:27" x14ac:dyDescent="0.25">
      <c r="A11" s="10" t="s">
        <v>1453</v>
      </c>
      <c r="B11" s="10" t="s">
        <v>1454</v>
      </c>
      <c r="C11" s="14">
        <f>_xll.BDH("NBIX US Equity","ACCOUNTS_PAYABLE_TURNOVER_DAYS","FQ4 2018","FQ4 2018","Currency=USD","Period=FQ","BEST_FPERIOD_OVERRIDE=FQ","FILING_STATUS=MR","FA_ADJUSTED=GAAP","Sort=A","Dates=H","DateFormat=P","Fill=—","Direction=H","UseDPDF=Y")</f>
        <v>240.98330000000001</v>
      </c>
      <c r="D11" s="14" t="str">
        <f>_xll.BDH("NBIX US Equity","ACCOUNTS_PAYABLE_TURNOVER_DAYS","FQ1 2019","FQ1 2019","Currency=USD","Period=FQ","BEST_FPERIOD_OVERRIDE=FQ","FILING_STATUS=MR","FA_ADJUSTED=GAAP","Sort=A","Dates=H","DateFormat=P","Fill=—","Direction=H","UseDPDF=Y")</f>
        <v>—</v>
      </c>
      <c r="E11" s="14" t="str">
        <f>_xll.BDH("NBIX US Equity","ACCOUNTS_PAYABLE_TURNOVER_DAYS","FQ2 2019","FQ2 2019","Currency=USD","Period=FQ","BEST_FPERIOD_OVERRIDE=FQ","FILING_STATUS=MR","FA_ADJUSTED=GAAP","Sort=A","Dates=H","DateFormat=P","Fill=—","Direction=H","UseDPDF=Y")</f>
        <v>—</v>
      </c>
      <c r="F11" s="14" t="str">
        <f>_xll.BDH("NBIX US Equity","ACCOUNTS_PAYABLE_TURNOVER_DAYS","FQ3 2019","FQ3 2019","Currency=USD","Period=FQ","BEST_FPERIOD_OVERRIDE=FQ","FILING_STATUS=MR","FA_ADJUSTED=GAAP","Sort=A","Dates=H","DateFormat=P","Fill=—","Direction=H","UseDPDF=Y")</f>
        <v>—</v>
      </c>
      <c r="G11" s="14">
        <f>_xll.BDH("NBIX US Equity","ACCOUNTS_PAYABLE_TURNOVER_DAYS","FQ4 2019","FQ4 2019","Currency=USD","Period=FQ","BEST_FPERIOD_OVERRIDE=FQ","FILING_STATUS=MR","FA_ADJUSTED=GAAP","Sort=A","Dates=H","DateFormat=P","Fill=—","Direction=H","UseDPDF=Y")</f>
        <v>582.87890000000004</v>
      </c>
      <c r="H11" s="14" t="str">
        <f>_xll.BDH("NBIX US Equity","ACCOUNTS_PAYABLE_TURNOVER_DAYS","FQ1 2020","FQ1 2020","Currency=USD","Period=FQ","BEST_FPERIOD_OVERRIDE=FQ","FILING_STATUS=MR","FA_ADJUSTED=GAAP","Sort=A","Dates=H","DateFormat=P","Fill=—","Direction=H","UseDPDF=Y")</f>
        <v>—</v>
      </c>
      <c r="I11" s="14" t="str">
        <f>_xll.BDH("NBIX US Equity","ACCOUNTS_PAYABLE_TURNOVER_DAYS","FQ2 2020","FQ2 2020","Currency=USD","Period=FQ","BEST_FPERIOD_OVERRIDE=FQ","FILING_STATUS=MR","FA_ADJUSTED=GAAP","Sort=A","Dates=H","DateFormat=P","Fill=—","Direction=H","UseDPDF=Y")</f>
        <v>—</v>
      </c>
      <c r="J11" s="14" t="str">
        <f>_xll.BDH("NBIX US Equity","ACCOUNTS_PAYABLE_TURNOVER_DAYS","FQ3 2020","FQ3 2020","Currency=USD","Period=FQ","BEST_FPERIOD_OVERRIDE=FQ","FILING_STATUS=MR","FA_ADJUSTED=GAAP","Sort=A","Dates=H","DateFormat=P","Fill=—","Direction=H","UseDPDF=Y")</f>
        <v>—</v>
      </c>
      <c r="K11" s="14">
        <f>_xll.BDH("NBIX US Equity","ACCOUNTS_PAYABLE_TURNOVER_DAYS","FQ4 2020","FQ4 2020","Currency=USD","Period=FQ","BEST_FPERIOD_OVERRIDE=FQ","FILING_STATUS=MR","FA_ADJUSTED=GAAP","Sort=A","Dates=H","DateFormat=P","Fill=—","Direction=H","UseDPDF=Y")</f>
        <v>573.63459999999998</v>
      </c>
      <c r="L11" s="14" t="str">
        <f>_xll.BDH("NBIX US Equity","ACCOUNTS_PAYABLE_TURNOVER_DAYS","FQ1 2021","FQ1 2021","Currency=USD","Period=FQ","BEST_FPERIOD_OVERRIDE=FQ","FILING_STATUS=MR","FA_ADJUSTED=GAAP","Sort=A","Dates=H","DateFormat=P","Fill=—","Direction=H","UseDPDF=Y")</f>
        <v>—</v>
      </c>
      <c r="M11" s="14" t="str">
        <f>_xll.BDH("NBIX US Equity","ACCOUNTS_PAYABLE_TURNOVER_DAYS","FQ2 2021","FQ2 2021","Currency=USD","Period=FQ","BEST_FPERIOD_OVERRIDE=FQ","FILING_STATUS=MR","FA_ADJUSTED=GAAP","Sort=A","Dates=H","DateFormat=P","Fill=—","Direction=H","UseDPDF=Y")</f>
        <v>—</v>
      </c>
      <c r="N11" s="14" t="str">
        <f>_xll.BDH("NBIX US Equity","ACCOUNTS_PAYABLE_TURNOVER_DAYS","FQ3 2021","FQ3 2021","Currency=USD","Period=FQ","BEST_FPERIOD_OVERRIDE=FQ","FILING_STATUS=MR","FA_ADJUSTED=GAAP","Sort=A","Dates=H","DateFormat=P","Fill=—","Direction=H","UseDPDF=Y")</f>
        <v>—</v>
      </c>
      <c r="O11" s="14">
        <f>_xll.BDH("NBIX US Equity","ACCOUNTS_PAYABLE_TURNOVER_DAYS","FQ4 2021","FQ4 2021","Currency=USD","Period=FQ","BEST_FPERIOD_OVERRIDE=FQ","FILING_STATUS=MR","FA_ADJUSTED=GAAP","Sort=A","Dates=H","DateFormat=P","Fill=—","Direction=H","UseDPDF=Y")</f>
        <v>1056.9792</v>
      </c>
      <c r="P11" s="14" t="str">
        <f>_xll.BDH("NBIX US Equity","ACCOUNTS_PAYABLE_TURNOVER_DAYS","FQ1 2022","FQ1 2022","Currency=USD","Period=FQ","BEST_FPERIOD_OVERRIDE=FQ","FILING_STATUS=MR","FA_ADJUSTED=GAAP","Sort=A","Dates=H","DateFormat=P","Fill=—","Direction=H","UseDPDF=Y")</f>
        <v>—</v>
      </c>
      <c r="Q11" s="14" t="str">
        <f>_xll.BDH("NBIX US Equity","ACCOUNTS_PAYABLE_TURNOVER_DAYS","FQ2 2022","FQ2 2022","Currency=USD","Period=FQ","BEST_FPERIOD_OVERRIDE=FQ","FILING_STATUS=MR","FA_ADJUSTED=GAAP","Sort=A","Dates=H","DateFormat=P","Fill=—","Direction=H","UseDPDF=Y")</f>
        <v>—</v>
      </c>
      <c r="R11" s="14" t="str">
        <f>_xll.BDH("NBIX US Equity","ACCOUNTS_PAYABLE_TURNOVER_DAYS","FQ3 2022","FQ3 2022","Currency=USD","Period=FQ","BEST_FPERIOD_OVERRIDE=FQ","FILING_STATUS=MR","FA_ADJUSTED=GAAP","Sort=A","Dates=H","DateFormat=P","Fill=—","Direction=H","UseDPDF=Y")</f>
        <v>—</v>
      </c>
      <c r="S11" s="14">
        <f>_xll.BDH("NBIX US Equity","ACCOUNTS_PAYABLE_TURNOVER_DAYS","FQ4 2022","FQ4 2022","Currency=USD","Period=FQ","BEST_FPERIOD_OVERRIDE=FQ","FILING_STATUS=MR","FA_ADJUSTED=GAAP","Sort=A","Dates=H","DateFormat=P","Fill=—","Direction=H","UseDPDF=Y")</f>
        <v>1277.5</v>
      </c>
      <c r="T11" s="14" t="str">
        <f>_xll.BDH("NBIX US Equity","ACCOUNTS_PAYABLE_TURNOVER_DAYS","FQ1 2023","FQ1 2023","Currency=USD","Period=FQ","BEST_FPERIOD_OVERRIDE=FQ","FILING_STATUS=MR","FA_ADJUSTED=GAAP","Sort=A","Dates=H","DateFormat=P","Fill=—","Direction=H","UseDPDF=Y")</f>
        <v>—</v>
      </c>
      <c r="U11" s="14" t="str">
        <f>_xll.BDH("NBIX US Equity","ACCOUNTS_PAYABLE_TURNOVER_DAYS","FQ2 2023","FQ2 2023","Currency=USD","Period=FQ","BEST_FPERIOD_OVERRIDE=FQ","FILING_STATUS=MR","FA_ADJUSTED=GAAP","Sort=A","Dates=H","DateFormat=P","Fill=—","Direction=H","UseDPDF=Y")</f>
        <v>—</v>
      </c>
      <c r="V11" s="14" t="str">
        <f>_xll.BDH("NBIX US Equity","ACCOUNTS_PAYABLE_TURNOVER_DAYS","FQ3 2023","FQ3 2023","Currency=USD","Period=FQ","BEST_FPERIOD_OVERRIDE=FQ","FILING_STATUS=MR","FA_ADJUSTED=GAAP","Sort=A","Dates=H","DateFormat=P","Fill=—","Direction=H","UseDPDF=Y")</f>
        <v>—</v>
      </c>
      <c r="W11" s="14">
        <f>_xll.BDH("NBIX US Equity","ACCOUNTS_PAYABLE_TURNOVER_DAYS","FQ4 2023","FQ4 2023","Currency=USD","Period=FQ","BEST_FPERIOD_OVERRIDE=FQ","FILING_STATUS=MR","FA_ADJUSTED=GAAP","Sort=A","Dates=H","DateFormat=P","Fill=—","Direction=H","UseDPDF=Y")</f>
        <v>1153.7063000000001</v>
      </c>
      <c r="X11" s="14" t="str">
        <f>_xll.BDH("NBIX US Equity","ACCOUNTS_PAYABLE_TURNOVER_DAYS","FQ1 2024","FQ1 2024","Currency=USD","Period=FQ","BEST_FPERIOD_OVERRIDE=FQ","FILING_STATUS=MR","FA_ADJUSTED=GAAP","Sort=A","Dates=H","DateFormat=P","Fill=—","Direction=H","UseDPDF=Y")</f>
        <v>—</v>
      </c>
      <c r="Y11" s="14" t="str">
        <f>_xll.BDH("NBIX US Equity","ACCOUNTS_PAYABLE_TURNOVER_DAYS","FQ2 2024","FQ2 2024","Currency=USD","Period=FQ","BEST_FPERIOD_OVERRIDE=FQ","FILING_STATUS=MR","FA_ADJUSTED=GAAP","Sort=A","Dates=H","DateFormat=P","Fill=—","Direction=H","UseDPDF=Y")</f>
        <v>—</v>
      </c>
      <c r="Z11" s="14" t="str">
        <f>_xll.BDH("NBIX US Equity","ACCOUNTS_PAYABLE_TURNOVER_DAYS","FQ3 2024","FQ3 2024","Currency=USD","Period=FQ","BEST_FPERIOD_OVERRIDE=FQ","FILING_STATUS=MR","FA_ADJUSTED=GAAP","Sort=A","Dates=H","DateFormat=P","Fill=—","Direction=H","UseDPDF=Y")</f>
        <v>—</v>
      </c>
      <c r="AA11" s="14">
        <f>_xll.BDH("NBIX US Equity","ACCOUNTS_PAYABLE_TURNOVER_DAYS","FQ4 2024","FQ4 2024","Currency=USD","Period=FQ","BEST_FPERIOD_OVERRIDE=FQ","FILING_STATUS=MR","FA_ADJUSTED=GAAP","Sort=A","Dates=H","DateFormat=P","Fill=—","Direction=H","UseDPDF=Y")</f>
        <v>977.03390000000002</v>
      </c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6" t="s">
        <v>811</v>
      </c>
      <c r="B13" s="6" t="s">
        <v>812</v>
      </c>
      <c r="C13" s="20">
        <f>_xll.BDH("NBIX US Equity","CASH_CONVERSION_CYCLE","FQ4 2018","FQ4 2018","Currency=USD","Period=FQ","BEST_FPERIOD_OVERRIDE=FQ","FILING_STATUS=MR","FA_ADJUSTED=GAAP","Sort=A","Dates=H","DateFormat=P","Fill=—","Direction=H","UseDPDF=Y")</f>
        <v>238.11510000000001</v>
      </c>
      <c r="D13" s="20" t="str">
        <f>_xll.BDH("NBIX US Equity","CASH_CONVERSION_CYCLE","FQ1 2019","FQ1 2019","Currency=USD","Period=FQ","BEST_FPERIOD_OVERRIDE=FQ","FILING_STATUS=MR","FA_ADJUSTED=GAAP","Sort=A","Dates=H","DateFormat=P","Fill=—","Direction=H","UseDPDF=Y")</f>
        <v>—</v>
      </c>
      <c r="E13" s="20" t="str">
        <f>_xll.BDH("NBIX US Equity","CASH_CONVERSION_CYCLE","FQ2 2019","FQ2 2019","Currency=USD","Period=FQ","BEST_FPERIOD_OVERRIDE=FQ","FILING_STATUS=MR","FA_ADJUSTED=GAAP","Sort=A","Dates=H","DateFormat=P","Fill=—","Direction=H","UseDPDF=Y")</f>
        <v>—</v>
      </c>
      <c r="F13" s="20" t="str">
        <f>_xll.BDH("NBIX US Equity","CASH_CONVERSION_CYCLE","FQ3 2019","FQ3 2019","Currency=USD","Period=FQ","BEST_FPERIOD_OVERRIDE=FQ","FILING_STATUS=MR","FA_ADJUSTED=GAAP","Sort=A","Dates=H","DateFormat=P","Fill=—","Direction=H","UseDPDF=Y")</f>
        <v>—</v>
      </c>
      <c r="G13" s="20">
        <f>_xll.BDH("NBIX US Equity","CASH_CONVERSION_CYCLE","FQ4 2019","FQ4 2019","Currency=USD","Period=FQ","BEST_FPERIOD_OVERRIDE=FQ","FILING_STATUS=MR","FA_ADJUSTED=GAAP","Sort=A","Dates=H","DateFormat=P","Fill=—","Direction=H","UseDPDF=Y")</f>
        <v>147.90209999999999</v>
      </c>
      <c r="H13" s="20" t="str">
        <f>_xll.BDH("NBIX US Equity","CASH_CONVERSION_CYCLE","FQ1 2020","FQ1 2020","Currency=USD","Period=FQ","BEST_FPERIOD_OVERRIDE=FQ","FILING_STATUS=MR","FA_ADJUSTED=GAAP","Sort=A","Dates=H","DateFormat=P","Fill=—","Direction=H","UseDPDF=Y")</f>
        <v>—</v>
      </c>
      <c r="I13" s="20" t="str">
        <f>_xll.BDH("NBIX US Equity","CASH_CONVERSION_CYCLE","FQ2 2020","FQ2 2020","Currency=USD","Period=FQ","BEST_FPERIOD_OVERRIDE=FQ","FILING_STATUS=MR","FA_ADJUSTED=GAAP","Sort=A","Dates=H","DateFormat=P","Fill=—","Direction=H","UseDPDF=Y")</f>
        <v>—</v>
      </c>
      <c r="J13" s="20" t="str">
        <f>_xll.BDH("NBIX US Equity","CASH_CONVERSION_CYCLE","FQ3 2020","FQ3 2020","Currency=USD","Period=FQ","BEST_FPERIOD_OVERRIDE=FQ","FILING_STATUS=MR","FA_ADJUSTED=GAAP","Sort=A","Dates=H","DateFormat=P","Fill=—","Direction=H","UseDPDF=Y")</f>
        <v>—</v>
      </c>
      <c r="K13" s="20">
        <f>_xll.BDH("NBIX US Equity","CASH_CONVERSION_CYCLE","FQ4 2020","FQ4 2020","Currency=USD","Period=FQ","BEST_FPERIOD_OVERRIDE=FQ","FILING_STATUS=MR","FA_ADJUSTED=GAAP","Sort=A","Dates=H","DateFormat=P","Fill=—","Direction=H","UseDPDF=Y")</f>
        <v>296.78620000000001</v>
      </c>
      <c r="L13" s="20" t="str">
        <f>_xll.BDH("NBIX US Equity","CASH_CONVERSION_CYCLE","FQ1 2021","FQ1 2021","Currency=USD","Period=FQ","BEST_FPERIOD_OVERRIDE=FQ","FILING_STATUS=MR","FA_ADJUSTED=GAAP","Sort=A","Dates=H","DateFormat=P","Fill=—","Direction=H","UseDPDF=Y")</f>
        <v>—</v>
      </c>
      <c r="M13" s="20" t="str">
        <f>_xll.BDH("NBIX US Equity","CASH_CONVERSION_CYCLE","FQ2 2021","FQ2 2021","Currency=USD","Period=FQ","BEST_FPERIOD_OVERRIDE=FQ","FILING_STATUS=MR","FA_ADJUSTED=GAAP","Sort=A","Dates=H","DateFormat=P","Fill=—","Direction=H","UseDPDF=Y")</f>
        <v>—</v>
      </c>
      <c r="N13" s="20" t="str">
        <f>_xll.BDH("NBIX US Equity","CASH_CONVERSION_CYCLE","FQ3 2021","FQ3 2021","Currency=USD","Period=FQ","BEST_FPERIOD_OVERRIDE=FQ","FILING_STATUS=MR","FA_ADJUSTED=GAAP","Sort=A","Dates=H","DateFormat=P","Fill=—","Direction=H","UseDPDF=Y")</f>
        <v>—</v>
      </c>
      <c r="O13" s="20">
        <f>_xll.BDH("NBIX US Equity","CASH_CONVERSION_CYCLE","FQ4 2021","FQ4 2021","Currency=USD","Period=FQ","BEST_FPERIOD_OVERRIDE=FQ","FILING_STATUS=MR","FA_ADJUSTED=GAAP","Sort=A","Dates=H","DateFormat=P","Fill=—","Direction=H","UseDPDF=Y")</f>
        <v>-255.2277</v>
      </c>
      <c r="P13" s="20" t="str">
        <f>_xll.BDH("NBIX US Equity","CASH_CONVERSION_CYCLE","FQ1 2022","FQ1 2022","Currency=USD","Period=FQ","BEST_FPERIOD_OVERRIDE=FQ","FILING_STATUS=MR","FA_ADJUSTED=GAAP","Sort=A","Dates=H","DateFormat=P","Fill=—","Direction=H","UseDPDF=Y")</f>
        <v>—</v>
      </c>
      <c r="Q13" s="20" t="str">
        <f>_xll.BDH("NBIX US Equity","CASH_CONVERSION_CYCLE","FQ2 2022","FQ2 2022","Currency=USD","Period=FQ","BEST_FPERIOD_OVERRIDE=FQ","FILING_STATUS=MR","FA_ADJUSTED=GAAP","Sort=A","Dates=H","DateFormat=P","Fill=—","Direction=H","UseDPDF=Y")</f>
        <v>—</v>
      </c>
      <c r="R13" s="20" t="str">
        <f>_xll.BDH("NBIX US Equity","CASH_CONVERSION_CYCLE","FQ3 2022","FQ3 2022","Currency=USD","Period=FQ","BEST_FPERIOD_OVERRIDE=FQ","FILING_STATUS=MR","FA_ADJUSTED=GAAP","Sort=A","Dates=H","DateFormat=P","Fill=—","Direction=H","UseDPDF=Y")</f>
        <v>—</v>
      </c>
      <c r="S13" s="20">
        <f>_xll.BDH("NBIX US Equity","CASH_CONVERSION_CYCLE","FQ4 2022","FQ4 2022","Currency=USD","Period=FQ","BEST_FPERIOD_OVERRIDE=FQ","FILING_STATUS=MR","FA_ADJUSTED=GAAP","Sort=A","Dates=H","DateFormat=P","Fill=—","Direction=H","UseDPDF=Y")</f>
        <v>-695.81849999999997</v>
      </c>
      <c r="T13" s="20" t="str">
        <f>_xll.BDH("NBIX US Equity","CASH_CONVERSION_CYCLE","FQ1 2023","FQ1 2023","Currency=USD","Period=FQ","BEST_FPERIOD_OVERRIDE=FQ","FILING_STATUS=MR","FA_ADJUSTED=GAAP","Sort=A","Dates=H","DateFormat=P","Fill=—","Direction=H","UseDPDF=Y")</f>
        <v>—</v>
      </c>
      <c r="U13" s="20" t="str">
        <f>_xll.BDH("NBIX US Equity","CASH_CONVERSION_CYCLE","FQ2 2023","FQ2 2023","Currency=USD","Period=FQ","BEST_FPERIOD_OVERRIDE=FQ","FILING_STATUS=MR","FA_ADJUSTED=GAAP","Sort=A","Dates=H","DateFormat=P","Fill=—","Direction=H","UseDPDF=Y")</f>
        <v>—</v>
      </c>
      <c r="V13" s="20" t="str">
        <f>_xll.BDH("NBIX US Equity","CASH_CONVERSION_CYCLE","FQ3 2023","FQ3 2023","Currency=USD","Period=FQ","BEST_FPERIOD_OVERRIDE=FQ","FILING_STATUS=MR","FA_ADJUSTED=GAAP","Sort=A","Dates=H","DateFormat=P","Fill=—","Direction=H","UseDPDF=Y")</f>
        <v>—</v>
      </c>
      <c r="W13" s="20">
        <f>_xll.BDH("NBIX US Equity","CASH_CONVERSION_CYCLE","FQ4 2023","FQ4 2023","Currency=USD","Period=FQ","BEST_FPERIOD_OVERRIDE=FQ","FILING_STATUS=MR","FA_ADJUSTED=GAAP","Sort=A","Dates=H","DateFormat=P","Fill=—","Direction=H","UseDPDF=Y")</f>
        <v>-739.9556</v>
      </c>
      <c r="X13" s="20" t="str">
        <f>_xll.BDH("NBIX US Equity","CASH_CONVERSION_CYCLE","FQ1 2024","FQ1 2024","Currency=USD","Period=FQ","BEST_FPERIOD_OVERRIDE=FQ","FILING_STATUS=MR","FA_ADJUSTED=GAAP","Sort=A","Dates=H","DateFormat=P","Fill=—","Direction=H","UseDPDF=Y")</f>
        <v>—</v>
      </c>
      <c r="Y13" s="20" t="str">
        <f>_xll.BDH("NBIX US Equity","CASH_CONVERSION_CYCLE","FQ2 2024","FQ2 2024","Currency=USD","Period=FQ","BEST_FPERIOD_OVERRIDE=FQ","FILING_STATUS=MR","FA_ADJUSTED=GAAP","Sort=A","Dates=H","DateFormat=P","Fill=—","Direction=H","UseDPDF=Y")</f>
        <v>—</v>
      </c>
      <c r="Z13" s="20" t="str">
        <f>_xll.BDH("NBIX US Equity","CASH_CONVERSION_CYCLE","FQ3 2024","FQ3 2024","Currency=USD","Period=FQ","BEST_FPERIOD_OVERRIDE=FQ","FILING_STATUS=MR","FA_ADJUSTED=GAAP","Sort=A","Dates=H","DateFormat=P","Fill=—","Direction=H","UseDPDF=Y")</f>
        <v>—</v>
      </c>
      <c r="AA13" s="20">
        <f>_xll.BDH("NBIX US Equity","CASH_CONVERSION_CYCLE","FQ4 2024","FQ4 2024","Currency=USD","Period=FQ","BEST_FPERIOD_OVERRIDE=FQ","FILING_STATUS=MR","FA_ADJUSTED=GAAP","Sort=A","Dates=H","DateFormat=P","Fill=—","Direction=H","UseDPDF=Y")</f>
        <v>-390.58569999999997</v>
      </c>
    </row>
    <row r="14" spans="1:27" x14ac:dyDescent="0.25">
      <c r="A14" s="6" t="s">
        <v>1455</v>
      </c>
      <c r="B14" s="6" t="s">
        <v>1456</v>
      </c>
      <c r="C14" s="20">
        <f>_xll.BDH("NBIX US Equity","INV_TO_CASH_DAYS","FQ4 2018","FQ4 2018","Currency=USD","Period=FQ","BEST_FPERIOD_OVERRIDE=FQ","FILING_STATUS=MR","FA_ADJUSTED=GAAP","Sort=A","Dates=H","DateFormat=P","Fill=—","Direction=H","UseDPDF=Y")</f>
        <v>479.09840000000003</v>
      </c>
      <c r="D14" s="20">
        <f>_xll.BDH("NBIX US Equity","INV_TO_CASH_DAYS","FQ1 2019","FQ1 2019","Currency=USD","Period=FQ","BEST_FPERIOD_OVERRIDE=FQ","FILING_STATUS=MR","FA_ADJUSTED=GAAP","Sort=A","Dates=H","DateFormat=P","Fill=—","Direction=H","UseDPDF=Y")</f>
        <v>509.52530000000002</v>
      </c>
      <c r="E14" s="20">
        <f>_xll.BDH("NBIX US Equity","INV_TO_CASH_DAYS","FQ2 2019","FQ2 2019","Currency=USD","Period=FQ","BEST_FPERIOD_OVERRIDE=FQ","FILING_STATUS=MR","FA_ADJUSTED=GAAP","Sort=A","Dates=H","DateFormat=P","Fill=—","Direction=H","UseDPDF=Y")</f>
        <v>418.33670000000001</v>
      </c>
      <c r="F14" s="20">
        <f>_xll.BDH("NBIX US Equity","INV_TO_CASH_DAYS","FQ3 2019","FQ3 2019","Currency=USD","Period=FQ","BEST_FPERIOD_OVERRIDE=FQ","FILING_STATUS=MR","FA_ADJUSTED=GAAP","Sort=A","Dates=H","DateFormat=P","Fill=—","Direction=H","UseDPDF=Y")</f>
        <v>518.91849999999999</v>
      </c>
      <c r="G14" s="20">
        <f>_xll.BDH("NBIX US Equity","INV_TO_CASH_DAYS","FQ4 2019","FQ4 2019","Currency=USD","Period=FQ","BEST_FPERIOD_OVERRIDE=FQ","FILING_STATUS=MR","FA_ADJUSTED=GAAP","Sort=A","Dates=H","DateFormat=P","Fill=—","Direction=H","UseDPDF=Y")</f>
        <v>730.78099999999995</v>
      </c>
      <c r="H14" s="20">
        <f>_xll.BDH("NBIX US Equity","INV_TO_CASH_DAYS","FQ1 2020","FQ1 2020","Currency=USD","Period=FQ","BEST_FPERIOD_OVERRIDE=FQ","FILING_STATUS=MR","FA_ADJUSTED=GAAP","Sort=A","Dates=H","DateFormat=P","Fill=—","Direction=H","UseDPDF=Y")</f>
        <v>787.5326</v>
      </c>
      <c r="I14" s="20">
        <f>_xll.BDH("NBIX US Equity","INV_TO_CASH_DAYS","FQ2 2020","FQ2 2020","Currency=USD","Period=FQ","BEST_FPERIOD_OVERRIDE=FQ","FILING_STATUS=MR","FA_ADJUSTED=GAAP","Sort=A","Dates=H","DateFormat=P","Fill=—","Direction=H","UseDPDF=Y")</f>
        <v>718.89110000000005</v>
      </c>
      <c r="J14" s="20">
        <f>_xll.BDH("NBIX US Equity","INV_TO_CASH_DAYS","FQ3 2020","FQ3 2020","Currency=USD","Period=FQ","BEST_FPERIOD_OVERRIDE=FQ","FILING_STATUS=MR","FA_ADJUSTED=GAAP","Sort=A","Dates=H","DateFormat=P","Fill=—","Direction=H","UseDPDF=Y")</f>
        <v>640.15740000000005</v>
      </c>
      <c r="K14" s="20">
        <f>_xll.BDH("NBIX US Equity","INV_TO_CASH_DAYS","FQ4 2020","FQ4 2020","Currency=USD","Period=FQ","BEST_FPERIOD_OVERRIDE=FQ","FILING_STATUS=MR","FA_ADJUSTED=GAAP","Sort=A","Dates=H","DateFormat=P","Fill=—","Direction=H","UseDPDF=Y")</f>
        <v>870.42089999999996</v>
      </c>
      <c r="L14" s="20">
        <f>_xll.BDH("NBIX US Equity","INV_TO_CASH_DAYS","FQ1 2021","FQ1 2021","Currency=USD","Period=FQ","BEST_FPERIOD_OVERRIDE=FQ","FILING_STATUS=MR","FA_ADJUSTED=GAAP","Sort=A","Dates=H","DateFormat=P","Fill=—","Direction=H","UseDPDF=Y")</f>
        <v>910.66579999999999</v>
      </c>
      <c r="M14" s="20">
        <f>_xll.BDH("NBIX US Equity","INV_TO_CASH_DAYS","FQ2 2021","FQ2 2021","Currency=USD","Period=FQ","BEST_FPERIOD_OVERRIDE=FQ","FILING_STATUS=MR","FA_ADJUSTED=GAAP","Sort=A","Dates=H","DateFormat=P","Fill=—","Direction=H","UseDPDF=Y")</f>
        <v>845.63549999999998</v>
      </c>
      <c r="N14" s="20">
        <f>_xll.BDH("NBIX US Equity","INV_TO_CASH_DAYS","FQ3 2021","FQ3 2021","Currency=USD","Period=FQ","BEST_FPERIOD_OVERRIDE=FQ","FILING_STATUS=MR","FA_ADJUSTED=GAAP","Sort=A","Dates=H","DateFormat=P","Fill=—","Direction=H","UseDPDF=Y")</f>
        <v>696.96230000000003</v>
      </c>
      <c r="O14" s="20">
        <f>_xll.BDH("NBIX US Equity","INV_TO_CASH_DAYS","FQ4 2021","FQ4 2021","Currency=USD","Period=FQ","BEST_FPERIOD_OVERRIDE=FQ","FILING_STATUS=MR","FA_ADJUSTED=GAAP","Sort=A","Dates=H","DateFormat=P","Fill=—","Direction=H","UseDPDF=Y")</f>
        <v>801.75149999999996</v>
      </c>
      <c r="P14" s="20">
        <f>_xll.BDH("NBIX US Equity","INV_TO_CASH_DAYS","FQ1 2022","FQ1 2022","Currency=USD","Period=FQ","BEST_FPERIOD_OVERRIDE=FQ","FILING_STATUS=MR","FA_ADJUSTED=GAAP","Sort=A","Dates=H","DateFormat=P","Fill=—","Direction=H","UseDPDF=Y")</f>
        <v>736.27269999999999</v>
      </c>
      <c r="Q14" s="20">
        <f>_xll.BDH("NBIX US Equity","INV_TO_CASH_DAYS","FQ2 2022","FQ2 2022","Currency=USD","Period=FQ","BEST_FPERIOD_OVERRIDE=FQ","FILING_STATUS=MR","FA_ADJUSTED=GAAP","Sort=A","Dates=H","DateFormat=P","Fill=—","Direction=H","UseDPDF=Y")</f>
        <v>655.46810000000005</v>
      </c>
      <c r="R14" s="20">
        <f>_xll.BDH("NBIX US Equity","INV_TO_CASH_DAYS","FQ3 2022","FQ3 2022","Currency=USD","Period=FQ","BEST_FPERIOD_OVERRIDE=FQ","FILING_STATUS=MR","FA_ADJUSTED=GAAP","Sort=A","Dates=H","DateFormat=P","Fill=—","Direction=H","UseDPDF=Y")</f>
        <v>643.06079999999997</v>
      </c>
      <c r="S14" s="20">
        <f>_xll.BDH("NBIX US Equity","INV_TO_CASH_DAYS","FQ4 2022","FQ4 2022","Currency=USD","Period=FQ","BEST_FPERIOD_OVERRIDE=FQ","FILING_STATUS=MR","FA_ADJUSTED=GAAP","Sort=A","Dates=H","DateFormat=P","Fill=—","Direction=H","UseDPDF=Y")</f>
        <v>581.68150000000003</v>
      </c>
      <c r="T14" s="20">
        <f>_xll.BDH("NBIX US Equity","INV_TO_CASH_DAYS","FQ1 2023","FQ1 2023","Currency=USD","Period=FQ","BEST_FPERIOD_OVERRIDE=FQ","FILING_STATUS=MR","FA_ADJUSTED=GAAP","Sort=A","Dates=H","DateFormat=P","Fill=—","Direction=H","UseDPDF=Y")</f>
        <v>495.01389999999998</v>
      </c>
      <c r="U14" s="20">
        <f>_xll.BDH("NBIX US Equity","INV_TO_CASH_DAYS","FQ2 2023","FQ2 2023","Currency=USD","Period=FQ","BEST_FPERIOD_OVERRIDE=FQ","FILING_STATUS=MR","FA_ADJUSTED=GAAP","Sort=A","Dates=H","DateFormat=P","Fill=—","Direction=H","UseDPDF=Y")</f>
        <v>402.08030000000002</v>
      </c>
      <c r="V14" s="20">
        <f>_xll.BDH("NBIX US Equity","INV_TO_CASH_DAYS","FQ3 2023","FQ3 2023","Currency=USD","Period=FQ","BEST_FPERIOD_OVERRIDE=FQ","FILING_STATUS=MR","FA_ADJUSTED=GAAP","Sort=A","Dates=H","DateFormat=P","Fill=—","Direction=H","UseDPDF=Y")</f>
        <v>382.25830000000002</v>
      </c>
      <c r="W14" s="20">
        <f>_xll.BDH("NBIX US Equity","INV_TO_CASH_DAYS","FQ4 2023","FQ4 2023","Currency=USD","Period=FQ","BEST_FPERIOD_OVERRIDE=FQ","FILING_STATUS=MR","FA_ADJUSTED=GAAP","Sort=A","Dates=H","DateFormat=P","Fill=—","Direction=H","UseDPDF=Y")</f>
        <v>413.75069999999999</v>
      </c>
      <c r="X14" s="20">
        <f>_xll.BDH("NBIX US Equity","INV_TO_CASH_DAYS","FQ1 2024","FQ1 2024","Currency=USD","Period=FQ","BEST_FPERIOD_OVERRIDE=FQ","FILING_STATUS=MR","FA_ADJUSTED=GAAP","Sort=A","Dates=H","DateFormat=P","Fill=—","Direction=H","UseDPDF=Y")</f>
        <v>411.61529999999999</v>
      </c>
      <c r="Y14" s="20">
        <f>_xll.BDH("NBIX US Equity","INV_TO_CASH_DAYS","FQ2 2024","FQ2 2024","Currency=USD","Period=FQ","BEST_FPERIOD_OVERRIDE=FQ","FILING_STATUS=MR","FA_ADJUSTED=GAAP","Sort=A","Dates=H","DateFormat=P","Fill=—","Direction=H","UseDPDF=Y")</f>
        <v>446.92919999999998</v>
      </c>
      <c r="Z14" s="20">
        <f>_xll.BDH("NBIX US Equity","INV_TO_CASH_DAYS","FQ3 2024","FQ3 2024","Currency=USD","Period=FQ","BEST_FPERIOD_OVERRIDE=FQ","FILING_STATUS=MR","FA_ADJUSTED=GAAP","Sort=A","Dates=H","DateFormat=P","Fill=—","Direction=H","UseDPDF=Y")</f>
        <v>484.54399999999998</v>
      </c>
      <c r="AA14" s="20">
        <f>_xll.BDH("NBIX US Equity","INV_TO_CASH_DAYS","FQ4 2024","FQ4 2024","Currency=USD","Period=FQ","BEST_FPERIOD_OVERRIDE=FQ","FILING_STATUS=MR","FA_ADJUSTED=GAAP","Sort=A","Dates=H","DateFormat=P","Fill=—","Direction=H","UseDPDF=Y")</f>
        <v>586.44820000000004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6" t="s">
        <v>1457</v>
      </c>
      <c r="B16" s="6" t="s">
        <v>679</v>
      </c>
      <c r="C16" s="19">
        <f>_xll.BDH("NBIX US Equity","BS_INVENTORIES","FQ4 2018","FQ4 2018","Currency=USD","Period=FQ","BEST_FPERIOD_OVERRIDE=FQ","FILING_STATUS=MR","SCALING_FORMAT=MLN","Sort=A","Dates=H","DateFormat=P","Fill=—","Direction=H","UseDPDF=Y")</f>
        <v>10.864000000000001</v>
      </c>
      <c r="D16" s="19">
        <f>_xll.BDH("NBIX US Equity","BS_INVENTORIES","FQ1 2019","FQ1 2019","Currency=USD","Period=FQ","BEST_FPERIOD_OVERRIDE=FQ","FILING_STATUS=MR","SCALING_FORMAT=MLN","Sort=A","Dates=H","DateFormat=P","Fill=—","Direction=H","UseDPDF=Y")</f>
        <v>13.01</v>
      </c>
      <c r="E16" s="19">
        <f>_xll.BDH("NBIX US Equity","BS_INVENTORIES","FQ2 2019","FQ2 2019","Currency=USD","Period=FQ","BEST_FPERIOD_OVERRIDE=FQ","FILING_STATUS=MR","SCALING_FORMAT=MLN","Sort=A","Dates=H","DateFormat=P","Fill=—","Direction=H","UseDPDF=Y")</f>
        <v>12.018000000000001</v>
      </c>
      <c r="F16" s="19">
        <f>_xll.BDH("NBIX US Equity","BS_INVENTORIES","FQ3 2019","FQ3 2019","Currency=USD","Period=FQ","BEST_FPERIOD_OVERRIDE=FQ","FILING_STATUS=MR","SCALING_FORMAT=MLN","Sort=A","Dates=H","DateFormat=P","Fill=—","Direction=H","UseDPDF=Y")</f>
        <v>10.798</v>
      </c>
      <c r="G16" s="19">
        <f>_xll.BDH("NBIX US Equity","BS_INVENTORIES","FQ4 2019","FQ4 2019","Currency=USD","Period=FQ","BEST_FPERIOD_OVERRIDE=FQ","FILING_STATUS=MR","SCALING_FORMAT=MLN","Sort=A","Dates=H","DateFormat=P","Fill=—","Direction=H","UseDPDF=Y")</f>
        <v>17.3</v>
      </c>
      <c r="H16" s="19">
        <f>_xll.BDH("NBIX US Equity","BS_INVENTORIES","FQ1 2020","FQ1 2020","Currency=USD","Period=FQ","BEST_FPERIOD_OVERRIDE=FQ","FILING_STATUS=MR","SCALING_FORMAT=MLN","Sort=A","Dates=H","DateFormat=P","Fill=—","Direction=H","UseDPDF=Y")</f>
        <v>21.2</v>
      </c>
      <c r="I16" s="19">
        <f>_xll.BDH("NBIX US Equity","BS_INVENTORIES","FQ2 2020","FQ2 2020","Currency=USD","Period=FQ","BEST_FPERIOD_OVERRIDE=FQ","FILING_STATUS=MR","SCALING_FORMAT=MLN","Sort=A","Dates=H","DateFormat=P","Fill=—","Direction=H","UseDPDF=Y")</f>
        <v>22</v>
      </c>
      <c r="J16" s="19">
        <f>_xll.BDH("NBIX US Equity","BS_INVENTORIES","FQ3 2020","FQ3 2020","Currency=USD","Period=FQ","BEST_FPERIOD_OVERRIDE=FQ","FILING_STATUS=MR","SCALING_FORMAT=MLN","Sort=A","Dates=H","DateFormat=P","Fill=—","Direction=H","UseDPDF=Y")</f>
        <v>20.6</v>
      </c>
      <c r="K16" s="19">
        <f>_xll.BDH("NBIX US Equity","BS_INVENTORIES","FQ4 2020","FQ4 2020","Currency=USD","Period=FQ","BEST_FPERIOD_OVERRIDE=FQ","FILING_STATUS=MR","SCALING_FORMAT=MLN","Sort=A","Dates=H","DateFormat=P","Fill=—","Direction=H","UseDPDF=Y")</f>
        <v>28</v>
      </c>
      <c r="L16" s="19">
        <f>_xll.BDH("NBIX US Equity","BS_INVENTORIES","FQ1 2021","FQ1 2021","Currency=USD","Period=FQ","BEST_FPERIOD_OVERRIDE=FQ","FILING_STATUS=MR","SCALING_FORMAT=MLN","Sort=A","Dates=H","DateFormat=P","Fill=—","Direction=H","UseDPDF=Y")</f>
        <v>30.1</v>
      </c>
      <c r="M16" s="19">
        <f>_xll.BDH("NBIX US Equity","BS_INVENTORIES","FQ2 2021","FQ2 2021","Currency=USD","Period=FQ","BEST_FPERIOD_OVERRIDE=FQ","FILING_STATUS=MR","SCALING_FORMAT=MLN","Sort=A","Dates=H","DateFormat=P","Fill=—","Direction=H","UseDPDF=Y")</f>
        <v>28.3</v>
      </c>
      <c r="N16" s="19">
        <f>_xll.BDH("NBIX US Equity","BS_INVENTORIES","FQ3 2021","FQ3 2021","Currency=USD","Period=FQ","BEST_FPERIOD_OVERRIDE=FQ","FILING_STATUS=MR","SCALING_FORMAT=MLN","Sort=A","Dates=H","DateFormat=P","Fill=—","Direction=H","UseDPDF=Y")</f>
        <v>25.5</v>
      </c>
      <c r="O16" s="19">
        <f>_xll.BDH("NBIX US Equity","BS_INVENTORIES","FQ4 2021","FQ4 2021","Currency=USD","Period=FQ","BEST_FPERIOD_OVERRIDE=FQ","FILING_STATUS=MR","SCALING_FORMAT=MLN","Sort=A","Dates=H","DateFormat=P","Fill=—","Direction=H","UseDPDF=Y")</f>
        <v>30.5</v>
      </c>
      <c r="P16" s="19">
        <f>_xll.BDH("NBIX US Equity","BS_INVENTORIES","FQ1 2022","FQ1 2022","Currency=USD","Period=FQ","BEST_FPERIOD_OVERRIDE=FQ","FILING_STATUS=MR","SCALING_FORMAT=MLN","Sort=A","Dates=H","DateFormat=P","Fill=—","Direction=H","UseDPDF=Y")</f>
        <v>29</v>
      </c>
      <c r="Q16" s="19">
        <f>_xll.BDH("NBIX US Equity","BS_INVENTORIES","FQ2 2022","FQ2 2022","Currency=USD","Period=FQ","BEST_FPERIOD_OVERRIDE=FQ","FILING_STATUS=MR","SCALING_FORMAT=MLN","Sort=A","Dates=H","DateFormat=P","Fill=—","Direction=H","UseDPDF=Y")</f>
        <v>29.3</v>
      </c>
      <c r="R16" s="19">
        <f>_xll.BDH("NBIX US Equity","BS_INVENTORIES","FQ3 2022","FQ3 2022","Currency=USD","Period=FQ","BEST_FPERIOD_OVERRIDE=FQ","FILING_STATUS=MR","SCALING_FORMAT=MLN","Sort=A","Dates=H","DateFormat=P","Fill=—","Direction=H","UseDPDF=Y")</f>
        <v>37</v>
      </c>
      <c r="S16" s="19">
        <f>_xll.BDH("NBIX US Equity","BS_INVENTORIES","FQ4 2022","FQ4 2022","Currency=USD","Period=FQ","BEST_FPERIOD_OVERRIDE=FQ","FILING_STATUS=MR","SCALING_FORMAT=MLN","Sort=A","Dates=H","DateFormat=P","Fill=—","Direction=H","UseDPDF=Y")</f>
        <v>35.1</v>
      </c>
      <c r="T16" s="19">
        <f>_xll.BDH("NBIX US Equity","BS_INVENTORIES","FQ1 2023","FQ1 2023","Currency=USD","Period=FQ","BEST_FPERIOD_OVERRIDE=FQ","FILING_STATUS=MR","SCALING_FORMAT=MLN","Sort=A","Dates=H","DateFormat=P","Fill=—","Direction=H","UseDPDF=Y")</f>
        <v>33.4</v>
      </c>
      <c r="U16" s="19">
        <f>_xll.BDH("NBIX US Equity","BS_INVENTORIES","FQ2 2023","FQ2 2023","Currency=USD","Period=FQ","BEST_FPERIOD_OVERRIDE=FQ","FILING_STATUS=MR","SCALING_FORMAT=MLN","Sort=A","Dates=H","DateFormat=P","Fill=—","Direction=H","UseDPDF=Y")</f>
        <v>31.7</v>
      </c>
      <c r="V16" s="19">
        <f>_xll.BDH("NBIX US Equity","BS_INVENTORIES","FQ3 2023","FQ3 2023","Currency=USD","Period=FQ","BEST_FPERIOD_OVERRIDE=FQ","FILING_STATUS=MR","SCALING_FORMAT=MLN","Sort=A","Dates=H","DateFormat=P","Fill=—","Direction=H","UseDPDF=Y")</f>
        <v>28.8</v>
      </c>
      <c r="W16" s="19">
        <f>_xll.BDH("NBIX US Equity","BS_INVENTORIES","FQ4 2023","FQ4 2023","Currency=USD","Period=FQ","BEST_FPERIOD_OVERRIDE=FQ","FILING_STATUS=MR","SCALING_FORMAT=MLN","Sort=A","Dates=H","DateFormat=P","Fill=—","Direction=H","UseDPDF=Y")</f>
        <v>38.299999999999997</v>
      </c>
      <c r="X16" s="19">
        <f>_xll.BDH("NBIX US Equity","BS_INVENTORIES","FQ1 2024","FQ1 2024","Currency=USD","Period=FQ","BEST_FPERIOD_OVERRIDE=FQ","FILING_STATUS=MR","SCALING_FORMAT=MLN","Sort=A","Dates=H","DateFormat=P","Fill=—","Direction=H","UseDPDF=Y")</f>
        <v>37.200000000000003</v>
      </c>
      <c r="Y16" s="19">
        <f>_xll.BDH("NBIX US Equity","BS_INVENTORIES","FQ2 2024","FQ2 2024","Currency=USD","Period=FQ","BEST_FPERIOD_OVERRIDE=FQ","FILING_STATUS=MR","SCALING_FORMAT=MLN","Sort=A","Dates=H","DateFormat=P","Fill=—","Direction=H","UseDPDF=Y")</f>
        <v>42.5</v>
      </c>
      <c r="Z16" s="19">
        <f>_xll.BDH("NBIX US Equity","BS_INVENTORIES","FQ3 2024","FQ3 2024","Currency=USD","Period=FQ","BEST_FPERIOD_OVERRIDE=FQ","FILING_STATUS=MR","SCALING_FORMAT=MLN","Sort=A","Dates=H","DateFormat=P","Fill=—","Direction=H","UseDPDF=Y")</f>
        <v>45.8</v>
      </c>
      <c r="AA16" s="19">
        <f>_xll.BDH("NBIX US Equity","BS_INVENTORIES","FQ4 2024","FQ4 2024","Currency=USD","Period=FQ","BEST_FPERIOD_OVERRIDE=FQ","FILING_STATUS=MR","SCALING_FORMAT=MLN","Sort=A","Dates=H","DateFormat=P","Fill=—","Direction=H","UseDPDF=Y")</f>
        <v>57.4</v>
      </c>
    </row>
    <row r="17" spans="1:27" x14ac:dyDescent="0.25">
      <c r="A17" s="10" t="s">
        <v>1458</v>
      </c>
      <c r="B17" s="10" t="s">
        <v>681</v>
      </c>
      <c r="C17" s="13">
        <f>_xll.BDH("NBIX US Equity","INVTRY_RAW_MATERIALS","FQ4 2018","FQ4 2018","Currency=USD","Period=FQ","BEST_FPERIOD_OVERRIDE=FQ","FILING_STATUS=MR","SCALING_FORMAT=MLN","Sort=A","Dates=H","DateFormat=P","Fill=—","Direction=H","UseDPDF=Y")</f>
        <v>7.8550000000000004</v>
      </c>
      <c r="D17" s="13">
        <f>_xll.BDH("NBIX US Equity","INVTRY_RAW_MATERIALS","FQ1 2019","FQ1 2019","Currency=USD","Period=FQ","BEST_FPERIOD_OVERRIDE=FQ","FILING_STATUS=MR","SCALING_FORMAT=MLN","Sort=A","Dates=H","DateFormat=P","Fill=—","Direction=H","UseDPDF=Y")</f>
        <v>7.7329999999999997</v>
      </c>
      <c r="E17" s="13">
        <f>_xll.BDH("NBIX US Equity","INVTRY_RAW_MATERIALS","FQ2 2019","FQ2 2019","Currency=USD","Period=FQ","BEST_FPERIOD_OVERRIDE=FQ","FILING_STATUS=MR","SCALING_FORMAT=MLN","Sort=A","Dates=H","DateFormat=P","Fill=—","Direction=H","UseDPDF=Y")</f>
        <v>6.6719999999999997</v>
      </c>
      <c r="F17" s="13">
        <f>_xll.BDH("NBIX US Equity","INVTRY_RAW_MATERIALS","FQ3 2019","FQ3 2019","Currency=USD","Period=FQ","BEST_FPERIOD_OVERRIDE=FQ","FILING_STATUS=MR","SCALING_FORMAT=MLN","Sort=A","Dates=H","DateFormat=P","Fill=—","Direction=H","UseDPDF=Y")</f>
        <v>6.4610000000000003</v>
      </c>
      <c r="G17" s="13">
        <f>_xll.BDH("NBIX US Equity","INVTRY_RAW_MATERIALS","FQ4 2019","FQ4 2019","Currency=USD","Period=FQ","BEST_FPERIOD_OVERRIDE=FQ","FILING_STATUS=MR","SCALING_FORMAT=MLN","Sort=A","Dates=H","DateFormat=P","Fill=—","Direction=H","UseDPDF=Y")</f>
        <v>14.1</v>
      </c>
      <c r="H17" s="13">
        <f>_xll.BDH("NBIX US Equity","INVTRY_RAW_MATERIALS","FQ1 2020","FQ1 2020","Currency=USD","Period=FQ","BEST_FPERIOD_OVERRIDE=FQ","FILING_STATUS=MR","SCALING_FORMAT=MLN","Sort=A","Dates=H","DateFormat=P","Fill=—","Direction=H","UseDPDF=Y")</f>
        <v>17.8</v>
      </c>
      <c r="I17" s="13">
        <f>_xll.BDH("NBIX US Equity","INVTRY_RAW_MATERIALS","FQ2 2020","FQ2 2020","Currency=USD","Period=FQ","BEST_FPERIOD_OVERRIDE=FQ","FILING_STATUS=MR","SCALING_FORMAT=MLN","Sort=A","Dates=H","DateFormat=P","Fill=—","Direction=H","UseDPDF=Y")</f>
        <v>15.8</v>
      </c>
      <c r="J17" s="13">
        <f>_xll.BDH("NBIX US Equity","INVTRY_RAW_MATERIALS","FQ3 2020","FQ3 2020","Currency=USD","Period=FQ","BEST_FPERIOD_OVERRIDE=FQ","FILING_STATUS=MR","SCALING_FORMAT=MLN","Sort=A","Dates=H","DateFormat=P","Fill=—","Direction=H","UseDPDF=Y")</f>
        <v>14.8</v>
      </c>
      <c r="K17" s="13">
        <f>_xll.BDH("NBIX US Equity","INVTRY_RAW_MATERIALS","FQ4 2020","FQ4 2020","Currency=USD","Period=FQ","BEST_FPERIOD_OVERRIDE=FQ","FILING_STATUS=MR","SCALING_FORMAT=MLN","Sort=A","Dates=H","DateFormat=P","Fill=—","Direction=H","UseDPDF=Y")</f>
        <v>16.600000000000001</v>
      </c>
      <c r="L17" s="13">
        <f>_xll.BDH("NBIX US Equity","INVTRY_RAW_MATERIALS","FQ1 2021","FQ1 2021","Currency=USD","Period=FQ","BEST_FPERIOD_OVERRIDE=FQ","FILING_STATUS=MR","SCALING_FORMAT=MLN","Sort=A","Dates=H","DateFormat=P","Fill=—","Direction=H","UseDPDF=Y")</f>
        <v>14.8</v>
      </c>
      <c r="M17" s="13">
        <f>_xll.BDH("NBIX US Equity","INVTRY_RAW_MATERIALS","FQ2 2021","FQ2 2021","Currency=USD","Period=FQ","BEST_FPERIOD_OVERRIDE=FQ","FILING_STATUS=MR","SCALING_FORMAT=MLN","Sort=A","Dates=H","DateFormat=P","Fill=—","Direction=H","UseDPDF=Y")</f>
        <v>14.2</v>
      </c>
      <c r="N17" s="13">
        <f>_xll.BDH("NBIX US Equity","INVTRY_RAW_MATERIALS","FQ3 2021","FQ3 2021","Currency=USD","Period=FQ","BEST_FPERIOD_OVERRIDE=FQ","FILING_STATUS=MR","SCALING_FORMAT=MLN","Sort=A","Dates=H","DateFormat=P","Fill=—","Direction=H","UseDPDF=Y")</f>
        <v>13</v>
      </c>
      <c r="O17" s="13">
        <f>_xll.BDH("NBIX US Equity","INVTRY_RAW_MATERIALS","FQ4 2021","FQ4 2021","Currency=USD","Period=FQ","BEST_FPERIOD_OVERRIDE=FQ","FILING_STATUS=MR","SCALING_FORMAT=MLN","Sort=A","Dates=H","DateFormat=P","Fill=—","Direction=H","UseDPDF=Y")</f>
        <v>11.2</v>
      </c>
      <c r="P17" s="13">
        <f>_xll.BDH("NBIX US Equity","INVTRY_RAW_MATERIALS","FQ1 2022","FQ1 2022","Currency=USD","Period=FQ","BEST_FPERIOD_OVERRIDE=FQ","FILING_STATUS=MR","SCALING_FORMAT=MLN","Sort=A","Dates=H","DateFormat=P","Fill=—","Direction=H","UseDPDF=Y")</f>
        <v>9.1999999999999993</v>
      </c>
      <c r="Q17" s="13">
        <f>_xll.BDH("NBIX US Equity","INVTRY_RAW_MATERIALS","FQ2 2022","FQ2 2022","Currency=USD","Period=FQ","BEST_FPERIOD_OVERRIDE=FQ","FILING_STATUS=MR","SCALING_FORMAT=MLN","Sort=A","Dates=H","DateFormat=P","Fill=—","Direction=H","UseDPDF=Y")</f>
        <v>8</v>
      </c>
      <c r="R17" s="13">
        <f>_xll.BDH("NBIX US Equity","INVTRY_RAW_MATERIALS","FQ3 2022","FQ3 2022","Currency=USD","Period=FQ","BEST_FPERIOD_OVERRIDE=FQ","FILING_STATUS=MR","SCALING_FORMAT=MLN","Sort=A","Dates=H","DateFormat=P","Fill=—","Direction=H","UseDPDF=Y")</f>
        <v>15</v>
      </c>
      <c r="S17" s="13">
        <f>_xll.BDH("NBIX US Equity","INVTRY_RAW_MATERIALS","FQ4 2022","FQ4 2022","Currency=USD","Period=FQ","BEST_FPERIOD_OVERRIDE=FQ","FILING_STATUS=MR","SCALING_FORMAT=MLN","Sort=A","Dates=H","DateFormat=P","Fill=—","Direction=H","UseDPDF=Y")</f>
        <v>12</v>
      </c>
      <c r="T17" s="13">
        <f>_xll.BDH("NBIX US Equity","INVTRY_RAW_MATERIALS","FQ1 2023","FQ1 2023","Currency=USD","Period=FQ","BEST_FPERIOD_OVERRIDE=FQ","FILING_STATUS=MR","SCALING_FORMAT=MLN","Sort=A","Dates=H","DateFormat=P","Fill=—","Direction=H","UseDPDF=Y")</f>
        <v>6.7</v>
      </c>
      <c r="U17" s="13">
        <f>_xll.BDH("NBIX US Equity","INVTRY_RAW_MATERIALS","FQ2 2023","FQ2 2023","Currency=USD","Period=FQ","BEST_FPERIOD_OVERRIDE=FQ","FILING_STATUS=MR","SCALING_FORMAT=MLN","Sort=A","Dates=H","DateFormat=P","Fill=—","Direction=H","UseDPDF=Y")</f>
        <v>10.4</v>
      </c>
      <c r="V17" s="13">
        <f>_xll.BDH("NBIX US Equity","INVTRY_RAW_MATERIALS","FQ3 2023","FQ3 2023","Currency=USD","Period=FQ","BEST_FPERIOD_OVERRIDE=FQ","FILING_STATUS=MR","SCALING_FORMAT=MLN","Sort=A","Dates=H","DateFormat=P","Fill=—","Direction=H","UseDPDF=Y")</f>
        <v>9.1</v>
      </c>
      <c r="W17" s="13">
        <f>_xll.BDH("NBIX US Equity","INVTRY_RAW_MATERIALS","FQ4 2023","FQ4 2023","Currency=USD","Period=FQ","BEST_FPERIOD_OVERRIDE=FQ","FILING_STATUS=MR","SCALING_FORMAT=MLN","Sort=A","Dates=H","DateFormat=P","Fill=—","Direction=H","UseDPDF=Y")</f>
        <v>21.5</v>
      </c>
      <c r="X17" s="13">
        <f>_xll.BDH("NBIX US Equity","INVTRY_RAW_MATERIALS","FQ1 2024","FQ1 2024","Currency=USD","Period=FQ","BEST_FPERIOD_OVERRIDE=FQ","FILING_STATUS=MR","SCALING_FORMAT=MLN","Sort=A","Dates=H","DateFormat=P","Fill=—","Direction=H","UseDPDF=Y")</f>
        <v>18.100000000000001</v>
      </c>
      <c r="Y17" s="13">
        <f>_xll.BDH("NBIX US Equity","INVTRY_RAW_MATERIALS","FQ2 2024","FQ2 2024","Currency=USD","Period=FQ","BEST_FPERIOD_OVERRIDE=FQ","FILING_STATUS=MR","SCALING_FORMAT=MLN","Sort=A","Dates=H","DateFormat=P","Fill=—","Direction=H","UseDPDF=Y")</f>
        <v>21.3</v>
      </c>
      <c r="Z17" s="13">
        <f>_xll.BDH("NBIX US Equity","INVTRY_RAW_MATERIALS","FQ3 2024","FQ3 2024","Currency=USD","Period=FQ","BEST_FPERIOD_OVERRIDE=FQ","FILING_STATUS=MR","SCALING_FORMAT=MLN","Sort=A","Dates=H","DateFormat=P","Fill=—","Direction=H","UseDPDF=Y")</f>
        <v>23.7</v>
      </c>
      <c r="AA17" s="13">
        <f>_xll.BDH("NBIX US Equity","INVTRY_RAW_MATERIALS","FQ4 2024","FQ4 2024","Currency=USD","Period=FQ","BEST_FPERIOD_OVERRIDE=FQ","FILING_STATUS=MR","SCALING_FORMAT=MLN","Sort=A","Dates=H","DateFormat=P","Fill=—","Direction=H","UseDPDF=Y")</f>
        <v>33.700000000000003</v>
      </c>
    </row>
    <row r="18" spans="1:27" x14ac:dyDescent="0.25">
      <c r="A18" s="10" t="s">
        <v>1459</v>
      </c>
      <c r="B18" s="10" t="s">
        <v>683</v>
      </c>
      <c r="C18" s="13">
        <f>_xll.BDH("NBIX US Equity","INVTRY_IN_PROGRESS","FQ4 2018","FQ4 2018","Currency=USD","Period=FQ","BEST_FPERIOD_OVERRIDE=FQ","FILING_STATUS=MR","SCALING_FORMAT=MLN","Sort=A","Dates=H","DateFormat=P","Fill=—","Direction=H","UseDPDF=Y")</f>
        <v>2.2080000000000002</v>
      </c>
      <c r="D18" s="13">
        <f>_xll.BDH("NBIX US Equity","INVTRY_IN_PROGRESS","FQ1 2019","FQ1 2019","Currency=USD","Period=FQ","BEST_FPERIOD_OVERRIDE=FQ","FILING_STATUS=MR","SCALING_FORMAT=MLN","Sort=A","Dates=H","DateFormat=P","Fill=—","Direction=H","UseDPDF=Y")</f>
        <v>4.4580000000000002</v>
      </c>
      <c r="E18" s="13">
        <f>_xll.BDH("NBIX US Equity","INVTRY_IN_PROGRESS","FQ2 2019","FQ2 2019","Currency=USD","Period=FQ","BEST_FPERIOD_OVERRIDE=FQ","FILING_STATUS=MR","SCALING_FORMAT=MLN","Sort=A","Dates=H","DateFormat=P","Fill=—","Direction=H","UseDPDF=Y")</f>
        <v>3.4510000000000001</v>
      </c>
      <c r="F18" s="13">
        <f>_xll.BDH("NBIX US Equity","INVTRY_IN_PROGRESS","FQ3 2019","FQ3 2019","Currency=USD","Period=FQ","BEST_FPERIOD_OVERRIDE=FQ","FILING_STATUS=MR","SCALING_FORMAT=MLN","Sort=A","Dates=H","DateFormat=P","Fill=—","Direction=H","UseDPDF=Y")</f>
        <v>2.2490000000000001</v>
      </c>
      <c r="G18" s="13">
        <f>_xll.BDH("NBIX US Equity","INVTRY_IN_PROGRESS","FQ4 2019","FQ4 2019","Currency=USD","Period=FQ","BEST_FPERIOD_OVERRIDE=FQ","FILING_STATUS=MR","SCALING_FORMAT=MLN","Sort=A","Dates=H","DateFormat=P","Fill=—","Direction=H","UseDPDF=Y")</f>
        <v>1.5</v>
      </c>
      <c r="H18" s="13">
        <f>_xll.BDH("NBIX US Equity","INVTRY_IN_PROGRESS","FQ1 2020","FQ1 2020","Currency=USD","Period=FQ","BEST_FPERIOD_OVERRIDE=FQ","FILING_STATUS=MR","SCALING_FORMAT=MLN","Sort=A","Dates=H","DateFormat=P","Fill=—","Direction=H","UseDPDF=Y")</f>
        <v>1.1000000000000001</v>
      </c>
      <c r="I18" s="13">
        <f>_xll.BDH("NBIX US Equity","INVTRY_IN_PROGRESS","FQ2 2020","FQ2 2020","Currency=USD","Period=FQ","BEST_FPERIOD_OVERRIDE=FQ","FILING_STATUS=MR","SCALING_FORMAT=MLN","Sort=A","Dates=H","DateFormat=P","Fill=—","Direction=H","UseDPDF=Y")</f>
        <v>1.8</v>
      </c>
      <c r="J18" s="13">
        <f>_xll.BDH("NBIX US Equity","INVTRY_IN_PROGRESS","FQ3 2020","FQ3 2020","Currency=USD","Period=FQ","BEST_FPERIOD_OVERRIDE=FQ","FILING_STATUS=MR","SCALING_FORMAT=MLN","Sort=A","Dates=H","DateFormat=P","Fill=—","Direction=H","UseDPDF=Y")</f>
        <v>1</v>
      </c>
      <c r="K18" s="13">
        <f>_xll.BDH("NBIX US Equity","INVTRY_IN_PROGRESS","FQ4 2020","FQ4 2020","Currency=USD","Period=FQ","BEST_FPERIOD_OVERRIDE=FQ","FILING_STATUS=MR","SCALING_FORMAT=MLN","Sort=A","Dates=H","DateFormat=P","Fill=—","Direction=H","UseDPDF=Y")</f>
        <v>2.4</v>
      </c>
      <c r="L18" s="13">
        <f>_xll.BDH("NBIX US Equity","INVTRY_IN_PROGRESS","FQ1 2021","FQ1 2021","Currency=USD","Period=FQ","BEST_FPERIOD_OVERRIDE=FQ","FILING_STATUS=MR","SCALING_FORMAT=MLN","Sort=A","Dates=H","DateFormat=P","Fill=—","Direction=H","UseDPDF=Y")</f>
        <v>2.5</v>
      </c>
      <c r="M18" s="13">
        <f>_xll.BDH("NBIX US Equity","INVTRY_IN_PROGRESS","FQ2 2021","FQ2 2021","Currency=USD","Period=FQ","BEST_FPERIOD_OVERRIDE=FQ","FILING_STATUS=MR","SCALING_FORMAT=MLN","Sort=A","Dates=H","DateFormat=P","Fill=—","Direction=H","UseDPDF=Y")</f>
        <v>2.6</v>
      </c>
      <c r="N18" s="13">
        <f>_xll.BDH("NBIX US Equity","INVTRY_IN_PROGRESS","FQ3 2021","FQ3 2021","Currency=USD","Period=FQ","BEST_FPERIOD_OVERRIDE=FQ","FILING_STATUS=MR","SCALING_FORMAT=MLN","Sort=A","Dates=H","DateFormat=P","Fill=—","Direction=H","UseDPDF=Y")</f>
        <v>1.3</v>
      </c>
      <c r="O18" s="13">
        <f>_xll.BDH("NBIX US Equity","INVTRY_IN_PROGRESS","FQ4 2021","FQ4 2021","Currency=USD","Period=FQ","BEST_FPERIOD_OVERRIDE=FQ","FILING_STATUS=MR","SCALING_FORMAT=MLN","Sort=A","Dates=H","DateFormat=P","Fill=—","Direction=H","UseDPDF=Y")</f>
        <v>3.6</v>
      </c>
      <c r="P18" s="13">
        <f>_xll.BDH("NBIX US Equity","INVTRY_IN_PROGRESS","FQ1 2022","FQ1 2022","Currency=USD","Period=FQ","BEST_FPERIOD_OVERRIDE=FQ","FILING_STATUS=MR","SCALING_FORMAT=MLN","Sort=A","Dates=H","DateFormat=P","Fill=—","Direction=H","UseDPDF=Y")</f>
        <v>4.4000000000000004</v>
      </c>
      <c r="Q18" s="13">
        <f>_xll.BDH("NBIX US Equity","INVTRY_IN_PROGRESS","FQ2 2022","FQ2 2022","Currency=USD","Period=FQ","BEST_FPERIOD_OVERRIDE=FQ","FILING_STATUS=MR","SCALING_FORMAT=MLN","Sort=A","Dates=H","DateFormat=P","Fill=—","Direction=H","UseDPDF=Y")</f>
        <v>3.4</v>
      </c>
      <c r="R18" s="13">
        <f>_xll.BDH("NBIX US Equity","INVTRY_IN_PROGRESS","FQ3 2022","FQ3 2022","Currency=USD","Period=FQ","BEST_FPERIOD_OVERRIDE=FQ","FILING_STATUS=MR","SCALING_FORMAT=MLN","Sort=A","Dates=H","DateFormat=P","Fill=—","Direction=H","UseDPDF=Y")</f>
        <v>5</v>
      </c>
      <c r="S18" s="13">
        <f>_xll.BDH("NBIX US Equity","INVTRY_IN_PROGRESS","FQ4 2022","FQ4 2022","Currency=USD","Period=FQ","BEST_FPERIOD_OVERRIDE=FQ","FILING_STATUS=MR","SCALING_FORMAT=MLN","Sort=A","Dates=H","DateFormat=P","Fill=—","Direction=H","UseDPDF=Y")</f>
        <v>5.6</v>
      </c>
      <c r="T18" s="13">
        <f>_xll.BDH("NBIX US Equity","INVTRY_IN_PROGRESS","FQ1 2023","FQ1 2023","Currency=USD","Period=FQ","BEST_FPERIOD_OVERRIDE=FQ","FILING_STATUS=MR","SCALING_FORMAT=MLN","Sort=A","Dates=H","DateFormat=P","Fill=—","Direction=H","UseDPDF=Y")</f>
        <v>8.6999999999999993</v>
      </c>
      <c r="U18" s="13">
        <f>_xll.BDH("NBIX US Equity","INVTRY_IN_PROGRESS","FQ2 2023","FQ2 2023","Currency=USD","Period=FQ","BEST_FPERIOD_OVERRIDE=FQ","FILING_STATUS=MR","SCALING_FORMAT=MLN","Sort=A","Dates=H","DateFormat=P","Fill=—","Direction=H","UseDPDF=Y")</f>
        <v>6.3</v>
      </c>
      <c r="V18" s="13">
        <f>_xll.BDH("NBIX US Equity","INVTRY_IN_PROGRESS","FQ3 2023","FQ3 2023","Currency=USD","Period=FQ","BEST_FPERIOD_OVERRIDE=FQ","FILING_STATUS=MR","SCALING_FORMAT=MLN","Sort=A","Dates=H","DateFormat=P","Fill=—","Direction=H","UseDPDF=Y")</f>
        <v>9.3000000000000007</v>
      </c>
      <c r="W18" s="13">
        <f>_xll.BDH("NBIX US Equity","INVTRY_IN_PROGRESS","FQ4 2023","FQ4 2023","Currency=USD","Period=FQ","BEST_FPERIOD_OVERRIDE=FQ","FILING_STATUS=MR","SCALING_FORMAT=MLN","Sort=A","Dates=H","DateFormat=P","Fill=—","Direction=H","UseDPDF=Y")</f>
        <v>9.6999999999999993</v>
      </c>
      <c r="X18" s="13">
        <f>_xll.BDH("NBIX US Equity","INVTRY_IN_PROGRESS","FQ1 2024","FQ1 2024","Currency=USD","Period=FQ","BEST_FPERIOD_OVERRIDE=FQ","FILING_STATUS=MR","SCALING_FORMAT=MLN","Sort=A","Dates=H","DateFormat=P","Fill=—","Direction=H","UseDPDF=Y")</f>
        <v>12</v>
      </c>
      <c r="Y18" s="13">
        <f>_xll.BDH("NBIX US Equity","INVTRY_IN_PROGRESS","FQ2 2024","FQ2 2024","Currency=USD","Period=FQ","BEST_FPERIOD_OVERRIDE=FQ","FILING_STATUS=MR","SCALING_FORMAT=MLN","Sort=A","Dates=H","DateFormat=P","Fill=—","Direction=H","UseDPDF=Y")</f>
        <v>12</v>
      </c>
      <c r="Z18" s="13">
        <f>_xll.BDH("NBIX US Equity","INVTRY_IN_PROGRESS","FQ3 2024","FQ3 2024","Currency=USD","Period=FQ","BEST_FPERIOD_OVERRIDE=FQ","FILING_STATUS=MR","SCALING_FORMAT=MLN","Sort=A","Dates=H","DateFormat=P","Fill=—","Direction=H","UseDPDF=Y")</f>
        <v>10.6</v>
      </c>
      <c r="AA18" s="13">
        <f>_xll.BDH("NBIX US Equity","INVTRY_IN_PROGRESS","FQ4 2024","FQ4 2024","Currency=USD","Period=FQ","BEST_FPERIOD_OVERRIDE=FQ","FILING_STATUS=MR","SCALING_FORMAT=MLN","Sort=A","Dates=H","DateFormat=P","Fill=—","Direction=H","UseDPDF=Y")</f>
        <v>10.9</v>
      </c>
    </row>
    <row r="19" spans="1:27" x14ac:dyDescent="0.25">
      <c r="A19" s="10" t="s">
        <v>1460</v>
      </c>
      <c r="B19" s="10" t="s">
        <v>685</v>
      </c>
      <c r="C19" s="13">
        <f>_xll.BDH("NBIX US Equity","INVTRY_FINISHED_GOODS","FQ4 2018","FQ4 2018","Currency=USD","Period=FQ","BEST_FPERIOD_OVERRIDE=FQ","FILING_STATUS=MR","SCALING_FORMAT=MLN","Sort=A","Dates=H","DateFormat=P","Fill=—","Direction=H","UseDPDF=Y")</f>
        <v>0.80100000000000005</v>
      </c>
      <c r="D19" s="13">
        <f>_xll.BDH("NBIX US Equity","INVTRY_FINISHED_GOODS","FQ1 2019","FQ1 2019","Currency=USD","Period=FQ","BEST_FPERIOD_OVERRIDE=FQ","FILING_STATUS=MR","SCALING_FORMAT=MLN","Sort=A","Dates=H","DateFormat=P","Fill=—","Direction=H","UseDPDF=Y")</f>
        <v>0.81899999999999995</v>
      </c>
      <c r="E19" s="13">
        <f>_xll.BDH("NBIX US Equity","INVTRY_FINISHED_GOODS","FQ2 2019","FQ2 2019","Currency=USD","Period=FQ","BEST_FPERIOD_OVERRIDE=FQ","FILING_STATUS=MR","SCALING_FORMAT=MLN","Sort=A","Dates=H","DateFormat=P","Fill=—","Direction=H","UseDPDF=Y")</f>
        <v>1.895</v>
      </c>
      <c r="F19" s="13">
        <f>_xll.BDH("NBIX US Equity","INVTRY_FINISHED_GOODS","FQ3 2019","FQ3 2019","Currency=USD","Period=FQ","BEST_FPERIOD_OVERRIDE=FQ","FILING_STATUS=MR","SCALING_FORMAT=MLN","Sort=A","Dates=H","DateFormat=P","Fill=—","Direction=H","UseDPDF=Y")</f>
        <v>2.0880000000000001</v>
      </c>
      <c r="G19" s="13">
        <f>_xll.BDH("NBIX US Equity","INVTRY_FINISHED_GOODS","FQ4 2019","FQ4 2019","Currency=USD","Period=FQ","BEST_FPERIOD_OVERRIDE=FQ","FILING_STATUS=MR","SCALING_FORMAT=MLN","Sort=A","Dates=H","DateFormat=P","Fill=—","Direction=H","UseDPDF=Y")</f>
        <v>1.7</v>
      </c>
      <c r="H19" s="13">
        <f>_xll.BDH("NBIX US Equity","INVTRY_FINISHED_GOODS","FQ1 2020","FQ1 2020","Currency=USD","Period=FQ","BEST_FPERIOD_OVERRIDE=FQ","FILING_STATUS=MR","SCALING_FORMAT=MLN","Sort=A","Dates=H","DateFormat=P","Fill=—","Direction=H","UseDPDF=Y")</f>
        <v>2.2999999999999998</v>
      </c>
      <c r="I19" s="13">
        <f>_xll.BDH("NBIX US Equity","INVTRY_FINISHED_GOODS","FQ2 2020","FQ2 2020","Currency=USD","Period=FQ","BEST_FPERIOD_OVERRIDE=FQ","FILING_STATUS=MR","SCALING_FORMAT=MLN","Sort=A","Dates=H","DateFormat=P","Fill=—","Direction=H","UseDPDF=Y")</f>
        <v>4.4000000000000004</v>
      </c>
      <c r="J19" s="13">
        <f>_xll.BDH("NBIX US Equity","INVTRY_FINISHED_GOODS","FQ3 2020","FQ3 2020","Currency=USD","Period=FQ","BEST_FPERIOD_OVERRIDE=FQ","FILING_STATUS=MR","SCALING_FORMAT=MLN","Sort=A","Dates=H","DateFormat=P","Fill=—","Direction=H","UseDPDF=Y")</f>
        <v>4.8</v>
      </c>
      <c r="K19" s="13">
        <f>_xll.BDH("NBIX US Equity","INVTRY_FINISHED_GOODS","FQ4 2020","FQ4 2020","Currency=USD","Period=FQ","BEST_FPERIOD_OVERRIDE=FQ","FILING_STATUS=MR","SCALING_FORMAT=MLN","Sort=A","Dates=H","DateFormat=P","Fill=—","Direction=H","UseDPDF=Y")</f>
        <v>9</v>
      </c>
      <c r="L19" s="13">
        <f>_xll.BDH("NBIX US Equity","INVTRY_FINISHED_GOODS","FQ1 2021","FQ1 2021","Currency=USD","Period=FQ","BEST_FPERIOD_OVERRIDE=FQ","FILING_STATUS=MR","SCALING_FORMAT=MLN","Sort=A","Dates=H","DateFormat=P","Fill=—","Direction=H","UseDPDF=Y")</f>
        <v>12.8</v>
      </c>
      <c r="M19" s="13">
        <f>_xll.BDH("NBIX US Equity","INVTRY_FINISHED_GOODS","FQ2 2021","FQ2 2021","Currency=USD","Period=FQ","BEST_FPERIOD_OVERRIDE=FQ","FILING_STATUS=MR","SCALING_FORMAT=MLN","Sort=A","Dates=H","DateFormat=P","Fill=—","Direction=H","UseDPDF=Y")</f>
        <v>11.5</v>
      </c>
      <c r="N19" s="13">
        <f>_xll.BDH("NBIX US Equity","INVTRY_FINISHED_GOODS","FQ3 2021","FQ3 2021","Currency=USD","Period=FQ","BEST_FPERIOD_OVERRIDE=FQ","FILING_STATUS=MR","SCALING_FORMAT=MLN","Sort=A","Dates=H","DateFormat=P","Fill=—","Direction=H","UseDPDF=Y")</f>
        <v>11.2</v>
      </c>
      <c r="O19" s="13">
        <f>_xll.BDH("NBIX US Equity","INVTRY_FINISHED_GOODS","FQ4 2021","FQ4 2021","Currency=USD","Period=FQ","BEST_FPERIOD_OVERRIDE=FQ","FILING_STATUS=MR","SCALING_FORMAT=MLN","Sort=A","Dates=H","DateFormat=P","Fill=—","Direction=H","UseDPDF=Y")</f>
        <v>15.7</v>
      </c>
      <c r="P19" s="13">
        <f>_xll.BDH("NBIX US Equity","INVTRY_FINISHED_GOODS","FQ1 2022","FQ1 2022","Currency=USD","Period=FQ","BEST_FPERIOD_OVERRIDE=FQ","FILING_STATUS=MR","SCALING_FORMAT=MLN","Sort=A","Dates=H","DateFormat=P","Fill=—","Direction=H","UseDPDF=Y")</f>
        <v>15.4</v>
      </c>
      <c r="Q19" s="13">
        <f>_xll.BDH("NBIX US Equity","INVTRY_FINISHED_GOODS","FQ2 2022","FQ2 2022","Currency=USD","Period=FQ","BEST_FPERIOD_OVERRIDE=FQ","FILING_STATUS=MR","SCALING_FORMAT=MLN","Sort=A","Dates=H","DateFormat=P","Fill=—","Direction=H","UseDPDF=Y")</f>
        <v>17.899999999999999</v>
      </c>
      <c r="R19" s="13">
        <f>_xll.BDH("NBIX US Equity","INVTRY_FINISHED_GOODS","FQ3 2022","FQ3 2022","Currency=USD","Period=FQ","BEST_FPERIOD_OVERRIDE=FQ","FILING_STATUS=MR","SCALING_FORMAT=MLN","Sort=A","Dates=H","DateFormat=P","Fill=—","Direction=H","UseDPDF=Y")</f>
        <v>17</v>
      </c>
      <c r="S19" s="13">
        <f>_xll.BDH("NBIX US Equity","INVTRY_FINISHED_GOODS","FQ4 2022","FQ4 2022","Currency=USD","Period=FQ","BEST_FPERIOD_OVERRIDE=FQ","FILING_STATUS=MR","SCALING_FORMAT=MLN","Sort=A","Dates=H","DateFormat=P","Fill=—","Direction=H","UseDPDF=Y")</f>
        <v>17.5</v>
      </c>
      <c r="T19" s="13">
        <f>_xll.BDH("NBIX US Equity","INVTRY_FINISHED_GOODS","FQ1 2023","FQ1 2023","Currency=USD","Period=FQ","BEST_FPERIOD_OVERRIDE=FQ","FILING_STATUS=MR","SCALING_FORMAT=MLN","Sort=A","Dates=H","DateFormat=P","Fill=—","Direction=H","UseDPDF=Y")</f>
        <v>18</v>
      </c>
      <c r="U19" s="13">
        <f>_xll.BDH("NBIX US Equity","INVTRY_FINISHED_GOODS","FQ2 2023","FQ2 2023","Currency=USD","Period=FQ","BEST_FPERIOD_OVERRIDE=FQ","FILING_STATUS=MR","SCALING_FORMAT=MLN","Sort=A","Dates=H","DateFormat=P","Fill=—","Direction=H","UseDPDF=Y")</f>
        <v>15</v>
      </c>
      <c r="V19" s="13">
        <f>_xll.BDH("NBIX US Equity","INVTRY_FINISHED_GOODS","FQ3 2023","FQ3 2023","Currency=USD","Period=FQ","BEST_FPERIOD_OVERRIDE=FQ","FILING_STATUS=MR","SCALING_FORMAT=MLN","Sort=A","Dates=H","DateFormat=P","Fill=—","Direction=H","UseDPDF=Y")</f>
        <v>10.4</v>
      </c>
      <c r="W19" s="13">
        <f>_xll.BDH("NBIX US Equity","INVTRY_FINISHED_GOODS","FQ4 2023","FQ4 2023","Currency=USD","Period=FQ","BEST_FPERIOD_OVERRIDE=FQ","FILING_STATUS=MR","SCALING_FORMAT=MLN","Sort=A","Dates=H","DateFormat=P","Fill=—","Direction=H","UseDPDF=Y")</f>
        <v>12.3</v>
      </c>
      <c r="X19" s="13">
        <f>_xll.BDH("NBIX US Equity","INVTRY_FINISHED_GOODS","FQ1 2024","FQ1 2024","Currency=USD","Period=FQ","BEST_FPERIOD_OVERRIDE=FQ","FILING_STATUS=MR","SCALING_FORMAT=MLN","Sort=A","Dates=H","DateFormat=P","Fill=—","Direction=H","UseDPDF=Y")</f>
        <v>7.5</v>
      </c>
      <c r="Y19" s="13">
        <f>_xll.BDH("NBIX US Equity","INVTRY_FINISHED_GOODS","FQ2 2024","FQ2 2024","Currency=USD","Period=FQ","BEST_FPERIOD_OVERRIDE=FQ","FILING_STATUS=MR","SCALING_FORMAT=MLN","Sort=A","Dates=H","DateFormat=P","Fill=—","Direction=H","UseDPDF=Y")</f>
        <v>10.4</v>
      </c>
      <c r="Z19" s="13">
        <f>_xll.BDH("NBIX US Equity","INVTRY_FINISHED_GOODS","FQ3 2024","FQ3 2024","Currency=USD","Period=FQ","BEST_FPERIOD_OVERRIDE=FQ","FILING_STATUS=MR","SCALING_FORMAT=MLN","Sort=A","Dates=H","DateFormat=P","Fill=—","Direction=H","UseDPDF=Y")</f>
        <v>11.5</v>
      </c>
      <c r="AA19" s="13">
        <f>_xll.BDH("NBIX US Equity","INVTRY_FINISHED_GOODS","FQ4 2024","FQ4 2024","Currency=USD","Period=FQ","BEST_FPERIOD_OVERRIDE=FQ","FILING_STATUS=MR","SCALING_FORMAT=MLN","Sort=A","Dates=H","DateFormat=P","Fill=—","Direction=H","UseDPDF=Y")</f>
        <v>12.8</v>
      </c>
    </row>
    <row r="20" spans="1:27" x14ac:dyDescent="0.25">
      <c r="A20" s="10" t="s">
        <v>1461</v>
      </c>
      <c r="B20" s="10" t="s">
        <v>687</v>
      </c>
      <c r="C20" s="13">
        <f>_xll.BDH("NBIX US Equity","BS_OTHER_INV","FQ4 2018","FQ4 2018","Currency=USD","Period=FQ","BEST_FPERIOD_OVERRIDE=FQ","FILING_STATUS=MR","SCALING_FORMAT=MLN","Sort=A","Dates=H","DateFormat=P","Fill=—","Direction=H","UseDPDF=Y")</f>
        <v>0</v>
      </c>
      <c r="D20" s="13">
        <f>_xll.BDH("NBIX US Equity","BS_OTHER_INV","FQ1 2019","FQ1 2019","Currency=USD","Period=FQ","BEST_FPERIOD_OVERRIDE=FQ","FILING_STATUS=MR","SCALING_FORMAT=MLN","Sort=A","Dates=H","DateFormat=P","Fill=—","Direction=H","UseDPDF=Y")</f>
        <v>0</v>
      </c>
      <c r="E20" s="13">
        <f>_xll.BDH("NBIX US Equity","BS_OTHER_INV","FQ2 2019","FQ2 2019","Currency=USD","Period=FQ","BEST_FPERIOD_OVERRIDE=FQ","FILING_STATUS=MR","SCALING_FORMAT=MLN","Sort=A","Dates=H","DateFormat=P","Fill=—","Direction=H","UseDPDF=Y")</f>
        <v>0</v>
      </c>
      <c r="F20" s="13">
        <f>_xll.BDH("NBIX US Equity","BS_OTHER_INV","FQ3 2019","FQ3 2019","Currency=USD","Period=FQ","BEST_FPERIOD_OVERRIDE=FQ","FILING_STATUS=MR","SCALING_FORMAT=MLN","Sort=A","Dates=H","DateFormat=P","Fill=—","Direction=H","UseDPDF=Y")</f>
        <v>0</v>
      </c>
      <c r="G20" s="13">
        <f>_xll.BDH("NBIX US Equity","BS_OTHER_INV","FQ4 2019","FQ4 2019","Currency=USD","Period=FQ","BEST_FPERIOD_OVERRIDE=FQ","FILING_STATUS=MR","SCALING_FORMAT=MLN","Sort=A","Dates=H","DateFormat=P","Fill=—","Direction=H","UseDPDF=Y")</f>
        <v>0</v>
      </c>
      <c r="H20" s="13">
        <f>_xll.BDH("NBIX US Equity","BS_OTHER_INV","FQ1 2020","FQ1 2020","Currency=USD","Period=FQ","BEST_FPERIOD_OVERRIDE=FQ","FILING_STATUS=MR","SCALING_FORMAT=MLN","Sort=A","Dates=H","DateFormat=P","Fill=—","Direction=H","UseDPDF=Y")</f>
        <v>0</v>
      </c>
      <c r="I20" s="13">
        <f>_xll.BDH("NBIX US Equity","BS_OTHER_INV","FQ2 2020","FQ2 2020","Currency=USD","Period=FQ","BEST_FPERIOD_OVERRIDE=FQ","FILING_STATUS=MR","SCALING_FORMAT=MLN","Sort=A","Dates=H","DateFormat=P","Fill=—","Direction=H","UseDPDF=Y")</f>
        <v>0</v>
      </c>
      <c r="J20" s="13">
        <f>_xll.BDH("NBIX US Equity","BS_OTHER_INV","FQ3 2020","FQ3 2020","Currency=USD","Period=FQ","BEST_FPERIOD_OVERRIDE=FQ","FILING_STATUS=MR","SCALING_FORMAT=MLN","Sort=A","Dates=H","DateFormat=P","Fill=—","Direction=H","UseDPDF=Y")</f>
        <v>0</v>
      </c>
      <c r="K20" s="13">
        <f>_xll.BDH("NBIX US Equity","BS_OTHER_INV","FQ4 2020","FQ4 2020","Currency=USD","Period=FQ","BEST_FPERIOD_OVERRIDE=FQ","FILING_STATUS=MR","SCALING_FORMAT=MLN","Sort=A","Dates=H","DateFormat=P","Fill=—","Direction=H","UseDPDF=Y")</f>
        <v>0</v>
      </c>
      <c r="L20" s="13">
        <f>_xll.BDH("NBIX US Equity","BS_OTHER_INV","FQ1 2021","FQ1 2021","Currency=USD","Period=FQ","BEST_FPERIOD_OVERRIDE=FQ","FILING_STATUS=MR","SCALING_FORMAT=MLN","Sort=A","Dates=H","DateFormat=P","Fill=—","Direction=H","UseDPDF=Y")</f>
        <v>0</v>
      </c>
      <c r="M20" s="13">
        <f>_xll.BDH("NBIX US Equity","BS_OTHER_INV","FQ2 2021","FQ2 2021","Currency=USD","Period=FQ","BEST_FPERIOD_OVERRIDE=FQ","FILING_STATUS=MR","SCALING_FORMAT=MLN","Sort=A","Dates=H","DateFormat=P","Fill=—","Direction=H","UseDPDF=Y")</f>
        <v>0</v>
      </c>
      <c r="N20" s="13">
        <f>_xll.BDH("NBIX US Equity","BS_OTHER_INV","FQ3 2021","FQ3 2021","Currency=USD","Period=FQ","BEST_FPERIOD_OVERRIDE=FQ","FILING_STATUS=MR","SCALING_FORMAT=MLN","Sort=A","Dates=H","DateFormat=P","Fill=—","Direction=H","UseDPDF=Y")</f>
        <v>0</v>
      </c>
      <c r="O20" s="13">
        <f>_xll.BDH("NBIX US Equity","BS_OTHER_INV","FQ4 2021","FQ4 2021","Currency=USD","Period=FQ","BEST_FPERIOD_OVERRIDE=FQ","FILING_STATUS=MR","SCALING_FORMAT=MLN","Sort=A","Dates=H","DateFormat=P","Fill=—","Direction=H","UseDPDF=Y")</f>
        <v>0</v>
      </c>
      <c r="P20" s="13">
        <f>_xll.BDH("NBIX US Equity","BS_OTHER_INV","FQ1 2022","FQ1 2022","Currency=USD","Period=FQ","BEST_FPERIOD_OVERRIDE=FQ","FILING_STATUS=MR","SCALING_FORMAT=MLN","Sort=A","Dates=H","DateFormat=P","Fill=—","Direction=H","UseDPDF=Y")</f>
        <v>0</v>
      </c>
      <c r="Q20" s="13">
        <f>_xll.BDH("NBIX US Equity","BS_OTHER_INV","FQ2 2022","FQ2 2022","Currency=USD","Period=FQ","BEST_FPERIOD_OVERRIDE=FQ","FILING_STATUS=MR","SCALING_FORMAT=MLN","Sort=A","Dates=H","DateFormat=P","Fill=—","Direction=H","UseDPDF=Y")</f>
        <v>0</v>
      </c>
      <c r="R20" s="13">
        <f>_xll.BDH("NBIX US Equity","BS_OTHER_INV","FQ3 2022","FQ3 2022","Currency=USD","Period=FQ","BEST_FPERIOD_OVERRIDE=FQ","FILING_STATUS=MR","SCALING_FORMAT=MLN","Sort=A","Dates=H","DateFormat=P","Fill=—","Direction=H","UseDPDF=Y")</f>
        <v>0</v>
      </c>
      <c r="S20" s="13">
        <f>_xll.BDH("NBIX US Equity","BS_OTHER_INV","FQ4 2022","FQ4 2022","Currency=USD","Period=FQ","BEST_FPERIOD_OVERRIDE=FQ","FILING_STATUS=MR","SCALING_FORMAT=MLN","Sort=A","Dates=H","DateFormat=P","Fill=—","Direction=H","UseDPDF=Y")</f>
        <v>0</v>
      </c>
      <c r="T20" s="13">
        <f>_xll.BDH("NBIX US Equity","BS_OTHER_INV","FQ1 2023","FQ1 2023","Currency=USD","Period=FQ","BEST_FPERIOD_OVERRIDE=FQ","FILING_STATUS=MR","SCALING_FORMAT=MLN","Sort=A","Dates=H","DateFormat=P","Fill=—","Direction=H","UseDPDF=Y")</f>
        <v>0</v>
      </c>
      <c r="U20" s="13">
        <f>_xll.BDH("NBIX US Equity","BS_OTHER_INV","FQ2 2023","FQ2 2023","Currency=USD","Period=FQ","BEST_FPERIOD_OVERRIDE=FQ","FILING_STATUS=MR","SCALING_FORMAT=MLN","Sort=A","Dates=H","DateFormat=P","Fill=—","Direction=H","UseDPDF=Y")</f>
        <v>0</v>
      </c>
      <c r="V20" s="13">
        <f>_xll.BDH("NBIX US Equity","BS_OTHER_INV","FQ3 2023","FQ3 2023","Currency=USD","Period=FQ","BEST_FPERIOD_OVERRIDE=FQ","FILING_STATUS=MR","SCALING_FORMAT=MLN","Sort=A","Dates=H","DateFormat=P","Fill=—","Direction=H","UseDPDF=Y")</f>
        <v>0</v>
      </c>
      <c r="W20" s="13">
        <f>_xll.BDH("NBIX US Equity","BS_OTHER_INV","FQ4 2023","FQ4 2023","Currency=USD","Period=FQ","BEST_FPERIOD_OVERRIDE=FQ","FILING_STATUS=MR","SCALING_FORMAT=MLN","Sort=A","Dates=H","DateFormat=P","Fill=—","Direction=H","UseDPDF=Y")</f>
        <v>-5.2</v>
      </c>
      <c r="X20" s="13">
        <f>_xll.BDH("NBIX US Equity","BS_OTHER_INV","FQ1 2024","FQ1 2024","Currency=USD","Period=FQ","BEST_FPERIOD_OVERRIDE=FQ","FILING_STATUS=MR","SCALING_FORMAT=MLN","Sort=A","Dates=H","DateFormat=P","Fill=—","Direction=H","UseDPDF=Y")</f>
        <v>-0.4</v>
      </c>
      <c r="Y20" s="13">
        <f>_xll.BDH("NBIX US Equity","BS_OTHER_INV","FQ2 2024","FQ2 2024","Currency=USD","Period=FQ","BEST_FPERIOD_OVERRIDE=FQ","FILING_STATUS=MR","SCALING_FORMAT=MLN","Sort=A","Dates=H","DateFormat=P","Fill=—","Direction=H","UseDPDF=Y")</f>
        <v>-1.2</v>
      </c>
      <c r="Z20" s="13">
        <f>_xll.BDH("NBIX US Equity","BS_OTHER_INV","FQ3 2024","FQ3 2024","Currency=USD","Period=FQ","BEST_FPERIOD_OVERRIDE=FQ","FILING_STATUS=MR","SCALING_FORMAT=MLN","Sort=A","Dates=H","DateFormat=P","Fill=—","Direction=H","UseDPDF=Y")</f>
        <v>0</v>
      </c>
      <c r="AA20" s="13">
        <f>_xll.BDH("NBIX US Equity","BS_OTHER_INV","FQ4 2024","FQ4 2024","Currency=USD","Period=FQ","BEST_FPERIOD_OVERRIDE=FQ","FILING_STATUS=MR","SCALING_FORMAT=MLN","Sort=A","Dates=H","DateFormat=P","Fill=—","Direction=H","UseDPDF=Y")</f>
        <v>0</v>
      </c>
    </row>
    <row r="21" spans="1:27" x14ac:dyDescent="0.25">
      <c r="A21" s="7" t="s">
        <v>90</v>
      </c>
      <c r="B21" s="7"/>
      <c r="C21" s="7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4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1462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1463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1464</v>
      </c>
      <c r="B7" s="10" t="s">
        <v>1465</v>
      </c>
      <c r="C7" s="13">
        <f>_xll.BDH("NBIX US Equity","TRAIL_12M_CASH_FROM_OPER","FQ2 2019","FQ2 2019","Currency=USD","Period=FQ","BEST_FPERIOD_OVERRIDE=FQ","FILING_STATUS=MR","SCALING_FORMAT=MLN","Sort=A","Dates=H","DateFormat=P","Fill=—","Direction=H","UseDPDF=Y")</f>
        <v>71.046000000000006</v>
      </c>
      <c r="D7" s="13">
        <f>_xll.BDH("NBIX US Equity","TRAIL_12M_CASH_FROM_OPER","FQ3 2019","FQ3 2019","Currency=USD","Period=FQ","BEST_FPERIOD_OVERRIDE=FQ","FILING_STATUS=MR","SCALING_FORMAT=MLN","Sort=A","Dates=H","DateFormat=P","Fill=—","Direction=H","UseDPDF=Y")</f>
        <v>99.954999999999998</v>
      </c>
      <c r="E7" s="13">
        <f>_xll.BDH("NBIX US Equity","TRAIL_12M_CASH_FROM_OPER","FQ4 2019","FQ4 2019","Currency=USD","Period=FQ","BEST_FPERIOD_OVERRIDE=FQ","FILING_STATUS=MR","SCALING_FORMAT=MLN","Sort=A","Dates=H","DateFormat=P","Fill=—","Direction=H","UseDPDF=Y")</f>
        <v>147</v>
      </c>
      <c r="F7" s="13">
        <f>_xll.BDH("NBIX US Equity","TRAIL_12M_CASH_FROM_OPER","FQ1 2020","FQ1 2020","Currency=USD","Period=FQ","BEST_FPERIOD_OVERRIDE=FQ","FILING_STATUS=MR","SCALING_FORMAT=MLN","Sort=A","Dates=H","DateFormat=P","Fill=—","Direction=H","UseDPDF=Y")</f>
        <v>294.99099999999999</v>
      </c>
      <c r="G7" s="13">
        <f>_xll.BDH("NBIX US Equity","TRAIL_12M_CASH_FROM_OPER","FQ2 2020","FQ2 2020","Currency=USD","Period=FQ","BEST_FPERIOD_OVERRIDE=FQ","FILING_STATUS=MR","SCALING_FORMAT=MLN","Sort=A","Dates=H","DateFormat=P","Fill=—","Direction=H","UseDPDF=Y")</f>
        <v>349.72500000000002</v>
      </c>
      <c r="H7" s="13">
        <f>_xll.BDH("NBIX US Equity","TRAIL_12M_CASH_FROM_OPER","FQ3 2020","FQ3 2020","Currency=USD","Period=FQ","BEST_FPERIOD_OVERRIDE=FQ","FILING_STATUS=MR","SCALING_FORMAT=MLN","Sort=A","Dates=H","DateFormat=P","Fill=—","Direction=H","UseDPDF=Y")</f>
        <v>231.499</v>
      </c>
      <c r="I7" s="13">
        <f>_xll.BDH("NBIX US Equity","TRAIL_12M_CASH_FROM_OPER","FQ4 2020","FQ4 2020","Currency=USD","Period=FQ","BEST_FPERIOD_OVERRIDE=FQ","FILING_STATUS=MR","SCALING_FORMAT=MLN","Sort=A","Dates=H","DateFormat=P","Fill=—","Direction=H","UseDPDF=Y")</f>
        <v>228.5</v>
      </c>
      <c r="J7" s="13">
        <f>_xll.BDH("NBIX US Equity","TRAIL_12M_CASH_FROM_OPER","FQ1 2021","FQ1 2021","Currency=USD","Period=FQ","BEST_FPERIOD_OVERRIDE=FQ","FILING_STATUS=MR","SCALING_FORMAT=MLN","Sort=A","Dates=H","DateFormat=P","Fill=—","Direction=H","UseDPDF=Y")</f>
        <v>280.3</v>
      </c>
      <c r="K7" s="13">
        <f>_xll.BDH("NBIX US Equity","TRAIL_12M_CASH_FROM_OPER","FQ2 2021","FQ2 2021","Currency=USD","Period=FQ","BEST_FPERIOD_OVERRIDE=FQ","FILING_STATUS=MR","SCALING_FORMAT=MLN","Sort=A","Dates=H","DateFormat=P","Fill=—","Direction=H","UseDPDF=Y")</f>
        <v>264.60000000000002</v>
      </c>
      <c r="L7" s="13">
        <f>_xll.BDH("NBIX US Equity","TRAIL_12M_CASH_FROM_OPER","FQ3 2021","FQ3 2021","Currency=USD","Period=FQ","BEST_FPERIOD_OVERRIDE=FQ","FILING_STATUS=MR","SCALING_FORMAT=MLN","Sort=A","Dates=H","DateFormat=P","Fill=—","Direction=H","UseDPDF=Y")</f>
        <v>346.8</v>
      </c>
      <c r="M7" s="13">
        <f>_xll.BDH("NBIX US Equity","TRAIL_12M_CASH_FROM_OPER","FQ4 2021","FQ4 2021","Currency=USD","Period=FQ","BEST_FPERIOD_OVERRIDE=FQ","FILING_STATUS=MR","SCALING_FORMAT=MLN","Sort=A","Dates=H","DateFormat=P","Fill=—","Direction=H","UseDPDF=Y")</f>
        <v>256.5</v>
      </c>
      <c r="N7" s="13">
        <f>_xll.BDH("NBIX US Equity","TRAIL_12M_CASH_FROM_OPER","FQ1 2022","FQ1 2022","Currency=USD","Period=FQ","BEST_FPERIOD_OVERRIDE=FQ","FILING_STATUS=MR","SCALING_FORMAT=MLN","Sort=A","Dates=H","DateFormat=P","Fill=—","Direction=H","UseDPDF=Y")</f>
        <v>128.69999999999999</v>
      </c>
      <c r="O7" s="13">
        <f>_xll.BDH("NBIX US Equity","TRAIL_12M_CASH_FROM_OPER","FQ2 2022","FQ2 2022","Currency=USD","Period=FQ","BEST_FPERIOD_OVERRIDE=FQ","FILING_STATUS=MR","SCALING_FORMAT=MLN","Sort=A","Dates=H","DateFormat=P","Fill=—","Direction=H","UseDPDF=Y")</f>
        <v>163.6</v>
      </c>
      <c r="P7" s="13">
        <f>_xll.BDH("NBIX US Equity","TRAIL_12M_CASH_FROM_OPER","FQ3 2022","FQ3 2022","Currency=USD","Period=FQ","BEST_FPERIOD_OVERRIDE=FQ","FILING_STATUS=MR","SCALING_FORMAT=MLN","Sort=A","Dates=H","DateFormat=P","Fill=—","Direction=H","UseDPDF=Y")</f>
        <v>200.6</v>
      </c>
      <c r="Q7" s="13">
        <f>_xll.BDH("NBIX US Equity","TRAIL_12M_CASH_FROM_OPER","FQ4 2022","FQ4 2022","Currency=USD","Period=FQ","BEST_FPERIOD_OVERRIDE=FQ","FILING_STATUS=MR","SCALING_FORMAT=MLN","Sort=A","Dates=H","DateFormat=P","Fill=—","Direction=H","UseDPDF=Y")</f>
        <v>339.4</v>
      </c>
      <c r="R7" s="13">
        <f>_xll.BDH("NBIX US Equity","TRAIL_12M_CASH_FROM_OPER","FQ1 2023","FQ1 2023","Currency=USD","Period=FQ","BEST_FPERIOD_OVERRIDE=FQ","FILING_STATUS=MR","SCALING_FORMAT=MLN","Sort=A","Dates=H","DateFormat=P","Fill=—","Direction=H","UseDPDF=Y")</f>
        <v>254.7</v>
      </c>
      <c r="S7" s="13">
        <f>_xll.BDH("NBIX US Equity","TRAIL_12M_CASH_FROM_OPER","FQ2 2023","FQ2 2023","Currency=USD","Period=FQ","BEST_FPERIOD_OVERRIDE=FQ","FILING_STATUS=MR","SCALING_FORMAT=MLN","Sort=A","Dates=H","DateFormat=P","Fill=—","Direction=H","UseDPDF=Y")</f>
        <v>296.2</v>
      </c>
      <c r="T7" s="13">
        <f>_xll.BDH("NBIX US Equity","TRAIL_12M_CASH_FROM_OPER","FQ3 2023","FQ3 2023","Currency=USD","Period=FQ","BEST_FPERIOD_OVERRIDE=FQ","FILING_STATUS=MR","SCALING_FORMAT=MLN","Sort=A","Dates=H","DateFormat=P","Fill=—","Direction=H","UseDPDF=Y")</f>
        <v>409.4</v>
      </c>
      <c r="U7" s="13">
        <f>_xll.BDH("NBIX US Equity","TRAIL_12M_CASH_FROM_OPER","FQ4 2023","FQ4 2023","Currency=USD","Period=FQ","BEST_FPERIOD_OVERRIDE=FQ","FILING_STATUS=MR","SCALING_FORMAT=MLN","Sort=A","Dates=H","DateFormat=P","Fill=—","Direction=H","UseDPDF=Y")</f>
        <v>389.9</v>
      </c>
      <c r="V7" s="13">
        <f>_xll.BDH("NBIX US Equity","TRAIL_12M_CASH_FROM_OPER","FQ1 2024","FQ1 2024","Currency=USD","Period=FQ","BEST_FPERIOD_OVERRIDE=FQ","FILING_STATUS=MR","SCALING_FORMAT=MLN","Sort=A","Dates=H","DateFormat=P","Fill=—","Direction=H","UseDPDF=Y")</f>
        <v>645.4</v>
      </c>
      <c r="W7" s="13">
        <f>_xll.BDH("NBIX US Equity","TRAIL_12M_CASH_FROM_OPER","FQ2 2024","FQ2 2024","Currency=USD","Period=FQ","BEST_FPERIOD_OVERRIDE=FQ","FILING_STATUS=MR","SCALING_FORMAT=MLN","Sort=A","Dates=H","DateFormat=P","Fill=—","Direction=H","UseDPDF=Y")</f>
        <v>530.4</v>
      </c>
      <c r="X7" s="13">
        <f>_xll.BDH("NBIX US Equity","TRAIL_12M_CASH_FROM_OPER","FQ3 2024","FQ3 2024","Currency=USD","Period=FQ","BEST_FPERIOD_OVERRIDE=FQ","FILING_STATUS=MR","SCALING_FORMAT=MLN","Sort=A","Dates=H","DateFormat=P","Fill=—","Direction=H","UseDPDF=Y")</f>
        <v>476.4</v>
      </c>
      <c r="Y7" s="13">
        <f>_xll.BDH("NBIX US Equity","TRAIL_12M_CASH_FROM_OPER","FQ4 2024","FQ4 2024","Currency=USD","Period=FQ","BEST_FPERIOD_OVERRIDE=FQ","FILING_STATUS=MR","SCALING_FORMAT=MLN","Sort=A","Dates=H","DateFormat=P","Fill=—","Direction=H","UseDPDF=Y")</f>
        <v>595.4</v>
      </c>
      <c r="Z7" s="13">
        <v>902.39520000000005</v>
      </c>
      <c r="AA7" s="13">
        <v>1037.1320000000001</v>
      </c>
    </row>
    <row r="8" spans="1:27" x14ac:dyDescent="0.25">
      <c r="A8" s="10" t="s">
        <v>1466</v>
      </c>
      <c r="B8" s="10" t="s">
        <v>1467</v>
      </c>
      <c r="C8" s="13">
        <f>_xll.BDH("NBIX US Equity","TRAIL_12M_CAP_EXPEND","FQ2 2019","FQ2 2019","Currency=USD","Period=FQ","BEST_FPERIOD_OVERRIDE=FQ","FILING_STATUS=MR","SCALING_FORMAT=MLN","Sort=A","Dates=H","DateFormat=P","Fill=—","Direction=H","UseDPDF=Y")</f>
        <v>-26.760999999999999</v>
      </c>
      <c r="D8" s="13">
        <f>_xll.BDH("NBIX US Equity","TRAIL_12M_CAP_EXPEND","FQ3 2019","FQ3 2019","Currency=USD","Period=FQ","BEST_FPERIOD_OVERRIDE=FQ","FILING_STATUS=MR","SCALING_FORMAT=MLN","Sort=A","Dates=H","DateFormat=P","Fill=—","Direction=H","UseDPDF=Y")</f>
        <v>-17.946000000000002</v>
      </c>
      <c r="E8" s="13">
        <f>_xll.BDH("NBIX US Equity","TRAIL_12M_CAP_EXPEND","FQ4 2019","FQ4 2019","Currency=USD","Period=FQ","BEST_FPERIOD_OVERRIDE=FQ","FILING_STATUS=MR","SCALING_FORMAT=MLN","Sort=A","Dates=H","DateFormat=P","Fill=—","Direction=H","UseDPDF=Y")</f>
        <v>-14.708</v>
      </c>
      <c r="F8" s="13">
        <f>_xll.BDH("NBIX US Equity","TRAIL_12M_CAP_EXPEND","FQ1 2020","FQ1 2020","Currency=USD","Period=FQ","BEST_FPERIOD_OVERRIDE=FQ","FILING_STATUS=MR","SCALING_FORMAT=MLN","Sort=A","Dates=H","DateFormat=P","Fill=—","Direction=H","UseDPDF=Y")</f>
        <v>-12.069000000000001</v>
      </c>
      <c r="G8" s="13">
        <f>_xll.BDH("NBIX US Equity","TRAIL_12M_CAP_EXPEND","FQ2 2020","FQ2 2020","Currency=USD","Period=FQ","BEST_FPERIOD_OVERRIDE=FQ","FILING_STATUS=MR","SCALING_FORMAT=MLN","Sort=A","Dates=H","DateFormat=P","Fill=—","Direction=H","UseDPDF=Y")</f>
        <v>-12.316000000000001</v>
      </c>
      <c r="H8" s="13">
        <f>_xll.BDH("NBIX US Equity","TRAIL_12M_CAP_EXPEND","FQ3 2020","FQ3 2020","Currency=USD","Period=FQ","BEST_FPERIOD_OVERRIDE=FQ","FILING_STATUS=MR","SCALING_FORMAT=MLN","Sort=A","Dates=H","DateFormat=P","Fill=—","Direction=H","UseDPDF=Y")</f>
        <v>-9.1720000000000006</v>
      </c>
      <c r="I8" s="13">
        <f>_xll.BDH("NBIX US Equity","TRAIL_12M_CAP_EXPEND","FQ4 2020","FQ4 2020","Currency=USD","Period=FQ","BEST_FPERIOD_OVERRIDE=FQ","FILING_STATUS=MR","SCALING_FORMAT=MLN","Sort=A","Dates=H","DateFormat=P","Fill=—","Direction=H","UseDPDF=Y")</f>
        <v>-10.9</v>
      </c>
      <c r="J8" s="13">
        <f>_xll.BDH("NBIX US Equity","TRAIL_12M_CAP_EXPEND","FQ1 2021","FQ1 2021","Currency=USD","Period=FQ","BEST_FPERIOD_OVERRIDE=FQ","FILING_STATUS=MR","SCALING_FORMAT=MLN","Sort=A","Dates=H","DateFormat=P","Fill=—","Direction=H","UseDPDF=Y")</f>
        <v>-14.1</v>
      </c>
      <c r="K8" s="13">
        <f>_xll.BDH("NBIX US Equity","TRAIL_12M_CAP_EXPEND","FQ2 2021","FQ2 2021","Currency=USD","Period=FQ","BEST_FPERIOD_OVERRIDE=FQ","FILING_STATUS=MR","SCALING_FORMAT=MLN","Sort=A","Dates=H","DateFormat=P","Fill=—","Direction=H","UseDPDF=Y")</f>
        <v>-13.7</v>
      </c>
      <c r="L8" s="13">
        <f>_xll.BDH("NBIX US Equity","TRAIL_12M_CAP_EXPEND","FQ3 2021","FQ3 2021","Currency=USD","Period=FQ","BEST_FPERIOD_OVERRIDE=FQ","FILING_STATUS=MR","SCALING_FORMAT=MLN","Sort=A","Dates=H","DateFormat=P","Fill=—","Direction=H","UseDPDF=Y")</f>
        <v>-19</v>
      </c>
      <c r="M8" s="13">
        <f>_xll.BDH("NBIX US Equity","TRAIL_12M_CAP_EXPEND","FQ4 2021","FQ4 2021","Currency=USD","Period=FQ","BEST_FPERIOD_OVERRIDE=FQ","FILING_STATUS=MR","SCALING_FORMAT=MLN","Sort=A","Dates=H","DateFormat=P","Fill=—","Direction=H","UseDPDF=Y")</f>
        <v>-23.4</v>
      </c>
      <c r="N8" s="13">
        <f>_xll.BDH("NBIX US Equity","TRAIL_12M_CAP_EXPEND","FQ1 2022","FQ1 2022","Currency=USD","Period=FQ","BEST_FPERIOD_OVERRIDE=FQ","FILING_STATUS=MR","SCALING_FORMAT=MLN","Sort=A","Dates=H","DateFormat=P","Fill=—","Direction=H","UseDPDF=Y")</f>
        <v>-26.5</v>
      </c>
      <c r="O8" s="13">
        <f>_xll.BDH("NBIX US Equity","TRAIL_12M_CAP_EXPEND","FQ2 2022","FQ2 2022","Currency=USD","Period=FQ","BEST_FPERIOD_OVERRIDE=FQ","FILING_STATUS=MR","SCALING_FORMAT=MLN","Sort=A","Dates=H","DateFormat=P","Fill=—","Direction=H","UseDPDF=Y")</f>
        <v>-31</v>
      </c>
      <c r="P8" s="13" t="str">
        <f>_xll.BDH("NBIX US Equity","TRAIL_12M_CAP_EXPEND","FQ3 2022","FQ3 2022","Currency=USD","Period=FQ","BEST_FPERIOD_OVERRIDE=FQ","FILING_STATUS=MR","SCALING_FORMAT=MLN","Sort=A","Dates=H","DateFormat=P","Fill=—","Direction=H","UseDPDF=Y")</f>
        <v>—</v>
      </c>
      <c r="Q8" s="13" t="str">
        <f>_xll.BDH("NBIX US Equity","TRAIL_12M_CAP_EXPEND","FQ4 2022","FQ4 2022","Currency=USD","Period=FQ","BEST_FPERIOD_OVERRIDE=FQ","FILING_STATUS=MR","SCALING_FORMAT=MLN","Sort=A","Dates=H","DateFormat=P","Fill=—","Direction=H","UseDPDF=Y")</f>
        <v>—</v>
      </c>
      <c r="R8" s="13" t="str">
        <f>_xll.BDH("NBIX US Equity","TRAIL_12M_CAP_EXPEND","FQ1 2023","FQ1 2023","Currency=USD","Period=FQ","BEST_FPERIOD_OVERRIDE=FQ","FILING_STATUS=MR","SCALING_FORMAT=MLN","Sort=A","Dates=H","DateFormat=P","Fill=—","Direction=H","UseDPDF=Y")</f>
        <v>—</v>
      </c>
      <c r="S8" s="13" t="str">
        <f>_xll.BDH("NBIX US Equity","TRAIL_12M_CAP_EXPEND","FQ2 2023","FQ2 2023","Currency=USD","Period=FQ","BEST_FPERIOD_OVERRIDE=FQ","FILING_STATUS=MR","SCALING_FORMAT=MLN","Sort=A","Dates=H","DateFormat=P","Fill=—","Direction=H","UseDPDF=Y")</f>
        <v>—</v>
      </c>
      <c r="T8" s="13">
        <f>_xll.BDH("NBIX US Equity","TRAIL_12M_CAP_EXPEND","FQ3 2023","FQ3 2023","Currency=USD","Period=FQ","BEST_FPERIOD_OVERRIDE=FQ","FILING_STATUS=MR","SCALING_FORMAT=MLN","Sort=A","Dates=H","DateFormat=P","Fill=—","Direction=H","UseDPDF=Y")</f>
        <v>-24.7</v>
      </c>
      <c r="U8" s="13">
        <f>_xll.BDH("NBIX US Equity","TRAIL_12M_CAP_EXPEND","FQ4 2023","FQ4 2023","Currency=USD","Period=FQ","BEST_FPERIOD_OVERRIDE=FQ","FILING_STATUS=MR","SCALING_FORMAT=MLN","Sort=A","Dates=H","DateFormat=P","Fill=—","Direction=H","UseDPDF=Y")</f>
        <v>-28.3</v>
      </c>
      <c r="V8" s="13">
        <f>_xll.BDH("NBIX US Equity","TRAIL_12M_CAP_EXPEND","FQ1 2024","FQ1 2024","Currency=USD","Period=FQ","BEST_FPERIOD_OVERRIDE=FQ","FILING_STATUS=MR","SCALING_FORMAT=MLN","Sort=A","Dates=H","DateFormat=P","Fill=—","Direction=H","UseDPDF=Y")</f>
        <v>-31</v>
      </c>
      <c r="W8" s="13">
        <f>_xll.BDH("NBIX US Equity","TRAIL_12M_CAP_EXPEND","FQ2 2024","FQ2 2024","Currency=USD","Period=FQ","BEST_FPERIOD_OVERRIDE=FQ","FILING_STATUS=MR","SCALING_FORMAT=MLN","Sort=A","Dates=H","DateFormat=P","Fill=—","Direction=H","UseDPDF=Y")</f>
        <v>-35.799999999999997</v>
      </c>
      <c r="X8" s="13">
        <f>_xll.BDH("NBIX US Equity","TRAIL_12M_CAP_EXPEND","FQ3 2024","FQ3 2024","Currency=USD","Period=FQ","BEST_FPERIOD_OVERRIDE=FQ","FILING_STATUS=MR","SCALING_FORMAT=MLN","Sort=A","Dates=H","DateFormat=P","Fill=—","Direction=H","UseDPDF=Y")</f>
        <v>-36.299999999999997</v>
      </c>
      <c r="Y8" s="13">
        <f>_xll.BDH("NBIX US Equity","TRAIL_12M_CAP_EXPEND","FQ4 2024","FQ4 2024","Currency=USD","Period=FQ","BEST_FPERIOD_OVERRIDE=FQ","FILING_STATUS=MR","SCALING_FORMAT=MLN","Sort=A","Dates=H","DateFormat=P","Fill=—","Direction=H","UseDPDF=Y")</f>
        <v>-38.200000000000003</v>
      </c>
      <c r="Z8" s="13"/>
      <c r="AA8" s="13"/>
    </row>
    <row r="9" spans="1:27" x14ac:dyDescent="0.25">
      <c r="A9" s="6" t="s">
        <v>88</v>
      </c>
      <c r="B9" s="6" t="s">
        <v>1468</v>
      </c>
      <c r="C9" s="19">
        <f>_xll.BDH("NBIX US Equity","TRAIL_12M_FREE_CASH_FLOW","FQ2 2019","FQ2 2019","Currency=USD","Period=FQ","BEST_FPERIOD_OVERRIDE=FQ","FILING_STATUS=MR","SCALING_FORMAT=MLN","Sort=A","Dates=H","DateFormat=P","Fill=—","Direction=H","UseDPDF=Y")</f>
        <v>44.284999999999997</v>
      </c>
      <c r="D9" s="19">
        <f>_xll.BDH("NBIX US Equity","TRAIL_12M_FREE_CASH_FLOW","FQ3 2019","FQ3 2019","Currency=USD","Period=FQ","BEST_FPERIOD_OVERRIDE=FQ","FILING_STATUS=MR","SCALING_FORMAT=MLN","Sort=A","Dates=H","DateFormat=P","Fill=—","Direction=H","UseDPDF=Y")</f>
        <v>82.009</v>
      </c>
      <c r="E9" s="19">
        <f>_xll.BDH("NBIX US Equity","TRAIL_12M_FREE_CASH_FLOW","FQ4 2019","FQ4 2019","Currency=USD","Period=FQ","BEST_FPERIOD_OVERRIDE=FQ","FILING_STATUS=MR","SCALING_FORMAT=MLN","Sort=A","Dates=H","DateFormat=P","Fill=—","Direction=H","UseDPDF=Y")</f>
        <v>132.292</v>
      </c>
      <c r="F9" s="19">
        <f>_xll.BDH("NBIX US Equity","TRAIL_12M_FREE_CASH_FLOW","FQ1 2020","FQ1 2020","Currency=USD","Period=FQ","BEST_FPERIOD_OVERRIDE=FQ","FILING_STATUS=MR","SCALING_FORMAT=MLN","Sort=A","Dates=H","DateFormat=P","Fill=—","Direction=H","UseDPDF=Y")</f>
        <v>282.92200000000003</v>
      </c>
      <c r="G9" s="19">
        <f>_xll.BDH("NBIX US Equity","TRAIL_12M_FREE_CASH_FLOW","FQ2 2020","FQ2 2020","Currency=USD","Period=FQ","BEST_FPERIOD_OVERRIDE=FQ","FILING_STATUS=MR","SCALING_FORMAT=MLN","Sort=A","Dates=H","DateFormat=P","Fill=—","Direction=H","UseDPDF=Y")</f>
        <v>337.40899999999999</v>
      </c>
      <c r="H9" s="19">
        <f>_xll.BDH("NBIX US Equity","TRAIL_12M_FREE_CASH_FLOW","FQ3 2020","FQ3 2020","Currency=USD","Period=FQ","BEST_FPERIOD_OVERRIDE=FQ","FILING_STATUS=MR","SCALING_FORMAT=MLN","Sort=A","Dates=H","DateFormat=P","Fill=—","Direction=H","UseDPDF=Y")</f>
        <v>222.327</v>
      </c>
      <c r="I9" s="19">
        <f>_xll.BDH("NBIX US Equity","TRAIL_12M_FREE_CASH_FLOW","FQ4 2020","FQ4 2020","Currency=USD","Period=FQ","BEST_FPERIOD_OVERRIDE=FQ","FILING_STATUS=MR","SCALING_FORMAT=MLN","Sort=A","Dates=H","DateFormat=P","Fill=—","Direction=H","UseDPDF=Y")</f>
        <v>217.6</v>
      </c>
      <c r="J9" s="19">
        <f>_xll.BDH("NBIX US Equity","TRAIL_12M_FREE_CASH_FLOW","FQ1 2021","FQ1 2021","Currency=USD","Period=FQ","BEST_FPERIOD_OVERRIDE=FQ","FILING_STATUS=MR","SCALING_FORMAT=MLN","Sort=A","Dates=H","DateFormat=P","Fill=—","Direction=H","UseDPDF=Y")</f>
        <v>266.2</v>
      </c>
      <c r="K9" s="19">
        <f>_xll.BDH("NBIX US Equity","TRAIL_12M_FREE_CASH_FLOW","FQ2 2021","FQ2 2021","Currency=USD","Period=FQ","BEST_FPERIOD_OVERRIDE=FQ","FILING_STATUS=MR","SCALING_FORMAT=MLN","Sort=A","Dates=H","DateFormat=P","Fill=—","Direction=H","UseDPDF=Y")</f>
        <v>250.9</v>
      </c>
      <c r="L9" s="19">
        <f>_xll.BDH("NBIX US Equity","TRAIL_12M_FREE_CASH_FLOW","FQ3 2021","FQ3 2021","Currency=USD","Period=FQ","BEST_FPERIOD_OVERRIDE=FQ","FILING_STATUS=MR","SCALING_FORMAT=MLN","Sort=A","Dates=H","DateFormat=P","Fill=—","Direction=H","UseDPDF=Y")</f>
        <v>327.8</v>
      </c>
      <c r="M9" s="19">
        <f>_xll.BDH("NBIX US Equity","TRAIL_12M_FREE_CASH_FLOW","FQ4 2021","FQ4 2021","Currency=USD","Period=FQ","BEST_FPERIOD_OVERRIDE=FQ","FILING_STATUS=MR","SCALING_FORMAT=MLN","Sort=A","Dates=H","DateFormat=P","Fill=—","Direction=H","UseDPDF=Y")</f>
        <v>233.1</v>
      </c>
      <c r="N9" s="19">
        <f>_xll.BDH("NBIX US Equity","TRAIL_12M_FREE_CASH_FLOW","FQ1 2022","FQ1 2022","Currency=USD","Period=FQ","BEST_FPERIOD_OVERRIDE=FQ","FILING_STATUS=MR","SCALING_FORMAT=MLN","Sort=A","Dates=H","DateFormat=P","Fill=—","Direction=H","UseDPDF=Y")</f>
        <v>102.2</v>
      </c>
      <c r="O9" s="19">
        <f>_xll.BDH("NBIX US Equity","TRAIL_12M_FREE_CASH_FLOW","FQ2 2022","FQ2 2022","Currency=USD","Period=FQ","BEST_FPERIOD_OVERRIDE=FQ","FILING_STATUS=MR","SCALING_FORMAT=MLN","Sort=A","Dates=H","DateFormat=P","Fill=—","Direction=H","UseDPDF=Y")</f>
        <v>132.6</v>
      </c>
      <c r="P9" s="19" t="str">
        <f>_xll.BDH("NBIX US Equity","TRAIL_12M_FREE_CASH_FLOW","FQ3 2022","FQ3 2022","Currency=USD","Period=FQ","BEST_FPERIOD_OVERRIDE=FQ","FILING_STATUS=MR","SCALING_FORMAT=MLN","Sort=A","Dates=H","DateFormat=P","Fill=—","Direction=H","UseDPDF=Y")</f>
        <v>—</v>
      </c>
      <c r="Q9" s="19" t="str">
        <f>_xll.BDH("NBIX US Equity","TRAIL_12M_FREE_CASH_FLOW","FQ4 2022","FQ4 2022","Currency=USD","Period=FQ","BEST_FPERIOD_OVERRIDE=FQ","FILING_STATUS=MR","SCALING_FORMAT=MLN","Sort=A","Dates=H","DateFormat=P","Fill=—","Direction=H","UseDPDF=Y")</f>
        <v>—</v>
      </c>
      <c r="R9" s="19" t="str">
        <f>_xll.BDH("NBIX US Equity","TRAIL_12M_FREE_CASH_FLOW","FQ1 2023","FQ1 2023","Currency=USD","Period=FQ","BEST_FPERIOD_OVERRIDE=FQ","FILING_STATUS=MR","SCALING_FORMAT=MLN","Sort=A","Dates=H","DateFormat=P","Fill=—","Direction=H","UseDPDF=Y")</f>
        <v>—</v>
      </c>
      <c r="S9" s="19" t="str">
        <f>_xll.BDH("NBIX US Equity","TRAIL_12M_FREE_CASH_FLOW","FQ2 2023","FQ2 2023","Currency=USD","Period=FQ","BEST_FPERIOD_OVERRIDE=FQ","FILING_STATUS=MR","SCALING_FORMAT=MLN","Sort=A","Dates=H","DateFormat=P","Fill=—","Direction=H","UseDPDF=Y")</f>
        <v>—</v>
      </c>
      <c r="T9" s="19">
        <f>_xll.BDH("NBIX US Equity","TRAIL_12M_FREE_CASH_FLOW","FQ3 2023","FQ3 2023","Currency=USD","Period=FQ","BEST_FPERIOD_OVERRIDE=FQ","FILING_STATUS=MR","SCALING_FORMAT=MLN","Sort=A","Dates=H","DateFormat=P","Fill=—","Direction=H","UseDPDF=Y")</f>
        <v>384.7</v>
      </c>
      <c r="U9" s="19">
        <f>_xll.BDH("NBIX US Equity","TRAIL_12M_FREE_CASH_FLOW","FQ4 2023","FQ4 2023","Currency=USD","Period=FQ","BEST_FPERIOD_OVERRIDE=FQ","FILING_STATUS=MR","SCALING_FORMAT=MLN","Sort=A","Dates=H","DateFormat=P","Fill=—","Direction=H","UseDPDF=Y")</f>
        <v>361.6</v>
      </c>
      <c r="V9" s="19">
        <f>_xll.BDH("NBIX US Equity","TRAIL_12M_FREE_CASH_FLOW","FQ1 2024","FQ1 2024","Currency=USD","Period=FQ","BEST_FPERIOD_OVERRIDE=FQ","FILING_STATUS=MR","SCALING_FORMAT=MLN","Sort=A","Dates=H","DateFormat=P","Fill=—","Direction=H","UseDPDF=Y")</f>
        <v>614.4</v>
      </c>
      <c r="W9" s="19">
        <f>_xll.BDH("NBIX US Equity","TRAIL_12M_FREE_CASH_FLOW","FQ2 2024","FQ2 2024","Currency=USD","Period=FQ","BEST_FPERIOD_OVERRIDE=FQ","FILING_STATUS=MR","SCALING_FORMAT=MLN","Sort=A","Dates=H","DateFormat=P","Fill=—","Direction=H","UseDPDF=Y")</f>
        <v>494.6</v>
      </c>
      <c r="X9" s="19">
        <f>_xll.BDH("NBIX US Equity","TRAIL_12M_FREE_CASH_FLOW","FQ3 2024","FQ3 2024","Currency=USD","Period=FQ","BEST_FPERIOD_OVERRIDE=FQ","FILING_STATUS=MR","SCALING_FORMAT=MLN","Sort=A","Dates=H","DateFormat=P","Fill=—","Direction=H","UseDPDF=Y")</f>
        <v>440.1</v>
      </c>
      <c r="Y9" s="19">
        <f>_xll.BDH("NBIX US Equity","TRAIL_12M_FREE_CASH_FLOW","FQ4 2024","FQ4 2024","Currency=USD","Period=FQ","BEST_FPERIOD_OVERRIDE=FQ","FILING_STATUS=MR","SCALING_FORMAT=MLN","Sort=A","Dates=H","DateFormat=P","Fill=—","Direction=H","UseDPDF=Y")</f>
        <v>557.20000000000005</v>
      </c>
      <c r="Z9" s="19">
        <v>873.447</v>
      </c>
      <c r="AA9" s="19">
        <v>1006.0839999999999</v>
      </c>
    </row>
    <row r="10" spans="1:27" x14ac:dyDescent="0.25">
      <c r="A10" s="11" t="s">
        <v>60</v>
      </c>
      <c r="B10" s="11" t="s">
        <v>61</v>
      </c>
      <c r="C10" s="25">
        <f>_xll.BDH("NBIX US Equity","HISTORICAL_MARKET_CAP","FQ2 2019","FQ2 2019","Currency=USD","Period=FQ","BEST_FPERIOD_OVERRIDE=FQ","FILING_STATUS=MR","SCALING_FORMAT=MLN","Sort=A","Dates=H","DateFormat=P","Fill=—","Direction=H","UseDPDF=Y")</f>
        <v>7728.3845000000001</v>
      </c>
      <c r="D10" s="25">
        <f>_xll.BDH("NBIX US Equity","HISTORICAL_MARKET_CAP","FQ3 2019","FQ3 2019","Currency=USD","Period=FQ","BEST_FPERIOD_OVERRIDE=FQ","FILING_STATUS=MR","SCALING_FORMAT=MLN","Sort=A","Dates=H","DateFormat=P","Fill=—","Direction=H","UseDPDF=Y")</f>
        <v>8297.3287999999993</v>
      </c>
      <c r="E10" s="25">
        <f>_xll.BDH("NBIX US Equity","HISTORICAL_MARKET_CAP","FQ4 2019","FQ4 2019","Currency=USD","Period=FQ","BEST_FPERIOD_OVERRIDE=FQ","FILING_STATUS=MR","SCALING_FORMAT=MLN","Sort=A","Dates=H","DateFormat=P","Fill=—","Direction=H","UseDPDF=Y")</f>
        <v>9921.3269999999993</v>
      </c>
      <c r="F10" s="25">
        <f>_xll.BDH("NBIX US Equity","HISTORICAL_MARKET_CAP","FQ1 2020","FQ1 2020","Currency=USD","Period=FQ","BEST_FPERIOD_OVERRIDE=FQ","FILING_STATUS=MR","SCALING_FORMAT=MLN","Sort=A","Dates=H","DateFormat=P","Fill=—","Direction=H","UseDPDF=Y")</f>
        <v>8031.84</v>
      </c>
      <c r="G10" s="25">
        <f>_xll.BDH("NBIX US Equity","HISTORICAL_MARKET_CAP","FQ2 2020","FQ2 2020","Currency=USD","Period=FQ","BEST_FPERIOD_OVERRIDE=FQ","FILING_STATUS=MR","SCALING_FORMAT=MLN","Sort=A","Dates=H","DateFormat=P","Fill=—","Direction=H","UseDPDF=Y")</f>
        <v>11370.4</v>
      </c>
      <c r="H10" s="25">
        <f>_xll.BDH("NBIX US Equity","HISTORICAL_MARKET_CAP","FQ3 2020","FQ3 2020","Currency=USD","Period=FQ","BEST_FPERIOD_OVERRIDE=FQ","FILING_STATUS=MR","SCALING_FORMAT=MLN","Sort=A","Dates=H","DateFormat=P","Fill=—","Direction=H","UseDPDF=Y")</f>
        <v>8981.3439999999991</v>
      </c>
      <c r="I10" s="25">
        <f>_xll.BDH("NBIX US Equity","HISTORICAL_MARKET_CAP","FQ4 2020","FQ4 2020","Currency=USD","Period=FQ","BEST_FPERIOD_OVERRIDE=FQ","FILING_STATUS=MR","SCALING_FORMAT=MLN","Sort=A","Dates=H","DateFormat=P","Fill=—","Direction=H","UseDPDF=Y")</f>
        <v>8961.9750000000004</v>
      </c>
      <c r="J10" s="25">
        <f>_xll.BDH("NBIX US Equity","HISTORICAL_MARKET_CAP","FQ1 2021","FQ1 2021","Currency=USD","Period=FQ","BEST_FPERIOD_OVERRIDE=FQ","FILING_STATUS=MR","SCALING_FORMAT=MLN","Sort=A","Dates=H","DateFormat=P","Fill=—","Direction=H","UseDPDF=Y")</f>
        <v>9190.125</v>
      </c>
      <c r="K10" s="25">
        <f>_xll.BDH("NBIX US Equity","HISTORICAL_MARKET_CAP","FQ2 2021","FQ2 2021","Currency=USD","Period=FQ","BEST_FPERIOD_OVERRIDE=FQ","FILING_STATUS=MR","SCALING_FORMAT=MLN","Sort=A","Dates=H","DateFormat=P","Fill=—","Direction=H","UseDPDF=Y")</f>
        <v>9206.4719999999998</v>
      </c>
      <c r="L10" s="25">
        <f>_xll.BDH("NBIX US Equity","HISTORICAL_MARKET_CAP","FQ3 2021","FQ3 2021","Currency=USD","Period=FQ","BEST_FPERIOD_OVERRIDE=FQ","FILING_STATUS=MR","SCALING_FORMAT=MLN","Sort=A","Dates=H","DateFormat=P","Fill=—","Direction=H","UseDPDF=Y")</f>
        <v>9092.268</v>
      </c>
      <c r="M10" s="25">
        <f>_xll.BDH("NBIX US Equity","HISTORICAL_MARKET_CAP","FQ4 2021","FQ4 2021","Currency=USD","Period=FQ","BEST_FPERIOD_OVERRIDE=FQ","FILING_STATUS=MR","SCALING_FORMAT=MLN","Sort=A","Dates=H","DateFormat=P","Fill=—","Direction=H","UseDPDF=Y")</f>
        <v>8082.6329999999998</v>
      </c>
      <c r="N10" s="25">
        <f>_xll.BDH("NBIX US Equity","HISTORICAL_MARKET_CAP","FQ1 2022","FQ1 2022","Currency=USD","Period=FQ","BEST_FPERIOD_OVERRIDE=FQ","FILING_STATUS=MR","SCALING_FORMAT=MLN","Sort=A","Dates=H","DateFormat=P","Fill=—","Direction=H","UseDPDF=Y")</f>
        <v>8953.125</v>
      </c>
      <c r="O10" s="25">
        <f>_xll.BDH("NBIX US Equity","HISTORICAL_MARKET_CAP","FQ2 2022","FQ2 2022","Currency=USD","Period=FQ","BEST_FPERIOD_OVERRIDE=FQ","FILING_STATUS=MR","SCALING_FORMAT=MLN","Sort=A","Dates=H","DateFormat=P","Fill=—","Direction=H","UseDPDF=Y")</f>
        <v>9319.0879999999997</v>
      </c>
      <c r="P10" s="25">
        <f>_xll.BDH("NBIX US Equity","HISTORICAL_MARKET_CAP","FQ3 2022","FQ3 2022","Currency=USD","Period=FQ","BEST_FPERIOD_OVERRIDE=FQ","FILING_STATUS=MR","SCALING_FORMAT=MLN","Sort=A","Dates=H","DateFormat=P","Fill=—","Direction=H","UseDPDF=Y")</f>
        <v>10206.781000000001</v>
      </c>
      <c r="Q10" s="25">
        <f>_xll.BDH("NBIX US Equity","HISTORICAL_MARKET_CAP","FQ4 2022","FQ4 2022","Currency=USD","Period=FQ","BEST_FPERIOD_OVERRIDE=FQ","FILING_STATUS=MR","SCALING_FORMAT=MLN","Sort=A","Dates=H","DateFormat=P","Fill=—","Direction=H","UseDPDF=Y")</f>
        <v>11525.96</v>
      </c>
      <c r="R10" s="25">
        <f>_xll.BDH("NBIX US Equity","HISTORICAL_MARKET_CAP","FQ1 2023","FQ1 2023","Currency=USD","Period=FQ","BEST_FPERIOD_OVERRIDE=FQ","FILING_STATUS=MR","SCALING_FORMAT=MLN","Sort=A","Dates=H","DateFormat=P","Fill=—","Direction=H","UseDPDF=Y")</f>
        <v>9868.9500000000007</v>
      </c>
      <c r="S10" s="25">
        <f>_xll.BDH("NBIX US Equity","HISTORICAL_MARKET_CAP","FQ2 2023","FQ2 2023","Currency=USD","Period=FQ","BEST_FPERIOD_OVERRIDE=FQ","FILING_STATUS=MR","SCALING_FORMAT=MLN","Sort=A","Dates=H","DateFormat=P","Fill=—","Direction=H","UseDPDF=Y")</f>
        <v>9203.68</v>
      </c>
      <c r="T10" s="25">
        <f>_xll.BDH("NBIX US Equity","HISTORICAL_MARKET_CAP","FQ3 2023","FQ3 2023","Currency=USD","Period=FQ","BEST_FPERIOD_OVERRIDE=FQ","FILING_STATUS=MR","SCALING_FORMAT=MLN","Sort=A","Dates=H","DateFormat=P","Fill=—","Direction=H","UseDPDF=Y")</f>
        <v>11047.5</v>
      </c>
      <c r="U10" s="25">
        <f>_xll.BDH("NBIX US Equity","HISTORICAL_MARKET_CAP","FQ4 2023","FQ4 2023","Currency=USD","Period=FQ","BEST_FPERIOD_OVERRIDE=FQ","FILING_STATUS=MR","SCALING_FORMAT=MLN","Sort=A","Dates=H","DateFormat=P","Fill=—","Direction=H","UseDPDF=Y")</f>
        <v>13004.712</v>
      </c>
      <c r="V10" s="25">
        <f>_xll.BDH("NBIX US Equity","HISTORICAL_MARKET_CAP","FQ1 2024","FQ1 2024","Currency=USD","Period=FQ","BEST_FPERIOD_OVERRIDE=FQ","FILING_STATUS=MR","SCALING_FORMAT=MLN","Sort=A","Dates=H","DateFormat=P","Fill=—","Direction=H","UseDPDF=Y")</f>
        <v>13874.752</v>
      </c>
      <c r="W10" s="25">
        <f>_xll.BDH("NBIX US Equity","HISTORICAL_MARKET_CAP","FQ2 2024","FQ2 2024","Currency=USD","Period=FQ","BEST_FPERIOD_OVERRIDE=FQ","FILING_STATUS=MR","SCALING_FORMAT=MLN","Sort=A","Dates=H","DateFormat=P","Fill=—","Direction=H","UseDPDF=Y")</f>
        <v>13890.903</v>
      </c>
      <c r="X10" s="25">
        <f>_xll.BDH("NBIX US Equity","HISTORICAL_MARKET_CAP","FQ3 2024","FQ3 2024","Currency=USD","Period=FQ","BEST_FPERIOD_OVERRIDE=FQ","FILING_STATUS=MR","SCALING_FORMAT=MLN","Sort=A","Dates=H","DateFormat=P","Fill=—","Direction=H","UseDPDF=Y")</f>
        <v>11660.263999999999</v>
      </c>
      <c r="Y10" s="25">
        <f>_xll.BDH("NBIX US Equity","HISTORICAL_MARKET_CAP","FQ4 2024","FQ4 2024","Currency=USD","Period=FQ","BEST_FPERIOD_OVERRIDE=FQ","FILING_STATUS=MR","SCALING_FORMAT=MLN","Sort=A","Dates=H","DateFormat=P","Fill=—","Direction=H","UseDPDF=Y")</f>
        <v>13568.1</v>
      </c>
      <c r="Z10" s="25"/>
      <c r="AA10" s="25"/>
    </row>
    <row r="11" spans="1:27" x14ac:dyDescent="0.25">
      <c r="A11" s="6" t="s">
        <v>1469</v>
      </c>
      <c r="B11" s="6" t="s">
        <v>1470</v>
      </c>
      <c r="C11" s="20">
        <f>_xll.BDH("NBIX US Equity","FREE_CASH_FLOW_YIELD","FQ2 2019","FQ2 2019","Currency=USD","Period=FQ","BEST_FPERIOD_OVERRIDE=FQ","FILING_STATUS=MR","Sort=A","Dates=H","DateFormat=P","Fill=—","Direction=H","UseDPDF=Y")</f>
        <v>0.57930000000000004</v>
      </c>
      <c r="D11" s="20">
        <f>_xll.BDH("NBIX US Equity","FREE_CASH_FLOW_YIELD","FQ3 2019","FQ3 2019","Currency=USD","Period=FQ","BEST_FPERIOD_OVERRIDE=FQ","FILING_STATUS=MR","Sort=A","Dates=H","DateFormat=P","Fill=—","Direction=H","UseDPDF=Y")</f>
        <v>0.98870000000000002</v>
      </c>
      <c r="E11" s="20">
        <f>_xll.BDH("NBIX US Equity","FREE_CASH_FLOW_YIELD","FQ4 2019","FQ4 2019","Currency=USD","Period=FQ","BEST_FPERIOD_OVERRIDE=FQ","FILING_STATUS=MR","Sort=A","Dates=H","DateFormat=P","Fill=—","Direction=H","UseDPDF=Y")</f>
        <v>1.329</v>
      </c>
      <c r="F11" s="20">
        <f>_xll.BDH("NBIX US Equity","FREE_CASH_FLOW_YIELD","FQ1 2020","FQ1 2020","Currency=USD","Period=FQ","BEST_FPERIOD_OVERRIDE=FQ","FILING_STATUS=MR","Sort=A","Dates=H","DateFormat=P","Fill=—","Direction=H","UseDPDF=Y")</f>
        <v>3.5546000000000002</v>
      </c>
      <c r="G11" s="20">
        <f>_xll.BDH("NBIX US Equity","FREE_CASH_FLOW_YIELD","FQ2 2020","FQ2 2020","Currency=USD","Period=FQ","BEST_FPERIOD_OVERRIDE=FQ","FILING_STATUS=MR","Sort=A","Dates=H","DateFormat=P","Fill=—","Direction=H","UseDPDF=Y")</f>
        <v>2.9927000000000001</v>
      </c>
      <c r="H11" s="20">
        <f>_xll.BDH("NBIX US Equity","FREE_CASH_FLOW_YIELD","FQ3 2020","FQ3 2020","Currency=USD","Period=FQ","BEST_FPERIOD_OVERRIDE=FQ","FILING_STATUS=MR","Sort=A","Dates=H","DateFormat=P","Fill=—","Direction=H","UseDPDF=Y")</f>
        <v>2.4977</v>
      </c>
      <c r="I11" s="20">
        <f>_xll.BDH("NBIX US Equity","FREE_CASH_FLOW_YIELD","FQ4 2020","FQ4 2020","Currency=USD","Period=FQ","BEST_FPERIOD_OVERRIDE=FQ","FILING_STATUS=MR","Sort=A","Dates=H","DateFormat=P","Fill=—","Direction=H","UseDPDF=Y")</f>
        <v>2.4380999999999999</v>
      </c>
      <c r="J11" s="20">
        <f>_xll.BDH("NBIX US Equity","FREE_CASH_FLOW_YIELD","FQ1 2021","FQ1 2021","Currency=USD","Period=FQ","BEST_FPERIOD_OVERRIDE=FQ","FILING_STATUS=MR","Sort=A","Dates=H","DateFormat=P","Fill=—","Direction=H","UseDPDF=Y")</f>
        <v>2.9270999999999998</v>
      </c>
      <c r="K11" s="20">
        <f>_xll.BDH("NBIX US Equity","FREE_CASH_FLOW_YIELD","FQ2 2021","FQ2 2021","Currency=USD","Period=FQ","BEST_FPERIOD_OVERRIDE=FQ","FILING_STATUS=MR","Sort=A","Dates=H","DateFormat=P","Fill=—","Direction=H","UseDPDF=Y")</f>
        <v>2.7374000000000001</v>
      </c>
      <c r="L11" s="20">
        <f>_xll.BDH("NBIX US Equity","FREE_CASH_FLOW_YIELD","FQ3 2021","FQ3 2021","Currency=USD","Period=FQ","BEST_FPERIOD_OVERRIDE=FQ","FILING_STATUS=MR","Sort=A","Dates=H","DateFormat=P","Fill=—","Direction=H","UseDPDF=Y")</f>
        <v>3.6278000000000001</v>
      </c>
      <c r="M11" s="20">
        <f>_xll.BDH("NBIX US Equity","FREE_CASH_FLOW_YIELD","FQ4 2021","FQ4 2021","Currency=USD","Period=FQ","BEST_FPERIOD_OVERRIDE=FQ","FILING_STATUS=MR","Sort=A","Dates=H","DateFormat=P","Fill=—","Direction=H","UseDPDF=Y")</f>
        <v>2.8969</v>
      </c>
      <c r="N11" s="20">
        <f>_xll.BDH("NBIX US Equity","FREE_CASH_FLOW_YIELD","FQ1 2022","FQ1 2022","Currency=USD","Period=FQ","BEST_FPERIOD_OVERRIDE=FQ","FILING_STATUS=MR","Sort=A","Dates=H","DateFormat=P","Fill=—","Direction=H","UseDPDF=Y")</f>
        <v>1.1557999999999999</v>
      </c>
      <c r="O11" s="20">
        <f>_xll.BDH("NBIX US Equity","FREE_CASH_FLOW_YIELD","FQ2 2022","FQ2 2022","Currency=USD","Period=FQ","BEST_FPERIOD_OVERRIDE=FQ","FILING_STATUS=MR","Sort=A","Dates=H","DateFormat=P","Fill=—","Direction=H","UseDPDF=Y")</f>
        <v>1.4266000000000001</v>
      </c>
      <c r="P11" s="20" t="str">
        <f>_xll.BDH("NBIX US Equity","FREE_CASH_FLOW_YIELD","FQ3 2022","FQ3 2022","Currency=USD","Period=FQ","BEST_FPERIOD_OVERRIDE=FQ","FILING_STATUS=MR","Sort=A","Dates=H","DateFormat=P","Fill=—","Direction=H","UseDPDF=Y")</f>
        <v>—</v>
      </c>
      <c r="Q11" s="20" t="str">
        <f>_xll.BDH("NBIX US Equity","FREE_CASH_FLOW_YIELD","FQ4 2022","FQ4 2022","Currency=USD","Period=FQ","BEST_FPERIOD_OVERRIDE=FQ","FILING_STATUS=MR","Sort=A","Dates=H","DateFormat=P","Fill=—","Direction=H","UseDPDF=Y")</f>
        <v>—</v>
      </c>
      <c r="R11" s="20" t="str">
        <f>_xll.BDH("NBIX US Equity","FREE_CASH_FLOW_YIELD","FQ1 2023","FQ1 2023","Currency=USD","Period=FQ","BEST_FPERIOD_OVERRIDE=FQ","FILING_STATUS=MR","Sort=A","Dates=H","DateFormat=P","Fill=—","Direction=H","UseDPDF=Y")</f>
        <v>—</v>
      </c>
      <c r="S11" s="20" t="str">
        <f>_xll.BDH("NBIX US Equity","FREE_CASH_FLOW_YIELD","FQ2 2023","FQ2 2023","Currency=USD","Period=FQ","BEST_FPERIOD_OVERRIDE=FQ","FILING_STATUS=MR","Sort=A","Dates=H","DateFormat=P","Fill=—","Direction=H","UseDPDF=Y")</f>
        <v>—</v>
      </c>
      <c r="T11" s="20">
        <f>_xll.BDH("NBIX US Equity","FREE_CASH_FLOW_YIELD","FQ3 2023","FQ3 2023","Currency=USD","Period=FQ","BEST_FPERIOD_OVERRIDE=FQ","FILING_STATUS=MR","Sort=A","Dates=H","DateFormat=P","Fill=—","Direction=H","UseDPDF=Y")</f>
        <v>3.5089999999999999</v>
      </c>
      <c r="U11" s="20">
        <f>_xll.BDH("NBIX US Equity","FREE_CASH_FLOW_YIELD","FQ4 2023","FQ4 2023","Currency=USD","Period=FQ","BEST_FPERIOD_OVERRIDE=FQ","FILING_STATUS=MR","Sort=A","Dates=H","DateFormat=P","Fill=—","Direction=H","UseDPDF=Y")</f>
        <v>2.7942</v>
      </c>
      <c r="V11" s="20">
        <f>_xll.BDH("NBIX US Equity","FREE_CASH_FLOW_YIELD","FQ1 2024","FQ1 2024","Currency=USD","Period=FQ","BEST_FPERIOD_OVERRIDE=FQ","FILING_STATUS=MR","Sort=A","Dates=H","DateFormat=P","Fill=—","Direction=H","UseDPDF=Y")</f>
        <v>4.5330000000000004</v>
      </c>
      <c r="W11" s="20">
        <f>_xll.BDH("NBIX US Equity","FREE_CASH_FLOW_YIELD","FQ2 2024","FQ2 2024","Currency=USD","Period=FQ","BEST_FPERIOD_OVERRIDE=FQ","FILING_STATUS=MR","Sort=A","Dates=H","DateFormat=P","Fill=—","Direction=H","UseDPDF=Y")</f>
        <v>3.6371000000000002</v>
      </c>
      <c r="X11" s="20">
        <f>_xll.BDH("NBIX US Equity","FREE_CASH_FLOW_YIELD","FQ3 2024","FQ3 2024","Currency=USD","Period=FQ","BEST_FPERIOD_OVERRIDE=FQ","FILING_STATUS=MR","Sort=A","Dates=H","DateFormat=P","Fill=—","Direction=H","UseDPDF=Y")</f>
        <v>3.8206000000000002</v>
      </c>
      <c r="Y11" s="20">
        <f>_xll.BDH("NBIX US Equity","FREE_CASH_FLOW_YIELD","FQ4 2024","FQ4 2024","Currency=USD","Period=FQ","BEST_FPERIOD_OVERRIDE=FQ","FILING_STATUS=MR","Sort=A","Dates=H","DateFormat=P","Fill=—","Direction=H","UseDPDF=Y")</f>
        <v>4.0688000000000004</v>
      </c>
      <c r="Z11" s="20"/>
      <c r="AA11" s="20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1471</v>
      </c>
      <c r="B13" s="10" t="s">
        <v>1472</v>
      </c>
      <c r="C13" s="13">
        <f>_xll.BDH("NBIX US Equity","T12M_DVDS_PAID","FQ2 2019","FQ2 2019","Currency=USD","Period=FQ","BEST_FPERIOD_OVERRIDE=FQ","FILING_STATUS=MR","SCALING_FORMAT=MLN","Sort=A","Dates=H","DateFormat=P","Fill=—","Direction=H","UseDPDF=Y")</f>
        <v>0</v>
      </c>
      <c r="D13" s="13">
        <f>_xll.BDH("NBIX US Equity","T12M_DVDS_PAID","FQ3 2019","FQ3 2019","Currency=USD","Period=FQ","BEST_FPERIOD_OVERRIDE=FQ","FILING_STATUS=MR","SCALING_FORMAT=MLN","Sort=A","Dates=H","DateFormat=P","Fill=—","Direction=H","UseDPDF=Y")</f>
        <v>0</v>
      </c>
      <c r="E13" s="13">
        <f>_xll.BDH("NBIX US Equity","T12M_DVDS_PAID","FQ4 2019","FQ4 2019","Currency=USD","Period=FQ","BEST_FPERIOD_OVERRIDE=FQ","FILING_STATUS=MR","SCALING_FORMAT=MLN","Sort=A","Dates=H","DateFormat=P","Fill=—","Direction=H","UseDPDF=Y")</f>
        <v>0</v>
      </c>
      <c r="F13" s="13">
        <f>_xll.BDH("NBIX US Equity","T12M_DVDS_PAID","FQ1 2020","FQ1 2020","Currency=USD","Period=FQ","BEST_FPERIOD_OVERRIDE=FQ","FILING_STATUS=MR","SCALING_FORMAT=MLN","Sort=A","Dates=H","DateFormat=P","Fill=—","Direction=H","UseDPDF=Y")</f>
        <v>0</v>
      </c>
      <c r="G13" s="13">
        <f>_xll.BDH("NBIX US Equity","T12M_DVDS_PAID","FQ2 2020","FQ2 2020","Currency=USD","Period=FQ","BEST_FPERIOD_OVERRIDE=FQ","FILING_STATUS=MR","SCALING_FORMAT=MLN","Sort=A","Dates=H","DateFormat=P","Fill=—","Direction=H","UseDPDF=Y")</f>
        <v>0</v>
      </c>
      <c r="H13" s="13">
        <f>_xll.BDH("NBIX US Equity","T12M_DVDS_PAID","FQ3 2020","FQ3 2020","Currency=USD","Period=FQ","BEST_FPERIOD_OVERRIDE=FQ","FILING_STATUS=MR","SCALING_FORMAT=MLN","Sort=A","Dates=H","DateFormat=P","Fill=—","Direction=H","UseDPDF=Y")</f>
        <v>0</v>
      </c>
      <c r="I13" s="13">
        <f>_xll.BDH("NBIX US Equity","T12M_DVDS_PAID","FQ4 2020","FQ4 2020","Currency=USD","Period=FQ","BEST_FPERIOD_OVERRIDE=FQ","FILING_STATUS=MR","SCALING_FORMAT=MLN","Sort=A","Dates=H","DateFormat=P","Fill=—","Direction=H","UseDPDF=Y")</f>
        <v>0</v>
      </c>
      <c r="J13" s="13">
        <f>_xll.BDH("NBIX US Equity","T12M_DVDS_PAID","FQ1 2021","FQ1 2021","Currency=USD","Period=FQ","BEST_FPERIOD_OVERRIDE=FQ","FILING_STATUS=MR","SCALING_FORMAT=MLN","Sort=A","Dates=H","DateFormat=P","Fill=—","Direction=H","UseDPDF=Y")</f>
        <v>0</v>
      </c>
      <c r="K13" s="13">
        <f>_xll.BDH("NBIX US Equity","T12M_DVDS_PAID","FQ2 2021","FQ2 2021","Currency=USD","Period=FQ","BEST_FPERIOD_OVERRIDE=FQ","FILING_STATUS=MR","SCALING_FORMAT=MLN","Sort=A","Dates=H","DateFormat=P","Fill=—","Direction=H","UseDPDF=Y")</f>
        <v>0</v>
      </c>
      <c r="L13" s="13">
        <f>_xll.BDH("NBIX US Equity","T12M_DVDS_PAID","FQ3 2021","FQ3 2021","Currency=USD","Period=FQ","BEST_FPERIOD_OVERRIDE=FQ","FILING_STATUS=MR","SCALING_FORMAT=MLN","Sort=A","Dates=H","DateFormat=P","Fill=—","Direction=H","UseDPDF=Y")</f>
        <v>0</v>
      </c>
      <c r="M13" s="13">
        <f>_xll.BDH("NBIX US Equity","T12M_DVDS_PAID","FQ4 2021","FQ4 2021","Currency=USD","Period=FQ","BEST_FPERIOD_OVERRIDE=FQ","FILING_STATUS=MR","SCALING_FORMAT=MLN","Sort=A","Dates=H","DateFormat=P","Fill=—","Direction=H","UseDPDF=Y")</f>
        <v>0</v>
      </c>
      <c r="N13" s="13">
        <f>_xll.BDH("NBIX US Equity","T12M_DVDS_PAID","FQ1 2022","FQ1 2022","Currency=USD","Period=FQ","BEST_FPERIOD_OVERRIDE=FQ","FILING_STATUS=MR","SCALING_FORMAT=MLN","Sort=A","Dates=H","DateFormat=P","Fill=—","Direction=H","UseDPDF=Y")</f>
        <v>0</v>
      </c>
      <c r="O13" s="13">
        <f>_xll.BDH("NBIX US Equity","T12M_DVDS_PAID","FQ2 2022","FQ2 2022","Currency=USD","Period=FQ","BEST_FPERIOD_OVERRIDE=FQ","FILING_STATUS=MR","SCALING_FORMAT=MLN","Sort=A","Dates=H","DateFormat=P","Fill=—","Direction=H","UseDPDF=Y")</f>
        <v>0</v>
      </c>
      <c r="P13" s="13">
        <f>_xll.BDH("NBIX US Equity","T12M_DVDS_PAID","FQ3 2022","FQ3 2022","Currency=USD","Period=FQ","BEST_FPERIOD_OVERRIDE=FQ","FILING_STATUS=MR","SCALING_FORMAT=MLN","Sort=A","Dates=H","DateFormat=P","Fill=—","Direction=H","UseDPDF=Y")</f>
        <v>0</v>
      </c>
      <c r="Q13" s="13">
        <f>_xll.BDH("NBIX US Equity","T12M_DVDS_PAID","FQ4 2022","FQ4 2022","Currency=USD","Period=FQ","BEST_FPERIOD_OVERRIDE=FQ","FILING_STATUS=MR","SCALING_FORMAT=MLN","Sort=A","Dates=H","DateFormat=P","Fill=—","Direction=H","UseDPDF=Y")</f>
        <v>0</v>
      </c>
      <c r="R13" s="13">
        <f>_xll.BDH("NBIX US Equity","T12M_DVDS_PAID","FQ1 2023","FQ1 2023","Currency=USD","Period=FQ","BEST_FPERIOD_OVERRIDE=FQ","FILING_STATUS=MR","SCALING_FORMAT=MLN","Sort=A","Dates=H","DateFormat=P","Fill=—","Direction=H","UseDPDF=Y")</f>
        <v>0</v>
      </c>
      <c r="S13" s="13">
        <f>_xll.BDH("NBIX US Equity","T12M_DVDS_PAID","FQ2 2023","FQ2 2023","Currency=USD","Period=FQ","BEST_FPERIOD_OVERRIDE=FQ","FILING_STATUS=MR","SCALING_FORMAT=MLN","Sort=A","Dates=H","DateFormat=P","Fill=—","Direction=H","UseDPDF=Y")</f>
        <v>0</v>
      </c>
      <c r="T13" s="13">
        <f>_xll.BDH("NBIX US Equity","T12M_DVDS_PAID","FQ3 2023","FQ3 2023","Currency=USD","Period=FQ","BEST_FPERIOD_OVERRIDE=FQ","FILING_STATUS=MR","SCALING_FORMAT=MLN","Sort=A","Dates=H","DateFormat=P","Fill=—","Direction=H","UseDPDF=Y")</f>
        <v>0</v>
      </c>
      <c r="U13" s="13">
        <f>_xll.BDH("NBIX US Equity","T12M_DVDS_PAID","FQ4 2023","FQ4 2023","Currency=USD","Period=FQ","BEST_FPERIOD_OVERRIDE=FQ","FILING_STATUS=MR","SCALING_FORMAT=MLN","Sort=A","Dates=H","DateFormat=P","Fill=—","Direction=H","UseDPDF=Y")</f>
        <v>0</v>
      </c>
      <c r="V13" s="13">
        <f>_xll.BDH("NBIX US Equity","T12M_DVDS_PAID","FQ1 2024","FQ1 2024","Currency=USD","Period=FQ","BEST_FPERIOD_OVERRIDE=FQ","FILING_STATUS=MR","SCALING_FORMAT=MLN","Sort=A","Dates=H","DateFormat=P","Fill=—","Direction=H","UseDPDF=Y")</f>
        <v>0</v>
      </c>
      <c r="W13" s="13">
        <f>_xll.BDH("NBIX US Equity","T12M_DVDS_PAID","FQ2 2024","FQ2 2024","Currency=USD","Period=FQ","BEST_FPERIOD_OVERRIDE=FQ","FILING_STATUS=MR","SCALING_FORMAT=MLN","Sort=A","Dates=H","DateFormat=P","Fill=—","Direction=H","UseDPDF=Y")</f>
        <v>0</v>
      </c>
      <c r="X13" s="13">
        <f>_xll.BDH("NBIX US Equity","T12M_DVDS_PAID","FQ3 2024","FQ3 2024","Currency=USD","Period=FQ","BEST_FPERIOD_OVERRIDE=FQ","FILING_STATUS=MR","SCALING_FORMAT=MLN","Sort=A","Dates=H","DateFormat=P","Fill=—","Direction=H","UseDPDF=Y")</f>
        <v>0</v>
      </c>
      <c r="Y13" s="13">
        <f>_xll.BDH("NBIX US Equity","T12M_DVDS_PAID","FQ4 2024","FQ4 2024","Currency=USD","Period=FQ","BEST_FPERIOD_OVERRIDE=FQ","FILING_STATUS=MR","SCALING_FORMAT=MLN","Sort=A","Dates=H","DateFormat=P","Fill=—","Direction=H","UseDPDF=Y")</f>
        <v>0</v>
      </c>
      <c r="Z13" s="13"/>
      <c r="AA13" s="13"/>
    </row>
    <row r="14" spans="1:27" x14ac:dyDescent="0.25">
      <c r="A14" s="10" t="s">
        <v>1473</v>
      </c>
      <c r="B14" s="10" t="s">
        <v>1474</v>
      </c>
      <c r="C14" s="13">
        <f>_xll.BDH("NBIX US Equity","T12M_NET_CAPITAL_STOCK","FQ2 2019","FQ2 2019","Currency=USD","Period=FQ","BEST_FPERIOD_OVERRIDE=FQ","FILING_STATUS=MR","SCALING_FORMAT=MLN","Sort=A","Dates=H","DateFormat=P","Fill=—","Direction=H","UseDPDF=Y")</f>
        <v>14.137</v>
      </c>
      <c r="D14" s="13">
        <f>_xll.BDH("NBIX US Equity","T12M_NET_CAPITAL_STOCK","FQ3 2019","FQ3 2019","Currency=USD","Period=FQ","BEST_FPERIOD_OVERRIDE=FQ","FILING_STATUS=MR","SCALING_FORMAT=MLN","Sort=A","Dates=H","DateFormat=P","Fill=—","Direction=H","UseDPDF=Y")</f>
        <v>21.811</v>
      </c>
      <c r="E14" s="13">
        <f>_xll.BDH("NBIX US Equity","T12M_NET_CAPITAL_STOCK","FQ4 2019","FQ4 2019","Currency=USD","Period=FQ","BEST_FPERIOD_OVERRIDE=FQ","FILING_STATUS=MR","SCALING_FORMAT=MLN","Sort=A","Dates=H","DateFormat=P","Fill=—","Direction=H","UseDPDF=Y")</f>
        <v>32.4</v>
      </c>
      <c r="F14" s="13">
        <f>_xll.BDH("NBIX US Equity","T12M_NET_CAPITAL_STOCK","FQ1 2020","FQ1 2020","Currency=USD","Period=FQ","BEST_FPERIOD_OVERRIDE=FQ","FILING_STATUS=MR","SCALING_FORMAT=MLN","Sort=A","Dates=H","DateFormat=P","Fill=—","Direction=H","UseDPDF=Y")</f>
        <v>35.819000000000003</v>
      </c>
      <c r="G14" s="13">
        <f>_xll.BDH("NBIX US Equity","T12M_NET_CAPITAL_STOCK","FQ2 2020","FQ2 2020","Currency=USD","Period=FQ","BEST_FPERIOD_OVERRIDE=FQ","FILING_STATUS=MR","SCALING_FORMAT=MLN","Sort=A","Dates=H","DateFormat=P","Fill=—","Direction=H","UseDPDF=Y")</f>
        <v>47.335000000000001</v>
      </c>
      <c r="H14" s="13">
        <f>_xll.BDH("NBIX US Equity","T12M_NET_CAPITAL_STOCK","FQ3 2020","FQ3 2020","Currency=USD","Period=FQ","BEST_FPERIOD_OVERRIDE=FQ","FILING_STATUS=MR","SCALING_FORMAT=MLN","Sort=A","Dates=H","DateFormat=P","Fill=—","Direction=H","UseDPDF=Y")</f>
        <v>39.570999999999998</v>
      </c>
      <c r="I14" s="13">
        <f>_xll.BDH("NBIX US Equity","T12M_NET_CAPITAL_STOCK","FQ4 2020","FQ4 2020","Currency=USD","Period=FQ","BEST_FPERIOD_OVERRIDE=FQ","FILING_STATUS=MR","SCALING_FORMAT=MLN","Sort=A","Dates=H","DateFormat=P","Fill=—","Direction=H","UseDPDF=Y")</f>
        <v>29.1</v>
      </c>
      <c r="J14" s="13">
        <f>_xll.BDH("NBIX US Equity","T12M_NET_CAPITAL_STOCK","FQ1 2021","FQ1 2021","Currency=USD","Period=FQ","BEST_FPERIOD_OVERRIDE=FQ","FILING_STATUS=MR","SCALING_FORMAT=MLN","Sort=A","Dates=H","DateFormat=P","Fill=—","Direction=H","UseDPDF=Y")</f>
        <v>38.299999999999997</v>
      </c>
      <c r="K14" s="13">
        <f>_xll.BDH("NBIX US Equity","T12M_NET_CAPITAL_STOCK","FQ2 2021","FQ2 2021","Currency=USD","Period=FQ","BEST_FPERIOD_OVERRIDE=FQ","FILING_STATUS=MR","SCALING_FORMAT=MLN","Sort=A","Dates=H","DateFormat=P","Fill=—","Direction=H","UseDPDF=Y")</f>
        <v>25.5</v>
      </c>
      <c r="L14" s="13">
        <f>_xll.BDH("NBIX US Equity","T12M_NET_CAPITAL_STOCK","FQ3 2021","FQ3 2021","Currency=USD","Period=FQ","BEST_FPERIOD_OVERRIDE=FQ","FILING_STATUS=MR","SCALING_FORMAT=MLN","Sort=A","Dates=H","DateFormat=P","Fill=—","Direction=H","UseDPDF=Y")</f>
        <v>27.6</v>
      </c>
      <c r="M14" s="13">
        <f>_xll.BDH("NBIX US Equity","T12M_NET_CAPITAL_STOCK","FQ4 2021","FQ4 2021","Currency=USD","Period=FQ","BEST_FPERIOD_OVERRIDE=FQ","FILING_STATUS=MR","SCALING_FORMAT=MLN","Sort=A","Dates=H","DateFormat=P","Fill=—","Direction=H","UseDPDF=Y")</f>
        <v>27.5</v>
      </c>
      <c r="N14" s="13">
        <f>_xll.BDH("NBIX US Equity","T12M_NET_CAPITAL_STOCK","FQ1 2022","FQ1 2022","Currency=USD","Period=FQ","BEST_FPERIOD_OVERRIDE=FQ","FILING_STATUS=MR","SCALING_FORMAT=MLN","Sort=A","Dates=H","DateFormat=P","Fill=—","Direction=H","UseDPDF=Y")</f>
        <v>18.399999999999999</v>
      </c>
      <c r="O14" s="13">
        <f>_xll.BDH("NBIX US Equity","T12M_NET_CAPITAL_STOCK","FQ2 2022","FQ2 2022","Currency=USD","Period=FQ","BEST_FPERIOD_OVERRIDE=FQ","FILING_STATUS=MR","SCALING_FORMAT=MLN","Sort=A","Dates=H","DateFormat=P","Fill=—","Direction=H","UseDPDF=Y")</f>
        <v>18</v>
      </c>
      <c r="P14" s="13">
        <f>_xll.BDH("NBIX US Equity","T12M_NET_CAPITAL_STOCK","FQ3 2022","FQ3 2022","Currency=USD","Period=FQ","BEST_FPERIOD_OVERRIDE=FQ","FILING_STATUS=MR","SCALING_FORMAT=MLN","Sort=A","Dates=H","DateFormat=P","Fill=—","Direction=H","UseDPDF=Y")</f>
        <v>21.9</v>
      </c>
      <c r="Q14" s="13">
        <f>_xll.BDH("NBIX US Equity","T12M_NET_CAPITAL_STOCK","FQ4 2022","FQ4 2022","Currency=USD","Period=FQ","BEST_FPERIOD_OVERRIDE=FQ","FILING_STATUS=MR","SCALING_FORMAT=MLN","Sort=A","Dates=H","DateFormat=P","Fill=—","Direction=H","UseDPDF=Y")</f>
        <v>44.7</v>
      </c>
      <c r="R14" s="13">
        <f>_xll.BDH("NBIX US Equity","T12M_NET_CAPITAL_STOCK","FQ1 2023","FQ1 2023","Currency=USD","Period=FQ","BEST_FPERIOD_OVERRIDE=FQ","FILING_STATUS=MR","SCALING_FORMAT=MLN","Sort=A","Dates=H","DateFormat=P","Fill=—","Direction=H","UseDPDF=Y")</f>
        <v>46.8</v>
      </c>
      <c r="S14" s="13">
        <f>_xll.BDH("NBIX US Equity","T12M_NET_CAPITAL_STOCK","FQ2 2023","FQ2 2023","Currency=USD","Period=FQ","BEST_FPERIOD_OVERRIDE=FQ","FILING_STATUS=MR","SCALING_FORMAT=MLN","Sort=A","Dates=H","DateFormat=P","Fill=—","Direction=H","UseDPDF=Y")</f>
        <v>47.1</v>
      </c>
      <c r="T14" s="13">
        <f>_xll.BDH("NBIX US Equity","T12M_NET_CAPITAL_STOCK","FQ3 2023","FQ3 2023","Currency=USD","Period=FQ","BEST_FPERIOD_OVERRIDE=FQ","FILING_STATUS=MR","SCALING_FORMAT=MLN","Sort=A","Dates=H","DateFormat=P","Fill=—","Direction=H","UseDPDF=Y")</f>
        <v>54.5</v>
      </c>
      <c r="U14" s="13">
        <f>_xll.BDH("NBIX US Equity","T12M_NET_CAPITAL_STOCK","FQ4 2023","FQ4 2023","Currency=USD","Period=FQ","BEST_FPERIOD_OVERRIDE=FQ","FILING_STATUS=MR","SCALING_FORMAT=MLN","Sort=A","Dates=H","DateFormat=P","Fill=—","Direction=H","UseDPDF=Y")</f>
        <v>65.3</v>
      </c>
      <c r="V14" s="13">
        <f>_xll.BDH("NBIX US Equity","T12M_NET_CAPITAL_STOCK","FQ1 2024","FQ1 2024","Currency=USD","Period=FQ","BEST_FPERIOD_OVERRIDE=FQ","FILING_STATUS=MR","SCALING_FORMAT=MLN","Sort=A","Dates=H","DateFormat=P","Fill=—","Direction=H","UseDPDF=Y")</f>
        <v>127</v>
      </c>
      <c r="W14" s="13">
        <f>_xll.BDH("NBIX US Equity","T12M_NET_CAPITAL_STOCK","FQ2 2024","FQ2 2024","Currency=USD","Period=FQ","BEST_FPERIOD_OVERRIDE=FQ","FILING_STATUS=MR","SCALING_FORMAT=MLN","Sort=A","Dates=H","DateFormat=P","Fill=—","Direction=H","UseDPDF=Y")</f>
        <v>139.9</v>
      </c>
      <c r="X14" s="13">
        <f>_xll.BDH("NBIX US Equity","T12M_NET_CAPITAL_STOCK","FQ3 2024","FQ3 2024","Currency=USD","Period=FQ","BEST_FPERIOD_OVERRIDE=FQ","FILING_STATUS=MR","SCALING_FORMAT=MLN","Sort=A","Dates=H","DateFormat=P","Fill=—","Direction=H","UseDPDF=Y")</f>
        <v>147.5</v>
      </c>
      <c r="Y14" s="13">
        <f>_xll.BDH("NBIX US Equity","T12M_NET_CAPITAL_STOCK","FQ4 2024","FQ4 2024","Currency=USD","Period=FQ","BEST_FPERIOD_OVERRIDE=FQ","FILING_STATUS=MR","SCALING_FORMAT=MLN","Sort=A","Dates=H","DateFormat=P","Fill=—","Direction=H","UseDPDF=Y")</f>
        <v>-177.9</v>
      </c>
      <c r="Z14" s="13"/>
      <c r="AA14" s="13"/>
    </row>
    <row r="15" spans="1:27" x14ac:dyDescent="0.25">
      <c r="A15" s="10" t="s">
        <v>1475</v>
      </c>
      <c r="B15" s="10" t="s">
        <v>1476</v>
      </c>
      <c r="C15" s="13">
        <f>_xll.BDH("NBIX US Equity","T12M_CHG_ST_BORROWINGS","FQ2 2019","FQ2 2019","Currency=USD","Period=FQ","BEST_FPERIOD_OVERRIDE=FQ","FILING_STATUS=MR","SCALING_FORMAT=MLN","Sort=A","Dates=H","DateFormat=P","Fill=—","Direction=H","UseDPDF=Y")</f>
        <v>0</v>
      </c>
      <c r="D15" s="13">
        <f>_xll.BDH("NBIX US Equity","T12M_CHG_ST_BORROWINGS","FQ3 2019","FQ3 2019","Currency=USD","Period=FQ","BEST_FPERIOD_OVERRIDE=FQ","FILING_STATUS=MR","SCALING_FORMAT=MLN","Sort=A","Dates=H","DateFormat=P","Fill=—","Direction=H","UseDPDF=Y")</f>
        <v>0</v>
      </c>
      <c r="E15" s="13">
        <f>_xll.BDH("NBIX US Equity","T12M_CHG_ST_BORROWINGS","FQ4 2019","FQ4 2019","Currency=USD","Period=FQ","BEST_FPERIOD_OVERRIDE=FQ","FILING_STATUS=MR","SCALING_FORMAT=MLN","Sort=A","Dates=H","DateFormat=P","Fill=—","Direction=H","UseDPDF=Y")</f>
        <v>0</v>
      </c>
      <c r="F15" s="13">
        <f>_xll.BDH("NBIX US Equity","T12M_CHG_ST_BORROWINGS","FQ1 2020","FQ1 2020","Currency=USD","Period=FQ","BEST_FPERIOD_OVERRIDE=FQ","FILING_STATUS=MR","SCALING_FORMAT=MLN","Sort=A","Dates=H","DateFormat=P","Fill=—","Direction=H","UseDPDF=Y")</f>
        <v>0</v>
      </c>
      <c r="G15" s="13">
        <f>_xll.BDH("NBIX US Equity","T12M_CHG_ST_BORROWINGS","FQ2 2020","FQ2 2020","Currency=USD","Period=FQ","BEST_FPERIOD_OVERRIDE=FQ","FILING_STATUS=MR","SCALING_FORMAT=MLN","Sort=A","Dates=H","DateFormat=P","Fill=—","Direction=H","UseDPDF=Y")</f>
        <v>0</v>
      </c>
      <c r="H15" s="13">
        <f>_xll.BDH("NBIX US Equity","T12M_CHG_ST_BORROWINGS","FQ3 2020","FQ3 2020","Currency=USD","Period=FQ","BEST_FPERIOD_OVERRIDE=FQ","FILING_STATUS=MR","SCALING_FORMAT=MLN","Sort=A","Dates=H","DateFormat=P","Fill=—","Direction=H","UseDPDF=Y")</f>
        <v>0</v>
      </c>
      <c r="I15" s="13">
        <f>_xll.BDH("NBIX US Equity","T12M_CHG_ST_BORROWINGS","FQ4 2020","FQ4 2020","Currency=USD","Period=FQ","BEST_FPERIOD_OVERRIDE=FQ","FILING_STATUS=MR","SCALING_FORMAT=MLN","Sort=A","Dates=H","DateFormat=P","Fill=—","Direction=H","UseDPDF=Y")</f>
        <v>0</v>
      </c>
      <c r="J15" s="13">
        <f>_xll.BDH("NBIX US Equity","T12M_CHG_ST_BORROWINGS","FQ1 2021","FQ1 2021","Currency=USD","Period=FQ","BEST_FPERIOD_OVERRIDE=FQ","FILING_STATUS=MR","SCALING_FORMAT=MLN","Sort=A","Dates=H","DateFormat=P","Fill=—","Direction=H","UseDPDF=Y")</f>
        <v>0</v>
      </c>
      <c r="K15" s="13">
        <f>_xll.BDH("NBIX US Equity","T12M_CHG_ST_BORROWINGS","FQ2 2021","FQ2 2021","Currency=USD","Period=FQ","BEST_FPERIOD_OVERRIDE=FQ","FILING_STATUS=MR","SCALING_FORMAT=MLN","Sort=A","Dates=H","DateFormat=P","Fill=—","Direction=H","UseDPDF=Y")</f>
        <v>0</v>
      </c>
      <c r="L15" s="13">
        <f>_xll.BDH("NBIX US Equity","T12M_CHG_ST_BORROWINGS","FQ3 2021","FQ3 2021","Currency=USD","Period=FQ","BEST_FPERIOD_OVERRIDE=FQ","FILING_STATUS=MR","SCALING_FORMAT=MLN","Sort=A","Dates=H","DateFormat=P","Fill=—","Direction=H","UseDPDF=Y")</f>
        <v>0</v>
      </c>
      <c r="M15" s="13">
        <f>_xll.BDH("NBIX US Equity","T12M_CHG_ST_BORROWINGS","FQ4 2021","FQ4 2021","Currency=USD","Period=FQ","BEST_FPERIOD_OVERRIDE=FQ","FILING_STATUS=MR","SCALING_FORMAT=MLN","Sort=A","Dates=H","DateFormat=P","Fill=—","Direction=H","UseDPDF=Y")</f>
        <v>0</v>
      </c>
      <c r="N15" s="13">
        <f>_xll.BDH("NBIX US Equity","T12M_CHG_ST_BORROWINGS","FQ1 2022","FQ1 2022","Currency=USD","Period=FQ","BEST_FPERIOD_OVERRIDE=FQ","FILING_STATUS=MR","SCALING_FORMAT=MLN","Sort=A","Dates=H","DateFormat=P","Fill=—","Direction=H","UseDPDF=Y")</f>
        <v>0</v>
      </c>
      <c r="O15" s="13">
        <f>_xll.BDH("NBIX US Equity","T12M_CHG_ST_BORROWINGS","FQ2 2022","FQ2 2022","Currency=USD","Period=FQ","BEST_FPERIOD_OVERRIDE=FQ","FILING_STATUS=MR","SCALING_FORMAT=MLN","Sort=A","Dates=H","DateFormat=P","Fill=—","Direction=H","UseDPDF=Y")</f>
        <v>0</v>
      </c>
      <c r="P15" s="13">
        <f>_xll.BDH("NBIX US Equity","T12M_CHG_ST_BORROWINGS","FQ3 2022","FQ3 2022","Currency=USD","Period=FQ","BEST_FPERIOD_OVERRIDE=FQ","FILING_STATUS=MR","SCALING_FORMAT=MLN","Sort=A","Dates=H","DateFormat=P","Fill=—","Direction=H","UseDPDF=Y")</f>
        <v>0</v>
      </c>
      <c r="Q15" s="13">
        <f>_xll.BDH("NBIX US Equity","T12M_CHG_ST_BORROWINGS","FQ4 2022","FQ4 2022","Currency=USD","Period=FQ","BEST_FPERIOD_OVERRIDE=FQ","FILING_STATUS=MR","SCALING_FORMAT=MLN","Sort=A","Dates=H","DateFormat=P","Fill=—","Direction=H","UseDPDF=Y")</f>
        <v>0</v>
      </c>
      <c r="R15" s="13">
        <f>_xll.BDH("NBIX US Equity","T12M_CHG_ST_BORROWINGS","FQ1 2023","FQ1 2023","Currency=USD","Period=FQ","BEST_FPERIOD_OVERRIDE=FQ","FILING_STATUS=MR","SCALING_FORMAT=MLN","Sort=A","Dates=H","DateFormat=P","Fill=—","Direction=H","UseDPDF=Y")</f>
        <v>0</v>
      </c>
      <c r="S15" s="13">
        <f>_xll.BDH("NBIX US Equity","T12M_CHG_ST_BORROWINGS","FQ2 2023","FQ2 2023","Currency=USD","Period=FQ","BEST_FPERIOD_OVERRIDE=FQ","FILING_STATUS=MR","SCALING_FORMAT=MLN","Sort=A","Dates=H","DateFormat=P","Fill=—","Direction=H","UseDPDF=Y")</f>
        <v>0</v>
      </c>
      <c r="T15" s="13">
        <f>_xll.BDH("NBIX US Equity","T12M_CHG_ST_BORROWINGS","FQ3 2023","FQ3 2023","Currency=USD","Period=FQ","BEST_FPERIOD_OVERRIDE=FQ","FILING_STATUS=MR","SCALING_FORMAT=MLN","Sort=A","Dates=H","DateFormat=P","Fill=—","Direction=H","UseDPDF=Y")</f>
        <v>0</v>
      </c>
      <c r="U15" s="13">
        <f>_xll.BDH("NBIX US Equity","T12M_CHG_ST_BORROWINGS","FQ4 2023","FQ4 2023","Currency=USD","Period=FQ","BEST_FPERIOD_OVERRIDE=FQ","FILING_STATUS=MR","SCALING_FORMAT=MLN","Sort=A","Dates=H","DateFormat=P","Fill=—","Direction=H","UseDPDF=Y")</f>
        <v>0</v>
      </c>
      <c r="V15" s="13">
        <f>_xll.BDH("NBIX US Equity","T12M_CHG_ST_BORROWINGS","FQ1 2024","FQ1 2024","Currency=USD","Period=FQ","BEST_FPERIOD_OVERRIDE=FQ","FILING_STATUS=MR","SCALING_FORMAT=MLN","Sort=A","Dates=H","DateFormat=P","Fill=—","Direction=H","UseDPDF=Y")</f>
        <v>0</v>
      </c>
      <c r="W15" s="13">
        <f>_xll.BDH("NBIX US Equity","T12M_CHG_ST_BORROWINGS","FQ2 2024","FQ2 2024","Currency=USD","Period=FQ","BEST_FPERIOD_OVERRIDE=FQ","FILING_STATUS=MR","SCALING_FORMAT=MLN","Sort=A","Dates=H","DateFormat=P","Fill=—","Direction=H","UseDPDF=Y")</f>
        <v>0</v>
      </c>
      <c r="X15" s="13">
        <f>_xll.BDH("NBIX US Equity","T12M_CHG_ST_BORROWINGS","FQ3 2024","FQ3 2024","Currency=USD","Period=FQ","BEST_FPERIOD_OVERRIDE=FQ","FILING_STATUS=MR","SCALING_FORMAT=MLN","Sort=A","Dates=H","DateFormat=P","Fill=—","Direction=H","UseDPDF=Y")</f>
        <v>0</v>
      </c>
      <c r="Y15" s="13">
        <f>_xll.BDH("NBIX US Equity","T12M_CHG_ST_BORROWINGS","FQ4 2024","FQ4 2024","Currency=USD","Period=FQ","BEST_FPERIOD_OVERRIDE=FQ","FILING_STATUS=MR","SCALING_FORMAT=MLN","Sort=A","Dates=H","DateFormat=P","Fill=—","Direction=H","UseDPDF=Y")</f>
        <v>0</v>
      </c>
      <c r="Z15" s="13"/>
      <c r="AA15" s="13"/>
    </row>
    <row r="16" spans="1:27" x14ac:dyDescent="0.25">
      <c r="A16" s="10" t="s">
        <v>1477</v>
      </c>
      <c r="B16" s="10" t="s">
        <v>1478</v>
      </c>
      <c r="C16" s="13">
        <f>_xll.BDH("NBIX US Equity","T12M_CHG_LT_DEBT","FQ2 2019","FQ2 2019","Currency=USD","Period=FQ","BEST_FPERIOD_OVERRIDE=FQ","FILING_STATUS=MR","SCALING_FORMAT=MLN","Sort=A","Dates=H","DateFormat=P","Fill=—","Direction=H","UseDPDF=Y")</f>
        <v>0</v>
      </c>
      <c r="D16" s="13">
        <f>_xll.BDH("NBIX US Equity","T12M_CHG_LT_DEBT","FQ3 2019","FQ3 2019","Currency=USD","Period=FQ","BEST_FPERIOD_OVERRIDE=FQ","FILING_STATUS=MR","SCALING_FORMAT=MLN","Sort=A","Dates=H","DateFormat=P","Fill=—","Direction=H","UseDPDF=Y")</f>
        <v>0</v>
      </c>
      <c r="E16" s="13">
        <f>_xll.BDH("NBIX US Equity","T12M_CHG_LT_DEBT","FQ4 2019","FQ4 2019","Currency=USD","Period=FQ","BEST_FPERIOD_OVERRIDE=FQ","FILING_STATUS=MR","SCALING_FORMAT=MLN","Sort=A","Dates=H","DateFormat=P","Fill=—","Direction=H","UseDPDF=Y")</f>
        <v>0</v>
      </c>
      <c r="F16" s="13">
        <f>_xll.BDH("NBIX US Equity","T12M_CHG_LT_DEBT","FQ1 2020","FQ1 2020","Currency=USD","Period=FQ","BEST_FPERIOD_OVERRIDE=FQ","FILING_STATUS=MR","SCALING_FORMAT=MLN","Sort=A","Dates=H","DateFormat=P","Fill=—","Direction=H","UseDPDF=Y")</f>
        <v>0</v>
      </c>
      <c r="G16" s="13">
        <f>_xll.BDH("NBIX US Equity","T12M_CHG_LT_DEBT","FQ2 2020","FQ2 2020","Currency=USD","Period=FQ","BEST_FPERIOD_OVERRIDE=FQ","FILING_STATUS=MR","SCALING_FORMAT=MLN","Sort=A","Dates=H","DateFormat=P","Fill=—","Direction=H","UseDPDF=Y")</f>
        <v>0</v>
      </c>
      <c r="H16" s="13">
        <f>_xll.BDH("NBIX US Equity","T12M_CHG_LT_DEBT","FQ3 2020","FQ3 2020","Currency=USD","Period=FQ","BEST_FPERIOD_OVERRIDE=FQ","FILING_STATUS=MR","SCALING_FORMAT=MLN","Sort=A","Dates=H","DateFormat=P","Fill=—","Direction=H","UseDPDF=Y")</f>
        <v>0</v>
      </c>
      <c r="I16" s="13">
        <f>_xll.BDH("NBIX US Equity","T12M_CHG_LT_DEBT","FQ4 2020","FQ4 2020","Currency=USD","Period=FQ","BEST_FPERIOD_OVERRIDE=FQ","FILING_STATUS=MR","SCALING_FORMAT=MLN","Sort=A","Dates=H","DateFormat=P","Fill=—","Direction=H","UseDPDF=Y")</f>
        <v>-186.9</v>
      </c>
      <c r="J16" s="13">
        <f>_xll.BDH("NBIX US Equity","T12M_CHG_LT_DEBT","FQ1 2021","FQ1 2021","Currency=USD","Period=FQ","BEST_FPERIOD_OVERRIDE=FQ","FILING_STATUS=MR","SCALING_FORMAT=MLN","Sort=A","Dates=H","DateFormat=P","Fill=—","Direction=H","UseDPDF=Y")</f>
        <v>-187</v>
      </c>
      <c r="K16" s="13">
        <f>_xll.BDH("NBIX US Equity","T12M_CHG_LT_DEBT","FQ2 2021","FQ2 2021","Currency=USD","Period=FQ","BEST_FPERIOD_OVERRIDE=FQ","FILING_STATUS=MR","SCALING_FORMAT=MLN","Sort=A","Dates=H","DateFormat=P","Fill=—","Direction=H","UseDPDF=Y")</f>
        <v>-186.9</v>
      </c>
      <c r="L16" s="13">
        <f>_xll.BDH("NBIX US Equity","T12M_CHG_LT_DEBT","FQ3 2021","FQ3 2021","Currency=USD","Period=FQ","BEST_FPERIOD_OVERRIDE=FQ","FILING_STATUS=MR","SCALING_FORMAT=MLN","Sort=A","Dates=H","DateFormat=P","Fill=—","Direction=H","UseDPDF=Y")</f>
        <v>-186.9</v>
      </c>
      <c r="M16" s="13">
        <f>_xll.BDH("NBIX US Equity","T12M_CHG_LT_DEBT","FQ4 2021","FQ4 2021","Currency=USD","Period=FQ","BEST_FPERIOD_OVERRIDE=FQ","FILING_STATUS=MR","SCALING_FORMAT=MLN","Sort=A","Dates=H","DateFormat=P","Fill=—","Direction=H","UseDPDF=Y")</f>
        <v>-0.1</v>
      </c>
      <c r="N16" s="13">
        <f>_xll.BDH("NBIX US Equity","T12M_CHG_LT_DEBT","FQ1 2022","FQ1 2022","Currency=USD","Period=FQ","BEST_FPERIOD_OVERRIDE=FQ","FILING_STATUS=MR","SCALING_FORMAT=MLN","Sort=A","Dates=H","DateFormat=P","Fill=—","Direction=H","UseDPDF=Y")</f>
        <v>0</v>
      </c>
      <c r="O16" s="13">
        <f>_xll.BDH("NBIX US Equity","T12M_CHG_LT_DEBT","FQ2 2022","FQ2 2022","Currency=USD","Period=FQ","BEST_FPERIOD_OVERRIDE=FQ","FILING_STATUS=MR","SCALING_FORMAT=MLN","Sort=A","Dates=H","DateFormat=P","Fill=—","Direction=H","UseDPDF=Y")</f>
        <v>-0.1</v>
      </c>
      <c r="P16" s="13">
        <f>_xll.BDH("NBIX US Equity","T12M_CHG_LT_DEBT","FQ3 2022","FQ3 2022","Currency=USD","Period=FQ","BEST_FPERIOD_OVERRIDE=FQ","FILING_STATUS=MR","SCALING_FORMAT=MLN","Sort=A","Dates=H","DateFormat=P","Fill=—","Direction=H","UseDPDF=Y")</f>
        <v>-0.1</v>
      </c>
      <c r="Q16" s="13">
        <f>_xll.BDH("NBIX US Equity","T12M_CHG_LT_DEBT","FQ4 2022","FQ4 2022","Currency=USD","Period=FQ","BEST_FPERIOD_OVERRIDE=FQ","FILING_STATUS=MR","SCALING_FORMAT=MLN","Sort=A","Dates=H","DateFormat=P","Fill=—","Direction=H","UseDPDF=Y")</f>
        <v>-279</v>
      </c>
      <c r="R16" s="13">
        <f>_xll.BDH("NBIX US Equity","T12M_CHG_LT_DEBT","FQ1 2023","FQ1 2023","Currency=USD","Period=FQ","BEST_FPERIOD_OVERRIDE=FQ","FILING_STATUS=MR","SCALING_FORMAT=MLN","Sort=A","Dates=H","DateFormat=P","Fill=—","Direction=H","UseDPDF=Y")</f>
        <v>-279</v>
      </c>
      <c r="S16" s="13">
        <f>_xll.BDH("NBIX US Equity","T12M_CHG_LT_DEBT","FQ2 2023","FQ2 2023","Currency=USD","Period=FQ","BEST_FPERIOD_OVERRIDE=FQ","FILING_STATUS=MR","SCALING_FORMAT=MLN","Sort=A","Dates=H","DateFormat=P","Fill=—","Direction=H","UseDPDF=Y")</f>
        <v>-279</v>
      </c>
      <c r="T16" s="13">
        <f>_xll.BDH("NBIX US Equity","T12M_CHG_LT_DEBT","FQ3 2023","FQ3 2023","Currency=USD","Period=FQ","BEST_FPERIOD_OVERRIDE=FQ","FILING_STATUS=MR","SCALING_FORMAT=MLN","Sort=A","Dates=H","DateFormat=P","Fill=—","Direction=H","UseDPDF=Y")</f>
        <v>-279</v>
      </c>
      <c r="U16" s="13">
        <f>_xll.BDH("NBIX US Equity","T12M_CHG_LT_DEBT","FQ4 2023","FQ4 2023","Currency=USD","Period=FQ","BEST_FPERIOD_OVERRIDE=FQ","FILING_STATUS=MR","SCALING_FORMAT=MLN","Sort=A","Dates=H","DateFormat=P","Fill=—","Direction=H","UseDPDF=Y")</f>
        <v>0</v>
      </c>
      <c r="V16" s="13">
        <f>_xll.BDH("NBIX US Equity","T12M_CHG_LT_DEBT","FQ1 2024","FQ1 2024","Currency=USD","Period=FQ","BEST_FPERIOD_OVERRIDE=FQ","FILING_STATUS=MR","SCALING_FORMAT=MLN","Sort=A","Dates=H","DateFormat=P","Fill=—","Direction=H","UseDPDF=Y")</f>
        <v>0</v>
      </c>
      <c r="W16" s="13">
        <f>_xll.BDH("NBIX US Equity","T12M_CHG_LT_DEBT","FQ2 2024","FQ2 2024","Currency=USD","Period=FQ","BEST_FPERIOD_OVERRIDE=FQ","FILING_STATUS=MR","SCALING_FORMAT=MLN","Sort=A","Dates=H","DateFormat=P","Fill=—","Direction=H","UseDPDF=Y")</f>
        <v>0</v>
      </c>
      <c r="X16" s="13">
        <f>_xll.BDH("NBIX US Equity","T12M_CHG_LT_DEBT","FQ3 2024","FQ3 2024","Currency=USD","Period=FQ","BEST_FPERIOD_OVERRIDE=FQ","FILING_STATUS=MR","SCALING_FORMAT=MLN","Sort=A","Dates=H","DateFormat=P","Fill=—","Direction=H","UseDPDF=Y")</f>
        <v>0</v>
      </c>
      <c r="Y16" s="13">
        <f>_xll.BDH("NBIX US Equity","T12M_CHG_LT_DEBT","FQ4 2024","FQ4 2024","Currency=USD","Period=FQ","BEST_FPERIOD_OVERRIDE=FQ","FILING_STATUS=MR","SCALING_FORMAT=MLN","Sort=A","Dates=H","DateFormat=P","Fill=—","Direction=H","UseDPDF=Y")</f>
        <v>-308.8</v>
      </c>
      <c r="Z16" s="13"/>
      <c r="AA16" s="13"/>
    </row>
    <row r="17" spans="1:27" x14ac:dyDescent="0.25">
      <c r="A17" s="10" t="s">
        <v>1235</v>
      </c>
      <c r="B17" s="10" t="s">
        <v>1479</v>
      </c>
      <c r="C17" s="13">
        <f>_xll.BDH("NBIX US Equity","T12_OTHER_CFF","FQ2 2019","FQ2 2019","Currency=USD","Period=FQ","BEST_FPERIOD_OVERRIDE=FQ","FILING_STATUS=MR","SCALING_FORMAT=MLN","Sort=A","Dates=H","DateFormat=P","Fill=—","Direction=H","UseDPDF=Y")</f>
        <v>0</v>
      </c>
      <c r="D17" s="13">
        <f>_xll.BDH("NBIX US Equity","T12_OTHER_CFF","FQ3 2019","FQ3 2019","Currency=USD","Period=FQ","BEST_FPERIOD_OVERRIDE=FQ","FILING_STATUS=MR","SCALING_FORMAT=MLN","Sort=A","Dates=H","DateFormat=P","Fill=—","Direction=H","UseDPDF=Y")</f>
        <v>0</v>
      </c>
      <c r="E17" s="13">
        <f>_xll.BDH("NBIX US Equity","T12_OTHER_CFF","FQ4 2019","FQ4 2019","Currency=USD","Period=FQ","BEST_FPERIOD_OVERRIDE=FQ","FILING_STATUS=MR","SCALING_FORMAT=MLN","Sort=A","Dates=H","DateFormat=P","Fill=—","Direction=H","UseDPDF=Y")</f>
        <v>0</v>
      </c>
      <c r="F17" s="13">
        <f>_xll.BDH("NBIX US Equity","T12_OTHER_CFF","FQ1 2020","FQ1 2020","Currency=USD","Period=FQ","BEST_FPERIOD_OVERRIDE=FQ","FILING_STATUS=MR","SCALING_FORMAT=MLN","Sort=A","Dates=H","DateFormat=P","Fill=—","Direction=H","UseDPDF=Y")</f>
        <v>0</v>
      </c>
      <c r="G17" s="13">
        <f>_xll.BDH("NBIX US Equity","T12_OTHER_CFF","FQ2 2020","FQ2 2020","Currency=USD","Period=FQ","BEST_FPERIOD_OVERRIDE=FQ","FILING_STATUS=MR","SCALING_FORMAT=MLN","Sort=A","Dates=H","DateFormat=P","Fill=—","Direction=H","UseDPDF=Y")</f>
        <v>0</v>
      </c>
      <c r="H17" s="13">
        <f>_xll.BDH("NBIX US Equity","T12_OTHER_CFF","FQ3 2020","FQ3 2020","Currency=USD","Period=FQ","BEST_FPERIOD_OVERRIDE=FQ","FILING_STATUS=MR","SCALING_FORMAT=MLN","Sort=A","Dates=H","DateFormat=P","Fill=—","Direction=H","UseDPDF=Y")</f>
        <v>0</v>
      </c>
      <c r="I17" s="13">
        <f>_xll.BDH("NBIX US Equity","T12_OTHER_CFF","FQ4 2020","FQ4 2020","Currency=USD","Period=FQ","BEST_FPERIOD_OVERRIDE=FQ","FILING_STATUS=MR","SCALING_FORMAT=MLN","Sort=A","Dates=H","DateFormat=P","Fill=—","Direction=H","UseDPDF=Y")</f>
        <v>0</v>
      </c>
      <c r="J17" s="13">
        <f>_xll.BDH("NBIX US Equity","T12_OTHER_CFF","FQ1 2021","FQ1 2021","Currency=USD","Period=FQ","BEST_FPERIOD_OVERRIDE=FQ","FILING_STATUS=MR","SCALING_FORMAT=MLN","Sort=A","Dates=H","DateFormat=P","Fill=—","Direction=H","UseDPDF=Y")</f>
        <v>0</v>
      </c>
      <c r="K17" s="13">
        <f>_xll.BDH("NBIX US Equity","T12_OTHER_CFF","FQ2 2021","FQ2 2021","Currency=USD","Period=FQ","BEST_FPERIOD_OVERRIDE=FQ","FILING_STATUS=MR","SCALING_FORMAT=MLN","Sort=A","Dates=H","DateFormat=P","Fill=—","Direction=H","UseDPDF=Y")</f>
        <v>-0.1</v>
      </c>
      <c r="L17" s="13">
        <f>_xll.BDH("NBIX US Equity","T12_OTHER_CFF","FQ3 2021","FQ3 2021","Currency=USD","Period=FQ","BEST_FPERIOD_OVERRIDE=FQ","FILING_STATUS=MR","SCALING_FORMAT=MLN","Sort=A","Dates=H","DateFormat=P","Fill=—","Direction=H","UseDPDF=Y")</f>
        <v>-0.1</v>
      </c>
      <c r="M17" s="13">
        <f>_xll.BDH("NBIX US Equity","T12_OTHER_CFF","FQ4 2021","FQ4 2021","Currency=USD","Period=FQ","BEST_FPERIOD_OVERRIDE=FQ","FILING_STATUS=MR","SCALING_FORMAT=MLN","Sort=A","Dates=H","DateFormat=P","Fill=—","Direction=H","UseDPDF=Y")</f>
        <v>0</v>
      </c>
      <c r="N17" s="13">
        <f>_xll.BDH("NBIX US Equity","T12_OTHER_CFF","FQ1 2022","FQ1 2022","Currency=USD","Period=FQ","BEST_FPERIOD_OVERRIDE=FQ","FILING_STATUS=MR","SCALING_FORMAT=MLN","Sort=A","Dates=H","DateFormat=P","Fill=—","Direction=H","UseDPDF=Y")</f>
        <v>0</v>
      </c>
      <c r="O17" s="13">
        <f>_xll.BDH("NBIX US Equity","T12_OTHER_CFF","FQ2 2022","FQ2 2022","Currency=USD","Period=FQ","BEST_FPERIOD_OVERRIDE=FQ","FILING_STATUS=MR","SCALING_FORMAT=MLN","Sort=A","Dates=H","DateFormat=P","Fill=—","Direction=H","UseDPDF=Y")</f>
        <v>-278.89999999999998</v>
      </c>
      <c r="P17" s="13">
        <f>_xll.BDH("NBIX US Equity","T12_OTHER_CFF","FQ3 2022","FQ3 2022","Currency=USD","Period=FQ","BEST_FPERIOD_OVERRIDE=FQ","FILING_STATUS=MR","SCALING_FORMAT=MLN","Sort=A","Dates=H","DateFormat=P","Fill=—","Direction=H","UseDPDF=Y")</f>
        <v>-278.89999999999998</v>
      </c>
      <c r="Q17" s="13">
        <f>_xll.BDH("NBIX US Equity","T12_OTHER_CFF","FQ4 2022","FQ4 2022","Currency=USD","Period=FQ","BEST_FPERIOD_OVERRIDE=FQ","FILING_STATUS=MR","SCALING_FORMAT=MLN","Sort=A","Dates=H","DateFormat=P","Fill=—","Direction=H","UseDPDF=Y")</f>
        <v>-1.3</v>
      </c>
      <c r="R17" s="13">
        <f>_xll.BDH("NBIX US Equity","T12_OTHER_CFF","FQ1 2023","FQ1 2023","Currency=USD","Period=FQ","BEST_FPERIOD_OVERRIDE=FQ","FILING_STATUS=MR","SCALING_FORMAT=MLN","Sort=A","Dates=H","DateFormat=P","Fill=—","Direction=H","UseDPDF=Y")</f>
        <v>-1.3</v>
      </c>
      <c r="S17" s="13">
        <f>_xll.BDH("NBIX US Equity","T12_OTHER_CFF","FQ2 2023","FQ2 2023","Currency=USD","Period=FQ","BEST_FPERIOD_OVERRIDE=FQ","FILING_STATUS=MR","SCALING_FORMAT=MLN","Sort=A","Dates=H","DateFormat=P","Fill=—","Direction=H","UseDPDF=Y")</f>
        <v>277.7</v>
      </c>
      <c r="T17" s="13">
        <f>_xll.BDH("NBIX US Equity","T12_OTHER_CFF","FQ3 2023","FQ3 2023","Currency=USD","Period=FQ","BEST_FPERIOD_OVERRIDE=FQ","FILING_STATUS=MR","SCALING_FORMAT=MLN","Sort=A","Dates=H","DateFormat=P","Fill=—","Direction=H","UseDPDF=Y")</f>
        <v>277.7</v>
      </c>
      <c r="U17" s="13">
        <f>_xll.BDH("NBIX US Equity","T12_OTHER_CFF","FQ4 2023","FQ4 2023","Currency=USD","Period=FQ","BEST_FPERIOD_OVERRIDE=FQ","FILING_STATUS=MR","SCALING_FORMAT=MLN","Sort=A","Dates=H","DateFormat=P","Fill=—","Direction=H","UseDPDF=Y")</f>
        <v>0.3</v>
      </c>
      <c r="V17" s="13">
        <f>_xll.BDH("NBIX US Equity","T12_OTHER_CFF","FQ1 2024","FQ1 2024","Currency=USD","Period=FQ","BEST_FPERIOD_OVERRIDE=FQ","FILING_STATUS=MR","SCALING_FORMAT=MLN","Sort=A","Dates=H","DateFormat=P","Fill=—","Direction=H","UseDPDF=Y")</f>
        <v>0.3</v>
      </c>
      <c r="W17" s="13">
        <f>_xll.BDH("NBIX US Equity","T12_OTHER_CFF","FQ2 2024","FQ2 2024","Currency=USD","Period=FQ","BEST_FPERIOD_OVERRIDE=FQ","FILING_STATUS=MR","SCALING_FORMAT=MLN","Sort=A","Dates=H","DateFormat=P","Fill=—","Direction=H","UseDPDF=Y")</f>
        <v>-308.5</v>
      </c>
      <c r="X17" s="13">
        <f>_xll.BDH("NBIX US Equity","T12_OTHER_CFF","FQ3 2024","FQ3 2024","Currency=USD","Period=FQ","BEST_FPERIOD_OVERRIDE=FQ","FILING_STATUS=MR","SCALING_FORMAT=MLN","Sort=A","Dates=H","DateFormat=P","Fill=—","Direction=H","UseDPDF=Y")</f>
        <v>-308.2</v>
      </c>
      <c r="Y17" s="13">
        <f>_xll.BDH("NBIX US Equity","T12_OTHER_CFF","FQ4 2024","FQ4 2024","Currency=USD","Period=FQ","BEST_FPERIOD_OVERRIDE=FQ","FILING_STATUS=MR","SCALING_FORMAT=MLN","Sort=A","Dates=H","DateFormat=P","Fill=—","Direction=H","UseDPDF=Y")</f>
        <v>0</v>
      </c>
      <c r="Z17" s="13"/>
      <c r="AA17" s="13"/>
    </row>
    <row r="18" spans="1:27" x14ac:dyDescent="0.25">
      <c r="A18" s="6" t="s">
        <v>1480</v>
      </c>
      <c r="B18" s="6" t="s">
        <v>1481</v>
      </c>
      <c r="C18" s="19">
        <f>_xll.BDH("NBIX US Equity","T12_CFF","FQ2 2019","FQ2 2019","Currency=USD","Period=FQ","BEST_FPERIOD_OVERRIDE=FQ","FILING_STATUS=MR","SCALING_FORMAT=MLN","Sort=A","Dates=H","DateFormat=P","Fill=—","Direction=H","UseDPDF=Y")</f>
        <v>14.137</v>
      </c>
      <c r="D18" s="19">
        <f>_xll.BDH("NBIX US Equity","T12_CFF","FQ3 2019","FQ3 2019","Currency=USD","Period=FQ","BEST_FPERIOD_OVERRIDE=FQ","FILING_STATUS=MR","SCALING_FORMAT=MLN","Sort=A","Dates=H","DateFormat=P","Fill=—","Direction=H","UseDPDF=Y")</f>
        <v>21.811</v>
      </c>
      <c r="E18" s="19">
        <f>_xll.BDH("NBIX US Equity","T12_CFF","FQ4 2019","FQ4 2019","Currency=USD","Period=FQ","BEST_FPERIOD_OVERRIDE=FQ","FILING_STATUS=MR","SCALING_FORMAT=MLN","Sort=A","Dates=H","DateFormat=P","Fill=—","Direction=H","UseDPDF=Y")</f>
        <v>32.4</v>
      </c>
      <c r="F18" s="19">
        <f>_xll.BDH("NBIX US Equity","T12_CFF","FQ1 2020","FQ1 2020","Currency=USD","Period=FQ","BEST_FPERIOD_OVERRIDE=FQ","FILING_STATUS=MR","SCALING_FORMAT=MLN","Sort=A","Dates=H","DateFormat=P","Fill=—","Direction=H","UseDPDF=Y")</f>
        <v>35.819000000000003</v>
      </c>
      <c r="G18" s="19">
        <f>_xll.BDH("NBIX US Equity","T12_CFF","FQ2 2020","FQ2 2020","Currency=USD","Period=FQ","BEST_FPERIOD_OVERRIDE=FQ","FILING_STATUS=MR","SCALING_FORMAT=MLN","Sort=A","Dates=H","DateFormat=P","Fill=—","Direction=H","UseDPDF=Y")</f>
        <v>47.335000000000001</v>
      </c>
      <c r="H18" s="19">
        <f>_xll.BDH("NBIX US Equity","T12_CFF","FQ3 2020","FQ3 2020","Currency=USD","Period=FQ","BEST_FPERIOD_OVERRIDE=FQ","FILING_STATUS=MR","SCALING_FORMAT=MLN","Sort=A","Dates=H","DateFormat=P","Fill=—","Direction=H","UseDPDF=Y")</f>
        <v>39.570999999999998</v>
      </c>
      <c r="I18" s="19">
        <f>_xll.BDH("NBIX US Equity","T12_CFF","FQ4 2020","FQ4 2020","Currency=USD","Period=FQ","BEST_FPERIOD_OVERRIDE=FQ","FILING_STATUS=MR","SCALING_FORMAT=MLN","Sort=A","Dates=H","DateFormat=P","Fill=—","Direction=H","UseDPDF=Y")</f>
        <v>-157.80000000000001</v>
      </c>
      <c r="J18" s="19">
        <f>_xll.BDH("NBIX US Equity","T12_CFF","FQ1 2021","FQ1 2021","Currency=USD","Period=FQ","BEST_FPERIOD_OVERRIDE=FQ","FILING_STATUS=MR","SCALING_FORMAT=MLN","Sort=A","Dates=H","DateFormat=P","Fill=—","Direction=H","UseDPDF=Y")</f>
        <v>-148.69999999999999</v>
      </c>
      <c r="K18" s="19">
        <f>_xll.BDH("NBIX US Equity","T12_CFF","FQ2 2021","FQ2 2021","Currency=USD","Period=FQ","BEST_FPERIOD_OVERRIDE=FQ","FILING_STATUS=MR","SCALING_FORMAT=MLN","Sort=A","Dates=H","DateFormat=P","Fill=—","Direction=H","UseDPDF=Y")</f>
        <v>-161.5</v>
      </c>
      <c r="L18" s="19">
        <f>_xll.BDH("NBIX US Equity","T12_CFF","FQ3 2021","FQ3 2021","Currency=USD","Period=FQ","BEST_FPERIOD_OVERRIDE=FQ","FILING_STATUS=MR","SCALING_FORMAT=MLN","Sort=A","Dates=H","DateFormat=P","Fill=—","Direction=H","UseDPDF=Y")</f>
        <v>-159.4</v>
      </c>
      <c r="M18" s="19">
        <f>_xll.BDH("NBIX US Equity","T12_CFF","FQ4 2021","FQ4 2021","Currency=USD","Period=FQ","BEST_FPERIOD_OVERRIDE=FQ","FILING_STATUS=MR","SCALING_FORMAT=MLN","Sort=A","Dates=H","DateFormat=P","Fill=—","Direction=H","UseDPDF=Y")</f>
        <v>27.4</v>
      </c>
      <c r="N18" s="19">
        <f>_xll.BDH("NBIX US Equity","T12_CFF","FQ1 2022","FQ1 2022","Currency=USD","Period=FQ","BEST_FPERIOD_OVERRIDE=FQ","FILING_STATUS=MR","SCALING_FORMAT=MLN","Sort=A","Dates=H","DateFormat=P","Fill=—","Direction=H","UseDPDF=Y")</f>
        <v>18.399999999999999</v>
      </c>
      <c r="O18" s="19">
        <f>_xll.BDH("NBIX US Equity","T12_CFF","FQ2 2022","FQ2 2022","Currency=USD","Period=FQ","BEST_FPERIOD_OVERRIDE=FQ","FILING_STATUS=MR","SCALING_FORMAT=MLN","Sort=A","Dates=H","DateFormat=P","Fill=—","Direction=H","UseDPDF=Y")</f>
        <v>-261</v>
      </c>
      <c r="P18" s="19">
        <f>_xll.BDH("NBIX US Equity","T12_CFF","FQ3 2022","FQ3 2022","Currency=USD","Period=FQ","BEST_FPERIOD_OVERRIDE=FQ","FILING_STATUS=MR","SCALING_FORMAT=MLN","Sort=A","Dates=H","DateFormat=P","Fill=—","Direction=H","UseDPDF=Y")</f>
        <v>-257.10000000000002</v>
      </c>
      <c r="Q18" s="19">
        <f>_xll.BDH("NBIX US Equity","T12_CFF","FQ4 2022","FQ4 2022","Currency=USD","Period=FQ","BEST_FPERIOD_OVERRIDE=FQ","FILING_STATUS=MR","SCALING_FORMAT=MLN","Sort=A","Dates=H","DateFormat=P","Fill=—","Direction=H","UseDPDF=Y")</f>
        <v>-235.6</v>
      </c>
      <c r="R18" s="19">
        <f>_xll.BDH("NBIX US Equity","T12_CFF","FQ1 2023","FQ1 2023","Currency=USD","Period=FQ","BEST_FPERIOD_OVERRIDE=FQ","FILING_STATUS=MR","SCALING_FORMAT=MLN","Sort=A","Dates=H","DateFormat=P","Fill=—","Direction=H","UseDPDF=Y")</f>
        <v>-233.5</v>
      </c>
      <c r="S18" s="19">
        <f>_xll.BDH("NBIX US Equity","T12_CFF","FQ2 2023","FQ2 2023","Currency=USD","Period=FQ","BEST_FPERIOD_OVERRIDE=FQ","FILING_STATUS=MR","SCALING_FORMAT=MLN","Sort=A","Dates=H","DateFormat=P","Fill=—","Direction=H","UseDPDF=Y")</f>
        <v>45.8</v>
      </c>
      <c r="T18" s="19">
        <f>_xll.BDH("NBIX US Equity","T12_CFF","FQ3 2023","FQ3 2023","Currency=USD","Period=FQ","BEST_FPERIOD_OVERRIDE=FQ","FILING_STATUS=MR","SCALING_FORMAT=MLN","Sort=A","Dates=H","DateFormat=P","Fill=—","Direction=H","UseDPDF=Y")</f>
        <v>53.2</v>
      </c>
      <c r="U18" s="19">
        <f>_xll.BDH("NBIX US Equity","T12_CFF","FQ4 2023","FQ4 2023","Currency=USD","Period=FQ","BEST_FPERIOD_OVERRIDE=FQ","FILING_STATUS=MR","SCALING_FORMAT=MLN","Sort=A","Dates=H","DateFormat=P","Fill=—","Direction=H","UseDPDF=Y")</f>
        <v>65.599999999999994</v>
      </c>
      <c r="V18" s="19">
        <f>_xll.BDH("NBIX US Equity","T12_CFF","FQ1 2024","FQ1 2024","Currency=USD","Period=FQ","BEST_FPERIOD_OVERRIDE=FQ","FILING_STATUS=MR","SCALING_FORMAT=MLN","Sort=A","Dates=H","DateFormat=P","Fill=—","Direction=H","UseDPDF=Y")</f>
        <v>127.3</v>
      </c>
      <c r="W18" s="19">
        <f>_xll.BDH("NBIX US Equity","T12_CFF","FQ2 2024","FQ2 2024","Currency=USD","Period=FQ","BEST_FPERIOD_OVERRIDE=FQ","FILING_STATUS=MR","SCALING_FORMAT=MLN","Sort=A","Dates=H","DateFormat=P","Fill=—","Direction=H","UseDPDF=Y")</f>
        <v>-168.6</v>
      </c>
      <c r="X18" s="19">
        <f>_xll.BDH("NBIX US Equity","T12_CFF","FQ3 2024","FQ3 2024","Currency=USD","Period=FQ","BEST_FPERIOD_OVERRIDE=FQ","FILING_STATUS=MR","SCALING_FORMAT=MLN","Sort=A","Dates=H","DateFormat=P","Fill=—","Direction=H","UseDPDF=Y")</f>
        <v>-160.69999999999999</v>
      </c>
      <c r="Y18" s="19">
        <f>_xll.BDH("NBIX US Equity","T12_CFF","FQ4 2024","FQ4 2024","Currency=USD","Period=FQ","BEST_FPERIOD_OVERRIDE=FQ","FILING_STATUS=MR","SCALING_FORMAT=MLN","Sort=A","Dates=H","DateFormat=P","Fill=—","Direction=H","UseDPDF=Y")</f>
        <v>-486.7</v>
      </c>
      <c r="Z18" s="19"/>
      <c r="AA18" s="19"/>
    </row>
    <row r="19" spans="1:27" x14ac:dyDescent="0.25">
      <c r="A19" s="11" t="s">
        <v>60</v>
      </c>
      <c r="B19" s="11" t="s">
        <v>61</v>
      </c>
      <c r="C19" s="25">
        <f>_xll.BDH("NBIX US Equity","HISTORICAL_MARKET_CAP","FQ2 2019","FQ2 2019","Currency=USD","Period=FQ","BEST_FPERIOD_OVERRIDE=FQ","FILING_STATUS=MR","SCALING_FORMAT=MLN","Sort=A","Dates=H","DateFormat=P","Fill=—","Direction=H","UseDPDF=Y")</f>
        <v>7728.3845000000001</v>
      </c>
      <c r="D19" s="25">
        <f>_xll.BDH("NBIX US Equity","HISTORICAL_MARKET_CAP","FQ3 2019","FQ3 2019","Currency=USD","Period=FQ","BEST_FPERIOD_OVERRIDE=FQ","FILING_STATUS=MR","SCALING_FORMAT=MLN","Sort=A","Dates=H","DateFormat=P","Fill=—","Direction=H","UseDPDF=Y")</f>
        <v>8297.3287999999993</v>
      </c>
      <c r="E19" s="25">
        <f>_xll.BDH("NBIX US Equity","HISTORICAL_MARKET_CAP","FQ4 2019","FQ4 2019","Currency=USD","Period=FQ","BEST_FPERIOD_OVERRIDE=FQ","FILING_STATUS=MR","SCALING_FORMAT=MLN","Sort=A","Dates=H","DateFormat=P","Fill=—","Direction=H","UseDPDF=Y")</f>
        <v>9921.3269999999993</v>
      </c>
      <c r="F19" s="25">
        <f>_xll.BDH("NBIX US Equity","HISTORICAL_MARKET_CAP","FQ1 2020","FQ1 2020","Currency=USD","Period=FQ","BEST_FPERIOD_OVERRIDE=FQ","FILING_STATUS=MR","SCALING_FORMAT=MLN","Sort=A","Dates=H","DateFormat=P","Fill=—","Direction=H","UseDPDF=Y")</f>
        <v>8031.84</v>
      </c>
      <c r="G19" s="25">
        <f>_xll.BDH("NBIX US Equity","HISTORICAL_MARKET_CAP","FQ2 2020","FQ2 2020","Currency=USD","Period=FQ","BEST_FPERIOD_OVERRIDE=FQ","FILING_STATUS=MR","SCALING_FORMAT=MLN","Sort=A","Dates=H","DateFormat=P","Fill=—","Direction=H","UseDPDF=Y")</f>
        <v>11370.4</v>
      </c>
      <c r="H19" s="25">
        <f>_xll.BDH("NBIX US Equity","HISTORICAL_MARKET_CAP","FQ3 2020","FQ3 2020","Currency=USD","Period=FQ","BEST_FPERIOD_OVERRIDE=FQ","FILING_STATUS=MR","SCALING_FORMAT=MLN","Sort=A","Dates=H","DateFormat=P","Fill=—","Direction=H","UseDPDF=Y")</f>
        <v>8981.3439999999991</v>
      </c>
      <c r="I19" s="25">
        <f>_xll.BDH("NBIX US Equity","HISTORICAL_MARKET_CAP","FQ4 2020","FQ4 2020","Currency=USD","Period=FQ","BEST_FPERIOD_OVERRIDE=FQ","FILING_STATUS=MR","SCALING_FORMAT=MLN","Sort=A","Dates=H","DateFormat=P","Fill=—","Direction=H","UseDPDF=Y")</f>
        <v>8961.9750000000004</v>
      </c>
      <c r="J19" s="25">
        <f>_xll.BDH("NBIX US Equity","HISTORICAL_MARKET_CAP","FQ1 2021","FQ1 2021","Currency=USD","Period=FQ","BEST_FPERIOD_OVERRIDE=FQ","FILING_STATUS=MR","SCALING_FORMAT=MLN","Sort=A","Dates=H","DateFormat=P","Fill=—","Direction=H","UseDPDF=Y")</f>
        <v>9190.125</v>
      </c>
      <c r="K19" s="25">
        <f>_xll.BDH("NBIX US Equity","HISTORICAL_MARKET_CAP","FQ2 2021","FQ2 2021","Currency=USD","Period=FQ","BEST_FPERIOD_OVERRIDE=FQ","FILING_STATUS=MR","SCALING_FORMAT=MLN","Sort=A","Dates=H","DateFormat=P","Fill=—","Direction=H","UseDPDF=Y")</f>
        <v>9206.4719999999998</v>
      </c>
      <c r="L19" s="25">
        <f>_xll.BDH("NBIX US Equity","HISTORICAL_MARKET_CAP","FQ3 2021","FQ3 2021","Currency=USD","Period=FQ","BEST_FPERIOD_OVERRIDE=FQ","FILING_STATUS=MR","SCALING_FORMAT=MLN","Sort=A","Dates=H","DateFormat=P","Fill=—","Direction=H","UseDPDF=Y")</f>
        <v>9092.268</v>
      </c>
      <c r="M19" s="25">
        <f>_xll.BDH("NBIX US Equity","HISTORICAL_MARKET_CAP","FQ4 2021","FQ4 2021","Currency=USD","Period=FQ","BEST_FPERIOD_OVERRIDE=FQ","FILING_STATUS=MR","SCALING_FORMAT=MLN","Sort=A","Dates=H","DateFormat=P","Fill=—","Direction=H","UseDPDF=Y")</f>
        <v>8082.6329999999998</v>
      </c>
      <c r="N19" s="25">
        <f>_xll.BDH("NBIX US Equity","HISTORICAL_MARKET_CAP","FQ1 2022","FQ1 2022","Currency=USD","Period=FQ","BEST_FPERIOD_OVERRIDE=FQ","FILING_STATUS=MR","SCALING_FORMAT=MLN","Sort=A","Dates=H","DateFormat=P","Fill=—","Direction=H","UseDPDF=Y")</f>
        <v>8953.125</v>
      </c>
      <c r="O19" s="25">
        <f>_xll.BDH("NBIX US Equity","HISTORICAL_MARKET_CAP","FQ2 2022","FQ2 2022","Currency=USD","Period=FQ","BEST_FPERIOD_OVERRIDE=FQ","FILING_STATUS=MR","SCALING_FORMAT=MLN","Sort=A","Dates=H","DateFormat=P","Fill=—","Direction=H","UseDPDF=Y")</f>
        <v>9319.0879999999997</v>
      </c>
      <c r="P19" s="25">
        <f>_xll.BDH("NBIX US Equity","HISTORICAL_MARKET_CAP","FQ3 2022","FQ3 2022","Currency=USD","Period=FQ","BEST_FPERIOD_OVERRIDE=FQ","FILING_STATUS=MR","SCALING_FORMAT=MLN","Sort=A","Dates=H","DateFormat=P","Fill=—","Direction=H","UseDPDF=Y")</f>
        <v>10206.781000000001</v>
      </c>
      <c r="Q19" s="25">
        <f>_xll.BDH("NBIX US Equity","HISTORICAL_MARKET_CAP","FQ4 2022","FQ4 2022","Currency=USD","Period=FQ","BEST_FPERIOD_OVERRIDE=FQ","FILING_STATUS=MR","SCALING_FORMAT=MLN","Sort=A","Dates=H","DateFormat=P","Fill=—","Direction=H","UseDPDF=Y")</f>
        <v>11525.96</v>
      </c>
      <c r="R19" s="25">
        <f>_xll.BDH("NBIX US Equity","HISTORICAL_MARKET_CAP","FQ1 2023","FQ1 2023","Currency=USD","Period=FQ","BEST_FPERIOD_OVERRIDE=FQ","FILING_STATUS=MR","SCALING_FORMAT=MLN","Sort=A","Dates=H","DateFormat=P","Fill=—","Direction=H","UseDPDF=Y")</f>
        <v>9868.9500000000007</v>
      </c>
      <c r="S19" s="25">
        <f>_xll.BDH("NBIX US Equity","HISTORICAL_MARKET_CAP","FQ2 2023","FQ2 2023","Currency=USD","Period=FQ","BEST_FPERIOD_OVERRIDE=FQ","FILING_STATUS=MR","SCALING_FORMAT=MLN","Sort=A","Dates=H","DateFormat=P","Fill=—","Direction=H","UseDPDF=Y")</f>
        <v>9203.68</v>
      </c>
      <c r="T19" s="25">
        <f>_xll.BDH("NBIX US Equity","HISTORICAL_MARKET_CAP","FQ3 2023","FQ3 2023","Currency=USD","Period=FQ","BEST_FPERIOD_OVERRIDE=FQ","FILING_STATUS=MR","SCALING_FORMAT=MLN","Sort=A","Dates=H","DateFormat=P","Fill=—","Direction=H","UseDPDF=Y")</f>
        <v>11047.5</v>
      </c>
      <c r="U19" s="25">
        <f>_xll.BDH("NBIX US Equity","HISTORICAL_MARKET_CAP","FQ4 2023","FQ4 2023","Currency=USD","Period=FQ","BEST_FPERIOD_OVERRIDE=FQ","FILING_STATUS=MR","SCALING_FORMAT=MLN","Sort=A","Dates=H","DateFormat=P","Fill=—","Direction=H","UseDPDF=Y")</f>
        <v>13004.712</v>
      </c>
      <c r="V19" s="25">
        <f>_xll.BDH("NBIX US Equity","HISTORICAL_MARKET_CAP","FQ1 2024","FQ1 2024","Currency=USD","Period=FQ","BEST_FPERIOD_OVERRIDE=FQ","FILING_STATUS=MR","SCALING_FORMAT=MLN","Sort=A","Dates=H","DateFormat=P","Fill=—","Direction=H","UseDPDF=Y")</f>
        <v>13874.752</v>
      </c>
      <c r="W19" s="25">
        <f>_xll.BDH("NBIX US Equity","HISTORICAL_MARKET_CAP","FQ2 2024","FQ2 2024","Currency=USD","Period=FQ","BEST_FPERIOD_OVERRIDE=FQ","FILING_STATUS=MR","SCALING_FORMAT=MLN","Sort=A","Dates=H","DateFormat=P","Fill=—","Direction=H","UseDPDF=Y")</f>
        <v>13890.903</v>
      </c>
      <c r="X19" s="25">
        <f>_xll.BDH("NBIX US Equity","HISTORICAL_MARKET_CAP","FQ3 2024","FQ3 2024","Currency=USD","Period=FQ","BEST_FPERIOD_OVERRIDE=FQ","FILING_STATUS=MR","SCALING_FORMAT=MLN","Sort=A","Dates=H","DateFormat=P","Fill=—","Direction=H","UseDPDF=Y")</f>
        <v>11660.263999999999</v>
      </c>
      <c r="Y19" s="25">
        <f>_xll.BDH("NBIX US Equity","HISTORICAL_MARKET_CAP","FQ4 2024","FQ4 2024","Currency=USD","Period=FQ","BEST_FPERIOD_OVERRIDE=FQ","FILING_STATUS=MR","SCALING_FORMAT=MLN","Sort=A","Dates=H","DateFormat=P","Fill=—","Direction=H","UseDPDF=Y")</f>
        <v>13568.1</v>
      </c>
      <c r="Z19" s="25"/>
      <c r="AA19" s="25"/>
    </row>
    <row r="20" spans="1:27" x14ac:dyDescent="0.25">
      <c r="A20" s="6" t="s">
        <v>1482</v>
      </c>
      <c r="B20" s="6" t="s">
        <v>1483</v>
      </c>
      <c r="C20" s="20">
        <f>_xll.BDH("NBIX US Equity","SHAREHOLDER_YIELD_CFF","FQ2 2019","FQ2 2019","Currency=USD","Period=FQ","BEST_FPERIOD_OVERRIDE=FQ","FILING_STATUS=MR","Sort=A","Dates=H","DateFormat=P","Fill=—","Direction=H","UseDPDF=Y")</f>
        <v>-0.18290000000000001</v>
      </c>
      <c r="D20" s="20">
        <f>_xll.BDH("NBIX US Equity","SHAREHOLDER_YIELD_CFF","FQ3 2019","FQ3 2019","Currency=USD","Period=FQ","BEST_FPERIOD_OVERRIDE=FQ","FILING_STATUS=MR","Sort=A","Dates=H","DateFormat=P","Fill=—","Direction=H","UseDPDF=Y")</f>
        <v>-0.26290000000000002</v>
      </c>
      <c r="E20" s="20">
        <f>_xll.BDH("NBIX US Equity","SHAREHOLDER_YIELD_CFF","FQ4 2019","FQ4 2019","Currency=USD","Period=FQ","BEST_FPERIOD_OVERRIDE=FQ","FILING_STATUS=MR","Sort=A","Dates=H","DateFormat=P","Fill=—","Direction=H","UseDPDF=Y")</f>
        <v>-0.3266</v>
      </c>
      <c r="F20" s="20">
        <f>_xll.BDH("NBIX US Equity","SHAREHOLDER_YIELD_CFF","FQ1 2020","FQ1 2020","Currency=USD","Period=FQ","BEST_FPERIOD_OVERRIDE=FQ","FILING_STATUS=MR","Sort=A","Dates=H","DateFormat=P","Fill=—","Direction=H","UseDPDF=Y")</f>
        <v>-0.44600000000000001</v>
      </c>
      <c r="G20" s="20">
        <f>_xll.BDH("NBIX US Equity","SHAREHOLDER_YIELD_CFF","FQ2 2020","FQ2 2020","Currency=USD","Period=FQ","BEST_FPERIOD_OVERRIDE=FQ","FILING_STATUS=MR","Sort=A","Dates=H","DateFormat=P","Fill=—","Direction=H","UseDPDF=Y")</f>
        <v>-0.4163</v>
      </c>
      <c r="H20" s="20">
        <f>_xll.BDH("NBIX US Equity","SHAREHOLDER_YIELD_CFF","FQ3 2020","FQ3 2020","Currency=USD","Period=FQ","BEST_FPERIOD_OVERRIDE=FQ","FILING_STATUS=MR","Sort=A","Dates=H","DateFormat=P","Fill=—","Direction=H","UseDPDF=Y")</f>
        <v>-0.44059999999999999</v>
      </c>
      <c r="I20" s="20">
        <f>_xll.BDH("NBIX US Equity","SHAREHOLDER_YIELD_CFF","FQ4 2020","FQ4 2020","Currency=USD","Period=FQ","BEST_FPERIOD_OVERRIDE=FQ","FILING_STATUS=MR","Sort=A","Dates=H","DateFormat=P","Fill=—","Direction=H","UseDPDF=Y")</f>
        <v>1.7607999999999999</v>
      </c>
      <c r="J20" s="20">
        <f>_xll.BDH("NBIX US Equity","SHAREHOLDER_YIELD_CFF","FQ1 2021","FQ1 2021","Currency=USD","Period=FQ","BEST_FPERIOD_OVERRIDE=FQ","FILING_STATUS=MR","Sort=A","Dates=H","DateFormat=P","Fill=—","Direction=H","UseDPDF=Y")</f>
        <v>1.6180000000000001</v>
      </c>
      <c r="K20" s="20">
        <f>_xll.BDH("NBIX US Equity","SHAREHOLDER_YIELD_CFF","FQ2 2021","FQ2 2021","Currency=USD","Period=FQ","BEST_FPERIOD_OVERRIDE=FQ","FILING_STATUS=MR","Sort=A","Dates=H","DateFormat=P","Fill=—","Direction=H","UseDPDF=Y")</f>
        <v>1.7542</v>
      </c>
      <c r="L20" s="20">
        <f>_xll.BDH("NBIX US Equity","SHAREHOLDER_YIELD_CFF","FQ3 2021","FQ3 2021","Currency=USD","Period=FQ","BEST_FPERIOD_OVERRIDE=FQ","FILING_STATUS=MR","Sort=A","Dates=H","DateFormat=P","Fill=—","Direction=H","UseDPDF=Y")</f>
        <v>1.7531000000000001</v>
      </c>
      <c r="M20" s="20">
        <f>_xll.BDH("NBIX US Equity","SHAREHOLDER_YIELD_CFF","FQ4 2021","FQ4 2021","Currency=USD","Period=FQ","BEST_FPERIOD_OVERRIDE=FQ","FILING_STATUS=MR","Sort=A","Dates=H","DateFormat=P","Fill=—","Direction=H","UseDPDF=Y")</f>
        <v>-0.33900000000000002</v>
      </c>
      <c r="N20" s="20">
        <f>_xll.BDH("NBIX US Equity","SHAREHOLDER_YIELD_CFF","FQ1 2022","FQ1 2022","Currency=USD","Period=FQ","BEST_FPERIOD_OVERRIDE=FQ","FILING_STATUS=MR","Sort=A","Dates=H","DateFormat=P","Fill=—","Direction=H","UseDPDF=Y")</f>
        <v>-0.20549999999999999</v>
      </c>
      <c r="O20" s="20">
        <f>_xll.BDH("NBIX US Equity","SHAREHOLDER_YIELD_CFF","FQ2 2022","FQ2 2022","Currency=USD","Period=FQ","BEST_FPERIOD_OVERRIDE=FQ","FILING_STATUS=MR","Sort=A","Dates=H","DateFormat=P","Fill=—","Direction=H","UseDPDF=Y")</f>
        <v>2.8007</v>
      </c>
      <c r="P20" s="20">
        <f>_xll.BDH("NBIX US Equity","SHAREHOLDER_YIELD_CFF","FQ3 2022","FQ3 2022","Currency=USD","Period=FQ","BEST_FPERIOD_OVERRIDE=FQ","FILING_STATUS=MR","Sort=A","Dates=H","DateFormat=P","Fill=—","Direction=H","UseDPDF=Y")</f>
        <v>2.5188999999999999</v>
      </c>
      <c r="Q20" s="20">
        <f>_xll.BDH("NBIX US Equity","SHAREHOLDER_YIELD_CFF","FQ4 2022","FQ4 2022","Currency=USD","Period=FQ","BEST_FPERIOD_OVERRIDE=FQ","FILING_STATUS=MR","Sort=A","Dates=H","DateFormat=P","Fill=—","Direction=H","UseDPDF=Y")</f>
        <v>2.0440999999999998</v>
      </c>
      <c r="R20" s="20">
        <f>_xll.BDH("NBIX US Equity","SHAREHOLDER_YIELD_CFF","FQ1 2023","FQ1 2023","Currency=USD","Period=FQ","BEST_FPERIOD_OVERRIDE=FQ","FILING_STATUS=MR","Sort=A","Dates=H","DateFormat=P","Fill=—","Direction=H","UseDPDF=Y")</f>
        <v>2.3660000000000001</v>
      </c>
      <c r="S20" s="20">
        <f>_xll.BDH("NBIX US Equity","SHAREHOLDER_YIELD_CFF","FQ2 2023","FQ2 2023","Currency=USD","Period=FQ","BEST_FPERIOD_OVERRIDE=FQ","FILING_STATUS=MR","Sort=A","Dates=H","DateFormat=P","Fill=—","Direction=H","UseDPDF=Y")</f>
        <v>-0.49759999999999999</v>
      </c>
      <c r="T20" s="20">
        <f>_xll.BDH("NBIX US Equity","SHAREHOLDER_YIELD_CFF","FQ3 2023","FQ3 2023","Currency=USD","Period=FQ","BEST_FPERIOD_OVERRIDE=FQ","FILING_STATUS=MR","Sort=A","Dates=H","DateFormat=P","Fill=—","Direction=H","UseDPDF=Y")</f>
        <v>-0.48159999999999997</v>
      </c>
      <c r="U20" s="20">
        <f>_xll.BDH("NBIX US Equity","SHAREHOLDER_YIELD_CFF","FQ4 2023","FQ4 2023","Currency=USD","Period=FQ","BEST_FPERIOD_OVERRIDE=FQ","FILING_STATUS=MR","Sort=A","Dates=H","DateFormat=P","Fill=—","Direction=H","UseDPDF=Y")</f>
        <v>-0.50439999999999996</v>
      </c>
      <c r="V20" s="20">
        <f>_xll.BDH("NBIX US Equity","SHAREHOLDER_YIELD_CFF","FQ1 2024","FQ1 2024","Currency=USD","Period=FQ","BEST_FPERIOD_OVERRIDE=FQ","FILING_STATUS=MR","Sort=A","Dates=H","DateFormat=P","Fill=—","Direction=H","UseDPDF=Y")</f>
        <v>-0.91749999999999998</v>
      </c>
      <c r="W20" s="20">
        <f>_xll.BDH("NBIX US Equity","SHAREHOLDER_YIELD_CFF","FQ2 2024","FQ2 2024","Currency=USD","Period=FQ","BEST_FPERIOD_OVERRIDE=FQ","FILING_STATUS=MR","Sort=A","Dates=H","DateFormat=P","Fill=—","Direction=H","UseDPDF=Y")</f>
        <v>1.2137</v>
      </c>
      <c r="X20" s="20">
        <f>_xll.BDH("NBIX US Equity","SHAREHOLDER_YIELD_CFF","FQ3 2024","FQ3 2024","Currency=USD","Period=FQ","BEST_FPERIOD_OVERRIDE=FQ","FILING_STATUS=MR","Sort=A","Dates=H","DateFormat=P","Fill=—","Direction=H","UseDPDF=Y")</f>
        <v>1.3782000000000001</v>
      </c>
      <c r="Y20" s="20">
        <f>_xll.BDH("NBIX US Equity","SHAREHOLDER_YIELD_CFF","FQ4 2024","FQ4 2024","Currency=USD","Period=FQ","BEST_FPERIOD_OVERRIDE=FQ","FILING_STATUS=MR","Sort=A","Dates=H","DateFormat=P","Fill=—","Direction=H","UseDPDF=Y")</f>
        <v>3.5871</v>
      </c>
      <c r="Z20" s="20"/>
      <c r="AA20" s="20"/>
    </row>
    <row r="21" spans="1:27" x14ac:dyDescent="0.25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0" t="s">
        <v>1484</v>
      </c>
      <c r="B22" s="10" t="s">
        <v>1472</v>
      </c>
      <c r="C22" s="13">
        <f>_xll.BDH("NBIX US Equity","T12M_DVDS_PAID","FQ2 2019","FQ2 2019","Currency=USD","Period=FQ","BEST_FPERIOD_OVERRIDE=FQ","FILING_STATUS=MR","SCALING_FORMAT=MLN","Sort=A","Dates=H","DateFormat=P","Fill=—","Direction=H","UseDPDF=Y")</f>
        <v>0</v>
      </c>
      <c r="D22" s="13">
        <f>_xll.BDH("NBIX US Equity","T12M_DVDS_PAID","FQ3 2019","FQ3 2019","Currency=USD","Period=FQ","BEST_FPERIOD_OVERRIDE=FQ","FILING_STATUS=MR","SCALING_FORMAT=MLN","Sort=A","Dates=H","DateFormat=P","Fill=—","Direction=H","UseDPDF=Y")</f>
        <v>0</v>
      </c>
      <c r="E22" s="13">
        <f>_xll.BDH("NBIX US Equity","T12M_DVDS_PAID","FQ4 2019","FQ4 2019","Currency=USD","Period=FQ","BEST_FPERIOD_OVERRIDE=FQ","FILING_STATUS=MR","SCALING_FORMAT=MLN","Sort=A","Dates=H","DateFormat=P","Fill=—","Direction=H","UseDPDF=Y")</f>
        <v>0</v>
      </c>
      <c r="F22" s="13">
        <f>_xll.BDH("NBIX US Equity","T12M_DVDS_PAID","FQ1 2020","FQ1 2020","Currency=USD","Period=FQ","BEST_FPERIOD_OVERRIDE=FQ","FILING_STATUS=MR","SCALING_FORMAT=MLN","Sort=A","Dates=H","DateFormat=P","Fill=—","Direction=H","UseDPDF=Y")</f>
        <v>0</v>
      </c>
      <c r="G22" s="13">
        <f>_xll.BDH("NBIX US Equity","T12M_DVDS_PAID","FQ2 2020","FQ2 2020","Currency=USD","Period=FQ","BEST_FPERIOD_OVERRIDE=FQ","FILING_STATUS=MR","SCALING_FORMAT=MLN","Sort=A","Dates=H","DateFormat=P","Fill=—","Direction=H","UseDPDF=Y")</f>
        <v>0</v>
      </c>
      <c r="H22" s="13">
        <f>_xll.BDH("NBIX US Equity","T12M_DVDS_PAID","FQ3 2020","FQ3 2020","Currency=USD","Period=FQ","BEST_FPERIOD_OVERRIDE=FQ","FILING_STATUS=MR","SCALING_FORMAT=MLN","Sort=A","Dates=H","DateFormat=P","Fill=—","Direction=H","UseDPDF=Y")</f>
        <v>0</v>
      </c>
      <c r="I22" s="13">
        <f>_xll.BDH("NBIX US Equity","T12M_DVDS_PAID","FQ4 2020","FQ4 2020","Currency=USD","Period=FQ","BEST_FPERIOD_OVERRIDE=FQ","FILING_STATUS=MR","SCALING_FORMAT=MLN","Sort=A","Dates=H","DateFormat=P","Fill=—","Direction=H","UseDPDF=Y")</f>
        <v>0</v>
      </c>
      <c r="J22" s="13">
        <f>_xll.BDH("NBIX US Equity","T12M_DVDS_PAID","FQ1 2021","FQ1 2021","Currency=USD","Period=FQ","BEST_FPERIOD_OVERRIDE=FQ","FILING_STATUS=MR","SCALING_FORMAT=MLN","Sort=A","Dates=H","DateFormat=P","Fill=—","Direction=H","UseDPDF=Y")</f>
        <v>0</v>
      </c>
      <c r="K22" s="13">
        <f>_xll.BDH("NBIX US Equity","T12M_DVDS_PAID","FQ2 2021","FQ2 2021","Currency=USD","Period=FQ","BEST_FPERIOD_OVERRIDE=FQ","FILING_STATUS=MR","SCALING_FORMAT=MLN","Sort=A","Dates=H","DateFormat=P","Fill=—","Direction=H","UseDPDF=Y")</f>
        <v>0</v>
      </c>
      <c r="L22" s="13">
        <f>_xll.BDH("NBIX US Equity","T12M_DVDS_PAID","FQ3 2021","FQ3 2021","Currency=USD","Period=FQ","BEST_FPERIOD_OVERRIDE=FQ","FILING_STATUS=MR","SCALING_FORMAT=MLN","Sort=A","Dates=H","DateFormat=P","Fill=—","Direction=H","UseDPDF=Y")</f>
        <v>0</v>
      </c>
      <c r="M22" s="13">
        <f>_xll.BDH("NBIX US Equity","T12M_DVDS_PAID","FQ4 2021","FQ4 2021","Currency=USD","Period=FQ","BEST_FPERIOD_OVERRIDE=FQ","FILING_STATUS=MR","SCALING_FORMAT=MLN","Sort=A","Dates=H","DateFormat=P","Fill=—","Direction=H","UseDPDF=Y")</f>
        <v>0</v>
      </c>
      <c r="N22" s="13">
        <f>_xll.BDH("NBIX US Equity","T12M_DVDS_PAID","FQ1 2022","FQ1 2022","Currency=USD","Period=FQ","BEST_FPERIOD_OVERRIDE=FQ","FILING_STATUS=MR","SCALING_FORMAT=MLN","Sort=A","Dates=H","DateFormat=P","Fill=—","Direction=H","UseDPDF=Y")</f>
        <v>0</v>
      </c>
      <c r="O22" s="13">
        <f>_xll.BDH("NBIX US Equity","T12M_DVDS_PAID","FQ2 2022","FQ2 2022","Currency=USD","Period=FQ","BEST_FPERIOD_OVERRIDE=FQ","FILING_STATUS=MR","SCALING_FORMAT=MLN","Sort=A","Dates=H","DateFormat=P","Fill=—","Direction=H","UseDPDF=Y")</f>
        <v>0</v>
      </c>
      <c r="P22" s="13">
        <f>_xll.BDH("NBIX US Equity","T12M_DVDS_PAID","FQ3 2022","FQ3 2022","Currency=USD","Period=FQ","BEST_FPERIOD_OVERRIDE=FQ","FILING_STATUS=MR","SCALING_FORMAT=MLN","Sort=A","Dates=H","DateFormat=P","Fill=—","Direction=H","UseDPDF=Y")</f>
        <v>0</v>
      </c>
      <c r="Q22" s="13">
        <f>_xll.BDH("NBIX US Equity","T12M_DVDS_PAID","FQ4 2022","FQ4 2022","Currency=USD","Period=FQ","BEST_FPERIOD_OVERRIDE=FQ","FILING_STATUS=MR","SCALING_FORMAT=MLN","Sort=A","Dates=H","DateFormat=P","Fill=—","Direction=H","UseDPDF=Y")</f>
        <v>0</v>
      </c>
      <c r="R22" s="13">
        <f>_xll.BDH("NBIX US Equity","T12M_DVDS_PAID","FQ1 2023","FQ1 2023","Currency=USD","Period=FQ","BEST_FPERIOD_OVERRIDE=FQ","FILING_STATUS=MR","SCALING_FORMAT=MLN","Sort=A","Dates=H","DateFormat=P","Fill=—","Direction=H","UseDPDF=Y")</f>
        <v>0</v>
      </c>
      <c r="S22" s="13">
        <f>_xll.BDH("NBIX US Equity","T12M_DVDS_PAID","FQ2 2023","FQ2 2023","Currency=USD","Period=FQ","BEST_FPERIOD_OVERRIDE=FQ","FILING_STATUS=MR","SCALING_FORMAT=MLN","Sort=A","Dates=H","DateFormat=P","Fill=—","Direction=H","UseDPDF=Y")</f>
        <v>0</v>
      </c>
      <c r="T22" s="13">
        <f>_xll.BDH("NBIX US Equity","T12M_DVDS_PAID","FQ3 2023","FQ3 2023","Currency=USD","Period=FQ","BEST_FPERIOD_OVERRIDE=FQ","FILING_STATUS=MR","SCALING_FORMAT=MLN","Sort=A","Dates=H","DateFormat=P","Fill=—","Direction=H","UseDPDF=Y")</f>
        <v>0</v>
      </c>
      <c r="U22" s="13">
        <f>_xll.BDH("NBIX US Equity","T12M_DVDS_PAID","FQ4 2023","FQ4 2023","Currency=USD","Period=FQ","BEST_FPERIOD_OVERRIDE=FQ","FILING_STATUS=MR","SCALING_FORMAT=MLN","Sort=A","Dates=H","DateFormat=P","Fill=—","Direction=H","UseDPDF=Y")</f>
        <v>0</v>
      </c>
      <c r="V22" s="13">
        <f>_xll.BDH("NBIX US Equity","T12M_DVDS_PAID","FQ1 2024","FQ1 2024","Currency=USD","Period=FQ","BEST_FPERIOD_OVERRIDE=FQ","FILING_STATUS=MR","SCALING_FORMAT=MLN","Sort=A","Dates=H","DateFormat=P","Fill=—","Direction=H","UseDPDF=Y")</f>
        <v>0</v>
      </c>
      <c r="W22" s="13">
        <f>_xll.BDH("NBIX US Equity","T12M_DVDS_PAID","FQ2 2024","FQ2 2024","Currency=USD","Period=FQ","BEST_FPERIOD_OVERRIDE=FQ","FILING_STATUS=MR","SCALING_FORMAT=MLN","Sort=A","Dates=H","DateFormat=P","Fill=—","Direction=H","UseDPDF=Y")</f>
        <v>0</v>
      </c>
      <c r="X22" s="13">
        <f>_xll.BDH("NBIX US Equity","T12M_DVDS_PAID","FQ3 2024","FQ3 2024","Currency=USD","Period=FQ","BEST_FPERIOD_OVERRIDE=FQ","FILING_STATUS=MR","SCALING_FORMAT=MLN","Sort=A","Dates=H","DateFormat=P","Fill=—","Direction=H","UseDPDF=Y")</f>
        <v>0</v>
      </c>
      <c r="Y22" s="13">
        <f>_xll.BDH("NBIX US Equity","T12M_DVDS_PAID","FQ4 2024","FQ4 2024","Currency=USD","Period=FQ","BEST_FPERIOD_OVERRIDE=FQ","FILING_STATUS=MR","SCALING_FORMAT=MLN","Sort=A","Dates=H","DateFormat=P","Fill=—","Direction=H","UseDPDF=Y")</f>
        <v>0</v>
      </c>
      <c r="Z22" s="13"/>
      <c r="AA22" s="13"/>
    </row>
    <row r="23" spans="1:27" x14ac:dyDescent="0.25">
      <c r="A23" s="10" t="s">
        <v>1485</v>
      </c>
      <c r="B23" s="10" t="s">
        <v>1474</v>
      </c>
      <c r="C23" s="13">
        <f>_xll.BDH("NBIX US Equity","T12M_NET_CAPITAL_STOCK","FQ2 2019","FQ2 2019","Currency=USD","Period=FQ","BEST_FPERIOD_OVERRIDE=FQ","FILING_STATUS=MR","SCALING_FORMAT=MLN","Sort=A","Dates=H","DateFormat=P","Fill=—","Direction=H","UseDPDF=Y")</f>
        <v>14.137</v>
      </c>
      <c r="D23" s="13">
        <f>_xll.BDH("NBIX US Equity","T12M_NET_CAPITAL_STOCK","FQ3 2019","FQ3 2019","Currency=USD","Period=FQ","BEST_FPERIOD_OVERRIDE=FQ","FILING_STATUS=MR","SCALING_FORMAT=MLN","Sort=A","Dates=H","DateFormat=P","Fill=—","Direction=H","UseDPDF=Y")</f>
        <v>21.811</v>
      </c>
      <c r="E23" s="13">
        <f>_xll.BDH("NBIX US Equity","T12M_NET_CAPITAL_STOCK","FQ4 2019","FQ4 2019","Currency=USD","Period=FQ","BEST_FPERIOD_OVERRIDE=FQ","FILING_STATUS=MR","SCALING_FORMAT=MLN","Sort=A","Dates=H","DateFormat=P","Fill=—","Direction=H","UseDPDF=Y")</f>
        <v>32.4</v>
      </c>
      <c r="F23" s="13">
        <f>_xll.BDH("NBIX US Equity","T12M_NET_CAPITAL_STOCK","FQ1 2020","FQ1 2020","Currency=USD","Period=FQ","BEST_FPERIOD_OVERRIDE=FQ","FILING_STATUS=MR","SCALING_FORMAT=MLN","Sort=A","Dates=H","DateFormat=P","Fill=—","Direction=H","UseDPDF=Y")</f>
        <v>35.819000000000003</v>
      </c>
      <c r="G23" s="13">
        <f>_xll.BDH("NBIX US Equity","T12M_NET_CAPITAL_STOCK","FQ2 2020","FQ2 2020","Currency=USD","Period=FQ","BEST_FPERIOD_OVERRIDE=FQ","FILING_STATUS=MR","SCALING_FORMAT=MLN","Sort=A","Dates=H","DateFormat=P","Fill=—","Direction=H","UseDPDF=Y")</f>
        <v>47.335000000000001</v>
      </c>
      <c r="H23" s="13">
        <f>_xll.BDH("NBIX US Equity","T12M_NET_CAPITAL_STOCK","FQ3 2020","FQ3 2020","Currency=USD","Period=FQ","BEST_FPERIOD_OVERRIDE=FQ","FILING_STATUS=MR","SCALING_FORMAT=MLN","Sort=A","Dates=H","DateFormat=P","Fill=—","Direction=H","UseDPDF=Y")</f>
        <v>39.570999999999998</v>
      </c>
      <c r="I23" s="13">
        <f>_xll.BDH("NBIX US Equity","T12M_NET_CAPITAL_STOCK","FQ4 2020","FQ4 2020","Currency=USD","Period=FQ","BEST_FPERIOD_OVERRIDE=FQ","FILING_STATUS=MR","SCALING_FORMAT=MLN","Sort=A","Dates=H","DateFormat=P","Fill=—","Direction=H","UseDPDF=Y")</f>
        <v>29.1</v>
      </c>
      <c r="J23" s="13">
        <f>_xll.BDH("NBIX US Equity","T12M_NET_CAPITAL_STOCK","FQ1 2021","FQ1 2021","Currency=USD","Period=FQ","BEST_FPERIOD_OVERRIDE=FQ","FILING_STATUS=MR","SCALING_FORMAT=MLN","Sort=A","Dates=H","DateFormat=P","Fill=—","Direction=H","UseDPDF=Y")</f>
        <v>38.299999999999997</v>
      </c>
      <c r="K23" s="13">
        <f>_xll.BDH("NBIX US Equity","T12M_NET_CAPITAL_STOCK","FQ2 2021","FQ2 2021","Currency=USD","Period=FQ","BEST_FPERIOD_OVERRIDE=FQ","FILING_STATUS=MR","SCALING_FORMAT=MLN","Sort=A","Dates=H","DateFormat=P","Fill=—","Direction=H","UseDPDF=Y")</f>
        <v>25.5</v>
      </c>
      <c r="L23" s="13">
        <f>_xll.BDH("NBIX US Equity","T12M_NET_CAPITAL_STOCK","FQ3 2021","FQ3 2021","Currency=USD","Period=FQ","BEST_FPERIOD_OVERRIDE=FQ","FILING_STATUS=MR","SCALING_FORMAT=MLN","Sort=A","Dates=H","DateFormat=P","Fill=—","Direction=H","UseDPDF=Y")</f>
        <v>27.6</v>
      </c>
      <c r="M23" s="13">
        <f>_xll.BDH("NBIX US Equity","T12M_NET_CAPITAL_STOCK","FQ4 2021","FQ4 2021","Currency=USD","Period=FQ","BEST_FPERIOD_OVERRIDE=FQ","FILING_STATUS=MR","SCALING_FORMAT=MLN","Sort=A","Dates=H","DateFormat=P","Fill=—","Direction=H","UseDPDF=Y")</f>
        <v>27.5</v>
      </c>
      <c r="N23" s="13">
        <f>_xll.BDH("NBIX US Equity","T12M_NET_CAPITAL_STOCK","FQ1 2022","FQ1 2022","Currency=USD","Period=FQ","BEST_FPERIOD_OVERRIDE=FQ","FILING_STATUS=MR","SCALING_FORMAT=MLN","Sort=A","Dates=H","DateFormat=P","Fill=—","Direction=H","UseDPDF=Y")</f>
        <v>18.399999999999999</v>
      </c>
      <c r="O23" s="13">
        <f>_xll.BDH("NBIX US Equity","T12M_NET_CAPITAL_STOCK","FQ2 2022","FQ2 2022","Currency=USD","Period=FQ","BEST_FPERIOD_OVERRIDE=FQ","FILING_STATUS=MR","SCALING_FORMAT=MLN","Sort=A","Dates=H","DateFormat=P","Fill=—","Direction=H","UseDPDF=Y")</f>
        <v>18</v>
      </c>
      <c r="P23" s="13">
        <f>_xll.BDH("NBIX US Equity","T12M_NET_CAPITAL_STOCK","FQ3 2022","FQ3 2022","Currency=USD","Period=FQ","BEST_FPERIOD_OVERRIDE=FQ","FILING_STATUS=MR","SCALING_FORMAT=MLN","Sort=A","Dates=H","DateFormat=P","Fill=—","Direction=H","UseDPDF=Y")</f>
        <v>21.9</v>
      </c>
      <c r="Q23" s="13">
        <f>_xll.BDH("NBIX US Equity","T12M_NET_CAPITAL_STOCK","FQ4 2022","FQ4 2022","Currency=USD","Period=FQ","BEST_FPERIOD_OVERRIDE=FQ","FILING_STATUS=MR","SCALING_FORMAT=MLN","Sort=A","Dates=H","DateFormat=P","Fill=—","Direction=H","UseDPDF=Y")</f>
        <v>44.7</v>
      </c>
      <c r="R23" s="13">
        <f>_xll.BDH("NBIX US Equity","T12M_NET_CAPITAL_STOCK","FQ1 2023","FQ1 2023","Currency=USD","Period=FQ","BEST_FPERIOD_OVERRIDE=FQ","FILING_STATUS=MR","SCALING_FORMAT=MLN","Sort=A","Dates=H","DateFormat=P","Fill=—","Direction=H","UseDPDF=Y")</f>
        <v>46.8</v>
      </c>
      <c r="S23" s="13">
        <f>_xll.BDH("NBIX US Equity","T12M_NET_CAPITAL_STOCK","FQ2 2023","FQ2 2023","Currency=USD","Period=FQ","BEST_FPERIOD_OVERRIDE=FQ","FILING_STATUS=MR","SCALING_FORMAT=MLN","Sort=A","Dates=H","DateFormat=P","Fill=—","Direction=H","UseDPDF=Y")</f>
        <v>47.1</v>
      </c>
      <c r="T23" s="13">
        <f>_xll.BDH("NBIX US Equity","T12M_NET_CAPITAL_STOCK","FQ3 2023","FQ3 2023","Currency=USD","Period=FQ","BEST_FPERIOD_OVERRIDE=FQ","FILING_STATUS=MR","SCALING_FORMAT=MLN","Sort=A","Dates=H","DateFormat=P","Fill=—","Direction=H","UseDPDF=Y")</f>
        <v>54.5</v>
      </c>
      <c r="U23" s="13">
        <f>_xll.BDH("NBIX US Equity","T12M_NET_CAPITAL_STOCK","FQ4 2023","FQ4 2023","Currency=USD","Period=FQ","BEST_FPERIOD_OVERRIDE=FQ","FILING_STATUS=MR","SCALING_FORMAT=MLN","Sort=A","Dates=H","DateFormat=P","Fill=—","Direction=H","UseDPDF=Y")</f>
        <v>65.3</v>
      </c>
      <c r="V23" s="13">
        <f>_xll.BDH("NBIX US Equity","T12M_NET_CAPITAL_STOCK","FQ1 2024","FQ1 2024","Currency=USD","Period=FQ","BEST_FPERIOD_OVERRIDE=FQ","FILING_STATUS=MR","SCALING_FORMAT=MLN","Sort=A","Dates=H","DateFormat=P","Fill=—","Direction=H","UseDPDF=Y")</f>
        <v>127</v>
      </c>
      <c r="W23" s="13">
        <f>_xll.BDH("NBIX US Equity","T12M_NET_CAPITAL_STOCK","FQ2 2024","FQ2 2024","Currency=USD","Period=FQ","BEST_FPERIOD_OVERRIDE=FQ","FILING_STATUS=MR","SCALING_FORMAT=MLN","Sort=A","Dates=H","DateFormat=P","Fill=—","Direction=H","UseDPDF=Y")</f>
        <v>139.9</v>
      </c>
      <c r="X23" s="13">
        <f>_xll.BDH("NBIX US Equity","T12M_NET_CAPITAL_STOCK","FQ3 2024","FQ3 2024","Currency=USD","Period=FQ","BEST_FPERIOD_OVERRIDE=FQ","FILING_STATUS=MR","SCALING_FORMAT=MLN","Sort=A","Dates=H","DateFormat=P","Fill=—","Direction=H","UseDPDF=Y")</f>
        <v>147.5</v>
      </c>
      <c r="Y23" s="13">
        <f>_xll.BDH("NBIX US Equity","T12M_NET_CAPITAL_STOCK","FQ4 2024","FQ4 2024","Currency=USD","Period=FQ","BEST_FPERIOD_OVERRIDE=FQ","FILING_STATUS=MR","SCALING_FORMAT=MLN","Sort=A","Dates=H","DateFormat=P","Fill=—","Direction=H","UseDPDF=Y")</f>
        <v>-177.9</v>
      </c>
      <c r="Z23" s="13"/>
      <c r="AA23" s="13"/>
    </row>
    <row r="24" spans="1:27" x14ac:dyDescent="0.25">
      <c r="A24" s="6" t="s">
        <v>1486</v>
      </c>
      <c r="B24" s="6" t="s">
        <v>1487</v>
      </c>
      <c r="C24" s="19">
        <f>_xll.BDH("NBIX US Equity","RETURNED_CAPITAL_EX_DEBT","FQ2 2019","FQ2 2019","Currency=USD","Period=FQ","BEST_FPERIOD_OVERRIDE=FQ","FILING_STATUS=MR","SCALING_FORMAT=MLN","Sort=A","Dates=H","DateFormat=P","Fill=—","Direction=H","UseDPDF=Y")</f>
        <v>-14.137</v>
      </c>
      <c r="D24" s="19">
        <f>_xll.BDH("NBIX US Equity","RETURNED_CAPITAL_EX_DEBT","FQ3 2019","FQ3 2019","Currency=USD","Period=FQ","BEST_FPERIOD_OVERRIDE=FQ","FILING_STATUS=MR","SCALING_FORMAT=MLN","Sort=A","Dates=H","DateFormat=P","Fill=—","Direction=H","UseDPDF=Y")</f>
        <v>-21.811</v>
      </c>
      <c r="E24" s="19">
        <f>_xll.BDH("NBIX US Equity","RETURNED_CAPITAL_EX_DEBT","FQ4 2019","FQ4 2019","Currency=USD","Period=FQ","BEST_FPERIOD_OVERRIDE=FQ","FILING_STATUS=MR","SCALING_FORMAT=MLN","Sort=A","Dates=H","DateFormat=P","Fill=—","Direction=H","UseDPDF=Y")</f>
        <v>-32.4</v>
      </c>
      <c r="F24" s="19">
        <f>_xll.BDH("NBIX US Equity","RETURNED_CAPITAL_EX_DEBT","FQ1 2020","FQ1 2020","Currency=USD","Period=FQ","BEST_FPERIOD_OVERRIDE=FQ","FILING_STATUS=MR","SCALING_FORMAT=MLN","Sort=A","Dates=H","DateFormat=P","Fill=—","Direction=H","UseDPDF=Y")</f>
        <v>-35.819000000000003</v>
      </c>
      <c r="G24" s="19">
        <f>_xll.BDH("NBIX US Equity","RETURNED_CAPITAL_EX_DEBT","FQ2 2020","FQ2 2020","Currency=USD","Period=FQ","BEST_FPERIOD_OVERRIDE=FQ","FILING_STATUS=MR","SCALING_FORMAT=MLN","Sort=A","Dates=H","DateFormat=P","Fill=—","Direction=H","UseDPDF=Y")</f>
        <v>-47.335000000000001</v>
      </c>
      <c r="H24" s="19">
        <f>_xll.BDH("NBIX US Equity","RETURNED_CAPITAL_EX_DEBT","FQ3 2020","FQ3 2020","Currency=USD","Period=FQ","BEST_FPERIOD_OVERRIDE=FQ","FILING_STATUS=MR","SCALING_FORMAT=MLN","Sort=A","Dates=H","DateFormat=P","Fill=—","Direction=H","UseDPDF=Y")</f>
        <v>-39.570999999999998</v>
      </c>
      <c r="I24" s="19">
        <f>_xll.BDH("NBIX US Equity","RETURNED_CAPITAL_EX_DEBT","FQ4 2020","FQ4 2020","Currency=USD","Period=FQ","BEST_FPERIOD_OVERRIDE=FQ","FILING_STATUS=MR","SCALING_FORMAT=MLN","Sort=A","Dates=H","DateFormat=P","Fill=—","Direction=H","UseDPDF=Y")</f>
        <v>-29.1</v>
      </c>
      <c r="J24" s="19">
        <f>_xll.BDH("NBIX US Equity","RETURNED_CAPITAL_EX_DEBT","FQ1 2021","FQ1 2021","Currency=USD","Period=FQ","BEST_FPERIOD_OVERRIDE=FQ","FILING_STATUS=MR","SCALING_FORMAT=MLN","Sort=A","Dates=H","DateFormat=P","Fill=—","Direction=H","UseDPDF=Y")</f>
        <v>-38.299999999999997</v>
      </c>
      <c r="K24" s="19">
        <f>_xll.BDH("NBIX US Equity","RETURNED_CAPITAL_EX_DEBT","FQ2 2021","FQ2 2021","Currency=USD","Period=FQ","BEST_FPERIOD_OVERRIDE=FQ","FILING_STATUS=MR","SCALING_FORMAT=MLN","Sort=A","Dates=H","DateFormat=P","Fill=—","Direction=H","UseDPDF=Y")</f>
        <v>-25.5</v>
      </c>
      <c r="L24" s="19">
        <f>_xll.BDH("NBIX US Equity","RETURNED_CAPITAL_EX_DEBT","FQ3 2021","FQ3 2021","Currency=USD","Period=FQ","BEST_FPERIOD_OVERRIDE=FQ","FILING_STATUS=MR","SCALING_FORMAT=MLN","Sort=A","Dates=H","DateFormat=P","Fill=—","Direction=H","UseDPDF=Y")</f>
        <v>-27.6</v>
      </c>
      <c r="M24" s="19">
        <f>_xll.BDH("NBIX US Equity","RETURNED_CAPITAL_EX_DEBT","FQ4 2021","FQ4 2021","Currency=USD","Period=FQ","BEST_FPERIOD_OVERRIDE=FQ","FILING_STATUS=MR","SCALING_FORMAT=MLN","Sort=A","Dates=H","DateFormat=P","Fill=—","Direction=H","UseDPDF=Y")</f>
        <v>-27.5</v>
      </c>
      <c r="N24" s="19">
        <f>_xll.BDH("NBIX US Equity","RETURNED_CAPITAL_EX_DEBT","FQ1 2022","FQ1 2022","Currency=USD","Period=FQ","BEST_FPERIOD_OVERRIDE=FQ","FILING_STATUS=MR","SCALING_FORMAT=MLN","Sort=A","Dates=H","DateFormat=P","Fill=—","Direction=H","UseDPDF=Y")</f>
        <v>-18.399999999999999</v>
      </c>
      <c r="O24" s="19">
        <f>_xll.BDH("NBIX US Equity","RETURNED_CAPITAL_EX_DEBT","FQ2 2022","FQ2 2022","Currency=USD","Period=FQ","BEST_FPERIOD_OVERRIDE=FQ","FILING_STATUS=MR","SCALING_FORMAT=MLN","Sort=A","Dates=H","DateFormat=P","Fill=—","Direction=H","UseDPDF=Y")</f>
        <v>-18</v>
      </c>
      <c r="P24" s="19">
        <f>_xll.BDH("NBIX US Equity","RETURNED_CAPITAL_EX_DEBT","FQ3 2022","FQ3 2022","Currency=USD","Period=FQ","BEST_FPERIOD_OVERRIDE=FQ","FILING_STATUS=MR","SCALING_FORMAT=MLN","Sort=A","Dates=H","DateFormat=P","Fill=—","Direction=H","UseDPDF=Y")</f>
        <v>-21.9</v>
      </c>
      <c r="Q24" s="19">
        <f>_xll.BDH("NBIX US Equity","RETURNED_CAPITAL_EX_DEBT","FQ4 2022","FQ4 2022","Currency=USD","Period=FQ","BEST_FPERIOD_OVERRIDE=FQ","FILING_STATUS=MR","SCALING_FORMAT=MLN","Sort=A","Dates=H","DateFormat=P","Fill=—","Direction=H","UseDPDF=Y")</f>
        <v>-44.7</v>
      </c>
      <c r="R24" s="19">
        <f>_xll.BDH("NBIX US Equity","RETURNED_CAPITAL_EX_DEBT","FQ1 2023","FQ1 2023","Currency=USD","Period=FQ","BEST_FPERIOD_OVERRIDE=FQ","FILING_STATUS=MR","SCALING_FORMAT=MLN","Sort=A","Dates=H","DateFormat=P","Fill=—","Direction=H","UseDPDF=Y")</f>
        <v>-46.8</v>
      </c>
      <c r="S24" s="19">
        <f>_xll.BDH("NBIX US Equity","RETURNED_CAPITAL_EX_DEBT","FQ2 2023","FQ2 2023","Currency=USD","Period=FQ","BEST_FPERIOD_OVERRIDE=FQ","FILING_STATUS=MR","SCALING_FORMAT=MLN","Sort=A","Dates=H","DateFormat=P","Fill=—","Direction=H","UseDPDF=Y")</f>
        <v>-47.1</v>
      </c>
      <c r="T24" s="19">
        <f>_xll.BDH("NBIX US Equity","RETURNED_CAPITAL_EX_DEBT","FQ3 2023","FQ3 2023","Currency=USD","Period=FQ","BEST_FPERIOD_OVERRIDE=FQ","FILING_STATUS=MR","SCALING_FORMAT=MLN","Sort=A","Dates=H","DateFormat=P","Fill=—","Direction=H","UseDPDF=Y")</f>
        <v>-54.5</v>
      </c>
      <c r="U24" s="19">
        <f>_xll.BDH("NBIX US Equity","RETURNED_CAPITAL_EX_DEBT","FQ4 2023","FQ4 2023","Currency=USD","Period=FQ","BEST_FPERIOD_OVERRIDE=FQ","FILING_STATUS=MR","SCALING_FORMAT=MLN","Sort=A","Dates=H","DateFormat=P","Fill=—","Direction=H","UseDPDF=Y")</f>
        <v>-65.3</v>
      </c>
      <c r="V24" s="19">
        <f>_xll.BDH("NBIX US Equity","RETURNED_CAPITAL_EX_DEBT","FQ1 2024","FQ1 2024","Currency=USD","Period=FQ","BEST_FPERIOD_OVERRIDE=FQ","FILING_STATUS=MR","SCALING_FORMAT=MLN","Sort=A","Dates=H","DateFormat=P","Fill=—","Direction=H","UseDPDF=Y")</f>
        <v>-127</v>
      </c>
      <c r="W24" s="19">
        <f>_xll.BDH("NBIX US Equity","RETURNED_CAPITAL_EX_DEBT","FQ2 2024","FQ2 2024","Currency=USD","Period=FQ","BEST_FPERIOD_OVERRIDE=FQ","FILING_STATUS=MR","SCALING_FORMAT=MLN","Sort=A","Dates=H","DateFormat=P","Fill=—","Direction=H","UseDPDF=Y")</f>
        <v>-139.9</v>
      </c>
      <c r="X24" s="19">
        <f>_xll.BDH("NBIX US Equity","RETURNED_CAPITAL_EX_DEBT","FQ3 2024","FQ3 2024","Currency=USD","Period=FQ","BEST_FPERIOD_OVERRIDE=FQ","FILING_STATUS=MR","SCALING_FORMAT=MLN","Sort=A","Dates=H","DateFormat=P","Fill=—","Direction=H","UseDPDF=Y")</f>
        <v>-147.5</v>
      </c>
      <c r="Y24" s="19">
        <f>_xll.BDH("NBIX US Equity","RETURNED_CAPITAL_EX_DEBT","FQ4 2024","FQ4 2024","Currency=USD","Period=FQ","BEST_FPERIOD_OVERRIDE=FQ","FILING_STATUS=MR","SCALING_FORMAT=MLN","Sort=A","Dates=H","DateFormat=P","Fill=—","Direction=H","UseDPDF=Y")</f>
        <v>177.9</v>
      </c>
      <c r="Z24" s="19"/>
      <c r="AA24" s="19"/>
    </row>
    <row r="25" spans="1:27" x14ac:dyDescent="0.25">
      <c r="A25" s="11" t="s">
        <v>60</v>
      </c>
      <c r="B25" s="11" t="s">
        <v>61</v>
      </c>
      <c r="C25" s="25">
        <f>_xll.BDH("NBIX US Equity","HISTORICAL_MARKET_CAP","FQ2 2019","FQ2 2019","Currency=USD","Period=FQ","BEST_FPERIOD_OVERRIDE=FQ","FILING_STATUS=MR","SCALING_FORMAT=MLN","Sort=A","Dates=H","DateFormat=P","Fill=—","Direction=H","UseDPDF=Y")</f>
        <v>7728.3845000000001</v>
      </c>
      <c r="D25" s="25">
        <f>_xll.BDH("NBIX US Equity","HISTORICAL_MARKET_CAP","FQ3 2019","FQ3 2019","Currency=USD","Period=FQ","BEST_FPERIOD_OVERRIDE=FQ","FILING_STATUS=MR","SCALING_FORMAT=MLN","Sort=A","Dates=H","DateFormat=P","Fill=—","Direction=H","UseDPDF=Y")</f>
        <v>8297.3287999999993</v>
      </c>
      <c r="E25" s="25">
        <f>_xll.BDH("NBIX US Equity","HISTORICAL_MARKET_CAP","FQ4 2019","FQ4 2019","Currency=USD","Period=FQ","BEST_FPERIOD_OVERRIDE=FQ","FILING_STATUS=MR","SCALING_FORMAT=MLN","Sort=A","Dates=H","DateFormat=P","Fill=—","Direction=H","UseDPDF=Y")</f>
        <v>9921.3269999999993</v>
      </c>
      <c r="F25" s="25">
        <f>_xll.BDH("NBIX US Equity","HISTORICAL_MARKET_CAP","FQ1 2020","FQ1 2020","Currency=USD","Period=FQ","BEST_FPERIOD_OVERRIDE=FQ","FILING_STATUS=MR","SCALING_FORMAT=MLN","Sort=A","Dates=H","DateFormat=P","Fill=—","Direction=H","UseDPDF=Y")</f>
        <v>8031.84</v>
      </c>
      <c r="G25" s="25">
        <f>_xll.BDH("NBIX US Equity","HISTORICAL_MARKET_CAP","FQ2 2020","FQ2 2020","Currency=USD","Period=FQ","BEST_FPERIOD_OVERRIDE=FQ","FILING_STATUS=MR","SCALING_FORMAT=MLN","Sort=A","Dates=H","DateFormat=P","Fill=—","Direction=H","UseDPDF=Y")</f>
        <v>11370.4</v>
      </c>
      <c r="H25" s="25">
        <f>_xll.BDH("NBIX US Equity","HISTORICAL_MARKET_CAP","FQ3 2020","FQ3 2020","Currency=USD","Period=FQ","BEST_FPERIOD_OVERRIDE=FQ","FILING_STATUS=MR","SCALING_FORMAT=MLN","Sort=A","Dates=H","DateFormat=P","Fill=—","Direction=H","UseDPDF=Y")</f>
        <v>8981.3439999999991</v>
      </c>
      <c r="I25" s="25">
        <f>_xll.BDH("NBIX US Equity","HISTORICAL_MARKET_CAP","FQ4 2020","FQ4 2020","Currency=USD","Period=FQ","BEST_FPERIOD_OVERRIDE=FQ","FILING_STATUS=MR","SCALING_FORMAT=MLN","Sort=A","Dates=H","DateFormat=P","Fill=—","Direction=H","UseDPDF=Y")</f>
        <v>8961.9750000000004</v>
      </c>
      <c r="J25" s="25">
        <f>_xll.BDH("NBIX US Equity","HISTORICAL_MARKET_CAP","FQ1 2021","FQ1 2021","Currency=USD","Period=FQ","BEST_FPERIOD_OVERRIDE=FQ","FILING_STATUS=MR","SCALING_FORMAT=MLN","Sort=A","Dates=H","DateFormat=P","Fill=—","Direction=H","UseDPDF=Y")</f>
        <v>9190.125</v>
      </c>
      <c r="K25" s="25">
        <f>_xll.BDH("NBIX US Equity","HISTORICAL_MARKET_CAP","FQ2 2021","FQ2 2021","Currency=USD","Period=FQ","BEST_FPERIOD_OVERRIDE=FQ","FILING_STATUS=MR","SCALING_FORMAT=MLN","Sort=A","Dates=H","DateFormat=P","Fill=—","Direction=H","UseDPDF=Y")</f>
        <v>9206.4719999999998</v>
      </c>
      <c r="L25" s="25">
        <f>_xll.BDH("NBIX US Equity","HISTORICAL_MARKET_CAP","FQ3 2021","FQ3 2021","Currency=USD","Period=FQ","BEST_FPERIOD_OVERRIDE=FQ","FILING_STATUS=MR","SCALING_FORMAT=MLN","Sort=A","Dates=H","DateFormat=P","Fill=—","Direction=H","UseDPDF=Y")</f>
        <v>9092.268</v>
      </c>
      <c r="M25" s="25">
        <f>_xll.BDH("NBIX US Equity","HISTORICAL_MARKET_CAP","FQ4 2021","FQ4 2021","Currency=USD","Period=FQ","BEST_FPERIOD_OVERRIDE=FQ","FILING_STATUS=MR","SCALING_FORMAT=MLN","Sort=A","Dates=H","DateFormat=P","Fill=—","Direction=H","UseDPDF=Y")</f>
        <v>8082.6329999999998</v>
      </c>
      <c r="N25" s="25">
        <f>_xll.BDH("NBIX US Equity","HISTORICAL_MARKET_CAP","FQ1 2022","FQ1 2022","Currency=USD","Period=FQ","BEST_FPERIOD_OVERRIDE=FQ","FILING_STATUS=MR","SCALING_FORMAT=MLN","Sort=A","Dates=H","DateFormat=P","Fill=—","Direction=H","UseDPDF=Y")</f>
        <v>8953.125</v>
      </c>
      <c r="O25" s="25">
        <f>_xll.BDH("NBIX US Equity","HISTORICAL_MARKET_CAP","FQ2 2022","FQ2 2022","Currency=USD","Period=FQ","BEST_FPERIOD_OVERRIDE=FQ","FILING_STATUS=MR","SCALING_FORMAT=MLN","Sort=A","Dates=H","DateFormat=P","Fill=—","Direction=H","UseDPDF=Y")</f>
        <v>9319.0879999999997</v>
      </c>
      <c r="P25" s="25">
        <f>_xll.BDH("NBIX US Equity","HISTORICAL_MARKET_CAP","FQ3 2022","FQ3 2022","Currency=USD","Period=FQ","BEST_FPERIOD_OVERRIDE=FQ","FILING_STATUS=MR","SCALING_FORMAT=MLN","Sort=A","Dates=H","DateFormat=P","Fill=—","Direction=H","UseDPDF=Y")</f>
        <v>10206.781000000001</v>
      </c>
      <c r="Q25" s="25">
        <f>_xll.BDH("NBIX US Equity","HISTORICAL_MARKET_CAP","FQ4 2022","FQ4 2022","Currency=USD","Period=FQ","BEST_FPERIOD_OVERRIDE=FQ","FILING_STATUS=MR","SCALING_FORMAT=MLN","Sort=A","Dates=H","DateFormat=P","Fill=—","Direction=H","UseDPDF=Y")</f>
        <v>11525.96</v>
      </c>
      <c r="R25" s="25">
        <f>_xll.BDH("NBIX US Equity","HISTORICAL_MARKET_CAP","FQ1 2023","FQ1 2023","Currency=USD","Period=FQ","BEST_FPERIOD_OVERRIDE=FQ","FILING_STATUS=MR","SCALING_FORMAT=MLN","Sort=A","Dates=H","DateFormat=P","Fill=—","Direction=H","UseDPDF=Y")</f>
        <v>9868.9500000000007</v>
      </c>
      <c r="S25" s="25">
        <f>_xll.BDH("NBIX US Equity","HISTORICAL_MARKET_CAP","FQ2 2023","FQ2 2023","Currency=USD","Period=FQ","BEST_FPERIOD_OVERRIDE=FQ","FILING_STATUS=MR","SCALING_FORMAT=MLN","Sort=A","Dates=H","DateFormat=P","Fill=—","Direction=H","UseDPDF=Y")</f>
        <v>9203.68</v>
      </c>
      <c r="T25" s="25">
        <f>_xll.BDH("NBIX US Equity","HISTORICAL_MARKET_CAP","FQ3 2023","FQ3 2023","Currency=USD","Period=FQ","BEST_FPERIOD_OVERRIDE=FQ","FILING_STATUS=MR","SCALING_FORMAT=MLN","Sort=A","Dates=H","DateFormat=P","Fill=—","Direction=H","UseDPDF=Y")</f>
        <v>11047.5</v>
      </c>
      <c r="U25" s="25">
        <f>_xll.BDH("NBIX US Equity","HISTORICAL_MARKET_CAP","FQ4 2023","FQ4 2023","Currency=USD","Period=FQ","BEST_FPERIOD_OVERRIDE=FQ","FILING_STATUS=MR","SCALING_FORMAT=MLN","Sort=A","Dates=H","DateFormat=P","Fill=—","Direction=H","UseDPDF=Y")</f>
        <v>13004.712</v>
      </c>
      <c r="V25" s="25">
        <f>_xll.BDH("NBIX US Equity","HISTORICAL_MARKET_CAP","FQ1 2024","FQ1 2024","Currency=USD","Period=FQ","BEST_FPERIOD_OVERRIDE=FQ","FILING_STATUS=MR","SCALING_FORMAT=MLN","Sort=A","Dates=H","DateFormat=P","Fill=—","Direction=H","UseDPDF=Y")</f>
        <v>13874.752</v>
      </c>
      <c r="W25" s="25">
        <f>_xll.BDH("NBIX US Equity","HISTORICAL_MARKET_CAP","FQ2 2024","FQ2 2024","Currency=USD","Period=FQ","BEST_FPERIOD_OVERRIDE=FQ","FILING_STATUS=MR","SCALING_FORMAT=MLN","Sort=A","Dates=H","DateFormat=P","Fill=—","Direction=H","UseDPDF=Y")</f>
        <v>13890.903</v>
      </c>
      <c r="X25" s="25">
        <f>_xll.BDH("NBIX US Equity","HISTORICAL_MARKET_CAP","FQ3 2024","FQ3 2024","Currency=USD","Period=FQ","BEST_FPERIOD_OVERRIDE=FQ","FILING_STATUS=MR","SCALING_FORMAT=MLN","Sort=A","Dates=H","DateFormat=P","Fill=—","Direction=H","UseDPDF=Y")</f>
        <v>11660.263999999999</v>
      </c>
      <c r="Y25" s="25">
        <f>_xll.BDH("NBIX US Equity","HISTORICAL_MARKET_CAP","FQ4 2024","FQ4 2024","Currency=USD","Period=FQ","BEST_FPERIOD_OVERRIDE=FQ","FILING_STATUS=MR","SCALING_FORMAT=MLN","Sort=A","Dates=H","DateFormat=P","Fill=—","Direction=H","UseDPDF=Y")</f>
        <v>13568.1</v>
      </c>
      <c r="Z25" s="25"/>
      <c r="AA25" s="25"/>
    </row>
    <row r="26" spans="1:27" x14ac:dyDescent="0.25">
      <c r="A26" s="6" t="s">
        <v>1488</v>
      </c>
      <c r="B26" s="6" t="s">
        <v>1489</v>
      </c>
      <c r="C26" s="20">
        <f>_xll.BDH("NBIX US Equity","SHAREHOLDER_YIELD_EX_DEBT","FQ2 2019","FQ2 2019","Currency=USD","Period=FQ","BEST_FPERIOD_OVERRIDE=FQ","FILING_STATUS=MR","Sort=A","Dates=H","DateFormat=P","Fill=—","Direction=H","UseDPDF=Y")</f>
        <v>-0.18290000000000001</v>
      </c>
      <c r="D26" s="20">
        <f>_xll.BDH("NBIX US Equity","SHAREHOLDER_YIELD_EX_DEBT","FQ3 2019","FQ3 2019","Currency=USD","Period=FQ","BEST_FPERIOD_OVERRIDE=FQ","FILING_STATUS=MR","Sort=A","Dates=H","DateFormat=P","Fill=—","Direction=H","UseDPDF=Y")</f>
        <v>-0.26290000000000002</v>
      </c>
      <c r="E26" s="20">
        <f>_xll.BDH("NBIX US Equity","SHAREHOLDER_YIELD_EX_DEBT","FQ4 2019","FQ4 2019","Currency=USD","Period=FQ","BEST_FPERIOD_OVERRIDE=FQ","FILING_STATUS=MR","Sort=A","Dates=H","DateFormat=P","Fill=—","Direction=H","UseDPDF=Y")</f>
        <v>-0.3266</v>
      </c>
      <c r="F26" s="20">
        <f>_xll.BDH("NBIX US Equity","SHAREHOLDER_YIELD_EX_DEBT","FQ1 2020","FQ1 2020","Currency=USD","Period=FQ","BEST_FPERIOD_OVERRIDE=FQ","FILING_STATUS=MR","Sort=A","Dates=H","DateFormat=P","Fill=—","Direction=H","UseDPDF=Y")</f>
        <v>-0.44600000000000001</v>
      </c>
      <c r="G26" s="20">
        <f>_xll.BDH("NBIX US Equity","SHAREHOLDER_YIELD_EX_DEBT","FQ2 2020","FQ2 2020","Currency=USD","Period=FQ","BEST_FPERIOD_OVERRIDE=FQ","FILING_STATUS=MR","Sort=A","Dates=H","DateFormat=P","Fill=—","Direction=H","UseDPDF=Y")</f>
        <v>-0.4163</v>
      </c>
      <c r="H26" s="20">
        <f>_xll.BDH("NBIX US Equity","SHAREHOLDER_YIELD_EX_DEBT","FQ3 2020","FQ3 2020","Currency=USD","Period=FQ","BEST_FPERIOD_OVERRIDE=FQ","FILING_STATUS=MR","Sort=A","Dates=H","DateFormat=P","Fill=—","Direction=H","UseDPDF=Y")</f>
        <v>-0.44059999999999999</v>
      </c>
      <c r="I26" s="20">
        <f>_xll.BDH("NBIX US Equity","SHAREHOLDER_YIELD_EX_DEBT","FQ4 2020","FQ4 2020","Currency=USD","Period=FQ","BEST_FPERIOD_OVERRIDE=FQ","FILING_STATUS=MR","Sort=A","Dates=H","DateFormat=P","Fill=—","Direction=H","UseDPDF=Y")</f>
        <v>-0.32469999999999999</v>
      </c>
      <c r="J26" s="20">
        <f>_xll.BDH("NBIX US Equity","SHAREHOLDER_YIELD_EX_DEBT","FQ1 2021","FQ1 2021","Currency=USD","Period=FQ","BEST_FPERIOD_OVERRIDE=FQ","FILING_STATUS=MR","Sort=A","Dates=H","DateFormat=P","Fill=—","Direction=H","UseDPDF=Y")</f>
        <v>-0.4168</v>
      </c>
      <c r="K26" s="20">
        <f>_xll.BDH("NBIX US Equity","SHAREHOLDER_YIELD_EX_DEBT","FQ2 2021","FQ2 2021","Currency=USD","Period=FQ","BEST_FPERIOD_OVERRIDE=FQ","FILING_STATUS=MR","Sort=A","Dates=H","DateFormat=P","Fill=—","Direction=H","UseDPDF=Y")</f>
        <v>-0.27700000000000002</v>
      </c>
      <c r="L26" s="20">
        <f>_xll.BDH("NBIX US Equity","SHAREHOLDER_YIELD_EX_DEBT","FQ3 2021","FQ3 2021","Currency=USD","Period=FQ","BEST_FPERIOD_OVERRIDE=FQ","FILING_STATUS=MR","Sort=A","Dates=H","DateFormat=P","Fill=—","Direction=H","UseDPDF=Y")</f>
        <v>-0.30359999999999998</v>
      </c>
      <c r="M26" s="20">
        <f>_xll.BDH("NBIX US Equity","SHAREHOLDER_YIELD_EX_DEBT","FQ4 2021","FQ4 2021","Currency=USD","Period=FQ","BEST_FPERIOD_OVERRIDE=FQ","FILING_STATUS=MR","Sort=A","Dates=H","DateFormat=P","Fill=—","Direction=H","UseDPDF=Y")</f>
        <v>-0.3402</v>
      </c>
      <c r="N26" s="20">
        <f>_xll.BDH("NBIX US Equity","SHAREHOLDER_YIELD_EX_DEBT","FQ1 2022","FQ1 2022","Currency=USD","Period=FQ","BEST_FPERIOD_OVERRIDE=FQ","FILING_STATUS=MR","Sort=A","Dates=H","DateFormat=P","Fill=—","Direction=H","UseDPDF=Y")</f>
        <v>-0.20549999999999999</v>
      </c>
      <c r="O26" s="20">
        <f>_xll.BDH("NBIX US Equity","SHAREHOLDER_YIELD_EX_DEBT","FQ2 2022","FQ2 2022","Currency=USD","Period=FQ","BEST_FPERIOD_OVERRIDE=FQ","FILING_STATUS=MR","Sort=A","Dates=H","DateFormat=P","Fill=—","Direction=H","UseDPDF=Y")</f>
        <v>-0.19320000000000001</v>
      </c>
      <c r="P26" s="20">
        <f>_xll.BDH("NBIX US Equity","SHAREHOLDER_YIELD_EX_DEBT","FQ3 2022","FQ3 2022","Currency=USD","Period=FQ","BEST_FPERIOD_OVERRIDE=FQ","FILING_STATUS=MR","Sort=A","Dates=H","DateFormat=P","Fill=—","Direction=H","UseDPDF=Y")</f>
        <v>-0.21460000000000001</v>
      </c>
      <c r="Q26" s="20">
        <f>_xll.BDH("NBIX US Equity","SHAREHOLDER_YIELD_EX_DEBT","FQ4 2022","FQ4 2022","Currency=USD","Period=FQ","BEST_FPERIOD_OVERRIDE=FQ","FILING_STATUS=MR","Sort=A","Dates=H","DateFormat=P","Fill=—","Direction=H","UseDPDF=Y")</f>
        <v>-0.38779999999999998</v>
      </c>
      <c r="R26" s="20">
        <f>_xll.BDH("NBIX US Equity","SHAREHOLDER_YIELD_EX_DEBT","FQ1 2023","FQ1 2023","Currency=USD","Period=FQ","BEST_FPERIOD_OVERRIDE=FQ","FILING_STATUS=MR","Sort=A","Dates=H","DateFormat=P","Fill=—","Direction=H","UseDPDF=Y")</f>
        <v>-0.47420000000000001</v>
      </c>
      <c r="S26" s="20">
        <f>_xll.BDH("NBIX US Equity","SHAREHOLDER_YIELD_EX_DEBT","FQ2 2023","FQ2 2023","Currency=USD","Period=FQ","BEST_FPERIOD_OVERRIDE=FQ","FILING_STATUS=MR","Sort=A","Dates=H","DateFormat=P","Fill=—","Direction=H","UseDPDF=Y")</f>
        <v>-0.51180000000000003</v>
      </c>
      <c r="T26" s="20">
        <f>_xll.BDH("NBIX US Equity","SHAREHOLDER_YIELD_EX_DEBT","FQ3 2023","FQ3 2023","Currency=USD","Period=FQ","BEST_FPERIOD_OVERRIDE=FQ","FILING_STATUS=MR","Sort=A","Dates=H","DateFormat=P","Fill=—","Direction=H","UseDPDF=Y")</f>
        <v>-0.49330000000000002</v>
      </c>
      <c r="U26" s="20">
        <f>_xll.BDH("NBIX US Equity","SHAREHOLDER_YIELD_EX_DEBT","FQ4 2023","FQ4 2023","Currency=USD","Period=FQ","BEST_FPERIOD_OVERRIDE=FQ","FILING_STATUS=MR","Sort=A","Dates=H","DateFormat=P","Fill=—","Direction=H","UseDPDF=Y")</f>
        <v>-0.50209999999999999</v>
      </c>
      <c r="V26" s="20">
        <f>_xll.BDH("NBIX US Equity","SHAREHOLDER_YIELD_EX_DEBT","FQ1 2024","FQ1 2024","Currency=USD","Period=FQ","BEST_FPERIOD_OVERRIDE=FQ","FILING_STATUS=MR","Sort=A","Dates=H","DateFormat=P","Fill=—","Direction=H","UseDPDF=Y")</f>
        <v>-0.9153</v>
      </c>
      <c r="W26" s="20">
        <f>_xll.BDH("NBIX US Equity","SHAREHOLDER_YIELD_EX_DEBT","FQ2 2024","FQ2 2024","Currency=USD","Period=FQ","BEST_FPERIOD_OVERRIDE=FQ","FILING_STATUS=MR","Sort=A","Dates=H","DateFormat=P","Fill=—","Direction=H","UseDPDF=Y")</f>
        <v>-1.0071000000000001</v>
      </c>
      <c r="X26" s="20">
        <f>_xll.BDH("NBIX US Equity","SHAREHOLDER_YIELD_EX_DEBT","FQ3 2024","FQ3 2024","Currency=USD","Period=FQ","BEST_FPERIOD_OVERRIDE=FQ","FILING_STATUS=MR","Sort=A","Dates=H","DateFormat=P","Fill=—","Direction=H","UseDPDF=Y")</f>
        <v>-1.2649999999999999</v>
      </c>
      <c r="Y26" s="20">
        <f>_xll.BDH("NBIX US Equity","SHAREHOLDER_YIELD_EX_DEBT","FQ4 2024","FQ4 2024","Currency=USD","Period=FQ","BEST_FPERIOD_OVERRIDE=FQ","FILING_STATUS=MR","Sort=A","Dates=H","DateFormat=P","Fill=—","Direction=H","UseDPDF=Y")</f>
        <v>1.3111999999999999</v>
      </c>
      <c r="Z26" s="20"/>
      <c r="AA26" s="20"/>
    </row>
    <row r="27" spans="1:27" x14ac:dyDescent="0.25">
      <c r="A27" s="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6" t="s">
        <v>1490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10" t="s">
        <v>1464</v>
      </c>
      <c r="B29" s="10" t="s">
        <v>1465</v>
      </c>
      <c r="C29" s="13">
        <f>_xll.BDH("NBIX US Equity","TRAIL_12M_CASH_FROM_OPER","FQ2 2019","FQ2 2019","Currency=USD","Period=FQ","BEST_FPERIOD_OVERRIDE=FQ","FILING_STATUS=MR","SCALING_FORMAT=MLN","Sort=A","Dates=H","DateFormat=P","Fill=—","Direction=H","UseDPDF=Y")</f>
        <v>71.046000000000006</v>
      </c>
      <c r="D29" s="13">
        <f>_xll.BDH("NBIX US Equity","TRAIL_12M_CASH_FROM_OPER","FQ3 2019","FQ3 2019","Currency=USD","Period=FQ","BEST_FPERIOD_OVERRIDE=FQ","FILING_STATUS=MR","SCALING_FORMAT=MLN","Sort=A","Dates=H","DateFormat=P","Fill=—","Direction=H","UseDPDF=Y")</f>
        <v>99.954999999999998</v>
      </c>
      <c r="E29" s="13">
        <f>_xll.BDH("NBIX US Equity","TRAIL_12M_CASH_FROM_OPER","FQ4 2019","FQ4 2019","Currency=USD","Period=FQ","BEST_FPERIOD_OVERRIDE=FQ","FILING_STATUS=MR","SCALING_FORMAT=MLN","Sort=A","Dates=H","DateFormat=P","Fill=—","Direction=H","UseDPDF=Y")</f>
        <v>147</v>
      </c>
      <c r="F29" s="13">
        <f>_xll.BDH("NBIX US Equity","TRAIL_12M_CASH_FROM_OPER","FQ1 2020","FQ1 2020","Currency=USD","Period=FQ","BEST_FPERIOD_OVERRIDE=FQ","FILING_STATUS=MR","SCALING_FORMAT=MLN","Sort=A","Dates=H","DateFormat=P","Fill=—","Direction=H","UseDPDF=Y")</f>
        <v>294.99099999999999</v>
      </c>
      <c r="G29" s="13">
        <f>_xll.BDH("NBIX US Equity","TRAIL_12M_CASH_FROM_OPER","FQ2 2020","FQ2 2020","Currency=USD","Period=FQ","BEST_FPERIOD_OVERRIDE=FQ","FILING_STATUS=MR","SCALING_FORMAT=MLN","Sort=A","Dates=H","DateFormat=P","Fill=—","Direction=H","UseDPDF=Y")</f>
        <v>349.72500000000002</v>
      </c>
      <c r="H29" s="13">
        <f>_xll.BDH("NBIX US Equity","TRAIL_12M_CASH_FROM_OPER","FQ3 2020","FQ3 2020","Currency=USD","Period=FQ","BEST_FPERIOD_OVERRIDE=FQ","FILING_STATUS=MR","SCALING_FORMAT=MLN","Sort=A","Dates=H","DateFormat=P","Fill=—","Direction=H","UseDPDF=Y")</f>
        <v>231.499</v>
      </c>
      <c r="I29" s="13">
        <f>_xll.BDH("NBIX US Equity","TRAIL_12M_CASH_FROM_OPER","FQ4 2020","FQ4 2020","Currency=USD","Period=FQ","BEST_FPERIOD_OVERRIDE=FQ","FILING_STATUS=MR","SCALING_FORMAT=MLN","Sort=A","Dates=H","DateFormat=P","Fill=—","Direction=H","UseDPDF=Y")</f>
        <v>228.5</v>
      </c>
      <c r="J29" s="13">
        <f>_xll.BDH("NBIX US Equity","TRAIL_12M_CASH_FROM_OPER","FQ1 2021","FQ1 2021","Currency=USD","Period=FQ","BEST_FPERIOD_OVERRIDE=FQ","FILING_STATUS=MR","SCALING_FORMAT=MLN","Sort=A","Dates=H","DateFormat=P","Fill=—","Direction=H","UseDPDF=Y")</f>
        <v>280.3</v>
      </c>
      <c r="K29" s="13">
        <f>_xll.BDH("NBIX US Equity","TRAIL_12M_CASH_FROM_OPER","FQ2 2021","FQ2 2021","Currency=USD","Period=FQ","BEST_FPERIOD_OVERRIDE=FQ","FILING_STATUS=MR","SCALING_FORMAT=MLN","Sort=A","Dates=H","DateFormat=P","Fill=—","Direction=H","UseDPDF=Y")</f>
        <v>264.60000000000002</v>
      </c>
      <c r="L29" s="13">
        <f>_xll.BDH("NBIX US Equity","TRAIL_12M_CASH_FROM_OPER","FQ3 2021","FQ3 2021","Currency=USD","Period=FQ","BEST_FPERIOD_OVERRIDE=FQ","FILING_STATUS=MR","SCALING_FORMAT=MLN","Sort=A","Dates=H","DateFormat=P","Fill=—","Direction=H","UseDPDF=Y")</f>
        <v>346.8</v>
      </c>
      <c r="M29" s="13">
        <f>_xll.BDH("NBIX US Equity","TRAIL_12M_CASH_FROM_OPER","FQ4 2021","FQ4 2021","Currency=USD","Period=FQ","BEST_FPERIOD_OVERRIDE=FQ","FILING_STATUS=MR","SCALING_FORMAT=MLN","Sort=A","Dates=H","DateFormat=P","Fill=—","Direction=H","UseDPDF=Y")</f>
        <v>256.5</v>
      </c>
      <c r="N29" s="13">
        <f>_xll.BDH("NBIX US Equity","TRAIL_12M_CASH_FROM_OPER","FQ1 2022","FQ1 2022","Currency=USD","Period=FQ","BEST_FPERIOD_OVERRIDE=FQ","FILING_STATUS=MR","SCALING_FORMAT=MLN","Sort=A","Dates=H","DateFormat=P","Fill=—","Direction=H","UseDPDF=Y")</f>
        <v>128.69999999999999</v>
      </c>
      <c r="O29" s="13">
        <f>_xll.BDH("NBIX US Equity","TRAIL_12M_CASH_FROM_OPER","FQ2 2022","FQ2 2022","Currency=USD","Period=FQ","BEST_FPERIOD_OVERRIDE=FQ","FILING_STATUS=MR","SCALING_FORMAT=MLN","Sort=A","Dates=H","DateFormat=P","Fill=—","Direction=H","UseDPDF=Y")</f>
        <v>163.6</v>
      </c>
      <c r="P29" s="13">
        <f>_xll.BDH("NBIX US Equity","TRAIL_12M_CASH_FROM_OPER","FQ3 2022","FQ3 2022","Currency=USD","Period=FQ","BEST_FPERIOD_OVERRIDE=FQ","FILING_STATUS=MR","SCALING_FORMAT=MLN","Sort=A","Dates=H","DateFormat=P","Fill=—","Direction=H","UseDPDF=Y")</f>
        <v>200.6</v>
      </c>
      <c r="Q29" s="13">
        <f>_xll.BDH("NBIX US Equity","TRAIL_12M_CASH_FROM_OPER","FQ4 2022","FQ4 2022","Currency=USD","Period=FQ","BEST_FPERIOD_OVERRIDE=FQ","FILING_STATUS=MR","SCALING_FORMAT=MLN","Sort=A","Dates=H","DateFormat=P","Fill=—","Direction=H","UseDPDF=Y")</f>
        <v>339.4</v>
      </c>
      <c r="R29" s="13">
        <f>_xll.BDH("NBIX US Equity","TRAIL_12M_CASH_FROM_OPER","FQ1 2023","FQ1 2023","Currency=USD","Period=FQ","BEST_FPERIOD_OVERRIDE=FQ","FILING_STATUS=MR","SCALING_FORMAT=MLN","Sort=A","Dates=H","DateFormat=P","Fill=—","Direction=H","UseDPDF=Y")</f>
        <v>254.7</v>
      </c>
      <c r="S29" s="13">
        <f>_xll.BDH("NBIX US Equity","TRAIL_12M_CASH_FROM_OPER","FQ2 2023","FQ2 2023","Currency=USD","Period=FQ","BEST_FPERIOD_OVERRIDE=FQ","FILING_STATUS=MR","SCALING_FORMAT=MLN","Sort=A","Dates=H","DateFormat=P","Fill=—","Direction=H","UseDPDF=Y")</f>
        <v>296.2</v>
      </c>
      <c r="T29" s="13">
        <f>_xll.BDH("NBIX US Equity","TRAIL_12M_CASH_FROM_OPER","FQ3 2023","FQ3 2023","Currency=USD","Period=FQ","BEST_FPERIOD_OVERRIDE=FQ","FILING_STATUS=MR","SCALING_FORMAT=MLN","Sort=A","Dates=H","DateFormat=P","Fill=—","Direction=H","UseDPDF=Y")</f>
        <v>409.4</v>
      </c>
      <c r="U29" s="13">
        <f>_xll.BDH("NBIX US Equity","TRAIL_12M_CASH_FROM_OPER","FQ4 2023","FQ4 2023","Currency=USD","Period=FQ","BEST_FPERIOD_OVERRIDE=FQ","FILING_STATUS=MR","SCALING_FORMAT=MLN","Sort=A","Dates=H","DateFormat=P","Fill=—","Direction=H","UseDPDF=Y")</f>
        <v>389.9</v>
      </c>
      <c r="V29" s="13">
        <f>_xll.BDH("NBIX US Equity","TRAIL_12M_CASH_FROM_OPER","FQ1 2024","FQ1 2024","Currency=USD","Period=FQ","BEST_FPERIOD_OVERRIDE=FQ","FILING_STATUS=MR","SCALING_FORMAT=MLN","Sort=A","Dates=H","DateFormat=P","Fill=—","Direction=H","UseDPDF=Y")</f>
        <v>645.4</v>
      </c>
      <c r="W29" s="13">
        <f>_xll.BDH("NBIX US Equity","TRAIL_12M_CASH_FROM_OPER","FQ2 2024","FQ2 2024","Currency=USD","Period=FQ","BEST_FPERIOD_OVERRIDE=FQ","FILING_STATUS=MR","SCALING_FORMAT=MLN","Sort=A","Dates=H","DateFormat=P","Fill=—","Direction=H","UseDPDF=Y")</f>
        <v>530.4</v>
      </c>
      <c r="X29" s="13">
        <f>_xll.BDH("NBIX US Equity","TRAIL_12M_CASH_FROM_OPER","FQ3 2024","FQ3 2024","Currency=USD","Period=FQ","BEST_FPERIOD_OVERRIDE=FQ","FILING_STATUS=MR","SCALING_FORMAT=MLN","Sort=A","Dates=H","DateFormat=P","Fill=—","Direction=H","UseDPDF=Y")</f>
        <v>476.4</v>
      </c>
      <c r="Y29" s="13">
        <f>_xll.BDH("NBIX US Equity","TRAIL_12M_CASH_FROM_OPER","FQ4 2024","FQ4 2024","Currency=USD","Period=FQ","BEST_FPERIOD_OVERRIDE=FQ","FILING_STATUS=MR","SCALING_FORMAT=MLN","Sort=A","Dates=H","DateFormat=P","Fill=—","Direction=H","UseDPDF=Y")</f>
        <v>595.4</v>
      </c>
      <c r="Z29" s="13">
        <v>902.39520000000005</v>
      </c>
      <c r="AA29" s="13">
        <v>1037.1320000000001</v>
      </c>
    </row>
    <row r="30" spans="1:27" x14ac:dyDescent="0.25">
      <c r="A30" s="10" t="s">
        <v>1466</v>
      </c>
      <c r="B30" s="10" t="s">
        <v>1467</v>
      </c>
      <c r="C30" s="13">
        <f>_xll.BDH("NBIX US Equity","TRAIL_12M_CAP_EXPEND","FQ2 2019","FQ2 2019","Currency=USD","Period=FQ","BEST_FPERIOD_OVERRIDE=FQ","FILING_STATUS=MR","SCALING_FORMAT=MLN","Sort=A","Dates=H","DateFormat=P","Fill=—","Direction=H","UseDPDF=Y")</f>
        <v>-26.760999999999999</v>
      </c>
      <c r="D30" s="13">
        <f>_xll.BDH("NBIX US Equity","TRAIL_12M_CAP_EXPEND","FQ3 2019","FQ3 2019","Currency=USD","Period=FQ","BEST_FPERIOD_OVERRIDE=FQ","FILING_STATUS=MR","SCALING_FORMAT=MLN","Sort=A","Dates=H","DateFormat=P","Fill=—","Direction=H","UseDPDF=Y")</f>
        <v>-17.946000000000002</v>
      </c>
      <c r="E30" s="13">
        <f>_xll.BDH("NBIX US Equity","TRAIL_12M_CAP_EXPEND","FQ4 2019","FQ4 2019","Currency=USD","Period=FQ","BEST_FPERIOD_OVERRIDE=FQ","FILING_STATUS=MR","SCALING_FORMAT=MLN","Sort=A","Dates=H","DateFormat=P","Fill=—","Direction=H","UseDPDF=Y")</f>
        <v>-14.708</v>
      </c>
      <c r="F30" s="13">
        <f>_xll.BDH("NBIX US Equity","TRAIL_12M_CAP_EXPEND","FQ1 2020","FQ1 2020","Currency=USD","Period=FQ","BEST_FPERIOD_OVERRIDE=FQ","FILING_STATUS=MR","SCALING_FORMAT=MLN","Sort=A","Dates=H","DateFormat=P","Fill=—","Direction=H","UseDPDF=Y")</f>
        <v>-12.069000000000001</v>
      </c>
      <c r="G30" s="13">
        <f>_xll.BDH("NBIX US Equity","TRAIL_12M_CAP_EXPEND","FQ2 2020","FQ2 2020","Currency=USD","Period=FQ","BEST_FPERIOD_OVERRIDE=FQ","FILING_STATUS=MR","SCALING_FORMAT=MLN","Sort=A","Dates=H","DateFormat=P","Fill=—","Direction=H","UseDPDF=Y")</f>
        <v>-12.316000000000001</v>
      </c>
      <c r="H30" s="13">
        <f>_xll.BDH("NBIX US Equity","TRAIL_12M_CAP_EXPEND","FQ3 2020","FQ3 2020","Currency=USD","Period=FQ","BEST_FPERIOD_OVERRIDE=FQ","FILING_STATUS=MR","SCALING_FORMAT=MLN","Sort=A","Dates=H","DateFormat=P","Fill=—","Direction=H","UseDPDF=Y")</f>
        <v>-9.1720000000000006</v>
      </c>
      <c r="I30" s="13">
        <f>_xll.BDH("NBIX US Equity","TRAIL_12M_CAP_EXPEND","FQ4 2020","FQ4 2020","Currency=USD","Period=FQ","BEST_FPERIOD_OVERRIDE=FQ","FILING_STATUS=MR","SCALING_FORMAT=MLN","Sort=A","Dates=H","DateFormat=P","Fill=—","Direction=H","UseDPDF=Y")</f>
        <v>-10.9</v>
      </c>
      <c r="J30" s="13">
        <f>_xll.BDH("NBIX US Equity","TRAIL_12M_CAP_EXPEND","FQ1 2021","FQ1 2021","Currency=USD","Period=FQ","BEST_FPERIOD_OVERRIDE=FQ","FILING_STATUS=MR","SCALING_FORMAT=MLN","Sort=A","Dates=H","DateFormat=P","Fill=—","Direction=H","UseDPDF=Y")</f>
        <v>-14.1</v>
      </c>
      <c r="K30" s="13">
        <f>_xll.BDH("NBIX US Equity","TRAIL_12M_CAP_EXPEND","FQ2 2021","FQ2 2021","Currency=USD","Period=FQ","BEST_FPERIOD_OVERRIDE=FQ","FILING_STATUS=MR","SCALING_FORMAT=MLN","Sort=A","Dates=H","DateFormat=P","Fill=—","Direction=H","UseDPDF=Y")</f>
        <v>-13.7</v>
      </c>
      <c r="L30" s="13">
        <f>_xll.BDH("NBIX US Equity","TRAIL_12M_CAP_EXPEND","FQ3 2021","FQ3 2021","Currency=USD","Period=FQ","BEST_FPERIOD_OVERRIDE=FQ","FILING_STATUS=MR","SCALING_FORMAT=MLN","Sort=A","Dates=H","DateFormat=P","Fill=—","Direction=H","UseDPDF=Y")</f>
        <v>-19</v>
      </c>
      <c r="M30" s="13">
        <f>_xll.BDH("NBIX US Equity","TRAIL_12M_CAP_EXPEND","FQ4 2021","FQ4 2021","Currency=USD","Period=FQ","BEST_FPERIOD_OVERRIDE=FQ","FILING_STATUS=MR","SCALING_FORMAT=MLN","Sort=A","Dates=H","DateFormat=P","Fill=—","Direction=H","UseDPDF=Y")</f>
        <v>-23.4</v>
      </c>
      <c r="N30" s="13">
        <f>_xll.BDH("NBIX US Equity","TRAIL_12M_CAP_EXPEND","FQ1 2022","FQ1 2022","Currency=USD","Period=FQ","BEST_FPERIOD_OVERRIDE=FQ","FILING_STATUS=MR","SCALING_FORMAT=MLN","Sort=A","Dates=H","DateFormat=P","Fill=—","Direction=H","UseDPDF=Y")</f>
        <v>-26.5</v>
      </c>
      <c r="O30" s="13">
        <f>_xll.BDH("NBIX US Equity","TRAIL_12M_CAP_EXPEND","FQ2 2022","FQ2 2022","Currency=USD","Period=FQ","BEST_FPERIOD_OVERRIDE=FQ","FILING_STATUS=MR","SCALING_FORMAT=MLN","Sort=A","Dates=H","DateFormat=P","Fill=—","Direction=H","UseDPDF=Y")</f>
        <v>-31</v>
      </c>
      <c r="P30" s="13" t="str">
        <f>_xll.BDH("NBIX US Equity","TRAIL_12M_CAP_EXPEND","FQ3 2022","FQ3 2022","Currency=USD","Period=FQ","BEST_FPERIOD_OVERRIDE=FQ","FILING_STATUS=MR","SCALING_FORMAT=MLN","Sort=A","Dates=H","DateFormat=P","Fill=—","Direction=H","UseDPDF=Y")</f>
        <v>—</v>
      </c>
      <c r="Q30" s="13" t="str">
        <f>_xll.BDH("NBIX US Equity","TRAIL_12M_CAP_EXPEND","FQ4 2022","FQ4 2022","Currency=USD","Period=FQ","BEST_FPERIOD_OVERRIDE=FQ","FILING_STATUS=MR","SCALING_FORMAT=MLN","Sort=A","Dates=H","DateFormat=P","Fill=—","Direction=H","UseDPDF=Y")</f>
        <v>—</v>
      </c>
      <c r="R30" s="13" t="str">
        <f>_xll.BDH("NBIX US Equity","TRAIL_12M_CAP_EXPEND","FQ1 2023","FQ1 2023","Currency=USD","Period=FQ","BEST_FPERIOD_OVERRIDE=FQ","FILING_STATUS=MR","SCALING_FORMAT=MLN","Sort=A","Dates=H","DateFormat=P","Fill=—","Direction=H","UseDPDF=Y")</f>
        <v>—</v>
      </c>
      <c r="S30" s="13" t="str">
        <f>_xll.BDH("NBIX US Equity","TRAIL_12M_CAP_EXPEND","FQ2 2023","FQ2 2023","Currency=USD","Period=FQ","BEST_FPERIOD_OVERRIDE=FQ","FILING_STATUS=MR","SCALING_FORMAT=MLN","Sort=A","Dates=H","DateFormat=P","Fill=—","Direction=H","UseDPDF=Y")</f>
        <v>—</v>
      </c>
      <c r="T30" s="13">
        <f>_xll.BDH("NBIX US Equity","TRAIL_12M_CAP_EXPEND","FQ3 2023","FQ3 2023","Currency=USD","Period=FQ","BEST_FPERIOD_OVERRIDE=FQ","FILING_STATUS=MR","SCALING_FORMAT=MLN","Sort=A","Dates=H","DateFormat=P","Fill=—","Direction=H","UseDPDF=Y")</f>
        <v>-24.7</v>
      </c>
      <c r="U30" s="13">
        <f>_xll.BDH("NBIX US Equity","TRAIL_12M_CAP_EXPEND","FQ4 2023","FQ4 2023","Currency=USD","Period=FQ","BEST_FPERIOD_OVERRIDE=FQ","FILING_STATUS=MR","SCALING_FORMAT=MLN","Sort=A","Dates=H","DateFormat=P","Fill=—","Direction=H","UseDPDF=Y")</f>
        <v>-28.3</v>
      </c>
      <c r="V30" s="13">
        <f>_xll.BDH("NBIX US Equity","TRAIL_12M_CAP_EXPEND","FQ1 2024","FQ1 2024","Currency=USD","Period=FQ","BEST_FPERIOD_OVERRIDE=FQ","FILING_STATUS=MR","SCALING_FORMAT=MLN","Sort=A","Dates=H","DateFormat=P","Fill=—","Direction=H","UseDPDF=Y")</f>
        <v>-31</v>
      </c>
      <c r="W30" s="13">
        <f>_xll.BDH("NBIX US Equity","TRAIL_12M_CAP_EXPEND","FQ2 2024","FQ2 2024","Currency=USD","Period=FQ","BEST_FPERIOD_OVERRIDE=FQ","FILING_STATUS=MR","SCALING_FORMAT=MLN","Sort=A","Dates=H","DateFormat=P","Fill=—","Direction=H","UseDPDF=Y")</f>
        <v>-35.799999999999997</v>
      </c>
      <c r="X30" s="13">
        <f>_xll.BDH("NBIX US Equity","TRAIL_12M_CAP_EXPEND","FQ3 2024","FQ3 2024","Currency=USD","Period=FQ","BEST_FPERIOD_OVERRIDE=FQ","FILING_STATUS=MR","SCALING_FORMAT=MLN","Sort=A","Dates=H","DateFormat=P","Fill=—","Direction=H","UseDPDF=Y")</f>
        <v>-36.299999999999997</v>
      </c>
      <c r="Y30" s="13">
        <f>_xll.BDH("NBIX US Equity","TRAIL_12M_CAP_EXPEND","FQ4 2024","FQ4 2024","Currency=USD","Period=FQ","BEST_FPERIOD_OVERRIDE=FQ","FILING_STATUS=MR","SCALING_FORMAT=MLN","Sort=A","Dates=H","DateFormat=P","Fill=—","Direction=H","UseDPDF=Y")</f>
        <v>-38.200000000000003</v>
      </c>
      <c r="Z30" s="13"/>
      <c r="AA30" s="13"/>
    </row>
    <row r="31" spans="1:27" x14ac:dyDescent="0.25">
      <c r="A31" s="10" t="s">
        <v>1491</v>
      </c>
      <c r="B31" s="10" t="s">
        <v>1492</v>
      </c>
      <c r="C31" s="13">
        <f>_xll.BDH("NBIX US Equity","AFTER_TAX_INTEREST_EXPENSE","FQ2 2019","FQ2 2019","Currency=USD","Period=FQ","BEST_FPERIOD_OVERRIDE=FQ","FILING_STATUS=MR","SCALING_FORMAT=MLN","FA_ADJUSTED=GAAP","Sort=A","Dates=H","DateFormat=P","Fill=—","Direction=H","UseDPDF=Y")</f>
        <v>29.585699999999999</v>
      </c>
      <c r="D31" s="13">
        <f>_xll.BDH("NBIX US Equity","AFTER_TAX_INTEREST_EXPENSE","FQ3 2019","FQ3 2019","Currency=USD","Period=FQ","BEST_FPERIOD_OVERRIDE=FQ","FILING_STATUS=MR","SCALING_FORMAT=MLN","FA_ADJUSTED=GAAP","Sort=A","Dates=H","DateFormat=P","Fill=—","Direction=H","UseDPDF=Y")</f>
        <v>24.946100000000001</v>
      </c>
      <c r="E31" s="13">
        <f>_xll.BDH("NBIX US Equity","AFTER_TAX_INTEREST_EXPENSE","FQ4 2019","FQ4 2019","Currency=USD","Period=FQ","BEST_FPERIOD_OVERRIDE=FQ","FILING_STATUS=MR","SCALING_FORMAT=MLN","FA_ADJUSTED=GAAP","Sort=A","Dates=H","DateFormat=P","Fill=—","Direction=H","UseDPDF=Y")</f>
        <v>25.494700000000002</v>
      </c>
      <c r="F31" s="13">
        <f>_xll.BDH("NBIX US Equity","AFTER_TAX_INTEREST_EXPENSE","FQ1 2020","FQ1 2020","Currency=USD","Period=FQ","BEST_FPERIOD_OVERRIDE=FQ","FILING_STATUS=MR","SCALING_FORMAT=MLN","FA_ADJUSTED=GAAP","Sort=A","Dates=H","DateFormat=P","Fill=—","Direction=H","UseDPDF=Y")</f>
        <v>30.404299999999999</v>
      </c>
      <c r="G31" s="13">
        <f>_xll.BDH("NBIX US Equity","AFTER_TAX_INTEREST_EXPENSE","FQ2 2020","FQ2 2020","Currency=USD","Period=FQ","BEST_FPERIOD_OVERRIDE=FQ","FILING_STATUS=MR","SCALING_FORMAT=MLN","FA_ADJUSTED=GAAP","Sort=A","Dates=H","DateFormat=P","Fill=—","Direction=H","UseDPDF=Y")</f>
        <v>30.598700000000001</v>
      </c>
      <c r="H31" s="13">
        <f>_xll.BDH("NBIX US Equity","AFTER_TAX_INTEREST_EXPENSE","FQ3 2020","FQ3 2020","Currency=USD","Period=FQ","BEST_FPERIOD_OVERRIDE=FQ","FILING_STATUS=MR","SCALING_FORMAT=MLN","FA_ADJUSTED=GAAP","Sort=A","Dates=H","DateFormat=P","Fill=—","Direction=H","UseDPDF=Y")</f>
        <v>29.9313</v>
      </c>
      <c r="I31" s="13" t="str">
        <f>_xll.BDH("NBIX US Equity","AFTER_TAX_INTEREST_EXPENSE","FQ4 2020","FQ4 2020","Currency=USD","Period=FQ","BEST_FPERIOD_OVERRIDE=FQ","FILING_STATUS=MR","SCALING_FORMAT=MLN","FA_ADJUSTED=GAAP","Sort=A","Dates=H","DateFormat=P","Fill=—","Direction=H","UseDPDF=Y")</f>
        <v>—</v>
      </c>
      <c r="J31" s="13" t="str">
        <f>_xll.BDH("NBIX US Equity","AFTER_TAX_INTEREST_EXPENSE","FQ1 2021","FQ1 2021","Currency=USD","Period=FQ","BEST_FPERIOD_OVERRIDE=FQ","FILING_STATUS=MR","SCALING_FORMAT=MLN","FA_ADJUSTED=GAAP","Sort=A","Dates=H","DateFormat=P","Fill=—","Direction=H","UseDPDF=Y")</f>
        <v>—</v>
      </c>
      <c r="K31" s="13" t="str">
        <f>_xll.BDH("NBIX US Equity","AFTER_TAX_INTEREST_EXPENSE","FQ2 2021","FQ2 2021","Currency=USD","Period=FQ","BEST_FPERIOD_OVERRIDE=FQ","FILING_STATUS=MR","SCALING_FORMAT=MLN","FA_ADJUSTED=GAAP","Sort=A","Dates=H","DateFormat=P","Fill=—","Direction=H","UseDPDF=Y")</f>
        <v>—</v>
      </c>
      <c r="L31" s="13" t="str">
        <f>_xll.BDH("NBIX US Equity","AFTER_TAX_INTEREST_EXPENSE","FQ3 2021","FQ3 2021","Currency=USD","Period=FQ","BEST_FPERIOD_OVERRIDE=FQ","FILING_STATUS=MR","SCALING_FORMAT=MLN","FA_ADJUSTED=GAAP","Sort=A","Dates=H","DateFormat=P","Fill=—","Direction=H","UseDPDF=Y")</f>
        <v>—</v>
      </c>
      <c r="M31" s="13">
        <f>_xll.BDH("NBIX US Equity","AFTER_TAX_INTEREST_EXPENSE","FQ4 2021","FQ4 2021","Currency=USD","Period=FQ","BEST_FPERIOD_OVERRIDE=FQ","FILING_STATUS=MR","SCALING_FORMAT=MLN","FA_ADJUSTED=GAAP","Sort=A","Dates=H","DateFormat=P","Fill=—","Direction=H","UseDPDF=Y")</f>
        <v>22.797599999999999</v>
      </c>
      <c r="N31" s="13">
        <f>_xll.BDH("NBIX US Equity","AFTER_TAX_INTEREST_EXPENSE","FQ1 2022","FQ1 2022","Currency=USD","Period=FQ","BEST_FPERIOD_OVERRIDE=FQ","FILING_STATUS=MR","SCALING_FORMAT=MLN","FA_ADJUSTED=GAAP","Sort=A","Dates=H","DateFormat=P","Fill=—","Direction=H","UseDPDF=Y")</f>
        <v>16.431000000000001</v>
      </c>
      <c r="O31" s="13">
        <f>_xll.BDH("NBIX US Equity","AFTER_TAX_INTEREST_EXPENSE","FQ2 2022","FQ2 2022","Currency=USD","Period=FQ","BEST_FPERIOD_OVERRIDE=FQ","FILING_STATUS=MR","SCALING_FORMAT=MLN","FA_ADJUSTED=GAAP","Sort=A","Dates=H","DateFormat=P","Fill=—","Direction=H","UseDPDF=Y")</f>
        <v>14.8378</v>
      </c>
      <c r="P31" s="13">
        <f>_xll.BDH("NBIX US Equity","AFTER_TAX_INTEREST_EXPENSE","FQ3 2022","FQ3 2022","Currency=USD","Period=FQ","BEST_FPERIOD_OVERRIDE=FQ","FILING_STATUS=MR","SCALING_FORMAT=MLN","FA_ADJUSTED=GAAP","Sort=A","Dates=H","DateFormat=P","Fill=—","Direction=H","UseDPDF=Y")</f>
        <v>8.9212000000000007</v>
      </c>
      <c r="Q31" s="13">
        <f>_xll.BDH("NBIX US Equity","AFTER_TAX_INTEREST_EXPENSE","FQ4 2022","FQ4 2022","Currency=USD","Period=FQ","BEST_FPERIOD_OVERRIDE=FQ","FILING_STATUS=MR","SCALING_FORMAT=MLN","FA_ADJUSTED=GAAP","Sort=A","Dates=H","DateFormat=P","Fill=—","Direction=H","UseDPDF=Y")</f>
        <v>5.1283000000000003</v>
      </c>
      <c r="R31" s="13">
        <f>_xll.BDH("NBIX US Equity","AFTER_TAX_INTEREST_EXPENSE","FQ1 2023","FQ1 2023","Currency=USD","Period=FQ","BEST_FPERIOD_OVERRIDE=FQ","FILING_STATUS=MR","SCALING_FORMAT=MLN","FA_ADJUSTED=GAAP","Sort=A","Dates=H","DateFormat=P","Fill=—","Direction=H","UseDPDF=Y")</f>
        <v>4.0179</v>
      </c>
      <c r="S31" s="13">
        <f>_xll.BDH("NBIX US Equity","AFTER_TAX_INTEREST_EXPENSE","FQ2 2023","FQ2 2023","Currency=USD","Period=FQ","BEST_FPERIOD_OVERRIDE=FQ","FILING_STATUS=MR","SCALING_FORMAT=MLN","FA_ADJUSTED=GAAP","Sort=A","Dates=H","DateFormat=P","Fill=—","Direction=H","UseDPDF=Y")</f>
        <v>3.5415999999999999</v>
      </c>
      <c r="T31" s="13">
        <f>_xll.BDH("NBIX US Equity","AFTER_TAX_INTEREST_EXPENSE","FQ3 2023","FQ3 2023","Currency=USD","Period=FQ","BEST_FPERIOD_OVERRIDE=FQ","FILING_STATUS=MR","SCALING_FORMAT=MLN","FA_ADJUSTED=GAAP","Sort=A","Dates=H","DateFormat=P","Fill=—","Direction=H","UseDPDF=Y")</f>
        <v>3.4893000000000001</v>
      </c>
      <c r="U31" s="13">
        <f>_xll.BDH("NBIX US Equity","AFTER_TAX_INTEREST_EXPENSE","FQ4 2023","FQ4 2023","Currency=USD","Period=FQ","BEST_FPERIOD_OVERRIDE=FQ","FILING_STATUS=MR","SCALING_FORMAT=MLN","FA_ADJUSTED=GAAP","Sort=A","Dates=H","DateFormat=P","Fill=—","Direction=H","UseDPDF=Y")</f>
        <v>3.4586999999999999</v>
      </c>
      <c r="V31" s="13">
        <f>_xll.BDH("NBIX US Equity","AFTER_TAX_INTEREST_EXPENSE","FQ1 2024","FQ1 2024","Currency=USD","Period=FQ","BEST_FPERIOD_OVERRIDE=FQ","FILING_STATUS=MR","SCALING_FORMAT=MLN","FA_ADJUSTED=GAAP","Sort=A","Dates=H","DateFormat=P","Fill=—","Direction=H","UseDPDF=Y")</f>
        <v>3.6191</v>
      </c>
      <c r="W31" s="13" t="str">
        <f>_xll.BDH("NBIX US Equity","AFTER_TAX_INTEREST_EXPENSE","FQ2 2024","FQ2 2024","Currency=USD","Period=FQ","BEST_FPERIOD_OVERRIDE=FQ","FILING_STATUS=MR","SCALING_FORMAT=MLN","FA_ADJUSTED=GAAP","Sort=A","Dates=H","DateFormat=P","Fill=—","Direction=H","UseDPDF=Y")</f>
        <v>—</v>
      </c>
      <c r="X31" s="13" t="str">
        <f>_xll.BDH("NBIX US Equity","AFTER_TAX_INTEREST_EXPENSE","FQ3 2024","FQ3 2024","Currency=USD","Period=FQ","BEST_FPERIOD_OVERRIDE=FQ","FILING_STATUS=MR","SCALING_FORMAT=MLN","FA_ADJUSTED=GAAP","Sort=A","Dates=H","DateFormat=P","Fill=—","Direction=H","UseDPDF=Y")</f>
        <v>—</v>
      </c>
      <c r="Y31" s="13" t="str">
        <f>_xll.BDH("NBIX US Equity","AFTER_TAX_INTEREST_EXPENSE","FQ4 2024","FQ4 2024","Currency=USD","Period=FQ","BEST_FPERIOD_OVERRIDE=FQ","FILING_STATUS=MR","SCALING_FORMAT=MLN","FA_ADJUSTED=GAAP","Sort=A","Dates=H","DateFormat=P","Fill=—","Direction=H","UseDPDF=Y")</f>
        <v>—</v>
      </c>
      <c r="Z31" s="13"/>
      <c r="AA31" s="13"/>
    </row>
    <row r="32" spans="1:27" x14ac:dyDescent="0.25">
      <c r="A32" s="6" t="s">
        <v>1493</v>
      </c>
      <c r="B32" s="6" t="s">
        <v>205</v>
      </c>
      <c r="C32" s="19">
        <f>_xll.BDH("NBIX US Equity","TRAIL_12M_FREE_CASH_FLOW_FIRM","FQ2 2019","FQ2 2019","Currency=USD","Period=FQ","BEST_FPERIOD_OVERRIDE=FQ","FILING_STATUS=MR","SCALING_FORMAT=MLN","FA_ADJUSTED=GAAP","Sort=A","Dates=H","DateFormat=P","Fill=—","Direction=H","UseDPDF=Y")</f>
        <v>73.870699999999999</v>
      </c>
      <c r="D32" s="19">
        <f>_xll.BDH("NBIX US Equity","TRAIL_12M_FREE_CASH_FLOW_FIRM","FQ3 2019","FQ3 2019","Currency=USD","Period=FQ","BEST_FPERIOD_OVERRIDE=FQ","FILING_STATUS=MR","SCALING_FORMAT=MLN","FA_ADJUSTED=GAAP","Sort=A","Dates=H","DateFormat=P","Fill=—","Direction=H","UseDPDF=Y")</f>
        <v>106.9551</v>
      </c>
      <c r="E32" s="19">
        <f>_xll.BDH("NBIX US Equity","TRAIL_12M_FREE_CASH_FLOW_FIRM","FQ4 2019","FQ4 2019","Currency=USD","Period=FQ","BEST_FPERIOD_OVERRIDE=FQ","FILING_STATUS=MR","SCALING_FORMAT=MLN","FA_ADJUSTED=GAAP","Sort=A","Dates=H","DateFormat=P","Fill=—","Direction=H","UseDPDF=Y")</f>
        <v>157.7867</v>
      </c>
      <c r="F32" s="19">
        <f>_xll.BDH("NBIX US Equity","TRAIL_12M_FREE_CASH_FLOW_FIRM","FQ1 2020","FQ1 2020","Currency=USD","Period=FQ","BEST_FPERIOD_OVERRIDE=FQ","FILING_STATUS=MR","SCALING_FORMAT=MLN","FA_ADJUSTED=GAAP","Sort=A","Dates=H","DateFormat=P","Fill=—","Direction=H","UseDPDF=Y")</f>
        <v>313.3263</v>
      </c>
      <c r="G32" s="19">
        <f>_xll.BDH("NBIX US Equity","TRAIL_12M_FREE_CASH_FLOW_FIRM","FQ2 2020","FQ2 2020","Currency=USD","Period=FQ","BEST_FPERIOD_OVERRIDE=FQ","FILING_STATUS=MR","SCALING_FORMAT=MLN","FA_ADJUSTED=GAAP","Sort=A","Dates=H","DateFormat=P","Fill=—","Direction=H","UseDPDF=Y")</f>
        <v>368.0077</v>
      </c>
      <c r="H32" s="19">
        <f>_xll.BDH("NBIX US Equity","TRAIL_12M_FREE_CASH_FLOW_FIRM","FQ3 2020","FQ3 2020","Currency=USD","Period=FQ","BEST_FPERIOD_OVERRIDE=FQ","FILING_STATUS=MR","SCALING_FORMAT=MLN","FA_ADJUSTED=GAAP","Sort=A","Dates=H","DateFormat=P","Fill=—","Direction=H","UseDPDF=Y")</f>
        <v>252.25829999999999</v>
      </c>
      <c r="I32" s="19" t="str">
        <f>_xll.BDH("NBIX US Equity","TRAIL_12M_FREE_CASH_FLOW_FIRM","FQ4 2020","FQ4 2020","Currency=USD","Period=FQ","BEST_FPERIOD_OVERRIDE=FQ","FILING_STATUS=MR","SCALING_FORMAT=MLN","FA_ADJUSTED=GAAP","Sort=A","Dates=H","DateFormat=P","Fill=—","Direction=H","UseDPDF=Y")</f>
        <v>—</v>
      </c>
      <c r="J32" s="19" t="str">
        <f>_xll.BDH("NBIX US Equity","TRAIL_12M_FREE_CASH_FLOW_FIRM","FQ1 2021","FQ1 2021","Currency=USD","Period=FQ","BEST_FPERIOD_OVERRIDE=FQ","FILING_STATUS=MR","SCALING_FORMAT=MLN","FA_ADJUSTED=GAAP","Sort=A","Dates=H","DateFormat=P","Fill=—","Direction=H","UseDPDF=Y")</f>
        <v>—</v>
      </c>
      <c r="K32" s="19" t="str">
        <f>_xll.BDH("NBIX US Equity","TRAIL_12M_FREE_CASH_FLOW_FIRM","FQ2 2021","FQ2 2021","Currency=USD","Period=FQ","BEST_FPERIOD_OVERRIDE=FQ","FILING_STATUS=MR","SCALING_FORMAT=MLN","FA_ADJUSTED=GAAP","Sort=A","Dates=H","DateFormat=P","Fill=—","Direction=H","UseDPDF=Y")</f>
        <v>—</v>
      </c>
      <c r="L32" s="19" t="str">
        <f>_xll.BDH("NBIX US Equity","TRAIL_12M_FREE_CASH_FLOW_FIRM","FQ3 2021","FQ3 2021","Currency=USD","Period=FQ","BEST_FPERIOD_OVERRIDE=FQ","FILING_STATUS=MR","SCALING_FORMAT=MLN","FA_ADJUSTED=GAAP","Sort=A","Dates=H","DateFormat=P","Fill=—","Direction=H","UseDPDF=Y")</f>
        <v>—</v>
      </c>
      <c r="M32" s="19">
        <f>_xll.BDH("NBIX US Equity","TRAIL_12M_FREE_CASH_FLOW_FIRM","FQ4 2021","FQ4 2021","Currency=USD","Period=FQ","BEST_FPERIOD_OVERRIDE=FQ","FILING_STATUS=MR","SCALING_FORMAT=MLN","FA_ADJUSTED=GAAP","Sort=A","Dates=H","DateFormat=P","Fill=—","Direction=H","UseDPDF=Y")</f>
        <v>255.89760000000001</v>
      </c>
      <c r="N32" s="19">
        <f>_xll.BDH("NBIX US Equity","TRAIL_12M_FREE_CASH_FLOW_FIRM","FQ1 2022","FQ1 2022","Currency=USD","Period=FQ","BEST_FPERIOD_OVERRIDE=FQ","FILING_STATUS=MR","SCALING_FORMAT=MLN","FA_ADJUSTED=GAAP","Sort=A","Dates=H","DateFormat=P","Fill=—","Direction=H","UseDPDF=Y")</f>
        <v>118.631</v>
      </c>
      <c r="O32" s="19">
        <f>_xll.BDH("NBIX US Equity","TRAIL_12M_FREE_CASH_FLOW_FIRM","FQ2 2022","FQ2 2022","Currency=USD","Period=FQ","BEST_FPERIOD_OVERRIDE=FQ","FILING_STATUS=MR","SCALING_FORMAT=MLN","FA_ADJUSTED=GAAP","Sort=A","Dates=H","DateFormat=P","Fill=—","Direction=H","UseDPDF=Y")</f>
        <v>147.43780000000001</v>
      </c>
      <c r="P32" s="19" t="str">
        <f>_xll.BDH("NBIX US Equity","TRAIL_12M_FREE_CASH_FLOW_FIRM","FQ3 2022","FQ3 2022","Currency=USD","Period=FQ","BEST_FPERIOD_OVERRIDE=FQ","FILING_STATUS=MR","SCALING_FORMAT=MLN","FA_ADJUSTED=GAAP","Sort=A","Dates=H","DateFormat=P","Fill=—","Direction=H","UseDPDF=Y")</f>
        <v>—</v>
      </c>
      <c r="Q32" s="19" t="str">
        <f>_xll.BDH("NBIX US Equity","TRAIL_12M_FREE_CASH_FLOW_FIRM","FQ4 2022","FQ4 2022","Currency=USD","Period=FQ","BEST_FPERIOD_OVERRIDE=FQ","FILING_STATUS=MR","SCALING_FORMAT=MLN","FA_ADJUSTED=GAAP","Sort=A","Dates=H","DateFormat=P","Fill=—","Direction=H","UseDPDF=Y")</f>
        <v>—</v>
      </c>
      <c r="R32" s="19" t="str">
        <f>_xll.BDH("NBIX US Equity","TRAIL_12M_FREE_CASH_FLOW_FIRM","FQ1 2023","FQ1 2023","Currency=USD","Period=FQ","BEST_FPERIOD_OVERRIDE=FQ","FILING_STATUS=MR","SCALING_FORMAT=MLN","FA_ADJUSTED=GAAP","Sort=A","Dates=H","DateFormat=P","Fill=—","Direction=H","UseDPDF=Y")</f>
        <v>—</v>
      </c>
      <c r="S32" s="19" t="str">
        <f>_xll.BDH("NBIX US Equity","TRAIL_12M_FREE_CASH_FLOW_FIRM","FQ2 2023","FQ2 2023","Currency=USD","Period=FQ","BEST_FPERIOD_OVERRIDE=FQ","FILING_STATUS=MR","SCALING_FORMAT=MLN","FA_ADJUSTED=GAAP","Sort=A","Dates=H","DateFormat=P","Fill=—","Direction=H","UseDPDF=Y")</f>
        <v>—</v>
      </c>
      <c r="T32" s="19">
        <f>_xll.BDH("NBIX US Equity","TRAIL_12M_FREE_CASH_FLOW_FIRM","FQ3 2023","FQ3 2023","Currency=USD","Period=FQ","BEST_FPERIOD_OVERRIDE=FQ","FILING_STATUS=MR","SCALING_FORMAT=MLN","FA_ADJUSTED=GAAP","Sort=A","Dates=H","DateFormat=P","Fill=—","Direction=H","UseDPDF=Y")</f>
        <v>388.1893</v>
      </c>
      <c r="U32" s="19">
        <f>_xll.BDH("NBIX US Equity","TRAIL_12M_FREE_CASH_FLOW_FIRM","FQ4 2023","FQ4 2023","Currency=USD","Period=FQ","BEST_FPERIOD_OVERRIDE=FQ","FILING_STATUS=MR","SCALING_FORMAT=MLN","FA_ADJUSTED=GAAP","Sort=A","Dates=H","DateFormat=P","Fill=—","Direction=H","UseDPDF=Y")</f>
        <v>365.05869999999999</v>
      </c>
      <c r="V32" s="19">
        <f>_xll.BDH("NBIX US Equity","TRAIL_12M_FREE_CASH_FLOW_FIRM","FQ1 2024","FQ1 2024","Currency=USD","Period=FQ","BEST_FPERIOD_OVERRIDE=FQ","FILING_STATUS=MR","SCALING_FORMAT=MLN","FA_ADJUSTED=GAAP","Sort=A","Dates=H","DateFormat=P","Fill=—","Direction=H","UseDPDF=Y")</f>
        <v>618.01909999999998</v>
      </c>
      <c r="W32" s="19" t="str">
        <f>_xll.BDH("NBIX US Equity","TRAIL_12M_FREE_CASH_FLOW_FIRM","FQ2 2024","FQ2 2024","Currency=USD","Period=FQ","BEST_FPERIOD_OVERRIDE=FQ","FILING_STATUS=MR","SCALING_FORMAT=MLN","FA_ADJUSTED=GAAP","Sort=A","Dates=H","DateFormat=P","Fill=—","Direction=H","UseDPDF=Y")</f>
        <v>—</v>
      </c>
      <c r="X32" s="19" t="str">
        <f>_xll.BDH("NBIX US Equity","TRAIL_12M_FREE_CASH_FLOW_FIRM","FQ3 2024","FQ3 2024","Currency=USD","Period=FQ","BEST_FPERIOD_OVERRIDE=FQ","FILING_STATUS=MR","SCALING_FORMAT=MLN","FA_ADJUSTED=GAAP","Sort=A","Dates=H","DateFormat=P","Fill=—","Direction=H","UseDPDF=Y")</f>
        <v>—</v>
      </c>
      <c r="Y32" s="19" t="str">
        <f>_xll.BDH("NBIX US Equity","TRAIL_12M_FREE_CASH_FLOW_FIRM","FQ4 2024","FQ4 2024","Currency=USD","Period=FQ","BEST_FPERIOD_OVERRIDE=FQ","FILING_STATUS=MR","SCALING_FORMAT=MLN","FA_ADJUSTED=GAAP","Sort=A","Dates=H","DateFormat=P","Fill=—","Direction=H","UseDPDF=Y")</f>
        <v>—</v>
      </c>
      <c r="Z32" s="19"/>
      <c r="AA32" s="19"/>
    </row>
    <row r="33" spans="1:27" x14ac:dyDescent="0.25">
      <c r="A33" s="11" t="s">
        <v>1494</v>
      </c>
      <c r="B33" s="11" t="s">
        <v>69</v>
      </c>
      <c r="C33" s="25">
        <f>_xll.BDH("NBIX US Equity","ENTERPRISE_VALUE","FQ2 2019","FQ2 2019","Currency=USD","Period=FQ","BEST_FPERIOD_OVERRIDE=FQ","FILING_STATUS=MR","SCALING_FORMAT=MLN","Sort=A","Dates=H","DateFormat=P","Fill=—","Direction=H","UseDPDF=Y")</f>
        <v>7576.8064999999997</v>
      </c>
      <c r="D33" s="25">
        <f>_xll.BDH("NBIX US Equity","ENTERPRISE_VALUE","FQ3 2019","FQ3 2019","Currency=USD","Period=FQ","BEST_FPERIOD_OVERRIDE=FQ","FILING_STATUS=MR","SCALING_FORMAT=MLN","Sort=A","Dates=H","DateFormat=P","Fill=—","Direction=H","UseDPDF=Y")</f>
        <v>8113.3968000000004</v>
      </c>
      <c r="E33" s="25">
        <f>_xll.BDH("NBIX US Equity","ENTERPRISE_VALUE","FQ4 2019","FQ4 2019","Currency=USD","Period=FQ","BEST_FPERIOD_OVERRIDE=FQ","FILING_STATUS=MR","SCALING_FORMAT=MLN","Sort=A","Dates=H","DateFormat=P","Fill=—","Direction=H","UseDPDF=Y")</f>
        <v>9754.6090000000004</v>
      </c>
      <c r="F33" s="25">
        <f>_xll.BDH("NBIX US Equity","ENTERPRISE_VALUE","FQ1 2020","FQ1 2020","Currency=USD","Period=FQ","BEST_FPERIOD_OVERRIDE=FQ","FILING_STATUS=MR","SCALING_FORMAT=MLN","Sort=A","Dates=H","DateFormat=P","Fill=—","Direction=H","UseDPDF=Y")</f>
        <v>7768.64</v>
      </c>
      <c r="G33" s="25">
        <f>_xll.BDH("NBIX US Equity","ENTERPRISE_VALUE","FQ2 2020","FQ2 2020","Currency=USD","Period=FQ","BEST_FPERIOD_OVERRIDE=FQ","FILING_STATUS=MR","SCALING_FORMAT=MLN","Sort=A","Dates=H","DateFormat=P","Fill=—","Direction=H","UseDPDF=Y")</f>
        <v>10935.1</v>
      </c>
      <c r="H33" s="25">
        <f>_xll.BDH("NBIX US Equity","ENTERPRISE_VALUE","FQ3 2020","FQ3 2020","Currency=USD","Period=FQ","BEST_FPERIOD_OVERRIDE=FQ","FILING_STATUS=MR","SCALING_FORMAT=MLN","Sort=A","Dates=H","DateFormat=P","Fill=—","Direction=H","UseDPDF=Y")</f>
        <v>8554.3439999999991</v>
      </c>
      <c r="I33" s="25">
        <f>_xll.BDH("NBIX US Equity","ENTERPRISE_VALUE","FQ4 2020","FQ4 2020","Currency=USD","Period=FQ","BEST_FPERIOD_OVERRIDE=FQ","FILING_STATUS=MR","SCALING_FORMAT=MLN","Sort=A","Dates=H","DateFormat=P","Fill=—","Direction=H","UseDPDF=Y")</f>
        <v>8583.5750000000007</v>
      </c>
      <c r="J33" s="25">
        <f>_xll.BDH("NBIX US Equity","ENTERPRISE_VALUE","FQ1 2021","FQ1 2021","Currency=USD","Period=FQ","BEST_FPERIOD_OVERRIDE=FQ","FILING_STATUS=MR","SCALING_FORMAT=MLN","Sort=A","Dates=H","DateFormat=P","Fill=—","Direction=H","UseDPDF=Y")</f>
        <v>8758.125</v>
      </c>
      <c r="K33" s="25">
        <f>_xll.BDH("NBIX US Equity","ENTERPRISE_VALUE","FQ2 2021","FQ2 2021","Currency=USD","Period=FQ","BEST_FPERIOD_OVERRIDE=FQ","FILING_STATUS=MR","SCALING_FORMAT=MLN","Sort=A","Dates=H","DateFormat=P","Fill=—","Direction=H","UseDPDF=Y")</f>
        <v>8771.8719999999994</v>
      </c>
      <c r="L33" s="25">
        <f>_xll.BDH("NBIX US Equity","ENTERPRISE_VALUE","FQ3 2021","FQ3 2021","Currency=USD","Period=FQ","BEST_FPERIOD_OVERRIDE=FQ","FILING_STATUS=MR","SCALING_FORMAT=MLN","Sort=A","Dates=H","DateFormat=P","Fill=—","Direction=H","UseDPDF=Y")</f>
        <v>8778.9680000000008</v>
      </c>
      <c r="M33" s="25">
        <f>_xll.BDH("NBIX US Equity","ENTERPRISE_VALUE","FQ4 2021","FQ4 2021","Currency=USD","Period=FQ","BEST_FPERIOD_OVERRIDE=FQ","FILING_STATUS=MR","SCALING_FORMAT=MLN","Sort=A","Dates=H","DateFormat=P","Fill=—","Direction=H","UseDPDF=Y")</f>
        <v>7828.2330000000002</v>
      </c>
      <c r="N33" s="25">
        <f>_xll.BDH("NBIX US Equity","ENTERPRISE_VALUE","FQ1 2022","FQ1 2022","Currency=USD","Period=FQ","BEST_FPERIOD_OVERRIDE=FQ","FILING_STATUS=MR","SCALING_FORMAT=MLN","Sort=A","Dates=H","DateFormat=P","Fill=—","Direction=H","UseDPDF=Y")</f>
        <v>8785.3250000000007</v>
      </c>
      <c r="O33" s="25">
        <f>_xll.BDH("NBIX US Equity","ENTERPRISE_VALUE","FQ2 2022","FQ2 2022","Currency=USD","Period=FQ","BEST_FPERIOD_OVERRIDE=FQ","FILING_STATUS=MR","SCALING_FORMAT=MLN","Sort=A","Dates=H","DateFormat=P","Fill=—","Direction=H","UseDPDF=Y")</f>
        <v>8956.4879999999994</v>
      </c>
      <c r="P33" s="25">
        <f>_xll.BDH("NBIX US Equity","ENTERPRISE_VALUE","FQ3 2022","FQ3 2022","Currency=USD","Period=FQ","BEST_FPERIOD_OVERRIDE=FQ","FILING_STATUS=MR","SCALING_FORMAT=MLN","Sort=A","Dates=H","DateFormat=P","Fill=—","Direction=H","UseDPDF=Y")</f>
        <v>9690.4809999999998</v>
      </c>
      <c r="Q33" s="25">
        <f>_xll.BDH("NBIX US Equity","ENTERPRISE_VALUE","FQ4 2022","FQ4 2022","Currency=USD","Period=FQ","BEST_FPERIOD_OVERRIDE=FQ","FILING_STATUS=MR","SCALING_FORMAT=MLN","Sort=A","Dates=H","DateFormat=P","Fill=—","Direction=H","UseDPDF=Y")</f>
        <v>10799.56</v>
      </c>
      <c r="R33" s="25">
        <f>_xll.BDH("NBIX US Equity","ENTERPRISE_VALUE","FQ1 2023","FQ1 2023","Currency=USD","Period=FQ","BEST_FPERIOD_OVERRIDE=FQ","FILING_STATUS=MR","SCALING_FORMAT=MLN","Sort=A","Dates=H","DateFormat=P","Fill=—","Direction=H","UseDPDF=Y")</f>
        <v>9234.25</v>
      </c>
      <c r="S33" s="25">
        <f>_xll.BDH("NBIX US Equity","ENTERPRISE_VALUE","FQ2 2023","FQ2 2023","Currency=USD","Period=FQ","BEST_FPERIOD_OVERRIDE=FQ","FILING_STATUS=MR","SCALING_FORMAT=MLN","Sort=A","Dates=H","DateFormat=P","Fill=—","Direction=H","UseDPDF=Y")</f>
        <v>8503.48</v>
      </c>
      <c r="T33" s="25">
        <f>_xll.BDH("NBIX US Equity","ENTERPRISE_VALUE","FQ3 2023","FQ3 2023","Currency=USD","Period=FQ","BEST_FPERIOD_OVERRIDE=FQ","FILING_STATUS=MR","SCALING_FORMAT=MLN","Sort=A","Dates=H","DateFormat=P","Fill=—","Direction=H","UseDPDF=Y")</f>
        <v>10226</v>
      </c>
      <c r="U33" s="25">
        <f>_xll.BDH("NBIX US Equity","ENTERPRISE_VALUE","FQ4 2023","FQ4 2023","Currency=USD","Period=FQ","BEST_FPERIOD_OVERRIDE=FQ","FILING_STATUS=MR","SCALING_FORMAT=MLN","Sort=A","Dates=H","DateFormat=P","Fill=—","Direction=H","UseDPDF=Y")</f>
        <v>12433.512000000001</v>
      </c>
      <c r="V33" s="25">
        <f>_xll.BDH("NBIX US Equity","ENTERPRISE_VALUE","FQ1 2024","FQ1 2024","Currency=USD","Period=FQ","BEST_FPERIOD_OVERRIDE=FQ","FILING_STATUS=MR","SCALING_FORMAT=MLN","Sort=A","Dates=H","DateFormat=P","Fill=—","Direction=H","UseDPDF=Y")</f>
        <v>13074.852000000001</v>
      </c>
      <c r="W33" s="25">
        <f>_xll.BDH("NBIX US Equity","ENTERPRISE_VALUE","FQ2 2024","FQ2 2024","Currency=USD","Period=FQ","BEST_FPERIOD_OVERRIDE=FQ","FILING_STATUS=MR","SCALING_FORMAT=MLN","Sort=A","Dates=H","DateFormat=P","Fill=—","Direction=H","UseDPDF=Y")</f>
        <v>13143.602999999999</v>
      </c>
      <c r="X33" s="25">
        <f>_xll.BDH("NBIX US Equity","ENTERPRISE_VALUE","FQ3 2024","FQ3 2024","Currency=USD","Period=FQ","BEST_FPERIOD_OVERRIDE=FQ","FILING_STATUS=MR","SCALING_FORMAT=MLN","Sort=A","Dates=H","DateFormat=P","Fill=—","Direction=H","UseDPDF=Y")</f>
        <v>10718.464</v>
      </c>
      <c r="Y33" s="25">
        <f>_xll.BDH("NBIX US Equity","ENTERPRISE_VALUE","FQ4 2024","FQ4 2024","Currency=USD","Period=FQ","BEST_FPERIOD_OVERRIDE=FQ","FILING_STATUS=MR","SCALING_FORMAT=MLN","Sort=A","Dates=H","DateFormat=P","Fill=—","Direction=H","UseDPDF=Y")</f>
        <v>12987.7</v>
      </c>
      <c r="Z33" s="25"/>
      <c r="AA33" s="25"/>
    </row>
    <row r="34" spans="1:27" x14ac:dyDescent="0.25">
      <c r="A34" s="6" t="s">
        <v>1495</v>
      </c>
      <c r="B34" s="6" t="s">
        <v>1496</v>
      </c>
      <c r="C34" s="20">
        <f>_xll.BDH("NBIX US Equity","T12M_FCF_TO_FIRM_YIELD","FQ2 2019","FQ2 2019","Currency=USD","Period=FQ","BEST_FPERIOD_OVERRIDE=FQ","FILING_STATUS=MR","FA_ADJUSTED=GAAP","Sort=A","Dates=H","DateFormat=P","Fill=—","Direction=H","UseDPDF=Y")</f>
        <v>1.1205000000000001</v>
      </c>
      <c r="D34" s="20">
        <f>_xll.BDH("NBIX US Equity","T12M_FCF_TO_FIRM_YIELD","FQ3 2019","FQ3 2019","Currency=USD","Period=FQ","BEST_FPERIOD_OVERRIDE=FQ","FILING_STATUS=MR","FA_ADJUSTED=GAAP","Sort=A","Dates=H","DateFormat=P","Fill=—","Direction=H","UseDPDF=Y")</f>
        <v>1.4534</v>
      </c>
      <c r="E34" s="20">
        <f>_xll.BDH("NBIX US Equity","T12M_FCF_TO_FIRM_YIELD","FQ4 2019","FQ4 2019","Currency=USD","Period=FQ","BEST_FPERIOD_OVERRIDE=FQ","FILING_STATUS=MR","FA_ADJUSTED=GAAP","Sort=A","Dates=H","DateFormat=P","Fill=—","Direction=H","UseDPDF=Y")</f>
        <v>1.7352000000000001</v>
      </c>
      <c r="F34" s="20">
        <f>_xll.BDH("NBIX US Equity","T12M_FCF_TO_FIRM_YIELD","FQ1 2020","FQ1 2020","Currency=USD","Period=FQ","BEST_FPERIOD_OVERRIDE=FQ","FILING_STATUS=MR","FA_ADJUSTED=GAAP","Sort=A","Dates=H","DateFormat=P","Fill=—","Direction=H","UseDPDF=Y")</f>
        <v>4.1985000000000001</v>
      </c>
      <c r="G34" s="20">
        <f>_xll.BDH("NBIX US Equity","T12M_FCF_TO_FIRM_YIELD","FQ2 2020","FQ2 2020","Currency=USD","Period=FQ","BEST_FPERIOD_OVERRIDE=FQ","FILING_STATUS=MR","FA_ADJUSTED=GAAP","Sort=A","Dates=H","DateFormat=P","Fill=—","Direction=H","UseDPDF=Y")</f>
        <v>3.4887999999999999</v>
      </c>
      <c r="H34" s="20">
        <f>_xll.BDH("NBIX US Equity","T12M_FCF_TO_FIRM_YIELD","FQ3 2020","FQ3 2020","Currency=USD","Period=FQ","BEST_FPERIOD_OVERRIDE=FQ","FILING_STATUS=MR","FA_ADJUSTED=GAAP","Sort=A","Dates=H","DateFormat=P","Fill=—","Direction=H","UseDPDF=Y")</f>
        <v>3.1061000000000001</v>
      </c>
      <c r="I34" s="20" t="str">
        <f>_xll.BDH("NBIX US Equity","T12M_FCF_TO_FIRM_YIELD","FQ4 2020","FQ4 2020","Currency=USD","Period=FQ","BEST_FPERIOD_OVERRIDE=FQ","FILING_STATUS=MR","FA_ADJUSTED=GAAP","Sort=A","Dates=H","DateFormat=P","Fill=—","Direction=H","UseDPDF=Y")</f>
        <v>—</v>
      </c>
      <c r="J34" s="20" t="str">
        <f>_xll.BDH("NBIX US Equity","T12M_FCF_TO_FIRM_YIELD","FQ1 2021","FQ1 2021","Currency=USD","Period=FQ","BEST_FPERIOD_OVERRIDE=FQ","FILING_STATUS=MR","FA_ADJUSTED=GAAP","Sort=A","Dates=H","DateFormat=P","Fill=—","Direction=H","UseDPDF=Y")</f>
        <v>—</v>
      </c>
      <c r="K34" s="20" t="str">
        <f>_xll.BDH("NBIX US Equity","T12M_FCF_TO_FIRM_YIELD","FQ2 2021","FQ2 2021","Currency=USD","Period=FQ","BEST_FPERIOD_OVERRIDE=FQ","FILING_STATUS=MR","FA_ADJUSTED=GAAP","Sort=A","Dates=H","DateFormat=P","Fill=—","Direction=H","UseDPDF=Y")</f>
        <v>—</v>
      </c>
      <c r="L34" s="20" t="str">
        <f>_xll.BDH("NBIX US Equity","T12M_FCF_TO_FIRM_YIELD","FQ3 2021","FQ3 2021","Currency=USD","Period=FQ","BEST_FPERIOD_OVERRIDE=FQ","FILING_STATUS=MR","FA_ADJUSTED=GAAP","Sort=A","Dates=H","DateFormat=P","Fill=—","Direction=H","UseDPDF=Y")</f>
        <v>—</v>
      </c>
      <c r="M34" s="20">
        <f>_xll.BDH("NBIX US Equity","T12M_FCF_TO_FIRM_YIELD","FQ4 2021","FQ4 2021","Currency=USD","Period=FQ","BEST_FPERIOD_OVERRIDE=FQ","FILING_STATUS=MR","FA_ADJUSTED=GAAP","Sort=A","Dates=H","DateFormat=P","Fill=—","Direction=H","UseDPDF=Y")</f>
        <v>3.4298999999999999</v>
      </c>
      <c r="N34" s="20">
        <f>_xll.BDH("NBIX US Equity","T12M_FCF_TO_FIRM_YIELD","FQ1 2022","FQ1 2022","Currency=USD","Period=FQ","BEST_FPERIOD_OVERRIDE=FQ","FILING_STATUS=MR","FA_ADJUSTED=GAAP","Sort=A","Dates=H","DateFormat=P","Fill=—","Direction=H","UseDPDF=Y")</f>
        <v>1.5097</v>
      </c>
      <c r="O34" s="20">
        <f>_xll.BDH("NBIX US Equity","T12M_FCF_TO_FIRM_YIELD","FQ2 2022","FQ2 2022","Currency=USD","Period=FQ","BEST_FPERIOD_OVERRIDE=FQ","FILING_STATUS=MR","FA_ADJUSTED=GAAP","Sort=A","Dates=H","DateFormat=P","Fill=—","Direction=H","UseDPDF=Y")</f>
        <v>1.7701</v>
      </c>
      <c r="P34" s="20" t="str">
        <f>_xll.BDH("NBIX US Equity","T12M_FCF_TO_FIRM_YIELD","FQ3 2022","FQ3 2022","Currency=USD","Period=FQ","BEST_FPERIOD_OVERRIDE=FQ","FILING_STATUS=MR","FA_ADJUSTED=GAAP","Sort=A","Dates=H","DateFormat=P","Fill=—","Direction=H","UseDPDF=Y")</f>
        <v>—</v>
      </c>
      <c r="Q34" s="20" t="str">
        <f>_xll.BDH("NBIX US Equity","T12M_FCF_TO_FIRM_YIELD","FQ4 2022","FQ4 2022","Currency=USD","Period=FQ","BEST_FPERIOD_OVERRIDE=FQ","FILING_STATUS=MR","FA_ADJUSTED=GAAP","Sort=A","Dates=H","DateFormat=P","Fill=—","Direction=H","UseDPDF=Y")</f>
        <v>—</v>
      </c>
      <c r="R34" s="20" t="str">
        <f>_xll.BDH("NBIX US Equity","T12M_FCF_TO_FIRM_YIELD","FQ1 2023","FQ1 2023","Currency=USD","Period=FQ","BEST_FPERIOD_OVERRIDE=FQ","FILING_STATUS=MR","FA_ADJUSTED=GAAP","Sort=A","Dates=H","DateFormat=P","Fill=—","Direction=H","UseDPDF=Y")</f>
        <v>—</v>
      </c>
      <c r="S34" s="20" t="str">
        <f>_xll.BDH("NBIX US Equity","T12M_FCF_TO_FIRM_YIELD","FQ2 2023","FQ2 2023","Currency=USD","Period=FQ","BEST_FPERIOD_OVERRIDE=FQ","FILING_STATUS=MR","FA_ADJUSTED=GAAP","Sort=A","Dates=H","DateFormat=P","Fill=—","Direction=H","UseDPDF=Y")</f>
        <v>—</v>
      </c>
      <c r="T34" s="20">
        <f>_xll.BDH("NBIX US Equity","T12M_FCF_TO_FIRM_YIELD","FQ3 2023","FQ3 2023","Currency=USD","Period=FQ","BEST_FPERIOD_OVERRIDE=FQ","FILING_STATUS=MR","FA_ADJUSTED=GAAP","Sort=A","Dates=H","DateFormat=P","Fill=—","Direction=H","UseDPDF=Y")</f>
        <v>3.9731000000000001</v>
      </c>
      <c r="U34" s="20">
        <f>_xll.BDH("NBIX US Equity","T12M_FCF_TO_FIRM_YIELD","FQ4 2023","FQ4 2023","Currency=USD","Period=FQ","BEST_FPERIOD_OVERRIDE=FQ","FILING_STATUS=MR","FA_ADJUSTED=GAAP","Sort=A","Dates=H","DateFormat=P","Fill=—","Direction=H","UseDPDF=Y")</f>
        <v>3.1193</v>
      </c>
      <c r="V34" s="20">
        <f>_xll.BDH("NBIX US Equity","T12M_FCF_TO_FIRM_YIELD","FQ1 2024","FQ1 2024","Currency=USD","Period=FQ","BEST_FPERIOD_OVERRIDE=FQ","FILING_STATUS=MR","FA_ADJUSTED=GAAP","Sort=A","Dates=H","DateFormat=P","Fill=—","Direction=H","UseDPDF=Y")</f>
        <v>4.9305000000000003</v>
      </c>
      <c r="W34" s="20" t="str">
        <f>_xll.BDH("NBIX US Equity","T12M_FCF_TO_FIRM_YIELD","FQ2 2024","FQ2 2024","Currency=USD","Period=FQ","BEST_FPERIOD_OVERRIDE=FQ","FILING_STATUS=MR","FA_ADJUSTED=GAAP","Sort=A","Dates=H","DateFormat=P","Fill=—","Direction=H","UseDPDF=Y")</f>
        <v>—</v>
      </c>
      <c r="X34" s="20" t="str">
        <f>_xll.BDH("NBIX US Equity","T12M_FCF_TO_FIRM_YIELD","FQ3 2024","FQ3 2024","Currency=USD","Period=FQ","BEST_FPERIOD_OVERRIDE=FQ","FILING_STATUS=MR","FA_ADJUSTED=GAAP","Sort=A","Dates=H","DateFormat=P","Fill=—","Direction=H","UseDPDF=Y")</f>
        <v>—</v>
      </c>
      <c r="Y34" s="20" t="str">
        <f>_xll.BDH("NBIX US Equity","T12M_FCF_TO_FIRM_YIELD","FQ4 2024","FQ4 2024","Currency=USD","Period=FQ","BEST_FPERIOD_OVERRIDE=FQ","FILING_STATUS=MR","FA_ADJUSTED=GAAP","Sort=A","Dates=H","DateFormat=P","Fill=—","Direction=H","UseDPDF=Y")</f>
        <v>—</v>
      </c>
      <c r="Z34" s="20"/>
      <c r="AA34" s="20"/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10" t="s">
        <v>1484</v>
      </c>
      <c r="B36" s="10" t="s">
        <v>1472</v>
      </c>
      <c r="C36" s="13">
        <f>_xll.BDH("NBIX US Equity","T12M_DVDS_PAID","FQ2 2019","FQ2 2019","Currency=USD","Period=FQ","BEST_FPERIOD_OVERRIDE=FQ","FILING_STATUS=MR","SCALING_FORMAT=MLN","Sort=A","Dates=H","DateFormat=P","Fill=—","Direction=H","UseDPDF=Y")</f>
        <v>0</v>
      </c>
      <c r="D36" s="13">
        <f>_xll.BDH("NBIX US Equity","T12M_DVDS_PAID","FQ3 2019","FQ3 2019","Currency=USD","Period=FQ","BEST_FPERIOD_OVERRIDE=FQ","FILING_STATUS=MR","SCALING_FORMAT=MLN","Sort=A","Dates=H","DateFormat=P","Fill=—","Direction=H","UseDPDF=Y")</f>
        <v>0</v>
      </c>
      <c r="E36" s="13">
        <f>_xll.BDH("NBIX US Equity","T12M_DVDS_PAID","FQ4 2019","FQ4 2019","Currency=USD","Period=FQ","BEST_FPERIOD_OVERRIDE=FQ","FILING_STATUS=MR","SCALING_FORMAT=MLN","Sort=A","Dates=H","DateFormat=P","Fill=—","Direction=H","UseDPDF=Y")</f>
        <v>0</v>
      </c>
      <c r="F36" s="13">
        <f>_xll.BDH("NBIX US Equity","T12M_DVDS_PAID","FQ1 2020","FQ1 2020","Currency=USD","Period=FQ","BEST_FPERIOD_OVERRIDE=FQ","FILING_STATUS=MR","SCALING_FORMAT=MLN","Sort=A","Dates=H","DateFormat=P","Fill=—","Direction=H","UseDPDF=Y")</f>
        <v>0</v>
      </c>
      <c r="G36" s="13">
        <f>_xll.BDH("NBIX US Equity","T12M_DVDS_PAID","FQ2 2020","FQ2 2020","Currency=USD","Period=FQ","BEST_FPERIOD_OVERRIDE=FQ","FILING_STATUS=MR","SCALING_FORMAT=MLN","Sort=A","Dates=H","DateFormat=P","Fill=—","Direction=H","UseDPDF=Y")</f>
        <v>0</v>
      </c>
      <c r="H36" s="13">
        <f>_xll.BDH("NBIX US Equity","T12M_DVDS_PAID","FQ3 2020","FQ3 2020","Currency=USD","Period=FQ","BEST_FPERIOD_OVERRIDE=FQ","FILING_STATUS=MR","SCALING_FORMAT=MLN","Sort=A","Dates=H","DateFormat=P","Fill=—","Direction=H","UseDPDF=Y")</f>
        <v>0</v>
      </c>
      <c r="I36" s="13">
        <f>_xll.BDH("NBIX US Equity","T12M_DVDS_PAID","FQ4 2020","FQ4 2020","Currency=USD","Period=FQ","BEST_FPERIOD_OVERRIDE=FQ","FILING_STATUS=MR","SCALING_FORMAT=MLN","Sort=A","Dates=H","DateFormat=P","Fill=—","Direction=H","UseDPDF=Y")</f>
        <v>0</v>
      </c>
      <c r="J36" s="13">
        <f>_xll.BDH("NBIX US Equity","T12M_DVDS_PAID","FQ1 2021","FQ1 2021","Currency=USD","Period=FQ","BEST_FPERIOD_OVERRIDE=FQ","FILING_STATUS=MR","SCALING_FORMAT=MLN","Sort=A","Dates=H","DateFormat=P","Fill=—","Direction=H","UseDPDF=Y")</f>
        <v>0</v>
      </c>
      <c r="K36" s="13">
        <f>_xll.BDH("NBIX US Equity","T12M_DVDS_PAID","FQ2 2021","FQ2 2021","Currency=USD","Period=FQ","BEST_FPERIOD_OVERRIDE=FQ","FILING_STATUS=MR","SCALING_FORMAT=MLN","Sort=A","Dates=H","DateFormat=P","Fill=—","Direction=H","UseDPDF=Y")</f>
        <v>0</v>
      </c>
      <c r="L36" s="13">
        <f>_xll.BDH("NBIX US Equity","T12M_DVDS_PAID","FQ3 2021","FQ3 2021","Currency=USD","Period=FQ","BEST_FPERIOD_OVERRIDE=FQ","FILING_STATUS=MR","SCALING_FORMAT=MLN","Sort=A","Dates=H","DateFormat=P","Fill=—","Direction=H","UseDPDF=Y")</f>
        <v>0</v>
      </c>
      <c r="M36" s="13">
        <f>_xll.BDH("NBIX US Equity","T12M_DVDS_PAID","FQ4 2021","FQ4 2021","Currency=USD","Period=FQ","BEST_FPERIOD_OVERRIDE=FQ","FILING_STATUS=MR","SCALING_FORMAT=MLN","Sort=A","Dates=H","DateFormat=P","Fill=—","Direction=H","UseDPDF=Y")</f>
        <v>0</v>
      </c>
      <c r="N36" s="13">
        <f>_xll.BDH("NBIX US Equity","T12M_DVDS_PAID","FQ1 2022","FQ1 2022","Currency=USD","Period=FQ","BEST_FPERIOD_OVERRIDE=FQ","FILING_STATUS=MR","SCALING_FORMAT=MLN","Sort=A","Dates=H","DateFormat=P","Fill=—","Direction=H","UseDPDF=Y")</f>
        <v>0</v>
      </c>
      <c r="O36" s="13">
        <f>_xll.BDH("NBIX US Equity","T12M_DVDS_PAID","FQ2 2022","FQ2 2022","Currency=USD","Period=FQ","BEST_FPERIOD_OVERRIDE=FQ","FILING_STATUS=MR","SCALING_FORMAT=MLN","Sort=A","Dates=H","DateFormat=P","Fill=—","Direction=H","UseDPDF=Y")</f>
        <v>0</v>
      </c>
      <c r="P36" s="13">
        <f>_xll.BDH("NBIX US Equity","T12M_DVDS_PAID","FQ3 2022","FQ3 2022","Currency=USD","Period=FQ","BEST_FPERIOD_OVERRIDE=FQ","FILING_STATUS=MR","SCALING_FORMAT=MLN","Sort=A","Dates=H","DateFormat=P","Fill=—","Direction=H","UseDPDF=Y")</f>
        <v>0</v>
      </c>
      <c r="Q36" s="13">
        <f>_xll.BDH("NBIX US Equity","T12M_DVDS_PAID","FQ4 2022","FQ4 2022","Currency=USD","Period=FQ","BEST_FPERIOD_OVERRIDE=FQ","FILING_STATUS=MR","SCALING_FORMAT=MLN","Sort=A","Dates=H","DateFormat=P","Fill=—","Direction=H","UseDPDF=Y")</f>
        <v>0</v>
      </c>
      <c r="R36" s="13">
        <f>_xll.BDH("NBIX US Equity","T12M_DVDS_PAID","FQ1 2023","FQ1 2023","Currency=USD","Period=FQ","BEST_FPERIOD_OVERRIDE=FQ","FILING_STATUS=MR","SCALING_FORMAT=MLN","Sort=A","Dates=H","DateFormat=P","Fill=—","Direction=H","UseDPDF=Y")</f>
        <v>0</v>
      </c>
      <c r="S36" s="13">
        <f>_xll.BDH("NBIX US Equity","T12M_DVDS_PAID","FQ2 2023","FQ2 2023","Currency=USD","Period=FQ","BEST_FPERIOD_OVERRIDE=FQ","FILING_STATUS=MR","SCALING_FORMAT=MLN","Sort=A","Dates=H","DateFormat=P","Fill=—","Direction=H","UseDPDF=Y")</f>
        <v>0</v>
      </c>
      <c r="T36" s="13">
        <f>_xll.BDH("NBIX US Equity","T12M_DVDS_PAID","FQ3 2023","FQ3 2023","Currency=USD","Period=FQ","BEST_FPERIOD_OVERRIDE=FQ","FILING_STATUS=MR","SCALING_FORMAT=MLN","Sort=A","Dates=H","DateFormat=P","Fill=—","Direction=H","UseDPDF=Y")</f>
        <v>0</v>
      </c>
      <c r="U36" s="13">
        <f>_xll.BDH("NBIX US Equity","T12M_DVDS_PAID","FQ4 2023","FQ4 2023","Currency=USD","Period=FQ","BEST_FPERIOD_OVERRIDE=FQ","FILING_STATUS=MR","SCALING_FORMAT=MLN","Sort=A","Dates=H","DateFormat=P","Fill=—","Direction=H","UseDPDF=Y")</f>
        <v>0</v>
      </c>
      <c r="V36" s="13">
        <f>_xll.BDH("NBIX US Equity","T12M_DVDS_PAID","FQ1 2024","FQ1 2024","Currency=USD","Period=FQ","BEST_FPERIOD_OVERRIDE=FQ","FILING_STATUS=MR","SCALING_FORMAT=MLN","Sort=A","Dates=H","DateFormat=P","Fill=—","Direction=H","UseDPDF=Y")</f>
        <v>0</v>
      </c>
      <c r="W36" s="13">
        <f>_xll.BDH("NBIX US Equity","T12M_DVDS_PAID","FQ2 2024","FQ2 2024","Currency=USD","Period=FQ","BEST_FPERIOD_OVERRIDE=FQ","FILING_STATUS=MR","SCALING_FORMAT=MLN","Sort=A","Dates=H","DateFormat=P","Fill=—","Direction=H","UseDPDF=Y")</f>
        <v>0</v>
      </c>
      <c r="X36" s="13">
        <f>_xll.BDH("NBIX US Equity","T12M_DVDS_PAID","FQ3 2024","FQ3 2024","Currency=USD","Period=FQ","BEST_FPERIOD_OVERRIDE=FQ","FILING_STATUS=MR","SCALING_FORMAT=MLN","Sort=A","Dates=H","DateFormat=P","Fill=—","Direction=H","UseDPDF=Y")</f>
        <v>0</v>
      </c>
      <c r="Y36" s="13">
        <f>_xll.BDH("NBIX US Equity","T12M_DVDS_PAID","FQ4 2024","FQ4 2024","Currency=USD","Period=FQ","BEST_FPERIOD_OVERRIDE=FQ","FILING_STATUS=MR","SCALING_FORMAT=MLN","Sort=A","Dates=H","DateFormat=P","Fill=—","Direction=H","UseDPDF=Y")</f>
        <v>0</v>
      </c>
      <c r="Z36" s="13"/>
      <c r="AA36" s="13"/>
    </row>
    <row r="37" spans="1:27" x14ac:dyDescent="0.25">
      <c r="A37" s="10" t="s">
        <v>1485</v>
      </c>
      <c r="B37" s="10" t="s">
        <v>1474</v>
      </c>
      <c r="C37" s="13">
        <f>_xll.BDH("NBIX US Equity","T12M_NET_CAPITAL_STOCK","FQ2 2019","FQ2 2019","Currency=USD","Period=FQ","BEST_FPERIOD_OVERRIDE=FQ","FILING_STATUS=MR","SCALING_FORMAT=MLN","Sort=A","Dates=H","DateFormat=P","Fill=—","Direction=H","UseDPDF=Y")</f>
        <v>14.137</v>
      </c>
      <c r="D37" s="13">
        <f>_xll.BDH("NBIX US Equity","T12M_NET_CAPITAL_STOCK","FQ3 2019","FQ3 2019","Currency=USD","Period=FQ","BEST_FPERIOD_OVERRIDE=FQ","FILING_STATUS=MR","SCALING_FORMAT=MLN","Sort=A","Dates=H","DateFormat=P","Fill=—","Direction=H","UseDPDF=Y")</f>
        <v>21.811</v>
      </c>
      <c r="E37" s="13">
        <f>_xll.BDH("NBIX US Equity","T12M_NET_CAPITAL_STOCK","FQ4 2019","FQ4 2019","Currency=USD","Period=FQ","BEST_FPERIOD_OVERRIDE=FQ","FILING_STATUS=MR","SCALING_FORMAT=MLN","Sort=A","Dates=H","DateFormat=P","Fill=—","Direction=H","UseDPDF=Y")</f>
        <v>32.4</v>
      </c>
      <c r="F37" s="13">
        <f>_xll.BDH("NBIX US Equity","T12M_NET_CAPITAL_STOCK","FQ1 2020","FQ1 2020","Currency=USD","Period=FQ","BEST_FPERIOD_OVERRIDE=FQ","FILING_STATUS=MR","SCALING_FORMAT=MLN","Sort=A","Dates=H","DateFormat=P","Fill=—","Direction=H","UseDPDF=Y")</f>
        <v>35.819000000000003</v>
      </c>
      <c r="G37" s="13">
        <f>_xll.BDH("NBIX US Equity","T12M_NET_CAPITAL_STOCK","FQ2 2020","FQ2 2020","Currency=USD","Period=FQ","BEST_FPERIOD_OVERRIDE=FQ","FILING_STATUS=MR","SCALING_FORMAT=MLN","Sort=A","Dates=H","DateFormat=P","Fill=—","Direction=H","UseDPDF=Y")</f>
        <v>47.335000000000001</v>
      </c>
      <c r="H37" s="13">
        <f>_xll.BDH("NBIX US Equity","T12M_NET_CAPITAL_STOCK","FQ3 2020","FQ3 2020","Currency=USD","Period=FQ","BEST_FPERIOD_OVERRIDE=FQ","FILING_STATUS=MR","SCALING_FORMAT=MLN","Sort=A","Dates=H","DateFormat=P","Fill=—","Direction=H","UseDPDF=Y")</f>
        <v>39.570999999999998</v>
      </c>
      <c r="I37" s="13">
        <f>_xll.BDH("NBIX US Equity","T12M_NET_CAPITAL_STOCK","FQ4 2020","FQ4 2020","Currency=USD","Period=FQ","BEST_FPERIOD_OVERRIDE=FQ","FILING_STATUS=MR","SCALING_FORMAT=MLN","Sort=A","Dates=H","DateFormat=P","Fill=—","Direction=H","UseDPDF=Y")</f>
        <v>29.1</v>
      </c>
      <c r="J37" s="13">
        <f>_xll.BDH("NBIX US Equity","T12M_NET_CAPITAL_STOCK","FQ1 2021","FQ1 2021","Currency=USD","Period=FQ","BEST_FPERIOD_OVERRIDE=FQ","FILING_STATUS=MR","SCALING_FORMAT=MLN","Sort=A","Dates=H","DateFormat=P","Fill=—","Direction=H","UseDPDF=Y")</f>
        <v>38.299999999999997</v>
      </c>
      <c r="K37" s="13">
        <f>_xll.BDH("NBIX US Equity","T12M_NET_CAPITAL_STOCK","FQ2 2021","FQ2 2021","Currency=USD","Period=FQ","BEST_FPERIOD_OVERRIDE=FQ","FILING_STATUS=MR","SCALING_FORMAT=MLN","Sort=A","Dates=H","DateFormat=P","Fill=—","Direction=H","UseDPDF=Y")</f>
        <v>25.5</v>
      </c>
      <c r="L37" s="13">
        <f>_xll.BDH("NBIX US Equity","T12M_NET_CAPITAL_STOCK","FQ3 2021","FQ3 2021","Currency=USD","Period=FQ","BEST_FPERIOD_OVERRIDE=FQ","FILING_STATUS=MR","SCALING_FORMAT=MLN","Sort=A","Dates=H","DateFormat=P","Fill=—","Direction=H","UseDPDF=Y")</f>
        <v>27.6</v>
      </c>
      <c r="M37" s="13">
        <f>_xll.BDH("NBIX US Equity","T12M_NET_CAPITAL_STOCK","FQ4 2021","FQ4 2021","Currency=USD","Period=FQ","BEST_FPERIOD_OVERRIDE=FQ","FILING_STATUS=MR","SCALING_FORMAT=MLN","Sort=A","Dates=H","DateFormat=P","Fill=—","Direction=H","UseDPDF=Y")</f>
        <v>27.5</v>
      </c>
      <c r="N37" s="13">
        <f>_xll.BDH("NBIX US Equity","T12M_NET_CAPITAL_STOCK","FQ1 2022","FQ1 2022","Currency=USD","Period=FQ","BEST_FPERIOD_OVERRIDE=FQ","FILING_STATUS=MR","SCALING_FORMAT=MLN","Sort=A","Dates=H","DateFormat=P","Fill=—","Direction=H","UseDPDF=Y")</f>
        <v>18.399999999999999</v>
      </c>
      <c r="O37" s="13">
        <f>_xll.BDH("NBIX US Equity","T12M_NET_CAPITAL_STOCK","FQ2 2022","FQ2 2022","Currency=USD","Period=FQ","BEST_FPERIOD_OVERRIDE=FQ","FILING_STATUS=MR","SCALING_FORMAT=MLN","Sort=A","Dates=H","DateFormat=P","Fill=—","Direction=H","UseDPDF=Y")</f>
        <v>18</v>
      </c>
      <c r="P37" s="13">
        <f>_xll.BDH("NBIX US Equity","T12M_NET_CAPITAL_STOCK","FQ3 2022","FQ3 2022","Currency=USD","Period=FQ","BEST_FPERIOD_OVERRIDE=FQ","FILING_STATUS=MR","SCALING_FORMAT=MLN","Sort=A","Dates=H","DateFormat=P","Fill=—","Direction=H","UseDPDF=Y")</f>
        <v>21.9</v>
      </c>
      <c r="Q37" s="13">
        <f>_xll.BDH("NBIX US Equity","T12M_NET_CAPITAL_STOCK","FQ4 2022","FQ4 2022","Currency=USD","Period=FQ","BEST_FPERIOD_OVERRIDE=FQ","FILING_STATUS=MR","SCALING_FORMAT=MLN","Sort=A","Dates=H","DateFormat=P","Fill=—","Direction=H","UseDPDF=Y")</f>
        <v>44.7</v>
      </c>
      <c r="R37" s="13">
        <f>_xll.BDH("NBIX US Equity","T12M_NET_CAPITAL_STOCK","FQ1 2023","FQ1 2023","Currency=USD","Period=FQ","BEST_FPERIOD_OVERRIDE=FQ","FILING_STATUS=MR","SCALING_FORMAT=MLN","Sort=A","Dates=H","DateFormat=P","Fill=—","Direction=H","UseDPDF=Y")</f>
        <v>46.8</v>
      </c>
      <c r="S37" s="13">
        <f>_xll.BDH("NBIX US Equity","T12M_NET_CAPITAL_STOCK","FQ2 2023","FQ2 2023","Currency=USD","Period=FQ","BEST_FPERIOD_OVERRIDE=FQ","FILING_STATUS=MR","SCALING_FORMAT=MLN","Sort=A","Dates=H","DateFormat=P","Fill=—","Direction=H","UseDPDF=Y")</f>
        <v>47.1</v>
      </c>
      <c r="T37" s="13">
        <f>_xll.BDH("NBIX US Equity","T12M_NET_CAPITAL_STOCK","FQ3 2023","FQ3 2023","Currency=USD","Period=FQ","BEST_FPERIOD_OVERRIDE=FQ","FILING_STATUS=MR","SCALING_FORMAT=MLN","Sort=A","Dates=H","DateFormat=P","Fill=—","Direction=H","UseDPDF=Y")</f>
        <v>54.5</v>
      </c>
      <c r="U37" s="13">
        <f>_xll.BDH("NBIX US Equity","T12M_NET_CAPITAL_STOCK","FQ4 2023","FQ4 2023","Currency=USD","Period=FQ","BEST_FPERIOD_OVERRIDE=FQ","FILING_STATUS=MR","SCALING_FORMAT=MLN","Sort=A","Dates=H","DateFormat=P","Fill=—","Direction=H","UseDPDF=Y")</f>
        <v>65.3</v>
      </c>
      <c r="V37" s="13">
        <f>_xll.BDH("NBIX US Equity","T12M_NET_CAPITAL_STOCK","FQ1 2024","FQ1 2024","Currency=USD","Period=FQ","BEST_FPERIOD_OVERRIDE=FQ","FILING_STATUS=MR","SCALING_FORMAT=MLN","Sort=A","Dates=H","DateFormat=P","Fill=—","Direction=H","UseDPDF=Y")</f>
        <v>127</v>
      </c>
      <c r="W37" s="13">
        <f>_xll.BDH("NBIX US Equity","T12M_NET_CAPITAL_STOCK","FQ2 2024","FQ2 2024","Currency=USD","Period=FQ","BEST_FPERIOD_OVERRIDE=FQ","FILING_STATUS=MR","SCALING_FORMAT=MLN","Sort=A","Dates=H","DateFormat=P","Fill=—","Direction=H","UseDPDF=Y")</f>
        <v>139.9</v>
      </c>
      <c r="X37" s="13">
        <f>_xll.BDH("NBIX US Equity","T12M_NET_CAPITAL_STOCK","FQ3 2024","FQ3 2024","Currency=USD","Period=FQ","BEST_FPERIOD_OVERRIDE=FQ","FILING_STATUS=MR","SCALING_FORMAT=MLN","Sort=A","Dates=H","DateFormat=P","Fill=—","Direction=H","UseDPDF=Y")</f>
        <v>147.5</v>
      </c>
      <c r="Y37" s="13">
        <f>_xll.BDH("NBIX US Equity","T12M_NET_CAPITAL_STOCK","FQ4 2024","FQ4 2024","Currency=USD","Period=FQ","BEST_FPERIOD_OVERRIDE=FQ","FILING_STATUS=MR","SCALING_FORMAT=MLN","Sort=A","Dates=H","DateFormat=P","Fill=—","Direction=H","UseDPDF=Y")</f>
        <v>-177.9</v>
      </c>
      <c r="Z37" s="13"/>
      <c r="AA37" s="13"/>
    </row>
    <row r="38" spans="1:27" x14ac:dyDescent="0.25">
      <c r="A38" s="10" t="s">
        <v>1497</v>
      </c>
      <c r="B38" s="10" t="s">
        <v>1476</v>
      </c>
      <c r="C38" s="13">
        <f>_xll.BDH("NBIX US Equity","T12M_CHG_ST_BORROWINGS","FQ2 2019","FQ2 2019","Currency=USD","Period=FQ","BEST_FPERIOD_OVERRIDE=FQ","FILING_STATUS=MR","SCALING_FORMAT=MLN","Sort=A","Dates=H","DateFormat=P","Fill=—","Direction=H","UseDPDF=Y")</f>
        <v>0</v>
      </c>
      <c r="D38" s="13">
        <f>_xll.BDH("NBIX US Equity","T12M_CHG_ST_BORROWINGS","FQ3 2019","FQ3 2019","Currency=USD","Period=FQ","BEST_FPERIOD_OVERRIDE=FQ","FILING_STATUS=MR","SCALING_FORMAT=MLN","Sort=A","Dates=H","DateFormat=P","Fill=—","Direction=H","UseDPDF=Y")</f>
        <v>0</v>
      </c>
      <c r="E38" s="13">
        <f>_xll.BDH("NBIX US Equity","T12M_CHG_ST_BORROWINGS","FQ4 2019","FQ4 2019","Currency=USD","Period=FQ","BEST_FPERIOD_OVERRIDE=FQ","FILING_STATUS=MR","SCALING_FORMAT=MLN","Sort=A","Dates=H","DateFormat=P","Fill=—","Direction=H","UseDPDF=Y")</f>
        <v>0</v>
      </c>
      <c r="F38" s="13">
        <f>_xll.BDH("NBIX US Equity","T12M_CHG_ST_BORROWINGS","FQ1 2020","FQ1 2020","Currency=USD","Period=FQ","BEST_FPERIOD_OVERRIDE=FQ","FILING_STATUS=MR","SCALING_FORMAT=MLN","Sort=A","Dates=H","DateFormat=P","Fill=—","Direction=H","UseDPDF=Y")</f>
        <v>0</v>
      </c>
      <c r="G38" s="13">
        <f>_xll.BDH("NBIX US Equity","T12M_CHG_ST_BORROWINGS","FQ2 2020","FQ2 2020","Currency=USD","Period=FQ","BEST_FPERIOD_OVERRIDE=FQ","FILING_STATUS=MR","SCALING_FORMAT=MLN","Sort=A","Dates=H","DateFormat=P","Fill=—","Direction=H","UseDPDF=Y")</f>
        <v>0</v>
      </c>
      <c r="H38" s="13">
        <f>_xll.BDH("NBIX US Equity","T12M_CHG_ST_BORROWINGS","FQ3 2020","FQ3 2020","Currency=USD","Period=FQ","BEST_FPERIOD_OVERRIDE=FQ","FILING_STATUS=MR","SCALING_FORMAT=MLN","Sort=A","Dates=H","DateFormat=P","Fill=—","Direction=H","UseDPDF=Y")</f>
        <v>0</v>
      </c>
      <c r="I38" s="13">
        <f>_xll.BDH("NBIX US Equity","T12M_CHG_ST_BORROWINGS","FQ4 2020","FQ4 2020","Currency=USD","Period=FQ","BEST_FPERIOD_OVERRIDE=FQ","FILING_STATUS=MR","SCALING_FORMAT=MLN","Sort=A","Dates=H","DateFormat=P","Fill=—","Direction=H","UseDPDF=Y")</f>
        <v>0</v>
      </c>
      <c r="J38" s="13">
        <f>_xll.BDH("NBIX US Equity","T12M_CHG_ST_BORROWINGS","FQ1 2021","FQ1 2021","Currency=USD","Period=FQ","BEST_FPERIOD_OVERRIDE=FQ","FILING_STATUS=MR","SCALING_FORMAT=MLN","Sort=A","Dates=H","DateFormat=P","Fill=—","Direction=H","UseDPDF=Y")</f>
        <v>0</v>
      </c>
      <c r="K38" s="13">
        <f>_xll.BDH("NBIX US Equity","T12M_CHG_ST_BORROWINGS","FQ2 2021","FQ2 2021","Currency=USD","Period=FQ","BEST_FPERIOD_OVERRIDE=FQ","FILING_STATUS=MR","SCALING_FORMAT=MLN","Sort=A","Dates=H","DateFormat=P","Fill=—","Direction=H","UseDPDF=Y")</f>
        <v>0</v>
      </c>
      <c r="L38" s="13">
        <f>_xll.BDH("NBIX US Equity","T12M_CHG_ST_BORROWINGS","FQ3 2021","FQ3 2021","Currency=USD","Period=FQ","BEST_FPERIOD_OVERRIDE=FQ","FILING_STATUS=MR","SCALING_FORMAT=MLN","Sort=A","Dates=H","DateFormat=P","Fill=—","Direction=H","UseDPDF=Y")</f>
        <v>0</v>
      </c>
      <c r="M38" s="13">
        <f>_xll.BDH("NBIX US Equity","T12M_CHG_ST_BORROWINGS","FQ4 2021","FQ4 2021","Currency=USD","Period=FQ","BEST_FPERIOD_OVERRIDE=FQ","FILING_STATUS=MR","SCALING_FORMAT=MLN","Sort=A","Dates=H","DateFormat=P","Fill=—","Direction=H","UseDPDF=Y")</f>
        <v>0</v>
      </c>
      <c r="N38" s="13">
        <f>_xll.BDH("NBIX US Equity","T12M_CHG_ST_BORROWINGS","FQ1 2022","FQ1 2022","Currency=USD","Period=FQ","BEST_FPERIOD_OVERRIDE=FQ","FILING_STATUS=MR","SCALING_FORMAT=MLN","Sort=A","Dates=H","DateFormat=P","Fill=—","Direction=H","UseDPDF=Y")</f>
        <v>0</v>
      </c>
      <c r="O38" s="13">
        <f>_xll.BDH("NBIX US Equity","T12M_CHG_ST_BORROWINGS","FQ2 2022","FQ2 2022","Currency=USD","Period=FQ","BEST_FPERIOD_OVERRIDE=FQ","FILING_STATUS=MR","SCALING_FORMAT=MLN","Sort=A","Dates=H","DateFormat=P","Fill=—","Direction=H","UseDPDF=Y")</f>
        <v>0</v>
      </c>
      <c r="P38" s="13">
        <f>_xll.BDH("NBIX US Equity","T12M_CHG_ST_BORROWINGS","FQ3 2022","FQ3 2022","Currency=USD","Period=FQ","BEST_FPERIOD_OVERRIDE=FQ","FILING_STATUS=MR","SCALING_FORMAT=MLN","Sort=A","Dates=H","DateFormat=P","Fill=—","Direction=H","UseDPDF=Y")</f>
        <v>0</v>
      </c>
      <c r="Q38" s="13">
        <f>_xll.BDH("NBIX US Equity","T12M_CHG_ST_BORROWINGS","FQ4 2022","FQ4 2022","Currency=USD","Period=FQ","BEST_FPERIOD_OVERRIDE=FQ","FILING_STATUS=MR","SCALING_FORMAT=MLN","Sort=A","Dates=H","DateFormat=P","Fill=—","Direction=H","UseDPDF=Y")</f>
        <v>0</v>
      </c>
      <c r="R38" s="13">
        <f>_xll.BDH("NBIX US Equity","T12M_CHG_ST_BORROWINGS","FQ1 2023","FQ1 2023","Currency=USD","Period=FQ","BEST_FPERIOD_OVERRIDE=FQ","FILING_STATUS=MR","SCALING_FORMAT=MLN","Sort=A","Dates=H","DateFormat=P","Fill=—","Direction=H","UseDPDF=Y")</f>
        <v>0</v>
      </c>
      <c r="S38" s="13">
        <f>_xll.BDH("NBIX US Equity","T12M_CHG_ST_BORROWINGS","FQ2 2023","FQ2 2023","Currency=USD","Period=FQ","BEST_FPERIOD_OVERRIDE=FQ","FILING_STATUS=MR","SCALING_FORMAT=MLN","Sort=A","Dates=H","DateFormat=P","Fill=—","Direction=H","UseDPDF=Y")</f>
        <v>0</v>
      </c>
      <c r="T38" s="13">
        <f>_xll.BDH("NBIX US Equity","T12M_CHG_ST_BORROWINGS","FQ3 2023","FQ3 2023","Currency=USD","Period=FQ","BEST_FPERIOD_OVERRIDE=FQ","FILING_STATUS=MR","SCALING_FORMAT=MLN","Sort=A","Dates=H","DateFormat=P","Fill=—","Direction=H","UseDPDF=Y")</f>
        <v>0</v>
      </c>
      <c r="U38" s="13">
        <f>_xll.BDH("NBIX US Equity","T12M_CHG_ST_BORROWINGS","FQ4 2023","FQ4 2023","Currency=USD","Period=FQ","BEST_FPERIOD_OVERRIDE=FQ","FILING_STATUS=MR","SCALING_FORMAT=MLN","Sort=A","Dates=H","DateFormat=P","Fill=—","Direction=H","UseDPDF=Y")</f>
        <v>0</v>
      </c>
      <c r="V38" s="13">
        <f>_xll.BDH("NBIX US Equity","T12M_CHG_ST_BORROWINGS","FQ1 2024","FQ1 2024","Currency=USD","Period=FQ","BEST_FPERIOD_OVERRIDE=FQ","FILING_STATUS=MR","SCALING_FORMAT=MLN","Sort=A","Dates=H","DateFormat=P","Fill=—","Direction=H","UseDPDF=Y")</f>
        <v>0</v>
      </c>
      <c r="W38" s="13">
        <f>_xll.BDH("NBIX US Equity","T12M_CHG_ST_BORROWINGS","FQ2 2024","FQ2 2024","Currency=USD","Period=FQ","BEST_FPERIOD_OVERRIDE=FQ","FILING_STATUS=MR","SCALING_FORMAT=MLN","Sort=A","Dates=H","DateFormat=P","Fill=—","Direction=H","UseDPDF=Y")</f>
        <v>0</v>
      </c>
      <c r="X38" s="13">
        <f>_xll.BDH("NBIX US Equity","T12M_CHG_ST_BORROWINGS","FQ3 2024","FQ3 2024","Currency=USD","Period=FQ","BEST_FPERIOD_OVERRIDE=FQ","FILING_STATUS=MR","SCALING_FORMAT=MLN","Sort=A","Dates=H","DateFormat=P","Fill=—","Direction=H","UseDPDF=Y")</f>
        <v>0</v>
      </c>
      <c r="Y38" s="13">
        <f>_xll.BDH("NBIX US Equity","T12M_CHG_ST_BORROWINGS","FQ4 2024","FQ4 2024","Currency=USD","Period=FQ","BEST_FPERIOD_OVERRIDE=FQ","FILING_STATUS=MR","SCALING_FORMAT=MLN","Sort=A","Dates=H","DateFormat=P","Fill=—","Direction=H","UseDPDF=Y")</f>
        <v>0</v>
      </c>
      <c r="Z38" s="13"/>
      <c r="AA38" s="13"/>
    </row>
    <row r="39" spans="1:27" x14ac:dyDescent="0.25">
      <c r="A39" s="10" t="s">
        <v>1498</v>
      </c>
      <c r="B39" s="10" t="s">
        <v>1478</v>
      </c>
      <c r="C39" s="13">
        <f>_xll.BDH("NBIX US Equity","T12M_CHG_LT_DEBT","FQ2 2019","FQ2 2019","Currency=USD","Period=FQ","BEST_FPERIOD_OVERRIDE=FQ","FILING_STATUS=MR","SCALING_FORMAT=MLN","Sort=A","Dates=H","DateFormat=P","Fill=—","Direction=H","UseDPDF=Y")</f>
        <v>0</v>
      </c>
      <c r="D39" s="13">
        <f>_xll.BDH("NBIX US Equity","T12M_CHG_LT_DEBT","FQ3 2019","FQ3 2019","Currency=USD","Period=FQ","BEST_FPERIOD_OVERRIDE=FQ","FILING_STATUS=MR","SCALING_FORMAT=MLN","Sort=A","Dates=H","DateFormat=P","Fill=—","Direction=H","UseDPDF=Y")</f>
        <v>0</v>
      </c>
      <c r="E39" s="13">
        <f>_xll.BDH("NBIX US Equity","T12M_CHG_LT_DEBT","FQ4 2019","FQ4 2019","Currency=USD","Period=FQ","BEST_FPERIOD_OVERRIDE=FQ","FILING_STATUS=MR","SCALING_FORMAT=MLN","Sort=A","Dates=H","DateFormat=P","Fill=—","Direction=H","UseDPDF=Y")</f>
        <v>0</v>
      </c>
      <c r="F39" s="13">
        <f>_xll.BDH("NBIX US Equity","T12M_CHG_LT_DEBT","FQ1 2020","FQ1 2020","Currency=USD","Period=FQ","BEST_FPERIOD_OVERRIDE=FQ","FILING_STATUS=MR","SCALING_FORMAT=MLN","Sort=A","Dates=H","DateFormat=P","Fill=—","Direction=H","UseDPDF=Y")</f>
        <v>0</v>
      </c>
      <c r="G39" s="13">
        <f>_xll.BDH("NBIX US Equity","T12M_CHG_LT_DEBT","FQ2 2020","FQ2 2020","Currency=USD","Period=FQ","BEST_FPERIOD_OVERRIDE=FQ","FILING_STATUS=MR","SCALING_FORMAT=MLN","Sort=A","Dates=H","DateFormat=P","Fill=—","Direction=H","UseDPDF=Y")</f>
        <v>0</v>
      </c>
      <c r="H39" s="13">
        <f>_xll.BDH("NBIX US Equity","T12M_CHG_LT_DEBT","FQ3 2020","FQ3 2020","Currency=USD","Period=FQ","BEST_FPERIOD_OVERRIDE=FQ","FILING_STATUS=MR","SCALING_FORMAT=MLN","Sort=A","Dates=H","DateFormat=P","Fill=—","Direction=H","UseDPDF=Y")</f>
        <v>0</v>
      </c>
      <c r="I39" s="13">
        <f>_xll.BDH("NBIX US Equity","T12M_CHG_LT_DEBT","FQ4 2020","FQ4 2020","Currency=USD","Period=FQ","BEST_FPERIOD_OVERRIDE=FQ","FILING_STATUS=MR","SCALING_FORMAT=MLN","Sort=A","Dates=H","DateFormat=P","Fill=—","Direction=H","UseDPDF=Y")</f>
        <v>-186.9</v>
      </c>
      <c r="J39" s="13">
        <f>_xll.BDH("NBIX US Equity","T12M_CHG_LT_DEBT","FQ1 2021","FQ1 2021","Currency=USD","Period=FQ","BEST_FPERIOD_OVERRIDE=FQ","FILING_STATUS=MR","SCALING_FORMAT=MLN","Sort=A","Dates=H","DateFormat=P","Fill=—","Direction=H","UseDPDF=Y")</f>
        <v>-187</v>
      </c>
      <c r="K39" s="13">
        <f>_xll.BDH("NBIX US Equity","T12M_CHG_LT_DEBT","FQ2 2021","FQ2 2021","Currency=USD","Period=FQ","BEST_FPERIOD_OVERRIDE=FQ","FILING_STATUS=MR","SCALING_FORMAT=MLN","Sort=A","Dates=H","DateFormat=P","Fill=—","Direction=H","UseDPDF=Y")</f>
        <v>-186.9</v>
      </c>
      <c r="L39" s="13">
        <f>_xll.BDH("NBIX US Equity","T12M_CHG_LT_DEBT","FQ3 2021","FQ3 2021","Currency=USD","Period=FQ","BEST_FPERIOD_OVERRIDE=FQ","FILING_STATUS=MR","SCALING_FORMAT=MLN","Sort=A","Dates=H","DateFormat=P","Fill=—","Direction=H","UseDPDF=Y")</f>
        <v>-186.9</v>
      </c>
      <c r="M39" s="13">
        <f>_xll.BDH("NBIX US Equity","T12M_CHG_LT_DEBT","FQ4 2021","FQ4 2021","Currency=USD","Period=FQ","BEST_FPERIOD_OVERRIDE=FQ","FILING_STATUS=MR","SCALING_FORMAT=MLN","Sort=A","Dates=H","DateFormat=P","Fill=—","Direction=H","UseDPDF=Y")</f>
        <v>-0.1</v>
      </c>
      <c r="N39" s="13">
        <f>_xll.BDH("NBIX US Equity","T12M_CHG_LT_DEBT","FQ1 2022","FQ1 2022","Currency=USD","Period=FQ","BEST_FPERIOD_OVERRIDE=FQ","FILING_STATUS=MR","SCALING_FORMAT=MLN","Sort=A","Dates=H","DateFormat=P","Fill=—","Direction=H","UseDPDF=Y")</f>
        <v>0</v>
      </c>
      <c r="O39" s="13">
        <f>_xll.BDH("NBIX US Equity","T12M_CHG_LT_DEBT","FQ2 2022","FQ2 2022","Currency=USD","Period=FQ","BEST_FPERIOD_OVERRIDE=FQ","FILING_STATUS=MR","SCALING_FORMAT=MLN","Sort=A","Dates=H","DateFormat=P","Fill=—","Direction=H","UseDPDF=Y")</f>
        <v>-0.1</v>
      </c>
      <c r="P39" s="13">
        <f>_xll.BDH("NBIX US Equity","T12M_CHG_LT_DEBT","FQ3 2022","FQ3 2022","Currency=USD","Period=FQ","BEST_FPERIOD_OVERRIDE=FQ","FILING_STATUS=MR","SCALING_FORMAT=MLN","Sort=A","Dates=H","DateFormat=P","Fill=—","Direction=H","UseDPDF=Y")</f>
        <v>-0.1</v>
      </c>
      <c r="Q39" s="13">
        <f>_xll.BDH("NBIX US Equity","T12M_CHG_LT_DEBT","FQ4 2022","FQ4 2022","Currency=USD","Period=FQ","BEST_FPERIOD_OVERRIDE=FQ","FILING_STATUS=MR","SCALING_FORMAT=MLN","Sort=A","Dates=H","DateFormat=P","Fill=—","Direction=H","UseDPDF=Y")</f>
        <v>-279</v>
      </c>
      <c r="R39" s="13">
        <f>_xll.BDH("NBIX US Equity","T12M_CHG_LT_DEBT","FQ1 2023","FQ1 2023","Currency=USD","Period=FQ","BEST_FPERIOD_OVERRIDE=FQ","FILING_STATUS=MR","SCALING_FORMAT=MLN","Sort=A","Dates=H","DateFormat=P","Fill=—","Direction=H","UseDPDF=Y")</f>
        <v>-279</v>
      </c>
      <c r="S39" s="13">
        <f>_xll.BDH("NBIX US Equity","T12M_CHG_LT_DEBT","FQ2 2023","FQ2 2023","Currency=USD","Period=FQ","BEST_FPERIOD_OVERRIDE=FQ","FILING_STATUS=MR","SCALING_FORMAT=MLN","Sort=A","Dates=H","DateFormat=P","Fill=—","Direction=H","UseDPDF=Y")</f>
        <v>-279</v>
      </c>
      <c r="T39" s="13">
        <f>_xll.BDH("NBIX US Equity","T12M_CHG_LT_DEBT","FQ3 2023","FQ3 2023","Currency=USD","Period=FQ","BEST_FPERIOD_OVERRIDE=FQ","FILING_STATUS=MR","SCALING_FORMAT=MLN","Sort=A","Dates=H","DateFormat=P","Fill=—","Direction=H","UseDPDF=Y")</f>
        <v>-279</v>
      </c>
      <c r="U39" s="13">
        <f>_xll.BDH("NBIX US Equity","T12M_CHG_LT_DEBT","FQ4 2023","FQ4 2023","Currency=USD","Period=FQ","BEST_FPERIOD_OVERRIDE=FQ","FILING_STATUS=MR","SCALING_FORMAT=MLN","Sort=A","Dates=H","DateFormat=P","Fill=—","Direction=H","UseDPDF=Y")</f>
        <v>0</v>
      </c>
      <c r="V39" s="13">
        <f>_xll.BDH("NBIX US Equity","T12M_CHG_LT_DEBT","FQ1 2024","FQ1 2024","Currency=USD","Period=FQ","BEST_FPERIOD_OVERRIDE=FQ","FILING_STATUS=MR","SCALING_FORMAT=MLN","Sort=A","Dates=H","DateFormat=P","Fill=—","Direction=H","UseDPDF=Y")</f>
        <v>0</v>
      </c>
      <c r="W39" s="13">
        <f>_xll.BDH("NBIX US Equity","T12M_CHG_LT_DEBT","FQ2 2024","FQ2 2024","Currency=USD","Period=FQ","BEST_FPERIOD_OVERRIDE=FQ","FILING_STATUS=MR","SCALING_FORMAT=MLN","Sort=A","Dates=H","DateFormat=P","Fill=—","Direction=H","UseDPDF=Y")</f>
        <v>0</v>
      </c>
      <c r="X39" s="13">
        <f>_xll.BDH("NBIX US Equity","T12M_CHG_LT_DEBT","FQ3 2024","FQ3 2024","Currency=USD","Period=FQ","BEST_FPERIOD_OVERRIDE=FQ","FILING_STATUS=MR","SCALING_FORMAT=MLN","Sort=A","Dates=H","DateFormat=P","Fill=—","Direction=H","UseDPDF=Y")</f>
        <v>0</v>
      </c>
      <c r="Y39" s="13">
        <f>_xll.BDH("NBIX US Equity","T12M_CHG_LT_DEBT","FQ4 2024","FQ4 2024","Currency=USD","Period=FQ","BEST_FPERIOD_OVERRIDE=FQ","FILING_STATUS=MR","SCALING_FORMAT=MLN","Sort=A","Dates=H","DateFormat=P","Fill=—","Direction=H","UseDPDF=Y")</f>
        <v>-308.8</v>
      </c>
      <c r="Z39" s="13"/>
      <c r="AA39" s="13"/>
    </row>
    <row r="40" spans="1:27" x14ac:dyDescent="0.25">
      <c r="A40" s="10" t="s">
        <v>1499</v>
      </c>
      <c r="B40" s="10" t="s">
        <v>1479</v>
      </c>
      <c r="C40" s="13">
        <f>_xll.BDH("NBIX US Equity","T12_OTHER_CFF","FQ2 2019","FQ2 2019","Currency=USD","Period=FQ","BEST_FPERIOD_OVERRIDE=FQ","FILING_STATUS=MR","SCALING_FORMAT=MLN","Sort=A","Dates=H","DateFormat=P","Fill=—","Direction=H","UseDPDF=Y")</f>
        <v>0</v>
      </c>
      <c r="D40" s="13">
        <f>_xll.BDH("NBIX US Equity","T12_OTHER_CFF","FQ3 2019","FQ3 2019","Currency=USD","Period=FQ","BEST_FPERIOD_OVERRIDE=FQ","FILING_STATUS=MR","SCALING_FORMAT=MLN","Sort=A","Dates=H","DateFormat=P","Fill=—","Direction=H","UseDPDF=Y")</f>
        <v>0</v>
      </c>
      <c r="E40" s="13">
        <f>_xll.BDH("NBIX US Equity","T12_OTHER_CFF","FQ4 2019","FQ4 2019","Currency=USD","Period=FQ","BEST_FPERIOD_OVERRIDE=FQ","FILING_STATUS=MR","SCALING_FORMAT=MLN","Sort=A","Dates=H","DateFormat=P","Fill=—","Direction=H","UseDPDF=Y")</f>
        <v>0</v>
      </c>
      <c r="F40" s="13">
        <f>_xll.BDH("NBIX US Equity","T12_OTHER_CFF","FQ1 2020","FQ1 2020","Currency=USD","Period=FQ","BEST_FPERIOD_OVERRIDE=FQ","FILING_STATUS=MR","SCALING_FORMAT=MLN","Sort=A","Dates=H","DateFormat=P","Fill=—","Direction=H","UseDPDF=Y")</f>
        <v>0</v>
      </c>
      <c r="G40" s="13">
        <f>_xll.BDH("NBIX US Equity","T12_OTHER_CFF","FQ2 2020","FQ2 2020","Currency=USD","Period=FQ","BEST_FPERIOD_OVERRIDE=FQ","FILING_STATUS=MR","SCALING_FORMAT=MLN","Sort=A","Dates=H","DateFormat=P","Fill=—","Direction=H","UseDPDF=Y")</f>
        <v>0</v>
      </c>
      <c r="H40" s="13">
        <f>_xll.BDH("NBIX US Equity","T12_OTHER_CFF","FQ3 2020","FQ3 2020","Currency=USD","Period=FQ","BEST_FPERIOD_OVERRIDE=FQ","FILING_STATUS=MR","SCALING_FORMAT=MLN","Sort=A","Dates=H","DateFormat=P","Fill=—","Direction=H","UseDPDF=Y")</f>
        <v>0</v>
      </c>
      <c r="I40" s="13">
        <f>_xll.BDH("NBIX US Equity","T12_OTHER_CFF","FQ4 2020","FQ4 2020","Currency=USD","Period=FQ","BEST_FPERIOD_OVERRIDE=FQ","FILING_STATUS=MR","SCALING_FORMAT=MLN","Sort=A","Dates=H","DateFormat=P","Fill=—","Direction=H","UseDPDF=Y")</f>
        <v>0</v>
      </c>
      <c r="J40" s="13">
        <f>_xll.BDH("NBIX US Equity","T12_OTHER_CFF","FQ1 2021","FQ1 2021","Currency=USD","Period=FQ","BEST_FPERIOD_OVERRIDE=FQ","FILING_STATUS=MR","SCALING_FORMAT=MLN","Sort=A","Dates=H","DateFormat=P","Fill=—","Direction=H","UseDPDF=Y")</f>
        <v>0</v>
      </c>
      <c r="K40" s="13">
        <f>_xll.BDH("NBIX US Equity","T12_OTHER_CFF","FQ2 2021","FQ2 2021","Currency=USD","Period=FQ","BEST_FPERIOD_OVERRIDE=FQ","FILING_STATUS=MR","SCALING_FORMAT=MLN","Sort=A","Dates=H","DateFormat=P","Fill=—","Direction=H","UseDPDF=Y")</f>
        <v>-0.1</v>
      </c>
      <c r="L40" s="13">
        <f>_xll.BDH("NBIX US Equity","T12_OTHER_CFF","FQ3 2021","FQ3 2021","Currency=USD","Period=FQ","BEST_FPERIOD_OVERRIDE=FQ","FILING_STATUS=MR","SCALING_FORMAT=MLN","Sort=A","Dates=H","DateFormat=P","Fill=—","Direction=H","UseDPDF=Y")</f>
        <v>-0.1</v>
      </c>
      <c r="M40" s="13">
        <f>_xll.BDH("NBIX US Equity","T12_OTHER_CFF","FQ4 2021","FQ4 2021","Currency=USD","Period=FQ","BEST_FPERIOD_OVERRIDE=FQ","FILING_STATUS=MR","SCALING_FORMAT=MLN","Sort=A","Dates=H","DateFormat=P","Fill=—","Direction=H","UseDPDF=Y")</f>
        <v>0</v>
      </c>
      <c r="N40" s="13">
        <f>_xll.BDH("NBIX US Equity","T12_OTHER_CFF","FQ1 2022","FQ1 2022","Currency=USD","Period=FQ","BEST_FPERIOD_OVERRIDE=FQ","FILING_STATUS=MR","SCALING_FORMAT=MLN","Sort=A","Dates=H","DateFormat=P","Fill=—","Direction=H","UseDPDF=Y")</f>
        <v>0</v>
      </c>
      <c r="O40" s="13">
        <f>_xll.BDH("NBIX US Equity","T12_OTHER_CFF","FQ2 2022","FQ2 2022","Currency=USD","Period=FQ","BEST_FPERIOD_OVERRIDE=FQ","FILING_STATUS=MR","SCALING_FORMAT=MLN","Sort=A","Dates=H","DateFormat=P","Fill=—","Direction=H","UseDPDF=Y")</f>
        <v>-278.89999999999998</v>
      </c>
      <c r="P40" s="13">
        <f>_xll.BDH("NBIX US Equity","T12_OTHER_CFF","FQ3 2022","FQ3 2022","Currency=USD","Period=FQ","BEST_FPERIOD_OVERRIDE=FQ","FILING_STATUS=MR","SCALING_FORMAT=MLN","Sort=A","Dates=H","DateFormat=P","Fill=—","Direction=H","UseDPDF=Y")</f>
        <v>-278.89999999999998</v>
      </c>
      <c r="Q40" s="13">
        <f>_xll.BDH("NBIX US Equity","T12_OTHER_CFF","FQ4 2022","FQ4 2022","Currency=USD","Period=FQ","BEST_FPERIOD_OVERRIDE=FQ","FILING_STATUS=MR","SCALING_FORMAT=MLN","Sort=A","Dates=H","DateFormat=P","Fill=—","Direction=H","UseDPDF=Y")</f>
        <v>-1.3</v>
      </c>
      <c r="R40" s="13">
        <f>_xll.BDH("NBIX US Equity","T12_OTHER_CFF","FQ1 2023","FQ1 2023","Currency=USD","Period=FQ","BEST_FPERIOD_OVERRIDE=FQ","FILING_STATUS=MR","SCALING_FORMAT=MLN","Sort=A","Dates=H","DateFormat=P","Fill=—","Direction=H","UseDPDF=Y")</f>
        <v>-1.3</v>
      </c>
      <c r="S40" s="13">
        <f>_xll.BDH("NBIX US Equity","T12_OTHER_CFF","FQ2 2023","FQ2 2023","Currency=USD","Period=FQ","BEST_FPERIOD_OVERRIDE=FQ","FILING_STATUS=MR","SCALING_FORMAT=MLN","Sort=A","Dates=H","DateFormat=P","Fill=—","Direction=H","UseDPDF=Y")</f>
        <v>277.7</v>
      </c>
      <c r="T40" s="13">
        <f>_xll.BDH("NBIX US Equity","T12_OTHER_CFF","FQ3 2023","FQ3 2023","Currency=USD","Period=FQ","BEST_FPERIOD_OVERRIDE=FQ","FILING_STATUS=MR","SCALING_FORMAT=MLN","Sort=A","Dates=H","DateFormat=P","Fill=—","Direction=H","UseDPDF=Y")</f>
        <v>277.7</v>
      </c>
      <c r="U40" s="13">
        <f>_xll.BDH("NBIX US Equity","T12_OTHER_CFF","FQ4 2023","FQ4 2023","Currency=USD","Period=FQ","BEST_FPERIOD_OVERRIDE=FQ","FILING_STATUS=MR","SCALING_FORMAT=MLN","Sort=A","Dates=H","DateFormat=P","Fill=—","Direction=H","UseDPDF=Y")</f>
        <v>0.3</v>
      </c>
      <c r="V40" s="13">
        <f>_xll.BDH("NBIX US Equity","T12_OTHER_CFF","FQ1 2024","FQ1 2024","Currency=USD","Period=FQ","BEST_FPERIOD_OVERRIDE=FQ","FILING_STATUS=MR","SCALING_FORMAT=MLN","Sort=A","Dates=H","DateFormat=P","Fill=—","Direction=H","UseDPDF=Y")</f>
        <v>0.3</v>
      </c>
      <c r="W40" s="13">
        <f>_xll.BDH("NBIX US Equity","T12_OTHER_CFF","FQ2 2024","FQ2 2024","Currency=USD","Period=FQ","BEST_FPERIOD_OVERRIDE=FQ","FILING_STATUS=MR","SCALING_FORMAT=MLN","Sort=A","Dates=H","DateFormat=P","Fill=—","Direction=H","UseDPDF=Y")</f>
        <v>-308.5</v>
      </c>
      <c r="X40" s="13">
        <f>_xll.BDH("NBIX US Equity","T12_OTHER_CFF","FQ3 2024","FQ3 2024","Currency=USD","Period=FQ","BEST_FPERIOD_OVERRIDE=FQ","FILING_STATUS=MR","SCALING_FORMAT=MLN","Sort=A","Dates=H","DateFormat=P","Fill=—","Direction=H","UseDPDF=Y")</f>
        <v>-308.2</v>
      </c>
      <c r="Y40" s="13">
        <f>_xll.BDH("NBIX US Equity","T12_OTHER_CFF","FQ4 2024","FQ4 2024","Currency=USD","Period=FQ","BEST_FPERIOD_OVERRIDE=FQ","FILING_STATUS=MR","SCALING_FORMAT=MLN","Sort=A","Dates=H","DateFormat=P","Fill=—","Direction=H","UseDPDF=Y")</f>
        <v>0</v>
      </c>
      <c r="Z40" s="13"/>
      <c r="AA40" s="13"/>
    </row>
    <row r="41" spans="1:27" x14ac:dyDescent="0.25">
      <c r="A41" s="6" t="s">
        <v>1480</v>
      </c>
      <c r="B41" s="6" t="s">
        <v>1481</v>
      </c>
      <c r="C41" s="19">
        <f>_xll.BDH("NBIX US Equity","T12_CFF","FQ2 2019","FQ2 2019","Currency=USD","Period=FQ","BEST_FPERIOD_OVERRIDE=FQ","FILING_STATUS=MR","SCALING_FORMAT=MLN","Sort=A","Dates=H","DateFormat=P","Fill=—","Direction=H","UseDPDF=Y")</f>
        <v>14.137</v>
      </c>
      <c r="D41" s="19">
        <f>_xll.BDH("NBIX US Equity","T12_CFF","FQ3 2019","FQ3 2019","Currency=USD","Period=FQ","BEST_FPERIOD_OVERRIDE=FQ","FILING_STATUS=MR","SCALING_FORMAT=MLN","Sort=A","Dates=H","DateFormat=P","Fill=—","Direction=H","UseDPDF=Y")</f>
        <v>21.811</v>
      </c>
      <c r="E41" s="19">
        <f>_xll.BDH("NBIX US Equity","T12_CFF","FQ4 2019","FQ4 2019","Currency=USD","Period=FQ","BEST_FPERIOD_OVERRIDE=FQ","FILING_STATUS=MR","SCALING_FORMAT=MLN","Sort=A","Dates=H","DateFormat=P","Fill=—","Direction=H","UseDPDF=Y")</f>
        <v>32.4</v>
      </c>
      <c r="F41" s="19">
        <f>_xll.BDH("NBIX US Equity","T12_CFF","FQ1 2020","FQ1 2020","Currency=USD","Period=FQ","BEST_FPERIOD_OVERRIDE=FQ","FILING_STATUS=MR","SCALING_FORMAT=MLN","Sort=A","Dates=H","DateFormat=P","Fill=—","Direction=H","UseDPDF=Y")</f>
        <v>35.819000000000003</v>
      </c>
      <c r="G41" s="19">
        <f>_xll.BDH("NBIX US Equity","T12_CFF","FQ2 2020","FQ2 2020","Currency=USD","Period=FQ","BEST_FPERIOD_OVERRIDE=FQ","FILING_STATUS=MR","SCALING_FORMAT=MLN","Sort=A","Dates=H","DateFormat=P","Fill=—","Direction=H","UseDPDF=Y")</f>
        <v>47.335000000000001</v>
      </c>
      <c r="H41" s="19">
        <f>_xll.BDH("NBIX US Equity","T12_CFF","FQ3 2020","FQ3 2020","Currency=USD","Period=FQ","BEST_FPERIOD_OVERRIDE=FQ","FILING_STATUS=MR","SCALING_FORMAT=MLN","Sort=A","Dates=H","DateFormat=P","Fill=—","Direction=H","UseDPDF=Y")</f>
        <v>39.570999999999998</v>
      </c>
      <c r="I41" s="19">
        <f>_xll.BDH("NBIX US Equity","T12_CFF","FQ4 2020","FQ4 2020","Currency=USD","Period=FQ","BEST_FPERIOD_OVERRIDE=FQ","FILING_STATUS=MR","SCALING_FORMAT=MLN","Sort=A","Dates=H","DateFormat=P","Fill=—","Direction=H","UseDPDF=Y")</f>
        <v>-157.80000000000001</v>
      </c>
      <c r="J41" s="19">
        <f>_xll.BDH("NBIX US Equity","T12_CFF","FQ1 2021","FQ1 2021","Currency=USD","Period=FQ","BEST_FPERIOD_OVERRIDE=FQ","FILING_STATUS=MR","SCALING_FORMAT=MLN","Sort=A","Dates=H","DateFormat=P","Fill=—","Direction=H","UseDPDF=Y")</f>
        <v>-148.69999999999999</v>
      </c>
      <c r="K41" s="19">
        <f>_xll.BDH("NBIX US Equity","T12_CFF","FQ2 2021","FQ2 2021","Currency=USD","Period=FQ","BEST_FPERIOD_OVERRIDE=FQ","FILING_STATUS=MR","SCALING_FORMAT=MLN","Sort=A","Dates=H","DateFormat=P","Fill=—","Direction=H","UseDPDF=Y")</f>
        <v>-161.5</v>
      </c>
      <c r="L41" s="19">
        <f>_xll.BDH("NBIX US Equity","T12_CFF","FQ3 2021","FQ3 2021","Currency=USD","Period=FQ","BEST_FPERIOD_OVERRIDE=FQ","FILING_STATUS=MR","SCALING_FORMAT=MLN","Sort=A","Dates=H","DateFormat=P","Fill=—","Direction=H","UseDPDF=Y")</f>
        <v>-159.4</v>
      </c>
      <c r="M41" s="19">
        <f>_xll.BDH("NBIX US Equity","T12_CFF","FQ4 2021","FQ4 2021","Currency=USD","Period=FQ","BEST_FPERIOD_OVERRIDE=FQ","FILING_STATUS=MR","SCALING_FORMAT=MLN","Sort=A","Dates=H","DateFormat=P","Fill=—","Direction=H","UseDPDF=Y")</f>
        <v>27.4</v>
      </c>
      <c r="N41" s="19">
        <f>_xll.BDH("NBIX US Equity","T12_CFF","FQ1 2022","FQ1 2022","Currency=USD","Period=FQ","BEST_FPERIOD_OVERRIDE=FQ","FILING_STATUS=MR","SCALING_FORMAT=MLN","Sort=A","Dates=H","DateFormat=P","Fill=—","Direction=H","UseDPDF=Y")</f>
        <v>18.399999999999999</v>
      </c>
      <c r="O41" s="19">
        <f>_xll.BDH("NBIX US Equity","T12_CFF","FQ2 2022","FQ2 2022","Currency=USD","Period=FQ","BEST_FPERIOD_OVERRIDE=FQ","FILING_STATUS=MR","SCALING_FORMAT=MLN","Sort=A","Dates=H","DateFormat=P","Fill=—","Direction=H","UseDPDF=Y")</f>
        <v>-261</v>
      </c>
      <c r="P41" s="19">
        <f>_xll.BDH("NBIX US Equity","T12_CFF","FQ3 2022","FQ3 2022","Currency=USD","Period=FQ","BEST_FPERIOD_OVERRIDE=FQ","FILING_STATUS=MR","SCALING_FORMAT=MLN","Sort=A","Dates=H","DateFormat=P","Fill=—","Direction=H","UseDPDF=Y")</f>
        <v>-257.10000000000002</v>
      </c>
      <c r="Q41" s="19">
        <f>_xll.BDH("NBIX US Equity","T12_CFF","FQ4 2022","FQ4 2022","Currency=USD","Period=FQ","BEST_FPERIOD_OVERRIDE=FQ","FILING_STATUS=MR","SCALING_FORMAT=MLN","Sort=A","Dates=H","DateFormat=P","Fill=—","Direction=H","UseDPDF=Y")</f>
        <v>-235.6</v>
      </c>
      <c r="R41" s="19">
        <f>_xll.BDH("NBIX US Equity","T12_CFF","FQ1 2023","FQ1 2023","Currency=USD","Period=FQ","BEST_FPERIOD_OVERRIDE=FQ","FILING_STATUS=MR","SCALING_FORMAT=MLN","Sort=A","Dates=H","DateFormat=P","Fill=—","Direction=H","UseDPDF=Y")</f>
        <v>-233.5</v>
      </c>
      <c r="S41" s="19">
        <f>_xll.BDH("NBIX US Equity","T12_CFF","FQ2 2023","FQ2 2023","Currency=USD","Period=FQ","BEST_FPERIOD_OVERRIDE=FQ","FILING_STATUS=MR","SCALING_FORMAT=MLN","Sort=A","Dates=H","DateFormat=P","Fill=—","Direction=H","UseDPDF=Y")</f>
        <v>45.8</v>
      </c>
      <c r="T41" s="19">
        <f>_xll.BDH("NBIX US Equity","T12_CFF","FQ3 2023","FQ3 2023","Currency=USD","Period=FQ","BEST_FPERIOD_OVERRIDE=FQ","FILING_STATUS=MR","SCALING_FORMAT=MLN","Sort=A","Dates=H","DateFormat=P","Fill=—","Direction=H","UseDPDF=Y")</f>
        <v>53.2</v>
      </c>
      <c r="U41" s="19">
        <f>_xll.BDH("NBIX US Equity","T12_CFF","FQ4 2023","FQ4 2023","Currency=USD","Period=FQ","BEST_FPERIOD_OVERRIDE=FQ","FILING_STATUS=MR","SCALING_FORMAT=MLN","Sort=A","Dates=H","DateFormat=P","Fill=—","Direction=H","UseDPDF=Y")</f>
        <v>65.599999999999994</v>
      </c>
      <c r="V41" s="19">
        <f>_xll.BDH("NBIX US Equity","T12_CFF","FQ1 2024","FQ1 2024","Currency=USD","Period=FQ","BEST_FPERIOD_OVERRIDE=FQ","FILING_STATUS=MR","SCALING_FORMAT=MLN","Sort=A","Dates=H","DateFormat=P","Fill=—","Direction=H","UseDPDF=Y")</f>
        <v>127.3</v>
      </c>
      <c r="W41" s="19">
        <f>_xll.BDH("NBIX US Equity","T12_CFF","FQ2 2024","FQ2 2024","Currency=USD","Period=FQ","BEST_FPERIOD_OVERRIDE=FQ","FILING_STATUS=MR","SCALING_FORMAT=MLN","Sort=A","Dates=H","DateFormat=P","Fill=—","Direction=H","UseDPDF=Y")</f>
        <v>-168.6</v>
      </c>
      <c r="X41" s="19">
        <f>_xll.BDH("NBIX US Equity","T12_CFF","FQ3 2024","FQ3 2024","Currency=USD","Period=FQ","BEST_FPERIOD_OVERRIDE=FQ","FILING_STATUS=MR","SCALING_FORMAT=MLN","Sort=A","Dates=H","DateFormat=P","Fill=—","Direction=H","UseDPDF=Y")</f>
        <v>-160.69999999999999</v>
      </c>
      <c r="Y41" s="19">
        <f>_xll.BDH("NBIX US Equity","T12_CFF","FQ4 2024","FQ4 2024","Currency=USD","Period=FQ","BEST_FPERIOD_OVERRIDE=FQ","FILING_STATUS=MR","SCALING_FORMAT=MLN","Sort=A","Dates=H","DateFormat=P","Fill=—","Direction=H","UseDPDF=Y")</f>
        <v>-486.7</v>
      </c>
      <c r="Z41" s="19"/>
      <c r="AA41" s="19"/>
    </row>
    <row r="42" spans="1:27" x14ac:dyDescent="0.25">
      <c r="A42" s="11" t="s">
        <v>1494</v>
      </c>
      <c r="B42" s="11" t="s">
        <v>69</v>
      </c>
      <c r="C42" s="25">
        <f>_xll.BDH("NBIX US Equity","ENTERPRISE_VALUE","FQ2 2019","FQ2 2019","Currency=USD","Period=FQ","BEST_FPERIOD_OVERRIDE=FQ","FILING_STATUS=MR","SCALING_FORMAT=MLN","Sort=A","Dates=H","DateFormat=P","Fill=—","Direction=H","UseDPDF=Y")</f>
        <v>7576.8064999999997</v>
      </c>
      <c r="D42" s="25">
        <f>_xll.BDH("NBIX US Equity","ENTERPRISE_VALUE","FQ3 2019","FQ3 2019","Currency=USD","Period=FQ","BEST_FPERIOD_OVERRIDE=FQ","FILING_STATUS=MR","SCALING_FORMAT=MLN","Sort=A","Dates=H","DateFormat=P","Fill=—","Direction=H","UseDPDF=Y")</f>
        <v>8113.3968000000004</v>
      </c>
      <c r="E42" s="25">
        <f>_xll.BDH("NBIX US Equity","ENTERPRISE_VALUE","FQ4 2019","FQ4 2019","Currency=USD","Period=FQ","BEST_FPERIOD_OVERRIDE=FQ","FILING_STATUS=MR","SCALING_FORMAT=MLN","Sort=A","Dates=H","DateFormat=P","Fill=—","Direction=H","UseDPDF=Y")</f>
        <v>9754.6090000000004</v>
      </c>
      <c r="F42" s="25">
        <f>_xll.BDH("NBIX US Equity","ENTERPRISE_VALUE","FQ1 2020","FQ1 2020","Currency=USD","Period=FQ","BEST_FPERIOD_OVERRIDE=FQ","FILING_STATUS=MR","SCALING_FORMAT=MLN","Sort=A","Dates=H","DateFormat=P","Fill=—","Direction=H","UseDPDF=Y")</f>
        <v>7768.64</v>
      </c>
      <c r="G42" s="25">
        <f>_xll.BDH("NBIX US Equity","ENTERPRISE_VALUE","FQ2 2020","FQ2 2020","Currency=USD","Period=FQ","BEST_FPERIOD_OVERRIDE=FQ","FILING_STATUS=MR","SCALING_FORMAT=MLN","Sort=A","Dates=H","DateFormat=P","Fill=—","Direction=H","UseDPDF=Y")</f>
        <v>10935.1</v>
      </c>
      <c r="H42" s="25">
        <f>_xll.BDH("NBIX US Equity","ENTERPRISE_VALUE","FQ3 2020","FQ3 2020","Currency=USD","Period=FQ","BEST_FPERIOD_OVERRIDE=FQ","FILING_STATUS=MR","SCALING_FORMAT=MLN","Sort=A","Dates=H","DateFormat=P","Fill=—","Direction=H","UseDPDF=Y")</f>
        <v>8554.3439999999991</v>
      </c>
      <c r="I42" s="25">
        <f>_xll.BDH("NBIX US Equity","ENTERPRISE_VALUE","FQ4 2020","FQ4 2020","Currency=USD","Period=FQ","BEST_FPERIOD_OVERRIDE=FQ","FILING_STATUS=MR","SCALING_FORMAT=MLN","Sort=A","Dates=H","DateFormat=P","Fill=—","Direction=H","UseDPDF=Y")</f>
        <v>8583.5750000000007</v>
      </c>
      <c r="J42" s="25">
        <f>_xll.BDH("NBIX US Equity","ENTERPRISE_VALUE","FQ1 2021","FQ1 2021","Currency=USD","Period=FQ","BEST_FPERIOD_OVERRIDE=FQ","FILING_STATUS=MR","SCALING_FORMAT=MLN","Sort=A","Dates=H","DateFormat=P","Fill=—","Direction=H","UseDPDF=Y")</f>
        <v>8758.125</v>
      </c>
      <c r="K42" s="25">
        <f>_xll.BDH("NBIX US Equity","ENTERPRISE_VALUE","FQ2 2021","FQ2 2021","Currency=USD","Period=FQ","BEST_FPERIOD_OVERRIDE=FQ","FILING_STATUS=MR","SCALING_FORMAT=MLN","Sort=A","Dates=H","DateFormat=P","Fill=—","Direction=H","UseDPDF=Y")</f>
        <v>8771.8719999999994</v>
      </c>
      <c r="L42" s="25">
        <f>_xll.BDH("NBIX US Equity","ENTERPRISE_VALUE","FQ3 2021","FQ3 2021","Currency=USD","Period=FQ","BEST_FPERIOD_OVERRIDE=FQ","FILING_STATUS=MR","SCALING_FORMAT=MLN","Sort=A","Dates=H","DateFormat=P","Fill=—","Direction=H","UseDPDF=Y")</f>
        <v>8778.9680000000008</v>
      </c>
      <c r="M42" s="25">
        <f>_xll.BDH("NBIX US Equity","ENTERPRISE_VALUE","FQ4 2021","FQ4 2021","Currency=USD","Period=FQ","BEST_FPERIOD_OVERRIDE=FQ","FILING_STATUS=MR","SCALING_FORMAT=MLN","Sort=A","Dates=H","DateFormat=P","Fill=—","Direction=H","UseDPDF=Y")</f>
        <v>7828.2330000000002</v>
      </c>
      <c r="N42" s="25">
        <f>_xll.BDH("NBIX US Equity","ENTERPRISE_VALUE","FQ1 2022","FQ1 2022","Currency=USD","Period=FQ","BEST_FPERIOD_OVERRIDE=FQ","FILING_STATUS=MR","SCALING_FORMAT=MLN","Sort=A","Dates=H","DateFormat=P","Fill=—","Direction=H","UseDPDF=Y")</f>
        <v>8785.3250000000007</v>
      </c>
      <c r="O42" s="25">
        <f>_xll.BDH("NBIX US Equity","ENTERPRISE_VALUE","FQ2 2022","FQ2 2022","Currency=USD","Period=FQ","BEST_FPERIOD_OVERRIDE=FQ","FILING_STATUS=MR","SCALING_FORMAT=MLN","Sort=A","Dates=H","DateFormat=P","Fill=—","Direction=H","UseDPDF=Y")</f>
        <v>8956.4879999999994</v>
      </c>
      <c r="P42" s="25">
        <f>_xll.BDH("NBIX US Equity","ENTERPRISE_VALUE","FQ3 2022","FQ3 2022","Currency=USD","Period=FQ","BEST_FPERIOD_OVERRIDE=FQ","FILING_STATUS=MR","SCALING_FORMAT=MLN","Sort=A","Dates=H","DateFormat=P","Fill=—","Direction=H","UseDPDF=Y")</f>
        <v>9690.4809999999998</v>
      </c>
      <c r="Q42" s="25">
        <f>_xll.BDH("NBIX US Equity","ENTERPRISE_VALUE","FQ4 2022","FQ4 2022","Currency=USD","Period=FQ","BEST_FPERIOD_OVERRIDE=FQ","FILING_STATUS=MR","SCALING_FORMAT=MLN","Sort=A","Dates=H","DateFormat=P","Fill=—","Direction=H","UseDPDF=Y")</f>
        <v>10799.56</v>
      </c>
      <c r="R42" s="25">
        <f>_xll.BDH("NBIX US Equity","ENTERPRISE_VALUE","FQ1 2023","FQ1 2023","Currency=USD","Period=FQ","BEST_FPERIOD_OVERRIDE=FQ","FILING_STATUS=MR","SCALING_FORMAT=MLN","Sort=A","Dates=H","DateFormat=P","Fill=—","Direction=H","UseDPDF=Y")</f>
        <v>9234.25</v>
      </c>
      <c r="S42" s="25">
        <f>_xll.BDH("NBIX US Equity","ENTERPRISE_VALUE","FQ2 2023","FQ2 2023","Currency=USD","Period=FQ","BEST_FPERIOD_OVERRIDE=FQ","FILING_STATUS=MR","SCALING_FORMAT=MLN","Sort=A","Dates=H","DateFormat=P","Fill=—","Direction=H","UseDPDF=Y")</f>
        <v>8503.48</v>
      </c>
      <c r="T42" s="25">
        <f>_xll.BDH("NBIX US Equity","ENTERPRISE_VALUE","FQ3 2023","FQ3 2023","Currency=USD","Period=FQ","BEST_FPERIOD_OVERRIDE=FQ","FILING_STATUS=MR","SCALING_FORMAT=MLN","Sort=A","Dates=H","DateFormat=P","Fill=—","Direction=H","UseDPDF=Y")</f>
        <v>10226</v>
      </c>
      <c r="U42" s="25">
        <f>_xll.BDH("NBIX US Equity","ENTERPRISE_VALUE","FQ4 2023","FQ4 2023","Currency=USD","Period=FQ","BEST_FPERIOD_OVERRIDE=FQ","FILING_STATUS=MR","SCALING_FORMAT=MLN","Sort=A","Dates=H","DateFormat=P","Fill=—","Direction=H","UseDPDF=Y")</f>
        <v>12433.512000000001</v>
      </c>
      <c r="V42" s="25">
        <f>_xll.BDH("NBIX US Equity","ENTERPRISE_VALUE","FQ1 2024","FQ1 2024","Currency=USD","Period=FQ","BEST_FPERIOD_OVERRIDE=FQ","FILING_STATUS=MR","SCALING_FORMAT=MLN","Sort=A","Dates=H","DateFormat=P","Fill=—","Direction=H","UseDPDF=Y")</f>
        <v>13074.852000000001</v>
      </c>
      <c r="W42" s="25">
        <f>_xll.BDH("NBIX US Equity","ENTERPRISE_VALUE","FQ2 2024","FQ2 2024","Currency=USD","Period=FQ","BEST_FPERIOD_OVERRIDE=FQ","FILING_STATUS=MR","SCALING_FORMAT=MLN","Sort=A","Dates=H","DateFormat=P","Fill=—","Direction=H","UseDPDF=Y")</f>
        <v>13143.602999999999</v>
      </c>
      <c r="X42" s="25">
        <f>_xll.BDH("NBIX US Equity","ENTERPRISE_VALUE","FQ3 2024","FQ3 2024","Currency=USD","Period=FQ","BEST_FPERIOD_OVERRIDE=FQ","FILING_STATUS=MR","SCALING_FORMAT=MLN","Sort=A","Dates=H","DateFormat=P","Fill=—","Direction=H","UseDPDF=Y")</f>
        <v>10718.464</v>
      </c>
      <c r="Y42" s="25">
        <f>_xll.BDH("NBIX US Equity","ENTERPRISE_VALUE","FQ4 2024","FQ4 2024","Currency=USD","Period=FQ","BEST_FPERIOD_OVERRIDE=FQ","FILING_STATUS=MR","SCALING_FORMAT=MLN","Sort=A","Dates=H","DateFormat=P","Fill=—","Direction=H","UseDPDF=Y")</f>
        <v>12987.7</v>
      </c>
      <c r="Z42" s="25"/>
      <c r="AA42" s="25"/>
    </row>
    <row r="43" spans="1:27" x14ac:dyDescent="0.25">
      <c r="A43" s="6" t="s">
        <v>1500</v>
      </c>
      <c r="B43" s="6" t="s">
        <v>1501</v>
      </c>
      <c r="C43" s="20">
        <f>_xll.BDH("NBIX US Equity","CAPITAL_YIELD","FQ2 2019","FQ2 2019","Currency=USD","Period=FQ","BEST_FPERIOD_OVERRIDE=FQ","FILING_STATUS=MR","Sort=A","Dates=H","DateFormat=P","Fill=—","Direction=H","UseDPDF=Y")</f>
        <v>-0.18659999999999999</v>
      </c>
      <c r="D43" s="20">
        <f>_xll.BDH("NBIX US Equity","CAPITAL_YIELD","FQ3 2019","FQ3 2019","Currency=USD","Period=FQ","BEST_FPERIOD_OVERRIDE=FQ","FILING_STATUS=MR","Sort=A","Dates=H","DateFormat=P","Fill=—","Direction=H","UseDPDF=Y")</f>
        <v>-0.26879999999999998</v>
      </c>
      <c r="E43" s="20">
        <f>_xll.BDH("NBIX US Equity","CAPITAL_YIELD","FQ4 2019","FQ4 2019","Currency=USD","Period=FQ","BEST_FPERIOD_OVERRIDE=FQ","FILING_STATUS=MR","Sort=A","Dates=H","DateFormat=P","Fill=—","Direction=H","UseDPDF=Y")</f>
        <v>-0.3322</v>
      </c>
      <c r="F43" s="20">
        <f>_xll.BDH("NBIX US Equity","CAPITAL_YIELD","FQ1 2020","FQ1 2020","Currency=USD","Period=FQ","BEST_FPERIOD_OVERRIDE=FQ","FILING_STATUS=MR","Sort=A","Dates=H","DateFormat=P","Fill=—","Direction=H","UseDPDF=Y")</f>
        <v>-0.46110000000000001</v>
      </c>
      <c r="G43" s="20">
        <f>_xll.BDH("NBIX US Equity","CAPITAL_YIELD","FQ2 2020","FQ2 2020","Currency=USD","Period=FQ","BEST_FPERIOD_OVERRIDE=FQ","FILING_STATUS=MR","Sort=A","Dates=H","DateFormat=P","Fill=—","Direction=H","UseDPDF=Y")</f>
        <v>-0.43290000000000001</v>
      </c>
      <c r="H43" s="20">
        <f>_xll.BDH("NBIX US Equity","CAPITAL_YIELD","FQ3 2020","FQ3 2020","Currency=USD","Period=FQ","BEST_FPERIOD_OVERRIDE=FQ","FILING_STATUS=MR","Sort=A","Dates=H","DateFormat=P","Fill=—","Direction=H","UseDPDF=Y")</f>
        <v>-0.46260000000000001</v>
      </c>
      <c r="I43" s="20">
        <f>_xll.BDH("NBIX US Equity","CAPITAL_YIELD","FQ4 2020","FQ4 2020","Currency=USD","Period=FQ","BEST_FPERIOD_OVERRIDE=FQ","FILING_STATUS=MR","Sort=A","Dates=H","DateFormat=P","Fill=—","Direction=H","UseDPDF=Y")</f>
        <v>1.8384</v>
      </c>
      <c r="J43" s="20">
        <f>_xll.BDH("NBIX US Equity","CAPITAL_YIELD","FQ1 2021","FQ1 2021","Currency=USD","Period=FQ","BEST_FPERIOD_OVERRIDE=FQ","FILING_STATUS=MR","Sort=A","Dates=H","DateFormat=P","Fill=—","Direction=H","UseDPDF=Y")</f>
        <v>1.6979</v>
      </c>
      <c r="K43" s="20">
        <f>_xll.BDH("NBIX US Equity","CAPITAL_YIELD","FQ2 2021","FQ2 2021","Currency=USD","Period=FQ","BEST_FPERIOD_OVERRIDE=FQ","FILING_STATUS=MR","Sort=A","Dates=H","DateFormat=P","Fill=—","Direction=H","UseDPDF=Y")</f>
        <v>1.8411</v>
      </c>
      <c r="L43" s="20">
        <f>_xll.BDH("NBIX US Equity","CAPITAL_YIELD","FQ3 2021","FQ3 2021","Currency=USD","Period=FQ","BEST_FPERIOD_OVERRIDE=FQ","FILING_STATUS=MR","Sort=A","Dates=H","DateFormat=P","Fill=—","Direction=H","UseDPDF=Y")</f>
        <v>1.8157000000000001</v>
      </c>
      <c r="M43" s="20">
        <f>_xll.BDH("NBIX US Equity","CAPITAL_YIELD","FQ4 2021","FQ4 2021","Currency=USD","Period=FQ","BEST_FPERIOD_OVERRIDE=FQ","FILING_STATUS=MR","Sort=A","Dates=H","DateFormat=P","Fill=—","Direction=H","UseDPDF=Y")</f>
        <v>-0.35</v>
      </c>
      <c r="N43" s="20">
        <f>_xll.BDH("NBIX US Equity","CAPITAL_YIELD","FQ1 2022","FQ1 2022","Currency=USD","Period=FQ","BEST_FPERIOD_OVERRIDE=FQ","FILING_STATUS=MR","Sort=A","Dates=H","DateFormat=P","Fill=—","Direction=H","UseDPDF=Y")</f>
        <v>-0.2094</v>
      </c>
      <c r="O43" s="20">
        <f>_xll.BDH("NBIX US Equity","CAPITAL_YIELD","FQ2 2022","FQ2 2022","Currency=USD","Period=FQ","BEST_FPERIOD_OVERRIDE=FQ","FILING_STATUS=MR","Sort=A","Dates=H","DateFormat=P","Fill=—","Direction=H","UseDPDF=Y")</f>
        <v>2.9140999999999999</v>
      </c>
      <c r="P43" s="20">
        <f>_xll.BDH("NBIX US Equity","CAPITAL_YIELD","FQ3 2022","FQ3 2022","Currency=USD","Period=FQ","BEST_FPERIOD_OVERRIDE=FQ","FILING_STATUS=MR","Sort=A","Dates=H","DateFormat=P","Fill=—","Direction=H","UseDPDF=Y")</f>
        <v>2.6530999999999998</v>
      </c>
      <c r="Q43" s="20">
        <f>_xll.BDH("NBIX US Equity","CAPITAL_YIELD","FQ4 2022","FQ4 2022","Currency=USD","Period=FQ","BEST_FPERIOD_OVERRIDE=FQ","FILING_STATUS=MR","Sort=A","Dates=H","DateFormat=P","Fill=—","Direction=H","UseDPDF=Y")</f>
        <v>2.1816</v>
      </c>
      <c r="R43" s="20">
        <f>_xll.BDH("NBIX US Equity","CAPITAL_YIELD","FQ1 2023","FQ1 2023","Currency=USD","Period=FQ","BEST_FPERIOD_OVERRIDE=FQ","FILING_STATUS=MR","Sort=A","Dates=H","DateFormat=P","Fill=—","Direction=H","UseDPDF=Y")</f>
        <v>2.5286</v>
      </c>
      <c r="S43" s="20">
        <f>_xll.BDH("NBIX US Equity","CAPITAL_YIELD","FQ2 2023","FQ2 2023","Currency=USD","Period=FQ","BEST_FPERIOD_OVERRIDE=FQ","FILING_STATUS=MR","Sort=A","Dates=H","DateFormat=P","Fill=—","Direction=H","UseDPDF=Y")</f>
        <v>-0.53859999999999997</v>
      </c>
      <c r="T43" s="20">
        <f>_xll.BDH("NBIX US Equity","CAPITAL_YIELD","FQ3 2023","FQ3 2023","Currency=USD","Period=FQ","BEST_FPERIOD_OVERRIDE=FQ","FILING_STATUS=MR","Sort=A","Dates=H","DateFormat=P","Fill=—","Direction=H","UseDPDF=Y")</f>
        <v>-0.5202</v>
      </c>
      <c r="U43" s="20">
        <f>_xll.BDH("NBIX US Equity","CAPITAL_YIELD","FQ4 2023","FQ4 2023","Currency=USD","Period=FQ","BEST_FPERIOD_OVERRIDE=FQ","FILING_STATUS=MR","Sort=A","Dates=H","DateFormat=P","Fill=—","Direction=H","UseDPDF=Y")</f>
        <v>-0.52759999999999996</v>
      </c>
      <c r="V43" s="20">
        <f>_xll.BDH("NBIX US Equity","CAPITAL_YIELD","FQ1 2024","FQ1 2024","Currency=USD","Period=FQ","BEST_FPERIOD_OVERRIDE=FQ","FILING_STATUS=MR","Sort=A","Dates=H","DateFormat=P","Fill=—","Direction=H","UseDPDF=Y")</f>
        <v>-0.97360000000000002</v>
      </c>
      <c r="W43" s="20">
        <f>_xll.BDH("NBIX US Equity","CAPITAL_YIELD","FQ2 2024","FQ2 2024","Currency=USD","Period=FQ","BEST_FPERIOD_OVERRIDE=FQ","FILING_STATUS=MR","Sort=A","Dates=H","DateFormat=P","Fill=—","Direction=H","UseDPDF=Y")</f>
        <v>1.2827999999999999</v>
      </c>
      <c r="X43" s="20">
        <f>_xll.BDH("NBIX US Equity","CAPITAL_YIELD","FQ3 2024","FQ3 2024","Currency=USD","Period=FQ","BEST_FPERIOD_OVERRIDE=FQ","FILING_STATUS=MR","Sort=A","Dates=H","DateFormat=P","Fill=—","Direction=H","UseDPDF=Y")</f>
        <v>1.4993000000000001</v>
      </c>
      <c r="Y43" s="20">
        <f>_xll.BDH("NBIX US Equity","CAPITAL_YIELD","FQ4 2024","FQ4 2024","Currency=USD","Period=FQ","BEST_FPERIOD_OVERRIDE=FQ","FILING_STATUS=MR","Sort=A","Dates=H","DateFormat=P","Fill=—","Direction=H","UseDPDF=Y")</f>
        <v>3.7473999999999998</v>
      </c>
      <c r="Z43" s="20"/>
      <c r="AA43" s="20"/>
    </row>
    <row r="44" spans="1:27" x14ac:dyDescent="0.25">
      <c r="A44" s="7" t="s">
        <v>90</v>
      </c>
      <c r="B44" s="7"/>
      <c r="C44" s="7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2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1502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1503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1504</v>
      </c>
      <c r="B7" s="10" t="s">
        <v>1505</v>
      </c>
      <c r="C7" s="14">
        <f>_xll.BDH("NBIX US Equity","TAX_EFFICIENCY","FQ4 2018","FQ4 2018","Currency=USD","Period=FQ","BEST_FPERIOD_OVERRIDE=FQ","FILING_STATUS=MR","FA_ADJUSTED=GAAP","Sort=A","Dates=H","DateFormat=P","Fill=—","Direction=H","UseDPDF=Y")</f>
        <v>96.657700000000006</v>
      </c>
      <c r="D7" s="14">
        <f>_xll.BDH("NBIX US Equity","TAX_EFFICIENCY","FQ1 2019","FQ1 2019","Currency=USD","Period=FQ","BEST_FPERIOD_OVERRIDE=FQ","FILING_STATUS=MR","FA_ADJUSTED=GAAP","Sort=A","Dates=H","DateFormat=P","Fill=—","Direction=H","UseDPDF=Y")</f>
        <v>100.6447</v>
      </c>
      <c r="E7" s="14">
        <f>_xll.BDH("NBIX US Equity","TAX_EFFICIENCY","FQ2 2019","FQ2 2019","Currency=USD","Period=FQ","BEST_FPERIOD_OVERRIDE=FQ","FILING_STATUS=MR","FA_ADJUSTED=GAAP","Sort=A","Dates=H","DateFormat=P","Fill=—","Direction=H","UseDPDF=Y")</f>
        <v>94.734899999999996</v>
      </c>
      <c r="F7" s="14">
        <f>_xll.BDH("NBIX US Equity","TAX_EFFICIENCY","FQ3 2019","FQ3 2019","Currency=USD","Period=FQ","BEST_FPERIOD_OVERRIDE=FQ","FILING_STATUS=MR","FA_ADJUSTED=GAAP","Sort=A","Dates=H","DateFormat=P","Fill=—","Direction=H","UseDPDF=Y")</f>
        <v>78.953299999999999</v>
      </c>
      <c r="G7" s="14">
        <f>_xll.BDH("NBIX US Equity","TAX_EFFICIENCY","FQ4 2019","FQ4 2019","Currency=USD","Period=FQ","BEST_FPERIOD_OVERRIDE=FQ","FILING_STATUS=MR","FA_ADJUSTED=GAAP","Sort=A","Dates=H","DateFormat=P","Fill=—","Direction=H","UseDPDF=Y")</f>
        <v>79.588899999999995</v>
      </c>
      <c r="H7" s="14">
        <f>_xll.BDH("NBIX US Equity","TAX_EFFICIENCY","FQ1 2020","FQ1 2020","Currency=USD","Period=FQ","BEST_FPERIOD_OVERRIDE=FQ","FILING_STATUS=MR","FA_ADJUSTED=GAAP","Sort=A","Dates=H","DateFormat=P","Fill=—","Direction=H","UseDPDF=Y")</f>
        <v>93.898300000000006</v>
      </c>
      <c r="I7" s="14">
        <f>_xll.BDH("NBIX US Equity","TAX_EFFICIENCY","FQ2 2020","FQ2 2020","Currency=USD","Period=FQ","BEST_FPERIOD_OVERRIDE=FQ","FILING_STATUS=MR","FA_ADJUSTED=GAAP","Sort=A","Dates=H","DateFormat=P","Fill=—","Direction=H","UseDPDF=Y")</f>
        <v>93.465299999999999</v>
      </c>
      <c r="J7" s="14">
        <f>_xll.BDH("NBIX US Equity","TAX_EFFICIENCY","FQ3 2020","FQ3 2020","Currency=USD","Period=FQ","BEST_FPERIOD_OVERRIDE=FQ","FILING_STATUS=MR","FA_ADJUSTED=GAAP","Sort=A","Dates=H","DateFormat=P","Fill=—","Direction=H","UseDPDF=Y")</f>
        <v>90.154399999999995</v>
      </c>
      <c r="K7" s="14">
        <f>_xll.BDH("NBIX US Equity","TAX_EFFICIENCY","FQ4 2020","FQ4 2020","Currency=USD","Period=FQ","BEST_FPERIOD_OVERRIDE=FQ","FILING_STATUS=MR","FA_ADJUSTED=GAAP","Sort=A","Dates=H","DateFormat=P","Fill=—","Direction=H","UseDPDF=Y")</f>
        <v>381.72449999999998</v>
      </c>
      <c r="L7" s="14">
        <f>_xll.BDH("NBIX US Equity","TAX_EFFICIENCY","FQ1 2021","FQ1 2021","Currency=USD","Period=FQ","BEST_FPERIOD_OVERRIDE=FQ","FILING_STATUS=MR","FA_ADJUSTED=GAAP","Sort=A","Dates=H","DateFormat=P","Fill=—","Direction=H","UseDPDF=Y")</f>
        <v>423.15789999999998</v>
      </c>
      <c r="M7" s="14">
        <f>_xll.BDH("NBIX US Equity","TAX_EFFICIENCY","FQ2 2021","FQ2 2021","Currency=USD","Period=FQ","BEST_FPERIOD_OVERRIDE=FQ","FILING_STATUS=MR","FA_ADJUSTED=GAAP","Sort=A","Dates=H","DateFormat=P","Fill=—","Direction=H","UseDPDF=Y")</f>
        <v>526.26260000000002</v>
      </c>
      <c r="N7" s="14">
        <f>_xll.BDH("NBIX US Equity","TAX_EFFICIENCY","FQ3 2021","FQ3 2021","Currency=USD","Period=FQ","BEST_FPERIOD_OVERRIDE=FQ","FILING_STATUS=MR","FA_ADJUSTED=GAAP","Sort=A","Dates=H","DateFormat=P","Fill=—","Direction=H","UseDPDF=Y")</f>
        <v>283.49270000000001</v>
      </c>
      <c r="O7" s="14">
        <f>_xll.BDH("NBIX US Equity","TAX_EFFICIENCY","FQ4 2021","FQ4 2021","Currency=USD","Period=FQ","BEST_FPERIOD_OVERRIDE=FQ","FILING_STATUS=MR","FA_ADJUSTED=GAAP","Sort=A","Dates=H","DateFormat=P","Fill=—","Direction=H","UseDPDF=Y")</f>
        <v>88.362899999999996</v>
      </c>
      <c r="P7" s="14">
        <f>_xll.BDH("NBIX US Equity","TAX_EFFICIENCY","FQ1 2022","FQ1 2022","Currency=USD","Period=FQ","BEST_FPERIOD_OVERRIDE=FQ","FILING_STATUS=MR","FA_ADJUSTED=GAAP","Sort=A","Dates=H","DateFormat=P","Fill=—","Direction=H","UseDPDF=Y")</f>
        <v>74.686199999999999</v>
      </c>
      <c r="Q7" s="14">
        <f>_xll.BDH("NBIX US Equity","TAX_EFFICIENCY","FQ2 2022","FQ2 2022","Currency=USD","Period=FQ","BEST_FPERIOD_OVERRIDE=FQ","FILING_STATUS=MR","FA_ADJUSTED=GAAP","Sort=A","Dates=H","DateFormat=P","Fill=—","Direction=H","UseDPDF=Y")</f>
        <v>82.432400000000001</v>
      </c>
      <c r="R7" s="14">
        <f>_xll.BDH("NBIX US Equity","TAX_EFFICIENCY","FQ3 2022","FQ3 2022","Currency=USD","Period=FQ","BEST_FPERIOD_OVERRIDE=FQ","FILING_STATUS=MR","FA_ADJUSTED=GAAP","Sort=A","Dates=H","DateFormat=P","Fill=—","Direction=H","UseDPDF=Y")</f>
        <v>70.802899999999994</v>
      </c>
      <c r="S7" s="14">
        <f>_xll.BDH("NBIX US Equity","TAX_EFFICIENCY","FQ4 2022","FQ4 2022","Currency=USD","Period=FQ","BEST_FPERIOD_OVERRIDE=FQ","FILING_STATUS=MR","FA_ADJUSTED=GAAP","Sort=A","Dates=H","DateFormat=P","Fill=—","Direction=H","UseDPDF=Y")</f>
        <v>72.23</v>
      </c>
      <c r="T7" s="14">
        <f>_xll.BDH("NBIX US Equity","TAX_EFFICIENCY","FQ1 2023","FQ1 2023","Currency=USD","Period=FQ","BEST_FPERIOD_OVERRIDE=FQ","FILING_STATUS=MR","FA_ADJUSTED=GAAP","Sort=A","Dates=H","DateFormat=P","Fill=—","Direction=H","UseDPDF=Y")</f>
        <v>71.748900000000006</v>
      </c>
      <c r="U7" s="14">
        <f>_xll.BDH("NBIX US Equity","TAX_EFFICIENCY","FQ2 2023","FQ2 2023","Currency=USD","Period=FQ","BEST_FPERIOD_OVERRIDE=FQ","FILING_STATUS=MR","FA_ADJUSTED=GAAP","Sort=A","Dates=H","DateFormat=P","Fill=—","Direction=H","UseDPDF=Y")</f>
        <v>75.352400000000003</v>
      </c>
      <c r="V7" s="14">
        <f>_xll.BDH("NBIX US Equity","TAX_EFFICIENCY","FQ3 2023","FQ3 2023","Currency=USD","Period=FQ","BEST_FPERIOD_OVERRIDE=FQ","FILING_STATUS=MR","FA_ADJUSTED=GAAP","Sort=A","Dates=H","DateFormat=P","Fill=—","Direction=H","UseDPDF=Y")</f>
        <v>75.853899999999996</v>
      </c>
      <c r="W7" s="14">
        <f>_xll.BDH("NBIX US Equity","TAX_EFFICIENCY","FQ4 2023","FQ4 2023","Currency=USD","Period=FQ","BEST_FPERIOD_OVERRIDE=FQ","FILING_STATUS=MR","FA_ADJUSTED=GAAP","Sort=A","Dates=H","DateFormat=P","Fill=—","Direction=H","UseDPDF=Y")</f>
        <v>75.188199999999995</v>
      </c>
      <c r="X7" s="14">
        <f>_xll.BDH("NBIX US Equity","TAX_EFFICIENCY","FQ1 2024","FQ1 2024","Currency=USD","Period=FQ","BEST_FPERIOD_OVERRIDE=FQ","FILING_STATUS=MR","FA_ADJUSTED=GAAP","Sort=A","Dates=H","DateFormat=P","Fill=—","Direction=H","UseDPDF=Y")</f>
        <v>78.676299999999998</v>
      </c>
      <c r="Y7" s="14">
        <f>_xll.BDH("NBIX US Equity","TAX_EFFICIENCY","FQ2 2024","FQ2 2024","Currency=USD","Period=FQ","BEST_FPERIOD_OVERRIDE=FQ","FILING_STATUS=MR","FA_ADJUSTED=GAAP","Sort=A","Dates=H","DateFormat=P","Fill=—","Direction=H","UseDPDF=Y")</f>
        <v>75.900599999999997</v>
      </c>
      <c r="Z7" s="14">
        <f>_xll.BDH("NBIX US Equity","TAX_EFFICIENCY","FQ3 2024","FQ3 2024","Currency=USD","Period=FQ","BEST_FPERIOD_OVERRIDE=FQ","FILING_STATUS=MR","FA_ADJUSTED=GAAP","Sort=A","Dates=H","DateFormat=P","Fill=—","Direction=H","UseDPDF=Y")</f>
        <v>73.983900000000006</v>
      </c>
      <c r="AA7" s="14">
        <f>_xll.BDH("NBIX US Equity","TAX_EFFICIENCY","FQ4 2024","FQ4 2024","Currency=USD","Period=FQ","BEST_FPERIOD_OVERRIDE=FQ","FILING_STATUS=MR","FA_ADJUSTED=GAAP","Sort=A","Dates=H","DateFormat=P","Fill=—","Direction=H","UseDPDF=Y")</f>
        <v>70.226299999999995</v>
      </c>
    </row>
    <row r="8" spans="1:27" x14ac:dyDescent="0.25">
      <c r="A8" s="6" t="s">
        <v>1506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s="10" t="s">
        <v>1507</v>
      </c>
      <c r="B9" s="10" t="s">
        <v>1508</v>
      </c>
      <c r="C9" s="14">
        <f>_xll.BDH("NBIX US Equity","NORM_NET_INC_TO_NET_INC_FO_COM","FQ4 2018","FQ4 2018","Currency=USD","Period=FQ","BEST_FPERIOD_OVERRIDE=FQ","FILING_STATUS=MR","FA_ADJUSTED=GAAP","Sort=A","Dates=H","DateFormat=P","Fill=—","Direction=H","UseDPDF=Y")</f>
        <v>1.0006999999999999</v>
      </c>
      <c r="D9" s="14" t="str">
        <f>_xll.BDH("NBIX US Equity","NORM_NET_INC_TO_NET_INC_FO_COM","FQ1 2019","FQ1 2019","Currency=USD","Period=FQ","BEST_FPERIOD_OVERRIDE=FQ","FILING_STATUS=MR","FA_ADJUSTED=GAAP","Sort=A","Dates=H","DateFormat=P","Fill=—","Direction=H","UseDPDF=Y")</f>
        <v>—</v>
      </c>
      <c r="E9" s="14">
        <f>_xll.BDH("NBIX US Equity","NORM_NET_INC_TO_NET_INC_FO_COM","FQ2 2019","FQ2 2019","Currency=USD","Period=FQ","BEST_FPERIOD_OVERRIDE=FQ","FILING_STATUS=MR","FA_ADJUSTED=GAAP","Sort=A","Dates=H","DateFormat=P","Fill=—","Direction=H","UseDPDF=Y")</f>
        <v>5.1734999999999998</v>
      </c>
      <c r="F9" s="14">
        <f>_xll.BDH("NBIX US Equity","NORM_NET_INC_TO_NET_INC_FO_COM","FQ3 2019","FQ3 2019","Currency=USD","Period=FQ","BEST_FPERIOD_OVERRIDE=FQ","FILING_STATUS=MR","FA_ADJUSTED=GAAP","Sort=A","Dates=H","DateFormat=P","Fill=—","Direction=H","UseDPDF=Y")</f>
        <v>5.6406000000000001</v>
      </c>
      <c r="G9" s="14">
        <f>_xll.BDH("NBIX US Equity","NORM_NET_INC_TO_NET_INC_FO_COM","FQ4 2019","FQ4 2019","Currency=USD","Period=FQ","BEST_FPERIOD_OVERRIDE=FQ","FILING_STATUS=MR","FA_ADJUSTED=GAAP","Sort=A","Dates=H","DateFormat=P","Fill=—","Direction=H","UseDPDF=Y")</f>
        <v>4.8033000000000001</v>
      </c>
      <c r="H9" s="14">
        <f>_xll.BDH("NBIX US Equity","NORM_NET_INC_TO_NET_INC_FO_COM","FQ1 2020","FQ1 2020","Currency=USD","Period=FQ","BEST_FPERIOD_OVERRIDE=FQ","FILING_STATUS=MR","FA_ADJUSTED=GAAP","Sort=A","Dates=H","DateFormat=P","Fill=—","Direction=H","UseDPDF=Y")</f>
        <v>1.3889</v>
      </c>
      <c r="I9" s="14">
        <f>_xll.BDH("NBIX US Equity","NORM_NET_INC_TO_NET_INC_FO_COM","FQ2 2020","FQ2 2020","Currency=USD","Period=FQ","BEST_FPERIOD_OVERRIDE=FQ","FILING_STATUS=MR","FA_ADJUSTED=GAAP","Sort=A","Dates=H","DateFormat=P","Fill=—","Direction=H","UseDPDF=Y")</f>
        <v>1.5660000000000001</v>
      </c>
      <c r="J9" s="14">
        <f>_xll.BDH("NBIX US Equity","NORM_NET_INC_TO_NET_INC_FO_COM","FQ3 2020","FQ3 2020","Currency=USD","Period=FQ","BEST_FPERIOD_OVERRIDE=FQ","FILING_STATUS=MR","FA_ADJUSTED=GAAP","Sort=A","Dates=H","DateFormat=P","Fill=—","Direction=H","UseDPDF=Y")</f>
        <v>3.3132000000000001</v>
      </c>
      <c r="K9" s="14">
        <f>_xll.BDH("NBIX US Equity","NORM_NET_INC_TO_NET_INC_FO_COM","FQ4 2020","FQ4 2020","Currency=USD","Period=FQ","BEST_FPERIOD_OVERRIDE=FQ","FILING_STATUS=MR","FA_ADJUSTED=GAAP","Sort=A","Dates=H","DateFormat=P","Fill=—","Direction=H","UseDPDF=Y")</f>
        <v>1.1153</v>
      </c>
      <c r="L9" s="14">
        <f>_xll.BDH("NBIX US Equity","NORM_NET_INC_TO_NET_INC_FO_COM","FQ1 2021","FQ1 2021","Currency=USD","Period=FQ","BEST_FPERIOD_OVERRIDE=FQ","FILING_STATUS=MR","FA_ADJUSTED=GAAP","Sort=A","Dates=H","DateFormat=P","Fill=—","Direction=H","UseDPDF=Y")</f>
        <v>1.0765</v>
      </c>
      <c r="M9" s="14">
        <f>_xll.BDH("NBIX US Equity","NORM_NET_INC_TO_NET_INC_FO_COM","FQ2 2021","FQ2 2021","Currency=USD","Period=FQ","BEST_FPERIOD_OVERRIDE=FQ","FILING_STATUS=MR","FA_ADJUSTED=GAAP","Sort=A","Dates=H","DateFormat=P","Fill=—","Direction=H","UseDPDF=Y")</f>
        <v>1.0014000000000001</v>
      </c>
      <c r="N9" s="14">
        <f>_xll.BDH("NBIX US Equity","NORM_NET_INC_TO_NET_INC_FO_COM","FQ3 2021","FQ3 2021","Currency=USD","Period=FQ","BEST_FPERIOD_OVERRIDE=FQ","FILING_STATUS=MR","FA_ADJUSTED=GAAP","Sort=A","Dates=H","DateFormat=P","Fill=—","Direction=H","UseDPDF=Y")</f>
        <v>0.74219999999999997</v>
      </c>
      <c r="O9" s="14">
        <f>_xll.BDH("NBIX US Equity","NORM_NET_INC_TO_NET_INC_FO_COM","FQ4 2021","FQ4 2021","Currency=USD","Period=FQ","BEST_FPERIOD_OVERRIDE=FQ","FILING_STATUS=MR","FA_ADJUSTED=GAAP","Sort=A","Dates=H","DateFormat=P","Fill=—","Direction=H","UseDPDF=Y")</f>
        <v>1.7626999999999999</v>
      </c>
      <c r="P9" s="14">
        <f>_xll.BDH("NBIX US Equity","NORM_NET_INC_TO_NET_INC_FO_COM","FQ1 2022","FQ1 2022","Currency=USD","Period=FQ","BEST_FPERIOD_OVERRIDE=FQ","FILING_STATUS=MR","FA_ADJUSTED=GAAP","Sort=A","Dates=H","DateFormat=P","Fill=—","Direction=H","UseDPDF=Y")</f>
        <v>1.7099</v>
      </c>
      <c r="Q9" s="14">
        <f>_xll.BDH("NBIX US Equity","NORM_NET_INC_TO_NET_INC_FO_COM","FQ2 2022","FQ2 2022","Currency=USD","Period=FQ","BEST_FPERIOD_OVERRIDE=FQ","FILING_STATUS=MR","FA_ADJUSTED=GAAP","Sort=A","Dates=H","DateFormat=P","Fill=—","Direction=H","UseDPDF=Y")</f>
        <v>5.2732000000000001</v>
      </c>
      <c r="R9" s="14">
        <f>_xll.BDH("NBIX US Equity","NORM_NET_INC_TO_NET_INC_FO_COM","FQ3 2022","FQ3 2022","Currency=USD","Period=FQ","BEST_FPERIOD_OVERRIDE=FQ","FILING_STATUS=MR","FA_ADJUSTED=GAAP","Sort=A","Dates=H","DateFormat=P","Fill=—","Direction=H","UseDPDF=Y")</f>
        <v>1.9444999999999999</v>
      </c>
      <c r="S9" s="14">
        <f>_xll.BDH("NBIX US Equity","NORM_NET_INC_TO_NET_INC_FO_COM","FQ4 2022","FQ4 2022","Currency=USD","Period=FQ","BEST_FPERIOD_OVERRIDE=FQ","FILING_STATUS=MR","FA_ADJUSTED=GAAP","Sort=A","Dates=H","DateFormat=P","Fill=—","Direction=H","UseDPDF=Y")</f>
        <v>0.99480000000000002</v>
      </c>
      <c r="T9" s="14">
        <f>_xll.BDH("NBIX US Equity","NORM_NET_INC_TO_NET_INC_FO_COM","FQ1 2023","FQ1 2023","Currency=USD","Period=FQ","BEST_FPERIOD_OVERRIDE=FQ","FILING_STATUS=MR","FA_ADJUSTED=GAAP","Sort=A","Dates=H","DateFormat=P","Fill=—","Direction=H","UseDPDF=Y")</f>
        <v>3.0205000000000002</v>
      </c>
      <c r="U9" s="14">
        <f>_xll.BDH("NBIX US Equity","NORM_NET_INC_TO_NET_INC_FO_COM","FQ2 2023","FQ2 2023","Currency=USD","Period=FQ","BEST_FPERIOD_OVERRIDE=FQ","FILING_STATUS=MR","FA_ADJUSTED=GAAP","Sort=A","Dates=H","DateFormat=P","Fill=—","Direction=H","UseDPDF=Y")</f>
        <v>1.5328999999999999</v>
      </c>
      <c r="V9" s="14">
        <f>_xll.BDH("NBIX US Equity","NORM_NET_INC_TO_NET_INC_FO_COM","FQ3 2023","FQ3 2023","Currency=USD","Period=FQ","BEST_FPERIOD_OVERRIDE=FQ","FILING_STATUS=MR","FA_ADJUSTED=GAAP","Sort=A","Dates=H","DateFormat=P","Fill=—","Direction=H","UseDPDF=Y")</f>
        <v>1.7258</v>
      </c>
      <c r="W9" s="14">
        <f>_xll.BDH("NBIX US Equity","NORM_NET_INC_TO_NET_INC_FO_COM","FQ4 2023","FQ4 2023","Currency=USD","Period=FQ","BEST_FPERIOD_OVERRIDE=FQ","FILING_STATUS=MR","FA_ADJUSTED=GAAP","Sort=A","Dates=H","DateFormat=P","Fill=—","Direction=H","UseDPDF=Y")</f>
        <v>1.4593</v>
      </c>
      <c r="X9" s="14">
        <f>_xll.BDH("NBIX US Equity","NORM_NET_INC_TO_NET_INC_FO_COM","FQ1 2024","FQ1 2024","Currency=USD","Period=FQ","BEST_FPERIOD_OVERRIDE=FQ","FILING_STATUS=MR","FA_ADJUSTED=GAAP","Sort=A","Dates=H","DateFormat=P","Fill=—","Direction=H","UseDPDF=Y")</f>
        <v>1.0169999999999999</v>
      </c>
      <c r="Y9" s="14">
        <f>_xll.BDH("NBIX US Equity","NORM_NET_INC_TO_NET_INC_FO_COM","FQ2 2024","FQ2 2024","Currency=USD","Period=FQ","BEST_FPERIOD_OVERRIDE=FQ","FILING_STATUS=MR","FA_ADJUSTED=GAAP","Sort=A","Dates=H","DateFormat=P","Fill=—","Direction=H","UseDPDF=Y")</f>
        <v>1.4275</v>
      </c>
      <c r="Z9" s="14">
        <f>_xll.BDH("NBIX US Equity","NORM_NET_INC_TO_NET_INC_FO_COM","FQ3 2024","FQ3 2024","Currency=USD","Period=FQ","BEST_FPERIOD_OVERRIDE=FQ","FILING_STATUS=MR","FA_ADJUSTED=GAAP","Sort=A","Dates=H","DateFormat=P","Fill=—","Direction=H","UseDPDF=Y")</f>
        <v>1.3047</v>
      </c>
      <c r="AA9" s="14">
        <f>_xll.BDH("NBIX US Equity","NORM_NET_INC_TO_NET_INC_FO_COM","FQ4 2024","FQ4 2024","Currency=USD","Period=FQ","BEST_FPERIOD_OVERRIDE=FQ","FILING_STATUS=MR","FA_ADJUSTED=GAAP","Sort=A","Dates=H","DateFormat=P","Fill=—","Direction=H","UseDPDF=Y")</f>
        <v>1.4240999999999999</v>
      </c>
    </row>
    <row r="10" spans="1:27" x14ac:dyDescent="0.25">
      <c r="A10" s="6" t="s">
        <v>1509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1510</v>
      </c>
      <c r="B11" s="10" t="s">
        <v>1511</v>
      </c>
      <c r="C11" s="14">
        <f>_xll.BDH("NBIX US Equity","INT_BURDEN","FQ4 2018","FQ4 2018","Currency=USD","Period=FQ","BEST_FPERIOD_OVERRIDE=FQ","FILING_STATUS=MR","FA_ADJUSTED=GAAP","Sort=A","Dates=H","DateFormat=P","Fill=—","Direction=H","UseDPDF=Y")</f>
        <v>41.7044</v>
      </c>
      <c r="D11" s="14">
        <f>_xll.BDH("NBIX US Equity","INT_BURDEN","FQ1 2019","FQ1 2019","Currency=USD","Period=FQ","BEST_FPERIOD_OVERRIDE=FQ","FILING_STATUS=MR","FA_ADJUSTED=GAAP","Sort=A","Dates=H","DateFormat=P","Fill=—","Direction=H","UseDPDF=Y")</f>
        <v>483.30439999999999</v>
      </c>
      <c r="E11" s="14">
        <f>_xll.BDH("NBIX US Equity","INT_BURDEN","FQ2 2019","FQ2 2019","Currency=USD","Period=FQ","BEST_FPERIOD_OVERRIDE=FQ","FILING_STATUS=MR","FA_ADJUSTED=GAAP","Sort=A","Dates=H","DateFormat=P","Fill=—","Direction=H","UseDPDF=Y")</f>
        <v>37.911299999999997</v>
      </c>
      <c r="F11" s="14">
        <f>_xll.BDH("NBIX US Equity","INT_BURDEN","FQ3 2019","FQ3 2019","Currency=USD","Period=FQ","BEST_FPERIOD_OVERRIDE=FQ","FILING_STATUS=MR","FA_ADJUSTED=GAAP","Sort=A","Dates=H","DateFormat=P","Fill=—","Direction=H","UseDPDF=Y")</f>
        <v>45.811900000000001</v>
      </c>
      <c r="G11" s="14">
        <f>_xll.BDH("NBIX US Equity","INT_BURDEN","FQ4 2019","FQ4 2019","Currency=USD","Period=FQ","BEST_FPERIOD_OVERRIDE=FQ","FILING_STATUS=MR","FA_ADJUSTED=GAAP","Sort=A","Dates=H","DateFormat=P","Fill=—","Direction=H","UseDPDF=Y")</f>
        <v>59.212899999999998</v>
      </c>
      <c r="H11" s="14">
        <f>_xll.BDH("NBIX US Equity","INT_BURDEN","FQ1 2020","FQ1 2020","Currency=USD","Period=FQ","BEST_FPERIOD_OVERRIDE=FQ","FILING_STATUS=MR","FA_ADJUSTED=GAAP","Sort=A","Dates=H","DateFormat=P","Fill=—","Direction=H","UseDPDF=Y")</f>
        <v>85.307100000000005</v>
      </c>
      <c r="I11" s="14">
        <f>_xll.BDH("NBIX US Equity","INT_BURDEN","FQ2 2020","FQ2 2020","Currency=USD","Period=FQ","BEST_FPERIOD_OVERRIDE=FQ","FILING_STATUS=MR","FA_ADJUSTED=GAAP","Sort=A","Dates=H","DateFormat=P","Fill=—","Direction=H","UseDPDF=Y")</f>
        <v>87.000699999999995</v>
      </c>
      <c r="J11" s="14">
        <f>_xll.BDH("NBIX US Equity","INT_BURDEN","FQ3 2020","FQ3 2020","Currency=USD","Period=FQ","BEST_FPERIOD_OVERRIDE=FQ","FILING_STATUS=MR","FA_ADJUSTED=GAAP","Sort=A","Dates=H","DateFormat=P","Fill=—","Direction=H","UseDPDF=Y")</f>
        <v>75.730999999999995</v>
      </c>
      <c r="K11" s="14">
        <f>_xll.BDH("NBIX US Equity","INT_BURDEN","FQ4 2020","FQ4 2020","Currency=USD","Period=FQ","BEST_FPERIOD_OVERRIDE=FQ","FILING_STATUS=MR","FA_ADJUSTED=GAAP","Sort=A","Dates=H","DateFormat=P","Fill=—","Direction=H","UseDPDF=Y")</f>
        <v>76.487499999999997</v>
      </c>
      <c r="L11" s="14">
        <f>_xll.BDH("NBIX US Equity","INT_BURDEN","FQ1 2021","FQ1 2021","Currency=USD","Period=FQ","BEST_FPERIOD_OVERRIDE=FQ","FILING_STATUS=MR","FA_ADJUSTED=GAAP","Sort=A","Dates=H","DateFormat=P","Fill=—","Direction=H","UseDPDF=Y")</f>
        <v>75.396799999999999</v>
      </c>
      <c r="M11" s="14">
        <f>_xll.BDH("NBIX US Equity","INT_BURDEN","FQ2 2021","FQ2 2021","Currency=USD","Period=FQ","BEST_FPERIOD_OVERRIDE=FQ","FILING_STATUS=MR","FA_ADJUSTED=GAAP","Sort=A","Dates=H","DateFormat=P","Fill=—","Direction=H","UseDPDF=Y")</f>
        <v>70.570300000000003</v>
      </c>
      <c r="N11" s="14">
        <f>_xll.BDH("NBIX US Equity","INT_BURDEN","FQ3 2021","FQ3 2021","Currency=USD","Period=FQ","BEST_FPERIOD_OVERRIDE=FQ","FILING_STATUS=MR","FA_ADJUSTED=GAAP","Sort=A","Dates=H","DateFormat=P","Fill=—","Direction=H","UseDPDF=Y")</f>
        <v>85.318100000000001</v>
      </c>
      <c r="O11" s="14">
        <f>_xll.BDH("NBIX US Equity","INT_BURDEN","FQ4 2021","FQ4 2021","Currency=USD","Period=FQ","BEST_FPERIOD_OVERRIDE=FQ","FILING_STATUS=MR","FA_ADJUSTED=GAAP","Sort=A","Dates=H","DateFormat=P","Fill=—","Direction=H","UseDPDF=Y")</f>
        <v>79.716999999999999</v>
      </c>
      <c r="P11" s="14">
        <f>_xll.BDH("NBIX US Equity","INT_BURDEN","FQ1 2022","FQ1 2022","Currency=USD","Period=FQ","BEST_FPERIOD_OVERRIDE=FQ","FILING_STATUS=MR","FA_ADJUSTED=GAAP","Sort=A","Dates=H","DateFormat=P","Fill=—","Direction=H","UseDPDF=Y")</f>
        <v>81.292500000000004</v>
      </c>
      <c r="Q11" s="14">
        <f>_xll.BDH("NBIX US Equity","INT_BURDEN","FQ2 2022","FQ2 2022","Currency=USD","Period=FQ","BEST_FPERIOD_OVERRIDE=FQ","FILING_STATUS=MR","FA_ADJUSTED=GAAP","Sort=A","Dates=H","DateFormat=P","Fill=—","Direction=H","UseDPDF=Y")</f>
        <v>45.122</v>
      </c>
      <c r="R11" s="14">
        <f>_xll.BDH("NBIX US Equity","INT_BURDEN","FQ3 2022","FQ3 2022","Currency=USD","Period=FQ","BEST_FPERIOD_OVERRIDE=FQ","FILING_STATUS=MR","FA_ADJUSTED=GAAP","Sort=A","Dates=H","DateFormat=P","Fill=—","Direction=H","UseDPDF=Y")</f>
        <v>86.7089</v>
      </c>
      <c r="S11" s="14">
        <f>_xll.BDH("NBIX US Equity","INT_BURDEN","FQ4 2022","FQ4 2022","Currency=USD","Period=FQ","BEST_FPERIOD_OVERRIDE=FQ","FILING_STATUS=MR","FA_ADJUSTED=GAAP","Sort=A","Dates=H","DateFormat=P","Fill=—","Direction=H","UseDPDF=Y")</f>
        <v>96.787300000000002</v>
      </c>
      <c r="T11" s="14">
        <f>_xll.BDH("NBIX US Equity","INT_BURDEN","FQ1 2023","FQ1 2023","Currency=USD","Period=FQ","BEST_FPERIOD_OVERRIDE=FQ","FILING_STATUS=MR","FA_ADJUSTED=GAAP","Sort=A","Dates=H","DateFormat=P","Fill=—","Direction=H","UseDPDF=Y")</f>
        <v>94.092799999999997</v>
      </c>
      <c r="U11" s="14">
        <f>_xll.BDH("NBIX US Equity","INT_BURDEN","FQ2 2023","FQ2 2023","Currency=USD","Period=FQ","BEST_FPERIOD_OVERRIDE=FQ","FILING_STATUS=MR","FA_ADJUSTED=GAAP","Sort=A","Dates=H","DateFormat=P","Fill=—","Direction=H","UseDPDF=Y")</f>
        <v>98.031800000000004</v>
      </c>
      <c r="V11" s="14">
        <f>_xll.BDH("NBIX US Equity","INT_BURDEN","FQ3 2023","FQ3 2023","Currency=USD","Period=FQ","BEST_FPERIOD_OVERRIDE=FQ","FILING_STATUS=MR","FA_ADJUSTED=GAAP","Sort=A","Dates=H","DateFormat=P","Fill=—","Direction=H","UseDPDF=Y")</f>
        <v>98.2059</v>
      </c>
      <c r="W11" s="14">
        <f>_xll.BDH("NBIX US Equity","INT_BURDEN","FQ4 2023","FQ4 2023","Currency=USD","Period=FQ","BEST_FPERIOD_OVERRIDE=FQ","FILING_STATUS=MR","FA_ADJUSTED=GAAP","Sort=A","Dates=H","DateFormat=P","Fill=—","Direction=H","UseDPDF=Y")</f>
        <v>98.633799999999994</v>
      </c>
      <c r="X11" s="14">
        <f>_xll.BDH("NBIX US Equity","INT_BURDEN","FQ1 2024","FQ1 2024","Currency=USD","Period=FQ","BEST_FPERIOD_OVERRIDE=FQ","FILING_STATUS=MR","FA_ADJUSTED=GAAP","Sort=A","Dates=H","DateFormat=P","Fill=—","Direction=H","UseDPDF=Y")</f>
        <v>99.030600000000007</v>
      </c>
      <c r="Y11" s="14" t="str">
        <f>_xll.BDH("NBIX US Equity","INT_BURDEN","FQ2 2024","FQ2 2024","Currency=USD","Period=FQ","BEST_FPERIOD_OVERRIDE=FQ","FILING_STATUS=MR","FA_ADJUSTED=GAAP","Sort=A","Dates=H","DateFormat=P","Fill=—","Direction=H","UseDPDF=Y")</f>
        <v>—</v>
      </c>
      <c r="Z11" s="14" t="str">
        <f>_xll.BDH("NBIX US Equity","INT_BURDEN","FQ3 2024","FQ3 2024","Currency=USD","Period=FQ","BEST_FPERIOD_OVERRIDE=FQ","FILING_STATUS=MR","FA_ADJUSTED=GAAP","Sort=A","Dates=H","DateFormat=P","Fill=—","Direction=H","UseDPDF=Y")</f>
        <v>—</v>
      </c>
      <c r="AA11" s="14" t="str">
        <f>_xll.BDH("NBIX US Equity","INT_BURDEN","FQ4 2024","FQ4 2024","Currency=USD","Period=FQ","BEST_FPERIOD_OVERRIDE=FQ","FILING_STATUS=MR","FA_ADJUSTED=GAAP","Sort=A","Dates=H","DateFormat=P","Fill=—","Direction=H","UseDPDF=Y")</f>
        <v>—</v>
      </c>
    </row>
    <row r="12" spans="1:27" x14ac:dyDescent="0.25">
      <c r="A12" s="6" t="s">
        <v>398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1512</v>
      </c>
      <c r="B13" s="10" t="s">
        <v>1513</v>
      </c>
      <c r="C13" s="14">
        <f>_xll.BDH("NBIX US Equity","T12_EBIT_TO_REVENUE","FQ4 2018","FQ4 2018","Currency=USD","Period=FQ","BEST_FPERIOD_OVERRIDE=FQ","FILING_STATUS=MR","FA_ADJUSTED=GAAP","Sort=A","Dates=H","DateFormat=P","Fill=—","Direction=H","UseDPDF=Y")</f>
        <v>11.606</v>
      </c>
      <c r="D13" s="14">
        <f>_xll.BDH("NBIX US Equity","T12_EBIT_TO_REVENUE","FQ1 2019","FQ1 2019","Currency=USD","Period=FQ","BEST_FPERIOD_OVERRIDE=FQ","FILING_STATUS=MR","FA_ADJUSTED=GAAP","Sort=A","Dates=H","DateFormat=P","Fill=—","Direction=H","UseDPDF=Y")</f>
        <v>-1.5535000000000001</v>
      </c>
      <c r="E13" s="14">
        <f>_xll.BDH("NBIX US Equity","T12_EBIT_TO_REVENUE","FQ2 2019","FQ2 2019","Currency=USD","Period=FQ","BEST_FPERIOD_OVERRIDE=FQ","FILING_STATUS=MR","FA_ADJUSTED=GAAP","Sort=A","Dates=H","DateFormat=P","Fill=—","Direction=H","UseDPDF=Y")</f>
        <v>8.3107000000000006</v>
      </c>
      <c r="F13" s="14">
        <f>_xll.BDH("NBIX US Equity","T12_EBIT_TO_REVENUE","FQ3 2019","FQ3 2019","Currency=USD","Period=FQ","BEST_FPERIOD_OVERRIDE=FQ","FILING_STATUS=MR","FA_ADJUSTED=GAAP","Sort=A","Dates=H","DateFormat=P","Fill=—","Direction=H","UseDPDF=Y")</f>
        <v>8.6309000000000005</v>
      </c>
      <c r="G13" s="14">
        <f>_xll.BDH("NBIX US Equity","T12_EBIT_TO_REVENUE","FQ4 2019","FQ4 2019","Currency=USD","Period=FQ","BEST_FPERIOD_OVERRIDE=FQ","FILING_STATUS=MR","FA_ADJUSTED=GAAP","Sort=A","Dates=H","DateFormat=P","Fill=—","Direction=H","UseDPDF=Y")</f>
        <v>9.9643999999999995</v>
      </c>
      <c r="H13" s="14">
        <f>_xll.BDH("NBIX US Equity","T12_EBIT_TO_REVENUE","FQ1 2020","FQ1 2020","Currency=USD","Period=FQ","BEST_FPERIOD_OVERRIDE=FQ","FILING_STATUS=MR","FA_ADJUSTED=GAAP","Sort=A","Dates=H","DateFormat=P","Fill=—","Direction=H","UseDPDF=Y")</f>
        <v>24.8489</v>
      </c>
      <c r="I13" s="14">
        <f>_xll.BDH("NBIX US Equity","T12_EBIT_TO_REVENUE","FQ2 2020","FQ2 2020","Currency=USD","Period=FQ","BEST_FPERIOD_OVERRIDE=FQ","FILING_STATUS=MR","FA_ADJUSTED=GAAP","Sort=A","Dates=H","DateFormat=P","Fill=—","Direction=H","UseDPDF=Y")</f>
        <v>25.041899999999998</v>
      </c>
      <c r="J13" s="14">
        <f>_xll.BDH("NBIX US Equity","T12_EBIT_TO_REVENUE","FQ3 2020","FQ3 2020","Currency=USD","Period=FQ","BEST_FPERIOD_OVERRIDE=FQ","FILING_STATUS=MR","FA_ADJUSTED=GAAP","Sort=A","Dates=H","DateFormat=P","Fill=—","Direction=H","UseDPDF=Y")</f>
        <v>13.1273</v>
      </c>
      <c r="K13" s="14">
        <f>_xll.BDH("NBIX US Equity","T12_EBIT_TO_REVENUE","FQ4 2020","FQ4 2020","Currency=USD","Period=FQ","BEST_FPERIOD_OVERRIDE=FQ","FILING_STATUS=MR","FA_ADJUSTED=GAAP","Sort=A","Dates=H","DateFormat=P","Fill=—","Direction=H","UseDPDF=Y")</f>
        <v>13.3378</v>
      </c>
      <c r="L13" s="14">
        <f>_xll.BDH("NBIX US Equity","T12_EBIT_TO_REVENUE","FQ1 2021","FQ1 2021","Currency=USD","Period=FQ","BEST_FPERIOD_OVERRIDE=FQ","FILING_STATUS=MR","FA_ADJUSTED=GAAP","Sort=A","Dates=H","DateFormat=P","Fill=—","Direction=H","UseDPDF=Y")</f>
        <v>12.0528</v>
      </c>
      <c r="M13" s="14">
        <f>_xll.BDH("NBIX US Equity","T12_EBIT_TO_REVENUE","FQ2 2021","FQ2 2021","Currency=USD","Period=FQ","BEST_FPERIOD_OVERRIDE=FQ","FILING_STATUS=MR","FA_ADJUSTED=GAAP","Sort=A","Dates=H","DateFormat=P","Fill=—","Direction=H","UseDPDF=Y")</f>
        <v>9.5164000000000009</v>
      </c>
      <c r="N13" s="14">
        <f>_xll.BDH("NBIX US Equity","T12_EBIT_TO_REVENUE","FQ3 2021","FQ3 2021","Currency=USD","Period=FQ","BEST_FPERIOD_OVERRIDE=FQ","FILING_STATUS=MR","FA_ADJUSTED=GAAP","Sort=A","Dates=H","DateFormat=P","Fill=—","Direction=H","UseDPDF=Y")</f>
        <v>17.1966</v>
      </c>
      <c r="O13" s="14">
        <f>_xll.BDH("NBIX US Equity","T12_EBIT_TO_REVENUE","FQ4 2021","FQ4 2021","Currency=USD","Period=FQ","BEST_FPERIOD_OVERRIDE=FQ","FILING_STATUS=MR","FA_ADJUSTED=GAAP","Sort=A","Dates=H","DateFormat=P","Fill=—","Direction=H","UseDPDF=Y")</f>
        <v>11.2219</v>
      </c>
      <c r="P13" s="14">
        <f>_xll.BDH("NBIX US Equity","T12_EBIT_TO_REVENUE","FQ1 2022","FQ1 2022","Currency=USD","Period=FQ","BEST_FPERIOD_OVERRIDE=FQ","FILING_STATUS=MR","FA_ADJUSTED=GAAP","Sort=A","Dates=H","DateFormat=P","Fill=—","Direction=H","UseDPDF=Y")</f>
        <v>9.7391000000000005</v>
      </c>
      <c r="Q13" s="14">
        <f>_xll.BDH("NBIX US Equity","T12_EBIT_TO_REVENUE","FQ2 2022","FQ2 2022","Currency=USD","Period=FQ","BEST_FPERIOD_OVERRIDE=FQ","FILING_STATUS=MR","FA_ADJUSTED=GAAP","Sort=A","Dates=H","DateFormat=P","Fill=—","Direction=H","UseDPDF=Y")</f>
        <v>2.5293000000000001</v>
      </c>
      <c r="R13" s="14">
        <f>_xll.BDH("NBIX US Equity","T12_EBIT_TO_REVENUE","FQ3 2022","FQ3 2022","Currency=USD","Period=FQ","BEST_FPERIOD_OVERRIDE=FQ","FILING_STATUS=MR","FA_ADJUSTED=GAAP","Sort=A","Dates=H","DateFormat=P","Fill=—","Direction=H","UseDPDF=Y")</f>
        <v>6.8265000000000002</v>
      </c>
      <c r="S13" s="14">
        <f>_xll.BDH("NBIX US Equity","T12_EBIT_TO_REVENUE","FQ4 2022","FQ4 2022","Currency=USD","Period=FQ","BEST_FPERIOD_OVERRIDE=FQ","FILING_STATUS=MR","FA_ADJUSTED=GAAP","Sort=A","Dates=H","DateFormat=P","Fill=—","Direction=H","UseDPDF=Y")</f>
        <v>14.8452</v>
      </c>
      <c r="T13" s="14">
        <f>_xll.BDH("NBIX US Equity","T12_EBIT_TO_REVENUE","FQ1 2023","FQ1 2023","Currency=USD","Period=FQ","BEST_FPERIOD_OVERRIDE=FQ","FILING_STATUS=MR","FA_ADJUSTED=GAAP","Sort=A","Dates=H","DateFormat=P","Fill=—","Direction=H","UseDPDF=Y")</f>
        <v>5.9306000000000001</v>
      </c>
      <c r="U13" s="14">
        <f>_xll.BDH("NBIX US Equity","T12_EBIT_TO_REVENUE","FQ2 2023","FQ2 2023","Currency=USD","Period=FQ","BEST_FPERIOD_OVERRIDE=FQ","FILING_STATUS=MR","FA_ADJUSTED=GAAP","Sort=A","Dates=H","DateFormat=P","Fill=—","Direction=H","UseDPDF=Y")</f>
        <v>14.2738</v>
      </c>
      <c r="V13" s="14">
        <f>_xll.BDH("NBIX US Equity","T12_EBIT_TO_REVENUE","FQ3 2023","FQ3 2023","Currency=USD","Period=FQ","BEST_FPERIOD_OVERRIDE=FQ","FILING_STATUS=MR","FA_ADJUSTED=GAAP","Sort=A","Dates=H","DateFormat=P","Fill=—","Direction=H","UseDPDF=Y")</f>
        <v>14.372999999999999</v>
      </c>
      <c r="W13" s="14">
        <f>_xll.BDH("NBIX US Equity","T12_EBIT_TO_REVENUE","FQ4 2023","FQ4 2023","Currency=USD","Period=FQ","BEST_FPERIOD_OVERRIDE=FQ","FILING_STATUS=MR","FA_ADJUSTED=GAAP","Sort=A","Dates=H","DateFormat=P","Fill=—","Direction=H","UseDPDF=Y")</f>
        <v>17.842199999999998</v>
      </c>
      <c r="X13" s="14">
        <f>_xll.BDH("NBIX US Equity","T12_EBIT_TO_REVENUE","FQ1 2024","FQ1 2024","Currency=USD","Period=FQ","BEST_FPERIOD_OVERRIDE=FQ","FILING_STATUS=MR","FA_ADJUSTED=GAAP","Sort=A","Dates=H","DateFormat=P","Fill=—","Direction=H","UseDPDF=Y")</f>
        <v>23.9405</v>
      </c>
      <c r="Y13" s="14" t="str">
        <f>_xll.BDH("NBIX US Equity","T12_EBIT_TO_REVENUE","FQ2 2024","FQ2 2024","Currency=USD","Period=FQ","BEST_FPERIOD_OVERRIDE=FQ","FILING_STATUS=MR","FA_ADJUSTED=GAAP","Sort=A","Dates=H","DateFormat=P","Fill=—","Direction=H","UseDPDF=Y")</f>
        <v>—</v>
      </c>
      <c r="Z13" s="14" t="str">
        <f>_xll.BDH("NBIX US Equity","T12_EBIT_TO_REVENUE","FQ3 2024","FQ3 2024","Currency=USD","Period=FQ","BEST_FPERIOD_OVERRIDE=FQ","FILING_STATUS=MR","FA_ADJUSTED=GAAP","Sort=A","Dates=H","DateFormat=P","Fill=—","Direction=H","UseDPDF=Y")</f>
        <v>—</v>
      </c>
      <c r="AA13" s="14" t="str">
        <f>_xll.BDH("NBIX US Equity","T12_EBIT_TO_REVENUE","FQ4 2024","FQ4 2024","Currency=USD","Period=FQ","BEST_FPERIOD_OVERRIDE=FQ","FILING_STATUS=MR","FA_ADJUSTED=GAAP","Sort=A","Dates=H","DateFormat=P","Fill=—","Direction=H","UseDPDF=Y")</f>
        <v>—</v>
      </c>
    </row>
    <row r="14" spans="1:27" x14ac:dyDescent="0.25">
      <c r="A14" s="6" t="s">
        <v>1514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x14ac:dyDescent="0.25">
      <c r="A15" s="10" t="s">
        <v>1515</v>
      </c>
      <c r="B15" s="10" t="s">
        <v>1516</v>
      </c>
      <c r="C15" s="14">
        <f>_xll.BDH("NBIX US Equity","ASSET_TURNOVER","FQ4 2018","FQ4 2018","Currency=USD","Period=FQ","BEST_FPERIOD_OVERRIDE=FQ","FILING_STATUS=MR","FA_ADJUSTED=GAAP","Sort=A","Dates=H","DateFormat=P","Fill=—","Direction=H","UseDPDF=Y")</f>
        <v>0.49840000000000001</v>
      </c>
      <c r="D15" s="14">
        <f>_xll.BDH("NBIX US Equity","ASSET_TURNOVER","FQ1 2019","FQ1 2019","Currency=USD","Period=FQ","BEST_FPERIOD_OVERRIDE=FQ","FILING_STATUS=MR","FA_ADJUSTED=GAAP","Sort=A","Dates=H","DateFormat=P","Fill=—","Direction=H","UseDPDF=Y")</f>
        <v>0.58789999999999998</v>
      </c>
      <c r="E15" s="14">
        <f>_xll.BDH("NBIX US Equity","ASSET_TURNOVER","FQ2 2019","FQ2 2019","Currency=USD","Period=FQ","BEST_FPERIOD_OVERRIDE=FQ","FILING_STATUS=MR","FA_ADJUSTED=GAAP","Sort=A","Dates=H","DateFormat=P","Fill=—","Direction=H","UseDPDF=Y")</f>
        <v>0.63439999999999996</v>
      </c>
      <c r="F15" s="14">
        <f>_xll.BDH("NBIX US Equity","ASSET_TURNOVER","FQ3 2019","FQ3 2019","Currency=USD","Period=FQ","BEST_FPERIOD_OVERRIDE=FQ","FILING_STATUS=MR","FA_ADJUSTED=GAAP","Sort=A","Dates=H","DateFormat=P","Fill=—","Direction=H","UseDPDF=Y")</f>
        <v>0.63919999999999999</v>
      </c>
      <c r="G15" s="14">
        <f>_xll.BDH("NBIX US Equity","ASSET_TURNOVER","FQ4 2019","FQ4 2019","Currency=USD","Period=FQ","BEST_FPERIOD_OVERRIDE=FQ","FILING_STATUS=MR","FA_ADJUSTED=GAAP","Sort=A","Dates=H","DateFormat=P","Fill=—","Direction=H","UseDPDF=Y")</f>
        <v>0.68559999999999999</v>
      </c>
      <c r="H15" s="14">
        <f>_xll.BDH("NBIX US Equity","ASSET_TURNOVER","FQ1 2020","FQ1 2020","Currency=USD","Period=FQ","BEST_FPERIOD_OVERRIDE=FQ","FILING_STATUS=MR","FA_ADJUSTED=GAAP","Sort=A","Dates=H","DateFormat=P","Fill=—","Direction=H","UseDPDF=Y")</f>
        <v>0.76470000000000005</v>
      </c>
      <c r="I15" s="14">
        <f>_xll.BDH("NBIX US Equity","ASSET_TURNOVER","FQ2 2020","FQ2 2020","Currency=USD","Period=FQ","BEST_FPERIOD_OVERRIDE=FQ","FILING_STATUS=MR","FA_ADJUSTED=GAAP","Sort=A","Dates=H","DateFormat=P","Fill=—","Direction=H","UseDPDF=Y")</f>
        <v>0.77890000000000004</v>
      </c>
      <c r="J15" s="14">
        <f>_xll.BDH("NBIX US Equity","ASSET_TURNOVER","FQ3 2020","FQ3 2020","Currency=USD","Period=FQ","BEST_FPERIOD_OVERRIDE=FQ","FILING_STATUS=MR","FA_ADJUSTED=GAAP","Sort=A","Dates=H","DateFormat=P","Fill=—","Direction=H","UseDPDF=Y")</f>
        <v>0.77700000000000002</v>
      </c>
      <c r="K15" s="14">
        <f>_xll.BDH("NBIX US Equity","ASSET_TURNOVER","FQ4 2020","FQ4 2020","Currency=USD","Period=FQ","BEST_FPERIOD_OVERRIDE=FQ","FILING_STATUS=MR","FA_ADJUSTED=GAAP","Sort=A","Dates=H","DateFormat=P","Fill=—","Direction=H","UseDPDF=Y")</f>
        <v>0.68789999999999996</v>
      </c>
      <c r="L15" s="14">
        <f>_xll.BDH("NBIX US Equity","ASSET_TURNOVER","FQ1 2021","FQ1 2021","Currency=USD","Period=FQ","BEST_FPERIOD_OVERRIDE=FQ","FILING_STATUS=MR","FA_ADJUSTED=GAAP","Sort=A","Dates=H","DateFormat=P","Fill=—","Direction=H","UseDPDF=Y")</f>
        <v>0.65169999999999995</v>
      </c>
      <c r="M15" s="14">
        <f>_xll.BDH("NBIX US Equity","ASSET_TURNOVER","FQ2 2021","FQ2 2021","Currency=USD","Period=FQ","BEST_FPERIOD_OVERRIDE=FQ","FILING_STATUS=MR","FA_ADJUSTED=GAAP","Sort=A","Dates=H","DateFormat=P","Fill=—","Direction=H","UseDPDF=Y")</f>
        <v>0.59440000000000004</v>
      </c>
      <c r="N15" s="14">
        <f>_xll.BDH("NBIX US Equity","ASSET_TURNOVER","FQ3 2021","FQ3 2021","Currency=USD","Period=FQ","BEST_FPERIOD_OVERRIDE=FQ","FILING_STATUS=MR","FA_ADJUSTED=GAAP","Sort=A","Dates=H","DateFormat=P","Fill=—","Direction=H","UseDPDF=Y")</f>
        <v>0.60760000000000003</v>
      </c>
      <c r="O15" s="14">
        <f>_xll.BDH("NBIX US Equity","ASSET_TURNOVER","FQ4 2021","FQ4 2021","Currency=USD","Period=FQ","BEST_FPERIOD_OVERRIDE=FQ","FILING_STATUS=MR","FA_ADJUSTED=GAAP","Sort=A","Dates=H","DateFormat=P","Fill=—","Direction=H","UseDPDF=Y")</f>
        <v>0.59550000000000003</v>
      </c>
      <c r="P15" s="14">
        <f>_xll.BDH("NBIX US Equity","ASSET_TURNOVER","FQ1 2022","FQ1 2022","Currency=USD","Period=FQ","BEST_FPERIOD_OVERRIDE=FQ","FILING_STATUS=MR","FA_ADJUSTED=GAAP","Sort=A","Dates=H","DateFormat=P","Fill=—","Direction=H","UseDPDF=Y")</f>
        <v>0.60509999999999997</v>
      </c>
      <c r="Q15" s="14">
        <f>_xll.BDH("NBIX US Equity","ASSET_TURNOVER","FQ2 2022","FQ2 2022","Currency=USD","Period=FQ","BEST_FPERIOD_OVERRIDE=FQ","FILING_STATUS=MR","FA_ADJUSTED=GAAP","Sort=A","Dates=H","DateFormat=P","Fill=—","Direction=H","UseDPDF=Y")</f>
        <v>0.65459999999999996</v>
      </c>
      <c r="R15" s="14">
        <f>_xll.BDH("NBIX US Equity","ASSET_TURNOVER","FQ3 2022","FQ3 2022","Currency=USD","Period=FQ","BEST_FPERIOD_OVERRIDE=FQ","FILING_STATUS=MR","FA_ADJUSTED=GAAP","Sort=A","Dates=H","DateFormat=P","Fill=—","Direction=H","UseDPDF=Y")</f>
        <v>0.66749999999999998</v>
      </c>
      <c r="S15" s="14">
        <f>_xll.BDH("NBIX US Equity","ASSET_TURNOVER","FQ4 2022","FQ4 2022","Currency=USD","Period=FQ","BEST_FPERIOD_OVERRIDE=FQ","FILING_STATUS=MR","FA_ADJUSTED=GAAP","Sort=A","Dates=H","DateFormat=P","Fill=—","Direction=H","UseDPDF=Y")</f>
        <v>0.6704</v>
      </c>
      <c r="T15" s="14">
        <f>_xll.BDH("NBIX US Equity","ASSET_TURNOVER","FQ1 2023","FQ1 2023","Currency=USD","Period=FQ","BEST_FPERIOD_OVERRIDE=FQ","FILING_STATUS=MR","FA_ADJUSTED=GAAP","Sort=A","Dates=H","DateFormat=P","Fill=—","Direction=H","UseDPDF=Y")</f>
        <v>0.70979999999999999</v>
      </c>
      <c r="U15" s="14">
        <f>_xll.BDH("NBIX US Equity","ASSET_TURNOVER","FQ2 2023","FQ2 2023","Currency=USD","Period=FQ","BEST_FPERIOD_OVERRIDE=FQ","FILING_STATUS=MR","FA_ADJUSTED=GAAP","Sort=A","Dates=H","DateFormat=P","Fill=—","Direction=H","UseDPDF=Y")</f>
        <v>0.72440000000000004</v>
      </c>
      <c r="V15" s="14">
        <f>_xll.BDH("NBIX US Equity","ASSET_TURNOVER","FQ3 2023","FQ3 2023","Currency=USD","Period=FQ","BEST_FPERIOD_OVERRIDE=FQ","FILING_STATUS=MR","FA_ADJUSTED=GAAP","Sort=A","Dates=H","DateFormat=P","Fill=—","Direction=H","UseDPDF=Y")</f>
        <v>0.71479999999999999</v>
      </c>
      <c r="W15" s="14">
        <f>_xll.BDH("NBIX US Equity","ASSET_TURNOVER","FQ4 2023","FQ4 2023","Currency=USD","Period=FQ","BEST_FPERIOD_OVERRIDE=FQ","FILING_STATUS=MR","FA_ADJUSTED=GAAP","Sort=A","Dates=H","DateFormat=P","Fill=—","Direction=H","UseDPDF=Y")</f>
        <v>0.67159999999999997</v>
      </c>
      <c r="X15" s="14">
        <f>_xll.BDH("NBIX US Equity","ASSET_TURNOVER","FQ1 2024","FQ1 2024","Currency=USD","Period=FQ","BEST_FPERIOD_OVERRIDE=FQ","FILING_STATUS=MR","FA_ADJUSTED=GAAP","Sort=A","Dates=H","DateFormat=P","Fill=—","Direction=H","UseDPDF=Y")</f>
        <v>0.67969999999999997</v>
      </c>
      <c r="Y15" s="14">
        <f>_xll.BDH("NBIX US Equity","ASSET_TURNOVER","FQ2 2024","FQ2 2024","Currency=USD","Period=FQ","BEST_FPERIOD_OVERRIDE=FQ","FILING_STATUS=MR","FA_ADJUSTED=GAAP","Sort=A","Dates=H","DateFormat=P","Fill=—","Direction=H","UseDPDF=Y")</f>
        <v>0.71630000000000005</v>
      </c>
      <c r="Z15" s="14">
        <f>_xll.BDH("NBIX US Equity","ASSET_TURNOVER","FQ3 2024","FQ3 2024","Currency=USD","Period=FQ","BEST_FPERIOD_OVERRIDE=FQ","FILING_STATUS=MR","FA_ADJUSTED=GAAP","Sort=A","Dates=H","DateFormat=P","Fill=—","Direction=H","UseDPDF=Y")</f>
        <v>0.70269999999999999</v>
      </c>
      <c r="AA15" s="14">
        <f>_xll.BDH("NBIX US Equity","ASSET_TURNOVER","FQ4 2024","FQ4 2024","Currency=USD","Period=FQ","BEST_FPERIOD_OVERRIDE=FQ","FILING_STATUS=MR","FA_ADJUSTED=GAAP","Sort=A","Dates=H","DateFormat=P","Fill=—","Direction=H","UseDPDF=Y")</f>
        <v>0.67579999999999996</v>
      </c>
    </row>
    <row r="16" spans="1:27" x14ac:dyDescent="0.25">
      <c r="A16" s="6" t="s">
        <v>1517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0" t="s">
        <v>1518</v>
      </c>
      <c r="B17" s="10" t="s">
        <v>1519</v>
      </c>
      <c r="C17" s="14">
        <f>_xll.BDH("NBIX US Equity","FNCL_LVRG","FQ4 2018","FQ4 2018","Currency=USD","Period=FQ","BEST_FPERIOD_OVERRIDE=FQ","FILING_STATUS=MR","Sort=A","Dates=H","DateFormat=P","Fill=—","Direction=H","UseDPDF=Y")</f>
        <v>2.0758000000000001</v>
      </c>
      <c r="D17" s="14">
        <f>_xll.BDH("NBIX US Equity","FNCL_LVRG","FQ1 2019","FQ1 2019","Currency=USD","Period=FQ","BEST_FPERIOD_OVERRIDE=FQ","FILING_STATUS=MR","Sort=A","Dates=H","DateFormat=P","Fill=—","Direction=H","UseDPDF=Y")</f>
        <v>2.1919</v>
      </c>
      <c r="E17" s="14">
        <f>_xll.BDH("NBIX US Equity","FNCL_LVRG","FQ2 2019","FQ2 2019","Currency=USD","Period=FQ","BEST_FPERIOD_OVERRIDE=FQ","FILING_STATUS=MR","Sort=A","Dates=H","DateFormat=P","Fill=—","Direction=H","UseDPDF=Y")</f>
        <v>2.2671999999999999</v>
      </c>
      <c r="F17" s="14">
        <f>_xll.BDH("NBIX US Equity","FNCL_LVRG","FQ3 2019","FQ3 2019","Currency=USD","Period=FQ","BEST_FPERIOD_OVERRIDE=FQ","FILING_STATUS=MR","Sort=A","Dates=H","DateFormat=P","Fill=—","Direction=H","UseDPDF=Y")</f>
        <v>2.1232000000000002</v>
      </c>
      <c r="G17" s="14">
        <f>_xll.BDH("NBIX US Equity","FNCL_LVRG","FQ4 2019","FQ4 2019","Currency=USD","Period=FQ","BEST_FPERIOD_OVERRIDE=FQ","FILING_STATUS=MR","Sort=A","Dates=H","DateFormat=P","Fill=—","Direction=H","UseDPDF=Y")</f>
        <v>2.0520999999999998</v>
      </c>
      <c r="H17" s="14">
        <f>_xll.BDH("NBIX US Equity","FNCL_LVRG","FQ1 2020","FQ1 2020","Currency=USD","Period=FQ","BEST_FPERIOD_OVERRIDE=FQ","FILING_STATUS=MR","Sort=A","Dates=H","DateFormat=P","Fill=—","Direction=H","UseDPDF=Y")</f>
        <v>1.9951000000000001</v>
      </c>
      <c r="I17" s="14">
        <f>_xll.BDH("NBIX US Equity","FNCL_LVRG","FQ2 2020","FQ2 2020","Currency=USD","Period=FQ","BEST_FPERIOD_OVERRIDE=FQ","FILING_STATUS=MR","Sort=A","Dates=H","DateFormat=P","Fill=—","Direction=H","UseDPDF=Y")</f>
        <v>1.8789</v>
      </c>
      <c r="J17" s="14">
        <f>_xll.BDH("NBIX US Equity","FNCL_LVRG","FQ3 2020","FQ3 2020","Currency=USD","Period=FQ","BEST_FPERIOD_OVERRIDE=FQ","FILING_STATUS=MR","Sort=A","Dates=H","DateFormat=P","Fill=—","Direction=H","UseDPDF=Y")</f>
        <v>1.8453999999999999</v>
      </c>
      <c r="K17" s="14">
        <f>_xll.BDH("NBIX US Equity","FNCL_LVRG","FQ4 2020","FQ4 2020","Currency=USD","Period=FQ","BEST_FPERIOD_OVERRIDE=FQ","FILING_STATUS=MR","Sort=A","Dates=H","DateFormat=P","Fill=—","Direction=H","UseDPDF=Y")</f>
        <v>1.6769000000000001</v>
      </c>
      <c r="L17" s="14">
        <f>_xll.BDH("NBIX US Equity","FNCL_LVRG","FQ1 2021","FQ1 2021","Currency=USD","Period=FQ","BEST_FPERIOD_OVERRIDE=FQ","FILING_STATUS=MR","Sort=A","Dates=H","DateFormat=P","Fill=—","Direction=H","UseDPDF=Y")</f>
        <v>1.5358000000000001</v>
      </c>
      <c r="M17" s="14">
        <f>_xll.BDH("NBIX US Equity","FNCL_LVRG","FQ2 2021","FQ2 2021","Currency=USD","Period=FQ","BEST_FPERIOD_OVERRIDE=FQ","FILING_STATUS=MR","Sort=A","Dates=H","DateFormat=P","Fill=—","Direction=H","UseDPDF=Y")</f>
        <v>1.5304</v>
      </c>
      <c r="N17" s="14">
        <f>_xll.BDH("NBIX US Equity","FNCL_LVRG","FQ3 2021","FQ3 2021","Currency=USD","Period=FQ","BEST_FPERIOD_OVERRIDE=FQ","FILING_STATUS=MR","Sort=A","Dates=H","DateFormat=P","Fill=—","Direction=H","UseDPDF=Y")</f>
        <v>1.5137</v>
      </c>
      <c r="O17" s="14">
        <f>_xll.BDH("NBIX US Equity","FNCL_LVRG","FQ4 2021","FQ4 2021","Currency=USD","Period=FQ","BEST_FPERIOD_OVERRIDE=FQ","FILING_STATUS=MR","Sort=A","Dates=H","DateFormat=P","Fill=—","Direction=H","UseDPDF=Y")</f>
        <v>1.5036</v>
      </c>
      <c r="P17" s="14">
        <f>_xll.BDH("NBIX US Equity","FNCL_LVRG","FQ1 2022","FQ1 2022","Currency=USD","Period=FQ","BEST_FPERIOD_OVERRIDE=FQ","FILING_STATUS=MR","Sort=A","Dates=H","DateFormat=P","Fill=—","Direction=H","UseDPDF=Y")</f>
        <v>1.5250999999999999</v>
      </c>
      <c r="Q17" s="14">
        <f>_xll.BDH("NBIX US Equity","FNCL_LVRG","FQ2 2022","FQ2 2022","Currency=USD","Period=FQ","BEST_FPERIOD_OVERRIDE=FQ","FILING_STATUS=MR","Sort=A","Dates=H","DateFormat=P","Fill=—","Direction=H","UseDPDF=Y")</f>
        <v>1.4745999999999999</v>
      </c>
      <c r="R17" s="14">
        <f>_xll.BDH("NBIX US Equity","FNCL_LVRG","FQ3 2022","FQ3 2022","Currency=USD","Period=FQ","BEST_FPERIOD_OVERRIDE=FQ","FILING_STATUS=MR","Sort=A","Dates=H","DateFormat=P","Fill=—","Direction=H","UseDPDF=Y")</f>
        <v>1.3978999999999999</v>
      </c>
      <c r="S17" s="14">
        <f>_xll.BDH("NBIX US Equity","FNCL_LVRG","FQ4 2022","FQ4 2022","Currency=USD","Period=FQ","BEST_FPERIOD_OVERRIDE=FQ","FILING_STATUS=MR","Sort=A","Dates=H","DateFormat=P","Fill=—","Direction=H","UseDPDF=Y")</f>
        <v>1.3873</v>
      </c>
      <c r="T17" s="14">
        <f>_xll.BDH("NBIX US Equity","FNCL_LVRG","FQ1 2023","FQ1 2023","Currency=USD","Period=FQ","BEST_FPERIOD_OVERRIDE=FQ","FILING_STATUS=MR","Sort=A","Dates=H","DateFormat=P","Fill=—","Direction=H","UseDPDF=Y")</f>
        <v>1.3938999999999999</v>
      </c>
      <c r="U17" s="14">
        <f>_xll.BDH("NBIX US Equity","FNCL_LVRG","FQ2 2023","FQ2 2023","Currency=USD","Period=FQ","BEST_FPERIOD_OVERRIDE=FQ","FILING_STATUS=MR","Sort=A","Dates=H","DateFormat=P","Fill=—","Direction=H","UseDPDF=Y")</f>
        <v>1.4057999999999999</v>
      </c>
      <c r="V17" s="14">
        <f>_xll.BDH("NBIX US Equity","FNCL_LVRG","FQ3 2023","FQ3 2023","Currency=USD","Period=FQ","BEST_FPERIOD_OVERRIDE=FQ","FILING_STATUS=MR","Sort=A","Dates=H","DateFormat=P","Fill=—","Direction=H","UseDPDF=Y")</f>
        <v>1.4166000000000001</v>
      </c>
      <c r="W17" s="14">
        <f>_xll.BDH("NBIX US Equity","FNCL_LVRG","FQ4 2023","FQ4 2023","Currency=USD","Period=FQ","BEST_FPERIOD_OVERRIDE=FQ","FILING_STATUS=MR","Sort=A","Dates=H","DateFormat=P","Fill=—","Direction=H","UseDPDF=Y")</f>
        <v>1.4406000000000001</v>
      </c>
      <c r="X17" s="14">
        <f>_xll.BDH("NBIX US Equity","FNCL_LVRG","FQ1 2024","FQ1 2024","Currency=USD","Period=FQ","BEST_FPERIOD_OVERRIDE=FQ","FILING_STATUS=MR","Sort=A","Dates=H","DateFormat=P","Fill=—","Direction=H","UseDPDF=Y")</f>
        <v>1.456</v>
      </c>
      <c r="Y17" s="14">
        <f>_xll.BDH("NBIX US Equity","FNCL_LVRG","FQ2 2024","FQ2 2024","Currency=USD","Period=FQ","BEST_FPERIOD_OVERRIDE=FQ","FILING_STATUS=MR","Sort=A","Dates=H","DateFormat=P","Fill=—","Direction=H","UseDPDF=Y")</f>
        <v>1.3845000000000001</v>
      </c>
      <c r="Z17" s="14">
        <f>_xll.BDH("NBIX US Equity","FNCL_LVRG","FQ3 2024","FQ3 2024","Currency=USD","Period=FQ","BEST_FPERIOD_OVERRIDE=FQ","FILING_STATUS=MR","Sort=A","Dates=H","DateFormat=P","Fill=—","Direction=H","UseDPDF=Y")</f>
        <v>1.3083</v>
      </c>
      <c r="AA17" s="14">
        <f>_xll.BDH("NBIX US Equity","FNCL_LVRG","FQ4 2024","FQ4 2024","Currency=USD","Period=FQ","BEST_FPERIOD_OVERRIDE=FQ","FILING_STATUS=MR","Sort=A","Dates=H","DateFormat=P","Fill=—","Direction=H","UseDPDF=Y")</f>
        <v>1.3664000000000001</v>
      </c>
    </row>
    <row r="18" spans="1:27" x14ac:dyDescent="0.25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5">
      <c r="A19" s="10" t="s">
        <v>1520</v>
      </c>
      <c r="B19" s="10" t="s">
        <v>1521</v>
      </c>
      <c r="C19" s="14">
        <f>_xll.BDH("NBIX US Equity","NORMALIZED_ROE","FQ4 2018","FQ4 2018","Currency=USD","Period=FQ","BEST_FPERIOD_OVERRIDE=FQ","FILING_STATUS=MR","FA_ADJUSTED=GAAP","Sort=A","Dates=H","DateFormat=P","Fill=—","Direction=H","UseDPDF=Y")</f>
        <v>4.9537000000000004</v>
      </c>
      <c r="D19" s="14">
        <f>_xll.BDH("NBIX US Equity","NORMALIZED_ROE","FQ1 2019","FQ1 2019","Currency=USD","Period=FQ","BEST_FPERIOD_OVERRIDE=FQ","FILING_STATUS=MR","FA_ADJUSTED=GAAP","Sort=A","Dates=H","DateFormat=P","Fill=—","Direction=H","UseDPDF=Y")</f>
        <v>12.5817</v>
      </c>
      <c r="E19" s="14">
        <f>_xll.BDH("NBIX US Equity","NORMALIZED_ROE","FQ2 2019","FQ2 2019","Currency=USD","Period=FQ","BEST_FPERIOD_OVERRIDE=FQ","FILING_STATUS=MR","FA_ADJUSTED=GAAP","Sort=A","Dates=H","DateFormat=P","Fill=—","Direction=H","UseDPDF=Y")</f>
        <v>21.7059</v>
      </c>
      <c r="F19" s="14">
        <f>_xll.BDH("NBIX US Equity","NORMALIZED_ROE","FQ3 2019","FQ3 2019","Currency=USD","Period=FQ","BEST_FPERIOD_OVERRIDE=FQ","FILING_STATUS=MR","FA_ADJUSTED=GAAP","Sort=A","Dates=H","DateFormat=P","Fill=—","Direction=H","UseDPDF=Y")</f>
        <v>23.279199999999999</v>
      </c>
      <c r="G19" s="14">
        <f>_xll.BDH("NBIX US Equity","NORMALIZED_ROE","FQ4 2019","FQ4 2019","Currency=USD","Period=FQ","BEST_FPERIOD_OVERRIDE=FQ","FILING_STATUS=MR","FA_ADJUSTED=GAAP","Sort=A","Dates=H","DateFormat=P","Fill=—","Direction=H","UseDPDF=Y")</f>
        <v>31.8125</v>
      </c>
      <c r="H19" s="14">
        <f>_xll.BDH("NBIX US Equity","NORMALIZED_ROE","FQ1 2020","FQ1 2020","Currency=USD","Period=FQ","BEST_FPERIOD_OVERRIDE=FQ","FILING_STATUS=MR","FA_ADJUSTED=GAAP","Sort=A","Dates=H","DateFormat=P","Fill=—","Direction=H","UseDPDF=Y")</f>
        <v>44.192999999999998</v>
      </c>
      <c r="I19" s="14">
        <f>_xll.BDH("NBIX US Equity","NORMALIZED_ROE","FQ2 2020","FQ2 2020","Currency=USD","Period=FQ","BEST_FPERIOD_OVERRIDE=FQ","FILING_STATUS=MR","FA_ADJUSTED=GAAP","Sort=A","Dates=H","DateFormat=P","Fill=—","Direction=H","UseDPDF=Y")</f>
        <v>48.778100000000002</v>
      </c>
      <c r="J19" s="14">
        <f>_xll.BDH("NBIX US Equity","NORMALIZED_ROE","FQ3 2020","FQ3 2020","Currency=USD","Period=FQ","BEST_FPERIOD_OVERRIDE=FQ","FILING_STATUS=MR","FA_ADJUSTED=GAAP","Sort=A","Dates=H","DateFormat=P","Fill=—","Direction=H","UseDPDF=Y")</f>
        <v>44.887099999999997</v>
      </c>
      <c r="K19" s="14">
        <f>_xll.BDH("NBIX US Equity","NORMALIZED_ROE","FQ4 2020","FQ4 2020","Currency=USD","Period=FQ","BEST_FPERIOD_OVERRIDE=FQ","FILING_STATUS=MR","FA_ADJUSTED=GAAP","Sort=A","Dates=H","DateFormat=P","Fill=—","Direction=H","UseDPDF=Y")</f>
        <v>51.5291</v>
      </c>
      <c r="L19" s="14">
        <f>_xll.BDH("NBIX US Equity","NORMALIZED_ROE","FQ1 2021","FQ1 2021","Currency=USD","Period=FQ","BEST_FPERIOD_OVERRIDE=FQ","FILING_STATUS=MR","FA_ADJUSTED=GAAP","Sort=A","Dates=H","DateFormat=P","Fill=—","Direction=H","UseDPDF=Y")</f>
        <v>45.411700000000003</v>
      </c>
      <c r="M19" s="14">
        <f>_xll.BDH("NBIX US Equity","NORMALIZED_ROE","FQ2 2021","FQ2 2021","Currency=USD","Period=FQ","BEST_FPERIOD_OVERRIDE=FQ","FILING_STATUS=MR","FA_ADJUSTED=GAAP","Sort=A","Dates=H","DateFormat=P","Fill=—","Direction=H","UseDPDF=Y")</f>
        <v>34.610199999999999</v>
      </c>
      <c r="N19" s="14">
        <f>_xll.BDH("NBIX US Equity","NORMALIZED_ROE","FQ3 2021","FQ3 2021","Currency=USD","Period=FQ","BEST_FPERIOD_OVERRIDE=FQ","FILING_STATUS=MR","FA_ADJUSTED=GAAP","Sort=A","Dates=H","DateFormat=P","Fill=—","Direction=H","UseDPDF=Y")</f>
        <v>30.7059</v>
      </c>
      <c r="O19" s="14">
        <f>_xll.BDH("NBIX US Equity","NORMALIZED_ROE","FQ4 2021","FQ4 2021","Currency=USD","Period=FQ","BEST_FPERIOD_OVERRIDE=FQ","FILING_STATUS=MR","FA_ADJUSTED=GAAP","Sort=A","Dates=H","DateFormat=P","Fill=—","Direction=H","UseDPDF=Y")</f>
        <v>12.6341</v>
      </c>
      <c r="P19" s="14">
        <f>_xll.BDH("NBIX US Equity","NORMALIZED_ROE","FQ1 2022","FQ1 2022","Currency=USD","Period=FQ","BEST_FPERIOD_OVERRIDE=FQ","FILING_STATUS=MR","FA_ADJUSTED=GAAP","Sort=A","Dates=H","DateFormat=P","Fill=—","Direction=H","UseDPDF=Y")</f>
        <v>9.4031000000000002</v>
      </c>
      <c r="Q19" s="14">
        <f>_xll.BDH("NBIX US Equity","NORMALIZED_ROE","FQ2 2022","FQ2 2022","Currency=USD","Period=FQ","BEST_FPERIOD_OVERRIDE=FQ","FILING_STATUS=MR","FA_ADJUSTED=GAAP","Sort=A","Dates=H","DateFormat=P","Fill=—","Direction=H","UseDPDF=Y")</f>
        <v>4.7607999999999997</v>
      </c>
      <c r="R19" s="14">
        <f>_xll.BDH("NBIX US Equity","NORMALIZED_ROE","FQ3 2022","FQ3 2022","Currency=USD","Period=FQ","BEST_FPERIOD_OVERRIDE=FQ","FILING_STATUS=MR","FA_ADJUSTED=GAAP","Sort=A","Dates=H","DateFormat=P","Fill=—","Direction=H","UseDPDF=Y")</f>
        <v>7.8301999999999996</v>
      </c>
      <c r="S19" s="14">
        <f>_xll.BDH("NBIX US Equity","NORMALIZED_ROE","FQ4 2022","FQ4 2022","Currency=USD","Period=FQ","BEST_FPERIOD_OVERRIDE=FQ","FILING_STATUS=MR","FA_ADJUSTED=GAAP","Sort=A","Dates=H","DateFormat=P","Fill=—","Direction=H","UseDPDF=Y")</f>
        <v>9.9748000000000001</v>
      </c>
      <c r="T19" s="14">
        <f>_xll.BDH("NBIX US Equity","NORMALIZED_ROE","FQ1 2023","FQ1 2023","Currency=USD","Period=FQ","BEST_FPERIOD_OVERRIDE=FQ","FILING_STATUS=MR","FA_ADJUSTED=GAAP","Sort=A","Dates=H","DateFormat=P","Fill=—","Direction=H","UseDPDF=Y")</f>
        <v>12.5708</v>
      </c>
      <c r="U19" s="14">
        <f>_xll.BDH("NBIX US Equity","NORMALIZED_ROE","FQ2 2023","FQ2 2023","Currency=USD","Period=FQ","BEST_FPERIOD_OVERRIDE=FQ","FILING_STATUS=MR","FA_ADJUSTED=GAAP","Sort=A","Dates=H","DateFormat=P","Fill=—","Direction=H","UseDPDF=Y")</f>
        <v>16.506</v>
      </c>
      <c r="V19" s="14">
        <f>_xll.BDH("NBIX US Equity","NORMALIZED_ROE","FQ3 2023","FQ3 2023","Currency=USD","Period=FQ","BEST_FPERIOD_OVERRIDE=FQ","FILING_STATUS=MR","FA_ADJUSTED=GAAP","Sort=A","Dates=H","DateFormat=P","Fill=—","Direction=H","UseDPDF=Y")</f>
        <v>18.587900000000001</v>
      </c>
      <c r="W19" s="14">
        <f>_xll.BDH("NBIX US Equity","NORMALIZED_ROE","FQ4 2023","FQ4 2023","Currency=USD","Period=FQ","BEST_FPERIOD_OVERRIDE=FQ","FILING_STATUS=MR","FA_ADJUSTED=GAAP","Sort=A","Dates=H","DateFormat=P","Fill=—","Direction=H","UseDPDF=Y")</f>
        <v>18.497599999999998</v>
      </c>
      <c r="X19" s="14">
        <f>_xll.BDH("NBIX US Equity","NORMALIZED_ROE","FQ1 2024","FQ1 2024","Currency=USD","Period=FQ","BEST_FPERIOD_OVERRIDE=FQ","FILING_STATUS=MR","FA_ADJUSTED=GAAP","Sort=A","Dates=H","DateFormat=P","Fill=—","Direction=H","UseDPDF=Y")</f>
        <v>18.4739</v>
      </c>
      <c r="Y19" s="14">
        <f>_xll.BDH("NBIX US Equity","NORMALIZED_ROE","FQ2 2024","FQ2 2024","Currency=USD","Period=FQ","BEST_FPERIOD_OVERRIDE=FQ","FILING_STATUS=MR","FA_ADJUSTED=GAAP","Sort=A","Dates=H","DateFormat=P","Fill=—","Direction=H","UseDPDF=Y")</f>
        <v>22.200800000000001</v>
      </c>
      <c r="Z19" s="14">
        <f>_xll.BDH("NBIX US Equity","NORMALIZED_ROE","FQ3 2024","FQ3 2024","Currency=USD","Period=FQ","BEST_FPERIOD_OVERRIDE=FQ","FILING_STATUS=MR","FA_ADJUSTED=GAAP","Sort=A","Dates=H","DateFormat=P","Fill=—","Direction=H","UseDPDF=Y")</f>
        <v>21.3293</v>
      </c>
      <c r="AA19" s="14">
        <f>_xll.BDH("NBIX US Equity","NORMALIZED_ROE","FQ4 2024","FQ4 2024","Currency=USD","Period=FQ","BEST_FPERIOD_OVERRIDE=FQ","FILING_STATUS=MR","FA_ADJUSTED=GAAP","Sort=A","Dates=H","DateFormat=P","Fill=—","Direction=H","UseDPDF=Y")</f>
        <v>20.1614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1522</v>
      </c>
      <c r="B21" s="10" t="s">
        <v>1523</v>
      </c>
      <c r="C21" s="14">
        <f>_xll.BDH("NBIX US Equity","5_YEAR_AVERAGE_ADJUSTED_ROE","FQ4 2018","FQ4 2018","Currency=USD","Period=FQ","BEST_FPERIOD_OVERRIDE=FQ","FILING_STATUS=MR","FA_ADJUSTED=GAAP","Sort=A","Dates=H","DateFormat=P","Fill=—","Direction=H","UseDPDF=Y")</f>
        <v>-16.760999999999999</v>
      </c>
      <c r="D21" s="14">
        <f>_xll.BDH("NBIX US Equity","5_YEAR_AVERAGE_ADJUSTED_ROE","FQ1 2019","FQ1 2019","Currency=USD","Period=FQ","BEST_FPERIOD_OVERRIDE=FQ","FILING_STATUS=MR","FA_ADJUSTED=GAAP","Sort=A","Dates=H","DateFormat=P","Fill=—","Direction=H","UseDPDF=Y")</f>
        <v>-5.8647999999999998</v>
      </c>
      <c r="E21" s="14">
        <f>_xll.BDH("NBIX US Equity","5_YEAR_AVERAGE_ADJUSTED_ROE","FQ2 2019","FQ2 2019","Currency=USD","Period=FQ","BEST_FPERIOD_OVERRIDE=FQ","FILING_STATUS=MR","FA_ADJUSTED=GAAP","Sort=A","Dates=H","DateFormat=P","Fill=—","Direction=H","UseDPDF=Y")</f>
        <v>5.4538000000000002</v>
      </c>
      <c r="F21" s="14">
        <f>_xll.BDH("NBIX US Equity","5_YEAR_AVERAGE_ADJUSTED_ROE","FQ3 2019","FQ3 2019","Currency=USD","Period=FQ","BEST_FPERIOD_OVERRIDE=FQ","FILING_STATUS=MR","FA_ADJUSTED=GAAP","Sort=A","Dates=H","DateFormat=P","Fill=—","Direction=H","UseDPDF=Y")</f>
        <v>12.9983</v>
      </c>
      <c r="G21" s="14">
        <f>_xll.BDH("NBIX US Equity","5_YEAR_AVERAGE_ADJUSTED_ROE","FQ4 2019","FQ4 2019","Currency=USD","Period=FQ","BEST_FPERIOD_OVERRIDE=FQ","FILING_STATUS=MR","FA_ADJUSTED=GAAP","Sort=A","Dates=H","DateFormat=P","Fill=—","Direction=H","UseDPDF=Y")</f>
        <v>18.866599999999998</v>
      </c>
      <c r="H21" s="14">
        <f>_xll.BDH("NBIX US Equity","5_YEAR_AVERAGE_ADJUSTED_ROE","FQ1 2020","FQ1 2020","Currency=USD","Period=FQ","BEST_FPERIOD_OVERRIDE=FQ","FILING_STATUS=MR","FA_ADJUSTED=GAAP","Sort=A","Dates=H","DateFormat=P","Fill=—","Direction=H","UseDPDF=Y")</f>
        <v>26.714500000000001</v>
      </c>
      <c r="I21" s="14">
        <f>_xll.BDH("NBIX US Equity","5_YEAR_AVERAGE_ADJUSTED_ROE","FQ2 2020","FQ2 2020","Currency=USD","Period=FQ","BEST_FPERIOD_OVERRIDE=FQ","FILING_STATUS=MR","FA_ADJUSTED=GAAP","Sort=A","Dates=H","DateFormat=P","Fill=—","Direction=H","UseDPDF=Y")</f>
        <v>33.953800000000001</v>
      </c>
      <c r="J21" s="14">
        <f>_xll.BDH("NBIX US Equity","5_YEAR_AVERAGE_ADJUSTED_ROE","FQ3 2020","FQ3 2020","Currency=USD","Period=FQ","BEST_FPERIOD_OVERRIDE=FQ","FILING_STATUS=MR","FA_ADJUSTED=GAAP","Sort=A","Dates=H","DateFormat=P","Fill=—","Direction=H","UseDPDF=Y")</f>
        <v>38.590000000000003</v>
      </c>
      <c r="K21" s="14">
        <f>_xll.BDH("NBIX US Equity","5_YEAR_AVERAGE_ADJUSTED_ROE","FQ4 2020","FQ4 2020","Currency=USD","Period=FQ","BEST_FPERIOD_OVERRIDE=FQ","FILING_STATUS=MR","FA_ADJUSTED=GAAP","Sort=A","Dates=H","DateFormat=P","Fill=—","Direction=H","UseDPDF=Y")</f>
        <v>44.24</v>
      </c>
      <c r="L21" s="14">
        <f>_xll.BDH("NBIX US Equity","5_YEAR_AVERAGE_ADJUSTED_ROE","FQ1 2021","FQ1 2021","Currency=USD","Period=FQ","BEST_FPERIOD_OVERRIDE=FQ","FILING_STATUS=MR","FA_ADJUSTED=GAAP","Sort=A","Dates=H","DateFormat=P","Fill=—","Direction=H","UseDPDF=Y")</f>
        <v>46.959800000000001</v>
      </c>
      <c r="M21" s="14">
        <f>_xll.BDH("NBIX US Equity","5_YEAR_AVERAGE_ADJUSTED_ROE","FQ2 2021","FQ2 2021","Currency=USD","Period=FQ","BEST_FPERIOD_OVERRIDE=FQ","FILING_STATUS=MR","FA_ADJUSTED=GAAP","Sort=A","Dates=H","DateFormat=P","Fill=—","Direction=H","UseDPDF=Y")</f>
        <v>45.043199999999999</v>
      </c>
      <c r="N21" s="14">
        <f>_xll.BDH("NBIX US Equity","5_YEAR_AVERAGE_ADJUSTED_ROE","FQ3 2021","FQ3 2021","Currency=USD","Period=FQ","BEST_FPERIOD_OVERRIDE=FQ","FILING_STATUS=MR","FA_ADJUSTED=GAAP","Sort=A","Dates=H","DateFormat=P","Fill=—","Direction=H","UseDPDF=Y")</f>
        <v>41.428800000000003</v>
      </c>
      <c r="O21" s="14">
        <f>_xll.BDH("NBIX US Equity","5_YEAR_AVERAGE_ADJUSTED_ROE","FQ4 2021","FQ4 2021","Currency=USD","Period=FQ","BEST_FPERIOD_OVERRIDE=FQ","FILING_STATUS=MR","FA_ADJUSTED=GAAP","Sort=A","Dates=H","DateFormat=P","Fill=—","Direction=H","UseDPDF=Y")</f>
        <v>34.978200000000001</v>
      </c>
      <c r="P21" s="14">
        <f>_xll.BDH("NBIX US Equity","5_YEAR_AVERAGE_ADJUSTED_ROE","FQ1 2022","FQ1 2022","Currency=USD","Period=FQ","BEST_FPERIOD_OVERRIDE=FQ","FILING_STATUS=MR","FA_ADJUSTED=GAAP","Sort=A","Dates=H","DateFormat=P","Fill=—","Direction=H","UseDPDF=Y")</f>
        <v>26.553000000000001</v>
      </c>
      <c r="Q21" s="14">
        <f>_xll.BDH("NBIX US Equity","5_YEAR_AVERAGE_ADJUSTED_ROE","FQ2 2022","FQ2 2022","Currency=USD","Period=FQ","BEST_FPERIOD_OVERRIDE=FQ","FILING_STATUS=MR","FA_ADJUSTED=GAAP","Sort=A","Dates=H","DateFormat=P","Fill=—","Direction=H","UseDPDF=Y")</f>
        <v>18.422799999999999</v>
      </c>
      <c r="R21" s="14">
        <f>_xll.BDH("NBIX US Equity","5_YEAR_AVERAGE_ADJUSTED_ROE","FQ3 2022","FQ3 2022","Currency=USD","Period=FQ","BEST_FPERIOD_OVERRIDE=FQ","FILING_STATUS=MR","FA_ADJUSTED=GAAP","Sort=A","Dates=H","DateFormat=P","Fill=—","Direction=H","UseDPDF=Y")</f>
        <v>13.066800000000001</v>
      </c>
      <c r="S21" s="14">
        <f>_xll.BDH("NBIX US Equity","5_YEAR_AVERAGE_ADJUSTED_ROE","FQ4 2022","FQ4 2022","Currency=USD","Period=FQ","BEST_FPERIOD_OVERRIDE=FQ","FILING_STATUS=MR","FA_ADJUSTED=GAAP","Sort=A","Dates=H","DateFormat=P","Fill=—","Direction=H","UseDPDF=Y")</f>
        <v>8.9206000000000003</v>
      </c>
      <c r="T21" s="14">
        <f>_xll.BDH("NBIX US Equity","5_YEAR_AVERAGE_ADJUSTED_ROE","FQ1 2023","FQ1 2023","Currency=USD","Period=FQ","BEST_FPERIOD_OVERRIDE=FQ","FILING_STATUS=MR","FA_ADJUSTED=GAAP","Sort=A","Dates=H","DateFormat=P","Fill=—","Direction=H","UseDPDF=Y")</f>
        <v>8.9078999999999997</v>
      </c>
      <c r="U21" s="14">
        <f>_xll.BDH("NBIX US Equity","5_YEAR_AVERAGE_ADJUSTED_ROE","FQ2 2023","FQ2 2023","Currency=USD","Period=FQ","BEST_FPERIOD_OVERRIDE=FQ","FILING_STATUS=MR","FA_ADJUSTED=GAAP","Sort=A","Dates=H","DateFormat=P","Fill=—","Direction=H","UseDPDF=Y")</f>
        <v>10.3285</v>
      </c>
      <c r="V21" s="14">
        <f>_xll.BDH("NBIX US Equity","5_YEAR_AVERAGE_ADJUSTED_ROE","FQ3 2023","FQ3 2023","Currency=USD","Period=FQ","BEST_FPERIOD_OVERRIDE=FQ","FILING_STATUS=MR","FA_ADJUSTED=GAAP","Sort=A","Dates=H","DateFormat=P","Fill=—","Direction=H","UseDPDF=Y")</f>
        <v>13.0939</v>
      </c>
      <c r="W21" s="14">
        <f>_xll.BDH("NBIX US Equity","5_YEAR_AVERAGE_ADJUSTED_ROE","FQ4 2023","FQ4 2023","Currency=USD","Period=FQ","BEST_FPERIOD_OVERRIDE=FQ","FILING_STATUS=MR","FA_ADJUSTED=GAAP","Sort=A","Dates=H","DateFormat=P","Fill=—","Direction=H","UseDPDF=Y")</f>
        <v>15.227399999999999</v>
      </c>
      <c r="X21" s="14">
        <f>_xll.BDH("NBIX US Equity","5_YEAR_AVERAGE_ADJUSTED_ROE","FQ1 2024","FQ1 2024","Currency=USD","Period=FQ","BEST_FPERIOD_OVERRIDE=FQ","FILING_STATUS=MR","FA_ADJUSTED=GAAP","Sort=A","Dates=H","DateFormat=P","Fill=—","Direction=H","UseDPDF=Y")</f>
        <v>16.927199999999999</v>
      </c>
      <c r="Y21" s="14">
        <f>_xll.BDH("NBIX US Equity","5_YEAR_AVERAGE_ADJUSTED_ROE","FQ2 2024","FQ2 2024","Currency=USD","Period=FQ","BEST_FPERIOD_OVERRIDE=FQ","FILING_STATUS=MR","FA_ADJUSTED=GAAP","Sort=A","Dates=H","DateFormat=P","Fill=—","Direction=H","UseDPDF=Y")</f>
        <v>18.853200000000001</v>
      </c>
      <c r="Z21" s="14">
        <f>_xll.BDH("NBIX US Equity","5_YEAR_AVERAGE_ADJUSTED_ROE","FQ3 2024","FQ3 2024","Currency=USD","Period=FQ","BEST_FPERIOD_OVERRIDE=FQ","FILING_STATUS=MR","FA_ADJUSTED=GAAP","Sort=A","Dates=H","DateFormat=P","Fill=—","Direction=H","UseDPDF=Y")</f>
        <v>19.817900000000002</v>
      </c>
      <c r="AA21" s="14">
        <f>_xll.BDH("NBIX US Equity","5_YEAR_AVERAGE_ADJUSTED_ROE","FQ4 2024","FQ4 2024","Currency=USD","Period=FQ","BEST_FPERIOD_OVERRIDE=FQ","FILING_STATUS=MR","FA_ADJUSTED=GAAP","Sort=A","Dates=H","DateFormat=P","Fill=—","Direction=H","UseDPDF=Y")</f>
        <v>20.1326</v>
      </c>
    </row>
    <row r="22" spans="1:27" x14ac:dyDescent="0.25">
      <c r="A22" s="10" t="s">
        <v>1524</v>
      </c>
      <c r="B22" s="10" t="s">
        <v>1275</v>
      </c>
      <c r="C22" s="14">
        <f>_xll.BDH("NBIX US Equity","DVD_PAYOUT_RATIO","FQ4 2018","FQ4 2018","Currency=USD","Period=FQ","BEST_FPERIOD_OVERRIDE=FQ","FILING_STATUS=MR","FA_ADJUSTED=GAAP","Sort=A","Dates=H","DateFormat=P","Fill=—","Direction=H","UseDPDF=Y")</f>
        <v>0</v>
      </c>
      <c r="D22" s="14" t="str">
        <f>_xll.BDH("NBIX US Equity","DVD_PAYOUT_RATIO","FQ1 2019","FQ1 2019","Currency=USD","Period=FQ","BEST_FPERIOD_OVERRIDE=FQ","FILING_STATUS=MR","FA_ADJUSTED=GAAP","Sort=A","Dates=H","DateFormat=P","Fill=—","Direction=H","UseDPDF=Y")</f>
        <v>—</v>
      </c>
      <c r="E22" s="14">
        <f>_xll.BDH("NBIX US Equity","DVD_PAYOUT_RATIO","FQ2 2019","FQ2 2019","Currency=USD","Period=FQ","BEST_FPERIOD_OVERRIDE=FQ","FILING_STATUS=MR","FA_ADJUSTED=GAAP","Sort=A","Dates=H","DateFormat=P","Fill=—","Direction=H","UseDPDF=Y")</f>
        <v>0</v>
      </c>
      <c r="F22" s="14">
        <f>_xll.BDH("NBIX US Equity","DVD_PAYOUT_RATIO","FQ3 2019","FQ3 2019","Currency=USD","Period=FQ","BEST_FPERIOD_OVERRIDE=FQ","FILING_STATUS=MR","FA_ADJUSTED=GAAP","Sort=A","Dates=H","DateFormat=P","Fill=—","Direction=H","UseDPDF=Y")</f>
        <v>0</v>
      </c>
      <c r="G22" s="14">
        <f>_xll.BDH("NBIX US Equity","DVD_PAYOUT_RATIO","FQ4 2019","FQ4 2019","Currency=USD","Period=FQ","BEST_FPERIOD_OVERRIDE=FQ","FILING_STATUS=MR","FA_ADJUSTED=GAAP","Sort=A","Dates=H","DateFormat=P","Fill=—","Direction=H","UseDPDF=Y")</f>
        <v>0</v>
      </c>
      <c r="H22" s="14">
        <f>_xll.BDH("NBIX US Equity","DVD_PAYOUT_RATIO","FQ1 2020","FQ1 2020","Currency=USD","Period=FQ","BEST_FPERIOD_OVERRIDE=FQ","FILING_STATUS=MR","FA_ADJUSTED=GAAP","Sort=A","Dates=H","DateFormat=P","Fill=—","Direction=H","UseDPDF=Y")</f>
        <v>0</v>
      </c>
      <c r="I22" s="14">
        <f>_xll.BDH("NBIX US Equity","DVD_PAYOUT_RATIO","FQ2 2020","FQ2 2020","Currency=USD","Period=FQ","BEST_FPERIOD_OVERRIDE=FQ","FILING_STATUS=MR","FA_ADJUSTED=GAAP","Sort=A","Dates=H","DateFormat=P","Fill=—","Direction=H","UseDPDF=Y")</f>
        <v>0</v>
      </c>
      <c r="J22" s="14" t="str">
        <f>_xll.BDH("NBIX US Equity","DVD_PAYOUT_RATIO","FQ3 2020","FQ3 2020","Currency=USD","Period=FQ","BEST_FPERIOD_OVERRIDE=FQ","FILING_STATUS=MR","FA_ADJUSTED=GAAP","Sort=A","Dates=H","DateFormat=P","Fill=—","Direction=H","UseDPDF=Y")</f>
        <v>—</v>
      </c>
      <c r="K22" s="14">
        <f>_xll.BDH("NBIX US Equity","DVD_PAYOUT_RATIO","FQ4 2020","FQ4 2020","Currency=USD","Period=FQ","BEST_FPERIOD_OVERRIDE=FQ","FILING_STATUS=MR","FA_ADJUSTED=GAAP","Sort=A","Dates=H","DateFormat=P","Fill=—","Direction=H","UseDPDF=Y")</f>
        <v>0</v>
      </c>
      <c r="L22" s="14">
        <f>_xll.BDH("NBIX US Equity","DVD_PAYOUT_RATIO","FQ1 2021","FQ1 2021","Currency=USD","Period=FQ","BEST_FPERIOD_OVERRIDE=FQ","FILING_STATUS=MR","FA_ADJUSTED=GAAP","Sort=A","Dates=H","DateFormat=P","Fill=—","Direction=H","UseDPDF=Y")</f>
        <v>0</v>
      </c>
      <c r="M22" s="14">
        <f>_xll.BDH("NBIX US Equity","DVD_PAYOUT_RATIO","FQ2 2021","FQ2 2021","Currency=USD","Period=FQ","BEST_FPERIOD_OVERRIDE=FQ","FILING_STATUS=MR","FA_ADJUSTED=GAAP","Sort=A","Dates=H","DateFormat=P","Fill=—","Direction=H","UseDPDF=Y")</f>
        <v>0</v>
      </c>
      <c r="N22" s="14">
        <f>_xll.BDH("NBIX US Equity","DVD_PAYOUT_RATIO","FQ3 2021","FQ3 2021","Currency=USD","Period=FQ","BEST_FPERIOD_OVERRIDE=FQ","FILING_STATUS=MR","FA_ADJUSTED=GAAP","Sort=A","Dates=H","DateFormat=P","Fill=—","Direction=H","UseDPDF=Y")</f>
        <v>0</v>
      </c>
      <c r="O22" s="14" t="str">
        <f>_xll.BDH("NBIX US Equity","DVD_PAYOUT_RATIO","FQ4 2021","FQ4 2021","Currency=USD","Period=FQ","BEST_FPERIOD_OVERRIDE=FQ","FILING_STATUS=MR","FA_ADJUSTED=GAAP","Sort=A","Dates=H","DateFormat=P","Fill=—","Direction=H","UseDPDF=Y")</f>
        <v>—</v>
      </c>
      <c r="P22" s="14">
        <f>_xll.BDH("NBIX US Equity","DVD_PAYOUT_RATIO","FQ1 2022","FQ1 2022","Currency=USD","Period=FQ","BEST_FPERIOD_OVERRIDE=FQ","FILING_STATUS=MR","FA_ADJUSTED=GAAP","Sort=A","Dates=H","DateFormat=P","Fill=—","Direction=H","UseDPDF=Y")</f>
        <v>0</v>
      </c>
      <c r="Q22" s="14" t="str">
        <f>_xll.BDH("NBIX US Equity","DVD_PAYOUT_RATIO","FQ2 2022","FQ2 2022","Currency=USD","Period=FQ","BEST_FPERIOD_OVERRIDE=FQ","FILING_STATUS=MR","FA_ADJUSTED=GAAP","Sort=A","Dates=H","DateFormat=P","Fill=—","Direction=H","UseDPDF=Y")</f>
        <v>—</v>
      </c>
      <c r="R22" s="14">
        <f>_xll.BDH("NBIX US Equity","DVD_PAYOUT_RATIO","FQ3 2022","FQ3 2022","Currency=USD","Period=FQ","BEST_FPERIOD_OVERRIDE=FQ","FILING_STATUS=MR","FA_ADJUSTED=GAAP","Sort=A","Dates=H","DateFormat=P","Fill=—","Direction=H","UseDPDF=Y")</f>
        <v>0</v>
      </c>
      <c r="S22" s="14">
        <f>_xll.BDH("NBIX US Equity","DVD_PAYOUT_RATIO","FQ4 2022","FQ4 2022","Currency=USD","Period=FQ","BEST_FPERIOD_OVERRIDE=FQ","FILING_STATUS=MR","FA_ADJUSTED=GAAP","Sort=A","Dates=H","DateFormat=P","Fill=—","Direction=H","UseDPDF=Y")</f>
        <v>0</v>
      </c>
      <c r="T22" s="14" t="str">
        <f>_xll.BDH("NBIX US Equity","DVD_PAYOUT_RATIO","FQ1 2023","FQ1 2023","Currency=USD","Period=FQ","BEST_FPERIOD_OVERRIDE=FQ","FILING_STATUS=MR","FA_ADJUSTED=GAAP","Sort=A","Dates=H","DateFormat=P","Fill=—","Direction=H","UseDPDF=Y")</f>
        <v>—</v>
      </c>
      <c r="U22" s="14">
        <f>_xll.BDH("NBIX US Equity","DVD_PAYOUT_RATIO","FQ2 2023","FQ2 2023","Currency=USD","Period=FQ","BEST_FPERIOD_OVERRIDE=FQ","FILING_STATUS=MR","FA_ADJUSTED=GAAP","Sort=A","Dates=H","DateFormat=P","Fill=—","Direction=H","UseDPDF=Y")</f>
        <v>0</v>
      </c>
      <c r="V22" s="14">
        <f>_xll.BDH("NBIX US Equity","DVD_PAYOUT_RATIO","FQ3 2023","FQ3 2023","Currency=USD","Period=FQ","BEST_FPERIOD_OVERRIDE=FQ","FILING_STATUS=MR","FA_ADJUSTED=GAAP","Sort=A","Dates=H","DateFormat=P","Fill=—","Direction=H","UseDPDF=Y")</f>
        <v>0</v>
      </c>
      <c r="W22" s="14">
        <f>_xll.BDH("NBIX US Equity","DVD_PAYOUT_RATIO","FQ4 2023","FQ4 2023","Currency=USD","Period=FQ","BEST_FPERIOD_OVERRIDE=FQ","FILING_STATUS=MR","FA_ADJUSTED=GAAP","Sort=A","Dates=H","DateFormat=P","Fill=—","Direction=H","UseDPDF=Y")</f>
        <v>0</v>
      </c>
      <c r="X22" s="14">
        <f>_xll.BDH("NBIX US Equity","DVD_PAYOUT_RATIO","FQ1 2024","FQ1 2024","Currency=USD","Period=FQ","BEST_FPERIOD_OVERRIDE=FQ","FILING_STATUS=MR","FA_ADJUSTED=GAAP","Sort=A","Dates=H","DateFormat=P","Fill=—","Direction=H","UseDPDF=Y")</f>
        <v>0</v>
      </c>
      <c r="Y22" s="14">
        <f>_xll.BDH("NBIX US Equity","DVD_PAYOUT_RATIO","FQ2 2024","FQ2 2024","Currency=USD","Period=FQ","BEST_FPERIOD_OVERRIDE=FQ","FILING_STATUS=MR","FA_ADJUSTED=GAAP","Sort=A","Dates=H","DateFormat=P","Fill=—","Direction=H","UseDPDF=Y")</f>
        <v>0</v>
      </c>
      <c r="Z22" s="14">
        <f>_xll.BDH("NBIX US Equity","DVD_PAYOUT_RATIO","FQ3 2024","FQ3 2024","Currency=USD","Period=FQ","BEST_FPERIOD_OVERRIDE=FQ","FILING_STATUS=MR","FA_ADJUSTED=GAAP","Sort=A","Dates=H","DateFormat=P","Fill=—","Direction=H","UseDPDF=Y")</f>
        <v>0</v>
      </c>
      <c r="AA22" s="14">
        <f>_xll.BDH("NBIX US Equity","DVD_PAYOUT_RATIO","FQ4 2024","FQ4 2024","Currency=USD","Period=FQ","BEST_FPERIOD_OVERRIDE=FQ","FILING_STATUS=MR","FA_ADJUSTED=GAAP","Sort=A","Dates=H","DateFormat=P","Fill=—","Direction=H","UseDPDF=Y")</f>
        <v>0</v>
      </c>
    </row>
    <row r="23" spans="1:27" x14ac:dyDescent="0.25">
      <c r="A23" s="10" t="s">
        <v>1276</v>
      </c>
      <c r="B23" s="10" t="s">
        <v>1277</v>
      </c>
      <c r="C23" s="14">
        <f>_xll.BDH("NBIX US Equity","SUSTAIN_GROWTH_RT","FQ4 2018","FQ4 2018","Currency=USD","Period=FQ","BEST_FPERIOD_OVERRIDE=FQ","FILING_STATUS=MR","FA_ADJUSTED=GAAP","Sort=A","Dates=H","DateFormat=P","Fill=—","Direction=H","UseDPDF=Y")</f>
        <v>4.9504000000000001</v>
      </c>
      <c r="D23" s="14" t="str">
        <f>_xll.BDH("NBIX US Equity","SUSTAIN_GROWTH_RT","FQ1 2019","FQ1 2019","Currency=USD","Period=FQ","BEST_FPERIOD_OVERRIDE=FQ","FILING_STATUS=MR","FA_ADJUSTED=GAAP","Sort=A","Dates=H","DateFormat=P","Fill=—","Direction=H","UseDPDF=Y")</f>
        <v>—</v>
      </c>
      <c r="E23" s="14">
        <f>_xll.BDH("NBIX US Equity","SUSTAIN_GROWTH_RT","FQ2 2019","FQ2 2019","Currency=USD","Period=FQ","BEST_FPERIOD_OVERRIDE=FQ","FILING_STATUS=MR","FA_ADJUSTED=GAAP","Sort=A","Dates=H","DateFormat=P","Fill=—","Direction=H","UseDPDF=Y")</f>
        <v>4.1955999999999998</v>
      </c>
      <c r="F23" s="14">
        <f>_xll.BDH("NBIX US Equity","SUSTAIN_GROWTH_RT","FQ3 2019","FQ3 2019","Currency=USD","Period=FQ","BEST_FPERIOD_OVERRIDE=FQ","FILING_STATUS=MR","FA_ADJUSTED=GAAP","Sort=A","Dates=H","DateFormat=P","Fill=—","Direction=H","UseDPDF=Y")</f>
        <v>4.1271000000000004</v>
      </c>
      <c r="G23" s="14">
        <f>_xll.BDH("NBIX US Equity","SUSTAIN_GROWTH_RT","FQ4 2019","FQ4 2019","Currency=USD","Period=FQ","BEST_FPERIOD_OVERRIDE=FQ","FILING_STATUS=MR","FA_ADJUSTED=GAAP","Sort=A","Dates=H","DateFormat=P","Fill=—","Direction=H","UseDPDF=Y")</f>
        <v>6.6231</v>
      </c>
      <c r="H23" s="14">
        <f>_xll.BDH("NBIX US Equity","SUSTAIN_GROWTH_RT","FQ1 2020","FQ1 2020","Currency=USD","Period=FQ","BEST_FPERIOD_OVERRIDE=FQ","FILING_STATUS=MR","FA_ADJUSTED=GAAP","Sort=A","Dates=H","DateFormat=P","Fill=—","Direction=H","UseDPDF=Y")</f>
        <v>31.8188</v>
      </c>
      <c r="I23" s="14">
        <f>_xll.BDH("NBIX US Equity","SUSTAIN_GROWTH_RT","FQ2 2020","FQ2 2020","Currency=USD","Period=FQ","BEST_FPERIOD_OVERRIDE=FQ","FILING_STATUS=MR","FA_ADJUSTED=GAAP","Sort=A","Dates=H","DateFormat=P","Fill=—","Direction=H","UseDPDF=Y")</f>
        <v>31.148800000000001</v>
      </c>
      <c r="J23" s="14" t="str">
        <f>_xll.BDH("NBIX US Equity","SUSTAIN_GROWTH_RT","FQ3 2020","FQ3 2020","Currency=USD","Period=FQ","BEST_FPERIOD_OVERRIDE=FQ","FILING_STATUS=MR","FA_ADJUSTED=GAAP","Sort=A","Dates=H","DateFormat=P","Fill=—","Direction=H","UseDPDF=Y")</f>
        <v>—</v>
      </c>
      <c r="K23" s="14">
        <f>_xll.BDH("NBIX US Equity","SUSTAIN_GROWTH_RT","FQ4 2020","FQ4 2020","Currency=USD","Period=FQ","BEST_FPERIOD_OVERRIDE=FQ","FILING_STATUS=MR","FA_ADJUSTED=GAAP","Sort=A","Dates=H","DateFormat=P","Fill=—","Direction=H","UseDPDF=Y")</f>
        <v>46.2027</v>
      </c>
      <c r="L23" s="14">
        <f>_xll.BDH("NBIX US Equity","SUSTAIN_GROWTH_RT","FQ1 2021","FQ1 2021","Currency=USD","Period=FQ","BEST_FPERIOD_OVERRIDE=FQ","FILING_STATUS=MR","FA_ADJUSTED=GAAP","Sort=A","Dates=H","DateFormat=P","Fill=—","Direction=H","UseDPDF=Y")</f>
        <v>42.184800000000003</v>
      </c>
      <c r="M23" s="14">
        <f>_xll.BDH("NBIX US Equity","SUSTAIN_GROWTH_RT","FQ2 2021","FQ2 2021","Currency=USD","Period=FQ","BEST_FPERIOD_OVERRIDE=FQ","FILING_STATUS=MR","FA_ADJUSTED=GAAP","Sort=A","Dates=H","DateFormat=P","Fill=—","Direction=H","UseDPDF=Y")</f>
        <v>34.562199999999997</v>
      </c>
      <c r="N23" s="14">
        <f>_xll.BDH("NBIX US Equity","SUSTAIN_GROWTH_RT","FQ3 2021","FQ3 2021","Currency=USD","Period=FQ","BEST_FPERIOD_OVERRIDE=FQ","FILING_STATUS=MR","FA_ADJUSTED=GAAP","Sort=A","Dates=H","DateFormat=P","Fill=—","Direction=H","UseDPDF=Y")</f>
        <v>41.371000000000002</v>
      </c>
      <c r="O23" s="14" t="str">
        <f>_xll.BDH("NBIX US Equity","SUSTAIN_GROWTH_RT","FQ4 2021","FQ4 2021","Currency=USD","Period=FQ","BEST_FPERIOD_OVERRIDE=FQ","FILING_STATUS=MR","FA_ADJUSTED=GAAP","Sort=A","Dates=H","DateFormat=P","Fill=—","Direction=H","UseDPDF=Y")</f>
        <v>—</v>
      </c>
      <c r="P23" s="14">
        <f>_xll.BDH("NBIX US Equity","SUSTAIN_GROWTH_RT","FQ1 2022","FQ1 2022","Currency=USD","Period=FQ","BEST_FPERIOD_OVERRIDE=FQ","FILING_STATUS=MR","FA_ADJUSTED=GAAP","Sort=A","Dates=H","DateFormat=P","Fill=—","Direction=H","UseDPDF=Y")</f>
        <v>5.4992999999999999</v>
      </c>
      <c r="Q23" s="14" t="str">
        <f>_xll.BDH("NBIX US Equity","SUSTAIN_GROWTH_RT","FQ2 2022","FQ2 2022","Currency=USD","Period=FQ","BEST_FPERIOD_OVERRIDE=FQ","FILING_STATUS=MR","FA_ADJUSTED=GAAP","Sort=A","Dates=H","DateFormat=P","Fill=—","Direction=H","UseDPDF=Y")</f>
        <v>—</v>
      </c>
      <c r="R23" s="14">
        <f>_xll.BDH("NBIX US Equity","SUSTAIN_GROWTH_RT","FQ3 2022","FQ3 2022","Currency=USD","Period=FQ","BEST_FPERIOD_OVERRIDE=FQ","FILING_STATUS=MR","FA_ADJUSTED=GAAP","Sort=A","Dates=H","DateFormat=P","Fill=—","Direction=H","UseDPDF=Y")</f>
        <v>4.0267999999999997</v>
      </c>
      <c r="S23" s="14">
        <f>_xll.BDH("NBIX US Equity","SUSTAIN_GROWTH_RT","FQ4 2022","FQ4 2022","Currency=USD","Period=FQ","BEST_FPERIOD_OVERRIDE=FQ","FILING_STATUS=MR","FA_ADJUSTED=GAAP","Sort=A","Dates=H","DateFormat=P","Fill=—","Direction=H","UseDPDF=Y")</f>
        <v>10.0266</v>
      </c>
      <c r="T23" s="14" t="str">
        <f>_xll.BDH("NBIX US Equity","SUSTAIN_GROWTH_RT","FQ1 2023","FQ1 2023","Currency=USD","Period=FQ","BEST_FPERIOD_OVERRIDE=FQ","FILING_STATUS=MR","FA_ADJUSTED=GAAP","Sort=A","Dates=H","DateFormat=P","Fill=—","Direction=H","UseDPDF=Y")</f>
        <v>—</v>
      </c>
      <c r="U23" s="14">
        <f>_xll.BDH("NBIX US Equity","SUSTAIN_GROWTH_RT","FQ2 2023","FQ2 2023","Currency=USD","Period=FQ","BEST_FPERIOD_OVERRIDE=FQ","FILING_STATUS=MR","FA_ADJUSTED=GAAP","Sort=A","Dates=H","DateFormat=P","Fill=—","Direction=H","UseDPDF=Y")</f>
        <v>10.767899999999999</v>
      </c>
      <c r="V23" s="14">
        <f>_xll.BDH("NBIX US Equity","SUSTAIN_GROWTH_RT","FQ3 2023","FQ3 2023","Currency=USD","Period=FQ","BEST_FPERIOD_OVERRIDE=FQ","FILING_STATUS=MR","FA_ADJUSTED=GAAP","Sort=A","Dates=H","DateFormat=P","Fill=—","Direction=H","UseDPDF=Y")</f>
        <v>10.7706</v>
      </c>
      <c r="W23" s="14">
        <f>_xll.BDH("NBIX US Equity","SUSTAIN_GROWTH_RT","FQ4 2023","FQ4 2023","Currency=USD","Period=FQ","BEST_FPERIOD_OVERRIDE=FQ","FILING_STATUS=MR","FA_ADJUSTED=GAAP","Sort=A","Dates=H","DateFormat=P","Fill=—","Direction=H","UseDPDF=Y")</f>
        <v>12.675800000000001</v>
      </c>
      <c r="X23" s="14">
        <f>_xll.BDH("NBIX US Equity","SUSTAIN_GROWTH_RT","FQ1 2024","FQ1 2024","Currency=USD","Period=FQ","BEST_FPERIOD_OVERRIDE=FQ","FILING_STATUS=MR","FA_ADJUSTED=GAAP","Sort=A","Dates=H","DateFormat=P","Fill=—","Direction=H","UseDPDF=Y")</f>
        <v>18.164400000000001</v>
      </c>
      <c r="Y23" s="14">
        <f>_xll.BDH("NBIX US Equity","SUSTAIN_GROWTH_RT","FQ2 2024","FQ2 2024","Currency=USD","Period=FQ","BEST_FPERIOD_OVERRIDE=FQ","FILING_STATUS=MR","FA_ADJUSTED=GAAP","Sort=A","Dates=H","DateFormat=P","Fill=—","Direction=H","UseDPDF=Y")</f>
        <v>15.5518</v>
      </c>
      <c r="Z23" s="14">
        <f>_xll.BDH("NBIX US Equity","SUSTAIN_GROWTH_RT","FQ3 2024","FQ3 2024","Currency=USD","Period=FQ","BEST_FPERIOD_OVERRIDE=FQ","FILING_STATUS=MR","FA_ADJUSTED=GAAP","Sort=A","Dates=H","DateFormat=P","Fill=—","Direction=H","UseDPDF=Y")</f>
        <v>16.348199999999999</v>
      </c>
      <c r="AA23" s="14">
        <f>_xll.BDH("NBIX US Equity","SUSTAIN_GROWTH_RT","FQ4 2024","FQ4 2024","Currency=USD","Period=FQ","BEST_FPERIOD_OVERRIDE=FQ","FILING_STATUS=MR","FA_ADJUSTED=GAAP","Sort=A","Dates=H","DateFormat=P","Fill=—","Direction=H","UseDPDF=Y")</f>
        <v>14.1568</v>
      </c>
    </row>
    <row r="24" spans="1:27" x14ac:dyDescent="0.25">
      <c r="A24" s="7" t="s">
        <v>90</v>
      </c>
      <c r="B24" s="7"/>
      <c r="C24" s="7" t="s">
        <v>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130</v>
      </c>
      <c r="B7" s="10" t="s">
        <v>131</v>
      </c>
      <c r="C7" s="13">
        <f>_xll.BDH("NBIX US Equity","BEST_SALES","FQ2 2019","FQ2 2019","Currency=USD","Period=FQ","BEST_FPERIOD_OVERRIDE=FQ","FILING_STATUS=MR","Sort=A","Dates=H","DateFormat=P","Fill=—","Direction=H","UseDPDF=Y")</f>
        <v>161.82400000000001</v>
      </c>
      <c r="D7" s="13">
        <f>_xll.BDH("NBIX US Equity","BEST_SALES","FQ3 2019","FQ3 2019","Currency=USD","Period=FQ","BEST_FPERIOD_OVERRIDE=FQ","FILING_STATUS=MR","Sort=A","Dates=H","DateFormat=P","Fill=—","Direction=H","UseDPDF=Y")</f>
        <v>212</v>
      </c>
      <c r="E7" s="13">
        <f>_xll.BDH("NBIX US Equity","BEST_SALES","FQ4 2019","FQ4 2019","Currency=USD","Period=FQ","BEST_FPERIOD_OVERRIDE=FQ","FILING_STATUS=MR","Sort=A","Dates=H","DateFormat=P","Fill=—","Direction=H","UseDPDF=Y")</f>
        <v>231.61099999999999</v>
      </c>
      <c r="F7" s="13">
        <f>_xll.BDH("NBIX US Equity","BEST_SALES","FQ1 2020","FQ1 2020","Currency=USD","Period=FQ","BEST_FPERIOD_OVERRIDE=FQ","FILING_STATUS=MR","Sort=A","Dates=H","DateFormat=P","Fill=—","Direction=H","UseDPDF=Y")</f>
        <v>222.857</v>
      </c>
      <c r="G7" s="13">
        <f>_xll.BDH("NBIX US Equity","BEST_SALES","FQ2 2020","FQ2 2020","Currency=USD","Period=FQ","BEST_FPERIOD_OVERRIDE=FQ","FILING_STATUS=MR","Sort=A","Dates=H","DateFormat=P","Fill=—","Direction=H","UseDPDF=Y")</f>
        <v>259.55599999999998</v>
      </c>
      <c r="H7" s="13">
        <f>_xll.BDH("NBIX US Equity","BEST_SALES","FQ3 2020","FQ3 2020","Currency=USD","Period=FQ","BEST_FPERIOD_OVERRIDE=FQ","FILING_STATUS=MR","Sort=A","Dates=H","DateFormat=P","Fill=—","Direction=H","UseDPDF=Y")</f>
        <v>283.10000000000002</v>
      </c>
      <c r="I7" s="13">
        <f>_xll.BDH("NBIX US Equity","BEST_SALES","FQ4 2020","FQ4 2020","Currency=USD","Period=FQ","BEST_FPERIOD_OVERRIDE=FQ","FILING_STATUS=MR","Sort=A","Dates=H","DateFormat=P","Fill=—","Direction=H","UseDPDF=Y")</f>
        <v>258.73899999999998</v>
      </c>
      <c r="J7" s="13">
        <f>_xll.BDH("NBIX US Equity","BEST_SALES","FQ1 2021","FQ1 2021","Currency=USD","Period=FQ","BEST_FPERIOD_OVERRIDE=FQ","FILING_STATUS=MR","Sort=A","Dates=H","DateFormat=P","Fill=—","Direction=H","UseDPDF=Y")</f>
        <v>249.87</v>
      </c>
      <c r="K7" s="13">
        <f>_xll.BDH("NBIX US Equity","BEST_SALES","FQ2 2021","FQ2 2021","Currency=USD","Period=FQ","BEST_FPERIOD_OVERRIDE=FQ","FILING_STATUS=MR","Sort=A","Dates=H","DateFormat=P","Fill=—","Direction=H","UseDPDF=Y")</f>
        <v>272.90899999999999</v>
      </c>
      <c r="L7" s="13">
        <f>_xll.BDH("NBIX US Equity","BEST_SALES","FQ3 2021","FQ3 2021","Currency=USD","Period=FQ","BEST_FPERIOD_OVERRIDE=FQ","FILING_STATUS=MR","Sort=A","Dates=H","DateFormat=P","Fill=—","Direction=H","UseDPDF=Y")</f>
        <v>297.69600000000003</v>
      </c>
      <c r="M7" s="13">
        <f>_xll.BDH("NBIX US Equity","BEST_SALES","FQ4 2021","FQ4 2021","Currency=USD","Period=FQ","BEST_FPERIOD_OVERRIDE=FQ","FILING_STATUS=MR","Sort=A","Dates=H","DateFormat=P","Fill=—","Direction=H","UseDPDF=Y")</f>
        <v>317.30399999999997</v>
      </c>
      <c r="N7" s="13">
        <f>_xll.BDH("NBIX US Equity","BEST_SALES","FQ1 2022","FQ1 2022","Currency=USD","Period=FQ","BEST_FPERIOD_OVERRIDE=FQ","FILING_STATUS=MR","Sort=A","Dates=H","DateFormat=P","Fill=—","Direction=H","UseDPDF=Y")</f>
        <v>303.39100000000002</v>
      </c>
      <c r="O7" s="13">
        <f>_xll.BDH("NBIX US Equity","BEST_SALES","FQ2 2022","FQ2 2022","Currency=USD","Period=FQ","BEST_FPERIOD_OVERRIDE=FQ","FILING_STATUS=MR","Sort=A","Dates=H","DateFormat=P","Fill=—","Direction=H","UseDPDF=Y")</f>
        <v>343.5</v>
      </c>
      <c r="P7" s="13">
        <f>_xll.BDH("NBIX US Equity","BEST_SALES","FQ3 2022","FQ3 2022","Currency=USD","Period=FQ","BEST_FPERIOD_OVERRIDE=FQ","FILING_STATUS=MR","Sort=A","Dates=H","DateFormat=P","Fill=—","Direction=H","UseDPDF=Y")</f>
        <v>376.577</v>
      </c>
      <c r="Q7" s="13">
        <f>_xll.BDH("NBIX US Equity","BEST_SALES","FQ4 2022","FQ4 2022","Currency=USD","Period=FQ","BEST_FPERIOD_OVERRIDE=FQ","FILING_STATUS=MR","Sort=A","Dates=H","DateFormat=P","Fill=—","Direction=H","UseDPDF=Y")</f>
        <v>408.60899999999998</v>
      </c>
      <c r="R7" s="13">
        <f>_xll.BDH("NBIX US Equity","BEST_SALES","FQ1 2023","FQ1 2023","Currency=USD","Period=FQ","BEST_FPERIOD_OVERRIDE=FQ","FILING_STATUS=MR","Sort=A","Dates=H","DateFormat=P","Fill=—","Direction=H","UseDPDF=Y")</f>
        <v>409.38499999999999</v>
      </c>
      <c r="S7" s="13">
        <f>_xll.BDH("NBIX US Equity","BEST_SALES","FQ2 2023","FQ2 2023","Currency=USD","Period=FQ","BEST_FPERIOD_OVERRIDE=FQ","FILING_STATUS=MR","Sort=A","Dates=H","DateFormat=P","Fill=—","Direction=H","UseDPDF=Y")</f>
        <v>446.52199999999999</v>
      </c>
      <c r="T7" s="13">
        <f>_xll.BDH("NBIX US Equity","BEST_SALES","FQ3 2023","FQ3 2023","Currency=USD","Period=FQ","BEST_FPERIOD_OVERRIDE=FQ","FILING_STATUS=MR","Sort=A","Dates=H","DateFormat=P","Fill=—","Direction=H","UseDPDF=Y")</f>
        <v>479.39100000000002</v>
      </c>
      <c r="U7" s="13">
        <f>_xll.BDH("NBIX US Equity","BEST_SALES","FQ4 2023","FQ4 2023","Currency=USD","Period=FQ","BEST_FPERIOD_OVERRIDE=FQ","FILING_STATUS=MR","Sort=A","Dates=H","DateFormat=P","Fill=—","Direction=H","UseDPDF=Y")</f>
        <v>518.23099999999999</v>
      </c>
      <c r="V7" s="13">
        <f>_xll.BDH("NBIX US Equity","BEST_SALES","FQ1 2024","FQ1 2024","Currency=USD","Period=FQ","BEST_FPERIOD_OVERRIDE=FQ","FILING_STATUS=MR","Sort=A","Dates=H","DateFormat=P","Fill=—","Direction=H","UseDPDF=Y")</f>
        <v>512.6</v>
      </c>
      <c r="W7" s="13">
        <f>_xll.BDH("NBIX US Equity","BEST_SALES","FQ2 2024","FQ2 2024","Currency=USD","Period=FQ","BEST_FPERIOD_OVERRIDE=FQ","FILING_STATUS=MR","Sort=A","Dates=H","DateFormat=P","Fill=—","Direction=H","UseDPDF=Y")</f>
        <v>546.64</v>
      </c>
      <c r="X7" s="13">
        <f>_xll.BDH("NBIX US Equity","BEST_SALES","FQ3 2024","FQ3 2024","Currency=USD","Period=FQ","BEST_FPERIOD_OVERRIDE=FQ","FILING_STATUS=MR","Sort=A","Dates=H","DateFormat=P","Fill=—","Direction=H","UseDPDF=Y")</f>
        <v>602.26099999999997</v>
      </c>
      <c r="Y7" s="13">
        <f>_xll.BDH("NBIX US Equity","BEST_SALES","FQ4 2024","FQ4 2024","Currency=USD","Period=FQ","BEST_FPERIOD_OVERRIDE=FQ","FILING_STATUS=MR","Sort=A","Dates=H","DateFormat=P","Fill=—","Direction=H","UseDPDF=Y")</f>
        <v>629.22699999999998</v>
      </c>
      <c r="Z7" s="13">
        <v>595.54499999999996</v>
      </c>
      <c r="AA7" s="13">
        <v>648</v>
      </c>
    </row>
    <row r="8" spans="1:27" x14ac:dyDescent="0.25">
      <c r="A8" s="10" t="s">
        <v>132</v>
      </c>
      <c r="B8" s="10" t="s">
        <v>133</v>
      </c>
      <c r="C8" s="13">
        <f>_xll.BDH("NBIX US Equity","IS_COMP_SALES","FQ2 2019","FQ2 2019","Currency=USD","Period=FQ","BEST_FPERIOD_OVERRIDE=FQ","FILING_STATUS=MR","SCALING_FORMAT=MLN","Sort=A","Dates=H","DateFormat=P","Fill=—","Direction=H","UseDPDF=Y")</f>
        <v>183.58</v>
      </c>
      <c r="D8" s="13">
        <f>_xll.BDH("NBIX US Equity","IS_COMP_SALES","FQ3 2019","FQ3 2019","Currency=USD","Period=FQ","BEST_FPERIOD_OVERRIDE=FQ","FILING_STATUS=MR","SCALING_FORMAT=MLN","Sort=A","Dates=H","DateFormat=P","Fill=—","Direction=H","UseDPDF=Y")</f>
        <v>222.09399999999999</v>
      </c>
      <c r="E8" s="13">
        <f>_xll.BDH("NBIX US Equity","IS_COMP_SALES","FQ4 2019","FQ4 2019","Currency=USD","Period=FQ","BEST_FPERIOD_OVERRIDE=FQ","FILING_STATUS=MR","SCALING_FORMAT=MLN","Sort=A","Dates=H","DateFormat=P","Fill=—","Direction=H","UseDPDF=Y")</f>
        <v>244.1</v>
      </c>
      <c r="F8" s="13">
        <f>_xll.BDH("NBIX US Equity","IS_COMP_SALES","FQ1 2020","FQ1 2020","Currency=USD","Period=FQ","BEST_FPERIOD_OVERRIDE=FQ","FILING_STATUS=MR","SCALING_FORMAT=MLN","Sort=A","Dates=H","DateFormat=P","Fill=—","Direction=H","UseDPDF=Y")</f>
        <v>237.1</v>
      </c>
      <c r="G8" s="13">
        <f>_xll.BDH("NBIX US Equity","IS_COMP_SALES","FQ2 2020","FQ2 2020","Currency=USD","Period=FQ","BEST_FPERIOD_OVERRIDE=FQ","FILING_STATUS=MR","SCALING_FORMAT=MLN","Sort=A","Dates=H","DateFormat=P","Fill=—","Direction=H","UseDPDF=Y")</f>
        <v>302.39999999999998</v>
      </c>
      <c r="H8" s="13">
        <f>_xll.BDH("NBIX US Equity","IS_COMP_SALES","FQ3 2020","FQ3 2020","Currency=USD","Period=FQ","BEST_FPERIOD_OVERRIDE=FQ","FILING_STATUS=MR","SCALING_FORMAT=MLN","Sort=A","Dates=H","DateFormat=P","Fill=—","Direction=H","UseDPDF=Y")</f>
        <v>258.5</v>
      </c>
      <c r="I8" s="13">
        <f>_xll.BDH("NBIX US Equity","IS_COMP_SALES","FQ4 2020","FQ4 2020","Currency=USD","Period=FQ","BEST_FPERIOD_OVERRIDE=FQ","FILING_STATUS=MR","SCALING_FORMAT=MLN","Sort=A","Dates=H","DateFormat=P","Fill=—","Direction=H","UseDPDF=Y")</f>
        <v>247.9</v>
      </c>
      <c r="J8" s="13">
        <f>_xll.BDH("NBIX US Equity","IS_COMP_SALES","FQ1 2021","FQ1 2021","Currency=USD","Period=FQ","BEST_FPERIOD_OVERRIDE=FQ","FILING_STATUS=MR","SCALING_FORMAT=MLN","Sort=A","Dates=H","DateFormat=P","Fill=—","Direction=H","UseDPDF=Y")</f>
        <v>236.6</v>
      </c>
      <c r="K8" s="13">
        <f>_xll.BDH("NBIX US Equity","IS_COMP_SALES","FQ2 2021","FQ2 2021","Currency=USD","Period=FQ","BEST_FPERIOD_OVERRIDE=FQ","FILING_STATUS=MR","SCALING_FORMAT=MLN","Sort=A","Dates=H","DateFormat=P","Fill=—","Direction=H","UseDPDF=Y")</f>
        <v>288.89999999999998</v>
      </c>
      <c r="L8" s="13">
        <f>_xll.BDH("NBIX US Equity","IS_COMP_SALES","FQ3 2021","FQ3 2021","Currency=USD","Period=FQ","BEST_FPERIOD_OVERRIDE=FQ","FILING_STATUS=MR","SCALING_FORMAT=MLN","Sort=A","Dates=H","DateFormat=P","Fill=—","Direction=H","UseDPDF=Y")</f>
        <v>296</v>
      </c>
      <c r="M8" s="13">
        <f>_xll.BDH("NBIX US Equity","IS_COMP_SALES","FQ4 2021","FQ4 2021","Currency=USD","Period=FQ","BEST_FPERIOD_OVERRIDE=FQ","FILING_STATUS=MR","SCALING_FORMAT=MLN","Sort=A","Dates=H","DateFormat=P","Fill=—","Direction=H","UseDPDF=Y")</f>
        <v>312</v>
      </c>
      <c r="N8" s="13">
        <f>_xll.BDH("NBIX US Equity","IS_COMP_SALES","FQ1 2022","FQ1 2022","Currency=USD","Period=FQ","BEST_FPERIOD_OVERRIDE=FQ","FILING_STATUS=MR","SCALING_FORMAT=MLN","Sort=A","Dates=H","DateFormat=P","Fill=—","Direction=H","UseDPDF=Y")</f>
        <v>310.60000000000002</v>
      </c>
      <c r="O8" s="13">
        <f>_xll.BDH("NBIX US Equity","IS_COMP_SALES","FQ2 2022","FQ2 2022","Currency=USD","Period=FQ","BEST_FPERIOD_OVERRIDE=FQ","FILING_STATUS=MR","SCALING_FORMAT=MLN","Sort=A","Dates=H","DateFormat=P","Fill=—","Direction=H","UseDPDF=Y")</f>
        <v>378.2</v>
      </c>
      <c r="P8" s="13">
        <f>_xll.BDH("NBIX US Equity","IS_COMP_SALES","FQ3 2022","FQ3 2022","Currency=USD","Period=FQ","BEST_FPERIOD_OVERRIDE=FQ","FILING_STATUS=MR","SCALING_FORMAT=MLN","Sort=A","Dates=H","DateFormat=P","Fill=—","Direction=H","UseDPDF=Y")</f>
        <v>387.9</v>
      </c>
      <c r="Q8" s="13">
        <f>_xll.BDH("NBIX US Equity","IS_COMP_SALES","FQ4 2022","FQ4 2022","Currency=USD","Period=FQ","BEST_FPERIOD_OVERRIDE=FQ","FILING_STATUS=MR","SCALING_FORMAT=MLN","Sort=A","Dates=H","DateFormat=P","Fill=—","Direction=H","UseDPDF=Y")</f>
        <v>412</v>
      </c>
      <c r="R8" s="13">
        <f>_xll.BDH("NBIX US Equity","IS_COMP_SALES","FQ1 2023","FQ1 2023","Currency=USD","Period=FQ","BEST_FPERIOD_OVERRIDE=FQ","FILING_STATUS=MR","SCALING_FORMAT=MLN","Sort=A","Dates=H","DateFormat=P","Fill=—","Direction=H","UseDPDF=Y")</f>
        <v>420.4</v>
      </c>
      <c r="S8" s="13">
        <f>_xll.BDH("NBIX US Equity","IS_COMP_SALES","FQ2 2023","FQ2 2023","Currency=USD","Period=FQ","BEST_FPERIOD_OVERRIDE=FQ","FILING_STATUS=MR","SCALING_FORMAT=MLN","Sort=A","Dates=H","DateFormat=P","Fill=—","Direction=H","UseDPDF=Y")</f>
        <v>452.7</v>
      </c>
      <c r="T8" s="13">
        <f>_xll.BDH("NBIX US Equity","IS_COMP_SALES","FQ3 2023","FQ3 2023","Currency=USD","Period=FQ","BEST_FPERIOD_OVERRIDE=FQ","FILING_STATUS=MR","SCALING_FORMAT=MLN","Sort=A","Dates=H","DateFormat=P","Fill=—","Direction=H","UseDPDF=Y")</f>
        <v>498.8</v>
      </c>
      <c r="U8" s="13">
        <f>_xll.BDH("NBIX US Equity","IS_COMP_SALES","FQ4 2023","FQ4 2023","Currency=USD","Period=FQ","BEST_FPERIOD_OVERRIDE=FQ","FILING_STATUS=MR","SCALING_FORMAT=MLN","Sort=A","Dates=H","DateFormat=P","Fill=—","Direction=H","UseDPDF=Y")</f>
        <v>515.20000000000005</v>
      </c>
      <c r="V8" s="13">
        <f>_xll.BDH("NBIX US Equity","IS_COMP_SALES","FQ1 2024","FQ1 2024","Currency=USD","Period=FQ","BEST_FPERIOD_OVERRIDE=FQ","FILING_STATUS=MR","SCALING_FORMAT=MLN","Sort=A","Dates=H","DateFormat=P","Fill=—","Direction=H","UseDPDF=Y")</f>
        <v>515.29999999999995</v>
      </c>
      <c r="W8" s="13">
        <f>_xll.BDH("NBIX US Equity","IS_COMP_SALES","FQ2 2024","FQ2 2024","Currency=USD","Period=FQ","BEST_FPERIOD_OVERRIDE=FQ","FILING_STATUS=MR","SCALING_FORMAT=MLN","Sort=A","Dates=H","DateFormat=P","Fill=—","Direction=H","UseDPDF=Y")</f>
        <v>590.20000000000005</v>
      </c>
      <c r="X8" s="13">
        <f>_xll.BDH("NBIX US Equity","IS_COMP_SALES","FQ3 2024","FQ3 2024","Currency=USD","Period=FQ","BEST_FPERIOD_OVERRIDE=FQ","FILING_STATUS=MR","SCALING_FORMAT=MLN","Sort=A","Dates=H","DateFormat=P","Fill=—","Direction=H","UseDPDF=Y")</f>
        <v>622.1</v>
      </c>
      <c r="Y8" s="13">
        <f>_xll.BDH("NBIX US Equity","IS_COMP_SALES","FQ4 2024","FQ4 2024","Currency=USD","Period=FQ","BEST_FPERIOD_OVERRIDE=FQ","FILING_STATUS=MR","SCALING_FORMAT=MLN","Sort=A","Dates=H","DateFormat=P","Fill=—","Direction=H","UseDPDF=Y")</f>
        <v>627.70000000000005</v>
      </c>
      <c r="Z8" s="13"/>
      <c r="AA8" s="13"/>
    </row>
    <row r="9" spans="1:27" x14ac:dyDescent="0.25">
      <c r="A9" s="11" t="s">
        <v>134</v>
      </c>
      <c r="B9" s="11"/>
      <c r="C9" s="25">
        <v>13.4442357128732</v>
      </c>
      <c r="D9" s="25">
        <v>4.76132075471698</v>
      </c>
      <c r="E9" s="25">
        <v>5.3922309389450396</v>
      </c>
      <c r="F9" s="25">
        <v>6.3910938404447704</v>
      </c>
      <c r="G9" s="25">
        <v>16.506649817380399</v>
      </c>
      <c r="H9" s="25">
        <v>-8.6895090074178807</v>
      </c>
      <c r="I9" s="25">
        <v>-4.1891635972930104</v>
      </c>
      <c r="J9" s="25">
        <v>-5.3107615960299404</v>
      </c>
      <c r="K9" s="25">
        <v>5.8594623116130196</v>
      </c>
      <c r="L9" s="25">
        <v>-0.56970869611954</v>
      </c>
      <c r="M9" s="25">
        <v>-1.6715830875122799</v>
      </c>
      <c r="N9" s="25">
        <v>2.37614167856001</v>
      </c>
      <c r="O9" s="25">
        <v>10.101892285298399</v>
      </c>
      <c r="P9" s="25">
        <v>3.0068219779752798</v>
      </c>
      <c r="Q9" s="25">
        <v>0.82988872002330305</v>
      </c>
      <c r="R9" s="25">
        <v>2.6906212978003601</v>
      </c>
      <c r="S9" s="25">
        <v>1.3835824438661499</v>
      </c>
      <c r="T9" s="25">
        <v>4.0486784274214598</v>
      </c>
      <c r="U9" s="25">
        <v>-0.58487431280644098</v>
      </c>
      <c r="V9" s="25">
        <v>0.52672649239171498</v>
      </c>
      <c r="W9" s="25">
        <v>7.9686813990926497</v>
      </c>
      <c r="X9" s="25">
        <v>3.29408678297284</v>
      </c>
      <c r="Y9" s="25">
        <v>-0.242678715312587</v>
      </c>
      <c r="Z9" s="25"/>
      <c r="AA9" s="25"/>
    </row>
    <row r="10" spans="1:27" x14ac:dyDescent="0.25">
      <c r="A10" s="10" t="s">
        <v>135</v>
      </c>
      <c r="B10" s="10" t="s">
        <v>71</v>
      </c>
      <c r="C10" s="13">
        <f>_xll.BDH("NBIX US Equity","SALES_REV_TURN","FQ2 2019","FQ2 2019","Currency=USD","Period=FQ","BEST_FPERIOD_OVERRIDE=FQ","FILING_STATUS=MR","SCALING_FORMAT=MLN","FA_ADJUSTED=GAAP","Sort=A","Dates=H","DateFormat=P","Fill=—","Direction=H","UseDPDF=Y")</f>
        <v>183.58</v>
      </c>
      <c r="D10" s="13">
        <f>_xll.BDH("NBIX US Equity","SALES_REV_TURN","FQ3 2019","FQ3 2019","Currency=USD","Period=FQ","BEST_FPERIOD_OVERRIDE=FQ","FILING_STATUS=MR","SCALING_FORMAT=MLN","FA_ADJUSTED=GAAP","Sort=A","Dates=H","DateFormat=P","Fill=—","Direction=H","UseDPDF=Y")</f>
        <v>222.09399999999999</v>
      </c>
      <c r="E10" s="13">
        <f>_xll.BDH("NBIX US Equity","SALES_REV_TURN","FQ4 2019","FQ4 2019","Currency=USD","Period=FQ","BEST_FPERIOD_OVERRIDE=FQ","FILING_STATUS=MR","SCALING_FORMAT=MLN","FA_ADJUSTED=GAAP","Sort=A","Dates=H","DateFormat=P","Fill=—","Direction=H","UseDPDF=Y")</f>
        <v>244.1</v>
      </c>
      <c r="F10" s="13">
        <f>_xll.BDH("NBIX US Equity","SALES_REV_TURN","FQ1 2020","FQ1 2020","Currency=USD","Period=FQ","BEST_FPERIOD_OVERRIDE=FQ","FILING_STATUS=MR","SCALING_FORMAT=MLN","FA_ADJUSTED=GAAP","Sort=A","Dates=H","DateFormat=P","Fill=—","Direction=H","UseDPDF=Y")</f>
        <v>237.1</v>
      </c>
      <c r="G10" s="13">
        <f>_xll.BDH("NBIX US Equity","SALES_REV_TURN","FQ2 2020","FQ2 2020","Currency=USD","Period=FQ","BEST_FPERIOD_OVERRIDE=FQ","FILING_STATUS=MR","SCALING_FORMAT=MLN","FA_ADJUSTED=GAAP","Sort=A","Dates=H","DateFormat=P","Fill=—","Direction=H","UseDPDF=Y")</f>
        <v>302.39999999999998</v>
      </c>
      <c r="H10" s="13">
        <f>_xll.BDH("NBIX US Equity","SALES_REV_TURN","FQ3 2020","FQ3 2020","Currency=USD","Period=FQ","BEST_FPERIOD_OVERRIDE=FQ","FILING_STATUS=MR","SCALING_FORMAT=MLN","FA_ADJUSTED=GAAP","Sort=A","Dates=H","DateFormat=P","Fill=—","Direction=H","UseDPDF=Y")</f>
        <v>258.5</v>
      </c>
      <c r="I10" s="13">
        <f>_xll.BDH("NBIX US Equity","SALES_REV_TURN","FQ4 2020","FQ4 2020","Currency=USD","Period=FQ","BEST_FPERIOD_OVERRIDE=FQ","FILING_STATUS=MR","SCALING_FORMAT=MLN","FA_ADJUSTED=GAAP","Sort=A","Dates=H","DateFormat=P","Fill=—","Direction=H","UseDPDF=Y")</f>
        <v>247.9</v>
      </c>
      <c r="J10" s="13">
        <f>_xll.BDH("NBIX US Equity","SALES_REV_TURN","FQ1 2021","FQ1 2021","Currency=USD","Period=FQ","BEST_FPERIOD_OVERRIDE=FQ","FILING_STATUS=MR","SCALING_FORMAT=MLN","FA_ADJUSTED=GAAP","Sort=A","Dates=H","DateFormat=P","Fill=—","Direction=H","UseDPDF=Y")</f>
        <v>236.6</v>
      </c>
      <c r="K10" s="13">
        <f>_xll.BDH("NBIX US Equity","SALES_REV_TURN","FQ2 2021","FQ2 2021","Currency=USD","Period=FQ","BEST_FPERIOD_OVERRIDE=FQ","FILING_STATUS=MR","SCALING_FORMAT=MLN","FA_ADJUSTED=GAAP","Sort=A","Dates=H","DateFormat=P","Fill=—","Direction=H","UseDPDF=Y")</f>
        <v>288.89999999999998</v>
      </c>
      <c r="L10" s="13">
        <f>_xll.BDH("NBIX US Equity","SALES_REV_TURN","FQ3 2021","FQ3 2021","Currency=USD","Period=FQ","BEST_FPERIOD_OVERRIDE=FQ","FILING_STATUS=MR","SCALING_FORMAT=MLN","FA_ADJUSTED=GAAP","Sort=A","Dates=H","DateFormat=P","Fill=—","Direction=H","UseDPDF=Y")</f>
        <v>296</v>
      </c>
      <c r="M10" s="13">
        <f>_xll.BDH("NBIX US Equity","SALES_REV_TURN","FQ4 2021","FQ4 2021","Currency=USD","Period=FQ","BEST_FPERIOD_OVERRIDE=FQ","FILING_STATUS=MR","SCALING_FORMAT=MLN","FA_ADJUSTED=GAAP","Sort=A","Dates=H","DateFormat=P","Fill=—","Direction=H","UseDPDF=Y")</f>
        <v>312</v>
      </c>
      <c r="N10" s="13">
        <f>_xll.BDH("NBIX US Equity","SALES_REV_TURN","FQ1 2022","FQ1 2022","Currency=USD","Period=FQ","BEST_FPERIOD_OVERRIDE=FQ","FILING_STATUS=MR","SCALING_FORMAT=MLN","FA_ADJUSTED=GAAP","Sort=A","Dates=H","DateFormat=P","Fill=—","Direction=H","UseDPDF=Y")</f>
        <v>310.60000000000002</v>
      </c>
      <c r="O10" s="13">
        <f>_xll.BDH("NBIX US Equity","SALES_REV_TURN","FQ2 2022","FQ2 2022","Currency=USD","Period=FQ","BEST_FPERIOD_OVERRIDE=FQ","FILING_STATUS=MR","SCALING_FORMAT=MLN","FA_ADJUSTED=GAAP","Sort=A","Dates=H","DateFormat=P","Fill=—","Direction=H","UseDPDF=Y")</f>
        <v>378.2</v>
      </c>
      <c r="P10" s="13">
        <f>_xll.BDH("NBIX US Equity","SALES_REV_TURN","FQ3 2022","FQ3 2022","Currency=USD","Period=FQ","BEST_FPERIOD_OVERRIDE=FQ","FILING_STATUS=MR","SCALING_FORMAT=MLN","FA_ADJUSTED=GAAP","Sort=A","Dates=H","DateFormat=P","Fill=—","Direction=H","UseDPDF=Y")</f>
        <v>387.9</v>
      </c>
      <c r="Q10" s="13">
        <f>_xll.BDH("NBIX US Equity","SALES_REV_TURN","FQ4 2022","FQ4 2022","Currency=USD","Period=FQ","BEST_FPERIOD_OVERRIDE=FQ","FILING_STATUS=MR","SCALING_FORMAT=MLN","FA_ADJUSTED=GAAP","Sort=A","Dates=H","DateFormat=P","Fill=—","Direction=H","UseDPDF=Y")</f>
        <v>412</v>
      </c>
      <c r="R10" s="13">
        <f>_xll.BDH("NBIX US Equity","SALES_REV_TURN","FQ1 2023","FQ1 2023","Currency=USD","Period=FQ","BEST_FPERIOD_OVERRIDE=FQ","FILING_STATUS=MR","SCALING_FORMAT=MLN","FA_ADJUSTED=GAAP","Sort=A","Dates=H","DateFormat=P","Fill=—","Direction=H","UseDPDF=Y")</f>
        <v>420.4</v>
      </c>
      <c r="S10" s="13">
        <f>_xll.BDH("NBIX US Equity","SALES_REV_TURN","FQ2 2023","FQ2 2023","Currency=USD","Period=FQ","BEST_FPERIOD_OVERRIDE=FQ","FILING_STATUS=MR","SCALING_FORMAT=MLN","FA_ADJUSTED=GAAP","Sort=A","Dates=H","DateFormat=P","Fill=—","Direction=H","UseDPDF=Y")</f>
        <v>452.7</v>
      </c>
      <c r="T10" s="13">
        <f>_xll.BDH("NBIX US Equity","SALES_REV_TURN","FQ3 2023","FQ3 2023","Currency=USD","Period=FQ","BEST_FPERIOD_OVERRIDE=FQ","FILING_STATUS=MR","SCALING_FORMAT=MLN","FA_ADJUSTED=GAAP","Sort=A","Dates=H","DateFormat=P","Fill=—","Direction=H","UseDPDF=Y")</f>
        <v>498.8</v>
      </c>
      <c r="U10" s="13">
        <f>_xll.BDH("NBIX US Equity","SALES_REV_TURN","FQ4 2023","FQ4 2023","Currency=USD","Period=FQ","BEST_FPERIOD_OVERRIDE=FQ","FILING_STATUS=MR","SCALING_FORMAT=MLN","FA_ADJUSTED=GAAP","Sort=A","Dates=H","DateFormat=P","Fill=—","Direction=H","UseDPDF=Y")</f>
        <v>515.20000000000005</v>
      </c>
      <c r="V10" s="13">
        <f>_xll.BDH("NBIX US Equity","SALES_REV_TURN","FQ1 2024","FQ1 2024","Currency=USD","Period=FQ","BEST_FPERIOD_OVERRIDE=FQ","FILING_STATUS=MR","SCALING_FORMAT=MLN","FA_ADJUSTED=GAAP","Sort=A","Dates=H","DateFormat=P","Fill=—","Direction=H","UseDPDF=Y")</f>
        <v>515.29999999999995</v>
      </c>
      <c r="W10" s="13">
        <f>_xll.BDH("NBIX US Equity","SALES_REV_TURN","FQ2 2024","FQ2 2024","Currency=USD","Period=FQ","BEST_FPERIOD_OVERRIDE=FQ","FILING_STATUS=MR","SCALING_FORMAT=MLN","FA_ADJUSTED=GAAP","Sort=A","Dates=H","DateFormat=P","Fill=—","Direction=H","UseDPDF=Y")</f>
        <v>590.20000000000005</v>
      </c>
      <c r="X10" s="13">
        <f>_xll.BDH("NBIX US Equity","SALES_REV_TURN","FQ3 2024","FQ3 2024","Currency=USD","Period=FQ","BEST_FPERIOD_OVERRIDE=FQ","FILING_STATUS=MR","SCALING_FORMAT=MLN","FA_ADJUSTED=GAAP","Sort=A","Dates=H","DateFormat=P","Fill=—","Direction=H","UseDPDF=Y")</f>
        <v>622.1</v>
      </c>
      <c r="Y10" s="13">
        <f>_xll.BDH("NBIX US Equity","SALES_REV_TURN","FQ4 2024","FQ4 2024","Currency=USD","Period=FQ","BEST_FPERIOD_OVERRIDE=FQ","FILING_STATUS=MR","SCALING_FORMAT=MLN","FA_ADJUSTED=GAAP","Sort=A","Dates=H","DateFormat=P","Fill=—","Direction=H","UseDPDF=Y")</f>
        <v>627.70000000000005</v>
      </c>
      <c r="Z10" s="13"/>
      <c r="AA10" s="13"/>
    </row>
    <row r="11" spans="1:27" x14ac:dyDescent="0.25">
      <c r="A11" s="10" t="s">
        <v>136</v>
      </c>
      <c r="B11" s="10" t="s">
        <v>71</v>
      </c>
      <c r="C11" s="13">
        <f>_xll.BDH("NBIX US Equity","SALES_REV_TURN","FQ2 2019","FQ2 2019","Currency=USD","Period=FQ","BEST_FPERIOD_OVERRIDE=FQ","FILING_STATUS=MR","SCALING_FORMAT=MLN","FA_ADJUSTED=Adjusted","Sort=A","Dates=H","DateFormat=P","Fill=—","Direction=H","UseDPDF=Y")</f>
        <v>183.58</v>
      </c>
      <c r="D11" s="13">
        <f>_xll.BDH("NBIX US Equity","SALES_REV_TURN","FQ3 2019","FQ3 2019","Currency=USD","Period=FQ","BEST_FPERIOD_OVERRIDE=FQ","FILING_STATUS=MR","SCALING_FORMAT=MLN","FA_ADJUSTED=Adjusted","Sort=A","Dates=H","DateFormat=P","Fill=—","Direction=H","UseDPDF=Y")</f>
        <v>222.09399999999999</v>
      </c>
      <c r="E11" s="13">
        <f>_xll.BDH("NBIX US Equity","SALES_REV_TURN","FQ4 2019","FQ4 2019","Currency=USD","Period=FQ","BEST_FPERIOD_OVERRIDE=FQ","FILING_STATUS=MR","SCALING_FORMAT=MLN","FA_ADJUSTED=Adjusted","Sort=A","Dates=H","DateFormat=P","Fill=—","Direction=H","UseDPDF=Y")</f>
        <v>244.1</v>
      </c>
      <c r="F11" s="13">
        <f>_xll.BDH("NBIX US Equity","SALES_REV_TURN","FQ1 2020","FQ1 2020","Currency=USD","Period=FQ","BEST_FPERIOD_OVERRIDE=FQ","FILING_STATUS=MR","SCALING_FORMAT=MLN","FA_ADJUSTED=Adjusted","Sort=A","Dates=H","DateFormat=P","Fill=—","Direction=H","UseDPDF=Y")</f>
        <v>237.1</v>
      </c>
      <c r="G11" s="13">
        <f>_xll.BDH("NBIX US Equity","SALES_REV_TURN","FQ2 2020","FQ2 2020","Currency=USD","Period=FQ","BEST_FPERIOD_OVERRIDE=FQ","FILING_STATUS=MR","SCALING_FORMAT=MLN","FA_ADJUSTED=Adjusted","Sort=A","Dates=H","DateFormat=P","Fill=—","Direction=H","UseDPDF=Y")</f>
        <v>302.39999999999998</v>
      </c>
      <c r="H11" s="13">
        <f>_xll.BDH("NBIX US Equity","SALES_REV_TURN","FQ3 2020","FQ3 2020","Currency=USD","Period=FQ","BEST_FPERIOD_OVERRIDE=FQ","FILING_STATUS=MR","SCALING_FORMAT=MLN","FA_ADJUSTED=Adjusted","Sort=A","Dates=H","DateFormat=P","Fill=—","Direction=H","UseDPDF=Y")</f>
        <v>258.5</v>
      </c>
      <c r="I11" s="13">
        <f>_xll.BDH("NBIX US Equity","SALES_REV_TURN","FQ4 2020","FQ4 2020","Currency=USD","Period=FQ","BEST_FPERIOD_OVERRIDE=FQ","FILING_STATUS=MR","SCALING_FORMAT=MLN","FA_ADJUSTED=Adjusted","Sort=A","Dates=H","DateFormat=P","Fill=—","Direction=H","UseDPDF=Y")</f>
        <v>247.9</v>
      </c>
      <c r="J11" s="13">
        <f>_xll.BDH("NBIX US Equity","SALES_REV_TURN","FQ1 2021","FQ1 2021","Currency=USD","Period=FQ","BEST_FPERIOD_OVERRIDE=FQ","FILING_STATUS=MR","SCALING_FORMAT=MLN","FA_ADJUSTED=Adjusted","Sort=A","Dates=H","DateFormat=P","Fill=—","Direction=H","UseDPDF=Y")</f>
        <v>236.6</v>
      </c>
      <c r="K11" s="13">
        <f>_xll.BDH("NBIX US Equity","SALES_REV_TURN","FQ2 2021","FQ2 2021","Currency=USD","Period=FQ","BEST_FPERIOD_OVERRIDE=FQ","FILING_STATUS=MR","SCALING_FORMAT=MLN","FA_ADJUSTED=Adjusted","Sort=A","Dates=H","DateFormat=P","Fill=—","Direction=H","UseDPDF=Y")</f>
        <v>288.89999999999998</v>
      </c>
      <c r="L11" s="13">
        <f>_xll.BDH("NBIX US Equity","SALES_REV_TURN","FQ3 2021","FQ3 2021","Currency=USD","Period=FQ","BEST_FPERIOD_OVERRIDE=FQ","FILING_STATUS=MR","SCALING_FORMAT=MLN","FA_ADJUSTED=Adjusted","Sort=A","Dates=H","DateFormat=P","Fill=—","Direction=H","UseDPDF=Y")</f>
        <v>296</v>
      </c>
      <c r="M11" s="13">
        <f>_xll.BDH("NBIX US Equity","SALES_REV_TURN","FQ4 2021","FQ4 2021","Currency=USD","Period=FQ","BEST_FPERIOD_OVERRIDE=FQ","FILING_STATUS=MR","SCALING_FORMAT=MLN","FA_ADJUSTED=Adjusted","Sort=A","Dates=H","DateFormat=P","Fill=—","Direction=H","UseDPDF=Y")</f>
        <v>312</v>
      </c>
      <c r="N11" s="13">
        <f>_xll.BDH("NBIX US Equity","SALES_REV_TURN","FQ1 2022","FQ1 2022","Currency=USD","Period=FQ","BEST_FPERIOD_OVERRIDE=FQ","FILING_STATUS=MR","SCALING_FORMAT=MLN","FA_ADJUSTED=Adjusted","Sort=A","Dates=H","DateFormat=P","Fill=—","Direction=H","UseDPDF=Y")</f>
        <v>310.60000000000002</v>
      </c>
      <c r="O11" s="13">
        <f>_xll.BDH("NBIX US Equity","SALES_REV_TURN","FQ2 2022","FQ2 2022","Currency=USD","Period=FQ","BEST_FPERIOD_OVERRIDE=FQ","FILING_STATUS=MR","SCALING_FORMAT=MLN","FA_ADJUSTED=Adjusted","Sort=A","Dates=H","DateFormat=P","Fill=—","Direction=H","UseDPDF=Y")</f>
        <v>378.2</v>
      </c>
      <c r="P11" s="13">
        <f>_xll.BDH("NBIX US Equity","SALES_REV_TURN","FQ3 2022","FQ3 2022","Currency=USD","Period=FQ","BEST_FPERIOD_OVERRIDE=FQ","FILING_STATUS=MR","SCALING_FORMAT=MLN","FA_ADJUSTED=Adjusted","Sort=A","Dates=H","DateFormat=P","Fill=—","Direction=H","UseDPDF=Y")</f>
        <v>387.9</v>
      </c>
      <c r="Q11" s="13">
        <f>_xll.BDH("NBIX US Equity","SALES_REV_TURN","FQ4 2022","FQ4 2022","Currency=USD","Period=FQ","BEST_FPERIOD_OVERRIDE=FQ","FILING_STATUS=MR","SCALING_FORMAT=MLN","FA_ADJUSTED=Adjusted","Sort=A","Dates=H","DateFormat=P","Fill=—","Direction=H","UseDPDF=Y")</f>
        <v>412</v>
      </c>
      <c r="R11" s="13">
        <f>_xll.BDH("NBIX US Equity","SALES_REV_TURN","FQ1 2023","FQ1 2023","Currency=USD","Period=FQ","BEST_FPERIOD_OVERRIDE=FQ","FILING_STATUS=MR","SCALING_FORMAT=MLN","FA_ADJUSTED=Adjusted","Sort=A","Dates=H","DateFormat=P","Fill=—","Direction=H","UseDPDF=Y")</f>
        <v>420.4</v>
      </c>
      <c r="S11" s="13">
        <f>_xll.BDH("NBIX US Equity","SALES_REV_TURN","FQ2 2023","FQ2 2023","Currency=USD","Period=FQ","BEST_FPERIOD_OVERRIDE=FQ","FILING_STATUS=MR","SCALING_FORMAT=MLN","FA_ADJUSTED=Adjusted","Sort=A","Dates=H","DateFormat=P","Fill=—","Direction=H","UseDPDF=Y")</f>
        <v>452.7</v>
      </c>
      <c r="T11" s="13">
        <f>_xll.BDH("NBIX US Equity","SALES_REV_TURN","FQ3 2023","FQ3 2023","Currency=USD","Period=FQ","BEST_FPERIOD_OVERRIDE=FQ","FILING_STATUS=MR","SCALING_FORMAT=MLN","FA_ADJUSTED=Adjusted","Sort=A","Dates=H","DateFormat=P","Fill=—","Direction=H","UseDPDF=Y")</f>
        <v>498.8</v>
      </c>
      <c r="U11" s="13">
        <f>_xll.BDH("NBIX US Equity","SALES_REV_TURN","FQ4 2023","FQ4 2023","Currency=USD","Period=FQ","BEST_FPERIOD_OVERRIDE=FQ","FILING_STATUS=MR","SCALING_FORMAT=MLN","FA_ADJUSTED=Adjusted","Sort=A","Dates=H","DateFormat=P","Fill=—","Direction=H","UseDPDF=Y")</f>
        <v>515.20000000000005</v>
      </c>
      <c r="V11" s="13">
        <f>_xll.BDH("NBIX US Equity","SALES_REV_TURN","FQ1 2024","FQ1 2024","Currency=USD","Period=FQ","BEST_FPERIOD_OVERRIDE=FQ","FILING_STATUS=MR","SCALING_FORMAT=MLN","FA_ADJUSTED=Adjusted","Sort=A","Dates=H","DateFormat=P","Fill=—","Direction=H","UseDPDF=Y")</f>
        <v>515.29999999999995</v>
      </c>
      <c r="W11" s="13">
        <f>_xll.BDH("NBIX US Equity","SALES_REV_TURN","FQ2 2024","FQ2 2024","Currency=USD","Period=FQ","BEST_FPERIOD_OVERRIDE=FQ","FILING_STATUS=MR","SCALING_FORMAT=MLN","FA_ADJUSTED=Adjusted","Sort=A","Dates=H","DateFormat=P","Fill=—","Direction=H","UseDPDF=Y")</f>
        <v>590.20000000000005</v>
      </c>
      <c r="X11" s="13">
        <f>_xll.BDH("NBIX US Equity","SALES_REV_TURN","FQ3 2024","FQ3 2024","Currency=USD","Period=FQ","BEST_FPERIOD_OVERRIDE=FQ","FILING_STATUS=MR","SCALING_FORMAT=MLN","FA_ADJUSTED=Adjusted","Sort=A","Dates=H","DateFormat=P","Fill=—","Direction=H","UseDPDF=Y")</f>
        <v>622.1</v>
      </c>
      <c r="Y11" s="13">
        <f>_xll.BDH("NBIX US Equity","SALES_REV_TURN","FQ4 2024","FQ4 2024","Currency=USD","Period=FQ","BEST_FPERIOD_OVERRIDE=FQ","FILING_STATUS=MR","SCALING_FORMAT=MLN","FA_ADJUSTED=Adjusted","Sort=A","Dates=H","DateFormat=P","Fill=—","Direction=H","UseDPDF=Y")</f>
        <v>627.70000000000005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6" t="s">
        <v>137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0" t="s">
        <v>130</v>
      </c>
      <c r="B14" s="10" t="s">
        <v>138</v>
      </c>
      <c r="C14" s="14">
        <f>_xll.BDH("NBIX US Equity","BEST_EPS","FQ2 2019","FQ2 2019","Currency=USD","Period=FQ","BEST_FPERIOD_OVERRIDE=FQ","FILING_STATUS=MR","Sort=A","Dates=H","DateFormat=P","Fill=—","Direction=H","UseDPDF=Y")</f>
        <v>7.0000000000000007E-2</v>
      </c>
      <c r="D14" s="14">
        <f>_xll.BDH("NBIX US Equity","BEST_EPS","FQ3 2019","FQ3 2019","Currency=USD","Period=FQ","BEST_FPERIOD_OVERRIDE=FQ","FILING_STATUS=MR","Sort=A","Dates=H","DateFormat=P","Fill=—","Direction=H","UseDPDF=Y")</f>
        <v>0.66400000000000003</v>
      </c>
      <c r="E14" s="14">
        <f>_xll.BDH("NBIX US Equity","BEST_EPS","FQ4 2019","FQ4 2019","Currency=USD","Period=FQ","BEST_FPERIOD_OVERRIDE=FQ","FILING_STATUS=MR","Sort=A","Dates=H","DateFormat=P","Fill=—","Direction=H","UseDPDF=Y")</f>
        <v>0.748</v>
      </c>
      <c r="F14" s="14">
        <f>_xll.BDH("NBIX US Equity","BEST_EPS","FQ1 2020","FQ1 2020","Currency=USD","Period=FQ","BEST_FPERIOD_OVERRIDE=FQ","FILING_STATUS=MR","Sort=A","Dates=H","DateFormat=P","Fill=—","Direction=H","UseDPDF=Y")</f>
        <v>0.56399999999999995</v>
      </c>
      <c r="G14" s="14">
        <f>_xll.BDH("NBIX US Equity","BEST_EPS","FQ2 2020","FQ2 2020","Currency=USD","Period=FQ","BEST_FPERIOD_OVERRIDE=FQ","FILING_STATUS=MR","Sort=A","Dates=H","DateFormat=P","Fill=—","Direction=H","UseDPDF=Y")</f>
        <v>0.83</v>
      </c>
      <c r="H14" s="14">
        <f>_xll.BDH("NBIX US Equity","BEST_EPS","FQ3 2020","FQ3 2020","Currency=USD","Period=FQ","BEST_FPERIOD_OVERRIDE=FQ","FILING_STATUS=MR","Sort=A","Dates=H","DateFormat=P","Fill=—","Direction=H","UseDPDF=Y")</f>
        <v>0.45</v>
      </c>
      <c r="I14" s="14">
        <f>_xll.BDH("NBIX US Equity","BEST_EPS","FQ4 2020","FQ4 2020","Currency=USD","Period=FQ","BEST_FPERIOD_OVERRIDE=FQ","FILING_STATUS=MR","Sort=A","Dates=H","DateFormat=P","Fill=—","Direction=H","UseDPDF=Y")</f>
        <v>0.84499999999999997</v>
      </c>
      <c r="J14" s="14">
        <f>_xll.BDH("NBIX US Equity","BEST_EPS","FQ1 2021","FQ1 2021","Currency=USD","Period=FQ","BEST_FPERIOD_OVERRIDE=FQ","FILING_STATUS=MR","Sort=A","Dates=H","DateFormat=P","Fill=—","Direction=H","UseDPDF=Y")</f>
        <v>0.80300000000000005</v>
      </c>
      <c r="K14" s="14">
        <f>_xll.BDH("NBIX US Equity","BEST_EPS","FQ2 2021","FQ2 2021","Currency=USD","Period=FQ","BEST_FPERIOD_OVERRIDE=FQ","FILING_STATUS=MR","Sort=A","Dates=H","DateFormat=P","Fill=—","Direction=H","UseDPDF=Y")</f>
        <v>0.65100000000000002</v>
      </c>
      <c r="L14" s="14">
        <f>_xll.BDH("NBIX US Equity","BEST_EPS","FQ3 2021","FQ3 2021","Currency=USD","Period=FQ","BEST_FPERIOD_OVERRIDE=FQ","FILING_STATUS=MR","Sort=A","Dates=H","DateFormat=P","Fill=—","Direction=H","UseDPDF=Y")</f>
        <v>0.81399999999999995</v>
      </c>
      <c r="M14" s="14">
        <f>_xll.BDH("NBIX US Equity","BEST_EPS","FQ4 2021","FQ4 2021","Currency=USD","Period=FQ","BEST_FPERIOD_OVERRIDE=FQ","FILING_STATUS=MR","Sort=A","Dates=H","DateFormat=P","Fill=—","Direction=H","UseDPDF=Y")</f>
        <v>0.76600000000000001</v>
      </c>
      <c r="N14" s="14">
        <f>_xll.BDH("NBIX US Equity","BEST_EPS","FQ1 2022","FQ1 2022","Currency=USD","Period=FQ","BEST_FPERIOD_OVERRIDE=FQ","FILING_STATUS=MR","Sort=A","Dates=H","DateFormat=P","Fill=—","Direction=H","UseDPDF=Y")</f>
        <v>0.437</v>
      </c>
      <c r="O14" s="14">
        <f>_xll.BDH("NBIX US Equity","BEST_EPS","FQ2 2022","FQ2 2022","Currency=USD","Period=FQ","BEST_FPERIOD_OVERRIDE=FQ","FILING_STATUS=MR","Sort=A","Dates=H","DateFormat=P","Fill=—","Direction=H","UseDPDF=Y")</f>
        <v>0.76100000000000001</v>
      </c>
      <c r="P14" s="14">
        <f>_xll.BDH("NBIX US Equity","BEST_EPS","FQ3 2022","FQ3 2022","Currency=USD","Period=FQ","BEST_FPERIOD_OVERRIDE=FQ","FILING_STATUS=MR","Sort=A","Dates=H","DateFormat=P","Fill=—","Direction=H","UseDPDF=Y")</f>
        <v>1.02</v>
      </c>
      <c r="Q14" s="14">
        <f>_xll.BDH("NBIX US Equity","BEST_EPS","FQ4 2022","FQ4 2022","Currency=USD","Period=FQ","BEST_FPERIOD_OVERRIDE=FQ","FILING_STATUS=MR","Sort=A","Dates=H","DateFormat=P","Fill=—","Direction=H","UseDPDF=Y")</f>
        <v>1.222</v>
      </c>
      <c r="R14" s="14">
        <f>_xll.BDH("NBIX US Equity","BEST_EPS","FQ1 2023","FQ1 2023","Currency=USD","Period=FQ","BEST_FPERIOD_OVERRIDE=FQ","FILING_STATUS=MR","Sort=A","Dates=H","DateFormat=P","Fill=—","Direction=H","UseDPDF=Y")</f>
        <v>0.51500000000000001</v>
      </c>
      <c r="S14" s="14">
        <f>_xll.BDH("NBIX US Equity","BEST_EPS","FQ2 2023","FQ2 2023","Currency=USD","Period=FQ","BEST_FPERIOD_OVERRIDE=FQ","FILING_STATUS=MR","Sort=A","Dates=H","DateFormat=P","Fill=—","Direction=H","UseDPDF=Y")</f>
        <v>0.98899999999999999</v>
      </c>
      <c r="T14" s="14">
        <f>_xll.BDH("NBIX US Equity","BEST_EPS","FQ3 2023","FQ3 2023","Currency=USD","Period=FQ","BEST_FPERIOD_OVERRIDE=FQ","FILING_STATUS=MR","Sort=A","Dates=H","DateFormat=P","Fill=—","Direction=H","UseDPDF=Y")</f>
        <v>1.3</v>
      </c>
      <c r="U14" s="14">
        <f>_xll.BDH("NBIX US Equity","BEST_EPS","FQ4 2023","FQ4 2023","Currency=USD","Period=FQ","BEST_FPERIOD_OVERRIDE=FQ","FILING_STATUS=MR","Sort=A","Dates=H","DateFormat=P","Fill=—","Direction=H","UseDPDF=Y")</f>
        <v>1.5149999999999999</v>
      </c>
      <c r="V14" s="14">
        <f>_xll.BDH("NBIX US Equity","BEST_EPS","FQ1 2024","FQ1 2024","Currency=USD","Period=FQ","BEST_FPERIOD_OVERRIDE=FQ","FILING_STATUS=MR","Sort=A","Dates=H","DateFormat=P","Fill=—","Direction=H","UseDPDF=Y")</f>
        <v>1.264</v>
      </c>
      <c r="W14" s="14">
        <f>_xll.BDH("NBIX US Equity","BEST_EPS","FQ2 2024","FQ2 2024","Currency=USD","Period=FQ","BEST_FPERIOD_OVERRIDE=FQ","FILING_STATUS=MR","Sort=A","Dates=H","DateFormat=P","Fill=—","Direction=H","UseDPDF=Y")</f>
        <v>1.5880000000000001</v>
      </c>
      <c r="X14" s="14">
        <f>_xll.BDH("NBIX US Equity","BEST_EPS","FQ3 2024","FQ3 2024","Currency=USD","Period=FQ","BEST_FPERIOD_OVERRIDE=FQ","FILING_STATUS=MR","Sort=A","Dates=H","DateFormat=P","Fill=—","Direction=H","UseDPDF=Y")</f>
        <v>1.762</v>
      </c>
      <c r="Y14" s="14">
        <f>_xll.BDH("NBIX US Equity","BEST_EPS","FQ4 2024","FQ4 2024","Currency=USD","Period=FQ","BEST_FPERIOD_OVERRIDE=FQ","FILING_STATUS=MR","Sort=A","Dates=H","DateFormat=P","Fill=—","Direction=H","UseDPDF=Y")</f>
        <v>1.901</v>
      </c>
      <c r="Z14" s="14">
        <v>1.2450000000000001</v>
      </c>
      <c r="AA14" s="14">
        <v>1.444</v>
      </c>
    </row>
    <row r="15" spans="1:27" x14ac:dyDescent="0.25">
      <c r="A15" s="10" t="s">
        <v>132</v>
      </c>
      <c r="B15" s="10" t="s">
        <v>139</v>
      </c>
      <c r="C15" s="14">
        <f>_xll.BDH("NBIX US Equity","IS_COMP_EPS_EXCL_STOCK_COMP","FQ2 2019","FQ2 2019","Currency=USD","Period=FQ","BEST_FPERIOD_OVERRIDE=FQ","FILING_STATUS=MR","Sort=A","Dates=H","DateFormat=P","Fill=—","Direction=H","UseDPDF=Y")</f>
        <v>0.40860000000000002</v>
      </c>
      <c r="D15" s="14">
        <f>_xll.BDH("NBIX US Equity","IS_COMP_EPS_EXCL_STOCK_COMP","FQ3 2019","FQ3 2019","Currency=USD","Period=FQ","BEST_FPERIOD_OVERRIDE=FQ","FILING_STATUS=MR","Sort=A","Dates=H","DateFormat=P","Fill=—","Direction=H","UseDPDF=Y")</f>
        <v>0.56000000000000005</v>
      </c>
      <c r="E15" s="14">
        <f>_xll.BDH("NBIX US Equity","IS_COMP_EPS_EXCL_STOCK_COMP","FQ4 2019","FQ4 2019","Currency=USD","Period=FQ","BEST_FPERIOD_OVERRIDE=FQ","FILING_STATUS=MR","Sort=A","Dates=H","DateFormat=P","Fill=—","Direction=H","UseDPDF=Y")</f>
        <v>0.70250000000000001</v>
      </c>
      <c r="F15" s="14">
        <f>_xll.BDH("NBIX US Equity","IS_COMP_EPS_EXCL_STOCK_COMP","FQ1 2020","FQ1 2020","Currency=USD","Period=FQ","BEST_FPERIOD_OVERRIDE=FQ","FILING_STATUS=MR","Sort=A","Dates=H","DateFormat=P","Fill=—","Direction=H","UseDPDF=Y")</f>
        <v>0.51990000000000003</v>
      </c>
      <c r="G15" s="14">
        <f>_xll.BDH("NBIX US Equity","IS_COMP_EPS_EXCL_STOCK_COMP","FQ2 2020","FQ2 2020","Currency=USD","Period=FQ","BEST_FPERIOD_OVERRIDE=FQ","FILING_STATUS=MR","Sort=A","Dates=H","DateFormat=P","Fill=—","Direction=H","UseDPDF=Y")</f>
        <v>1.42</v>
      </c>
      <c r="H15" s="14">
        <f>_xll.BDH("NBIX US Equity","IS_COMP_EPS_EXCL_STOCK_COMP","FQ3 2020","FQ3 2020","Currency=USD","Period=FQ","BEST_FPERIOD_OVERRIDE=FQ","FILING_STATUS=MR","Sort=A","Dates=H","DateFormat=P","Fill=—","Direction=H","UseDPDF=Y")</f>
        <v>0.97</v>
      </c>
      <c r="I15" s="14">
        <f>_xll.BDH("NBIX US Equity","IS_COMP_EPS_EXCL_STOCK_COMP","FQ4 2020","FQ4 2020","Currency=USD","Period=FQ","BEST_FPERIOD_OVERRIDE=FQ","FILING_STATUS=MR","Sort=A","Dates=H","DateFormat=P","Fill=—","Direction=H","UseDPDF=Y")</f>
        <v>3.7734999999999999</v>
      </c>
      <c r="J15" s="14">
        <f>_xll.BDH("NBIX US Equity","IS_COMP_EPS_EXCL_STOCK_COMP","FQ1 2021","FQ1 2021","Currency=USD","Period=FQ","BEST_FPERIOD_OVERRIDE=FQ","FILING_STATUS=MR","Sort=A","Dates=H","DateFormat=P","Fill=—","Direction=H","UseDPDF=Y")</f>
        <v>0.49</v>
      </c>
      <c r="K15" s="14">
        <f>_xll.BDH("NBIX US Equity","IS_COMP_EPS_EXCL_STOCK_COMP","FQ2 2021","FQ2 2021","Currency=USD","Period=FQ","BEST_FPERIOD_OVERRIDE=FQ","FILING_STATUS=MR","Sort=A","Dates=H","DateFormat=P","Fill=—","Direction=H","UseDPDF=Y")</f>
        <v>0.63</v>
      </c>
      <c r="L15" s="14">
        <f>_xll.BDH("NBIX US Equity","IS_COMP_EPS_EXCL_STOCK_COMP","FQ3 2021","FQ3 2021","Currency=USD","Period=FQ","BEST_FPERIOD_OVERRIDE=FQ","FILING_STATUS=MR","Sort=A","Dates=H","DateFormat=P","Fill=—","Direction=H","UseDPDF=Y")</f>
        <v>0.64</v>
      </c>
      <c r="M15" s="14">
        <f>_xll.BDH("NBIX US Equity","IS_COMP_EPS_EXCL_STOCK_COMP","FQ4 2021","FQ4 2021","Currency=USD","Period=FQ","BEST_FPERIOD_OVERRIDE=FQ","FILING_STATUS=MR","Sort=A","Dates=H","DateFormat=P","Fill=—","Direction=H","UseDPDF=Y")</f>
        <v>0.04</v>
      </c>
      <c r="N15" s="14">
        <f>_xll.BDH("NBIX US Equity","IS_COMP_EPS_EXCL_STOCK_COMP","FQ1 2022","FQ1 2022","Currency=USD","Period=FQ","BEST_FPERIOD_OVERRIDE=FQ","FILING_STATUS=MR","Sort=A","Dates=H","DateFormat=P","Fill=—","Direction=H","UseDPDF=Y")</f>
        <v>0.3</v>
      </c>
      <c r="O15" s="14">
        <f>_xll.BDH("NBIX US Equity","IS_COMP_EPS_EXCL_STOCK_COMP","FQ2 2022","FQ2 2022","Currency=USD","Period=FQ","BEST_FPERIOD_OVERRIDE=FQ","FILING_STATUS=MR","Sort=A","Dates=H","DateFormat=P","Fill=—","Direction=H","UseDPDF=Y")</f>
        <v>0.84</v>
      </c>
      <c r="P15" s="14">
        <f>_xll.BDH("NBIX US Equity","IS_COMP_EPS_EXCL_STOCK_COMP","FQ3 2022","FQ3 2022","Currency=USD","Period=FQ","BEST_FPERIOD_OVERRIDE=FQ","FILING_STATUS=MR","Sort=A","Dates=H","DateFormat=P","Fill=—","Direction=H","UseDPDF=Y")</f>
        <v>1.08</v>
      </c>
      <c r="Q15" s="14">
        <f>_xll.BDH("NBIX US Equity","IS_COMP_EPS_EXCL_STOCK_COMP","FQ4 2022","FQ4 2022","Currency=USD","Period=FQ","BEST_FPERIOD_OVERRIDE=FQ","FILING_STATUS=MR","Sort=A","Dates=H","DateFormat=P","Fill=—","Direction=H","UseDPDF=Y")</f>
        <v>1.24</v>
      </c>
      <c r="R15" s="14">
        <f>_xll.BDH("NBIX US Equity","IS_COMP_EPS_EXCL_STOCK_COMP","FQ1 2023","FQ1 2023","Currency=USD","Period=FQ","BEST_FPERIOD_OVERRIDE=FQ","FILING_STATUS=MR","Sort=A","Dates=H","DateFormat=P","Fill=—","Direction=H","UseDPDF=Y")</f>
        <v>-0.51</v>
      </c>
      <c r="S15" s="14">
        <f>_xll.BDH("NBIX US Equity","IS_COMP_EPS_EXCL_STOCK_COMP","FQ2 2023","FQ2 2023","Currency=USD","Period=FQ","BEST_FPERIOD_OVERRIDE=FQ","FILING_STATUS=MR","Sort=A","Dates=H","DateFormat=P","Fill=—","Direction=H","UseDPDF=Y")</f>
        <v>1.25</v>
      </c>
      <c r="T15" s="14">
        <f>_xll.BDH("NBIX US Equity","IS_COMP_EPS_EXCL_STOCK_COMP","FQ3 2023","FQ3 2023","Currency=USD","Period=FQ","BEST_FPERIOD_OVERRIDE=FQ","FILING_STATUS=MR","Sort=A","Dates=H","DateFormat=P","Fill=—","Direction=H","UseDPDF=Y")</f>
        <v>1.54</v>
      </c>
      <c r="U15" s="14">
        <f>_xll.BDH("NBIX US Equity","IS_COMP_EPS_EXCL_STOCK_COMP","FQ4 2023","FQ4 2023","Currency=USD","Period=FQ","BEST_FPERIOD_OVERRIDE=FQ","FILING_STATUS=MR","Sort=A","Dates=H","DateFormat=P","Fill=—","Direction=H","UseDPDF=Y")</f>
        <v>1.54</v>
      </c>
      <c r="V15" s="14">
        <f>_xll.BDH("NBIX US Equity","IS_COMP_EPS_EXCL_STOCK_COMP","FQ1 2024","FQ1 2024","Currency=USD","Period=FQ","BEST_FPERIOD_OVERRIDE=FQ","FILING_STATUS=MR","Sort=A","Dates=H","DateFormat=P","Fill=—","Direction=H","UseDPDF=Y")</f>
        <v>1.2</v>
      </c>
      <c r="W15" s="14">
        <f>_xll.BDH("NBIX US Equity","IS_COMP_EPS_EXCL_STOCK_COMP","FQ2 2024","FQ2 2024","Currency=USD","Period=FQ","BEST_FPERIOD_OVERRIDE=FQ","FILING_STATUS=MR","Sort=A","Dates=H","DateFormat=P","Fill=—","Direction=H","UseDPDF=Y")</f>
        <v>1.63</v>
      </c>
      <c r="X15" s="14">
        <f>_xll.BDH("NBIX US Equity","IS_COMP_EPS_EXCL_STOCK_COMP","FQ3 2024","FQ3 2024","Currency=USD","Period=FQ","BEST_FPERIOD_OVERRIDE=FQ","FILING_STATUS=MR","Sort=A","Dates=H","DateFormat=P","Fill=—","Direction=H","UseDPDF=Y")</f>
        <v>1.81</v>
      </c>
      <c r="Y15" s="14">
        <f>_xll.BDH("NBIX US Equity","IS_COMP_EPS_EXCL_STOCK_COMP","FQ4 2024","FQ4 2024","Currency=USD","Period=FQ","BEST_FPERIOD_OVERRIDE=FQ","FILING_STATUS=MR","Sort=A","Dates=H","DateFormat=P","Fill=—","Direction=H","UseDPDF=Y")</f>
        <v>1.69</v>
      </c>
      <c r="Z15" s="14"/>
      <c r="AA15" s="14"/>
    </row>
    <row r="16" spans="1:27" x14ac:dyDescent="0.25">
      <c r="A16" s="11" t="s">
        <v>140</v>
      </c>
      <c r="B16" s="11"/>
      <c r="C16" s="25">
        <v>483.69857142857097</v>
      </c>
      <c r="D16" s="25">
        <v>-15.662650602409601</v>
      </c>
      <c r="E16" s="25">
        <v>-6.0787433155080199</v>
      </c>
      <c r="F16" s="25">
        <v>-7.8106382978723401</v>
      </c>
      <c r="G16" s="25">
        <v>71.0843373493976</v>
      </c>
      <c r="H16" s="25">
        <v>115.555555555556</v>
      </c>
      <c r="I16" s="25">
        <v>346.56414201183401</v>
      </c>
      <c r="J16" s="25">
        <v>-38.978829389788302</v>
      </c>
      <c r="K16" s="25">
        <v>-3.2258064516129101</v>
      </c>
      <c r="L16" s="25">
        <v>-21.375921375921401</v>
      </c>
      <c r="M16" s="25">
        <v>-94.778067885117494</v>
      </c>
      <c r="N16" s="25">
        <v>-31.350114416476</v>
      </c>
      <c r="O16" s="25">
        <v>10.381077529566401</v>
      </c>
      <c r="P16" s="25">
        <v>5.8823529411764799</v>
      </c>
      <c r="Q16" s="25">
        <v>1.47299509001637</v>
      </c>
      <c r="R16" s="25" t="s">
        <v>141</v>
      </c>
      <c r="S16" s="25">
        <v>26.390293225480299</v>
      </c>
      <c r="T16" s="25">
        <v>18.461538461538499</v>
      </c>
      <c r="U16" s="25">
        <v>1.6501650165016599</v>
      </c>
      <c r="V16" s="25">
        <v>-5.0632911392405102</v>
      </c>
      <c r="W16" s="25">
        <v>2.64483627204029</v>
      </c>
      <c r="X16" s="25">
        <v>2.7241770715096498</v>
      </c>
      <c r="Y16" s="25">
        <v>-11.0994213571804</v>
      </c>
      <c r="Z16" s="25"/>
      <c r="AA16" s="25"/>
    </row>
    <row r="17" spans="1:27" x14ac:dyDescent="0.25">
      <c r="A17" s="10" t="s">
        <v>135</v>
      </c>
      <c r="B17" s="10" t="s">
        <v>104</v>
      </c>
      <c r="C17" s="14">
        <f>_xll.BDH("NBIX US Equity","IS_DILUTED_EPS","FQ2 2019","FQ2 2019","Currency=USD","Period=FQ","BEST_FPERIOD_OVERRIDE=FQ","FILING_STATUS=MR","FA_ADJUSTED=GAAP","Sort=A","Dates=H","DateFormat=P","Fill=—","Direction=H","UseDPDF=Y")</f>
        <v>0.54</v>
      </c>
      <c r="D17" s="14">
        <f>_xll.BDH("NBIX US Equity","IS_DILUTED_EPS","FQ3 2019","FQ3 2019","Currency=USD","Period=FQ","BEST_FPERIOD_OVERRIDE=FQ","FILING_STATUS=MR","FA_ADJUSTED=GAAP","Sort=A","Dates=H","DateFormat=P","Fill=—","Direction=H","UseDPDF=Y")</f>
        <v>0.56000000000000005</v>
      </c>
      <c r="E17" s="14">
        <f>_xll.BDH("NBIX US Equity","IS_DILUTED_EPS","FQ4 2019","FQ4 2019","Currency=USD","Period=FQ","BEST_FPERIOD_OVERRIDE=FQ","FILING_STATUS=MR","FA_ADJUSTED=GAAP","Sort=A","Dates=H","DateFormat=P","Fill=—","Direction=H","UseDPDF=Y")</f>
        <v>0.35</v>
      </c>
      <c r="F17" s="14">
        <f>_xll.BDH("NBIX US Equity","IS_DILUTED_EPS","FQ1 2020","FQ1 2020","Currency=USD","Period=FQ","BEST_FPERIOD_OVERRIDE=FQ","FILING_STATUS=MR","FA_ADJUSTED=GAAP","Sort=A","Dates=H","DateFormat=P","Fill=—","Direction=H","UseDPDF=Y")</f>
        <v>0.39</v>
      </c>
      <c r="G17" s="14">
        <f>_xll.BDH("NBIX US Equity","IS_DILUTED_EPS","FQ2 2020","FQ2 2020","Currency=USD","Period=FQ","BEST_FPERIOD_OVERRIDE=FQ","FILING_STATUS=MR","FA_ADJUSTED=GAAP","Sort=A","Dates=H","DateFormat=P","Fill=—","Direction=H","UseDPDF=Y")</f>
        <v>0.81</v>
      </c>
      <c r="H17" s="14">
        <f>_xll.BDH("NBIX US Equity","IS_DILUTED_EPS","FQ3 2020","FQ3 2020","Currency=USD","Period=FQ","BEST_FPERIOD_OVERRIDE=FQ","FILING_STATUS=MR","FA_ADJUSTED=GAAP","Sort=A","Dates=H","DateFormat=P","Fill=—","Direction=H","UseDPDF=Y")</f>
        <v>-0.62</v>
      </c>
      <c r="I17" s="14">
        <f>_xll.BDH("NBIX US Equity","IS_DILUTED_EPS","FQ4 2020","FQ4 2020","Currency=USD","Period=FQ","BEST_FPERIOD_OVERRIDE=FQ","FILING_STATUS=MR","FA_ADJUSTED=GAAP","Sort=A","Dates=H","DateFormat=P","Fill=—","Direction=H","UseDPDF=Y")</f>
        <v>3.58</v>
      </c>
      <c r="J17" s="14">
        <f>_xll.BDH("NBIX US Equity","IS_DILUTED_EPS","FQ1 2021","FQ1 2021","Currency=USD","Period=FQ","BEST_FPERIOD_OVERRIDE=FQ","FILING_STATUS=MR","FA_ADJUSTED=GAAP","Sort=A","Dates=H","DateFormat=P","Fill=—","Direction=H","UseDPDF=Y")</f>
        <v>0.33</v>
      </c>
      <c r="K17" s="14">
        <f>_xll.BDH("NBIX US Equity","IS_DILUTED_EPS","FQ2 2021","FQ2 2021","Currency=USD","Period=FQ","BEST_FPERIOD_OVERRIDE=FQ","FILING_STATUS=MR","FA_ADJUSTED=GAAP","Sort=A","Dates=H","DateFormat=P","Fill=—","Direction=H","UseDPDF=Y")</f>
        <v>0.43</v>
      </c>
      <c r="L17" s="14">
        <f>_xll.BDH("NBIX US Equity","IS_DILUTED_EPS","FQ3 2021","FQ3 2021","Currency=USD","Period=FQ","BEST_FPERIOD_OVERRIDE=FQ","FILING_STATUS=MR","FA_ADJUSTED=GAAP","Sort=A","Dates=H","DateFormat=P","Fill=—","Direction=H","UseDPDF=Y")</f>
        <v>0.23</v>
      </c>
      <c r="M17" s="14">
        <f>_xll.BDH("NBIX US Equity","IS_DILUTED_EPS","FQ4 2021","FQ4 2021","Currency=USD","Period=FQ","BEST_FPERIOD_OVERRIDE=FQ","FILING_STATUS=MR","FA_ADJUSTED=GAAP","Sort=A","Dates=H","DateFormat=P","Fill=—","Direction=H","UseDPDF=Y")</f>
        <v>-0.08</v>
      </c>
      <c r="N17" s="14">
        <f>_xll.BDH("NBIX US Equity","IS_DILUTED_EPS","FQ1 2022","FQ1 2022","Currency=USD","Period=FQ","BEST_FPERIOD_OVERRIDE=FQ","FILING_STATUS=MR","FA_ADJUSTED=GAAP","Sort=A","Dates=H","DateFormat=P","Fill=—","Direction=H","UseDPDF=Y")</f>
        <v>0.14000000000000001</v>
      </c>
      <c r="O17" s="14">
        <f>_xll.BDH("NBIX US Equity","IS_DILUTED_EPS","FQ2 2022","FQ2 2022","Currency=USD","Period=FQ","BEST_FPERIOD_OVERRIDE=FQ","FILING_STATUS=MR","FA_ADJUSTED=GAAP","Sort=A","Dates=H","DateFormat=P","Fill=—","Direction=H","UseDPDF=Y")</f>
        <v>-0.18</v>
      </c>
      <c r="P17" s="14">
        <f>_xll.BDH("NBIX US Equity","IS_DILUTED_EPS","FQ3 2022","FQ3 2022","Currency=USD","Period=FQ","BEST_FPERIOD_OVERRIDE=FQ","FILING_STATUS=MR","FA_ADJUSTED=GAAP","Sort=A","Dates=H","DateFormat=P","Fill=—","Direction=H","UseDPDF=Y")</f>
        <v>0.69</v>
      </c>
      <c r="Q17" s="14">
        <f>_xll.BDH("NBIX US Equity","IS_DILUTED_EPS","FQ4 2022","FQ4 2022","Currency=USD","Period=FQ","BEST_FPERIOD_OVERRIDE=FQ","FILING_STATUS=MR","FA_ADJUSTED=GAAP","Sort=A","Dates=H","DateFormat=P","Fill=—","Direction=H","UseDPDF=Y")</f>
        <v>0.88</v>
      </c>
      <c r="R17" s="14">
        <f>_xll.BDH("NBIX US Equity","IS_DILUTED_EPS","FQ1 2023","FQ1 2023","Currency=USD","Period=FQ","BEST_FPERIOD_OVERRIDE=FQ","FILING_STATUS=MR","FA_ADJUSTED=GAAP","Sort=A","Dates=H","DateFormat=P","Fill=—","Direction=H","UseDPDF=Y")</f>
        <v>-0.79</v>
      </c>
      <c r="S17" s="14">
        <f>_xll.BDH("NBIX US Equity","IS_DILUTED_EPS","FQ2 2023","FQ2 2023","Currency=USD","Period=FQ","BEST_FPERIOD_OVERRIDE=FQ","FILING_STATUS=MR","FA_ADJUSTED=GAAP","Sort=A","Dates=H","DateFormat=P","Fill=—","Direction=H","UseDPDF=Y")</f>
        <v>0.95</v>
      </c>
      <c r="T17" s="14">
        <f>_xll.BDH("NBIX US Equity","IS_DILUTED_EPS","FQ3 2023","FQ3 2023","Currency=USD","Period=FQ","BEST_FPERIOD_OVERRIDE=FQ","FILING_STATUS=MR","FA_ADJUSTED=GAAP","Sort=A","Dates=H","DateFormat=P","Fill=—","Direction=H","UseDPDF=Y")</f>
        <v>0.82</v>
      </c>
      <c r="U17" s="14">
        <f>_xll.BDH("NBIX US Equity","IS_DILUTED_EPS","FQ4 2023","FQ4 2023","Currency=USD","Period=FQ","BEST_FPERIOD_OVERRIDE=FQ","FILING_STATUS=MR","FA_ADJUSTED=GAAP","Sort=A","Dates=H","DateFormat=P","Fill=—","Direction=H","UseDPDF=Y")</f>
        <v>1.44</v>
      </c>
      <c r="V17" s="14">
        <f>_xll.BDH("NBIX US Equity","IS_DILUTED_EPS","FQ1 2024","FQ1 2024","Currency=USD","Period=FQ","BEST_FPERIOD_OVERRIDE=FQ","FILING_STATUS=MR","FA_ADJUSTED=GAAP","Sort=A","Dates=H","DateFormat=P","Fill=—","Direction=H","UseDPDF=Y")</f>
        <v>0.42</v>
      </c>
      <c r="W17" s="14">
        <f>_xll.BDH("NBIX US Equity","IS_DILUTED_EPS","FQ2 2024","FQ2 2024","Currency=USD","Period=FQ","BEST_FPERIOD_OVERRIDE=FQ","FILING_STATUS=MR","FA_ADJUSTED=GAAP","Sort=A","Dates=H","DateFormat=P","Fill=—","Direction=H","UseDPDF=Y")</f>
        <v>0.63</v>
      </c>
      <c r="X17" s="14">
        <f>_xll.BDH("NBIX US Equity","IS_DILUTED_EPS","FQ3 2024","FQ3 2024","Currency=USD","Period=FQ","BEST_FPERIOD_OVERRIDE=FQ","FILING_STATUS=MR","FA_ADJUSTED=GAAP","Sort=A","Dates=H","DateFormat=P","Fill=—","Direction=H","UseDPDF=Y")</f>
        <v>1.24</v>
      </c>
      <c r="Y17" s="14">
        <f>_xll.BDH("NBIX US Equity","IS_DILUTED_EPS","FQ4 2024","FQ4 2024","Currency=USD","Period=FQ","BEST_FPERIOD_OVERRIDE=FQ","FILING_STATUS=MR","FA_ADJUSTED=GAAP","Sort=A","Dates=H","DateFormat=P","Fill=—","Direction=H","UseDPDF=Y")</f>
        <v>1</v>
      </c>
      <c r="Z17" s="14"/>
      <c r="AA17" s="14"/>
    </row>
    <row r="18" spans="1:27" x14ac:dyDescent="0.25">
      <c r="A18" s="10" t="s">
        <v>136</v>
      </c>
      <c r="B18" s="10" t="s">
        <v>82</v>
      </c>
      <c r="C18" s="14">
        <f>_xll.BDH("NBIX US Equity","IS_DIL_EPS_CONT_OPS","FQ2 2019","FQ2 2019","Currency=USD","Period=FQ","BEST_FPERIOD_OVERRIDE=FQ","FILING_STATUS=MR","Sort=A","Dates=H","DateFormat=P","Fill=—","Direction=H","UseDPDF=Y")</f>
        <v>0.40689999999999998</v>
      </c>
      <c r="D18" s="14">
        <f>_xll.BDH("NBIX US Equity","IS_DIL_EPS_CONT_OPS","FQ3 2019","FQ3 2019","Currency=USD","Period=FQ","BEST_FPERIOD_OVERRIDE=FQ","FILING_STATUS=MR","Sort=A","Dates=H","DateFormat=P","Fill=—","Direction=H","UseDPDF=Y")</f>
        <v>0.79390000000000005</v>
      </c>
      <c r="E18" s="14">
        <f>_xll.BDH("NBIX US Equity","IS_DIL_EPS_CONT_OPS","FQ4 2019","FQ4 2019","Currency=USD","Period=FQ","BEST_FPERIOD_OVERRIDE=FQ","FILING_STATUS=MR","Sort=A","Dates=H","DateFormat=P","Fill=—","Direction=H","UseDPDF=Y")</f>
        <v>0.7913</v>
      </c>
      <c r="F18" s="14">
        <f>_xll.BDH("NBIX US Equity","IS_DIL_EPS_CONT_OPS","FQ1 2020","FQ1 2020","Currency=USD","Period=FQ","BEST_FPERIOD_OVERRIDE=FQ","FILING_STATUS=MR","Sort=A","Dates=H","DateFormat=P","Fill=—","Direction=H","UseDPDF=Y")</f>
        <v>0.55379999999999996</v>
      </c>
      <c r="G18" s="14">
        <f>_xll.BDH("NBIX US Equity","IS_DIL_EPS_CONT_OPS","FQ2 2020","FQ2 2020","Currency=USD","Period=FQ","BEST_FPERIOD_OVERRIDE=FQ","FILING_STATUS=MR","Sort=A","Dates=H","DateFormat=P","Fill=—","Direction=H","UseDPDF=Y")</f>
        <v>1.1628000000000001</v>
      </c>
      <c r="H18" s="14">
        <f>_xll.BDH("NBIX US Equity","IS_DIL_EPS_CONT_OPS","FQ3 2020","FQ3 2020","Currency=USD","Period=FQ","BEST_FPERIOD_OVERRIDE=FQ","FILING_STATUS=MR","Sort=A","Dates=H","DateFormat=P","Fill=—","Direction=H","UseDPDF=Y")</f>
        <v>0.69430000000000003</v>
      </c>
      <c r="I18" s="14">
        <f>_xll.BDH("NBIX US Equity","IS_DIL_EPS_CONT_OPS","FQ4 2020","FQ4 2020","Currency=USD","Period=FQ","BEST_FPERIOD_OVERRIDE=FQ","FILING_STATUS=MR","Sort=A","Dates=H","DateFormat=P","Fill=—","Direction=H","UseDPDF=Y")</f>
        <v>2.2816000000000001</v>
      </c>
      <c r="J18" s="14">
        <f>_xll.BDH("NBIX US Equity","IS_DIL_EPS_CONT_OPS","FQ1 2021","FQ1 2021","Currency=USD","Period=FQ","BEST_FPERIOD_OVERRIDE=FQ","FILING_STATUS=MR","Sort=A","Dates=H","DateFormat=P","Fill=—","Direction=H","UseDPDF=Y")</f>
        <v>0.32679999999999998</v>
      </c>
      <c r="K18" s="14">
        <f>_xll.BDH("NBIX US Equity","IS_DIL_EPS_CONT_OPS","FQ2 2021","FQ2 2021","Currency=USD","Period=FQ","BEST_FPERIOD_OVERRIDE=FQ","FILING_STATUS=MR","Sort=A","Dates=H","DateFormat=P","Fill=—","Direction=H","UseDPDF=Y")</f>
        <v>0.47499999999999998</v>
      </c>
      <c r="L18" s="14">
        <f>_xll.BDH("NBIX US Equity","IS_DIL_EPS_CONT_OPS","FQ3 2021","FQ3 2021","Currency=USD","Period=FQ","BEST_FPERIOD_OVERRIDE=FQ","FILING_STATUS=MR","Sort=A","Dates=H","DateFormat=P","Fill=—","Direction=H","UseDPDF=Y")</f>
        <v>0.30630000000000002</v>
      </c>
      <c r="M18" s="14">
        <f>_xll.BDH("NBIX US Equity","IS_DIL_EPS_CONT_OPS","FQ4 2021","FQ4 2021","Currency=USD","Period=FQ","BEST_FPERIOD_OVERRIDE=FQ","FILING_STATUS=MR","Sort=A","Dates=H","DateFormat=P","Fill=—","Direction=H","UseDPDF=Y")</f>
        <v>0.51849999999999996</v>
      </c>
      <c r="N18" s="14">
        <f>_xll.BDH("NBIX US Equity","IS_DIL_EPS_CONT_OPS","FQ1 2022","FQ1 2022","Currency=USD","Period=FQ","BEST_FPERIOD_OVERRIDE=FQ","FILING_STATUS=MR","Sort=A","Dates=H","DateFormat=P","Fill=—","Direction=H","UseDPDF=Y")</f>
        <v>-4.41E-2</v>
      </c>
      <c r="O18" s="14">
        <f>_xll.BDH("NBIX US Equity","IS_DIL_EPS_CONT_OPS","FQ2 2022","FQ2 2022","Currency=USD","Period=FQ","BEST_FPERIOD_OVERRIDE=FQ","FILING_STATUS=MR","Sort=A","Dates=H","DateFormat=P","Fill=—","Direction=H","UseDPDF=Y")</f>
        <v>-0.1188</v>
      </c>
      <c r="P18" s="14">
        <f>_xll.BDH("NBIX US Equity","IS_DIL_EPS_CONT_OPS","FQ3 2022","FQ3 2022","Currency=USD","Period=FQ","BEST_FPERIOD_OVERRIDE=FQ","FILING_STATUS=MR","Sort=A","Dates=H","DateFormat=P","Fill=—","Direction=H","UseDPDF=Y")</f>
        <v>0.79390000000000005</v>
      </c>
      <c r="Q18" s="14">
        <f>_xll.BDH("NBIX US Equity","IS_DIL_EPS_CONT_OPS","FQ4 2022","FQ4 2022","Currency=USD","Period=FQ","BEST_FPERIOD_OVERRIDE=FQ","FILING_STATUS=MR","Sort=A","Dates=H","DateFormat=P","Fill=—","Direction=H","UseDPDF=Y")</f>
        <v>0.89029999999999998</v>
      </c>
      <c r="R18" s="14">
        <f>_xll.BDH("NBIX US Equity","IS_DIL_EPS_CONT_OPS","FQ1 2023","FQ1 2023","Currency=USD","Period=FQ","BEST_FPERIOD_OVERRIDE=FQ","FILING_STATUS=MR","Sort=A","Dates=H","DateFormat=P","Fill=—","Direction=H","UseDPDF=Y")</f>
        <v>0.3649</v>
      </c>
      <c r="S18" s="14">
        <f>_xll.BDH("NBIX US Equity","IS_DIL_EPS_CONT_OPS","FQ2 2023","FQ2 2023","Currency=USD","Period=FQ","BEST_FPERIOD_OVERRIDE=FQ","FILING_STATUS=MR","Sort=A","Dates=H","DateFormat=P","Fill=—","Direction=H","UseDPDF=Y")</f>
        <v>0.65590000000000004</v>
      </c>
      <c r="T18" s="14">
        <f>_xll.BDH("NBIX US Equity","IS_DIL_EPS_CONT_OPS","FQ3 2023","FQ3 2023","Currency=USD","Period=FQ","BEST_FPERIOD_OVERRIDE=FQ","FILING_STATUS=MR","Sort=A","Dates=H","DateFormat=P","Fill=—","Direction=H","UseDPDF=Y")</f>
        <v>1.3632</v>
      </c>
      <c r="U18" s="14">
        <f>_xll.BDH("NBIX US Equity","IS_DIL_EPS_CONT_OPS","FQ4 2023","FQ4 2023","Currency=USD","Period=FQ","BEST_FPERIOD_OVERRIDE=FQ","FILING_STATUS=MR","Sort=A","Dates=H","DateFormat=P","Fill=—","Direction=H","UseDPDF=Y")</f>
        <v>1.2161</v>
      </c>
      <c r="V18" s="14">
        <f>_xll.BDH("NBIX US Equity","IS_DIL_EPS_CONT_OPS","FQ1 2024","FQ1 2024","Currency=USD","Period=FQ","BEST_FPERIOD_OVERRIDE=FQ","FILING_STATUS=MR","Sort=A","Dates=H","DateFormat=P","Fill=—","Direction=H","UseDPDF=Y")</f>
        <v>0.45629999999999998</v>
      </c>
      <c r="W18" s="14">
        <f>_xll.BDH("NBIX US Equity","IS_DIL_EPS_CONT_OPS","FQ2 2024","FQ2 2024","Currency=USD","Period=FQ","BEST_FPERIOD_OVERRIDE=FQ","FILING_STATUS=MR","Sort=A","Dates=H","DateFormat=P","Fill=—","Direction=H","UseDPDF=Y")</f>
        <v>1.6816</v>
      </c>
      <c r="X18" s="14">
        <f>_xll.BDH("NBIX US Equity","IS_DIL_EPS_CONT_OPS","FQ3 2024","FQ3 2024","Currency=USD","Period=FQ","BEST_FPERIOD_OVERRIDE=FQ","FILING_STATUS=MR","Sort=A","Dates=H","DateFormat=P","Fill=—","Direction=H","UseDPDF=Y")</f>
        <v>1.5034000000000001</v>
      </c>
      <c r="Y18" s="14">
        <f>_xll.BDH("NBIX US Equity","IS_DIL_EPS_CONT_OPS","FQ4 2024","FQ4 2024","Currency=USD","Period=FQ","BEST_FPERIOD_OVERRIDE=FQ","FILING_STATUS=MR","Sort=A","Dates=H","DateFormat=P","Fill=—","Direction=H","UseDPDF=Y")</f>
        <v>1.0415000000000001</v>
      </c>
      <c r="Z18" s="14"/>
      <c r="AA18" s="14"/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6" t="s">
        <v>142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130</v>
      </c>
      <c r="B21" s="10" t="s">
        <v>143</v>
      </c>
      <c r="C21" s="13">
        <f>_xll.BDH("NBIX US Equity","BEST_OPP","FQ2 2019","FQ2 2019","Currency=USD","Period=FQ","BEST_FPERIOD_OVERRIDE=FQ","FILING_STATUS=MR","Sort=A","Dates=H","DateFormat=P","Fill=—","Direction=H","UseDPDF=Y")</f>
        <v>6.81</v>
      </c>
      <c r="D21" s="13">
        <f>_xll.BDH("NBIX US Equity","BEST_OPP","FQ3 2019","FQ3 2019","Currency=USD","Period=FQ","BEST_FPERIOD_OVERRIDE=FQ","FILING_STATUS=MR","Sort=A","Dates=H","DateFormat=P","Fill=—","Direction=H","UseDPDF=Y")</f>
        <v>69</v>
      </c>
      <c r="E21" s="13">
        <f>_xll.BDH("NBIX US Equity","BEST_OPP","FQ4 2019","FQ4 2019","Currency=USD","Period=FQ","BEST_FPERIOD_OVERRIDE=FQ","FILING_STATUS=MR","Sort=A","Dates=H","DateFormat=P","Fill=—","Direction=H","UseDPDF=Y")</f>
        <v>82.191999999999993</v>
      </c>
      <c r="F21" s="13">
        <f>_xll.BDH("NBIX US Equity","BEST_OPP","FQ1 2020","FQ1 2020","Currency=USD","Period=FQ","BEST_FPERIOD_OVERRIDE=FQ","FILING_STATUS=MR","Sort=A","Dates=H","DateFormat=P","Fill=—","Direction=H","UseDPDF=Y")</f>
        <v>57.43</v>
      </c>
      <c r="G21" s="13">
        <f>_xll.BDH("NBIX US Equity","BEST_OPP","FQ2 2020","FQ2 2020","Currency=USD","Period=FQ","BEST_FPERIOD_OVERRIDE=FQ","FILING_STATUS=MR","Sort=A","Dates=H","DateFormat=P","Fill=—","Direction=H","UseDPDF=Y")</f>
        <v>73.254000000000005</v>
      </c>
      <c r="H21" s="13">
        <f>_xll.BDH("NBIX US Equity","BEST_OPP","FQ3 2020","FQ3 2020","Currency=USD","Period=FQ","BEST_FPERIOD_OVERRIDE=FQ","FILING_STATUS=MR","Sort=A","Dates=H","DateFormat=P","Fill=—","Direction=H","UseDPDF=Y")</f>
        <v>16.024999999999999</v>
      </c>
      <c r="I21" s="13">
        <f>_xll.BDH("NBIX US Equity","BEST_OPP","FQ4 2020","FQ4 2020","Currency=USD","Period=FQ","BEST_FPERIOD_OVERRIDE=FQ","FILING_STATUS=MR","Sort=A","Dates=H","DateFormat=P","Fill=—","Direction=H","UseDPDF=Y")</f>
        <v>61.511000000000003</v>
      </c>
      <c r="J21" s="13">
        <f>_xll.BDH("NBIX US Equity","BEST_OPP","FQ1 2021","FQ1 2021","Currency=USD","Period=FQ","BEST_FPERIOD_OVERRIDE=FQ","FILING_STATUS=MR","Sort=A","Dates=H","DateFormat=P","Fill=—","Direction=H","UseDPDF=Y")</f>
        <v>63.162999999999997</v>
      </c>
      <c r="K21" s="13">
        <f>_xll.BDH("NBIX US Equity","BEST_OPP","FQ2 2021","FQ2 2021","Currency=USD","Period=FQ","BEST_FPERIOD_OVERRIDE=FQ","FILING_STATUS=MR","Sort=A","Dates=H","DateFormat=P","Fill=—","Direction=H","UseDPDF=Y")</f>
        <v>59.371000000000002</v>
      </c>
      <c r="L21" s="13">
        <f>_xll.BDH("NBIX US Equity","BEST_OPP","FQ3 2021","FQ3 2021","Currency=USD","Period=FQ","BEST_FPERIOD_OVERRIDE=FQ","FILING_STATUS=MR","Sort=A","Dates=H","DateFormat=P","Fill=—","Direction=H","UseDPDF=Y")</f>
        <v>70.111999999999995</v>
      </c>
      <c r="M21" s="13">
        <f>_xll.BDH("NBIX US Equity","BEST_OPP","FQ4 2021","FQ4 2021","Currency=USD","Period=FQ","BEST_FPERIOD_OVERRIDE=FQ","FILING_STATUS=MR","Sort=A","Dates=H","DateFormat=P","Fill=—","Direction=H","UseDPDF=Y")</f>
        <v>79.176000000000002</v>
      </c>
      <c r="N21" s="13">
        <f>_xll.BDH("NBIX US Equity","BEST_OPP","FQ1 2022","FQ1 2022","Currency=USD","Period=FQ","BEST_FPERIOD_OVERRIDE=FQ","FILING_STATUS=MR","Sort=A","Dates=H","DateFormat=P","Fill=—","Direction=H","UseDPDF=Y")</f>
        <v>39.994999999999997</v>
      </c>
      <c r="O21" s="13">
        <f>_xll.BDH("NBIX US Equity","BEST_OPP","FQ2 2022","FQ2 2022","Currency=USD","Period=FQ","BEST_FPERIOD_OVERRIDE=FQ","FILING_STATUS=MR","Sort=A","Dates=H","DateFormat=P","Fill=—","Direction=H","UseDPDF=Y")</f>
        <v>70.944999999999993</v>
      </c>
      <c r="P21" s="13">
        <f>_xll.BDH("NBIX US Equity","BEST_OPP","FQ3 2022","FQ3 2022","Currency=USD","Period=FQ","BEST_FPERIOD_OVERRIDE=FQ","FILING_STATUS=MR","Sort=A","Dates=H","DateFormat=P","Fill=—","Direction=H","UseDPDF=Y")</f>
        <v>95.478999999999999</v>
      </c>
      <c r="Q21" s="13">
        <f>_xll.BDH("NBIX US Equity","BEST_OPP","FQ4 2022","FQ4 2022","Currency=USD","Period=FQ","BEST_FPERIOD_OVERRIDE=FQ","FILING_STATUS=MR","Sort=A","Dates=H","DateFormat=P","Fill=—","Direction=H","UseDPDF=Y")</f>
        <v>131.83199999999999</v>
      </c>
      <c r="R21" s="13">
        <f>_xll.BDH("NBIX US Equity","BEST_OPP","FQ1 2023","FQ1 2023","Currency=USD","Period=FQ","BEST_FPERIOD_OVERRIDE=FQ","FILING_STATUS=MR","Sort=A","Dates=H","DateFormat=P","Fill=—","Direction=H","UseDPDF=Y")</f>
        <v>16.091000000000001</v>
      </c>
      <c r="S21" s="13">
        <f>_xll.BDH("NBIX US Equity","BEST_OPP","FQ2 2023","FQ2 2023","Currency=USD","Period=FQ","BEST_FPERIOD_OVERRIDE=FQ","FILING_STATUS=MR","Sort=A","Dates=H","DateFormat=P","Fill=—","Direction=H","UseDPDF=Y")</f>
        <v>104.27</v>
      </c>
      <c r="T21" s="13">
        <f>_xll.BDH("NBIX US Equity","BEST_OPP","FQ3 2023","FQ3 2023","Currency=USD","Period=FQ","BEST_FPERIOD_OVERRIDE=FQ","FILING_STATUS=MR","Sort=A","Dates=H","DateFormat=P","Fill=—","Direction=H","UseDPDF=Y")</f>
        <v>121.41200000000001</v>
      </c>
      <c r="U21" s="13">
        <f>_xll.BDH("NBIX US Equity","BEST_OPP","FQ4 2023","FQ4 2023","Currency=USD","Period=FQ","BEST_FPERIOD_OVERRIDE=FQ","FILING_STATUS=MR","Sort=A","Dates=H","DateFormat=P","Fill=—","Direction=H","UseDPDF=Y")</f>
        <v>163.917</v>
      </c>
      <c r="V21" s="13">
        <f>_xll.BDH("NBIX US Equity","BEST_OPP","FQ1 2024","FQ1 2024","Currency=USD","Period=FQ","BEST_FPERIOD_OVERRIDE=FQ","FILING_STATUS=MR","Sort=A","Dates=H","DateFormat=P","Fill=—","Direction=H","UseDPDF=Y")</f>
        <v>120.996</v>
      </c>
      <c r="W21" s="13">
        <f>_xll.BDH("NBIX US Equity","BEST_OPP","FQ2 2024","FQ2 2024","Currency=USD","Period=FQ","BEST_FPERIOD_OVERRIDE=FQ","FILING_STATUS=MR","Sort=A","Dates=H","DateFormat=P","Fill=—","Direction=H","UseDPDF=Y")</f>
        <v>148.80000000000001</v>
      </c>
      <c r="X21" s="13">
        <f>_xll.BDH("NBIX US Equity","BEST_OPP","FQ3 2024","FQ3 2024","Currency=USD","Period=FQ","BEST_FPERIOD_OVERRIDE=FQ","FILING_STATUS=MR","Sort=A","Dates=H","DateFormat=P","Fill=—","Direction=H","UseDPDF=Y")</f>
        <v>188.27799999999999</v>
      </c>
      <c r="Y21" s="13">
        <f>_xll.BDH("NBIX US Equity","BEST_OPP","FQ4 2024","FQ4 2024","Currency=USD","Period=FQ","BEST_FPERIOD_OVERRIDE=FQ","FILING_STATUS=MR","Sort=A","Dates=H","DateFormat=P","Fill=—","Direction=H","UseDPDF=Y")</f>
        <v>188.31299999999999</v>
      </c>
      <c r="Z21" s="13">
        <v>106.59699999999999</v>
      </c>
      <c r="AA21" s="13">
        <v>133.08600000000001</v>
      </c>
    </row>
    <row r="22" spans="1:27" x14ac:dyDescent="0.25">
      <c r="A22" s="10" t="s">
        <v>132</v>
      </c>
      <c r="B22" s="10" t="s">
        <v>144</v>
      </c>
      <c r="C22" s="13">
        <f>_xll.BDH("NBIX US Equity","IS_COMPARABLE_EBIT","FQ2 2019","FQ2 2019","Currency=USD","Period=FQ","BEST_FPERIOD_OVERRIDE=FQ","FILING_STATUS=MR","SCALING_FORMAT=MLN","Sort=A","Dates=H","DateFormat=P","Fill=—","Direction=H","UseDPDF=Y")</f>
        <v>34.460999999999999</v>
      </c>
      <c r="D22" s="13">
        <f>_xll.BDH("NBIX US Equity","IS_COMPARABLE_EBIT","FQ3 2019","FQ3 2019","Currency=USD","Period=FQ","BEST_FPERIOD_OVERRIDE=FQ","FILING_STATUS=MR","SCALING_FORMAT=MLN","Sort=A","Dates=H","DateFormat=P","Fill=—","Direction=H","UseDPDF=Y")</f>
        <v>90.097999999999999</v>
      </c>
      <c r="E22" s="13">
        <f>_xll.BDH("NBIX US Equity","IS_COMPARABLE_EBIT","FQ4 2019","FQ4 2019","Currency=USD","Period=FQ","BEST_FPERIOD_OVERRIDE=FQ","FILING_STATUS=MR","SCALING_FORMAT=MLN","Sort=A","Dates=H","DateFormat=P","Fill=—","Direction=H","UseDPDF=Y")</f>
        <v>48.8</v>
      </c>
      <c r="F22" s="13">
        <f>_xll.BDH("NBIX US Equity","IS_COMPARABLE_EBIT","FQ1 2020","FQ1 2020","Currency=USD","Period=FQ","BEST_FPERIOD_OVERRIDE=FQ","FILING_STATUS=MR","SCALING_FORMAT=MLN","Sort=A","Dates=H","DateFormat=P","Fill=—","Direction=H","UseDPDF=Y")</f>
        <v>58.9</v>
      </c>
      <c r="G22" s="13">
        <f>_xll.BDH("NBIX US Equity","IS_COMPARABLE_EBIT","FQ2 2020","FQ2 2020","Currency=USD","Period=FQ","BEST_FPERIOD_OVERRIDE=FQ","FILING_STATUS=MR","SCALING_FORMAT=MLN","Sort=A","Dates=H","DateFormat=P","Fill=—","Direction=H","UseDPDF=Y")</f>
        <v>142.1</v>
      </c>
      <c r="H22" s="13">
        <f>_xll.BDH("NBIX US Equity","IS_COMPARABLE_EBIT","FQ3 2020","FQ3 2020","Currency=USD","Period=FQ","BEST_FPERIOD_OVERRIDE=FQ","FILING_STATUS=MR","SCALING_FORMAT=MLN","Sort=A","Dates=H","DateFormat=P","Fill=—","Direction=H","UseDPDF=Y")</f>
        <v>-44.3</v>
      </c>
      <c r="I22" s="13">
        <f>_xll.BDH("NBIX US Equity","IS_COMPARABLE_EBIT","FQ4 2020","FQ4 2020","Currency=USD","Period=FQ","BEST_FPERIOD_OVERRIDE=FQ","FILING_STATUS=MR","SCALING_FORMAT=MLN","Sort=A","Dates=H","DateFormat=P","Fill=—","Direction=H","UseDPDF=Y")</f>
        <v>71.8</v>
      </c>
      <c r="J22" s="13">
        <f>_xll.BDH("NBIX US Equity","IS_COMPARABLE_EBIT","FQ1 2021","FQ1 2021","Currency=USD","Period=FQ","BEST_FPERIOD_OVERRIDE=FQ","FILING_STATUS=MR","SCALING_FORMAT=MLN","Sort=A","Dates=H","DateFormat=P","Fill=—","Direction=H","UseDPDF=Y")</f>
        <v>31.5</v>
      </c>
      <c r="K22" s="13">
        <f>_xll.BDH("NBIX US Equity","IS_COMPARABLE_EBIT","FQ2 2021","FQ2 2021","Currency=USD","Period=FQ","BEST_FPERIOD_OVERRIDE=FQ","FILING_STATUS=MR","SCALING_FORMAT=MLN","Sort=A","Dates=H","DateFormat=P","Fill=—","Direction=H","UseDPDF=Y")</f>
        <v>62.8</v>
      </c>
      <c r="L22" s="13">
        <f>_xll.BDH("NBIX US Equity","IS_COMPARABLE_EBIT","FQ3 2021","FQ3 2021","Currency=USD","Period=FQ","BEST_FPERIOD_OVERRIDE=FQ","FILING_STATUS=MR","SCALING_FORMAT=MLN","Sort=A","Dates=H","DateFormat=P","Fill=—","Direction=H","UseDPDF=Y")</f>
        <v>44.5</v>
      </c>
      <c r="M22" s="13">
        <f>_xll.BDH("NBIX US Equity","IS_COMPARABLE_EBIT","FQ4 2021","FQ4 2021","Currency=USD","Period=FQ","BEST_FPERIOD_OVERRIDE=FQ","FILING_STATUS=MR","SCALING_FORMAT=MLN","Sort=A","Dates=H","DateFormat=P","Fill=—","Direction=H","UseDPDF=Y")</f>
        <v>-36.299999999999997</v>
      </c>
      <c r="N22" s="13">
        <f>_xll.BDH("NBIX US Equity","IS_COMPARABLE_EBIT","FQ1 2022","FQ1 2022","Currency=USD","Period=FQ","BEST_FPERIOD_OVERRIDE=FQ","FILING_STATUS=MR","SCALING_FORMAT=MLN","Sort=A","Dates=H","DateFormat=P","Fill=—","Direction=H","UseDPDF=Y")</f>
        <v>3.1</v>
      </c>
      <c r="O22" s="13">
        <f>_xll.BDH("NBIX US Equity","IS_COMPARABLE_EBIT","FQ2 2022","FQ2 2022","Currency=USD","Period=FQ","BEST_FPERIOD_OVERRIDE=FQ","FILING_STATUS=MR","SCALING_FORMAT=MLN","Sort=A","Dates=H","DateFormat=P","Fill=—","Direction=H","UseDPDF=Y")</f>
        <v>54.7</v>
      </c>
      <c r="P22" s="13">
        <f>_xll.BDH("NBIX US Equity","IS_COMPARABLE_EBIT","FQ3 2022","FQ3 2022","Currency=USD","Period=FQ","BEST_FPERIOD_OVERRIDE=FQ","FILING_STATUS=MR","SCALING_FORMAT=MLN","Sort=A","Dates=H","DateFormat=P","Fill=—","Direction=H","UseDPDF=Y")</f>
        <v>87.8</v>
      </c>
      <c r="Q22" s="13">
        <f>_xll.BDH("NBIX US Equity","IS_COMPARABLE_EBIT","FQ4 2022","FQ4 2022","Currency=USD","Period=FQ","BEST_FPERIOD_OVERRIDE=FQ","FILING_STATUS=MR","SCALING_FORMAT=MLN","Sort=A","Dates=H","DateFormat=P","Fill=—","Direction=H","UseDPDF=Y")</f>
        <v>103.4</v>
      </c>
      <c r="R22" s="13">
        <f>_xll.BDH("NBIX US Equity","IS_COMPARABLE_EBIT","FQ1 2023","FQ1 2023","Currency=USD","Period=FQ","BEST_FPERIOD_OVERRIDE=FQ","FILING_STATUS=MR","SCALING_FORMAT=MLN","Sort=A","Dates=H","DateFormat=P","Fill=—","Direction=H","UseDPDF=Y")</f>
        <v>-114.2</v>
      </c>
      <c r="S22" s="13">
        <f>_xll.BDH("NBIX US Equity","IS_COMPARABLE_EBIT","FQ2 2023","FQ2 2023","Currency=USD","Period=FQ","BEST_FPERIOD_OVERRIDE=FQ","FILING_STATUS=MR","SCALING_FORMAT=MLN","Sort=A","Dates=H","DateFormat=P","Fill=—","Direction=H","UseDPDF=Y")</f>
        <v>73.599999999999994</v>
      </c>
      <c r="T22" s="13">
        <f>_xll.BDH("NBIX US Equity","IS_COMPARABLE_EBIT","FQ3 2023","FQ3 2023","Currency=USD","Period=FQ","BEST_FPERIOD_OVERRIDE=FQ","FILING_STATUS=MR","SCALING_FORMAT=MLN","Sort=A","Dates=H","DateFormat=P","Fill=—","Direction=H","UseDPDF=Y")</f>
        <v>141.19999999999999</v>
      </c>
      <c r="U22" s="13">
        <f>_xll.BDH("NBIX US Equity","IS_COMPARABLE_EBIT","FQ4 2023","FQ4 2023","Currency=USD","Period=FQ","BEST_FPERIOD_OVERRIDE=FQ","FILING_STATUS=MR","SCALING_FORMAT=MLN","Sort=A","Dates=H","DateFormat=P","Fill=—","Direction=H","UseDPDF=Y")</f>
        <v>150.30000000000001</v>
      </c>
      <c r="V22" s="13">
        <f>_xll.BDH("NBIX US Equity","IS_COMPARABLE_EBIT","FQ1 2024","FQ1 2024","Currency=USD","Period=FQ","BEST_FPERIOD_OVERRIDE=FQ","FILING_STATUS=MR","SCALING_FORMAT=MLN","Sort=A","Dates=H","DateFormat=P","Fill=—","Direction=H","UseDPDF=Y")</f>
        <v>99.3</v>
      </c>
      <c r="W22" s="13">
        <f>_xll.BDH("NBIX US Equity","IS_COMPARABLE_EBIT","FQ2 2024","FQ2 2024","Currency=USD","Period=FQ","BEST_FPERIOD_OVERRIDE=FQ","FILING_STATUS=MR","SCALING_FORMAT=MLN","Sort=A","Dates=H","DateFormat=P","Fill=—","Direction=H","UseDPDF=Y")</f>
        <v>145.4</v>
      </c>
      <c r="X22" s="13">
        <f>_xll.BDH("NBIX US Equity","IS_COMPARABLE_EBIT","FQ3 2024","FQ3 2024","Currency=USD","Period=FQ","BEST_FPERIOD_OVERRIDE=FQ","FILING_STATUS=MR","SCALING_FORMAT=MLN","Sort=A","Dates=H","DateFormat=P","Fill=—","Direction=H","UseDPDF=Y")</f>
        <v>183.8</v>
      </c>
      <c r="Y22" s="13">
        <f>_xll.BDH("NBIX US Equity","IS_COMPARABLE_EBIT","FQ4 2024","FQ4 2024","Currency=USD","Period=FQ","BEST_FPERIOD_OVERRIDE=FQ","FILING_STATUS=MR","SCALING_FORMAT=MLN","Sort=A","Dates=H","DateFormat=P","Fill=—","Direction=H","UseDPDF=Y")</f>
        <v>142</v>
      </c>
      <c r="Z22" s="13"/>
      <c r="AA22" s="13"/>
    </row>
    <row r="23" spans="1:27" x14ac:dyDescent="0.25">
      <c r="A23" s="11" t="s">
        <v>145</v>
      </c>
      <c r="B23" s="11"/>
      <c r="C23" s="25">
        <v>406.03524229074901</v>
      </c>
      <c r="D23" s="25">
        <v>30.576811594202901</v>
      </c>
      <c r="E23" s="25">
        <v>-40.626824995133298</v>
      </c>
      <c r="F23" s="25">
        <v>2.5596378199547298</v>
      </c>
      <c r="G23" s="25">
        <v>93.982581155977797</v>
      </c>
      <c r="H23" s="25" t="s">
        <v>141</v>
      </c>
      <c r="I23" s="25">
        <v>16.727089463673199</v>
      </c>
      <c r="J23" s="25">
        <v>-50.129031236641701</v>
      </c>
      <c r="K23" s="25">
        <v>5.7755469842178799</v>
      </c>
      <c r="L23" s="25">
        <v>-36.530123231401198</v>
      </c>
      <c r="M23" s="25" t="s">
        <v>141</v>
      </c>
      <c r="N23" s="25">
        <v>-92.249031128891104</v>
      </c>
      <c r="O23" s="25">
        <v>-22.8980195926422</v>
      </c>
      <c r="P23" s="25">
        <v>-8.0426062275474202</v>
      </c>
      <c r="Q23" s="25">
        <v>-21.566842648218898</v>
      </c>
      <c r="R23" s="25" t="s">
        <v>141</v>
      </c>
      <c r="S23" s="25">
        <v>-29.4140212908795</v>
      </c>
      <c r="T23" s="25">
        <v>16.298224228247602</v>
      </c>
      <c r="U23" s="25">
        <v>-8.3072530610003792</v>
      </c>
      <c r="V23" s="25">
        <v>-17.9311712783894</v>
      </c>
      <c r="W23" s="25">
        <v>-2.28494623655914</v>
      </c>
      <c r="X23" s="25">
        <v>-2.3783979009762102</v>
      </c>
      <c r="Y23" s="25">
        <v>-24.593628692655301</v>
      </c>
      <c r="Z23" s="25"/>
      <c r="AA23" s="25"/>
    </row>
    <row r="24" spans="1:27" x14ac:dyDescent="0.25">
      <c r="A24" s="10" t="s">
        <v>135</v>
      </c>
      <c r="B24" s="10" t="s">
        <v>142</v>
      </c>
      <c r="C24" s="13">
        <f>_xll.BDH("NBIX US Equity","EBIT","FQ2 2019","FQ2 2019","Currency=USD","Period=FQ","BEST_FPERIOD_OVERRIDE=FQ","FILING_STATUS=MR","SCALING_FORMAT=MLN","FA_ADJUSTED=GAAP","Sort=A","Dates=H","DateFormat=P","Fill=—","Direction=H","UseDPDF=Y")</f>
        <v>34.460999999999999</v>
      </c>
      <c r="D24" s="13">
        <f>_xll.BDH("NBIX US Equity","EBIT","FQ3 2019","FQ3 2019","Currency=USD","Period=FQ","BEST_FPERIOD_OVERRIDE=FQ","FILING_STATUS=MR","SCALING_FORMAT=MLN","FA_ADJUSTED=GAAP","Sort=A","Dates=H","DateFormat=P","Fill=—","Direction=H","UseDPDF=Y")</f>
        <v>90.097999999999999</v>
      </c>
      <c r="E24" s="13">
        <f>_xll.BDH("NBIX US Equity","EBIT","FQ4 2019","FQ4 2019","Currency=USD","Period=FQ","BEST_FPERIOD_OVERRIDE=FQ","FILING_STATUS=MR","SCALING_FORMAT=MLN","FA_ADJUSTED=GAAP","Sort=A","Dates=H","DateFormat=P","Fill=—","Direction=H","UseDPDF=Y")</f>
        <v>48.8</v>
      </c>
      <c r="F24" s="13">
        <f>_xll.BDH("NBIX US Equity","EBIT","FQ1 2020","FQ1 2020","Currency=USD","Period=FQ","BEST_FPERIOD_OVERRIDE=FQ","FILING_STATUS=MR","SCALING_FORMAT=MLN","FA_ADJUSTED=GAAP","Sort=A","Dates=H","DateFormat=P","Fill=—","Direction=H","UseDPDF=Y")</f>
        <v>58.9</v>
      </c>
      <c r="G24" s="13">
        <f>_xll.BDH("NBIX US Equity","EBIT","FQ2 2020","FQ2 2020","Currency=USD","Period=FQ","BEST_FPERIOD_OVERRIDE=FQ","FILING_STATUS=MR","SCALING_FORMAT=MLN","FA_ADJUSTED=GAAP","Sort=A","Dates=H","DateFormat=P","Fill=—","Direction=H","UseDPDF=Y")</f>
        <v>76.599999999999994</v>
      </c>
      <c r="H24" s="13">
        <f>_xll.BDH("NBIX US Equity","EBIT","FQ3 2020","FQ3 2020","Currency=USD","Period=FQ","BEST_FPERIOD_OVERRIDE=FQ","FILING_STATUS=MR","SCALING_FORMAT=MLN","FA_ADJUSTED=GAAP","Sort=A","Dates=H","DateFormat=P","Fill=—","Direction=H","UseDPDF=Y")</f>
        <v>-44.3</v>
      </c>
      <c r="I24" s="13">
        <f>_xll.BDH("NBIX US Equity","EBIT","FQ4 2020","FQ4 2020","Currency=USD","Period=FQ","BEST_FPERIOD_OVERRIDE=FQ","FILING_STATUS=MR","SCALING_FORMAT=MLN","FA_ADJUSTED=GAAP","Sort=A","Dates=H","DateFormat=P","Fill=—","Direction=H","UseDPDF=Y")</f>
        <v>71.8</v>
      </c>
      <c r="J24" s="13">
        <f>_xll.BDH("NBIX US Equity","EBIT","FQ1 2021","FQ1 2021","Currency=USD","Period=FQ","BEST_FPERIOD_OVERRIDE=FQ","FILING_STATUS=MR","SCALING_FORMAT=MLN","FA_ADJUSTED=GAAP","Sort=A","Dates=H","DateFormat=P","Fill=—","Direction=H","UseDPDF=Y")</f>
        <v>31.5</v>
      </c>
      <c r="K24" s="13">
        <f>_xll.BDH("NBIX US Equity","EBIT","FQ2 2021","FQ2 2021","Currency=USD","Period=FQ","BEST_FPERIOD_OVERRIDE=FQ","FILING_STATUS=MR","SCALING_FORMAT=MLN","FA_ADJUSTED=GAAP","Sort=A","Dates=H","DateFormat=P","Fill=—","Direction=H","UseDPDF=Y")</f>
        <v>62.8</v>
      </c>
      <c r="L24" s="13">
        <f>_xll.BDH("NBIX US Equity","EBIT","FQ3 2021","FQ3 2021","Currency=USD","Period=FQ","BEST_FPERIOD_OVERRIDE=FQ","FILING_STATUS=MR","SCALING_FORMAT=MLN","FA_ADJUSTED=GAAP","Sort=A","Dates=H","DateFormat=P","Fill=—","Direction=H","UseDPDF=Y")</f>
        <v>44.5</v>
      </c>
      <c r="M24" s="13">
        <f>_xll.BDH("NBIX US Equity","EBIT","FQ4 2021","FQ4 2021","Currency=USD","Period=FQ","BEST_FPERIOD_OVERRIDE=FQ","FILING_STATUS=MR","SCALING_FORMAT=MLN","FA_ADJUSTED=GAAP","Sort=A","Dates=H","DateFormat=P","Fill=—","Direction=H","UseDPDF=Y")</f>
        <v>-36.299999999999997</v>
      </c>
      <c r="N24" s="13">
        <f>_xll.BDH("NBIX US Equity","EBIT","FQ1 2022","FQ1 2022","Currency=USD","Period=FQ","BEST_FPERIOD_OVERRIDE=FQ","FILING_STATUS=MR","SCALING_FORMAT=MLN","FA_ADJUSTED=GAAP","Sort=A","Dates=H","DateFormat=P","Fill=—","Direction=H","UseDPDF=Y")</f>
        <v>3.1</v>
      </c>
      <c r="O24" s="13">
        <f>_xll.BDH("NBIX US Equity","EBIT","FQ2 2022","FQ2 2022","Currency=USD","Period=FQ","BEST_FPERIOD_OVERRIDE=FQ","FILING_STATUS=MR","SCALING_FORMAT=MLN","FA_ADJUSTED=GAAP","Sort=A","Dates=H","DateFormat=P","Fill=—","Direction=H","UseDPDF=Y")</f>
        <v>54.7</v>
      </c>
      <c r="P24" s="13">
        <f>_xll.BDH("NBIX US Equity","EBIT","FQ3 2022","FQ3 2022","Currency=USD","Period=FQ","BEST_FPERIOD_OVERRIDE=FQ","FILING_STATUS=MR","SCALING_FORMAT=MLN","FA_ADJUSTED=GAAP","Sort=A","Dates=H","DateFormat=P","Fill=—","Direction=H","UseDPDF=Y")</f>
        <v>87.8</v>
      </c>
      <c r="Q24" s="13">
        <f>_xll.BDH("NBIX US Equity","EBIT","FQ4 2022","FQ4 2022","Currency=USD","Period=FQ","BEST_FPERIOD_OVERRIDE=FQ","FILING_STATUS=MR","SCALING_FORMAT=MLN","FA_ADJUSTED=GAAP","Sort=A","Dates=H","DateFormat=P","Fill=—","Direction=H","UseDPDF=Y")</f>
        <v>103.4</v>
      </c>
      <c r="R24" s="13">
        <f>_xll.BDH("NBIX US Equity","EBIT","FQ1 2023","FQ1 2023","Currency=USD","Period=FQ","BEST_FPERIOD_OVERRIDE=FQ","FILING_STATUS=MR","SCALING_FORMAT=MLN","FA_ADJUSTED=GAAP","Sort=A","Dates=H","DateFormat=P","Fill=—","Direction=H","UseDPDF=Y")</f>
        <v>-114.2</v>
      </c>
      <c r="S24" s="13">
        <f>_xll.BDH("NBIX US Equity","EBIT","FQ2 2023","FQ2 2023","Currency=USD","Period=FQ","BEST_FPERIOD_OVERRIDE=FQ","FILING_STATUS=MR","SCALING_FORMAT=MLN","FA_ADJUSTED=GAAP","Sort=A","Dates=H","DateFormat=P","Fill=—","Direction=H","UseDPDF=Y")</f>
        <v>73.599999999999994</v>
      </c>
      <c r="T24" s="13">
        <f>_xll.BDH("NBIX US Equity","EBIT","FQ3 2023","FQ3 2023","Currency=USD","Period=FQ","BEST_FPERIOD_OVERRIDE=FQ","FILING_STATUS=MR","SCALING_FORMAT=MLN","FA_ADJUSTED=GAAP","Sort=A","Dates=H","DateFormat=P","Fill=—","Direction=H","UseDPDF=Y")</f>
        <v>141.19999999999999</v>
      </c>
      <c r="U24" s="13">
        <f>_xll.BDH("NBIX US Equity","EBIT","FQ4 2023","FQ4 2023","Currency=USD","Period=FQ","BEST_FPERIOD_OVERRIDE=FQ","FILING_STATUS=MR","SCALING_FORMAT=MLN","FA_ADJUSTED=GAAP","Sort=A","Dates=H","DateFormat=P","Fill=—","Direction=H","UseDPDF=Y")</f>
        <v>150.30000000000001</v>
      </c>
      <c r="V24" s="13">
        <f>_xll.BDH("NBIX US Equity","EBIT","FQ1 2024","FQ1 2024","Currency=USD","Period=FQ","BEST_FPERIOD_OVERRIDE=FQ","FILING_STATUS=MR","SCALING_FORMAT=MLN","FA_ADJUSTED=GAAP","Sort=A","Dates=H","DateFormat=P","Fill=—","Direction=H","UseDPDF=Y")</f>
        <v>99.3</v>
      </c>
      <c r="W24" s="13">
        <f>_xll.BDH("NBIX US Equity","EBIT","FQ2 2024","FQ2 2024","Currency=USD","Period=FQ","BEST_FPERIOD_OVERRIDE=FQ","FILING_STATUS=MR","SCALING_FORMAT=MLN","FA_ADJUSTED=GAAP","Sort=A","Dates=H","DateFormat=P","Fill=—","Direction=H","UseDPDF=Y")</f>
        <v>145.4</v>
      </c>
      <c r="X24" s="13">
        <f>_xll.BDH("NBIX US Equity","EBIT","FQ3 2024","FQ3 2024","Currency=USD","Period=FQ","BEST_FPERIOD_OVERRIDE=FQ","FILING_STATUS=MR","SCALING_FORMAT=MLN","FA_ADJUSTED=GAAP","Sort=A","Dates=H","DateFormat=P","Fill=—","Direction=H","UseDPDF=Y")</f>
        <v>183.8</v>
      </c>
      <c r="Y24" s="13">
        <f>_xll.BDH("NBIX US Equity","EBIT","FQ4 2024","FQ4 2024","Currency=USD","Period=FQ","BEST_FPERIOD_OVERRIDE=FQ","FILING_STATUS=MR","SCALING_FORMAT=MLN","FA_ADJUSTED=GAAP","Sort=A","Dates=H","DateFormat=P","Fill=—","Direction=H","UseDPDF=Y")</f>
        <v>142</v>
      </c>
      <c r="Z24" s="13"/>
      <c r="AA24" s="13"/>
    </row>
    <row r="25" spans="1:27" x14ac:dyDescent="0.25">
      <c r="A25" s="10" t="s">
        <v>136</v>
      </c>
      <c r="B25" s="10" t="s">
        <v>142</v>
      </c>
      <c r="C25" s="13">
        <f>_xll.BDH("NBIX US Equity","EBIT","FQ2 2019","FQ2 2019","Currency=USD","Period=FQ","BEST_FPERIOD_OVERRIDE=FQ","FILING_STATUS=MR","SCALING_FORMAT=MLN","FA_ADJUSTED=Adjusted","Sort=A","Dates=H","DateFormat=P","Fill=—","Direction=H","UseDPDF=Y")</f>
        <v>39.460999999999999</v>
      </c>
      <c r="D25" s="13">
        <f>_xll.BDH("NBIX US Equity","EBIT","FQ3 2019","FQ3 2019","Currency=USD","Period=FQ","BEST_FPERIOD_OVERRIDE=FQ","FILING_STATUS=MR","SCALING_FORMAT=MLN","FA_ADJUSTED=Adjusted","Sort=A","Dates=H","DateFormat=P","Fill=—","Direction=H","UseDPDF=Y")</f>
        <v>90.097999999999999</v>
      </c>
      <c r="E25" s="13">
        <f>_xll.BDH("NBIX US Equity","EBIT","FQ4 2019","FQ4 2019","Currency=USD","Period=FQ","BEST_FPERIOD_OVERRIDE=FQ","FILING_STATUS=MR","SCALING_FORMAT=MLN","FA_ADJUSTED=Adjusted","Sort=A","Dates=H","DateFormat=P","Fill=—","Direction=H","UseDPDF=Y")</f>
        <v>85</v>
      </c>
      <c r="F25" s="13">
        <f>_xll.BDH("NBIX US Equity","EBIT","FQ1 2020","FQ1 2020","Currency=USD","Period=FQ","BEST_FPERIOD_OVERRIDE=FQ","FILING_STATUS=MR","SCALING_FORMAT=MLN","FA_ADJUSTED=Adjusted","Sort=A","Dates=H","DateFormat=P","Fill=—","Direction=H","UseDPDF=Y")</f>
        <v>58.9</v>
      </c>
      <c r="G25" s="13">
        <f>_xll.BDH("NBIX US Equity","EBIT","FQ2 2020","FQ2 2020","Currency=USD","Period=FQ","BEST_FPERIOD_OVERRIDE=FQ","FILING_STATUS=MR","SCALING_FORMAT=MLN","FA_ADJUSTED=Adjusted","Sort=A","Dates=H","DateFormat=P","Fill=—","Direction=H","UseDPDF=Y")</f>
        <v>122.6</v>
      </c>
      <c r="H25" s="13">
        <f>_xll.BDH("NBIX US Equity","EBIT","FQ3 2020","FQ3 2020","Currency=USD","Period=FQ","BEST_FPERIOD_OVERRIDE=FQ","FILING_STATUS=MR","SCALING_FORMAT=MLN","FA_ADJUSTED=Adjusted","Sort=A","Dates=H","DateFormat=P","Fill=—","Direction=H","UseDPDF=Y")</f>
        <v>74.2</v>
      </c>
      <c r="I25" s="13">
        <f>_xll.BDH("NBIX US Equity","EBIT","FQ4 2020","FQ4 2020","Currency=USD","Period=FQ","BEST_FPERIOD_OVERRIDE=FQ","FILING_STATUS=MR","SCALING_FORMAT=MLN","FA_ADJUSTED=Adjusted","Sort=A","Dates=H","DateFormat=P","Fill=—","Direction=H","UseDPDF=Y")</f>
        <v>71.8</v>
      </c>
      <c r="J25" s="13">
        <f>_xll.BDH("NBIX US Equity","EBIT","FQ1 2021","FQ1 2021","Currency=USD","Period=FQ","BEST_FPERIOD_OVERRIDE=FQ","FILING_STATUS=MR","SCALING_FORMAT=MLN","FA_ADJUSTED=Adjusted","Sort=A","Dates=H","DateFormat=P","Fill=—","Direction=H","UseDPDF=Y")</f>
        <v>31.5</v>
      </c>
      <c r="K25" s="13">
        <f>_xll.BDH("NBIX US Equity","EBIT","FQ2 2021","FQ2 2021","Currency=USD","Period=FQ","BEST_FPERIOD_OVERRIDE=FQ","FILING_STATUS=MR","SCALING_FORMAT=MLN","FA_ADJUSTED=Adjusted","Sort=A","Dates=H","DateFormat=P","Fill=—","Direction=H","UseDPDF=Y")</f>
        <v>67.8</v>
      </c>
      <c r="L25" s="13">
        <f>_xll.BDH("NBIX US Equity","EBIT","FQ3 2021","FQ3 2021","Currency=USD","Period=FQ","BEST_FPERIOD_OVERRIDE=FQ","FILING_STATUS=MR","SCALING_FORMAT=MLN","FA_ADJUSTED=Adjusted","Sort=A","Dates=H","DateFormat=P","Fill=—","Direction=H","UseDPDF=Y")</f>
        <v>44.5</v>
      </c>
      <c r="M25" s="13">
        <f>_xll.BDH("NBIX US Equity","EBIT","FQ4 2021","FQ4 2021","Currency=USD","Period=FQ","BEST_FPERIOD_OVERRIDE=FQ","FILING_STATUS=MR","SCALING_FORMAT=MLN","FA_ADJUSTED=Adjusted","Sort=A","Dates=H","DateFormat=P","Fill=—","Direction=H","UseDPDF=Y")</f>
        <v>64</v>
      </c>
      <c r="N25" s="13">
        <f>_xll.BDH("NBIX US Equity","EBIT","FQ1 2022","FQ1 2022","Currency=USD","Period=FQ","BEST_FPERIOD_OVERRIDE=FQ","FILING_STATUS=MR","SCALING_FORMAT=MLN","FA_ADJUSTED=Adjusted","Sort=A","Dates=H","DateFormat=P","Fill=—","Direction=H","UseDPDF=Y")</f>
        <v>3.1</v>
      </c>
      <c r="O25" s="13">
        <f>_xll.BDH("NBIX US Equity","EBIT","FQ2 2022","FQ2 2022","Currency=USD","Period=FQ","BEST_FPERIOD_OVERRIDE=FQ","FILING_STATUS=MR","SCALING_FORMAT=MLN","FA_ADJUSTED=Adjusted","Sort=A","Dates=H","DateFormat=P","Fill=—","Direction=H","UseDPDF=Y")</f>
        <v>54.7</v>
      </c>
      <c r="P25" s="13">
        <f>_xll.BDH("NBIX US Equity","EBIT","FQ3 2022","FQ3 2022","Currency=USD","Period=FQ","BEST_FPERIOD_OVERRIDE=FQ","FILING_STATUS=MR","SCALING_FORMAT=MLN","FA_ADJUSTED=Adjusted","Sort=A","Dates=H","DateFormat=P","Fill=—","Direction=H","UseDPDF=Y")</f>
        <v>87.8</v>
      </c>
      <c r="Q25" s="13">
        <f>_xll.BDH("NBIX US Equity","EBIT","FQ4 2022","FQ4 2022","Currency=USD","Period=FQ","BEST_FPERIOD_OVERRIDE=FQ","FILING_STATUS=MR","SCALING_FORMAT=MLN","FA_ADJUSTED=Adjusted","Sort=A","Dates=H","DateFormat=P","Fill=—","Direction=H","UseDPDF=Y")</f>
        <v>105.1</v>
      </c>
      <c r="R25" s="13">
        <f>_xll.BDH("NBIX US Equity","EBIT","FQ1 2023","FQ1 2023","Currency=USD","Period=FQ","BEST_FPERIOD_OVERRIDE=FQ","FILING_STATUS=MR","SCALING_FORMAT=MLN","FA_ADJUSTED=Adjusted","Sort=A","Dates=H","DateFormat=P","Fill=—","Direction=H","UseDPDF=Y")</f>
        <v>29.7</v>
      </c>
      <c r="S25" s="13">
        <f>_xll.BDH("NBIX US Equity","EBIT","FQ2 2023","FQ2 2023","Currency=USD","Period=FQ","BEST_FPERIOD_OVERRIDE=FQ","FILING_STATUS=MR","SCALING_FORMAT=MLN","FA_ADJUSTED=Adjusted","Sort=A","Dates=H","DateFormat=P","Fill=—","Direction=H","UseDPDF=Y")</f>
        <v>73.599999999999994</v>
      </c>
      <c r="T25" s="13">
        <f>_xll.BDH("NBIX US Equity","EBIT","FQ3 2023","FQ3 2023","Currency=USD","Period=FQ","BEST_FPERIOD_OVERRIDE=FQ","FILING_STATUS=MR","SCALING_FORMAT=MLN","FA_ADJUSTED=Adjusted","Sort=A","Dates=H","DateFormat=P","Fill=—","Direction=H","UseDPDF=Y")</f>
        <v>145.1</v>
      </c>
      <c r="U25" s="13">
        <f>_xll.BDH("NBIX US Equity","EBIT","FQ4 2023","FQ4 2023","Currency=USD","Period=FQ","BEST_FPERIOD_OVERRIDE=FQ","FILING_STATUS=MR","SCALING_FORMAT=MLN","FA_ADJUSTED=Adjusted","Sort=A","Dates=H","DateFormat=P","Fill=—","Direction=H","UseDPDF=Y")</f>
        <v>150.30000000000001</v>
      </c>
      <c r="V25" s="13">
        <f>_xll.BDH("NBIX US Equity","EBIT","FQ1 2024","FQ1 2024","Currency=USD","Period=FQ","BEST_FPERIOD_OVERRIDE=FQ","FILING_STATUS=MR","SCALING_FORMAT=MLN","FA_ADJUSTED=Adjusted","Sort=A","Dates=H","DateFormat=P","Fill=—","Direction=H","UseDPDF=Y")</f>
        <v>105.3</v>
      </c>
      <c r="W25" s="13">
        <f>_xll.BDH("NBIX US Equity","EBIT","FQ2 2024","FQ2 2024","Currency=USD","Period=FQ","BEST_FPERIOD_OVERRIDE=FQ","FILING_STATUS=MR","SCALING_FORMAT=MLN","FA_ADJUSTED=Adjusted","Sort=A","Dates=H","DateFormat=P","Fill=—","Direction=H","UseDPDF=Y")</f>
        <v>211.6</v>
      </c>
      <c r="X25" s="13">
        <f>_xll.BDH("NBIX US Equity","EBIT","FQ3 2024","FQ3 2024","Currency=USD","Period=FQ","BEST_FPERIOD_OVERRIDE=FQ","FILING_STATUS=MR","SCALING_FORMAT=MLN","FA_ADJUSTED=Adjusted","Sort=A","Dates=H","DateFormat=P","Fill=—","Direction=H","UseDPDF=Y")</f>
        <v>184.8</v>
      </c>
      <c r="Y25" s="13">
        <f>_xll.BDH("NBIX US Equity","EBIT","FQ4 2024","FQ4 2024","Currency=USD","Period=FQ","BEST_FPERIOD_OVERRIDE=FQ","FILING_STATUS=MR","SCALING_FORMAT=MLN","FA_ADJUSTED=Adjusted","Sort=A","Dates=H","DateFormat=P","Fill=—","Direction=H","UseDPDF=Y")</f>
        <v>145</v>
      </c>
      <c r="Z25" s="13"/>
      <c r="AA25" s="13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6" t="s">
        <v>78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0" t="s">
        <v>130</v>
      </c>
      <c r="B28" s="10" t="s">
        <v>146</v>
      </c>
      <c r="C28" s="13">
        <f>_xll.BDH("NBIX US Equity","BEST_EBITDA","FQ2 2019","FQ2 2019","Currency=USD","Period=FQ","BEST_FPERIOD_OVERRIDE=FQ","FILING_STATUS=MR","Sort=A","Dates=H","DateFormat=P","Fill=—","Direction=H","UseDPDF=Y")</f>
        <v>14.988</v>
      </c>
      <c r="D28" s="13">
        <f>_xll.BDH("NBIX US Equity","BEST_EBITDA","FQ3 2019","FQ3 2019","Currency=USD","Period=FQ","BEST_FPERIOD_OVERRIDE=FQ","FILING_STATUS=MR","Sort=A","Dates=H","DateFormat=P","Fill=—","Direction=H","UseDPDF=Y")</f>
        <v>60.1</v>
      </c>
      <c r="E28" s="13">
        <f>_xll.BDH("NBIX US Equity","BEST_EBITDA","FQ4 2019","FQ4 2019","Currency=USD","Period=FQ","BEST_FPERIOD_OVERRIDE=FQ","FILING_STATUS=MR","Sort=A","Dates=H","DateFormat=P","Fill=—","Direction=H","UseDPDF=Y")</f>
        <v>87.625</v>
      </c>
      <c r="F28" s="13">
        <f>_xll.BDH("NBIX US Equity","BEST_EBITDA","FQ1 2020","FQ1 2020","Currency=USD","Period=FQ","BEST_FPERIOD_OVERRIDE=FQ","FILING_STATUS=MR","Sort=A","Dates=H","DateFormat=P","Fill=—","Direction=H","UseDPDF=Y")</f>
        <v>59.966999999999999</v>
      </c>
      <c r="G28" s="13">
        <f>_xll.BDH("NBIX US Equity","BEST_EBITDA","FQ2 2020","FQ2 2020","Currency=USD","Period=FQ","BEST_FPERIOD_OVERRIDE=FQ","FILING_STATUS=MR","Sort=A","Dates=H","DateFormat=P","Fill=—","Direction=H","UseDPDF=Y")</f>
        <v>76.05</v>
      </c>
      <c r="H28" s="13">
        <f>_xll.BDH("NBIX US Equity","BEST_EBITDA","FQ3 2020","FQ3 2020","Currency=USD","Period=FQ","BEST_FPERIOD_OVERRIDE=FQ","FILING_STATUS=MR","Sort=A","Dates=H","DateFormat=P","Fill=—","Direction=H","UseDPDF=Y")</f>
        <v>51.174999999999997</v>
      </c>
      <c r="I28" s="13">
        <f>_xll.BDH("NBIX US Equity","BEST_EBITDA","FQ4 2020","FQ4 2020","Currency=USD","Period=FQ","BEST_FPERIOD_OVERRIDE=FQ","FILING_STATUS=MR","Sort=A","Dates=H","DateFormat=P","Fill=—","Direction=H","UseDPDF=Y")</f>
        <v>84.32</v>
      </c>
      <c r="J28" s="13">
        <f>_xll.BDH("NBIX US Equity","BEST_EBITDA","FQ1 2021","FQ1 2021","Currency=USD","Period=FQ","BEST_FPERIOD_OVERRIDE=FQ","FILING_STATUS=MR","Sort=A","Dates=H","DateFormat=P","Fill=—","Direction=H","UseDPDF=Y")</f>
        <v>67.540000000000006</v>
      </c>
      <c r="K28" s="13">
        <f>_xll.BDH("NBIX US Equity","BEST_EBITDA","FQ2 2021","FQ2 2021","Currency=USD","Period=FQ","BEST_FPERIOD_OVERRIDE=FQ","FILING_STATUS=MR","Sort=A","Dates=H","DateFormat=P","Fill=—","Direction=H","UseDPDF=Y")</f>
        <v>85.15</v>
      </c>
      <c r="L28" s="13">
        <f>_xll.BDH("NBIX US Equity","BEST_EBITDA","FQ3 2021","FQ3 2021","Currency=USD","Period=FQ","BEST_FPERIOD_OVERRIDE=FQ","FILING_STATUS=MR","Sort=A","Dates=H","DateFormat=P","Fill=—","Direction=H","UseDPDF=Y")</f>
        <v>88.32</v>
      </c>
      <c r="M28" s="13">
        <f>_xll.BDH("NBIX US Equity","BEST_EBITDA","FQ4 2021","FQ4 2021","Currency=USD","Period=FQ","BEST_FPERIOD_OVERRIDE=FQ","FILING_STATUS=MR","Sort=A","Dates=H","DateFormat=P","Fill=—","Direction=H","UseDPDF=Y")</f>
        <v>94.35</v>
      </c>
      <c r="N28" s="13">
        <f>_xll.BDH("NBIX US Equity","BEST_EBITDA","FQ1 2022","FQ1 2022","Currency=USD","Period=FQ","BEST_FPERIOD_OVERRIDE=FQ","FILING_STATUS=MR","Sort=A","Dates=H","DateFormat=P","Fill=—","Direction=H","UseDPDF=Y")</f>
        <v>53.54</v>
      </c>
      <c r="O28" s="13">
        <f>_xll.BDH("NBIX US Equity","BEST_EBITDA","FQ2 2022","FQ2 2022","Currency=USD","Period=FQ","BEST_FPERIOD_OVERRIDE=FQ","FILING_STATUS=MR","Sort=A","Dates=H","DateFormat=P","Fill=—","Direction=H","UseDPDF=Y")</f>
        <v>86.417000000000002</v>
      </c>
      <c r="P28" s="13">
        <f>_xll.BDH("NBIX US Equity","BEST_EBITDA","FQ3 2022","FQ3 2022","Currency=USD","Period=FQ","BEST_FPERIOD_OVERRIDE=FQ","FILING_STATUS=MR","Sort=A","Dates=H","DateFormat=P","Fill=—","Direction=H","UseDPDF=Y")</f>
        <v>130</v>
      </c>
      <c r="Q28" s="13">
        <f>_xll.BDH("NBIX US Equity","BEST_EBITDA","FQ4 2022","FQ4 2022","Currency=USD","Period=FQ","BEST_FPERIOD_OVERRIDE=FQ","FILING_STATUS=MR","Sort=A","Dates=H","DateFormat=P","Fill=—","Direction=H","UseDPDF=Y")</f>
        <v>155.5</v>
      </c>
      <c r="R28" s="13">
        <f>_xll.BDH("NBIX US Equity","BEST_EBITDA","FQ1 2023","FQ1 2023","Currency=USD","Period=FQ","BEST_FPERIOD_OVERRIDE=FQ","FILING_STATUS=MR","Sort=A","Dates=H","DateFormat=P","Fill=—","Direction=H","UseDPDF=Y")</f>
        <v>40.549999999999997</v>
      </c>
      <c r="S28" s="13">
        <f>_xll.BDH("NBIX US Equity","BEST_EBITDA","FQ2 2023","FQ2 2023","Currency=USD","Period=FQ","BEST_FPERIOD_OVERRIDE=FQ","FILING_STATUS=MR","Sort=A","Dates=H","DateFormat=P","Fill=—","Direction=H","UseDPDF=Y")</f>
        <v>130.483</v>
      </c>
      <c r="T28" s="13">
        <f>_xll.BDH("NBIX US Equity","BEST_EBITDA","FQ3 2023","FQ3 2023","Currency=USD","Period=FQ","BEST_FPERIOD_OVERRIDE=FQ","FILING_STATUS=MR","Sort=A","Dates=H","DateFormat=P","Fill=—","Direction=H","UseDPDF=Y")</f>
        <v>162.19999999999999</v>
      </c>
      <c r="U28" s="13">
        <f>_xll.BDH("NBIX US Equity","BEST_EBITDA","FQ4 2023","FQ4 2023","Currency=USD","Period=FQ","BEST_FPERIOD_OVERRIDE=FQ","FILING_STATUS=MR","Sort=A","Dates=H","DateFormat=P","Fill=—","Direction=H","UseDPDF=Y")</f>
        <v>186.22200000000001</v>
      </c>
      <c r="V28" s="13">
        <f>_xll.BDH("NBIX US Equity","BEST_EBITDA","FQ1 2024","FQ1 2024","Currency=USD","Period=FQ","BEST_FPERIOD_OVERRIDE=FQ","FILING_STATUS=MR","Sort=A","Dates=H","DateFormat=P","Fill=—","Direction=H","UseDPDF=Y")</f>
        <v>159.5</v>
      </c>
      <c r="W28" s="13">
        <f>_xll.BDH("NBIX US Equity","BEST_EBITDA","FQ2 2024","FQ2 2024","Currency=USD","Period=FQ","BEST_FPERIOD_OVERRIDE=FQ","FILING_STATUS=MR","Sort=A","Dates=H","DateFormat=P","Fill=—","Direction=H","UseDPDF=Y")</f>
        <v>171.714</v>
      </c>
      <c r="X28" s="13">
        <f>_xll.BDH("NBIX US Equity","BEST_EBITDA","FQ3 2024","FQ3 2024","Currency=USD","Period=FQ","BEST_FPERIOD_OVERRIDE=FQ","FILING_STATUS=MR","Sort=A","Dates=H","DateFormat=P","Fill=—","Direction=H","UseDPDF=Y")</f>
        <v>205</v>
      </c>
      <c r="Y28" s="13">
        <f>_xll.BDH("NBIX US Equity","BEST_EBITDA","FQ4 2024","FQ4 2024","Currency=USD","Period=FQ","BEST_FPERIOD_OVERRIDE=FQ","FILING_STATUS=MR","Sort=A","Dates=H","DateFormat=P","Fill=—","Direction=H","UseDPDF=Y")</f>
        <v>227.667</v>
      </c>
      <c r="Z28" s="13">
        <v>149.143</v>
      </c>
      <c r="AA28" s="13">
        <v>170.429</v>
      </c>
    </row>
    <row r="29" spans="1:27" x14ac:dyDescent="0.25">
      <c r="A29" s="10" t="s">
        <v>132</v>
      </c>
      <c r="B29" s="10" t="s">
        <v>147</v>
      </c>
      <c r="C29" s="13">
        <f>_xll.BDH("NBIX US Equity","IS_COMPARABLE_EBITDA","FQ2 2019","FQ2 2019","Currency=USD","Period=FQ","BEST_FPERIOD_OVERRIDE=FQ","FILING_STATUS=MR","SCALING_FORMAT=MLN","Sort=A","Dates=H","DateFormat=P","Fill=—","Direction=H","UseDPDF=Y")</f>
        <v>36.261000000000003</v>
      </c>
      <c r="D29" s="13">
        <f>_xll.BDH("NBIX US Equity","IS_COMPARABLE_EBITDA","FQ3 2019","FQ3 2019","Currency=USD","Period=FQ","BEST_FPERIOD_OVERRIDE=FQ","FILING_STATUS=MR","SCALING_FORMAT=MLN","Sort=A","Dates=H","DateFormat=P","Fill=—","Direction=H","UseDPDF=Y")</f>
        <v>92.097999999999999</v>
      </c>
      <c r="E29" s="13">
        <f>_xll.BDH("NBIX US Equity","IS_COMPARABLE_EBITDA","FQ4 2019","FQ4 2019","Currency=USD","Period=FQ","BEST_FPERIOD_OVERRIDE=FQ","FILING_STATUS=MR","SCALING_FORMAT=MLN","Sort=A","Dates=H","DateFormat=P","Fill=—","Direction=H","UseDPDF=Y")</f>
        <v>50.8</v>
      </c>
      <c r="F29" s="13">
        <f>_xll.BDH("NBIX US Equity","IS_COMPARABLE_EBITDA","FQ1 2020","FQ1 2020","Currency=USD","Period=FQ","BEST_FPERIOD_OVERRIDE=FQ","FILING_STATUS=MR","SCALING_FORMAT=MLN","Sort=A","Dates=H","DateFormat=P","Fill=—","Direction=H","UseDPDF=Y")</f>
        <v>61</v>
      </c>
      <c r="G29" s="13">
        <f>_xll.BDH("NBIX US Equity","IS_COMPARABLE_EBITDA","FQ2 2020","FQ2 2020","Currency=USD","Period=FQ","BEST_FPERIOD_OVERRIDE=FQ","FILING_STATUS=MR","SCALING_FORMAT=MLN","Sort=A","Dates=H","DateFormat=P","Fill=—","Direction=H","UseDPDF=Y")</f>
        <v>144.19999999999999</v>
      </c>
      <c r="H29" s="13">
        <f>_xll.BDH("NBIX US Equity","IS_COMPARABLE_EBITDA","FQ3 2020","FQ3 2020","Currency=USD","Period=FQ","BEST_FPERIOD_OVERRIDE=FQ","FILING_STATUS=MR","SCALING_FORMAT=MLN","Sort=A","Dates=H","DateFormat=P","Fill=—","Direction=H","UseDPDF=Y")</f>
        <v>-42.1</v>
      </c>
      <c r="I29" s="13">
        <f>_xll.BDH("NBIX US Equity","IS_COMPARABLE_EBITDA","FQ4 2020","FQ4 2020","Currency=USD","Period=FQ","BEST_FPERIOD_OVERRIDE=FQ","FILING_STATUS=MR","SCALING_FORMAT=MLN","Sort=A","Dates=H","DateFormat=P","Fill=—","Direction=H","UseDPDF=Y")</f>
        <v>74</v>
      </c>
      <c r="J29" s="13">
        <f>_xll.BDH("NBIX US Equity","IS_COMPARABLE_EBITDA","FQ1 2021","FQ1 2021","Currency=USD","Period=FQ","BEST_FPERIOD_OVERRIDE=FQ","FILING_STATUS=MR","SCALING_FORMAT=MLN","Sort=A","Dates=H","DateFormat=P","Fill=—","Direction=H","UseDPDF=Y")</f>
        <v>34</v>
      </c>
      <c r="K29" s="13">
        <f>_xll.BDH("NBIX US Equity","IS_COMPARABLE_EBITDA","FQ2 2021","FQ2 2021","Currency=USD","Period=FQ","BEST_FPERIOD_OVERRIDE=FQ","FILING_STATUS=MR","SCALING_FORMAT=MLN","Sort=A","Dates=H","DateFormat=P","Fill=—","Direction=H","UseDPDF=Y")</f>
        <v>65.400000000000006</v>
      </c>
      <c r="L29" s="13">
        <f>_xll.BDH("NBIX US Equity","IS_COMPARABLE_EBITDA","FQ3 2021","FQ3 2021","Currency=USD","Period=FQ","BEST_FPERIOD_OVERRIDE=FQ","FILING_STATUS=MR","SCALING_FORMAT=MLN","Sort=A","Dates=H","DateFormat=P","Fill=—","Direction=H","UseDPDF=Y")</f>
        <v>47.3</v>
      </c>
      <c r="M29" s="13">
        <f>_xll.BDH("NBIX US Equity","IS_COMPARABLE_EBITDA","FQ4 2021","FQ4 2021","Currency=USD","Period=FQ","BEST_FPERIOD_OVERRIDE=FQ","FILING_STATUS=MR","SCALING_FORMAT=MLN","Sort=A","Dates=H","DateFormat=P","Fill=—","Direction=H","UseDPDF=Y")</f>
        <v>-33.299999999999997</v>
      </c>
      <c r="N29" s="13">
        <f>_xll.BDH("NBIX US Equity","IS_COMPARABLE_EBITDA","FQ1 2022","FQ1 2022","Currency=USD","Period=FQ","BEST_FPERIOD_OVERRIDE=FQ","FILING_STATUS=MR","SCALING_FORMAT=MLN","Sort=A","Dates=H","DateFormat=P","Fill=—","Direction=H","UseDPDF=Y")</f>
        <v>6.4</v>
      </c>
      <c r="O29" s="13">
        <f>_xll.BDH("NBIX US Equity","IS_COMPARABLE_EBITDA","FQ2 2022","FQ2 2022","Currency=USD","Period=FQ","BEST_FPERIOD_OVERRIDE=FQ","FILING_STATUS=MR","SCALING_FORMAT=MLN","Sort=A","Dates=H","DateFormat=P","Fill=—","Direction=H","UseDPDF=Y")</f>
        <v>58.6</v>
      </c>
      <c r="P29" s="13">
        <f>_xll.BDH("NBIX US Equity","IS_COMPARABLE_EBITDA","FQ3 2022","FQ3 2022","Currency=USD","Period=FQ","BEST_FPERIOD_OVERRIDE=FQ","FILING_STATUS=MR","SCALING_FORMAT=MLN","Sort=A","Dates=H","DateFormat=P","Fill=—","Direction=H","UseDPDF=Y")</f>
        <v>87.8</v>
      </c>
      <c r="Q29" s="13">
        <f>_xll.BDH("NBIX US Equity","IS_COMPARABLE_EBITDA","FQ4 2022","FQ4 2022","Currency=USD","Period=FQ","BEST_FPERIOD_OVERRIDE=FQ","FILING_STATUS=MR","SCALING_FORMAT=MLN","Sort=A","Dates=H","DateFormat=P","Fill=—","Direction=H","UseDPDF=Y")</f>
        <v>107.8</v>
      </c>
      <c r="R29" s="13">
        <f>_xll.BDH("NBIX US Equity","IS_COMPARABLE_EBITDA","FQ1 2023","FQ1 2023","Currency=USD","Period=FQ","BEST_FPERIOD_OVERRIDE=FQ","FILING_STATUS=MR","SCALING_FORMAT=MLN","Sort=A","Dates=H","DateFormat=P","Fill=—","Direction=H","UseDPDF=Y")</f>
        <v>-109</v>
      </c>
      <c r="S29" s="13">
        <f>_xll.BDH("NBIX US Equity","IS_COMPARABLE_EBITDA","FQ2 2023","FQ2 2023","Currency=USD","Period=FQ","BEST_FPERIOD_OVERRIDE=FQ","FILING_STATUS=MR","SCALING_FORMAT=MLN","Sort=A","Dates=H","DateFormat=P","Fill=—","Direction=H","UseDPDF=Y")</f>
        <v>77.7</v>
      </c>
      <c r="T29" s="13">
        <f>_xll.BDH("NBIX US Equity","IS_COMPARABLE_EBITDA","FQ3 2023","FQ3 2023","Currency=USD","Period=FQ","BEST_FPERIOD_OVERRIDE=FQ","FILING_STATUS=MR","SCALING_FORMAT=MLN","Sort=A","Dates=H","DateFormat=P","Fill=—","Direction=H","UseDPDF=Y")</f>
        <v>146.69999999999999</v>
      </c>
      <c r="U29" s="13">
        <f>_xll.BDH("NBIX US Equity","IS_COMPARABLE_EBITDA","FQ4 2023","FQ4 2023","Currency=USD","Period=FQ","BEST_FPERIOD_OVERRIDE=FQ","FILING_STATUS=MR","SCALING_FORMAT=MLN","Sort=A","Dates=H","DateFormat=P","Fill=—","Direction=H","UseDPDF=Y")</f>
        <v>178.1</v>
      </c>
      <c r="V29" s="13">
        <f>_xll.BDH("NBIX US Equity","IS_COMPARABLE_EBITDA","FQ1 2024","FQ1 2024","Currency=USD","Period=FQ","BEST_FPERIOD_OVERRIDE=FQ","FILING_STATUS=MR","SCALING_FORMAT=MLN","Sort=A","Dates=H","DateFormat=P","Fill=—","Direction=H","UseDPDF=Y")</f>
        <v>105.5</v>
      </c>
      <c r="W29" s="13">
        <f>_xll.BDH("NBIX US Equity","IS_COMPARABLE_EBITDA","FQ2 2024","FQ2 2024","Currency=USD","Period=FQ","BEST_FPERIOD_OVERRIDE=FQ","FILING_STATUS=MR","SCALING_FORMAT=MLN","Sort=A","Dates=H","DateFormat=P","Fill=—","Direction=H","UseDPDF=Y")</f>
        <v>150.9</v>
      </c>
      <c r="X29" s="13">
        <f>_xll.BDH("NBIX US Equity","IS_COMPARABLE_EBITDA","FQ3 2024","FQ3 2024","Currency=USD","Period=FQ","BEST_FPERIOD_OVERRIDE=FQ","FILING_STATUS=MR","SCALING_FORMAT=MLN","Sort=A","Dates=H","DateFormat=P","Fill=—","Direction=H","UseDPDF=Y")</f>
        <v>189.4</v>
      </c>
      <c r="Y29" s="13">
        <f>_xll.BDH("NBIX US Equity","IS_COMPARABLE_EBITDA","FQ4 2024","FQ4 2024","Currency=USD","Period=FQ","BEST_FPERIOD_OVERRIDE=FQ","FILING_STATUS=MR","SCALING_FORMAT=MLN","Sort=A","Dates=H","DateFormat=P","Fill=—","Direction=H","UseDPDF=Y")</f>
        <v>148.19999999999999</v>
      </c>
      <c r="Z29" s="13"/>
      <c r="AA29" s="13"/>
    </row>
    <row r="30" spans="1:27" x14ac:dyDescent="0.25">
      <c r="A30" s="11" t="s">
        <v>148</v>
      </c>
      <c r="B30" s="11"/>
      <c r="C30" s="25">
        <v>141.93354683747</v>
      </c>
      <c r="D30" s="25">
        <v>53.241264559068199</v>
      </c>
      <c r="E30" s="25">
        <v>-42.025677603423702</v>
      </c>
      <c r="F30" s="25">
        <v>1.7226141044240999</v>
      </c>
      <c r="G30" s="25">
        <v>89.612097304404998</v>
      </c>
      <c r="H30" s="25" t="s">
        <v>141</v>
      </c>
      <c r="I30" s="25">
        <v>-12.239089184060701</v>
      </c>
      <c r="J30" s="25">
        <v>-49.659461060112498</v>
      </c>
      <c r="K30" s="25">
        <v>-23.194362889019398</v>
      </c>
      <c r="L30" s="25">
        <v>-46.444746376811601</v>
      </c>
      <c r="M30" s="25" t="s">
        <v>141</v>
      </c>
      <c r="N30" s="25">
        <v>-88.0463205080314</v>
      </c>
      <c r="O30" s="25">
        <v>-32.189268315261998</v>
      </c>
      <c r="P30" s="25">
        <v>-32.461538461538503</v>
      </c>
      <c r="Q30" s="25">
        <v>-30.6752411575563</v>
      </c>
      <c r="R30" s="25" t="s">
        <v>141</v>
      </c>
      <c r="S30" s="25">
        <v>-40.452012905895799</v>
      </c>
      <c r="T30" s="25">
        <v>-9.5561035758323101</v>
      </c>
      <c r="U30" s="25">
        <v>-4.3614610518628396</v>
      </c>
      <c r="V30" s="25">
        <v>-33.855799373040803</v>
      </c>
      <c r="W30" s="25">
        <v>-12.1213180055208</v>
      </c>
      <c r="X30" s="25">
        <v>-7.6097560975609699</v>
      </c>
      <c r="Y30" s="25">
        <v>-34.9049269327571</v>
      </c>
      <c r="Z30" s="25"/>
      <c r="AA30" s="25"/>
    </row>
    <row r="31" spans="1:27" x14ac:dyDescent="0.25">
      <c r="A31" s="10" t="s">
        <v>135</v>
      </c>
      <c r="B31" s="10" t="s">
        <v>78</v>
      </c>
      <c r="C31" s="13">
        <f>_xll.BDH("NBIX US Equity","EBITDA","FQ2 2019","FQ2 2019","Currency=USD","Period=FQ","BEST_FPERIOD_OVERRIDE=FQ","FILING_STATUS=MR","SCALING_FORMAT=MLN","FA_ADJUSTED=GAAP","Sort=A","Dates=H","DateFormat=P","Fill=—","Direction=H","UseDPDF=Y")</f>
        <v>38.247</v>
      </c>
      <c r="D31" s="13">
        <f>_xll.BDH("NBIX US Equity","EBITDA","FQ3 2019","FQ3 2019","Currency=USD","Period=FQ","BEST_FPERIOD_OVERRIDE=FQ","FILING_STATUS=MR","SCALING_FORMAT=MLN","FA_ADJUSTED=GAAP","Sort=A","Dates=H","DateFormat=P","Fill=—","Direction=H","UseDPDF=Y")</f>
        <v>94.106999999999999</v>
      </c>
      <c r="E31" s="13">
        <f>_xll.BDH("NBIX US Equity","EBITDA","FQ4 2019","FQ4 2019","Currency=USD","Period=FQ","BEST_FPERIOD_OVERRIDE=FQ","FILING_STATUS=MR","SCALING_FORMAT=MLN","FA_ADJUSTED=GAAP","Sort=A","Dates=H","DateFormat=P","Fill=—","Direction=H","UseDPDF=Y")</f>
        <v>53.039000000000001</v>
      </c>
      <c r="F31" s="13">
        <f>_xll.BDH("NBIX US Equity","EBITDA","FQ1 2020","FQ1 2020","Currency=USD","Period=FQ","BEST_FPERIOD_OVERRIDE=FQ","FILING_STATUS=MR","SCALING_FORMAT=MLN","FA_ADJUSTED=GAAP","Sort=A","Dates=H","DateFormat=P","Fill=—","Direction=H","UseDPDF=Y")</f>
        <v>63.5</v>
      </c>
      <c r="G31" s="13">
        <f>_xll.BDH("NBIX US Equity","EBITDA","FQ2 2020","FQ2 2020","Currency=USD","Period=FQ","BEST_FPERIOD_OVERRIDE=FQ","FILING_STATUS=MR","SCALING_FORMAT=MLN","FA_ADJUSTED=GAAP","Sort=A","Dates=H","DateFormat=P","Fill=—","Direction=H","UseDPDF=Y")</f>
        <v>81.2</v>
      </c>
      <c r="H31" s="13">
        <f>_xll.BDH("NBIX US Equity","EBITDA","FQ3 2020","FQ3 2020","Currency=USD","Period=FQ","BEST_FPERIOD_OVERRIDE=FQ","FILING_STATUS=MR","SCALING_FORMAT=MLN","FA_ADJUSTED=GAAP","Sort=A","Dates=H","DateFormat=P","Fill=—","Direction=H","UseDPDF=Y")</f>
        <v>-39.700000000000003</v>
      </c>
      <c r="I31" s="13">
        <f>_xll.BDH("NBIX US Equity","EBITDA","FQ4 2020","FQ4 2020","Currency=USD","Period=FQ","BEST_FPERIOD_OVERRIDE=FQ","FILING_STATUS=MR","SCALING_FORMAT=MLN","FA_ADJUSTED=GAAP","Sort=A","Dates=H","DateFormat=P","Fill=—","Direction=H","UseDPDF=Y")</f>
        <v>76.7</v>
      </c>
      <c r="J31" s="13">
        <f>_xll.BDH("NBIX US Equity","EBITDA","FQ1 2021","FQ1 2021","Currency=USD","Period=FQ","BEST_FPERIOD_OVERRIDE=FQ","FILING_STATUS=MR","SCALING_FORMAT=MLN","FA_ADJUSTED=GAAP","Sort=A","Dates=H","DateFormat=P","Fill=—","Direction=H","UseDPDF=Y")</f>
        <v>37.4</v>
      </c>
      <c r="K31" s="13">
        <f>_xll.BDH("NBIX US Equity","EBITDA","FQ2 2021","FQ2 2021","Currency=USD","Period=FQ","BEST_FPERIOD_OVERRIDE=FQ","FILING_STATUS=MR","SCALING_FORMAT=MLN","FA_ADJUSTED=GAAP","Sort=A","Dates=H","DateFormat=P","Fill=—","Direction=H","UseDPDF=Y")</f>
        <v>69.3</v>
      </c>
      <c r="L31" s="13">
        <f>_xll.BDH("NBIX US Equity","EBITDA","FQ3 2021","FQ3 2021","Currency=USD","Period=FQ","BEST_FPERIOD_OVERRIDE=FQ","FILING_STATUS=MR","SCALING_FORMAT=MLN","FA_ADJUSTED=GAAP","Sort=A","Dates=H","DateFormat=P","Fill=—","Direction=H","UseDPDF=Y")</f>
        <v>51.2</v>
      </c>
      <c r="M31" s="13">
        <f>_xll.BDH("NBIX US Equity","EBITDA","FQ4 2021","FQ4 2021","Currency=USD","Period=FQ","BEST_FPERIOD_OVERRIDE=FQ","FILING_STATUS=MR","SCALING_FORMAT=MLN","FA_ADJUSTED=GAAP","Sort=A","Dates=H","DateFormat=P","Fill=—","Direction=H","UseDPDF=Y")</f>
        <v>-29.2</v>
      </c>
      <c r="N31" s="13">
        <f>_xll.BDH("NBIX US Equity","EBITDA","FQ1 2022","FQ1 2022","Currency=USD","Period=FQ","BEST_FPERIOD_OVERRIDE=FQ","FILING_STATUS=MR","SCALING_FORMAT=MLN","FA_ADJUSTED=GAAP","Sort=A","Dates=H","DateFormat=P","Fill=—","Direction=H","UseDPDF=Y")</f>
        <v>10.5</v>
      </c>
      <c r="O31" s="13">
        <f>_xll.BDH("NBIX US Equity","EBITDA","FQ2 2022","FQ2 2022","Currency=USD","Period=FQ","BEST_FPERIOD_OVERRIDE=FQ","FILING_STATUS=MR","SCALING_FORMAT=MLN","FA_ADJUSTED=GAAP","Sort=A","Dates=H","DateFormat=P","Fill=—","Direction=H","UseDPDF=Y")</f>
        <v>62.7</v>
      </c>
      <c r="P31" s="13">
        <f>_xll.BDH("NBIX US Equity","EBITDA","FQ3 2022","FQ3 2022","Currency=USD","Period=FQ","BEST_FPERIOD_OVERRIDE=FQ","FILING_STATUS=MR","SCALING_FORMAT=MLN","FA_ADJUSTED=GAAP","Sort=A","Dates=H","DateFormat=P","Fill=—","Direction=H","UseDPDF=Y")</f>
        <v>96.1</v>
      </c>
      <c r="Q31" s="13">
        <f>_xll.BDH("NBIX US Equity","EBITDA","FQ4 2022","FQ4 2022","Currency=USD","Period=FQ","BEST_FPERIOD_OVERRIDE=FQ","FILING_STATUS=MR","SCALING_FORMAT=MLN","FA_ADJUSTED=GAAP","Sort=A","Dates=H","DateFormat=P","Fill=—","Direction=H","UseDPDF=Y")</f>
        <v>111.6</v>
      </c>
      <c r="R31" s="13">
        <f>_xll.BDH("NBIX US Equity","EBITDA","FQ1 2023","FQ1 2023","Currency=USD","Period=FQ","BEST_FPERIOD_OVERRIDE=FQ","FILING_STATUS=MR","SCALING_FORMAT=MLN","FA_ADJUSTED=GAAP","Sort=A","Dates=H","DateFormat=P","Fill=—","Direction=H","UseDPDF=Y")</f>
        <v>-105.1</v>
      </c>
      <c r="S31" s="13">
        <f>_xll.BDH("NBIX US Equity","EBITDA","FQ2 2023","FQ2 2023","Currency=USD","Period=FQ","BEST_FPERIOD_OVERRIDE=FQ","FILING_STATUS=MR","SCALING_FORMAT=MLN","FA_ADJUSTED=GAAP","Sort=A","Dates=H","DateFormat=P","Fill=—","Direction=H","UseDPDF=Y")</f>
        <v>82.8</v>
      </c>
      <c r="T31" s="13">
        <f>_xll.BDH("NBIX US Equity","EBITDA","FQ3 2023","FQ3 2023","Currency=USD","Period=FQ","BEST_FPERIOD_OVERRIDE=FQ","FILING_STATUS=MR","SCALING_FORMAT=MLN","FA_ADJUSTED=GAAP","Sort=A","Dates=H","DateFormat=P","Fill=—","Direction=H","UseDPDF=Y")</f>
        <v>150.5</v>
      </c>
      <c r="U31" s="13">
        <f>_xll.BDH("NBIX US Equity","EBITDA","FQ4 2023","FQ4 2023","Currency=USD","Period=FQ","BEST_FPERIOD_OVERRIDE=FQ","FILING_STATUS=MR","SCALING_FORMAT=MLN","FA_ADJUSTED=GAAP","Sort=A","Dates=H","DateFormat=P","Fill=—","Direction=H","UseDPDF=Y")</f>
        <v>160.4</v>
      </c>
      <c r="V31" s="13">
        <f>_xll.BDH("NBIX US Equity","EBITDA","FQ1 2024","FQ1 2024","Currency=USD","Period=FQ","BEST_FPERIOD_OVERRIDE=FQ","FILING_STATUS=MR","SCALING_FORMAT=MLN","FA_ADJUSTED=GAAP","Sort=A","Dates=H","DateFormat=P","Fill=—","Direction=H","UseDPDF=Y")</f>
        <v>114.5</v>
      </c>
      <c r="W31" s="13">
        <f>_xll.BDH("NBIX US Equity","EBITDA","FQ2 2024","FQ2 2024","Currency=USD","Period=FQ","BEST_FPERIOD_OVERRIDE=FQ","FILING_STATUS=MR","SCALING_FORMAT=MLN","FA_ADJUSTED=GAAP","Sort=A","Dates=H","DateFormat=P","Fill=—","Direction=H","UseDPDF=Y")</f>
        <v>161.9</v>
      </c>
      <c r="X31" s="13">
        <f>_xll.BDH("NBIX US Equity","EBITDA","FQ3 2024","FQ3 2024","Currency=USD","Period=FQ","BEST_FPERIOD_OVERRIDE=FQ","FILING_STATUS=MR","SCALING_FORMAT=MLN","FA_ADJUSTED=GAAP","Sort=A","Dates=H","DateFormat=P","Fill=—","Direction=H","UseDPDF=Y")</f>
        <v>199.1</v>
      </c>
      <c r="Y31" s="13">
        <f>_xll.BDH("NBIX US Equity","EBITDA","FQ4 2024","FQ4 2024","Currency=USD","Period=FQ","BEST_FPERIOD_OVERRIDE=FQ","FILING_STATUS=MR","SCALING_FORMAT=MLN","FA_ADJUSTED=GAAP","Sort=A","Dates=H","DateFormat=P","Fill=—","Direction=H","UseDPDF=Y")</f>
        <v>164.1</v>
      </c>
      <c r="Z31" s="13"/>
      <c r="AA31" s="13"/>
    </row>
    <row r="32" spans="1:27" x14ac:dyDescent="0.25">
      <c r="A32" s="10" t="s">
        <v>136</v>
      </c>
      <c r="B32" s="10" t="s">
        <v>78</v>
      </c>
      <c r="C32" s="13">
        <f>_xll.BDH("NBIX US Equity","EBITDA","FQ2 2019","FQ2 2019","Currency=USD","Period=FQ","BEST_FPERIOD_OVERRIDE=FQ","FILING_STATUS=MR","SCALING_FORMAT=MLN","FA_ADJUSTED=Adjusted","Sort=A","Dates=H","DateFormat=P","Fill=—","Direction=H","UseDPDF=Y")</f>
        <v>43.247</v>
      </c>
      <c r="D32" s="13">
        <f>_xll.BDH("NBIX US Equity","EBITDA","FQ3 2019","FQ3 2019","Currency=USD","Period=FQ","BEST_FPERIOD_OVERRIDE=FQ","FILING_STATUS=MR","SCALING_FORMAT=MLN","FA_ADJUSTED=Adjusted","Sort=A","Dates=H","DateFormat=P","Fill=—","Direction=H","UseDPDF=Y")</f>
        <v>94.106999999999999</v>
      </c>
      <c r="E32" s="13">
        <f>_xll.BDH("NBIX US Equity","EBITDA","FQ4 2019","FQ4 2019","Currency=USD","Period=FQ","BEST_FPERIOD_OVERRIDE=FQ","FILING_STATUS=MR","SCALING_FORMAT=MLN","FA_ADJUSTED=Adjusted","Sort=A","Dates=H","DateFormat=P","Fill=—","Direction=H","UseDPDF=Y")</f>
        <v>89.239000000000004</v>
      </c>
      <c r="F32" s="13">
        <f>_xll.BDH("NBIX US Equity","EBITDA","FQ1 2020","FQ1 2020","Currency=USD","Period=FQ","BEST_FPERIOD_OVERRIDE=FQ","FILING_STATUS=MR","SCALING_FORMAT=MLN","FA_ADJUSTED=Adjusted","Sort=A","Dates=H","DateFormat=P","Fill=—","Direction=H","UseDPDF=Y")</f>
        <v>63.5</v>
      </c>
      <c r="G32" s="13">
        <f>_xll.BDH("NBIX US Equity","EBITDA","FQ2 2020","FQ2 2020","Currency=USD","Period=FQ","BEST_FPERIOD_OVERRIDE=FQ","FILING_STATUS=MR","SCALING_FORMAT=MLN","FA_ADJUSTED=Adjusted","Sort=A","Dates=H","DateFormat=P","Fill=—","Direction=H","UseDPDF=Y")</f>
        <v>127.2</v>
      </c>
      <c r="H32" s="13">
        <f>_xll.BDH("NBIX US Equity","EBITDA","FQ3 2020","FQ3 2020","Currency=USD","Period=FQ","BEST_FPERIOD_OVERRIDE=FQ","FILING_STATUS=MR","SCALING_FORMAT=MLN","FA_ADJUSTED=Adjusted","Sort=A","Dates=H","DateFormat=P","Fill=—","Direction=H","UseDPDF=Y")</f>
        <v>78.8</v>
      </c>
      <c r="I32" s="13">
        <f>_xll.BDH("NBIX US Equity","EBITDA","FQ4 2020","FQ4 2020","Currency=USD","Period=FQ","BEST_FPERIOD_OVERRIDE=FQ","FILING_STATUS=MR","SCALING_FORMAT=MLN","FA_ADJUSTED=Adjusted","Sort=A","Dates=H","DateFormat=P","Fill=—","Direction=H","UseDPDF=Y")</f>
        <v>76.7</v>
      </c>
      <c r="J32" s="13">
        <f>_xll.BDH("NBIX US Equity","EBITDA","FQ1 2021","FQ1 2021","Currency=USD","Period=FQ","BEST_FPERIOD_OVERRIDE=FQ","FILING_STATUS=MR","SCALING_FORMAT=MLN","FA_ADJUSTED=Adjusted","Sort=A","Dates=H","DateFormat=P","Fill=—","Direction=H","UseDPDF=Y")</f>
        <v>37.4</v>
      </c>
      <c r="K32" s="13">
        <f>_xll.BDH("NBIX US Equity","EBITDA","FQ2 2021","FQ2 2021","Currency=USD","Period=FQ","BEST_FPERIOD_OVERRIDE=FQ","FILING_STATUS=MR","SCALING_FORMAT=MLN","FA_ADJUSTED=Adjusted","Sort=A","Dates=H","DateFormat=P","Fill=—","Direction=H","UseDPDF=Y")</f>
        <v>74.3</v>
      </c>
      <c r="L32" s="13">
        <f>_xll.BDH("NBIX US Equity","EBITDA","FQ3 2021","FQ3 2021","Currency=USD","Period=FQ","BEST_FPERIOD_OVERRIDE=FQ","FILING_STATUS=MR","SCALING_FORMAT=MLN","FA_ADJUSTED=Adjusted","Sort=A","Dates=H","DateFormat=P","Fill=—","Direction=H","UseDPDF=Y")</f>
        <v>51.2</v>
      </c>
      <c r="M32" s="13">
        <f>_xll.BDH("NBIX US Equity","EBITDA","FQ4 2021","FQ4 2021","Currency=USD","Period=FQ","BEST_FPERIOD_OVERRIDE=FQ","FILING_STATUS=MR","SCALING_FORMAT=MLN","FA_ADJUSTED=Adjusted","Sort=A","Dates=H","DateFormat=P","Fill=—","Direction=H","UseDPDF=Y")</f>
        <v>71.099999999999994</v>
      </c>
      <c r="N32" s="13">
        <f>_xll.BDH("NBIX US Equity","EBITDA","FQ1 2022","FQ1 2022","Currency=USD","Period=FQ","BEST_FPERIOD_OVERRIDE=FQ","FILING_STATUS=MR","SCALING_FORMAT=MLN","FA_ADJUSTED=Adjusted","Sort=A","Dates=H","DateFormat=P","Fill=—","Direction=H","UseDPDF=Y")</f>
        <v>10.5</v>
      </c>
      <c r="O32" s="13">
        <f>_xll.BDH("NBIX US Equity","EBITDA","FQ2 2022","FQ2 2022","Currency=USD","Period=FQ","BEST_FPERIOD_OVERRIDE=FQ","FILING_STATUS=MR","SCALING_FORMAT=MLN","FA_ADJUSTED=Adjusted","Sort=A","Dates=H","DateFormat=P","Fill=—","Direction=H","UseDPDF=Y")</f>
        <v>62.7</v>
      </c>
      <c r="P32" s="13">
        <f>_xll.BDH("NBIX US Equity","EBITDA","FQ3 2022","FQ3 2022","Currency=USD","Period=FQ","BEST_FPERIOD_OVERRIDE=FQ","FILING_STATUS=MR","SCALING_FORMAT=MLN","FA_ADJUSTED=Adjusted","Sort=A","Dates=H","DateFormat=P","Fill=—","Direction=H","UseDPDF=Y")</f>
        <v>96.1</v>
      </c>
      <c r="Q32" s="13">
        <f>_xll.BDH("NBIX US Equity","EBITDA","FQ4 2022","FQ4 2022","Currency=USD","Period=FQ","BEST_FPERIOD_OVERRIDE=FQ","FILING_STATUS=MR","SCALING_FORMAT=MLN","FA_ADJUSTED=Adjusted","Sort=A","Dates=H","DateFormat=P","Fill=—","Direction=H","UseDPDF=Y")</f>
        <v>113.3</v>
      </c>
      <c r="R32" s="13">
        <f>_xll.BDH("NBIX US Equity","EBITDA","FQ1 2023","FQ1 2023","Currency=USD","Period=FQ","BEST_FPERIOD_OVERRIDE=FQ","FILING_STATUS=MR","SCALING_FORMAT=MLN","FA_ADJUSTED=Adjusted","Sort=A","Dates=H","DateFormat=P","Fill=—","Direction=H","UseDPDF=Y")</f>
        <v>38.799999999999997</v>
      </c>
      <c r="S32" s="13">
        <f>_xll.BDH("NBIX US Equity","EBITDA","FQ2 2023","FQ2 2023","Currency=USD","Period=FQ","BEST_FPERIOD_OVERRIDE=FQ","FILING_STATUS=MR","SCALING_FORMAT=MLN","FA_ADJUSTED=Adjusted","Sort=A","Dates=H","DateFormat=P","Fill=—","Direction=H","UseDPDF=Y")</f>
        <v>82.8</v>
      </c>
      <c r="T32" s="13">
        <f>_xll.BDH("NBIX US Equity","EBITDA","FQ3 2023","FQ3 2023","Currency=USD","Period=FQ","BEST_FPERIOD_OVERRIDE=FQ","FILING_STATUS=MR","SCALING_FORMAT=MLN","FA_ADJUSTED=Adjusted","Sort=A","Dates=H","DateFormat=P","Fill=—","Direction=H","UseDPDF=Y")</f>
        <v>154.4</v>
      </c>
      <c r="U32" s="13">
        <f>_xll.BDH("NBIX US Equity","EBITDA","FQ4 2023","FQ4 2023","Currency=USD","Period=FQ","BEST_FPERIOD_OVERRIDE=FQ","FILING_STATUS=MR","SCALING_FORMAT=MLN","FA_ADJUSTED=Adjusted","Sort=A","Dates=H","DateFormat=P","Fill=—","Direction=H","UseDPDF=Y")</f>
        <v>160.4</v>
      </c>
      <c r="V32" s="13">
        <f>_xll.BDH("NBIX US Equity","EBITDA","FQ1 2024","FQ1 2024","Currency=USD","Period=FQ","BEST_FPERIOD_OVERRIDE=FQ","FILING_STATUS=MR","SCALING_FORMAT=MLN","FA_ADJUSTED=Adjusted","Sort=A","Dates=H","DateFormat=P","Fill=—","Direction=H","UseDPDF=Y")</f>
        <v>120.5</v>
      </c>
      <c r="W32" s="13">
        <f>_xll.BDH("NBIX US Equity","EBITDA","FQ2 2024","FQ2 2024","Currency=USD","Period=FQ","BEST_FPERIOD_OVERRIDE=FQ","FILING_STATUS=MR","SCALING_FORMAT=MLN","FA_ADJUSTED=Adjusted","Sort=A","Dates=H","DateFormat=P","Fill=—","Direction=H","UseDPDF=Y")</f>
        <v>228.1</v>
      </c>
      <c r="X32" s="13">
        <f>_xll.BDH("NBIX US Equity","EBITDA","FQ3 2024","FQ3 2024","Currency=USD","Period=FQ","BEST_FPERIOD_OVERRIDE=FQ","FILING_STATUS=MR","SCALING_FORMAT=MLN","FA_ADJUSTED=Adjusted","Sort=A","Dates=H","DateFormat=P","Fill=—","Direction=H","UseDPDF=Y")</f>
        <v>200.1</v>
      </c>
      <c r="Y32" s="13">
        <f>_xll.BDH("NBIX US Equity","EBITDA","FQ4 2024","FQ4 2024","Currency=USD","Period=FQ","BEST_FPERIOD_OVERRIDE=FQ","FILING_STATUS=MR","SCALING_FORMAT=MLN","FA_ADJUSTED=Adjusted","Sort=A","Dates=H","DateFormat=P","Fill=—","Direction=H","UseDPDF=Y")</f>
        <v>167.1</v>
      </c>
      <c r="Z32" s="13"/>
      <c r="AA32" s="13"/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 t="s">
        <v>149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0" t="s">
        <v>130</v>
      </c>
      <c r="B35" s="10" t="s">
        <v>150</v>
      </c>
      <c r="C35" s="14">
        <f>_xll.BDH("NBIX US Equity","BEST_GROSS_MARGIN","FQ2 2019","FQ2 2019","Currency=USD","Period=FQ","BEST_FPERIOD_OVERRIDE=FQ","FILING_STATUS=MR","Sort=A","Dates=H","DateFormat=P","Fill=—","Direction=H","UseDPDF=Y")</f>
        <v>96.94</v>
      </c>
      <c r="D35" s="14">
        <f>_xll.BDH("NBIX US Equity","BEST_GROSS_MARGIN","FQ3 2019","FQ3 2019","Currency=USD","Period=FQ","BEST_FPERIOD_OVERRIDE=FQ","FILING_STATUS=MR","Sort=A","Dates=H","DateFormat=P","Fill=—","Direction=H","UseDPDF=Y")</f>
        <v>99.05</v>
      </c>
      <c r="E35" s="14">
        <f>_xll.BDH("NBIX US Equity","BEST_GROSS_MARGIN","FQ4 2019","FQ4 2019","Currency=USD","Period=FQ","BEST_FPERIOD_OVERRIDE=FQ","FILING_STATUS=MR","Sort=A","Dates=H","DateFormat=P","Fill=—","Direction=H","UseDPDF=Y")</f>
        <v>98.95</v>
      </c>
      <c r="F35" s="14">
        <f>_xll.BDH("NBIX US Equity","BEST_GROSS_MARGIN","FQ1 2020","FQ1 2020","Currency=USD","Period=FQ","BEST_FPERIOD_OVERRIDE=FQ","FILING_STATUS=MR","Sort=A","Dates=H","DateFormat=P","Fill=—","Direction=H","UseDPDF=Y")</f>
        <v>98.983000000000004</v>
      </c>
      <c r="G35" s="14">
        <f>_xll.BDH("NBIX US Equity","BEST_GROSS_MARGIN","FQ2 2020","FQ2 2020","Currency=USD","Period=FQ","BEST_FPERIOD_OVERRIDE=FQ","FILING_STATUS=MR","Sort=A","Dates=H","DateFormat=P","Fill=—","Direction=H","UseDPDF=Y")</f>
        <v>98.875</v>
      </c>
      <c r="H35" s="14">
        <f>_xll.BDH("NBIX US Equity","BEST_GROSS_MARGIN","FQ3 2020","FQ3 2020","Currency=USD","Period=FQ","BEST_FPERIOD_OVERRIDE=FQ","FILING_STATUS=MR","Sort=A","Dates=H","DateFormat=P","Fill=—","Direction=H","UseDPDF=Y")</f>
        <v>98.313000000000002</v>
      </c>
      <c r="I35" s="14">
        <f>_xll.BDH("NBIX US Equity","BEST_GROSS_MARGIN","FQ4 2020","FQ4 2020","Currency=USD","Period=FQ","BEST_FPERIOD_OVERRIDE=FQ","FILING_STATUS=MR","Sort=A","Dates=H","DateFormat=P","Fill=—","Direction=H","UseDPDF=Y")</f>
        <v>98.391999999999996</v>
      </c>
      <c r="J35" s="14">
        <f>_xll.BDH("NBIX US Equity","BEST_GROSS_MARGIN","FQ1 2021","FQ1 2021","Currency=USD","Period=FQ","BEST_FPERIOD_OVERRIDE=FQ","FILING_STATUS=MR","Sort=A","Dates=H","DateFormat=P","Fill=—","Direction=H","UseDPDF=Y")</f>
        <v>98.539000000000001</v>
      </c>
      <c r="K35" s="14">
        <f>_xll.BDH("NBIX US Equity","BEST_GROSS_MARGIN","FQ2 2021","FQ2 2021","Currency=USD","Period=FQ","BEST_FPERIOD_OVERRIDE=FQ","FILING_STATUS=MR","Sort=A","Dates=H","DateFormat=P","Fill=—","Direction=H","UseDPDF=Y")</f>
        <v>98.566000000000003</v>
      </c>
      <c r="L35" s="14">
        <f>_xll.BDH("NBIX US Equity","BEST_GROSS_MARGIN","FQ3 2021","FQ3 2021","Currency=USD","Period=FQ","BEST_FPERIOD_OVERRIDE=FQ","FILING_STATUS=MR","Sort=A","Dates=H","DateFormat=P","Fill=—","Direction=H","UseDPDF=Y")</f>
        <v>98.676000000000002</v>
      </c>
      <c r="M35" s="14">
        <f>_xll.BDH("NBIX US Equity","BEST_GROSS_MARGIN","FQ4 2021","FQ4 2021","Currency=USD","Period=FQ","BEST_FPERIOD_OVERRIDE=FQ","FILING_STATUS=MR","Sort=A","Dates=H","DateFormat=P","Fill=—","Direction=H","UseDPDF=Y")</f>
        <v>98.668999999999997</v>
      </c>
      <c r="N35" s="14">
        <f>_xll.BDH("NBIX US Equity","BEST_GROSS_MARGIN","FQ1 2022","FQ1 2022","Currency=USD","Period=FQ","BEST_FPERIOD_OVERRIDE=FQ","FILING_STATUS=MR","Sort=A","Dates=H","DateFormat=P","Fill=—","Direction=H","UseDPDF=Y")</f>
        <v>98.491</v>
      </c>
      <c r="O35" s="14">
        <f>_xll.BDH("NBIX US Equity","BEST_GROSS_MARGIN","FQ2 2022","FQ2 2022","Currency=USD","Period=FQ","BEST_FPERIOD_OVERRIDE=FQ","FILING_STATUS=MR","Sort=A","Dates=H","DateFormat=P","Fill=—","Direction=H","UseDPDF=Y")</f>
        <v>98.554000000000002</v>
      </c>
      <c r="P35" s="14">
        <f>_xll.BDH("NBIX US Equity","BEST_GROSS_MARGIN","FQ3 2022","FQ3 2022","Currency=USD","Period=FQ","BEST_FPERIOD_OVERRIDE=FQ","FILING_STATUS=MR","Sort=A","Dates=H","DateFormat=P","Fill=—","Direction=H","UseDPDF=Y")</f>
        <v>98.539000000000001</v>
      </c>
      <c r="Q35" s="14">
        <f>_xll.BDH("NBIX US Equity","BEST_GROSS_MARGIN","FQ4 2022","FQ4 2022","Currency=USD","Period=FQ","BEST_FPERIOD_OVERRIDE=FQ","FILING_STATUS=MR","Sort=A","Dates=H","DateFormat=P","Fill=—","Direction=H","UseDPDF=Y")</f>
        <v>98.409000000000006</v>
      </c>
      <c r="R35" s="14">
        <f>_xll.BDH("NBIX US Equity","BEST_GROSS_MARGIN","FQ1 2023","FQ1 2023","Currency=USD","Period=FQ","BEST_FPERIOD_OVERRIDE=FQ","FILING_STATUS=MR","Sort=A","Dates=H","DateFormat=P","Fill=—","Direction=H","UseDPDF=Y")</f>
        <v>98.394000000000005</v>
      </c>
      <c r="S35" s="14">
        <f>_xll.BDH("NBIX US Equity","BEST_GROSS_MARGIN","FQ2 2023","FQ2 2023","Currency=USD","Period=FQ","BEST_FPERIOD_OVERRIDE=FQ","FILING_STATUS=MR","Sort=A","Dates=H","DateFormat=P","Fill=—","Direction=H","UseDPDF=Y")</f>
        <v>98.299000000000007</v>
      </c>
      <c r="T35" s="14">
        <f>_xll.BDH("NBIX US Equity","BEST_GROSS_MARGIN","FQ3 2023","FQ3 2023","Currency=USD","Period=FQ","BEST_FPERIOD_OVERRIDE=FQ","FILING_STATUS=MR","Sort=A","Dates=H","DateFormat=P","Fill=—","Direction=H","UseDPDF=Y")</f>
        <v>98.132000000000005</v>
      </c>
      <c r="U35" s="14">
        <f>_xll.BDH("NBIX US Equity","BEST_GROSS_MARGIN","FQ4 2023","FQ4 2023","Currency=USD","Period=FQ","BEST_FPERIOD_OVERRIDE=FQ","FILING_STATUS=MR","Sort=A","Dates=H","DateFormat=P","Fill=—","Direction=H","UseDPDF=Y")</f>
        <v>98.183000000000007</v>
      </c>
      <c r="V35" s="14">
        <f>_xll.BDH("NBIX US Equity","BEST_GROSS_MARGIN","FQ1 2024","FQ1 2024","Currency=USD","Period=FQ","BEST_FPERIOD_OVERRIDE=FQ","FILING_STATUS=MR","Sort=A","Dates=H","DateFormat=P","Fill=—","Direction=H","UseDPDF=Y")</f>
        <v>98.128</v>
      </c>
      <c r="W35" s="14">
        <f>_xll.BDH("NBIX US Equity","BEST_GROSS_MARGIN","FQ2 2024","FQ2 2024","Currency=USD","Period=FQ","BEST_FPERIOD_OVERRIDE=FQ","FILING_STATUS=MR","Sort=A","Dates=H","DateFormat=P","Fill=—","Direction=H","UseDPDF=Y")</f>
        <v>98.22</v>
      </c>
      <c r="X35" s="14">
        <f>_xll.BDH("NBIX US Equity","BEST_GROSS_MARGIN","FQ3 2024","FQ3 2024","Currency=USD","Period=FQ","BEST_FPERIOD_OVERRIDE=FQ","FILING_STATUS=MR","Sort=A","Dates=H","DateFormat=P","Fill=—","Direction=H","UseDPDF=Y")</f>
        <v>98.305000000000007</v>
      </c>
      <c r="Y35" s="14">
        <f>_xll.BDH("NBIX US Equity","BEST_GROSS_MARGIN","FQ4 2024","FQ4 2024","Currency=USD","Period=FQ","BEST_FPERIOD_OVERRIDE=FQ","FILING_STATUS=MR","Sort=A","Dates=H","DateFormat=P","Fill=—","Direction=H","UseDPDF=Y")</f>
        <v>98.366</v>
      </c>
      <c r="Z35" s="14">
        <v>98.278000000000006</v>
      </c>
      <c r="AA35" s="14">
        <v>98.36</v>
      </c>
    </row>
    <row r="36" spans="1:27" x14ac:dyDescent="0.25">
      <c r="A36" s="10" t="s">
        <v>132</v>
      </c>
      <c r="B36" s="10" t="s">
        <v>151</v>
      </c>
      <c r="C36" s="13">
        <f>_xll.BDH("NBIX US Equity","IS_COMP_GROSS_MARGIN_PERCENTAGE","FQ2 2019","FQ2 2019","Currency=USD","Period=FQ","BEST_FPERIOD_OVERRIDE=FQ","FILING_STATUS=MR","Sort=A","Dates=H","DateFormat=P","Fill=—","Direction=H","UseDPDF=Y")</f>
        <v>97.470299999999995</v>
      </c>
      <c r="D36" s="13">
        <f>_xll.BDH("NBIX US Equity","IS_COMP_GROSS_MARGIN_PERCENTAGE","FQ3 2019","FQ3 2019","Currency=USD","Period=FQ","BEST_FPERIOD_OVERRIDE=FQ","FILING_STATUS=MR","Sort=A","Dates=H","DateFormat=P","Fill=—","Direction=H","UseDPDF=Y")</f>
        <v>88.190100000000001</v>
      </c>
      <c r="E36" s="13">
        <f>_xll.BDH("NBIX US Equity","IS_COMP_GROSS_MARGIN_PERCENTAGE","FQ4 2019","FQ4 2019","Currency=USD","Period=FQ","BEST_FPERIOD_OVERRIDE=FQ","FILING_STATUS=MR","Sort=A","Dates=H","DateFormat=P","Fill=—","Direction=H","UseDPDF=Y")</f>
        <v>98.975800000000007</v>
      </c>
      <c r="F36" s="13">
        <f>_xll.BDH("NBIX US Equity","IS_COMP_GROSS_MARGIN_PERCENTAGE","FQ1 2020","FQ1 2020","Currency=USD","Period=FQ","BEST_FPERIOD_OVERRIDE=FQ","FILING_STATUS=MR","Sort=A","Dates=H","DateFormat=P","Fill=—","Direction=H","UseDPDF=Y")</f>
        <v>99.1143</v>
      </c>
      <c r="G36" s="13">
        <f>_xll.BDH("NBIX US Equity","IS_COMP_GROSS_MARGIN_PERCENTAGE","FQ2 2020","FQ2 2020","Currency=USD","Period=FQ","BEST_FPERIOD_OVERRIDE=FQ","FILING_STATUS=MR","Sort=A","Dates=H","DateFormat=P","Fill=—","Direction=H","UseDPDF=Y")</f>
        <v>87.698400000000007</v>
      </c>
      <c r="H36" s="13">
        <f>_xll.BDH("NBIX US Equity","IS_COMP_GROSS_MARGIN_PERCENTAGE","FQ3 2020","FQ3 2020","Currency=USD","Period=FQ","BEST_FPERIOD_OVERRIDE=FQ","FILING_STATUS=MR","Sort=A","Dates=H","DateFormat=P","Fill=—","Direction=H","UseDPDF=Y")</f>
        <v>99.342399999999998</v>
      </c>
      <c r="I36" s="13">
        <f>_xll.BDH("NBIX US Equity","IS_COMP_GROSS_MARGIN_PERCENTAGE","FQ4 2020","FQ4 2020","Currency=USD","Period=FQ","BEST_FPERIOD_OVERRIDE=FQ","FILING_STATUS=MR","Sort=A","Dates=H","DateFormat=P","Fill=—","Direction=H","UseDPDF=Y")</f>
        <v>98.830200000000005</v>
      </c>
      <c r="J36" s="13">
        <f>_xll.BDH("NBIX US Equity","IS_COMP_GROSS_MARGIN_PERCENTAGE","FQ1 2021","FQ1 2021","Currency=USD","Period=FQ","BEST_FPERIOD_OVERRIDE=FQ","FILING_STATUS=MR","Sort=A","Dates=H","DateFormat=P","Fill=—","Direction=H","UseDPDF=Y")</f>
        <v>98.774299999999997</v>
      </c>
      <c r="K36" s="13">
        <f>_xll.BDH("NBIX US Equity","IS_COMP_GROSS_MARGIN_PERCENTAGE","FQ2 2021","FQ2 2021","Currency=USD","Period=FQ","BEST_FPERIOD_OVERRIDE=FQ","FILING_STATUS=MR","Sort=A","Dates=H","DateFormat=P","Fill=—","Direction=H","UseDPDF=Y")</f>
        <v>98.927000000000007</v>
      </c>
      <c r="L36" s="13">
        <f>_xll.BDH("NBIX US Equity","IS_COMP_GROSS_MARGIN_PERCENTAGE","FQ3 2021","FQ3 2021","Currency=USD","Period=FQ","BEST_FPERIOD_OVERRIDE=FQ","FILING_STATUS=MR","Sort=A","Dates=H","DateFormat=P","Fill=—","Direction=H","UseDPDF=Y")</f>
        <v>98.581100000000006</v>
      </c>
      <c r="M36" s="13">
        <f>_xll.BDH("NBIX US Equity","IS_COMP_GROSS_MARGIN_PERCENTAGE","FQ4 2021","FQ4 2021","Currency=USD","Period=FQ","BEST_FPERIOD_OVERRIDE=FQ","FILING_STATUS=MR","Sort=A","Dates=H","DateFormat=P","Fill=—","Direction=H","UseDPDF=Y")</f>
        <v>98.685900000000004</v>
      </c>
      <c r="N36" s="13">
        <f>_xll.BDH("NBIX US Equity","IS_COMP_GROSS_MARGIN_PERCENTAGE","FQ1 2022","FQ1 2022","Currency=USD","Period=FQ","BEST_FPERIOD_OVERRIDE=FQ","FILING_STATUS=MR","Sort=A","Dates=H","DateFormat=P","Fill=—","Direction=H","UseDPDF=Y")</f>
        <v>96.715999999999994</v>
      </c>
      <c r="O36" s="13">
        <f>_xll.BDH("NBIX US Equity","IS_COMP_GROSS_MARGIN_PERCENTAGE","FQ2 2022","FQ2 2022","Currency=USD","Period=FQ","BEST_FPERIOD_OVERRIDE=FQ","FILING_STATUS=MR","Sort=A","Dates=H","DateFormat=P","Fill=—","Direction=H","UseDPDF=Y")</f>
        <v>98.73</v>
      </c>
      <c r="P36" s="13">
        <f>_xll.BDH("NBIX US Equity","IS_COMP_GROSS_MARGIN_PERCENTAGE","FQ3 2022","FQ3 2022","Currency=USD","Period=FQ","BEST_FPERIOD_OVERRIDE=FQ","FILING_STATUS=MR","Sort=A","Dates=H","DateFormat=P","Fill=—","Direction=H","UseDPDF=Y")</f>
        <v>98.427400000000006</v>
      </c>
      <c r="Q36" s="13">
        <f>_xll.BDH("NBIX US Equity","IS_COMP_GROSS_MARGIN_PERCENTAGE","FQ4 2022","FQ4 2022","Currency=USD","Period=FQ","BEST_FPERIOD_OVERRIDE=FQ","FILING_STATUS=MR","Sort=A","Dates=H","DateFormat=P","Fill=—","Direction=H","UseDPDF=Y")</f>
        <v>98.131100000000004</v>
      </c>
      <c r="R36" s="13">
        <f>_xll.BDH("NBIX US Equity","IS_COMP_GROSS_MARGIN_PERCENTAGE","FQ1 2023","FQ1 2023","Currency=USD","Period=FQ","BEST_FPERIOD_OVERRIDE=FQ","FILING_STATUS=MR","Sort=A","Dates=H","DateFormat=P","Fill=—","Direction=H","UseDPDF=Y")</f>
        <v>97.978099999999998</v>
      </c>
      <c r="S36" s="13">
        <f>_xll.BDH("NBIX US Equity","IS_COMP_GROSS_MARGIN_PERCENTAGE","FQ2 2023","FQ2 2023","Currency=USD","Period=FQ","BEST_FPERIOD_OVERRIDE=FQ","FILING_STATUS=MR","Sort=A","Dates=H","DateFormat=P","Fill=—","Direction=H","UseDPDF=Y")</f>
        <v>97.658500000000004</v>
      </c>
      <c r="T36" s="13">
        <f>_xll.BDH("NBIX US Equity","IS_COMP_GROSS_MARGIN_PERCENTAGE","FQ3 2023","FQ3 2023","Currency=USD","Period=FQ","BEST_FPERIOD_OVERRIDE=FQ","FILING_STATUS=MR","Sort=A","Dates=H","DateFormat=P","Fill=—","Direction=H","UseDPDF=Y")</f>
        <v>97.935000000000002</v>
      </c>
      <c r="U36" s="13">
        <f>_xll.BDH("NBIX US Equity","IS_COMP_GROSS_MARGIN_PERCENTAGE","FQ4 2023","FQ4 2023","Currency=USD","Period=FQ","BEST_FPERIOD_OVERRIDE=FQ","FILING_STATUS=MR","Sort=A","Dates=H","DateFormat=P","Fill=—","Direction=H","UseDPDF=Y")</f>
        <v>98.350200000000001</v>
      </c>
      <c r="V36" s="13">
        <f>_xll.BDH("NBIX US Equity","IS_COMP_GROSS_MARGIN_PERCENTAGE","FQ1 2024","FQ1 2024","Currency=USD","Period=FQ","BEST_FPERIOD_OVERRIDE=FQ","FILING_STATUS=MR","Sort=A","Dates=H","DateFormat=P","Fill=—","Direction=H","UseDPDF=Y")</f>
        <v>98.544499999999999</v>
      </c>
      <c r="W36" s="13">
        <f>_xll.BDH("NBIX US Equity","IS_COMP_GROSS_MARGIN_PERCENTAGE","FQ2 2024","FQ2 2024","Currency=USD","Period=FQ","BEST_FPERIOD_OVERRIDE=FQ","FILING_STATUS=MR","Sort=A","Dates=H","DateFormat=P","Fill=—","Direction=H","UseDPDF=Y")</f>
        <v>98.441199999999995</v>
      </c>
      <c r="X36" s="13">
        <f>_xll.BDH("NBIX US Equity","IS_COMP_GROSS_MARGIN_PERCENTAGE","FQ3 2024","FQ3 2024","Currency=USD","Period=FQ","BEST_FPERIOD_OVERRIDE=FQ","FILING_STATUS=MR","Sort=A","Dates=H","DateFormat=P","Fill=—","Direction=H","UseDPDF=Y")</f>
        <v>98.713999999999999</v>
      </c>
      <c r="Y36" s="13">
        <f>_xll.BDH("NBIX US Equity","IS_COMP_GROSS_MARGIN_PERCENTAGE","FQ4 2024","FQ4 2024","Currency=USD","Period=FQ","BEST_FPERIOD_OVERRIDE=FQ","FILING_STATUS=MR","Sort=A","Dates=H","DateFormat=P","Fill=—","Direction=H","UseDPDF=Y")</f>
        <v>98.5184</v>
      </c>
      <c r="Z36" s="13"/>
      <c r="AA36" s="13"/>
    </row>
    <row r="37" spans="1:27" x14ac:dyDescent="0.25">
      <c r="A37" s="11" t="s">
        <v>152</v>
      </c>
      <c r="B37" s="11"/>
      <c r="C37" s="25">
        <v>0.54705281617496004</v>
      </c>
      <c r="D37" s="25">
        <v>-10.964022211004499</v>
      </c>
      <c r="E37" s="25">
        <v>2.6104092976249799E-2</v>
      </c>
      <c r="F37" s="25">
        <v>0.13264702019538799</v>
      </c>
      <c r="G37" s="25">
        <v>-11.3037542351454</v>
      </c>
      <c r="H37" s="25">
        <v>1.0470232827804999</v>
      </c>
      <c r="I37" s="25">
        <v>0.44533397024148902</v>
      </c>
      <c r="J37" s="25">
        <v>0.23879174742995299</v>
      </c>
      <c r="K37" s="25">
        <v>0.36621553071038199</v>
      </c>
      <c r="L37" s="25">
        <v>-9.6192589890150004E-2</v>
      </c>
      <c r="M37" s="25">
        <v>1.71249328563178E-2</v>
      </c>
      <c r="N37" s="25">
        <v>-1.80216161882812</v>
      </c>
      <c r="O37" s="25">
        <v>0.17858230005885301</v>
      </c>
      <c r="P37" s="25">
        <v>-0.113224205644466</v>
      </c>
      <c r="Q37" s="25">
        <v>-0.28242538792184302</v>
      </c>
      <c r="R37" s="25">
        <v>-0.42267211415330802</v>
      </c>
      <c r="S37" s="25">
        <v>-0.65159055534644195</v>
      </c>
      <c r="T37" s="25">
        <v>-0.200705172624628</v>
      </c>
      <c r="U37" s="25">
        <v>0.17024841367649601</v>
      </c>
      <c r="V37" s="25">
        <v>0.42448332789826099</v>
      </c>
      <c r="W37" s="25">
        <v>0.225214823864788</v>
      </c>
      <c r="X37" s="25">
        <v>0.41608565179796903</v>
      </c>
      <c r="Y37" s="25">
        <v>0.15493259866213699</v>
      </c>
      <c r="Z37" s="25"/>
      <c r="AA37" s="25"/>
    </row>
    <row r="38" spans="1:27" x14ac:dyDescent="0.25">
      <c r="A38" s="10" t="s">
        <v>135</v>
      </c>
      <c r="B38" s="10" t="s">
        <v>153</v>
      </c>
      <c r="C38" s="13">
        <f>_xll.BDH("NBIX US Equity","GROSS_MARGIN","FQ2 2019","FQ2 2019","Currency=USD","Period=FQ","BEST_FPERIOD_OVERRIDE=FQ","FILING_STATUS=MR","FA_ADJUSTED=GAAP","Sort=A","Dates=H","DateFormat=P","Fill=—","Direction=H","UseDPDF=Y")</f>
        <v>99.124099999999999</v>
      </c>
      <c r="D38" s="13">
        <f>_xll.BDH("NBIX US Equity","GROSS_MARGIN","FQ3 2019","FQ3 2019","Currency=USD","Period=FQ","BEST_FPERIOD_OVERRIDE=FQ","FILING_STATUS=MR","FA_ADJUSTED=GAAP","Sort=A","Dates=H","DateFormat=P","Fill=—","Direction=H","UseDPDF=Y")</f>
        <v>98.996399999999994</v>
      </c>
      <c r="E38" s="13">
        <f>_xll.BDH("NBIX US Equity","GROSS_MARGIN","FQ4 2019","FQ4 2019","Currency=USD","Period=FQ","BEST_FPERIOD_OVERRIDE=FQ","FILING_STATUS=MR","FA_ADJUSTED=GAAP","Sort=A","Dates=H","DateFormat=P","Fill=—","Direction=H","UseDPDF=Y")</f>
        <v>98.975800000000007</v>
      </c>
      <c r="F38" s="13">
        <f>_xll.BDH("NBIX US Equity","GROSS_MARGIN","FQ1 2020","FQ1 2020","Currency=USD","Period=FQ","BEST_FPERIOD_OVERRIDE=FQ","FILING_STATUS=MR","FA_ADJUSTED=GAAP","Sort=A","Dates=H","DateFormat=P","Fill=—","Direction=H","UseDPDF=Y")</f>
        <v>99.1143</v>
      </c>
      <c r="G38" s="13">
        <f>_xll.BDH("NBIX US Equity","GROSS_MARGIN","FQ2 2020","FQ2 2020","Currency=USD","Period=FQ","BEST_FPERIOD_OVERRIDE=FQ","FILING_STATUS=MR","FA_ADJUSTED=GAAP","Sort=A","Dates=H","DateFormat=P","Fill=—","Direction=H","UseDPDF=Y")</f>
        <v>99.206299999999999</v>
      </c>
      <c r="H38" s="13">
        <f>_xll.BDH("NBIX US Equity","GROSS_MARGIN","FQ3 2020","FQ3 2020","Currency=USD","Period=FQ","BEST_FPERIOD_OVERRIDE=FQ","FILING_STATUS=MR","FA_ADJUSTED=GAAP","Sort=A","Dates=H","DateFormat=P","Fill=—","Direction=H","UseDPDF=Y")</f>
        <v>98.955500000000001</v>
      </c>
      <c r="I38" s="13">
        <f>_xll.BDH("NBIX US Equity","GROSS_MARGIN","FQ4 2020","FQ4 2020","Currency=USD","Period=FQ","BEST_FPERIOD_OVERRIDE=FQ","FILING_STATUS=MR","FA_ADJUSTED=GAAP","Sort=A","Dates=H","DateFormat=P","Fill=—","Direction=H","UseDPDF=Y")</f>
        <v>98.830200000000005</v>
      </c>
      <c r="J38" s="13">
        <f>_xll.BDH("NBIX US Equity","GROSS_MARGIN","FQ1 2021","FQ1 2021","Currency=USD","Period=FQ","BEST_FPERIOD_OVERRIDE=FQ","FILING_STATUS=MR","FA_ADJUSTED=GAAP","Sort=A","Dates=H","DateFormat=P","Fill=—","Direction=H","UseDPDF=Y")</f>
        <v>98.774299999999997</v>
      </c>
      <c r="K38" s="13">
        <f>_xll.BDH("NBIX US Equity","GROSS_MARGIN","FQ2 2021","FQ2 2021","Currency=USD","Period=FQ","BEST_FPERIOD_OVERRIDE=FQ","FILING_STATUS=MR","FA_ADJUSTED=GAAP","Sort=A","Dates=H","DateFormat=P","Fill=—","Direction=H","UseDPDF=Y")</f>
        <v>98.927000000000007</v>
      </c>
      <c r="L38" s="13">
        <f>_xll.BDH("NBIX US Equity","GROSS_MARGIN","FQ3 2021","FQ3 2021","Currency=USD","Period=FQ","BEST_FPERIOD_OVERRIDE=FQ","FILING_STATUS=MR","FA_ADJUSTED=GAAP","Sort=A","Dates=H","DateFormat=P","Fill=—","Direction=H","UseDPDF=Y")</f>
        <v>98.581100000000006</v>
      </c>
      <c r="M38" s="13">
        <f>_xll.BDH("NBIX US Equity","GROSS_MARGIN","FQ4 2021","FQ4 2021","Currency=USD","Period=FQ","BEST_FPERIOD_OVERRIDE=FQ","FILING_STATUS=MR","FA_ADJUSTED=GAAP","Sort=A","Dates=H","DateFormat=P","Fill=—","Direction=H","UseDPDF=Y")</f>
        <v>98.685900000000004</v>
      </c>
      <c r="N38" s="13">
        <f>_xll.BDH("NBIX US Equity","GROSS_MARGIN","FQ1 2022","FQ1 2022","Currency=USD","Period=FQ","BEST_FPERIOD_OVERRIDE=FQ","FILING_STATUS=MR","FA_ADJUSTED=GAAP","Sort=A","Dates=H","DateFormat=P","Fill=—","Direction=H","UseDPDF=Y")</f>
        <v>98.519000000000005</v>
      </c>
      <c r="O38" s="13">
        <f>_xll.BDH("NBIX US Equity","GROSS_MARGIN","FQ2 2022","FQ2 2022","Currency=USD","Period=FQ","BEST_FPERIOD_OVERRIDE=FQ","FILING_STATUS=MR","FA_ADJUSTED=GAAP","Sort=A","Dates=H","DateFormat=P","Fill=—","Direction=H","UseDPDF=Y")</f>
        <v>98.730800000000002</v>
      </c>
      <c r="P38" s="13">
        <f>_xll.BDH("NBIX US Equity","GROSS_MARGIN","FQ3 2022","FQ3 2022","Currency=USD","Period=FQ","BEST_FPERIOD_OVERRIDE=FQ","FILING_STATUS=MR","FA_ADJUSTED=GAAP","Sort=A","Dates=H","DateFormat=P","Fill=—","Direction=H","UseDPDF=Y")</f>
        <v>98.427400000000006</v>
      </c>
      <c r="Q38" s="13">
        <f>_xll.BDH("NBIX US Equity","GROSS_MARGIN","FQ4 2022","FQ4 2022","Currency=USD","Period=FQ","BEST_FPERIOD_OVERRIDE=FQ","FILING_STATUS=MR","FA_ADJUSTED=GAAP","Sort=A","Dates=H","DateFormat=P","Fill=—","Direction=H","UseDPDF=Y")</f>
        <v>98.131100000000004</v>
      </c>
      <c r="R38" s="13">
        <f>_xll.BDH("NBIX US Equity","GROSS_MARGIN","FQ1 2023","FQ1 2023","Currency=USD","Period=FQ","BEST_FPERIOD_OVERRIDE=FQ","FILING_STATUS=MR","FA_ADJUSTED=GAAP","Sort=A","Dates=H","DateFormat=P","Fill=—","Direction=H","UseDPDF=Y")</f>
        <v>97.978099999999998</v>
      </c>
      <c r="S38" s="13">
        <f>_xll.BDH("NBIX US Equity","GROSS_MARGIN","FQ2 2023","FQ2 2023","Currency=USD","Period=FQ","BEST_FPERIOD_OVERRIDE=FQ","FILING_STATUS=MR","FA_ADJUSTED=GAAP","Sort=A","Dates=H","DateFormat=P","Fill=—","Direction=H","UseDPDF=Y")</f>
        <v>97.459699999999998</v>
      </c>
      <c r="T38" s="13">
        <f>_xll.BDH("NBIX US Equity","GROSS_MARGIN","FQ3 2023","FQ3 2023","Currency=USD","Period=FQ","BEST_FPERIOD_OVERRIDE=FQ","FILING_STATUS=MR","FA_ADJUSTED=GAAP","Sort=A","Dates=H","DateFormat=P","Fill=—","Direction=H","UseDPDF=Y")</f>
        <v>97.754599999999996</v>
      </c>
      <c r="U38" s="13">
        <f>_xll.BDH("NBIX US Equity","GROSS_MARGIN","FQ4 2023","FQ4 2023","Currency=USD","Period=FQ","BEST_FPERIOD_OVERRIDE=FQ","FILING_STATUS=MR","FA_ADJUSTED=GAAP","Sort=A","Dates=H","DateFormat=P","Fill=—","Direction=H","UseDPDF=Y")</f>
        <v>98.350200000000001</v>
      </c>
      <c r="V38" s="13">
        <f>_xll.BDH("NBIX US Equity","GROSS_MARGIN","FQ1 2024","FQ1 2024","Currency=USD","Period=FQ","BEST_FPERIOD_OVERRIDE=FQ","FILING_STATUS=MR","FA_ADJUSTED=GAAP","Sort=A","Dates=H","DateFormat=P","Fill=—","Direction=H","UseDPDF=Y")</f>
        <v>98.544499999999999</v>
      </c>
      <c r="W38" s="13">
        <f>_xll.BDH("NBIX US Equity","GROSS_MARGIN","FQ2 2024","FQ2 2024","Currency=USD","Period=FQ","BEST_FPERIOD_OVERRIDE=FQ","FILING_STATUS=MR","FA_ADJUSTED=GAAP","Sort=A","Dates=H","DateFormat=P","Fill=—","Direction=H","UseDPDF=Y")</f>
        <v>98.441199999999995</v>
      </c>
      <c r="X38" s="13">
        <f>_xll.BDH("NBIX US Equity","GROSS_MARGIN","FQ3 2024","FQ3 2024","Currency=USD","Period=FQ","BEST_FPERIOD_OVERRIDE=FQ","FILING_STATUS=MR","FA_ADJUSTED=GAAP","Sort=A","Dates=H","DateFormat=P","Fill=—","Direction=H","UseDPDF=Y")</f>
        <v>98.713999999999999</v>
      </c>
      <c r="Y38" s="13">
        <f>_xll.BDH("NBIX US Equity","GROSS_MARGIN","FQ4 2024","FQ4 2024","Currency=USD","Period=FQ","BEST_FPERIOD_OVERRIDE=FQ","FILING_STATUS=MR","FA_ADJUSTED=GAAP","Sort=A","Dates=H","DateFormat=P","Fill=—","Direction=H","UseDPDF=Y")</f>
        <v>98.5184</v>
      </c>
      <c r="Z38" s="13"/>
      <c r="AA38" s="13"/>
    </row>
    <row r="39" spans="1:27" x14ac:dyDescent="0.25">
      <c r="A39" s="10" t="s">
        <v>136</v>
      </c>
      <c r="B39" s="10" t="s">
        <v>153</v>
      </c>
      <c r="C39" s="13">
        <f>_xll.BDH("NBIX US Equity","GROSS_MARGIN","FQ2 2019","FQ2 2019","Currency=USD","Period=FQ","BEST_FPERIOD_OVERRIDE=FQ","FILING_STATUS=MR","FA_ADJUSTED=Adjusted","Sort=A","Dates=H","DateFormat=P","Fill=—","Direction=H","UseDPDF=Y")</f>
        <v>99.124099999999999</v>
      </c>
      <c r="D39" s="13">
        <f>_xll.BDH("NBIX US Equity","GROSS_MARGIN","FQ3 2019","FQ3 2019","Currency=USD","Period=FQ","BEST_FPERIOD_OVERRIDE=FQ","FILING_STATUS=MR","FA_ADJUSTED=Adjusted","Sort=A","Dates=H","DateFormat=P","Fill=—","Direction=H","UseDPDF=Y")</f>
        <v>98.996399999999994</v>
      </c>
      <c r="E39" s="13">
        <f>_xll.BDH("NBIX US Equity","GROSS_MARGIN","FQ4 2019","FQ4 2019","Currency=USD","Period=FQ","BEST_FPERIOD_OVERRIDE=FQ","FILING_STATUS=MR","FA_ADJUSTED=Adjusted","Sort=A","Dates=H","DateFormat=P","Fill=—","Direction=H","UseDPDF=Y")</f>
        <v>98.975800000000007</v>
      </c>
      <c r="F39" s="13">
        <f>_xll.BDH("NBIX US Equity","GROSS_MARGIN","FQ1 2020","FQ1 2020","Currency=USD","Period=FQ","BEST_FPERIOD_OVERRIDE=FQ","FILING_STATUS=MR","FA_ADJUSTED=Adjusted","Sort=A","Dates=H","DateFormat=P","Fill=—","Direction=H","UseDPDF=Y")</f>
        <v>99.1143</v>
      </c>
      <c r="G39" s="13">
        <f>_xll.BDH("NBIX US Equity","GROSS_MARGIN","FQ2 2020","FQ2 2020","Currency=USD","Period=FQ","BEST_FPERIOD_OVERRIDE=FQ","FILING_STATUS=MR","FA_ADJUSTED=Adjusted","Sort=A","Dates=H","DateFormat=P","Fill=—","Direction=H","UseDPDF=Y")</f>
        <v>99.206299999999999</v>
      </c>
      <c r="H39" s="13">
        <f>_xll.BDH("NBIX US Equity","GROSS_MARGIN","FQ3 2020","FQ3 2020","Currency=USD","Period=FQ","BEST_FPERIOD_OVERRIDE=FQ","FILING_STATUS=MR","FA_ADJUSTED=Adjusted","Sort=A","Dates=H","DateFormat=P","Fill=—","Direction=H","UseDPDF=Y")</f>
        <v>98.955500000000001</v>
      </c>
      <c r="I39" s="13">
        <f>_xll.BDH("NBIX US Equity","GROSS_MARGIN","FQ4 2020","FQ4 2020","Currency=USD","Period=FQ","BEST_FPERIOD_OVERRIDE=FQ","FILING_STATUS=MR","FA_ADJUSTED=Adjusted","Sort=A","Dates=H","DateFormat=P","Fill=—","Direction=H","UseDPDF=Y")</f>
        <v>98.830200000000005</v>
      </c>
      <c r="J39" s="13">
        <f>_xll.BDH("NBIX US Equity","GROSS_MARGIN","FQ1 2021","FQ1 2021","Currency=USD","Period=FQ","BEST_FPERIOD_OVERRIDE=FQ","FILING_STATUS=MR","FA_ADJUSTED=Adjusted","Sort=A","Dates=H","DateFormat=P","Fill=—","Direction=H","UseDPDF=Y")</f>
        <v>98.774299999999997</v>
      </c>
      <c r="K39" s="13">
        <f>_xll.BDH("NBIX US Equity","GROSS_MARGIN","FQ2 2021","FQ2 2021","Currency=USD","Period=FQ","BEST_FPERIOD_OVERRIDE=FQ","FILING_STATUS=MR","FA_ADJUSTED=Adjusted","Sort=A","Dates=H","DateFormat=P","Fill=—","Direction=H","UseDPDF=Y")</f>
        <v>98.927000000000007</v>
      </c>
      <c r="L39" s="13">
        <f>_xll.BDH("NBIX US Equity","GROSS_MARGIN","FQ3 2021","FQ3 2021","Currency=USD","Period=FQ","BEST_FPERIOD_OVERRIDE=FQ","FILING_STATUS=MR","FA_ADJUSTED=Adjusted","Sort=A","Dates=H","DateFormat=P","Fill=—","Direction=H","UseDPDF=Y")</f>
        <v>98.581100000000006</v>
      </c>
      <c r="M39" s="13">
        <f>_xll.BDH("NBIX US Equity","GROSS_MARGIN","FQ4 2021","FQ4 2021","Currency=USD","Period=FQ","BEST_FPERIOD_OVERRIDE=FQ","FILING_STATUS=MR","FA_ADJUSTED=Adjusted","Sort=A","Dates=H","DateFormat=P","Fill=—","Direction=H","UseDPDF=Y")</f>
        <v>98.685900000000004</v>
      </c>
      <c r="N39" s="13">
        <f>_xll.BDH("NBIX US Equity","GROSS_MARGIN","FQ1 2022","FQ1 2022","Currency=USD","Period=FQ","BEST_FPERIOD_OVERRIDE=FQ","FILING_STATUS=MR","FA_ADJUSTED=Adjusted","Sort=A","Dates=H","DateFormat=P","Fill=—","Direction=H","UseDPDF=Y")</f>
        <v>98.519000000000005</v>
      </c>
      <c r="O39" s="13">
        <f>_xll.BDH("NBIX US Equity","GROSS_MARGIN","FQ2 2022","FQ2 2022","Currency=USD","Period=FQ","BEST_FPERIOD_OVERRIDE=FQ","FILING_STATUS=MR","FA_ADJUSTED=Adjusted","Sort=A","Dates=H","DateFormat=P","Fill=—","Direction=H","UseDPDF=Y")</f>
        <v>98.730800000000002</v>
      </c>
      <c r="P39" s="13">
        <f>_xll.BDH("NBIX US Equity","GROSS_MARGIN","FQ3 2022","FQ3 2022","Currency=USD","Period=FQ","BEST_FPERIOD_OVERRIDE=FQ","FILING_STATUS=MR","FA_ADJUSTED=Adjusted","Sort=A","Dates=H","DateFormat=P","Fill=—","Direction=H","UseDPDF=Y")</f>
        <v>98.427400000000006</v>
      </c>
      <c r="Q39" s="13">
        <f>_xll.BDH("NBIX US Equity","GROSS_MARGIN","FQ4 2022","FQ4 2022","Currency=USD","Period=FQ","BEST_FPERIOD_OVERRIDE=FQ","FILING_STATUS=MR","FA_ADJUSTED=Adjusted","Sort=A","Dates=H","DateFormat=P","Fill=—","Direction=H","UseDPDF=Y")</f>
        <v>98.131100000000004</v>
      </c>
      <c r="R39" s="13">
        <f>_xll.BDH("NBIX US Equity","GROSS_MARGIN","FQ1 2023","FQ1 2023","Currency=USD","Period=FQ","BEST_FPERIOD_OVERRIDE=FQ","FILING_STATUS=MR","FA_ADJUSTED=Adjusted","Sort=A","Dates=H","DateFormat=P","Fill=—","Direction=H","UseDPDF=Y")</f>
        <v>97.978099999999998</v>
      </c>
      <c r="S39" s="13">
        <f>_xll.BDH("NBIX US Equity","GROSS_MARGIN","FQ2 2023","FQ2 2023","Currency=USD","Period=FQ","BEST_FPERIOD_OVERRIDE=FQ","FILING_STATUS=MR","FA_ADJUSTED=Adjusted","Sort=A","Dates=H","DateFormat=P","Fill=—","Direction=H","UseDPDF=Y")</f>
        <v>97.459699999999998</v>
      </c>
      <c r="T39" s="13">
        <f>_xll.BDH("NBIX US Equity","GROSS_MARGIN","FQ3 2023","FQ3 2023","Currency=USD","Period=FQ","BEST_FPERIOD_OVERRIDE=FQ","FILING_STATUS=MR","FA_ADJUSTED=Adjusted","Sort=A","Dates=H","DateFormat=P","Fill=—","Direction=H","UseDPDF=Y")</f>
        <v>97.754599999999996</v>
      </c>
      <c r="U39" s="13">
        <f>_xll.BDH("NBIX US Equity","GROSS_MARGIN","FQ4 2023","FQ4 2023","Currency=USD","Period=FQ","BEST_FPERIOD_OVERRIDE=FQ","FILING_STATUS=MR","FA_ADJUSTED=Adjusted","Sort=A","Dates=H","DateFormat=P","Fill=—","Direction=H","UseDPDF=Y")</f>
        <v>98.350200000000001</v>
      </c>
      <c r="V39" s="13">
        <f>_xll.BDH("NBIX US Equity","GROSS_MARGIN","FQ1 2024","FQ1 2024","Currency=USD","Period=FQ","BEST_FPERIOD_OVERRIDE=FQ","FILING_STATUS=MR","FA_ADJUSTED=Adjusted","Sort=A","Dates=H","DateFormat=P","Fill=—","Direction=H","UseDPDF=Y")</f>
        <v>98.544499999999999</v>
      </c>
      <c r="W39" s="13">
        <f>_xll.BDH("NBIX US Equity","GROSS_MARGIN","FQ2 2024","FQ2 2024","Currency=USD","Period=FQ","BEST_FPERIOD_OVERRIDE=FQ","FILING_STATUS=MR","FA_ADJUSTED=Adjusted","Sort=A","Dates=H","DateFormat=P","Fill=—","Direction=H","UseDPDF=Y")</f>
        <v>98.441199999999995</v>
      </c>
      <c r="X39" s="13">
        <f>_xll.BDH("NBIX US Equity","GROSS_MARGIN","FQ3 2024","FQ3 2024","Currency=USD","Period=FQ","BEST_FPERIOD_OVERRIDE=FQ","FILING_STATUS=MR","FA_ADJUSTED=Adjusted","Sort=A","Dates=H","DateFormat=P","Fill=—","Direction=H","UseDPDF=Y")</f>
        <v>98.713999999999999</v>
      </c>
      <c r="Y39" s="13">
        <f>_xll.BDH("NBIX US Equity","GROSS_MARGIN","FQ4 2024","FQ4 2024","Currency=USD","Period=FQ","BEST_FPERIOD_OVERRIDE=FQ","FILING_STATUS=MR","FA_ADJUSTED=Adjusted","Sort=A","Dates=H","DateFormat=P","Fill=—","Direction=H","UseDPDF=Y")</f>
        <v>98.5184</v>
      </c>
      <c r="Z39" s="13"/>
      <c r="AA39" s="13"/>
    </row>
    <row r="40" spans="1:27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6" t="s">
        <v>154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130</v>
      </c>
      <c r="B42" s="10" t="s">
        <v>155</v>
      </c>
      <c r="C42" s="13">
        <f>_xll.BDH("NBIX US Equity","BEST_PTP","FQ2 2019","FQ2 2019","Currency=USD","Period=FQ","BEST_FPERIOD_OVERRIDE=FQ","FILING_STATUS=MR","Sort=A","Dates=H","DateFormat=P","Fill=—","Direction=H","UseDPDF=Y")</f>
        <v>6.367</v>
      </c>
      <c r="D42" s="13">
        <f>_xll.BDH("NBIX US Equity","BEST_PTP","FQ3 2019","FQ3 2019","Currency=USD","Period=FQ","BEST_FPERIOD_OVERRIDE=FQ","FILING_STATUS=MR","Sort=A","Dates=H","DateFormat=P","Fill=—","Direction=H","UseDPDF=Y")</f>
        <v>63.75</v>
      </c>
      <c r="E42" s="13">
        <f>_xll.BDH("NBIX US Equity","BEST_PTP","FQ4 2019","FQ4 2019","Currency=USD","Period=FQ","BEST_FPERIOD_OVERRIDE=FQ","FILING_STATUS=MR","Sort=A","Dates=H","DateFormat=P","Fill=—","Direction=H","UseDPDF=Y")</f>
        <v>76.736000000000004</v>
      </c>
      <c r="F42" s="13">
        <f>_xll.BDH("NBIX US Equity","BEST_PTP","FQ1 2020","FQ1 2020","Currency=USD","Period=FQ","BEST_FPERIOD_OVERRIDE=FQ","FILING_STATUS=MR","Sort=A","Dates=H","DateFormat=P","Fill=—","Direction=H","UseDPDF=Y")</f>
        <v>55.64</v>
      </c>
      <c r="G42" s="13">
        <f>_xll.BDH("NBIX US Equity","BEST_PTP","FQ2 2020","FQ2 2020","Currency=USD","Period=FQ","BEST_FPERIOD_OVERRIDE=FQ","FILING_STATUS=MR","Sort=A","Dates=H","DateFormat=P","Fill=—","Direction=H","UseDPDF=Y")</f>
        <v>75.994</v>
      </c>
      <c r="H42" s="13">
        <f>_xll.BDH("NBIX US Equity","BEST_PTP","FQ3 2020","FQ3 2020","Currency=USD","Period=FQ","BEST_FPERIOD_OVERRIDE=FQ","FILING_STATUS=MR","Sort=A","Dates=H","DateFormat=P","Fill=—","Direction=H","UseDPDF=Y")</f>
        <v>13.46</v>
      </c>
      <c r="I42" s="13">
        <f>_xll.BDH("NBIX US Equity","BEST_PTP","FQ4 2020","FQ4 2020","Currency=USD","Period=FQ","BEST_FPERIOD_OVERRIDE=FQ","FILING_STATUS=MR","Sort=A","Dates=H","DateFormat=P","Fill=—","Direction=H","UseDPDF=Y")</f>
        <v>57.35</v>
      </c>
      <c r="J42" s="13">
        <f>_xll.BDH("NBIX US Equity","BEST_PTP","FQ1 2021","FQ1 2021","Currency=USD","Period=FQ","BEST_FPERIOD_OVERRIDE=FQ","FILING_STATUS=MR","Sort=A","Dates=H","DateFormat=P","Fill=—","Direction=H","UseDPDF=Y")</f>
        <v>63.494</v>
      </c>
      <c r="K42" s="13">
        <f>_xll.BDH("NBIX US Equity","BEST_PTP","FQ2 2021","FQ2 2021","Currency=USD","Period=FQ","BEST_FPERIOD_OVERRIDE=FQ","FILING_STATUS=MR","Sort=A","Dates=H","DateFormat=P","Fill=—","Direction=H","UseDPDF=Y")</f>
        <v>59.134999999999998</v>
      </c>
      <c r="L42" s="13">
        <f>_xll.BDH("NBIX US Equity","BEST_PTP","FQ3 2021","FQ3 2021","Currency=USD","Period=FQ","BEST_FPERIOD_OVERRIDE=FQ","FILING_STATUS=MR","Sort=A","Dates=H","DateFormat=P","Fill=—","Direction=H","UseDPDF=Y")</f>
        <v>69.388000000000005</v>
      </c>
      <c r="M42" s="13">
        <f>_xll.BDH("NBIX US Equity","BEST_PTP","FQ4 2021","FQ4 2021","Currency=USD","Period=FQ","BEST_FPERIOD_OVERRIDE=FQ","FILING_STATUS=MR","Sort=A","Dates=H","DateFormat=P","Fill=—","Direction=H","UseDPDF=Y")</f>
        <v>74.113</v>
      </c>
      <c r="N42" s="13">
        <f>_xll.BDH("NBIX US Equity","BEST_PTP","FQ1 2022","FQ1 2022","Currency=USD","Period=FQ","BEST_FPERIOD_OVERRIDE=FQ","FILING_STATUS=MR","Sort=A","Dates=H","DateFormat=P","Fill=—","Direction=H","UseDPDF=Y")</f>
        <v>31.885000000000002</v>
      </c>
      <c r="O42" s="13">
        <f>_xll.BDH("NBIX US Equity","BEST_PTP","FQ2 2022","FQ2 2022","Currency=USD","Period=FQ","BEST_FPERIOD_OVERRIDE=FQ","FILING_STATUS=MR","Sort=A","Dates=H","DateFormat=P","Fill=—","Direction=H","UseDPDF=Y")</f>
        <v>65.171000000000006</v>
      </c>
      <c r="P42" s="13">
        <f>_xll.BDH("NBIX US Equity","BEST_PTP","FQ3 2022","FQ3 2022","Currency=USD","Period=FQ","BEST_FPERIOD_OVERRIDE=FQ","FILING_STATUS=MR","Sort=A","Dates=H","DateFormat=P","Fill=—","Direction=H","UseDPDF=Y")</f>
        <v>94.7</v>
      </c>
      <c r="Q42" s="13">
        <f>_xll.BDH("NBIX US Equity","BEST_PTP","FQ4 2022","FQ4 2022","Currency=USD","Period=FQ","BEST_FPERIOD_OVERRIDE=FQ","FILING_STATUS=MR","Sort=A","Dates=H","DateFormat=P","Fill=—","Direction=H","UseDPDF=Y")</f>
        <v>136.5</v>
      </c>
      <c r="R42" s="13">
        <f>_xll.BDH("NBIX US Equity","BEST_PTP","FQ1 2023","FQ1 2023","Currency=USD","Period=FQ","BEST_FPERIOD_OVERRIDE=FQ","FILING_STATUS=MR","Sort=A","Dates=H","DateFormat=P","Fill=—","Direction=H","UseDPDF=Y")</f>
        <v>39.159999999999997</v>
      </c>
      <c r="S42" s="13">
        <f>_xll.BDH("NBIX US Equity","BEST_PTP","FQ2 2023","FQ2 2023","Currency=USD","Period=FQ","BEST_FPERIOD_OVERRIDE=FQ","FILING_STATUS=MR","Sort=A","Dates=H","DateFormat=P","Fill=—","Direction=H","UseDPDF=Y")</f>
        <v>105.14400000000001</v>
      </c>
      <c r="T42" s="13">
        <f>_xll.BDH("NBIX US Equity","BEST_PTP","FQ3 2023","FQ3 2023","Currency=USD","Period=FQ","BEST_FPERIOD_OVERRIDE=FQ","FILING_STATUS=MR","Sort=A","Dates=H","DateFormat=P","Fill=—","Direction=H","UseDPDF=Y")</f>
        <v>131.286</v>
      </c>
      <c r="U42" s="13">
        <f>_xll.BDH("NBIX US Equity","BEST_PTP","FQ4 2023","FQ4 2023","Currency=USD","Period=FQ","BEST_FPERIOD_OVERRIDE=FQ","FILING_STATUS=MR","Sort=A","Dates=H","DateFormat=P","Fill=—","Direction=H","UseDPDF=Y")</f>
        <v>165.23099999999999</v>
      </c>
      <c r="V42" s="13">
        <f>_xll.BDH("NBIX US Equity","BEST_PTP","FQ1 2024","FQ1 2024","Currency=USD","Period=FQ","BEST_FPERIOD_OVERRIDE=FQ","FILING_STATUS=MR","Sort=A","Dates=H","DateFormat=P","Fill=—","Direction=H","UseDPDF=Y")</f>
        <v>126.694</v>
      </c>
      <c r="W42" s="13">
        <f>_xll.BDH("NBIX US Equity","BEST_PTP","FQ2 2024","FQ2 2024","Currency=USD","Period=FQ","BEST_FPERIOD_OVERRIDE=FQ","FILING_STATUS=MR","Sort=A","Dates=H","DateFormat=P","Fill=—","Direction=H","UseDPDF=Y")</f>
        <v>145.482</v>
      </c>
      <c r="X42" s="13">
        <f>_xll.BDH("NBIX US Equity","BEST_PTP","FQ3 2024","FQ3 2024","Currency=USD","Period=FQ","BEST_FPERIOD_OVERRIDE=FQ","FILING_STATUS=MR","Sort=A","Dates=H","DateFormat=P","Fill=—","Direction=H","UseDPDF=Y")</f>
        <v>199.68799999999999</v>
      </c>
      <c r="Y42" s="13">
        <f>_xll.BDH("NBIX US Equity","BEST_PTP","FQ4 2024","FQ4 2024","Currency=USD","Period=FQ","BEST_FPERIOD_OVERRIDE=FQ","FILING_STATUS=MR","Sort=A","Dates=H","DateFormat=P","Fill=—","Direction=H","UseDPDF=Y")</f>
        <v>205.286</v>
      </c>
      <c r="Z42" s="13">
        <v>112.71899999999999</v>
      </c>
      <c r="AA42" s="13">
        <v>130.94399999999999</v>
      </c>
    </row>
    <row r="43" spans="1:27" x14ac:dyDescent="0.25">
      <c r="A43" s="10" t="s">
        <v>132</v>
      </c>
      <c r="B43" s="10" t="s">
        <v>156</v>
      </c>
      <c r="C43" s="13">
        <f>_xll.BDH("NBIX US Equity","IS_COMP_PTP_EX_STK_BASED_COMP","FQ2 2019","FQ2 2019","Currency=USD","Period=FQ","BEST_FPERIOD_OVERRIDE=FQ","FILING_STATUS=MR","SCALING_FORMAT=MLN","Sort=A","Dates=H","DateFormat=P","Fill=—","Direction=H","UseDPDF=Y")</f>
        <v>52.091000000000001</v>
      </c>
      <c r="D43" s="13">
        <f>_xll.BDH("NBIX US Equity","IS_COMP_PTP_EX_STK_BASED_COMP","FQ3 2019","FQ3 2019","Currency=USD","Period=FQ","BEST_FPERIOD_OVERRIDE=FQ","FILING_STATUS=MR","SCALING_FORMAT=MLN","Sort=A","Dates=H","DateFormat=P","Fill=—","Direction=H","UseDPDF=Y")</f>
        <v>58.406999999999996</v>
      </c>
      <c r="E43" s="13">
        <f>_xll.BDH("NBIX US Equity","IS_COMP_PTP_EX_STK_BASED_COMP","FQ4 2019","FQ4 2019","Currency=USD","Period=FQ","BEST_FPERIOD_OVERRIDE=FQ","FILING_STATUS=MR","SCALING_FORMAT=MLN","Sort=A","Dates=H","DateFormat=P","Fill=—","Direction=H","UseDPDF=Y")</f>
        <v>38.6</v>
      </c>
      <c r="F43" s="13">
        <f>_xll.BDH("NBIX US Equity","IS_COMP_PTP_EX_STK_BASED_COMP","FQ1 2020","FQ1 2020","Currency=USD","Period=FQ","BEST_FPERIOD_OVERRIDE=FQ","FILING_STATUS=MR","SCALING_FORMAT=MLN","Sort=A","Dates=H","DateFormat=P","Fill=—","Direction=H","UseDPDF=Y")</f>
        <v>38.9</v>
      </c>
      <c r="G43" s="13">
        <f>_xll.BDH("NBIX US Equity","IS_COMP_PTP_EX_STK_BASED_COMP","FQ2 2020","FQ2 2020","Currency=USD","Period=FQ","BEST_FPERIOD_OVERRIDE=FQ","FILING_STATUS=MR","SCALING_FORMAT=MLN","Sort=A","Dates=H","DateFormat=P","Fill=—","Direction=H","UseDPDF=Y")</f>
        <v>142.80000000000001</v>
      </c>
      <c r="H43" s="13">
        <f>_xll.BDH("NBIX US Equity","IS_COMP_PTP_EX_STK_BASED_COMP","FQ3 2020","FQ3 2020","Currency=USD","Period=FQ","BEST_FPERIOD_OVERRIDE=FQ","FILING_STATUS=MR","SCALING_FORMAT=MLN","Sort=A","Dates=H","DateFormat=P","Fill=—","Direction=H","UseDPDF=Y")</f>
        <v>-57.1</v>
      </c>
      <c r="I43" s="13">
        <f>_xll.BDH("NBIX US Equity","IS_COMP_PTP_EX_STK_BASED_COMP","FQ4 2020","FQ4 2020","Currency=USD","Period=FQ","BEST_FPERIOD_OVERRIDE=FQ","FILING_STATUS=MR","SCALING_FORMAT=MLN","Sort=A","Dates=H","DateFormat=P","Fill=—","Direction=H","UseDPDF=Y")</f>
        <v>41.7</v>
      </c>
      <c r="J43" s="13">
        <f>_xll.BDH("NBIX US Equity","IS_COMP_PTP_EX_STK_BASED_COMP","FQ1 2021","FQ1 2021","Currency=USD","Period=FQ","BEST_FPERIOD_OVERRIDE=FQ","FILING_STATUS=MR","SCALING_FORMAT=MLN","Sort=A","Dates=H","DateFormat=P","Fill=—","Direction=H","UseDPDF=Y")</f>
        <v>27.2</v>
      </c>
      <c r="K43" s="13">
        <f>_xll.BDH("NBIX US Equity","IS_COMP_PTP_EX_STK_BASED_COMP","FQ2 2021","FQ2 2021","Currency=USD","Period=FQ","BEST_FPERIOD_OVERRIDE=FQ","FILING_STATUS=MR","SCALING_FORMAT=MLN","Sort=A","Dates=H","DateFormat=P","Fill=—","Direction=H","UseDPDF=Y")</f>
        <v>57.5</v>
      </c>
      <c r="L43" s="13">
        <f>_xll.BDH("NBIX US Equity","IS_COMP_PTP_EX_STK_BASED_COMP","FQ3 2021","FQ3 2021","Currency=USD","Period=FQ","BEST_FPERIOD_OVERRIDE=FQ","FILING_STATUS=MR","SCALING_FORMAT=MLN","Sort=A","Dates=H","DateFormat=P","Fill=—","Direction=H","UseDPDF=Y")</f>
        <v>30.5</v>
      </c>
      <c r="M43" s="13">
        <f>_xll.BDH("NBIX US Equity","IS_COMP_PTP_EX_STK_BASED_COMP","FQ4 2021","FQ4 2021","Currency=USD","Period=FQ","BEST_FPERIOD_OVERRIDE=FQ","FILING_STATUS=MR","SCALING_FORMAT=MLN","Sort=A","Dates=H","DateFormat=P","Fill=—","Direction=H","UseDPDF=Y")</f>
        <v>-13.8</v>
      </c>
      <c r="N43" s="13">
        <f>_xll.BDH("NBIX US Equity","IS_COMP_PTP_EX_STK_BASED_COMP","FQ1 2022","FQ1 2022","Currency=USD","Period=FQ","BEST_FPERIOD_OVERRIDE=FQ","FILING_STATUS=MR","SCALING_FORMAT=MLN","Sort=A","Dates=H","DateFormat=P","Fill=—","Direction=H","UseDPDF=Y")</f>
        <v>21.4</v>
      </c>
      <c r="O43" s="13">
        <f>_xll.BDH("NBIX US Equity","IS_COMP_PTP_EX_STK_BASED_COMP","FQ2 2022","FQ2 2022","Currency=USD","Period=FQ","BEST_FPERIOD_OVERRIDE=FQ","FILING_STATUS=MR","SCALING_FORMAT=MLN","Sort=A","Dates=H","DateFormat=P","Fill=—","Direction=H","UseDPDF=Y")</f>
        <v>-23.3</v>
      </c>
      <c r="P43" s="13">
        <f>_xll.BDH("NBIX US Equity","IS_COMP_PTP_EX_STK_BASED_COMP","FQ3 2022","FQ3 2022","Currency=USD","Period=FQ","BEST_FPERIOD_OVERRIDE=FQ","FILING_STATUS=MR","SCALING_FORMAT=MLN","Sort=A","Dates=H","DateFormat=P","Fill=—","Direction=H","UseDPDF=Y")</f>
        <v>97.9</v>
      </c>
      <c r="Q43" s="13">
        <f>_xll.BDH("NBIX US Equity","IS_COMP_PTP_EX_STK_BASED_COMP","FQ4 2022","FQ4 2022","Currency=USD","Period=FQ","BEST_FPERIOD_OVERRIDE=FQ","FILING_STATUS=MR","SCALING_FORMAT=MLN","Sort=A","Dates=H","DateFormat=P","Fill=—","Direction=H","UseDPDF=Y")</f>
        <v>117.9</v>
      </c>
      <c r="R43" s="13">
        <f>_xll.BDH("NBIX US Equity","IS_COMP_PTP_EX_STK_BASED_COMP","FQ1 2023","FQ1 2023","Currency=USD","Period=FQ","BEST_FPERIOD_OVERRIDE=FQ","FILING_STATUS=MR","SCALING_FORMAT=MLN","Sort=A","Dates=H","DateFormat=P","Fill=—","Direction=H","UseDPDF=Y")</f>
        <v>-103.3</v>
      </c>
      <c r="S43" s="13">
        <f>_xll.BDH("NBIX US Equity","IS_COMP_PTP_EX_STK_BASED_COMP","FQ2 2023","FQ2 2023","Currency=USD","Period=FQ","BEST_FPERIOD_OVERRIDE=FQ","FILING_STATUS=MR","SCALING_FORMAT=MLN","Sort=A","Dates=H","DateFormat=P","Fill=—","Direction=H","UseDPDF=Y")</f>
        <v>121.6</v>
      </c>
      <c r="T43" s="13">
        <f>_xll.BDH("NBIX US Equity","IS_COMP_PTP_EX_STK_BASED_COMP","FQ3 2023","FQ3 2023","Currency=USD","Period=FQ","BEST_FPERIOD_OVERRIDE=FQ","FILING_STATUS=MR","SCALING_FORMAT=MLN","Sort=A","Dates=H","DateFormat=P","Fill=—","Direction=H","UseDPDF=Y")</f>
        <v>115.6</v>
      </c>
      <c r="U43" s="13">
        <f>_xll.BDH("NBIX US Equity","IS_COMP_PTP_EX_STK_BASED_COMP","FQ4 2023","FQ4 2023","Currency=USD","Period=FQ","BEST_FPERIOD_OVERRIDE=FQ","FILING_STATUS=MR","SCALING_FORMAT=MLN","Sort=A","Dates=H","DateFormat=P","Fill=—","Direction=H","UseDPDF=Y")</f>
        <v>198.2</v>
      </c>
      <c r="V43" s="13">
        <f>_xll.BDH("NBIX US Equity","IS_COMP_PTP_EX_STK_BASED_COMP","FQ1 2024","FQ1 2024","Currency=USD","Period=FQ","BEST_FPERIOD_OVERRIDE=FQ","FILING_STATUS=MR","SCALING_FORMAT=MLN","Sort=A","Dates=H","DateFormat=P","Fill=—","Direction=H","UseDPDF=Y")</f>
        <v>34.5</v>
      </c>
      <c r="W43" s="13">
        <f>_xll.BDH("NBIX US Equity","IS_COMP_PTP_EX_STK_BASED_COMP","FQ2 2024","FQ2 2024","Currency=USD","Period=FQ","BEST_FPERIOD_OVERRIDE=FQ","FILING_STATUS=MR","SCALING_FORMAT=MLN","Sort=A","Dates=H","DateFormat=P","Fill=—","Direction=H","UseDPDF=Y")</f>
        <v>98.6</v>
      </c>
      <c r="X43" s="13">
        <f>_xll.BDH("NBIX US Equity","IS_COMP_PTP_EX_STK_BASED_COMP","FQ3 2024","FQ3 2024","Currency=USD","Period=FQ","BEST_FPERIOD_OVERRIDE=FQ","FILING_STATUS=MR","SCALING_FORMAT=MLN","Sort=A","Dates=H","DateFormat=P","Fill=—","Direction=H","UseDPDF=Y")</f>
        <v>190.3</v>
      </c>
      <c r="Y43" s="13">
        <f>_xll.BDH("NBIX US Equity","IS_COMP_PTP_EX_STK_BASED_COMP","FQ4 2024","FQ4 2024","Currency=USD","Period=FQ","BEST_FPERIOD_OVERRIDE=FQ","FILING_STATUS=MR","SCALING_FORMAT=MLN","Sort=A","Dates=H","DateFormat=P","Fill=—","Direction=H","UseDPDF=Y")</f>
        <v>162.6</v>
      </c>
      <c r="Z43" s="13"/>
      <c r="AA43" s="13"/>
    </row>
    <row r="44" spans="1:27" x14ac:dyDescent="0.25">
      <c r="A44" s="11" t="s">
        <v>157</v>
      </c>
      <c r="B44" s="11"/>
      <c r="C44" s="25">
        <v>718.14041149677996</v>
      </c>
      <c r="D44" s="25">
        <v>-8.3811764705882403</v>
      </c>
      <c r="E44" s="25">
        <v>-49.6976647206005</v>
      </c>
      <c r="F44" s="25">
        <v>-30.0862688713156</v>
      </c>
      <c r="G44" s="25">
        <v>87.909571808300697</v>
      </c>
      <c r="H44" s="25" t="s">
        <v>141</v>
      </c>
      <c r="I44" s="25">
        <v>-27.288578901482101</v>
      </c>
      <c r="J44" s="25">
        <v>-57.161306580149301</v>
      </c>
      <c r="K44" s="25">
        <v>-2.7648600659507898</v>
      </c>
      <c r="L44" s="25">
        <v>-56.044272784919599</v>
      </c>
      <c r="M44" s="25" t="s">
        <v>141</v>
      </c>
      <c r="N44" s="25">
        <v>-32.883801160420298</v>
      </c>
      <c r="O44" s="25" t="s">
        <v>141</v>
      </c>
      <c r="P44" s="25">
        <v>3.3790918690601899</v>
      </c>
      <c r="Q44" s="25">
        <v>-13.626373626373599</v>
      </c>
      <c r="R44" s="25" t="s">
        <v>141</v>
      </c>
      <c r="S44" s="25">
        <v>15.6509168378604</v>
      </c>
      <c r="T44" s="25">
        <v>-11.9479609402373</v>
      </c>
      <c r="U44" s="25">
        <v>19.953277532666402</v>
      </c>
      <c r="V44" s="25">
        <v>-72.769034050547006</v>
      </c>
      <c r="W44" s="25">
        <v>-32.225292476045098</v>
      </c>
      <c r="X44" s="25">
        <v>-4.7013340811666096</v>
      </c>
      <c r="Y44" s="25">
        <v>-20.793429654238501</v>
      </c>
      <c r="Z44" s="25"/>
      <c r="AA44" s="25"/>
    </row>
    <row r="45" spans="1:27" x14ac:dyDescent="0.25">
      <c r="A45" s="10" t="s">
        <v>135</v>
      </c>
      <c r="B45" s="10" t="s">
        <v>158</v>
      </c>
      <c r="C45" s="13">
        <f>_xll.BDH("NBIX US Equity","PRETAX_INC","FQ2 2019","FQ2 2019","Currency=USD","Period=FQ","BEST_FPERIOD_OVERRIDE=FQ","FILING_STATUS=MR","SCALING_FORMAT=MLN","FA_ADJUSTED=GAAP","Sort=A","Dates=H","DateFormat=P","Fill=—","Direction=H","UseDPDF=Y")</f>
        <v>52.091000000000001</v>
      </c>
      <c r="D45" s="13">
        <f>_xll.BDH("NBIX US Equity","PRETAX_INC","FQ3 2019","FQ3 2019","Currency=USD","Period=FQ","BEST_FPERIOD_OVERRIDE=FQ","FILING_STATUS=MR","SCALING_FORMAT=MLN","FA_ADJUSTED=GAAP","Sort=A","Dates=H","DateFormat=P","Fill=—","Direction=H","UseDPDF=Y")</f>
        <v>58.406999999999996</v>
      </c>
      <c r="E45" s="13">
        <f>_xll.BDH("NBIX US Equity","PRETAX_INC","FQ4 2019","FQ4 2019","Currency=USD","Period=FQ","BEST_FPERIOD_OVERRIDE=FQ","FILING_STATUS=MR","SCALING_FORMAT=MLN","FA_ADJUSTED=GAAP","Sort=A","Dates=H","DateFormat=P","Fill=—","Direction=H","UseDPDF=Y")</f>
        <v>38.6</v>
      </c>
      <c r="F45" s="13">
        <f>_xll.BDH("NBIX US Equity","PRETAX_INC","FQ1 2020","FQ1 2020","Currency=USD","Period=FQ","BEST_FPERIOD_OVERRIDE=FQ","FILING_STATUS=MR","SCALING_FORMAT=MLN","FA_ADJUSTED=GAAP","Sort=A","Dates=H","DateFormat=P","Fill=—","Direction=H","UseDPDF=Y")</f>
        <v>38.9</v>
      </c>
      <c r="G45" s="13">
        <f>_xll.BDH("NBIX US Equity","PRETAX_INC","FQ2 2020","FQ2 2020","Currency=USD","Period=FQ","BEST_FPERIOD_OVERRIDE=FQ","FILING_STATUS=MR","SCALING_FORMAT=MLN","FA_ADJUSTED=GAAP","Sort=A","Dates=H","DateFormat=P","Fill=—","Direction=H","UseDPDF=Y")</f>
        <v>83.2</v>
      </c>
      <c r="H45" s="13">
        <f>_xll.BDH("NBIX US Equity","PRETAX_INC","FQ3 2020","FQ3 2020","Currency=USD","Period=FQ","BEST_FPERIOD_OVERRIDE=FQ","FILING_STATUS=MR","SCALING_FORMAT=MLN","FA_ADJUSTED=GAAP","Sort=A","Dates=H","DateFormat=P","Fill=—","Direction=H","UseDPDF=Y")</f>
        <v>-57.1</v>
      </c>
      <c r="I45" s="13">
        <f>_xll.BDH("NBIX US Equity","PRETAX_INC","FQ4 2020","FQ4 2020","Currency=USD","Period=FQ","BEST_FPERIOD_OVERRIDE=FQ","FILING_STATUS=MR","SCALING_FORMAT=MLN","FA_ADJUSTED=GAAP","Sort=A","Dates=H","DateFormat=P","Fill=—","Direction=H","UseDPDF=Y")</f>
        <v>41.7</v>
      </c>
      <c r="J45" s="13">
        <f>_xll.BDH("NBIX US Equity","PRETAX_INC","FQ1 2021","FQ1 2021","Currency=USD","Period=FQ","BEST_FPERIOD_OVERRIDE=FQ","FILING_STATUS=MR","SCALING_FORMAT=MLN","FA_ADJUSTED=GAAP","Sort=A","Dates=H","DateFormat=P","Fill=—","Direction=H","UseDPDF=Y")</f>
        <v>27.2</v>
      </c>
      <c r="K45" s="13">
        <f>_xll.BDH("NBIX US Equity","PRETAX_INC","FQ2 2021","FQ2 2021","Currency=USD","Period=FQ","BEST_FPERIOD_OVERRIDE=FQ","FILING_STATUS=MR","SCALING_FORMAT=MLN","FA_ADJUSTED=GAAP","Sort=A","Dates=H","DateFormat=P","Fill=—","Direction=H","UseDPDF=Y")</f>
        <v>57.5</v>
      </c>
      <c r="L45" s="13">
        <f>_xll.BDH("NBIX US Equity","PRETAX_INC","FQ3 2021","FQ3 2021","Currency=USD","Period=FQ","BEST_FPERIOD_OVERRIDE=FQ","FILING_STATUS=MR","SCALING_FORMAT=MLN","FA_ADJUSTED=GAAP","Sort=A","Dates=H","DateFormat=P","Fill=—","Direction=H","UseDPDF=Y")</f>
        <v>30.5</v>
      </c>
      <c r="M45" s="13">
        <f>_xll.BDH("NBIX US Equity","PRETAX_INC","FQ4 2021","FQ4 2021","Currency=USD","Period=FQ","BEST_FPERIOD_OVERRIDE=FQ","FILING_STATUS=MR","SCALING_FORMAT=MLN","FA_ADJUSTED=GAAP","Sort=A","Dates=H","DateFormat=P","Fill=—","Direction=H","UseDPDF=Y")</f>
        <v>-13.8</v>
      </c>
      <c r="N45" s="13">
        <f>_xll.BDH("NBIX US Equity","PRETAX_INC","FQ1 2022","FQ1 2022","Currency=USD","Period=FQ","BEST_FPERIOD_OVERRIDE=FQ","FILING_STATUS=MR","SCALING_FORMAT=MLN","FA_ADJUSTED=GAAP","Sort=A","Dates=H","DateFormat=P","Fill=—","Direction=H","UseDPDF=Y")</f>
        <v>21.4</v>
      </c>
      <c r="O45" s="13">
        <f>_xll.BDH("NBIX US Equity","PRETAX_INC","FQ2 2022","FQ2 2022","Currency=USD","Period=FQ","BEST_FPERIOD_OVERRIDE=FQ","FILING_STATUS=MR","SCALING_FORMAT=MLN","FA_ADJUSTED=GAAP","Sort=A","Dates=H","DateFormat=P","Fill=—","Direction=H","UseDPDF=Y")</f>
        <v>-23.3</v>
      </c>
      <c r="P45" s="13">
        <f>_xll.BDH("NBIX US Equity","PRETAX_INC","FQ3 2022","FQ3 2022","Currency=USD","Period=FQ","BEST_FPERIOD_OVERRIDE=FQ","FILING_STATUS=MR","SCALING_FORMAT=MLN","FA_ADJUSTED=GAAP","Sort=A","Dates=H","DateFormat=P","Fill=—","Direction=H","UseDPDF=Y")</f>
        <v>97.9</v>
      </c>
      <c r="Q45" s="13">
        <f>_xll.BDH("NBIX US Equity","PRETAX_INC","FQ4 2022","FQ4 2022","Currency=USD","Period=FQ","BEST_FPERIOD_OVERRIDE=FQ","FILING_STATUS=MR","SCALING_FORMAT=MLN","FA_ADJUSTED=GAAP","Sort=A","Dates=H","DateFormat=P","Fill=—","Direction=H","UseDPDF=Y")</f>
        <v>117.9</v>
      </c>
      <c r="R45" s="13">
        <f>_xll.BDH("NBIX US Equity","PRETAX_INC","FQ1 2023","FQ1 2023","Currency=USD","Period=FQ","BEST_FPERIOD_OVERRIDE=FQ","FILING_STATUS=MR","SCALING_FORMAT=MLN","FA_ADJUSTED=GAAP","Sort=A","Dates=H","DateFormat=P","Fill=—","Direction=H","UseDPDF=Y")</f>
        <v>-103.3</v>
      </c>
      <c r="S45" s="13">
        <f>_xll.BDH("NBIX US Equity","PRETAX_INC","FQ2 2023","FQ2 2023","Currency=USD","Period=FQ","BEST_FPERIOD_OVERRIDE=FQ","FILING_STATUS=MR","SCALING_FORMAT=MLN","FA_ADJUSTED=GAAP","Sort=A","Dates=H","DateFormat=P","Fill=—","Direction=H","UseDPDF=Y")</f>
        <v>121.6</v>
      </c>
      <c r="T45" s="13">
        <f>_xll.BDH("NBIX US Equity","PRETAX_INC","FQ3 2023","FQ3 2023","Currency=USD","Period=FQ","BEST_FPERIOD_OVERRIDE=FQ","FILING_STATUS=MR","SCALING_FORMAT=MLN","FA_ADJUSTED=GAAP","Sort=A","Dates=H","DateFormat=P","Fill=—","Direction=H","UseDPDF=Y")</f>
        <v>115.6</v>
      </c>
      <c r="U45" s="13">
        <f>_xll.BDH("NBIX US Equity","PRETAX_INC","FQ4 2023","FQ4 2023","Currency=USD","Period=FQ","BEST_FPERIOD_OVERRIDE=FQ","FILING_STATUS=MR","SCALING_FORMAT=MLN","FA_ADJUSTED=GAAP","Sort=A","Dates=H","DateFormat=P","Fill=—","Direction=H","UseDPDF=Y")</f>
        <v>198.2</v>
      </c>
      <c r="V45" s="13">
        <f>_xll.BDH("NBIX US Equity","PRETAX_INC","FQ1 2024","FQ1 2024","Currency=USD","Period=FQ","BEST_FPERIOD_OVERRIDE=FQ","FILING_STATUS=MR","SCALING_FORMAT=MLN","FA_ADJUSTED=GAAP","Sort=A","Dates=H","DateFormat=P","Fill=—","Direction=H","UseDPDF=Y")</f>
        <v>34.5</v>
      </c>
      <c r="W45" s="13">
        <f>_xll.BDH("NBIX US Equity","PRETAX_INC","FQ2 2024","FQ2 2024","Currency=USD","Period=FQ","BEST_FPERIOD_OVERRIDE=FQ","FILING_STATUS=MR","SCALING_FORMAT=MLN","FA_ADJUSTED=GAAP","Sort=A","Dates=H","DateFormat=P","Fill=—","Direction=H","UseDPDF=Y")</f>
        <v>98.6</v>
      </c>
      <c r="X45" s="13">
        <f>_xll.BDH("NBIX US Equity","PRETAX_INC","FQ3 2024","FQ3 2024","Currency=USD","Period=FQ","BEST_FPERIOD_OVERRIDE=FQ","FILING_STATUS=MR","SCALING_FORMAT=MLN","FA_ADJUSTED=GAAP","Sort=A","Dates=H","DateFormat=P","Fill=—","Direction=H","UseDPDF=Y")</f>
        <v>190.3</v>
      </c>
      <c r="Y45" s="13">
        <f>_xll.BDH("NBIX US Equity","PRETAX_INC","FQ4 2024","FQ4 2024","Currency=USD","Period=FQ","BEST_FPERIOD_OVERRIDE=FQ","FILING_STATUS=MR","SCALING_FORMAT=MLN","FA_ADJUSTED=GAAP","Sort=A","Dates=H","DateFormat=P","Fill=—","Direction=H","UseDPDF=Y")</f>
        <v>162.6</v>
      </c>
      <c r="Z45" s="13"/>
      <c r="AA45" s="13"/>
    </row>
    <row r="46" spans="1:27" x14ac:dyDescent="0.25">
      <c r="A46" s="10" t="s">
        <v>136</v>
      </c>
      <c r="B46" s="10" t="s">
        <v>158</v>
      </c>
      <c r="C46" s="13">
        <f>_xll.BDH("NBIX US Equity","PRETAX_INC","FQ2 2019","FQ2 2019","Currency=USD","Period=FQ","BEST_FPERIOD_OVERRIDE=FQ","FILING_STATUS=MR","SCALING_FORMAT=MLN","FA_ADJUSTED=Adjusted","Sort=A","Dates=H","DateFormat=P","Fill=—","Direction=H","UseDPDF=Y")</f>
        <v>36.125999999999998</v>
      </c>
      <c r="D46" s="13">
        <f>_xll.BDH("NBIX US Equity","PRETAX_INC","FQ3 2019","FQ3 2019","Currency=USD","Period=FQ","BEST_FPERIOD_OVERRIDE=FQ","FILING_STATUS=MR","SCALING_FORMAT=MLN","FA_ADJUSTED=Adjusted","Sort=A","Dates=H","DateFormat=P","Fill=—","Direction=H","UseDPDF=Y")</f>
        <v>86.856999999999999</v>
      </c>
      <c r="E46" s="13">
        <f>_xll.BDH("NBIX US Equity","PRETAX_INC","FQ4 2019","FQ4 2019","Currency=USD","Period=FQ","BEST_FPERIOD_OVERRIDE=FQ","FILING_STATUS=MR","SCALING_FORMAT=MLN","FA_ADJUSTED=Adjusted","Sort=A","Dates=H","DateFormat=P","Fill=—","Direction=H","UseDPDF=Y")</f>
        <v>82</v>
      </c>
      <c r="F46" s="13">
        <f>_xll.BDH("NBIX US Equity","PRETAX_INC","FQ1 2020","FQ1 2020","Currency=USD","Period=FQ","BEST_FPERIOD_OVERRIDE=FQ","FILING_STATUS=MR","SCALING_FORMAT=MLN","FA_ADJUSTED=Adjusted","Sort=A","Dates=H","DateFormat=P","Fill=—","Direction=H","UseDPDF=Y")</f>
        <v>55.4</v>
      </c>
      <c r="G46" s="13">
        <f>_xll.BDH("NBIX US Equity","PRETAX_INC","FQ2 2020","FQ2 2020","Currency=USD","Period=FQ","BEST_FPERIOD_OVERRIDE=FQ","FILING_STATUS=MR","SCALING_FORMAT=MLN","FA_ADJUSTED=Adjusted","Sort=A","Dates=H","DateFormat=P","Fill=—","Direction=H","UseDPDF=Y")</f>
        <v>117.9</v>
      </c>
      <c r="H46" s="13">
        <f>_xll.BDH("NBIX US Equity","PRETAX_INC","FQ3 2020","FQ3 2020","Currency=USD","Period=FQ","BEST_FPERIOD_OVERRIDE=FQ","FILING_STATUS=MR","SCALING_FORMAT=MLN","FA_ADJUSTED=Adjusted","Sort=A","Dates=H","DateFormat=P","Fill=—","Direction=H","UseDPDF=Y")</f>
        <v>68.400000000000006</v>
      </c>
      <c r="I46" s="13">
        <f>_xll.BDH("NBIX US Equity","PRETAX_INC","FQ4 2020","FQ4 2020","Currency=USD","Period=FQ","BEST_FPERIOD_OVERRIDE=FQ","FILING_STATUS=MR","SCALING_FORMAT=MLN","FA_ADJUSTED=Adjusted","Sort=A","Dates=H","DateFormat=P","Fill=—","Direction=H","UseDPDF=Y")</f>
        <v>65.599999999999994</v>
      </c>
      <c r="J46" s="13">
        <f>_xll.BDH("NBIX US Equity","PRETAX_INC","FQ1 2021","FQ1 2021","Currency=USD","Period=FQ","BEST_FPERIOD_OVERRIDE=FQ","FILING_STATUS=MR","SCALING_FORMAT=MLN","FA_ADJUSTED=Adjusted","Sort=A","Dates=H","DateFormat=P","Fill=—","Direction=H","UseDPDF=Y")</f>
        <v>26.5</v>
      </c>
      <c r="K46" s="13">
        <f>_xll.BDH("NBIX US Equity","PRETAX_INC","FQ2 2021","FQ2 2021","Currency=USD","Period=FQ","BEST_FPERIOD_OVERRIDE=FQ","FILING_STATUS=MR","SCALING_FORMAT=MLN","FA_ADJUSTED=Adjusted","Sort=A","Dates=H","DateFormat=P","Fill=—","Direction=H","UseDPDF=Y")</f>
        <v>62.5</v>
      </c>
      <c r="L46" s="13">
        <f>_xll.BDH("NBIX US Equity","PRETAX_INC","FQ3 2021","FQ3 2021","Currency=USD","Period=FQ","BEST_FPERIOD_OVERRIDE=FQ","FILING_STATUS=MR","SCALING_FORMAT=MLN","FA_ADJUSTED=Adjusted","Sort=A","Dates=H","DateFormat=P","Fill=—","Direction=H","UseDPDF=Y")</f>
        <v>38.700000000000003</v>
      </c>
      <c r="M46" s="13">
        <f>_xll.BDH("NBIX US Equity","PRETAX_INC","FQ4 2021","FQ4 2021","Currency=USD","Period=FQ","BEST_FPERIOD_OVERRIDE=FQ","FILING_STATUS=MR","SCALING_FORMAT=MLN","FA_ADJUSTED=Adjusted","Sort=A","Dates=H","DateFormat=P","Fill=—","Direction=H","UseDPDF=Y")</f>
        <v>58.1</v>
      </c>
      <c r="N46" s="13">
        <f>_xll.BDH("NBIX US Equity","PRETAX_INC","FQ1 2022","FQ1 2022","Currency=USD","Period=FQ","BEST_FPERIOD_OVERRIDE=FQ","FILING_STATUS=MR","SCALING_FORMAT=MLN","FA_ADJUSTED=Adjusted","Sort=A","Dates=H","DateFormat=P","Fill=—","Direction=H","UseDPDF=Y")</f>
        <v>1.5</v>
      </c>
      <c r="O46" s="13">
        <f>_xll.BDH("NBIX US Equity","PRETAX_INC","FQ2 2022","FQ2 2022","Currency=USD","Period=FQ","BEST_FPERIOD_OVERRIDE=FQ","FILING_STATUS=MR","SCALING_FORMAT=MLN","FA_ADJUSTED=Adjusted","Sort=A","Dates=H","DateFormat=P","Fill=—","Direction=H","UseDPDF=Y")</f>
        <v>-15.9</v>
      </c>
      <c r="P46" s="13">
        <f>_xll.BDH("NBIX US Equity","PRETAX_INC","FQ3 2022","FQ3 2022","Currency=USD","Period=FQ","BEST_FPERIOD_OVERRIDE=FQ","FILING_STATUS=MR","SCALING_FORMAT=MLN","FA_ADJUSTED=Adjusted","Sort=A","Dates=H","DateFormat=P","Fill=—","Direction=H","UseDPDF=Y")</f>
        <v>109</v>
      </c>
      <c r="Q46" s="13">
        <f>_xll.BDH("NBIX US Equity","PRETAX_INC","FQ4 2022","FQ4 2022","Currency=USD","Period=FQ","BEST_FPERIOD_OVERRIDE=FQ","FILING_STATUS=MR","SCALING_FORMAT=MLN","FA_ADJUSTED=Adjusted","Sort=A","Dates=H","DateFormat=P","Fill=—","Direction=H","UseDPDF=Y")</f>
        <v>112.4</v>
      </c>
      <c r="R46" s="13">
        <f>_xll.BDH("NBIX US Equity","PRETAX_INC","FQ1 2023","FQ1 2023","Currency=USD","Period=FQ","BEST_FPERIOD_OVERRIDE=FQ","FILING_STATUS=MR","SCALING_FORMAT=MLN","FA_ADJUSTED=Adjusted","Sort=A","Dates=H","DateFormat=P","Fill=—","Direction=H","UseDPDF=Y")</f>
        <v>38.4</v>
      </c>
      <c r="S46" s="13">
        <f>_xll.BDH("NBIX US Equity","PRETAX_INC","FQ2 2023","FQ2 2023","Currency=USD","Period=FQ","BEST_FPERIOD_OVERRIDE=FQ","FILING_STATUS=MR","SCALING_FORMAT=MLN","FA_ADJUSTED=Adjusted","Sort=A","Dates=H","DateFormat=P","Fill=—","Direction=H","UseDPDF=Y")</f>
        <v>84.3</v>
      </c>
      <c r="T46" s="13">
        <f>_xll.BDH("NBIX US Equity","PRETAX_INC","FQ3 2023","FQ3 2023","Currency=USD","Period=FQ","BEST_FPERIOD_OVERRIDE=FQ","FILING_STATUS=MR","SCALING_FORMAT=MLN","FA_ADJUSTED=Adjusted","Sort=A","Dates=H","DateFormat=P","Fill=—","Direction=H","UseDPDF=Y")</f>
        <v>159.6</v>
      </c>
      <c r="U46" s="13">
        <f>_xll.BDH("NBIX US Equity","PRETAX_INC","FQ4 2023","FQ4 2023","Currency=USD","Period=FQ","BEST_FPERIOD_OVERRIDE=FQ","FILING_STATUS=MR","SCALING_FORMAT=MLN","FA_ADJUSTED=Adjusted","Sort=A","Dates=H","DateFormat=P","Fill=—","Direction=H","UseDPDF=Y")</f>
        <v>169.2</v>
      </c>
      <c r="V46" s="13">
        <f>_xll.BDH("NBIX US Equity","PRETAX_INC","FQ1 2024","FQ1 2024","Currency=USD","Period=FQ","BEST_FPERIOD_OVERRIDE=FQ","FILING_STATUS=MR","SCALING_FORMAT=MLN","FA_ADJUSTED=Adjusted","Sort=A","Dates=H","DateFormat=P","Fill=—","Direction=H","UseDPDF=Y")</f>
        <v>38.9</v>
      </c>
      <c r="W46" s="13">
        <f>_xll.BDH("NBIX US Equity","PRETAX_INC","FQ2 2024","FQ2 2024","Currency=USD","Period=FQ","BEST_FPERIOD_OVERRIDE=FQ","FILING_STATUS=MR","SCALING_FORMAT=MLN","FA_ADJUSTED=Adjusted","Sort=A","Dates=H","DateFormat=P","Fill=—","Direction=H","UseDPDF=Y")</f>
        <v>234.4</v>
      </c>
      <c r="X46" s="13">
        <f>_xll.BDH("NBIX US Equity","PRETAX_INC","FQ3 2024","FQ3 2024","Currency=USD","Period=FQ","BEST_FPERIOD_OVERRIDE=FQ","FILING_STATUS=MR","SCALING_FORMAT=MLN","FA_ADJUSTED=Adjusted","Sort=A","Dates=H","DateFormat=P","Fill=—","Direction=H","UseDPDF=Y")</f>
        <v>208.2</v>
      </c>
      <c r="Y46" s="13">
        <f>_xll.BDH("NBIX US Equity","PRETAX_INC","FQ4 2024","FQ4 2024","Currency=USD","Period=FQ","BEST_FPERIOD_OVERRIDE=FQ","FILING_STATUS=MR","SCALING_FORMAT=MLN","FA_ADJUSTED=Adjusted","Sort=A","Dates=H","DateFormat=P","Fill=—","Direction=H","UseDPDF=Y")</f>
        <v>167.5</v>
      </c>
      <c r="Z46" s="13"/>
      <c r="AA46" s="13"/>
    </row>
    <row r="47" spans="1:27" x14ac:dyDescent="0.25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6" t="s">
        <v>159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130</v>
      </c>
      <c r="B49" s="10" t="s">
        <v>160</v>
      </c>
      <c r="C49" s="13">
        <f>_xll.BDH("NBIX US Equity","BEST_NET_INCOME","FQ2 2019","FQ2 2019","Currency=USD","Period=FQ","BEST_FPERIOD_OVERRIDE=FQ","FILING_STATUS=MR","Sort=A","Dates=H","DateFormat=P","Fill=—","Direction=H","UseDPDF=Y")</f>
        <v>8.1539999999999999</v>
      </c>
      <c r="D49" s="13">
        <f>_xll.BDH("NBIX US Equity","BEST_NET_INCOME","FQ3 2019","FQ3 2019","Currency=USD","Period=FQ","BEST_FPERIOD_OVERRIDE=FQ","FILING_STATUS=MR","Sort=A","Dates=H","DateFormat=P","Fill=—","Direction=H","UseDPDF=Y")</f>
        <v>63.530999999999999</v>
      </c>
      <c r="E49" s="13">
        <f>_xll.BDH("NBIX US Equity","BEST_NET_INCOME","FQ4 2019","FQ4 2019","Currency=USD","Period=FQ","BEST_FPERIOD_OVERRIDE=FQ","FILING_STATUS=MR","Sort=A","Dates=H","DateFormat=P","Fill=—","Direction=H","UseDPDF=Y")</f>
        <v>73.069000000000003</v>
      </c>
      <c r="F49" s="13">
        <f>_xll.BDH("NBIX US Equity","BEST_NET_INCOME","FQ1 2020","FQ1 2020","Currency=USD","Period=FQ","BEST_FPERIOD_OVERRIDE=FQ","FILING_STATUS=MR","Sort=A","Dates=H","DateFormat=P","Fill=—","Direction=H","UseDPDF=Y")</f>
        <v>51.273000000000003</v>
      </c>
      <c r="G49" s="13">
        <f>_xll.BDH("NBIX US Equity","BEST_NET_INCOME","FQ2 2020","FQ2 2020","Currency=USD","Period=FQ","BEST_FPERIOD_OVERRIDE=FQ","FILING_STATUS=MR","Sort=A","Dates=H","DateFormat=P","Fill=—","Direction=H","UseDPDF=Y")</f>
        <v>73.475999999999999</v>
      </c>
      <c r="H49" s="13">
        <f>_xll.BDH("NBIX US Equity","BEST_NET_INCOME","FQ3 2020","FQ3 2020","Currency=USD","Period=FQ","BEST_FPERIOD_OVERRIDE=FQ","FILING_STATUS=MR","Sort=A","Dates=H","DateFormat=P","Fill=—","Direction=H","UseDPDF=Y")</f>
        <v>37.847000000000001</v>
      </c>
      <c r="I49" s="13">
        <f>_xll.BDH("NBIX US Equity","BEST_NET_INCOME","FQ4 2020","FQ4 2020","Currency=USD","Period=FQ","BEST_FPERIOD_OVERRIDE=FQ","FILING_STATUS=MR","Sort=A","Dates=H","DateFormat=P","Fill=—","Direction=H","UseDPDF=Y")</f>
        <v>87.088999999999999</v>
      </c>
      <c r="J49" s="13">
        <f>_xll.BDH("NBIX US Equity","BEST_NET_INCOME","FQ1 2021","FQ1 2021","Currency=USD","Period=FQ","BEST_FPERIOD_OVERRIDE=FQ","FILING_STATUS=MR","Sort=A","Dates=H","DateFormat=P","Fill=—","Direction=H","UseDPDF=Y")</f>
        <v>72.77</v>
      </c>
      <c r="K49" s="13">
        <f>_xll.BDH("NBIX US Equity","BEST_NET_INCOME","FQ2 2021","FQ2 2021","Currency=USD","Period=FQ","BEST_FPERIOD_OVERRIDE=FQ","FILING_STATUS=MR","Sort=A","Dates=H","DateFormat=P","Fill=—","Direction=H","UseDPDF=Y")</f>
        <v>63.2</v>
      </c>
      <c r="L49" s="13">
        <f>_xll.BDH("NBIX US Equity","BEST_NET_INCOME","FQ3 2021","FQ3 2021","Currency=USD","Period=FQ","BEST_FPERIOD_OVERRIDE=FQ","FILING_STATUS=MR","Sort=A","Dates=H","DateFormat=P","Fill=—","Direction=H","UseDPDF=Y")</f>
        <v>68.326999999999998</v>
      </c>
      <c r="M49" s="13">
        <f>_xll.BDH("NBIX US Equity","BEST_NET_INCOME","FQ4 2021","FQ4 2021","Currency=USD","Period=FQ","BEST_FPERIOD_OVERRIDE=FQ","FILING_STATUS=MR","Sort=A","Dates=H","DateFormat=P","Fill=—","Direction=H","UseDPDF=Y")</f>
        <v>73.31</v>
      </c>
      <c r="N49" s="13">
        <f>_xll.BDH("NBIX US Equity","BEST_NET_INCOME","FQ1 2022","FQ1 2022","Currency=USD","Period=FQ","BEST_FPERIOD_OVERRIDE=FQ","FILING_STATUS=MR","Sort=A","Dates=H","DateFormat=P","Fill=—","Direction=H","UseDPDF=Y")</f>
        <v>43.064999999999998</v>
      </c>
      <c r="O49" s="13">
        <f>_xll.BDH("NBIX US Equity","BEST_NET_INCOME","FQ2 2022","FQ2 2022","Currency=USD","Period=FQ","BEST_FPERIOD_OVERRIDE=FQ","FILING_STATUS=MR","Sort=A","Dates=H","DateFormat=P","Fill=—","Direction=H","UseDPDF=Y")</f>
        <v>72.635000000000005</v>
      </c>
      <c r="P49" s="13">
        <f>_xll.BDH("NBIX US Equity","BEST_NET_INCOME","FQ3 2022","FQ3 2022","Currency=USD","Period=FQ","BEST_FPERIOD_OVERRIDE=FQ","FILING_STATUS=MR","Sort=A","Dates=H","DateFormat=P","Fill=—","Direction=H","UseDPDF=Y")</f>
        <v>87.962999999999994</v>
      </c>
      <c r="Q49" s="13">
        <f>_xll.BDH("NBIX US Equity","BEST_NET_INCOME","FQ4 2022","FQ4 2022","Currency=USD","Period=FQ","BEST_FPERIOD_OVERRIDE=FQ","FILING_STATUS=MR","Sort=A","Dates=H","DateFormat=P","Fill=—","Direction=H","UseDPDF=Y")</f>
        <v>124.595</v>
      </c>
      <c r="R49" s="13">
        <f>_xll.BDH("NBIX US Equity","BEST_NET_INCOME","FQ1 2023","FQ1 2023","Currency=USD","Period=FQ","BEST_FPERIOD_OVERRIDE=FQ","FILING_STATUS=MR","Sort=A","Dates=H","DateFormat=P","Fill=—","Direction=H","UseDPDF=Y")</f>
        <v>73.337999999999994</v>
      </c>
      <c r="S49" s="13">
        <f>_xll.BDH("NBIX US Equity","BEST_NET_INCOME","FQ2 2023","FQ2 2023","Currency=USD","Period=FQ","BEST_FPERIOD_OVERRIDE=FQ","FILING_STATUS=MR","Sort=A","Dates=H","DateFormat=P","Fill=—","Direction=H","UseDPDF=Y")</f>
        <v>104.633</v>
      </c>
      <c r="T49" s="13">
        <f>_xll.BDH("NBIX US Equity","BEST_NET_INCOME","FQ3 2023","FQ3 2023","Currency=USD","Period=FQ","BEST_FPERIOD_OVERRIDE=FQ","FILING_STATUS=MR","Sort=A","Dates=H","DateFormat=P","Fill=—","Direction=H","UseDPDF=Y")</f>
        <v>130.24100000000001</v>
      </c>
      <c r="U49" s="13">
        <f>_xll.BDH("NBIX US Equity","BEST_NET_INCOME","FQ4 2023","FQ4 2023","Currency=USD","Period=FQ","BEST_FPERIOD_OVERRIDE=FQ","FILING_STATUS=MR","Sort=A","Dates=H","DateFormat=P","Fill=—","Direction=H","UseDPDF=Y")</f>
        <v>146.41200000000001</v>
      </c>
      <c r="V49" s="13">
        <f>_xll.BDH("NBIX US Equity","BEST_NET_INCOME","FQ1 2024","FQ1 2024","Currency=USD","Period=FQ","BEST_FPERIOD_OVERRIDE=FQ","FILING_STATUS=MR","Sort=A","Dates=H","DateFormat=P","Fill=—","Direction=H","UseDPDF=Y")</f>
        <v>128.35499999999999</v>
      </c>
      <c r="W49" s="13">
        <f>_xll.BDH("NBIX US Equity","BEST_NET_INCOME","FQ2 2024","FQ2 2024","Currency=USD","Period=FQ","BEST_FPERIOD_OVERRIDE=FQ","FILING_STATUS=MR","Sort=A","Dates=H","DateFormat=P","Fill=—","Direction=H","UseDPDF=Y")</f>
        <v>159.125</v>
      </c>
      <c r="X49" s="13">
        <f>_xll.BDH("NBIX US Equity","BEST_NET_INCOME","FQ3 2024","FQ3 2024","Currency=USD","Period=FQ","BEST_FPERIOD_OVERRIDE=FQ","FILING_STATUS=MR","Sort=A","Dates=H","DateFormat=P","Fill=—","Direction=H","UseDPDF=Y")</f>
        <v>184.81299999999999</v>
      </c>
      <c r="Y49" s="13">
        <f>_xll.BDH("NBIX US Equity","BEST_NET_INCOME","FQ4 2024","FQ4 2024","Currency=USD","Period=FQ","BEST_FPERIOD_OVERRIDE=FQ","FILING_STATUS=MR","Sort=A","Dates=H","DateFormat=P","Fill=—","Direction=H","UseDPDF=Y")</f>
        <v>200.40700000000001</v>
      </c>
      <c r="Z49" s="13">
        <v>115.45</v>
      </c>
      <c r="AA49" s="13">
        <v>135.04</v>
      </c>
    </row>
    <row r="50" spans="1:27" x14ac:dyDescent="0.25">
      <c r="A50" s="10" t="s">
        <v>132</v>
      </c>
      <c r="B50" s="10" t="s">
        <v>161</v>
      </c>
      <c r="C50" s="13">
        <f>_xll.BDH("NBIX US Equity","IS_COMP_NET_INC_EXCL_STOCK_COMP","FQ2 2019","FQ2 2019","Currency=USD","Period=FQ","BEST_FPERIOD_OVERRIDE=FQ","FILING_STATUS=MR","SCALING_FORMAT=MLN","Sort=A","Dates=H","DateFormat=P","Fill=—","Direction=H","UseDPDF=Y")</f>
        <v>38.725700000000003</v>
      </c>
      <c r="D50" s="13">
        <f>_xll.BDH("NBIX US Equity","IS_COMP_NET_INC_EXCL_STOCK_COMP","FQ3 2019","FQ3 2019","Currency=USD","Period=FQ","BEST_FPERIOD_OVERRIDE=FQ","FILING_STATUS=MR","SCALING_FORMAT=MLN","Sort=A","Dates=H","DateFormat=P","Fill=—","Direction=H","UseDPDF=Y")</f>
        <v>76.264499999999998</v>
      </c>
      <c r="E50" s="13">
        <f>_xll.BDH("NBIX US Equity","IS_COMP_NET_INC_EXCL_STOCK_COMP","FQ4 2019","FQ4 2019","Currency=USD","Period=FQ","BEST_FPERIOD_OVERRIDE=FQ","FILING_STATUS=MR","SCALING_FORMAT=MLN","Sort=A","Dates=H","DateFormat=P","Fill=—","Direction=H","UseDPDF=Y")</f>
        <v>68.286000000000001</v>
      </c>
      <c r="F50" s="13">
        <f>_xll.BDH("NBIX US Equity","IS_COMP_NET_INC_EXCL_STOCK_COMP","FQ1 2020","FQ1 2020","Currency=USD","Period=FQ","BEST_FPERIOD_OVERRIDE=FQ","FILING_STATUS=MR","SCALING_FORMAT=MLN","Sort=A","Dates=H","DateFormat=P","Fill=—","Direction=H","UseDPDF=Y")</f>
        <v>50.435000000000002</v>
      </c>
      <c r="G50" s="13">
        <f>_xll.BDH("NBIX US Equity","IS_COMP_NET_INC_EXCL_STOCK_COMP","FQ2 2020","FQ2 2020","Currency=USD","Period=FQ","BEST_FPERIOD_OVERRIDE=FQ","FILING_STATUS=MR","SCALING_FORMAT=MLN","Sort=A","Dates=H","DateFormat=P","Fill=—","Direction=H","UseDPDF=Y")</f>
        <v>139.1</v>
      </c>
      <c r="H50" s="13">
        <f>_xll.BDH("NBIX US Equity","IS_COMP_NET_INC_EXCL_STOCK_COMP","FQ3 2020","FQ3 2020","Currency=USD","Period=FQ","BEST_FPERIOD_OVERRIDE=FQ","FILING_STATUS=MR","SCALING_FORMAT=MLN","Sort=A","Dates=H","DateFormat=P","Fill=—","Direction=H","UseDPDF=Y")</f>
        <v>96</v>
      </c>
      <c r="I50" s="13">
        <f>_xll.BDH("NBIX US Equity","IS_COMP_NET_INC_EXCL_STOCK_COMP","FQ4 2020","FQ4 2020","Currency=USD","Period=FQ","BEST_FPERIOD_OVERRIDE=FQ","FILING_STATUS=MR","SCALING_FORMAT=MLN","Sort=A","Dates=H","DateFormat=P","Fill=—","Direction=H","UseDPDF=Y")</f>
        <v>366.78100000000001</v>
      </c>
      <c r="J50" s="13">
        <f>_xll.BDH("NBIX US Equity","IS_COMP_NET_INC_EXCL_STOCK_COMP","FQ1 2021","FQ1 2021","Currency=USD","Period=FQ","BEST_FPERIOD_OVERRIDE=FQ","FILING_STATUS=MR","SCALING_FORMAT=MLN","Sort=A","Dates=H","DateFormat=P","Fill=—","Direction=H","UseDPDF=Y")</f>
        <v>47.9</v>
      </c>
      <c r="K50" s="13">
        <f>_xll.BDH("NBIX US Equity","IS_COMP_NET_INC_EXCL_STOCK_COMP","FQ2 2021","FQ2 2021","Currency=USD","Period=FQ","BEST_FPERIOD_OVERRIDE=FQ","FILING_STATUS=MR","SCALING_FORMAT=MLN","Sort=A","Dates=H","DateFormat=P","Fill=—","Direction=H","UseDPDF=Y")</f>
        <v>61.3</v>
      </c>
      <c r="L50" s="13">
        <f>_xll.BDH("NBIX US Equity","IS_COMP_NET_INC_EXCL_STOCK_COMP","FQ3 2021","FQ3 2021","Currency=USD","Period=FQ","BEST_FPERIOD_OVERRIDE=FQ","FILING_STATUS=MR","SCALING_FORMAT=MLN","Sort=A","Dates=H","DateFormat=P","Fill=—","Direction=H","UseDPDF=Y")</f>
        <v>62.6</v>
      </c>
      <c r="M50" s="13">
        <f>_xll.BDH("NBIX US Equity","IS_COMP_NET_INC_EXCL_STOCK_COMP","FQ4 2021","FQ4 2021","Currency=USD","Period=FQ","BEST_FPERIOD_OVERRIDE=FQ","FILING_STATUS=MR","SCALING_FORMAT=MLN","Sort=A","Dates=H","DateFormat=P","Fill=—","Direction=H","UseDPDF=Y")</f>
        <v>4.3</v>
      </c>
      <c r="N50" s="13">
        <f>_xll.BDH("NBIX US Equity","IS_COMP_NET_INC_EXCL_STOCK_COMP","FQ1 2022","FQ1 2022","Currency=USD","Period=FQ","BEST_FPERIOD_OVERRIDE=FQ","FILING_STATUS=MR","SCALING_FORMAT=MLN","Sort=A","Dates=H","DateFormat=P","Fill=—","Direction=H","UseDPDF=Y")</f>
        <v>29.7</v>
      </c>
      <c r="O50" s="13">
        <f>_xll.BDH("NBIX US Equity","IS_COMP_NET_INC_EXCL_STOCK_COMP","FQ2 2022","FQ2 2022","Currency=USD","Period=FQ","BEST_FPERIOD_OVERRIDE=FQ","FILING_STATUS=MR","SCALING_FORMAT=MLN","Sort=A","Dates=H","DateFormat=P","Fill=—","Direction=H","UseDPDF=Y")</f>
        <v>82.1</v>
      </c>
      <c r="P50" s="13">
        <f>_xll.BDH("NBIX US Equity","IS_COMP_NET_INC_EXCL_STOCK_COMP","FQ3 2022","FQ3 2022","Currency=USD","Period=FQ","BEST_FPERIOD_OVERRIDE=FQ","FILING_STATUS=MR","SCALING_FORMAT=MLN","Sort=A","Dates=H","DateFormat=P","Fill=—","Direction=H","UseDPDF=Y")</f>
        <v>106.7</v>
      </c>
      <c r="Q50" s="13">
        <f>_xll.BDH("NBIX US Equity","IS_COMP_NET_INC_EXCL_STOCK_COMP","FQ4 2022","FQ4 2022","Currency=USD","Period=FQ","BEST_FPERIOD_OVERRIDE=FQ","FILING_STATUS=MR","SCALING_FORMAT=MLN","Sort=A","Dates=H","DateFormat=P","Fill=—","Direction=H","UseDPDF=Y")</f>
        <v>124.7</v>
      </c>
      <c r="R50" s="13">
        <f>_xll.BDH("NBIX US Equity","IS_COMP_NET_INC_EXCL_STOCK_COMP","FQ1 2023","FQ1 2023","Currency=USD","Period=FQ","BEST_FPERIOD_OVERRIDE=FQ","FILING_STATUS=MR","SCALING_FORMAT=MLN","Sort=A","Dates=H","DateFormat=P","Fill=—","Direction=H","UseDPDF=Y")</f>
        <v>-49.5</v>
      </c>
      <c r="S50" s="13">
        <f>_xll.BDH("NBIX US Equity","IS_COMP_NET_INC_EXCL_STOCK_COMP","FQ2 2023","FQ2 2023","Currency=USD","Period=FQ","BEST_FPERIOD_OVERRIDE=FQ","FILING_STATUS=MR","SCALING_FORMAT=MLN","Sort=A","Dates=H","DateFormat=P","Fill=—","Direction=H","UseDPDF=Y")</f>
        <v>125.7</v>
      </c>
      <c r="T50" s="13">
        <f>_xll.BDH("NBIX US Equity","IS_COMP_NET_INC_EXCL_STOCK_COMP","FQ3 2023","FQ3 2023","Currency=USD","Period=FQ","BEST_FPERIOD_OVERRIDE=FQ","FILING_STATUS=MR","SCALING_FORMAT=MLN","Sort=A","Dates=H","DateFormat=P","Fill=—","Direction=H","UseDPDF=Y")</f>
        <v>156.1</v>
      </c>
      <c r="U50" s="13">
        <f>_xll.BDH("NBIX US Equity","IS_COMP_NET_INC_EXCL_STOCK_COMP","FQ4 2023","FQ4 2023","Currency=USD","Period=FQ","BEST_FPERIOD_OVERRIDE=FQ","FILING_STATUS=MR","SCALING_FORMAT=MLN","Sort=A","Dates=H","DateFormat=P","Fill=—","Direction=H","UseDPDF=Y")</f>
        <v>157.69999999999999</v>
      </c>
      <c r="V50" s="13">
        <f>_xll.BDH("NBIX US Equity","IS_COMP_NET_INC_EXCL_STOCK_COMP","FQ1 2024","FQ1 2024","Currency=USD","Period=FQ","BEST_FPERIOD_OVERRIDE=FQ","FILING_STATUS=MR","SCALING_FORMAT=MLN","Sort=A","Dates=H","DateFormat=P","Fill=—","Direction=H","UseDPDF=Y")</f>
        <v>124.8</v>
      </c>
      <c r="W50" s="13">
        <f>_xll.BDH("NBIX US Equity","IS_COMP_NET_INC_EXCL_STOCK_COMP","FQ2 2024","FQ2 2024","Currency=USD","Period=FQ","BEST_FPERIOD_OVERRIDE=FQ","FILING_STATUS=MR","SCALING_FORMAT=MLN","Sort=A","Dates=H","DateFormat=P","Fill=—","Direction=H","UseDPDF=Y")</f>
        <v>168.9</v>
      </c>
      <c r="X50" s="13">
        <f>_xll.BDH("NBIX US Equity","IS_COMP_NET_INC_EXCL_STOCK_COMP","FQ3 2024","FQ3 2024","Currency=USD","Period=FQ","BEST_FPERIOD_OVERRIDE=FQ","FILING_STATUS=MR","SCALING_FORMAT=MLN","Sort=A","Dates=H","DateFormat=P","Fill=—","Direction=H","UseDPDF=Y")</f>
        <v>189.2</v>
      </c>
      <c r="Y50" s="13">
        <f>_xll.BDH("NBIX US Equity","IS_COMP_NET_INC_EXCL_STOCK_COMP","FQ4 2024","FQ4 2024","Currency=USD","Period=FQ","BEST_FPERIOD_OVERRIDE=FQ","FILING_STATUS=MR","SCALING_FORMAT=MLN","Sort=A","Dates=H","DateFormat=P","Fill=—","Direction=H","UseDPDF=Y")</f>
        <v>173.4</v>
      </c>
      <c r="Z50" s="13"/>
      <c r="AA50" s="13"/>
    </row>
    <row r="51" spans="1:27" x14ac:dyDescent="0.25">
      <c r="A51" s="11" t="s">
        <v>162</v>
      </c>
      <c r="B51" s="11"/>
      <c r="C51" s="25">
        <v>374.92825607063997</v>
      </c>
      <c r="D51" s="25">
        <v>20.042971147943501</v>
      </c>
      <c r="E51" s="25">
        <v>-6.5458676045929201</v>
      </c>
      <c r="F51" s="25">
        <v>-1.63438846956488</v>
      </c>
      <c r="G51" s="25">
        <v>89.313517338994998</v>
      </c>
      <c r="H51" s="25">
        <v>153.65286548471499</v>
      </c>
      <c r="I51" s="25">
        <v>321.15651804475903</v>
      </c>
      <c r="J51" s="25">
        <v>-34.176171499244198</v>
      </c>
      <c r="K51" s="25">
        <v>-3.00632911392406</v>
      </c>
      <c r="L51" s="25">
        <v>-8.3817524551055893</v>
      </c>
      <c r="M51" s="25">
        <v>-94.134497340062794</v>
      </c>
      <c r="N51" s="25">
        <v>-31.034482758620701</v>
      </c>
      <c r="O51" s="25">
        <v>13.0309079644799</v>
      </c>
      <c r="P51" s="25">
        <v>21.301001557473001</v>
      </c>
      <c r="Q51" s="25">
        <v>8.4273044664716898E-2</v>
      </c>
      <c r="R51" s="25" t="s">
        <v>141</v>
      </c>
      <c r="S51" s="25">
        <v>20.134183288255102</v>
      </c>
      <c r="T51" s="25">
        <v>19.854730845125601</v>
      </c>
      <c r="U51" s="25">
        <v>7.7097505668934101</v>
      </c>
      <c r="V51" s="25">
        <v>-2.7696622648124301</v>
      </c>
      <c r="W51" s="25">
        <v>6.1429693637077802</v>
      </c>
      <c r="X51" s="25">
        <v>2.37375076428606</v>
      </c>
      <c r="Y51" s="25">
        <v>-13.476076184963601</v>
      </c>
      <c r="Z51" s="25"/>
      <c r="AA51" s="25"/>
    </row>
    <row r="52" spans="1:27" x14ac:dyDescent="0.25">
      <c r="A52" s="10" t="s">
        <v>135</v>
      </c>
      <c r="B52" s="10" t="s">
        <v>80</v>
      </c>
      <c r="C52" s="13">
        <f>_xll.BDH("NBIX US Equity","EARN_FOR_COMMON","FQ2 2019","FQ2 2019","Currency=USD","Period=FQ","BEST_FPERIOD_OVERRIDE=FQ","FILING_STATUS=MR","SCALING_FORMAT=MLN","FA_ADJUSTED=GAAP","Sort=A","Dates=H","DateFormat=P","Fill=—","Direction=H","UseDPDF=Y")</f>
        <v>51.338000000000001</v>
      </c>
      <c r="D52" s="13">
        <f>_xll.BDH("NBIX US Equity","EARN_FOR_COMMON","FQ3 2019","FQ3 2019","Currency=USD","Period=FQ","BEST_FPERIOD_OVERRIDE=FQ","FILING_STATUS=MR","SCALING_FORMAT=MLN","FA_ADJUSTED=GAAP","Sort=A","Dates=H","DateFormat=P","Fill=—","Direction=H","UseDPDF=Y")</f>
        <v>53.789000000000001</v>
      </c>
      <c r="E52" s="13">
        <f>_xll.BDH("NBIX US Equity","EARN_FOR_COMMON","FQ4 2019","FQ4 2019","Currency=USD","Period=FQ","BEST_FPERIOD_OVERRIDE=FQ","FILING_STATUS=MR","SCALING_FORMAT=MLN","FA_ADJUSTED=GAAP","Sort=A","Dates=H","DateFormat=P","Fill=—","Direction=H","UseDPDF=Y")</f>
        <v>34</v>
      </c>
      <c r="F52" s="13">
        <f>_xll.BDH("NBIX US Equity","EARN_FOR_COMMON","FQ1 2020","FQ1 2020","Currency=USD","Period=FQ","BEST_FPERIOD_OVERRIDE=FQ","FILING_STATUS=MR","SCALING_FORMAT=MLN","FA_ADJUSTED=GAAP","Sort=A","Dates=H","DateFormat=P","Fill=—","Direction=H","UseDPDF=Y")</f>
        <v>37.4</v>
      </c>
      <c r="G52" s="13">
        <f>_xll.BDH("NBIX US Equity","EARN_FOR_COMMON","FQ2 2020","FQ2 2020","Currency=USD","Period=FQ","BEST_FPERIOD_OVERRIDE=FQ","FILING_STATUS=MR","SCALING_FORMAT=MLN","FA_ADJUSTED=GAAP","Sort=A","Dates=H","DateFormat=P","Fill=—","Direction=H","UseDPDF=Y")</f>
        <v>79.599999999999994</v>
      </c>
      <c r="H52" s="13">
        <f>_xll.BDH("NBIX US Equity","EARN_FOR_COMMON","FQ3 2020","FQ3 2020","Currency=USD","Period=FQ","BEST_FPERIOD_OVERRIDE=FQ","FILING_STATUS=MR","SCALING_FORMAT=MLN","FA_ADJUSTED=GAAP","Sort=A","Dates=H","DateFormat=P","Fill=—","Direction=H","UseDPDF=Y")</f>
        <v>-57.6</v>
      </c>
      <c r="I52" s="13">
        <f>_xll.BDH("NBIX US Equity","EARN_FOR_COMMON","FQ4 2020","FQ4 2020","Currency=USD","Period=FQ","BEST_FPERIOD_OVERRIDE=FQ","FILING_STATUS=MR","SCALING_FORMAT=MLN","FA_ADJUSTED=GAAP","Sort=A","Dates=H","DateFormat=P","Fill=—","Direction=H","UseDPDF=Y")</f>
        <v>347.9</v>
      </c>
      <c r="J52" s="13">
        <f>_xll.BDH("NBIX US Equity","EARN_FOR_COMMON","FQ1 2021","FQ1 2021","Currency=USD","Period=FQ","BEST_FPERIOD_OVERRIDE=FQ","FILING_STATUS=MR","SCALING_FORMAT=MLN","FA_ADJUSTED=GAAP","Sort=A","Dates=H","DateFormat=P","Fill=—","Direction=H","UseDPDF=Y")</f>
        <v>32.1</v>
      </c>
      <c r="K52" s="13">
        <f>_xll.BDH("NBIX US Equity","EARN_FOR_COMMON","FQ2 2021","FQ2 2021","Currency=USD","Period=FQ","BEST_FPERIOD_OVERRIDE=FQ","FILING_STATUS=MR","SCALING_FORMAT=MLN","FA_ADJUSTED=GAAP","Sort=A","Dates=H","DateFormat=P","Fill=—","Direction=H","UseDPDF=Y")</f>
        <v>42.3</v>
      </c>
      <c r="L52" s="13">
        <f>_xll.BDH("NBIX US Equity","EARN_FOR_COMMON","FQ3 2021","FQ3 2021","Currency=USD","Period=FQ","BEST_FPERIOD_OVERRIDE=FQ","FILING_STATUS=MR","SCALING_FORMAT=MLN","FA_ADJUSTED=GAAP","Sort=A","Dates=H","DateFormat=P","Fill=—","Direction=H","UseDPDF=Y")</f>
        <v>22.5</v>
      </c>
      <c r="M52" s="13">
        <f>_xll.BDH("NBIX US Equity","EARN_FOR_COMMON","FQ4 2021","FQ4 2021","Currency=USD","Period=FQ","BEST_FPERIOD_OVERRIDE=FQ","FILING_STATUS=MR","SCALING_FORMAT=MLN","FA_ADJUSTED=GAAP","Sort=A","Dates=H","DateFormat=P","Fill=—","Direction=H","UseDPDF=Y")</f>
        <v>-7.3</v>
      </c>
      <c r="N52" s="13">
        <f>_xll.BDH("NBIX US Equity","EARN_FOR_COMMON","FQ1 2022","FQ1 2022","Currency=USD","Period=FQ","BEST_FPERIOD_OVERRIDE=FQ","FILING_STATUS=MR","SCALING_FORMAT=MLN","FA_ADJUSTED=GAAP","Sort=A","Dates=H","DateFormat=P","Fill=—","Direction=H","UseDPDF=Y")</f>
        <v>13.9</v>
      </c>
      <c r="O52" s="13">
        <f>_xll.BDH("NBIX US Equity","EARN_FOR_COMMON","FQ2 2022","FQ2 2022","Currency=USD","Period=FQ","BEST_FPERIOD_OVERRIDE=FQ","FILING_STATUS=MR","SCALING_FORMAT=MLN","FA_ADJUSTED=GAAP","Sort=A","Dates=H","DateFormat=P","Fill=—","Direction=H","UseDPDF=Y")</f>
        <v>-16.899999999999999</v>
      </c>
      <c r="P52" s="13">
        <f>_xll.BDH("NBIX US Equity","EARN_FOR_COMMON","FQ3 2022","FQ3 2022","Currency=USD","Period=FQ","BEST_FPERIOD_OVERRIDE=FQ","FILING_STATUS=MR","SCALING_FORMAT=MLN","FA_ADJUSTED=GAAP","Sort=A","Dates=H","DateFormat=P","Fill=—","Direction=H","UseDPDF=Y")</f>
        <v>68.5</v>
      </c>
      <c r="Q52" s="13">
        <f>_xll.BDH("NBIX US Equity","EARN_FOR_COMMON","FQ4 2022","FQ4 2022","Currency=USD","Period=FQ","BEST_FPERIOD_OVERRIDE=FQ","FILING_STATUS=MR","SCALING_FORMAT=MLN","FA_ADJUSTED=GAAP","Sort=A","Dates=H","DateFormat=P","Fill=—","Direction=H","UseDPDF=Y")</f>
        <v>89</v>
      </c>
      <c r="R52" s="13">
        <f>_xll.BDH("NBIX US Equity","EARN_FOR_COMMON","FQ1 2023","FQ1 2023","Currency=USD","Period=FQ","BEST_FPERIOD_OVERRIDE=FQ","FILING_STATUS=MR","SCALING_FORMAT=MLN","FA_ADJUSTED=GAAP","Sort=A","Dates=H","DateFormat=P","Fill=—","Direction=H","UseDPDF=Y")</f>
        <v>-76.599999999999994</v>
      </c>
      <c r="S52" s="13">
        <f>_xll.BDH("NBIX US Equity","EARN_FOR_COMMON","FQ2 2023","FQ2 2023","Currency=USD","Period=FQ","BEST_FPERIOD_OVERRIDE=FQ","FILING_STATUS=MR","SCALING_FORMAT=MLN","FA_ADJUSTED=GAAP","Sort=A","Dates=H","DateFormat=P","Fill=—","Direction=H","UseDPDF=Y")</f>
        <v>95.5</v>
      </c>
      <c r="T52" s="13">
        <f>_xll.BDH("NBIX US Equity","EARN_FOR_COMMON","FQ3 2023","FQ3 2023","Currency=USD","Period=FQ","BEST_FPERIOD_OVERRIDE=FQ","FILING_STATUS=MR","SCALING_FORMAT=MLN","FA_ADJUSTED=GAAP","Sort=A","Dates=H","DateFormat=P","Fill=—","Direction=H","UseDPDF=Y")</f>
        <v>83.1</v>
      </c>
      <c r="U52" s="13">
        <f>_xll.BDH("NBIX US Equity","EARN_FOR_COMMON","FQ4 2023","FQ4 2023","Currency=USD","Period=FQ","BEST_FPERIOD_OVERRIDE=FQ","FILING_STATUS=MR","SCALING_FORMAT=MLN","FA_ADJUSTED=GAAP","Sort=A","Dates=H","DateFormat=P","Fill=—","Direction=H","UseDPDF=Y")</f>
        <v>147.69999999999999</v>
      </c>
      <c r="V52" s="13">
        <f>_xll.BDH("NBIX US Equity","EARN_FOR_COMMON","FQ1 2024","FQ1 2024","Currency=USD","Period=FQ","BEST_FPERIOD_OVERRIDE=FQ","FILING_STATUS=MR","SCALING_FORMAT=MLN","FA_ADJUSTED=GAAP","Sort=A","Dates=H","DateFormat=P","Fill=—","Direction=H","UseDPDF=Y")</f>
        <v>43.4</v>
      </c>
      <c r="W52" s="13">
        <f>_xll.BDH("NBIX US Equity","EARN_FOR_COMMON","FQ2 2024","FQ2 2024","Currency=USD","Period=FQ","BEST_FPERIOD_OVERRIDE=FQ","FILING_STATUS=MR","SCALING_FORMAT=MLN","FA_ADJUSTED=GAAP","Sort=A","Dates=H","DateFormat=P","Fill=—","Direction=H","UseDPDF=Y")</f>
        <v>65</v>
      </c>
      <c r="X52" s="13">
        <f>_xll.BDH("NBIX US Equity","EARN_FOR_COMMON","FQ3 2024","FQ3 2024","Currency=USD","Period=FQ","BEST_FPERIOD_OVERRIDE=FQ","FILING_STATUS=MR","SCALING_FORMAT=MLN","FA_ADJUSTED=GAAP","Sort=A","Dates=H","DateFormat=P","Fill=—","Direction=H","UseDPDF=Y")</f>
        <v>129.80000000000001</v>
      </c>
      <c r="Y52" s="13">
        <f>_xll.BDH("NBIX US Equity","EARN_FOR_COMMON","FQ4 2024","FQ4 2024","Currency=USD","Period=FQ","BEST_FPERIOD_OVERRIDE=FQ","FILING_STATUS=MR","SCALING_FORMAT=MLN","FA_ADJUSTED=GAAP","Sort=A","Dates=H","DateFormat=P","Fill=—","Direction=H","UseDPDF=Y")</f>
        <v>103.1</v>
      </c>
      <c r="Z52" s="13"/>
      <c r="AA52" s="13"/>
    </row>
    <row r="53" spans="1:27" x14ac:dyDescent="0.25">
      <c r="A53" s="10" t="s">
        <v>136</v>
      </c>
      <c r="B53" s="10" t="s">
        <v>80</v>
      </c>
      <c r="C53" s="13">
        <f>_xll.BDH("NBIX US Equity","EARN_FOR_COMMON","FQ2 2019","FQ2 2019","Currency=USD","Period=FQ","BEST_FPERIOD_OVERRIDE=FQ","FILING_STATUS=MR","SCALING_FORMAT=MLN","FA_ADJUSTED=Adjusted","Sort=A","Dates=H","DateFormat=P","Fill=—","Direction=H","UseDPDF=Y")</f>
        <v>38.725700000000003</v>
      </c>
      <c r="D53" s="13">
        <f>_xll.BDH("NBIX US Equity","EARN_FOR_COMMON","FQ3 2019","FQ3 2019","Currency=USD","Period=FQ","BEST_FPERIOD_OVERRIDE=FQ","FILING_STATUS=MR","SCALING_FORMAT=MLN","FA_ADJUSTED=Adjusted","Sort=A","Dates=H","DateFormat=P","Fill=—","Direction=H","UseDPDF=Y")</f>
        <v>76.264499999999998</v>
      </c>
      <c r="E53" s="13">
        <f>_xll.BDH("NBIX US Equity","EARN_FOR_COMMON","FQ4 2019","FQ4 2019","Currency=USD","Period=FQ","BEST_FPERIOD_OVERRIDE=FQ","FILING_STATUS=MR","SCALING_FORMAT=MLN","FA_ADJUSTED=Adjusted","Sort=A","Dates=H","DateFormat=P","Fill=—","Direction=H","UseDPDF=Y")</f>
        <v>76.896799999999999</v>
      </c>
      <c r="F53" s="13">
        <f>_xll.BDH("NBIX US Equity","EARN_FOR_COMMON","FQ1 2020","FQ1 2020","Currency=USD","Period=FQ","BEST_FPERIOD_OVERRIDE=FQ","FILING_STATUS=MR","SCALING_FORMAT=MLN","FA_ADJUSTED=Adjusted","Sort=A","Dates=H","DateFormat=P","Fill=—","Direction=H","UseDPDF=Y")</f>
        <v>53.290300000000002</v>
      </c>
      <c r="G53" s="13">
        <f>_xll.BDH("NBIX US Equity","EARN_FOR_COMMON","FQ2 2020","FQ2 2020","Currency=USD","Period=FQ","BEST_FPERIOD_OVERRIDE=FQ","FILING_STATUS=MR","SCALING_FORMAT=MLN","FA_ADJUSTED=Adjusted","Sort=A","Dates=H","DateFormat=P","Fill=—","Direction=H","UseDPDF=Y")</f>
        <v>114.2418</v>
      </c>
      <c r="H53" s="13">
        <f>_xll.BDH("NBIX US Equity","EARN_FOR_COMMON","FQ3 2020","FQ3 2020","Currency=USD","Period=FQ","BEST_FPERIOD_OVERRIDE=FQ","FILING_STATUS=MR","SCALING_FORMAT=MLN","FA_ADJUSTED=Adjusted","Sort=A","Dates=H","DateFormat=P","Fill=—","Direction=H","UseDPDF=Y")</f>
        <v>65.025999999999996</v>
      </c>
      <c r="I53" s="13">
        <f>_xll.BDH("NBIX US Equity","EARN_FOR_COMMON","FQ4 2020","FQ4 2020","Currency=USD","Period=FQ","BEST_FPERIOD_OVERRIDE=FQ","FILING_STATUS=MR","SCALING_FORMAT=MLN","FA_ADJUSTED=Adjusted","Sort=A","Dates=H","DateFormat=P","Fill=—","Direction=H","UseDPDF=Y")</f>
        <v>221.69630000000001</v>
      </c>
      <c r="J53" s="13">
        <f>_xll.BDH("NBIX US Equity","EARN_FOR_COMMON","FQ1 2021","FQ1 2021","Currency=USD","Period=FQ","BEST_FPERIOD_OVERRIDE=FQ","FILING_STATUS=MR","SCALING_FORMAT=MLN","FA_ADJUSTED=Adjusted","Sort=A","Dates=H","DateFormat=P","Fill=—","Direction=H","UseDPDF=Y")</f>
        <v>31.7867</v>
      </c>
      <c r="K53" s="13">
        <f>_xll.BDH("NBIX US Equity","EARN_FOR_COMMON","FQ2 2021","FQ2 2021","Currency=USD","Period=FQ","BEST_FPERIOD_OVERRIDE=FQ","FILING_STATUS=MR","SCALING_FORMAT=MLN","FA_ADJUSTED=Adjusted","Sort=A","Dates=H","DateFormat=P","Fill=—","Direction=H","UseDPDF=Y")</f>
        <v>46.698099999999997</v>
      </c>
      <c r="L53" s="13">
        <f>_xll.BDH("NBIX US Equity","EARN_FOR_COMMON","FQ3 2021","FQ3 2021","Currency=USD","Period=FQ","BEST_FPERIOD_OVERRIDE=FQ","FILING_STATUS=MR","SCALING_FORMAT=MLN","FA_ADJUSTED=Adjusted","Sort=A","Dates=H","DateFormat=P","Fill=—","Direction=H","UseDPDF=Y")</f>
        <v>29.953099999999999</v>
      </c>
      <c r="M53" s="13">
        <f>_xll.BDH("NBIX US Equity","EARN_FOR_COMMON","FQ4 2021","FQ4 2021","Currency=USD","Period=FQ","BEST_FPERIOD_OVERRIDE=FQ","FILING_STATUS=MR","SCALING_FORMAT=MLN","FA_ADJUSTED=Adjusted","Sort=A","Dates=H","DateFormat=P","Fill=—","Direction=H","UseDPDF=Y")</f>
        <v>49.500999999999998</v>
      </c>
      <c r="N53" s="13">
        <f>_xll.BDH("NBIX US Equity","EARN_FOR_COMMON","FQ1 2022","FQ1 2022","Currency=USD","Period=FQ","BEST_FPERIOD_OVERRIDE=FQ","FILING_STATUS=MR","SCALING_FORMAT=MLN","FA_ADJUSTED=Adjusted","Sort=A","Dates=H","DateFormat=P","Fill=—","Direction=H","UseDPDF=Y")</f>
        <v>-4.0669000000000004</v>
      </c>
      <c r="O53" s="13">
        <f>_xll.BDH("NBIX US Equity","EARN_FOR_COMMON","FQ2 2022","FQ2 2022","Currency=USD","Period=FQ","BEST_FPERIOD_OVERRIDE=FQ","FILING_STATUS=MR","SCALING_FORMAT=MLN","FA_ADJUSTED=Adjusted","Sort=A","Dates=H","DateFormat=P","Fill=—","Direction=H","UseDPDF=Y")</f>
        <v>-11.054</v>
      </c>
      <c r="P53" s="13">
        <f>_xll.BDH("NBIX US Equity","EARN_FOR_COMMON","FQ3 2022","FQ3 2022","Currency=USD","Period=FQ","BEST_FPERIOD_OVERRIDE=FQ","FILING_STATUS=MR","SCALING_FORMAT=MLN","FA_ADJUSTED=Adjusted","Sort=A","Dates=H","DateFormat=P","Fill=—","Direction=H","UseDPDF=Y")</f>
        <v>78.789299999999997</v>
      </c>
      <c r="Q53" s="13">
        <f>_xll.BDH("NBIX US Equity","EARN_FOR_COMMON","FQ4 2022","FQ4 2022","Currency=USD","Period=FQ","BEST_FPERIOD_OVERRIDE=FQ","FILING_STATUS=MR","SCALING_FORMAT=MLN","FA_ADJUSTED=Adjusted","Sort=A","Dates=H","DateFormat=P","Fill=—","Direction=H","UseDPDF=Y")</f>
        <v>90.033799999999999</v>
      </c>
      <c r="R53" s="13">
        <f>_xll.BDH("NBIX US Equity","EARN_FOR_COMMON","FQ1 2023","FQ1 2023","Currency=USD","Period=FQ","BEST_FPERIOD_OVERRIDE=FQ","FILING_STATUS=MR","SCALING_FORMAT=MLN","FA_ADJUSTED=Adjusted","Sort=A","Dates=H","DateFormat=P","Fill=—","Direction=H","UseDPDF=Y")</f>
        <v>35.544400000000003</v>
      </c>
      <c r="S53" s="13">
        <f>_xll.BDH("NBIX US Equity","EARN_FOR_COMMON","FQ2 2023","FQ2 2023","Currency=USD","Period=FQ","BEST_FPERIOD_OVERRIDE=FQ","FILING_STATUS=MR","SCALING_FORMAT=MLN","FA_ADJUSTED=Adjusted","Sort=A","Dates=H","DateFormat=P","Fill=—","Direction=H","UseDPDF=Y")</f>
        <v>66.033000000000001</v>
      </c>
      <c r="T53" s="13">
        <f>_xll.BDH("NBIX US Equity","EARN_FOR_COMMON","FQ3 2023","FQ3 2023","Currency=USD","Period=FQ","BEST_FPERIOD_OVERRIDE=FQ","FILING_STATUS=MR","SCALING_FORMAT=MLN","FA_ADJUSTED=Adjusted","Sort=A","Dates=H","DateFormat=P","Fill=—","Direction=H","UseDPDF=Y")</f>
        <v>138.017</v>
      </c>
      <c r="U53" s="13">
        <f>_xll.BDH("NBIX US Equity","EARN_FOR_COMMON","FQ4 2023","FQ4 2023","Currency=USD","Period=FQ","BEST_FPERIOD_OVERRIDE=FQ","FILING_STATUS=MR","SCALING_FORMAT=MLN","FA_ADJUSTED=Adjusted","Sort=A","Dates=H","DateFormat=P","Fill=—","Direction=H","UseDPDF=Y")</f>
        <v>124.79</v>
      </c>
      <c r="V53" s="13">
        <f>_xll.BDH("NBIX US Equity","EARN_FOR_COMMON","FQ1 2024","FQ1 2024","Currency=USD","Period=FQ","BEST_FPERIOD_OVERRIDE=FQ","FILING_STATUS=MR","SCALING_FORMAT=MLN","FA_ADJUSTED=Adjusted","Sort=A","Dates=H","DateFormat=P","Fill=—","Direction=H","UseDPDF=Y")</f>
        <v>47.158499999999997</v>
      </c>
      <c r="W53" s="13">
        <f>_xll.BDH("NBIX US Equity","EARN_FOR_COMMON","FQ2 2024","FQ2 2024","Currency=USD","Period=FQ","BEST_FPERIOD_OVERRIDE=FQ","FILING_STATUS=MR","SCALING_FORMAT=MLN","FA_ADJUSTED=Adjusted","Sort=A","Dates=H","DateFormat=P","Fill=—","Direction=H","UseDPDF=Y")</f>
        <v>174.25710000000001</v>
      </c>
      <c r="X53" s="13">
        <f>_xll.BDH("NBIX US Equity","EARN_FOR_COMMON","FQ3 2024","FQ3 2024","Currency=USD","Period=FQ","BEST_FPERIOD_OVERRIDE=FQ","FILING_STATUS=MR","SCALING_FORMAT=MLN","FA_ADJUSTED=Adjusted","Sort=A","Dates=H","DateFormat=P","Fill=—","Direction=H","UseDPDF=Y")</f>
        <v>157.27289999999999</v>
      </c>
      <c r="Y53" s="13">
        <f>_xll.BDH("NBIX US Equity","EARN_FOR_COMMON","FQ4 2024","FQ4 2024","Currency=USD","Period=FQ","BEST_FPERIOD_OVERRIDE=FQ","FILING_STATUS=MR","SCALING_FORMAT=MLN","FA_ADJUSTED=Adjusted","Sort=A","Dates=H","DateFormat=P","Fill=—","Direction=H","UseDPDF=Y")</f>
        <v>107.37269999999999</v>
      </c>
      <c r="Z53" s="13"/>
      <c r="AA53" s="13"/>
    </row>
    <row r="54" spans="1:27" x14ac:dyDescent="0.25">
      <c r="A54" s="7" t="s">
        <v>90</v>
      </c>
      <c r="B54" s="7"/>
      <c r="C54" s="7" t="s">
        <v>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Z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  <col min="51" max="51" width="11.85546875" customWidth="1"/>
    <col min="52" max="52" width="7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0.25" x14ac:dyDescent="0.25">
      <c r="A2" s="8" t="s">
        <v>1525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9</v>
      </c>
      <c r="H4" s="30"/>
      <c r="I4" s="30" t="s">
        <v>10</v>
      </c>
      <c r="J4" s="30"/>
      <c r="K4" s="30" t="s">
        <v>11</v>
      </c>
      <c r="L4" s="30"/>
      <c r="M4" s="30" t="s">
        <v>12</v>
      </c>
      <c r="N4" s="30"/>
      <c r="O4" s="30" t="s">
        <v>13</v>
      </c>
      <c r="P4" s="30"/>
      <c r="Q4" s="30" t="s">
        <v>14</v>
      </c>
      <c r="R4" s="30"/>
      <c r="S4" s="30" t="s">
        <v>15</v>
      </c>
      <c r="T4" s="30"/>
      <c r="U4" s="30" t="s">
        <v>16</v>
      </c>
      <c r="V4" s="30"/>
      <c r="W4" s="30" t="s">
        <v>17</v>
      </c>
      <c r="X4" s="30"/>
      <c r="Y4" s="30" t="s">
        <v>18</v>
      </c>
      <c r="Z4" s="30"/>
      <c r="AA4" s="30" t="s">
        <v>19</v>
      </c>
      <c r="AB4" s="30"/>
      <c r="AC4" s="30" t="s">
        <v>20</v>
      </c>
      <c r="AD4" s="30"/>
      <c r="AE4" s="30" t="s">
        <v>21</v>
      </c>
      <c r="AF4" s="30"/>
      <c r="AG4" s="30" t="s">
        <v>22</v>
      </c>
      <c r="AH4" s="30"/>
      <c r="AI4" s="30" t="s">
        <v>23</v>
      </c>
      <c r="AJ4" s="30"/>
      <c r="AK4" s="30" t="s">
        <v>24</v>
      </c>
      <c r="AL4" s="30"/>
      <c r="AM4" s="30" t="s">
        <v>25</v>
      </c>
      <c r="AN4" s="30"/>
      <c r="AO4" s="30" t="s">
        <v>26</v>
      </c>
      <c r="AP4" s="30"/>
      <c r="AQ4" s="30" t="s">
        <v>27</v>
      </c>
      <c r="AR4" s="30"/>
      <c r="AS4" s="30" t="s">
        <v>28</v>
      </c>
      <c r="AT4" s="30"/>
      <c r="AU4" s="30" t="s">
        <v>29</v>
      </c>
      <c r="AV4" s="30"/>
      <c r="AW4" s="30" t="s">
        <v>30</v>
      </c>
      <c r="AX4" s="30"/>
      <c r="AY4" s="30" t="s">
        <v>31</v>
      </c>
      <c r="AZ4" s="30"/>
    </row>
    <row r="5" spans="1:52" x14ac:dyDescent="0.25">
      <c r="A5" s="9" t="s">
        <v>34</v>
      </c>
      <c r="B5" s="9"/>
      <c r="C5" s="31" t="s">
        <v>95</v>
      </c>
      <c r="D5" s="31"/>
      <c r="E5" s="31" t="s">
        <v>96</v>
      </c>
      <c r="F5" s="31"/>
      <c r="G5" s="31" t="s">
        <v>35</v>
      </c>
      <c r="H5" s="31"/>
      <c r="I5" s="31" t="s">
        <v>36</v>
      </c>
      <c r="J5" s="31"/>
      <c r="K5" s="31" t="s">
        <v>37</v>
      </c>
      <c r="L5" s="31"/>
      <c r="M5" s="31" t="s">
        <v>38</v>
      </c>
      <c r="N5" s="31"/>
      <c r="O5" s="31" t="s">
        <v>39</v>
      </c>
      <c r="P5" s="31"/>
      <c r="Q5" s="31" t="s">
        <v>40</v>
      </c>
      <c r="R5" s="31"/>
      <c r="S5" s="31" t="s">
        <v>41</v>
      </c>
      <c r="T5" s="31"/>
      <c r="U5" s="31" t="s">
        <v>42</v>
      </c>
      <c r="V5" s="31"/>
      <c r="W5" s="31" t="s">
        <v>43</v>
      </c>
      <c r="X5" s="31"/>
      <c r="Y5" s="31" t="s">
        <v>44</v>
      </c>
      <c r="Z5" s="31"/>
      <c r="AA5" s="31" t="s">
        <v>45</v>
      </c>
      <c r="AB5" s="31"/>
      <c r="AC5" s="31" t="s">
        <v>46</v>
      </c>
      <c r="AD5" s="31"/>
      <c r="AE5" s="31" t="s">
        <v>47</v>
      </c>
      <c r="AF5" s="31"/>
      <c r="AG5" s="31" t="s">
        <v>48</v>
      </c>
      <c r="AH5" s="31"/>
      <c r="AI5" s="31" t="s">
        <v>49</v>
      </c>
      <c r="AJ5" s="31"/>
      <c r="AK5" s="31" t="s">
        <v>50</v>
      </c>
      <c r="AL5" s="31"/>
      <c r="AM5" s="31" t="s">
        <v>51</v>
      </c>
      <c r="AN5" s="31"/>
      <c r="AO5" s="31" t="s">
        <v>52</v>
      </c>
      <c r="AP5" s="31"/>
      <c r="AQ5" s="31" t="s">
        <v>53</v>
      </c>
      <c r="AR5" s="31"/>
      <c r="AS5" s="31" t="s">
        <v>54</v>
      </c>
      <c r="AT5" s="31"/>
      <c r="AU5" s="31" t="s">
        <v>55</v>
      </c>
      <c r="AV5" s="31"/>
      <c r="AW5" s="31" t="s">
        <v>56</v>
      </c>
      <c r="AX5" s="31"/>
      <c r="AY5" s="31" t="s">
        <v>57</v>
      </c>
      <c r="AZ5" s="31"/>
    </row>
    <row r="6" spans="1:52" x14ac:dyDescent="0.25">
      <c r="A6" s="6" t="s">
        <v>0</v>
      </c>
      <c r="B6" s="6"/>
      <c r="C6" s="34">
        <v>131.49199999999999</v>
      </c>
      <c r="D6" s="35">
        <v>1</v>
      </c>
      <c r="E6" s="34">
        <v>138.40299999999999</v>
      </c>
      <c r="F6" s="35">
        <v>1</v>
      </c>
      <c r="G6" s="34">
        <v>183.58</v>
      </c>
      <c r="H6" s="35">
        <v>1</v>
      </c>
      <c r="I6" s="34">
        <v>222.09399999999999</v>
      </c>
      <c r="J6" s="35">
        <v>1</v>
      </c>
      <c r="K6" s="34">
        <v>244.1</v>
      </c>
      <c r="L6" s="35">
        <v>1</v>
      </c>
      <c r="M6" s="34">
        <v>237.1</v>
      </c>
      <c r="N6" s="35">
        <v>1</v>
      </c>
      <c r="O6" s="34">
        <v>302.39999999999998</v>
      </c>
      <c r="P6" s="35">
        <v>1</v>
      </c>
      <c r="Q6" s="34">
        <v>258.5</v>
      </c>
      <c r="R6" s="35">
        <v>1</v>
      </c>
      <c r="S6" s="34">
        <v>247.9</v>
      </c>
      <c r="T6" s="35">
        <v>1</v>
      </c>
      <c r="U6" s="34">
        <v>236.6</v>
      </c>
      <c r="V6" s="35">
        <v>1</v>
      </c>
      <c r="W6" s="34">
        <v>288.89999999999998</v>
      </c>
      <c r="X6" s="35">
        <v>1</v>
      </c>
      <c r="Y6" s="34">
        <v>296</v>
      </c>
      <c r="Z6" s="35">
        <v>1</v>
      </c>
      <c r="AA6" s="34">
        <v>312</v>
      </c>
      <c r="AB6" s="35">
        <v>1</v>
      </c>
      <c r="AC6" s="34">
        <v>310.60000000000002</v>
      </c>
      <c r="AD6" s="35">
        <v>1</v>
      </c>
      <c r="AE6" s="34">
        <v>378.2</v>
      </c>
      <c r="AF6" s="35">
        <v>1</v>
      </c>
      <c r="AG6" s="34">
        <v>387.9</v>
      </c>
      <c r="AH6" s="35">
        <v>1</v>
      </c>
      <c r="AI6" s="34">
        <v>412</v>
      </c>
      <c r="AJ6" s="35">
        <v>1</v>
      </c>
      <c r="AK6" s="34">
        <v>420.4</v>
      </c>
      <c r="AL6" s="35">
        <v>1</v>
      </c>
      <c r="AM6" s="34">
        <v>452.7</v>
      </c>
      <c r="AN6" s="35">
        <v>1</v>
      </c>
      <c r="AO6" s="34">
        <v>498.8</v>
      </c>
      <c r="AP6" s="35">
        <v>1</v>
      </c>
      <c r="AQ6" s="34">
        <v>515.20000000000005</v>
      </c>
      <c r="AR6" s="35">
        <v>1</v>
      </c>
      <c r="AS6" s="34">
        <v>515.29999999999995</v>
      </c>
      <c r="AT6" s="35">
        <v>1</v>
      </c>
      <c r="AU6" s="34">
        <v>590.20000000000005</v>
      </c>
      <c r="AV6" s="35">
        <v>1</v>
      </c>
      <c r="AW6" s="34">
        <v>622.1</v>
      </c>
      <c r="AX6" s="35">
        <v>1</v>
      </c>
      <c r="AY6" s="34">
        <v>627.70000000000005</v>
      </c>
      <c r="AZ6" s="35">
        <v>1</v>
      </c>
    </row>
    <row r="7" spans="1:52" x14ac:dyDescent="0.25">
      <c r="A7" s="10" t="s">
        <v>1526</v>
      </c>
      <c r="B7" s="10"/>
      <c r="C7" s="32">
        <v>130.32599999999999</v>
      </c>
      <c r="D7" s="33">
        <v>0.99113254038268495</v>
      </c>
      <c r="E7" s="32">
        <v>136.43100000000001</v>
      </c>
      <c r="F7" s="33">
        <v>0.98575175393597003</v>
      </c>
      <c r="G7" s="32">
        <v>180.54400000000001</v>
      </c>
      <c r="H7" s="33">
        <v>0.98346225078984695</v>
      </c>
      <c r="I7" s="32">
        <v>198.09399999999999</v>
      </c>
      <c r="J7" s="33">
        <v>0.89193764802290898</v>
      </c>
      <c r="K7" s="32">
        <v>237.9</v>
      </c>
      <c r="L7" s="33">
        <v>0.97460057353543605</v>
      </c>
      <c r="M7" s="32">
        <v>231.1</v>
      </c>
      <c r="N7" s="33">
        <v>0.97469422184732202</v>
      </c>
      <c r="O7" s="32">
        <v>267.60000000000002</v>
      </c>
      <c r="P7" s="33">
        <v>0.884920634920635</v>
      </c>
      <c r="Q7" s="32">
        <v>254.1</v>
      </c>
      <c r="R7" s="33">
        <v>0.98297872340425496</v>
      </c>
      <c r="S7" s="32">
        <v>241.3</v>
      </c>
      <c r="T7" s="33">
        <v>0.97337636143606299</v>
      </c>
      <c r="U7" s="32">
        <v>231</v>
      </c>
      <c r="V7" s="33">
        <v>0.976331360946746</v>
      </c>
      <c r="W7" s="32">
        <v>266.8</v>
      </c>
      <c r="X7" s="33">
        <v>0.923502942194531</v>
      </c>
      <c r="Y7" s="32">
        <v>288.8</v>
      </c>
      <c r="Z7" s="33">
        <v>0.97567567567567604</v>
      </c>
      <c r="AA7" s="32">
        <v>303.5</v>
      </c>
      <c r="AB7" s="33">
        <v>0.97275641025641002</v>
      </c>
      <c r="AC7" s="32">
        <v>305</v>
      </c>
      <c r="AD7" s="33">
        <v>0.98197037990985203</v>
      </c>
      <c r="AE7" s="32">
        <v>352</v>
      </c>
      <c r="AF7" s="33">
        <v>0.93072448439978905</v>
      </c>
      <c r="AG7" s="32">
        <v>379.3</v>
      </c>
      <c r="AH7" s="33">
        <v>0.97782933745810796</v>
      </c>
      <c r="AI7" s="32">
        <v>404.6</v>
      </c>
      <c r="AJ7" s="33">
        <v>0.98203883495145605</v>
      </c>
      <c r="AK7" s="32">
        <v>415.3</v>
      </c>
      <c r="AL7" s="33">
        <v>0.98786869647954301</v>
      </c>
      <c r="AM7" s="32">
        <v>446.3</v>
      </c>
      <c r="AN7" s="33">
        <v>0.98586260216478905</v>
      </c>
      <c r="AO7" s="32">
        <v>491.8</v>
      </c>
      <c r="AP7" s="33">
        <v>0.98596631916599797</v>
      </c>
      <c r="AQ7" s="32">
        <v>507.2</v>
      </c>
      <c r="AR7" s="33">
        <v>0.98447204968944102</v>
      </c>
      <c r="AS7" s="32">
        <v>509</v>
      </c>
      <c r="AT7" s="33">
        <v>0.98777411216766897</v>
      </c>
      <c r="AU7" s="32">
        <v>583.79999999999995</v>
      </c>
      <c r="AV7" s="33">
        <v>0.989156218231108</v>
      </c>
      <c r="AW7" s="32">
        <v>616.6</v>
      </c>
      <c r="AX7" s="33">
        <v>0.99115897765632499</v>
      </c>
      <c r="AY7" s="32">
        <v>621.20000000000005</v>
      </c>
      <c r="AZ7" s="33">
        <v>0.98964473474589798</v>
      </c>
    </row>
    <row r="8" spans="1:52" x14ac:dyDescent="0.25">
      <c r="A8" s="10" t="s">
        <v>1527</v>
      </c>
      <c r="B8" s="10"/>
      <c r="C8" s="32">
        <v>130.32599999999999</v>
      </c>
      <c r="D8" s="33">
        <v>0.99113254038268495</v>
      </c>
      <c r="E8" s="32">
        <v>136.43100000000001</v>
      </c>
      <c r="F8" s="33">
        <v>0.98575175393597003</v>
      </c>
      <c r="G8" s="32">
        <v>180.54400000000001</v>
      </c>
      <c r="H8" s="33">
        <v>0.98346225078984695</v>
      </c>
      <c r="I8" s="32">
        <v>198.09399999999999</v>
      </c>
      <c r="J8" s="33">
        <v>0.89193764802290898</v>
      </c>
      <c r="K8" s="32">
        <v>237.9</v>
      </c>
      <c r="L8" s="33">
        <v>0.97460057353543605</v>
      </c>
      <c r="M8" s="32">
        <v>231.1</v>
      </c>
      <c r="N8" s="33">
        <v>0.97469422184732202</v>
      </c>
      <c r="O8" s="32">
        <v>267.60000000000002</v>
      </c>
      <c r="P8" s="33">
        <v>0.884920634920635</v>
      </c>
      <c r="Q8" s="32">
        <v>254</v>
      </c>
      <c r="R8" s="33">
        <v>0.98259187620889699</v>
      </c>
      <c r="S8" s="32">
        <v>240</v>
      </c>
      <c r="T8" s="33">
        <v>0.96813231141589395</v>
      </c>
      <c r="U8" s="32">
        <v>229.6</v>
      </c>
      <c r="V8" s="33">
        <v>0.97041420118343202</v>
      </c>
      <c r="W8" s="32">
        <v>264.8</v>
      </c>
      <c r="X8" s="33">
        <v>0.91658013153340201</v>
      </c>
      <c r="Y8" s="32">
        <v>286.5</v>
      </c>
      <c r="Z8" s="33">
        <v>0.96790540540540504</v>
      </c>
      <c r="AA8" s="32">
        <v>301</v>
      </c>
      <c r="AB8" s="33">
        <v>0.96474358974358998</v>
      </c>
      <c r="AC8" s="32">
        <v>302.60000000000002</v>
      </c>
      <c r="AD8" s="33">
        <v>0.974243399871217</v>
      </c>
      <c r="AE8" s="32">
        <v>349.6</v>
      </c>
      <c r="AF8" s="33">
        <v>0.92437863564251699</v>
      </c>
      <c r="AG8" s="32">
        <v>376.4</v>
      </c>
      <c r="AH8" s="33">
        <v>0.97035318381026003</v>
      </c>
      <c r="AI8" s="32">
        <v>399.2</v>
      </c>
      <c r="AJ8" s="33">
        <v>0.96893203883495105</v>
      </c>
      <c r="AK8" s="32">
        <v>410.4</v>
      </c>
      <c r="AL8" s="33">
        <v>0.97621313035204504</v>
      </c>
      <c r="AM8" s="32">
        <v>439.7</v>
      </c>
      <c r="AN8" s="33">
        <v>0.97128341064722801</v>
      </c>
      <c r="AO8" s="32">
        <v>485.7</v>
      </c>
      <c r="AP8" s="33">
        <v>0.97373696872493998</v>
      </c>
      <c r="AQ8" s="32">
        <v>500.2</v>
      </c>
      <c r="AR8" s="33">
        <v>0.970885093167702</v>
      </c>
      <c r="AS8" s="32">
        <v>506</v>
      </c>
      <c r="AT8" s="33">
        <v>0.98195226081894005</v>
      </c>
      <c r="AU8" s="32">
        <v>579.5</v>
      </c>
      <c r="AV8" s="33">
        <v>0.98187055235513399</v>
      </c>
      <c r="AW8" s="32">
        <v>612.9</v>
      </c>
      <c r="AX8" s="33">
        <v>0.98521138080694404</v>
      </c>
      <c r="AY8" s="32">
        <v>615.1</v>
      </c>
      <c r="AZ8" s="33">
        <v>0.97992671658435604</v>
      </c>
    </row>
    <row r="9" spans="1:52" x14ac:dyDescent="0.25">
      <c r="A9" s="10" t="s">
        <v>1528</v>
      </c>
      <c r="B9" s="10"/>
      <c r="C9" s="32" t="s">
        <v>141</v>
      </c>
      <c r="D9" s="33"/>
      <c r="E9" s="32" t="s">
        <v>141</v>
      </c>
      <c r="F9" s="33"/>
      <c r="G9" s="32" t="s">
        <v>141</v>
      </c>
      <c r="H9" s="33"/>
      <c r="I9" s="32" t="s">
        <v>141</v>
      </c>
      <c r="J9" s="33"/>
      <c r="K9" s="32" t="s">
        <v>141</v>
      </c>
      <c r="L9" s="33"/>
      <c r="M9" s="32" t="s">
        <v>141</v>
      </c>
      <c r="N9" s="33"/>
      <c r="O9" s="32" t="s">
        <v>141</v>
      </c>
      <c r="P9" s="33"/>
      <c r="Q9" s="32">
        <v>0.1</v>
      </c>
      <c r="R9" s="33">
        <v>3.8684719535783403E-4</v>
      </c>
      <c r="S9" s="32">
        <v>1.3</v>
      </c>
      <c r="T9" s="33">
        <v>5.2440500201694201E-3</v>
      </c>
      <c r="U9" s="32">
        <v>1.4</v>
      </c>
      <c r="V9" s="33">
        <v>5.9171597633136102E-3</v>
      </c>
      <c r="W9" s="32">
        <v>2</v>
      </c>
      <c r="X9" s="33">
        <v>6.92281066112842E-3</v>
      </c>
      <c r="Y9" s="32">
        <v>2.2999999999999998</v>
      </c>
      <c r="Z9" s="33">
        <v>7.7702702702702698E-3</v>
      </c>
      <c r="AA9" s="32">
        <v>2.5</v>
      </c>
      <c r="AB9" s="33">
        <v>8.0128205128205104E-3</v>
      </c>
      <c r="AC9" s="32">
        <v>2.4</v>
      </c>
      <c r="AD9" s="33">
        <v>7.7269800386348996E-3</v>
      </c>
      <c r="AE9" s="32">
        <v>2.4</v>
      </c>
      <c r="AF9" s="33">
        <v>6.3458487572712902E-3</v>
      </c>
      <c r="AG9" s="32">
        <v>2.9</v>
      </c>
      <c r="AH9" s="33">
        <v>7.47615364784738E-3</v>
      </c>
      <c r="AI9" s="32">
        <v>5.4</v>
      </c>
      <c r="AJ9" s="33">
        <v>1.31067961165049E-2</v>
      </c>
      <c r="AK9" s="32">
        <v>4.9000000000000004</v>
      </c>
      <c r="AL9" s="33">
        <v>1.16555661274976E-2</v>
      </c>
      <c r="AM9" s="32">
        <v>6.6</v>
      </c>
      <c r="AN9" s="33">
        <v>1.4579191517561299E-2</v>
      </c>
      <c r="AO9" s="32">
        <v>6.1</v>
      </c>
      <c r="AP9" s="33">
        <v>1.22293504410585E-2</v>
      </c>
      <c r="AQ9" s="32">
        <v>7</v>
      </c>
      <c r="AR9" s="33">
        <v>1.3586956521739101E-2</v>
      </c>
      <c r="AS9" s="32">
        <v>3</v>
      </c>
      <c r="AT9" s="33">
        <v>5.8218513487289002E-3</v>
      </c>
      <c r="AU9" s="32">
        <v>4.3</v>
      </c>
      <c r="AV9" s="33">
        <v>7.2856658759742499E-3</v>
      </c>
      <c r="AW9" s="32">
        <v>3.7</v>
      </c>
      <c r="AX9" s="33">
        <v>5.94759684938113E-3</v>
      </c>
      <c r="AY9" s="32">
        <v>6.1</v>
      </c>
      <c r="AZ9" s="33">
        <v>9.7180181615421392E-3</v>
      </c>
    </row>
    <row r="10" spans="1:52" x14ac:dyDescent="0.25">
      <c r="A10" s="10" t="s">
        <v>1529</v>
      </c>
      <c r="B10" s="10"/>
      <c r="C10" s="32">
        <v>1.1659999999999999</v>
      </c>
      <c r="D10" s="33">
        <v>8.8674596173151203E-3</v>
      </c>
      <c r="E10" s="32">
        <v>1.972</v>
      </c>
      <c r="F10" s="33">
        <v>1.42482460640304E-2</v>
      </c>
      <c r="G10" s="32">
        <v>3.036</v>
      </c>
      <c r="H10" s="33">
        <v>1.65377492101536E-2</v>
      </c>
      <c r="I10" s="32">
        <v>24</v>
      </c>
      <c r="J10" s="33">
        <v>0.10806235197709101</v>
      </c>
      <c r="K10" s="32">
        <v>6.2</v>
      </c>
      <c r="L10" s="33">
        <v>2.5399426464563699E-2</v>
      </c>
      <c r="M10" s="32">
        <v>6</v>
      </c>
      <c r="N10" s="33">
        <v>2.5305778152678201E-2</v>
      </c>
      <c r="O10" s="32">
        <v>34.799999999999997</v>
      </c>
      <c r="P10" s="33">
        <v>0.115079365079365</v>
      </c>
      <c r="Q10" s="32">
        <v>4.4000000000000004</v>
      </c>
      <c r="R10" s="33">
        <v>1.7021276595744698E-2</v>
      </c>
      <c r="S10" s="32">
        <v>6.6</v>
      </c>
      <c r="T10" s="33">
        <v>2.66236385639371E-2</v>
      </c>
      <c r="U10" s="32">
        <v>5.6</v>
      </c>
      <c r="V10" s="33">
        <v>2.3668639053254399E-2</v>
      </c>
      <c r="W10" s="32">
        <v>22.1</v>
      </c>
      <c r="X10" s="33">
        <v>7.6497057805469004E-2</v>
      </c>
      <c r="Y10" s="32">
        <v>7.2</v>
      </c>
      <c r="Z10" s="33">
        <v>2.4324324324324301E-2</v>
      </c>
      <c r="AA10" s="32">
        <v>8.5</v>
      </c>
      <c r="AB10" s="33">
        <v>2.7243589743589699E-2</v>
      </c>
      <c r="AC10" s="32">
        <v>5.6</v>
      </c>
      <c r="AD10" s="33">
        <v>1.80296200901481E-2</v>
      </c>
      <c r="AE10" s="32">
        <v>26.2</v>
      </c>
      <c r="AF10" s="33">
        <v>6.9275515600211501E-2</v>
      </c>
      <c r="AG10" s="32">
        <v>8.6</v>
      </c>
      <c r="AH10" s="33">
        <v>2.2170662541892198E-2</v>
      </c>
      <c r="AI10" s="32">
        <v>7.4</v>
      </c>
      <c r="AJ10" s="33">
        <v>1.7961165048543701E-2</v>
      </c>
      <c r="AK10" s="32">
        <v>5.0999999999999996</v>
      </c>
      <c r="AL10" s="33">
        <v>1.21313035204567E-2</v>
      </c>
      <c r="AM10" s="32">
        <v>6.4</v>
      </c>
      <c r="AN10" s="33">
        <v>1.4137397835211001E-2</v>
      </c>
      <c r="AO10" s="32">
        <v>7</v>
      </c>
      <c r="AP10" s="33">
        <v>1.40336808340016E-2</v>
      </c>
      <c r="AQ10" s="32">
        <v>8</v>
      </c>
      <c r="AR10" s="33">
        <v>1.5527950310559001E-2</v>
      </c>
      <c r="AS10" s="32">
        <v>6.3</v>
      </c>
      <c r="AT10" s="33">
        <v>1.22258878323307E-2</v>
      </c>
      <c r="AU10" s="32">
        <v>6.4</v>
      </c>
      <c r="AV10" s="33">
        <v>1.08437817688919E-2</v>
      </c>
      <c r="AW10" s="32">
        <v>5.5</v>
      </c>
      <c r="AX10" s="33">
        <v>8.84102234367465E-3</v>
      </c>
      <c r="AY10" s="32">
        <v>6.5</v>
      </c>
      <c r="AZ10" s="33">
        <v>1.0355265254102301E-2</v>
      </c>
    </row>
    <row r="11" spans="1:52" x14ac:dyDescent="0.25">
      <c r="A11" s="10" t="s">
        <v>1530</v>
      </c>
      <c r="B11" s="10"/>
      <c r="C11" s="32" t="s">
        <v>141</v>
      </c>
      <c r="D11" s="33"/>
      <c r="E11" s="32" t="s">
        <v>141</v>
      </c>
      <c r="F11" s="33"/>
      <c r="G11" s="32" t="s">
        <v>141</v>
      </c>
      <c r="H11" s="33"/>
      <c r="I11" s="32" t="s">
        <v>141</v>
      </c>
      <c r="J11" s="33"/>
      <c r="K11" s="32" t="s">
        <v>141</v>
      </c>
      <c r="L11" s="33"/>
      <c r="M11" s="32" t="s">
        <v>141</v>
      </c>
      <c r="N11" s="33"/>
      <c r="O11" s="32" t="s">
        <v>141</v>
      </c>
      <c r="P11" s="33"/>
      <c r="Q11" s="32">
        <v>0.5</v>
      </c>
      <c r="R11" s="33">
        <v>1.93423597678917E-3</v>
      </c>
      <c r="S11" s="32" t="s">
        <v>141</v>
      </c>
      <c r="T11" s="33"/>
      <c r="U11" s="32" t="s">
        <v>141</v>
      </c>
      <c r="V11" s="33"/>
      <c r="W11" s="32" t="s">
        <v>141</v>
      </c>
      <c r="X11" s="33"/>
      <c r="Y11" s="32">
        <v>1.3</v>
      </c>
      <c r="Z11" s="33">
        <v>4.3918918918918904E-3</v>
      </c>
      <c r="AA11" s="32">
        <v>2.5</v>
      </c>
      <c r="AB11" s="33">
        <v>8.0128205128205104E-3</v>
      </c>
      <c r="AC11" s="32">
        <v>1.4</v>
      </c>
      <c r="AD11" s="33">
        <v>4.5074050225370199E-3</v>
      </c>
      <c r="AE11" s="32">
        <v>1</v>
      </c>
      <c r="AF11" s="33">
        <v>2.6441036488630402E-3</v>
      </c>
      <c r="AG11" s="32">
        <v>2.5</v>
      </c>
      <c r="AH11" s="33">
        <v>6.44496004124774E-3</v>
      </c>
      <c r="AI11" s="32">
        <v>0.6</v>
      </c>
      <c r="AJ11" s="33">
        <v>1.4563106796116501E-3</v>
      </c>
      <c r="AK11" s="32">
        <v>1.4</v>
      </c>
      <c r="AL11" s="33">
        <v>3.3301617507136101E-3</v>
      </c>
      <c r="AM11" s="32">
        <v>1.5</v>
      </c>
      <c r="AN11" s="33">
        <v>3.3134526176275699E-3</v>
      </c>
      <c r="AO11" s="32">
        <v>1.4</v>
      </c>
      <c r="AP11" s="33">
        <v>2.8067361668003199E-3</v>
      </c>
      <c r="AQ11" s="32">
        <v>1.4</v>
      </c>
      <c r="AR11" s="33">
        <v>2.7173913043478299E-3</v>
      </c>
      <c r="AS11" s="32" t="s">
        <v>141</v>
      </c>
      <c r="AT11" s="33"/>
      <c r="AU11" s="32">
        <v>1.7</v>
      </c>
      <c r="AV11" s="33">
        <v>2.8803795323619099E-3</v>
      </c>
      <c r="AW11" s="32">
        <v>0.9</v>
      </c>
      <c r="AX11" s="33">
        <v>1.44671274714676E-3</v>
      </c>
      <c r="AY11" s="32">
        <v>3.5</v>
      </c>
      <c r="AZ11" s="33">
        <v>5.5759120599012304E-3</v>
      </c>
    </row>
    <row r="12" spans="1:52" x14ac:dyDescent="0.25">
      <c r="A12" s="10" t="s">
        <v>1531</v>
      </c>
      <c r="B12" s="10"/>
      <c r="C12" s="32" t="s">
        <v>141</v>
      </c>
      <c r="D12" s="33"/>
      <c r="E12" s="32" t="s">
        <v>141</v>
      </c>
      <c r="F12" s="33"/>
      <c r="G12" s="32" t="s">
        <v>141</v>
      </c>
      <c r="H12" s="33"/>
      <c r="I12" s="32" t="s">
        <v>141</v>
      </c>
      <c r="J12" s="33"/>
      <c r="K12" s="32" t="s">
        <v>141</v>
      </c>
      <c r="L12" s="33"/>
      <c r="M12" s="32" t="s">
        <v>141</v>
      </c>
      <c r="N12" s="33"/>
      <c r="O12" s="32" t="s">
        <v>141</v>
      </c>
      <c r="P12" s="33"/>
      <c r="Q12" s="32">
        <v>3.9</v>
      </c>
      <c r="R12" s="33">
        <v>1.5087040618955499E-2</v>
      </c>
      <c r="S12" s="32" t="s">
        <v>141</v>
      </c>
      <c r="T12" s="33"/>
      <c r="U12" s="32" t="s">
        <v>141</v>
      </c>
      <c r="V12" s="33"/>
      <c r="W12" s="32" t="s">
        <v>141</v>
      </c>
      <c r="X12" s="33"/>
      <c r="Y12" s="32">
        <v>5.9</v>
      </c>
      <c r="Z12" s="33">
        <v>1.9932432432432399E-2</v>
      </c>
      <c r="AA12" s="32">
        <v>6</v>
      </c>
      <c r="AB12" s="33">
        <v>1.9230769230769201E-2</v>
      </c>
      <c r="AC12" s="32">
        <v>4.2</v>
      </c>
      <c r="AD12" s="33">
        <v>1.35222150676111E-2</v>
      </c>
      <c r="AE12" s="32">
        <v>5.2</v>
      </c>
      <c r="AF12" s="33">
        <v>1.37493389740878E-2</v>
      </c>
      <c r="AG12" s="32">
        <v>6.1</v>
      </c>
      <c r="AH12" s="33">
        <v>1.5725702500644499E-2</v>
      </c>
      <c r="AI12" s="32">
        <v>6.8</v>
      </c>
      <c r="AJ12" s="33">
        <v>1.6504854368931999E-2</v>
      </c>
      <c r="AK12" s="32">
        <v>3.7</v>
      </c>
      <c r="AL12" s="33">
        <v>8.8011417697430993E-3</v>
      </c>
      <c r="AM12" s="32">
        <v>4.9000000000000004</v>
      </c>
      <c r="AN12" s="33">
        <v>1.0823945217583401E-2</v>
      </c>
      <c r="AO12" s="32">
        <v>5.6</v>
      </c>
      <c r="AP12" s="33">
        <v>1.12269446672013E-2</v>
      </c>
      <c r="AQ12" s="32">
        <v>6.6</v>
      </c>
      <c r="AR12" s="33">
        <v>1.2810559006211201E-2</v>
      </c>
      <c r="AS12" s="32" t="s">
        <v>141</v>
      </c>
      <c r="AT12" s="33"/>
      <c r="AU12" s="32">
        <v>4.7</v>
      </c>
      <c r="AV12" s="33">
        <v>7.9634022365299897E-3</v>
      </c>
      <c r="AW12" s="32">
        <v>4.5999999999999996</v>
      </c>
      <c r="AX12" s="33">
        <v>7.3943095965278904E-3</v>
      </c>
      <c r="AY12" s="32">
        <v>3</v>
      </c>
      <c r="AZ12" s="33">
        <v>4.7793531942010503E-3</v>
      </c>
    </row>
    <row r="13" spans="1:52" x14ac:dyDescent="0.25">
      <c r="A13" s="10" t="s">
        <v>1532</v>
      </c>
      <c r="B13" s="10"/>
      <c r="C13" s="32" t="s">
        <v>141</v>
      </c>
      <c r="D13" s="33"/>
      <c r="E13" s="32" t="s">
        <v>141</v>
      </c>
      <c r="F13" s="33"/>
      <c r="G13" s="32" t="s">
        <v>141</v>
      </c>
      <c r="H13" s="33"/>
      <c r="I13" s="32" t="s">
        <v>141</v>
      </c>
      <c r="J13" s="33"/>
      <c r="K13" s="32" t="s">
        <v>141</v>
      </c>
      <c r="L13" s="33"/>
      <c r="M13" s="32" t="s">
        <v>141</v>
      </c>
      <c r="N13" s="33"/>
      <c r="O13" s="32" t="s">
        <v>141</v>
      </c>
      <c r="P13" s="33"/>
      <c r="Q13" s="32">
        <v>0</v>
      </c>
      <c r="R13" s="33"/>
      <c r="S13" s="32" t="s">
        <v>141</v>
      </c>
      <c r="T13" s="33"/>
      <c r="U13" s="32" t="s">
        <v>141</v>
      </c>
      <c r="V13" s="33"/>
      <c r="W13" s="32" t="s">
        <v>141</v>
      </c>
      <c r="X13" s="33"/>
      <c r="Y13" s="32">
        <v>0</v>
      </c>
      <c r="Z13" s="33"/>
      <c r="AA13" s="32">
        <v>0</v>
      </c>
      <c r="AB13" s="33"/>
      <c r="AC13" s="32">
        <v>0</v>
      </c>
      <c r="AD13" s="33"/>
      <c r="AE13" s="32">
        <v>20</v>
      </c>
      <c r="AF13" s="33">
        <v>5.2882072977260698E-2</v>
      </c>
      <c r="AG13" s="32">
        <v>0</v>
      </c>
      <c r="AH13" s="33"/>
      <c r="AI13" s="32">
        <v>0</v>
      </c>
      <c r="AJ13" s="33"/>
      <c r="AK13" s="32">
        <v>0</v>
      </c>
      <c r="AL13" s="33"/>
      <c r="AM13" s="32">
        <v>0</v>
      </c>
      <c r="AN13" s="33"/>
      <c r="AO13" s="32">
        <v>0</v>
      </c>
      <c r="AP13" s="33"/>
      <c r="AQ13" s="32">
        <v>0</v>
      </c>
      <c r="AR13" s="33"/>
      <c r="AS13" s="32" t="s">
        <v>141</v>
      </c>
      <c r="AT13" s="33"/>
      <c r="AU13" s="32" t="s">
        <v>141</v>
      </c>
      <c r="AV13" s="33"/>
      <c r="AW13" s="32" t="s">
        <v>141</v>
      </c>
      <c r="AX13" s="33"/>
      <c r="AY13" s="32">
        <v>0</v>
      </c>
      <c r="AZ13" s="33"/>
    </row>
    <row r="14" spans="1:52" x14ac:dyDescent="0.25">
      <c r="A14" s="6" t="s">
        <v>1533</v>
      </c>
      <c r="B14" s="6"/>
      <c r="C14" s="34">
        <v>39.107246000000004</v>
      </c>
      <c r="D14" s="35">
        <v>1</v>
      </c>
      <c r="E14" s="34">
        <v>37.652000000000001</v>
      </c>
      <c r="F14" s="35">
        <v>1</v>
      </c>
      <c r="G14" s="34">
        <v>61.686999999999998</v>
      </c>
      <c r="H14" s="35">
        <v>1</v>
      </c>
      <c r="I14" s="34">
        <v>45.277999999999999</v>
      </c>
      <c r="J14" s="35">
        <v>1</v>
      </c>
      <c r="K14" s="34">
        <v>55.3</v>
      </c>
      <c r="L14" s="35">
        <v>1</v>
      </c>
      <c r="M14" s="34">
        <v>58.3</v>
      </c>
      <c r="N14" s="35">
        <v>1</v>
      </c>
      <c r="O14" s="34">
        <v>80.900000000000006</v>
      </c>
      <c r="P14" s="35">
        <v>1</v>
      </c>
      <c r="Q14" s="34">
        <v>69.099999999999994</v>
      </c>
      <c r="R14" s="35">
        <v>1</v>
      </c>
      <c r="S14" s="34">
        <v>66.7</v>
      </c>
      <c r="T14" s="35">
        <v>1</v>
      </c>
      <c r="U14" s="34">
        <v>73.2</v>
      </c>
      <c r="V14" s="35">
        <v>1</v>
      </c>
      <c r="W14" s="34">
        <v>74.8</v>
      </c>
      <c r="X14" s="35">
        <v>1</v>
      </c>
      <c r="Y14" s="34">
        <v>92.7</v>
      </c>
      <c r="Z14" s="35">
        <v>1</v>
      </c>
      <c r="AA14" s="34">
        <v>87.4</v>
      </c>
      <c r="AB14" s="35">
        <v>1</v>
      </c>
      <c r="AC14" s="34">
        <v>102.2</v>
      </c>
      <c r="AD14" s="35">
        <v>1</v>
      </c>
      <c r="AE14" s="34">
        <v>135.9</v>
      </c>
      <c r="AF14" s="35">
        <v>1</v>
      </c>
      <c r="AG14" s="34">
        <v>107.7</v>
      </c>
      <c r="AH14" s="35">
        <v>1</v>
      </c>
      <c r="AI14" s="34">
        <v>118</v>
      </c>
      <c r="AJ14" s="35">
        <v>1</v>
      </c>
      <c r="AK14" s="34">
        <v>139.5</v>
      </c>
      <c r="AL14" s="35">
        <v>1</v>
      </c>
      <c r="AM14" s="34">
        <v>145.80000000000001</v>
      </c>
      <c r="AN14" s="35">
        <v>1</v>
      </c>
      <c r="AO14" s="34">
        <v>142.19999999999999</v>
      </c>
      <c r="AP14" s="35">
        <v>1</v>
      </c>
      <c r="AQ14" s="34">
        <v>137.5</v>
      </c>
      <c r="AR14" s="35">
        <v>1</v>
      </c>
      <c r="AS14" s="34">
        <v>159.4</v>
      </c>
      <c r="AT14" s="35">
        <v>1</v>
      </c>
      <c r="AU14" s="34">
        <v>191.1</v>
      </c>
      <c r="AV14" s="35">
        <v>1</v>
      </c>
      <c r="AW14" s="34">
        <v>195</v>
      </c>
      <c r="AX14" s="35">
        <v>1</v>
      </c>
      <c r="AY14" s="34">
        <v>185.6</v>
      </c>
      <c r="AZ14" s="35">
        <v>1</v>
      </c>
    </row>
    <row r="15" spans="1:52" x14ac:dyDescent="0.25">
      <c r="A15" s="10" t="s">
        <v>1534</v>
      </c>
      <c r="B15" s="10"/>
      <c r="C15" s="32">
        <v>12</v>
      </c>
      <c r="D15" s="33">
        <v>0.30684850577307299</v>
      </c>
      <c r="E15" s="32">
        <v>15.9</v>
      </c>
      <c r="F15" s="33">
        <v>0.42228832465738902</v>
      </c>
      <c r="G15" s="32">
        <v>16.914000000000001</v>
      </c>
      <c r="H15" s="33">
        <v>0.27419067226482102</v>
      </c>
      <c r="I15" s="32">
        <v>17.917999999999999</v>
      </c>
      <c r="J15" s="33">
        <v>0.39573302707716801</v>
      </c>
      <c r="K15" s="32">
        <v>20.614999999999998</v>
      </c>
      <c r="L15" s="33">
        <v>0.37278481012658199</v>
      </c>
      <c r="M15" s="32">
        <v>23.9</v>
      </c>
      <c r="N15" s="33">
        <v>0.40994854202401398</v>
      </c>
      <c r="O15" s="32">
        <v>25.2</v>
      </c>
      <c r="P15" s="33">
        <v>0.31149567367119901</v>
      </c>
      <c r="Q15" s="32">
        <v>24.8</v>
      </c>
      <c r="R15" s="33">
        <v>0.35890014471780002</v>
      </c>
      <c r="S15" s="32">
        <v>21.5</v>
      </c>
      <c r="T15" s="33">
        <v>0.32233883058470802</v>
      </c>
      <c r="U15" s="32">
        <v>35.5</v>
      </c>
      <c r="V15" s="33">
        <v>0.48497267759562801</v>
      </c>
      <c r="W15" s="32">
        <v>29.1</v>
      </c>
      <c r="X15" s="33">
        <v>0.38903743315507999</v>
      </c>
      <c r="Y15" s="32">
        <v>32.4</v>
      </c>
      <c r="Z15" s="33">
        <v>0.34951456310679602</v>
      </c>
      <c r="AA15" s="32">
        <v>32.1</v>
      </c>
      <c r="AB15" s="33">
        <v>0.36727688787185397</v>
      </c>
      <c r="AC15" s="32">
        <v>37.299999999999997</v>
      </c>
      <c r="AD15" s="33">
        <v>0.364970645792564</v>
      </c>
      <c r="AE15" s="32">
        <v>40.799999999999997</v>
      </c>
      <c r="AF15" s="33">
        <v>0.30022075055187603</v>
      </c>
      <c r="AG15" s="32">
        <v>41.6</v>
      </c>
      <c r="AH15" s="33">
        <v>0.38625812441968399</v>
      </c>
      <c r="AI15" s="32">
        <v>44.1</v>
      </c>
      <c r="AJ15" s="33">
        <v>0.37372881355932203</v>
      </c>
      <c r="AK15" s="32">
        <v>47.8</v>
      </c>
      <c r="AL15" s="33">
        <v>0.34265232974910398</v>
      </c>
      <c r="AM15" s="32">
        <v>57.4</v>
      </c>
      <c r="AN15" s="33">
        <v>0.39368998628257901</v>
      </c>
      <c r="AO15" s="32">
        <v>52.2</v>
      </c>
      <c r="AP15" s="33">
        <v>0.367088607594937</v>
      </c>
      <c r="AQ15" s="32">
        <v>49.3</v>
      </c>
      <c r="AR15" s="33">
        <v>0.358545454545455</v>
      </c>
      <c r="AS15" s="32">
        <v>57.6</v>
      </c>
      <c r="AT15" s="33">
        <v>0.36135508155583401</v>
      </c>
      <c r="AU15" s="32">
        <v>54.9</v>
      </c>
      <c r="AV15" s="33">
        <v>0.28728414442700201</v>
      </c>
      <c r="AW15" s="32">
        <v>55.4</v>
      </c>
      <c r="AX15" s="33">
        <v>0.28410256410256401</v>
      </c>
      <c r="AY15" s="32">
        <v>68.8</v>
      </c>
      <c r="AZ15" s="33">
        <v>0.37068965517241398</v>
      </c>
    </row>
    <row r="16" spans="1:52" x14ac:dyDescent="0.25">
      <c r="A16" s="10" t="s">
        <v>1535</v>
      </c>
      <c r="B16" s="10"/>
      <c r="C16" s="32">
        <v>11.28</v>
      </c>
      <c r="D16" s="33">
        <v>0.28843759542668901</v>
      </c>
      <c r="E16" s="32">
        <v>3.2</v>
      </c>
      <c r="F16" s="33">
        <v>8.4988845214065703E-2</v>
      </c>
      <c r="G16" s="32">
        <v>5.0330000000000004</v>
      </c>
      <c r="H16" s="33">
        <v>8.1589313793830096E-2</v>
      </c>
      <c r="I16" s="32">
        <v>4.3650000000000002</v>
      </c>
      <c r="J16" s="33">
        <v>9.6404434824859803E-2</v>
      </c>
      <c r="K16" s="32">
        <v>12.044</v>
      </c>
      <c r="L16" s="33">
        <v>0.217793851717902</v>
      </c>
      <c r="M16" s="32">
        <v>9.1999999999999993</v>
      </c>
      <c r="N16" s="33">
        <v>0.15780445969125201</v>
      </c>
      <c r="O16" s="32">
        <v>10.6</v>
      </c>
      <c r="P16" s="33">
        <v>0.131025957972806</v>
      </c>
      <c r="Q16" s="32">
        <v>11.7</v>
      </c>
      <c r="R16" s="33">
        <v>0.16931982633864001</v>
      </c>
      <c r="S16" s="32">
        <v>11.8</v>
      </c>
      <c r="T16" s="33">
        <v>0.17691154422788599</v>
      </c>
      <c r="U16" s="32">
        <v>9.4</v>
      </c>
      <c r="V16" s="33">
        <v>0.12841530054644801</v>
      </c>
      <c r="W16" s="32">
        <v>11.7</v>
      </c>
      <c r="X16" s="33">
        <v>0.15641711229946501</v>
      </c>
      <c r="Y16" s="32">
        <v>14.8</v>
      </c>
      <c r="Z16" s="33">
        <v>0.15965480043149899</v>
      </c>
      <c r="AA16" s="32">
        <v>14.6</v>
      </c>
      <c r="AB16" s="33">
        <v>0.16704805491990801</v>
      </c>
      <c r="AC16" s="32">
        <v>15.9</v>
      </c>
      <c r="AD16" s="33">
        <v>0.15557729941291601</v>
      </c>
      <c r="AE16" s="32">
        <v>15.8</v>
      </c>
      <c r="AF16" s="33">
        <v>0.11626195732156</v>
      </c>
      <c r="AG16" s="32">
        <v>13.5</v>
      </c>
      <c r="AH16" s="33">
        <v>0.125348189415042</v>
      </c>
      <c r="AI16" s="32">
        <v>18.5</v>
      </c>
      <c r="AJ16" s="33">
        <v>0.15677966101694901</v>
      </c>
      <c r="AK16" s="32">
        <v>20.8</v>
      </c>
      <c r="AL16" s="33">
        <v>0.14910394265233001</v>
      </c>
      <c r="AM16" s="32">
        <v>25.7</v>
      </c>
      <c r="AN16" s="33">
        <v>0.17626886145404699</v>
      </c>
      <c r="AO16" s="32">
        <v>28.4</v>
      </c>
      <c r="AP16" s="33">
        <v>0.19971870604781999</v>
      </c>
      <c r="AQ16" s="32">
        <v>21.6</v>
      </c>
      <c r="AR16" s="33">
        <v>0.157090909090909</v>
      </c>
      <c r="AS16" s="32">
        <v>26.2</v>
      </c>
      <c r="AT16" s="33">
        <v>0.16436637390213299</v>
      </c>
      <c r="AU16" s="32">
        <v>35.6</v>
      </c>
      <c r="AV16" s="33">
        <v>0.18628990057561501</v>
      </c>
      <c r="AW16" s="32">
        <v>42.1</v>
      </c>
      <c r="AX16" s="33">
        <v>0.21589743589743601</v>
      </c>
      <c r="AY16" s="32">
        <v>41.7</v>
      </c>
      <c r="AZ16" s="33">
        <v>0.22467672413793099</v>
      </c>
    </row>
    <row r="17" spans="1:52" x14ac:dyDescent="0.25">
      <c r="A17" s="10" t="s">
        <v>1536</v>
      </c>
      <c r="B17" s="10"/>
      <c r="C17" s="32">
        <v>1.2459999999999999E-3</v>
      </c>
      <c r="D17" s="33">
        <v>3.1861103182770798E-5</v>
      </c>
      <c r="E17" s="32">
        <v>3.9</v>
      </c>
      <c r="F17" s="33">
        <v>0.103580155104643</v>
      </c>
      <c r="G17" s="32">
        <v>13.89</v>
      </c>
      <c r="H17" s="33">
        <v>0.22516899833028001</v>
      </c>
      <c r="I17" s="32">
        <v>11.717000000000001</v>
      </c>
      <c r="J17" s="33">
        <v>0.25877909801669702</v>
      </c>
      <c r="K17" s="32">
        <v>14.166</v>
      </c>
      <c r="L17" s="33">
        <v>0.25616636528028902</v>
      </c>
      <c r="M17" s="32">
        <v>13</v>
      </c>
      <c r="N17" s="33">
        <v>0.22298456260720401</v>
      </c>
      <c r="O17" s="32">
        <v>13.1</v>
      </c>
      <c r="P17" s="33">
        <v>0.161928306551298</v>
      </c>
      <c r="Q17" s="32">
        <v>15.3</v>
      </c>
      <c r="R17" s="33">
        <v>0.22141823444283701</v>
      </c>
      <c r="S17" s="32">
        <v>13.7</v>
      </c>
      <c r="T17" s="33">
        <v>0.20539730134932499</v>
      </c>
      <c r="U17" s="32">
        <v>13</v>
      </c>
      <c r="V17" s="33">
        <v>0.17759562841530099</v>
      </c>
      <c r="W17" s="32">
        <v>13.1</v>
      </c>
      <c r="X17" s="33">
        <v>0.175133689839572</v>
      </c>
      <c r="Y17" s="32">
        <v>15.8</v>
      </c>
      <c r="Z17" s="33">
        <v>0.170442286947141</v>
      </c>
      <c r="AA17" s="32">
        <v>13.8</v>
      </c>
      <c r="AB17" s="33">
        <v>0.157894736842105</v>
      </c>
      <c r="AC17" s="32">
        <v>14.4</v>
      </c>
      <c r="AD17" s="33">
        <v>0.14090019569471601</v>
      </c>
      <c r="AE17" s="32">
        <v>15.7</v>
      </c>
      <c r="AF17" s="33">
        <v>0.115526122148639</v>
      </c>
      <c r="AG17" s="32">
        <v>18.100000000000001</v>
      </c>
      <c r="AH17" s="33">
        <v>0.16805942432683399</v>
      </c>
      <c r="AI17" s="32">
        <v>20.5</v>
      </c>
      <c r="AJ17" s="33">
        <v>0.17372881355932199</v>
      </c>
      <c r="AK17" s="32">
        <v>30.1</v>
      </c>
      <c r="AL17" s="33">
        <v>0.215770609318996</v>
      </c>
      <c r="AM17" s="32">
        <v>27.9</v>
      </c>
      <c r="AN17" s="33">
        <v>0.19135802469135799</v>
      </c>
      <c r="AO17" s="32">
        <v>24.2</v>
      </c>
      <c r="AP17" s="33">
        <v>0.17018284106891701</v>
      </c>
      <c r="AQ17" s="32">
        <v>23.9</v>
      </c>
      <c r="AR17" s="33">
        <v>0.17381818181818201</v>
      </c>
      <c r="AS17" s="32">
        <v>24.2</v>
      </c>
      <c r="AT17" s="33">
        <v>0.151819322459222</v>
      </c>
      <c r="AU17" s="32">
        <v>23.1</v>
      </c>
      <c r="AV17" s="33">
        <v>0.120879120879121</v>
      </c>
      <c r="AW17" s="32">
        <v>21.6</v>
      </c>
      <c r="AX17" s="33">
        <v>0.11076923076923099</v>
      </c>
      <c r="AY17" s="32">
        <v>32.9</v>
      </c>
      <c r="AZ17" s="33">
        <v>0.17726293103448301</v>
      </c>
    </row>
    <row r="18" spans="1:52" x14ac:dyDescent="0.25">
      <c r="A18" s="10" t="s">
        <v>1537</v>
      </c>
      <c r="B18" s="10"/>
      <c r="C18" s="32">
        <v>3</v>
      </c>
      <c r="D18" s="33">
        <v>7.6712126443268303E-2</v>
      </c>
      <c r="E18" s="32">
        <v>6.6520000000000001</v>
      </c>
      <c r="F18" s="33">
        <v>0.17667056198873901</v>
      </c>
      <c r="G18" s="32">
        <v>10.262</v>
      </c>
      <c r="H18" s="33">
        <v>0.16635595830564001</v>
      </c>
      <c r="I18" s="32">
        <v>5.0739999999999998</v>
      </c>
      <c r="J18" s="33">
        <v>0.112063253677283</v>
      </c>
      <c r="K18" s="32">
        <v>3.0070000000000001</v>
      </c>
      <c r="L18" s="33">
        <v>5.4376130198914997E-2</v>
      </c>
      <c r="M18" s="32">
        <v>7.6</v>
      </c>
      <c r="N18" s="33">
        <v>0.130360205831904</v>
      </c>
      <c r="O18" s="32">
        <v>6.3</v>
      </c>
      <c r="P18" s="33">
        <v>7.7873918417799698E-2</v>
      </c>
      <c r="Q18" s="32">
        <v>7.5</v>
      </c>
      <c r="R18" s="33">
        <v>0.108538350217077</v>
      </c>
      <c r="S18" s="32">
        <v>9.6</v>
      </c>
      <c r="T18" s="33">
        <v>0.14392803598200901</v>
      </c>
      <c r="U18" s="32">
        <v>9.8000000000000007</v>
      </c>
      <c r="V18" s="33">
        <v>0.13387978142076501</v>
      </c>
      <c r="W18" s="32">
        <v>12.5</v>
      </c>
      <c r="X18" s="33">
        <v>0.167112299465241</v>
      </c>
      <c r="Y18" s="32">
        <v>10.4</v>
      </c>
      <c r="Z18" s="33">
        <v>0.112189859762675</v>
      </c>
      <c r="AA18" s="32">
        <v>10.8</v>
      </c>
      <c r="AB18" s="33">
        <v>0.123569794050343</v>
      </c>
      <c r="AC18" s="32">
        <v>10.7</v>
      </c>
      <c r="AD18" s="33">
        <v>0.10469667318982399</v>
      </c>
      <c r="AE18" s="32">
        <v>11.5</v>
      </c>
      <c r="AF18" s="33">
        <v>8.4621044885945504E-2</v>
      </c>
      <c r="AG18" s="32">
        <v>11.4</v>
      </c>
      <c r="AH18" s="33">
        <v>0.105849582172702</v>
      </c>
      <c r="AI18" s="32">
        <v>10.199999999999999</v>
      </c>
      <c r="AJ18" s="33">
        <v>8.6440677966101706E-2</v>
      </c>
      <c r="AK18" s="32">
        <v>11.9</v>
      </c>
      <c r="AL18" s="33">
        <v>8.5304659498207897E-2</v>
      </c>
      <c r="AM18" s="32">
        <v>11.2</v>
      </c>
      <c r="AN18" s="33">
        <v>7.6817558299039801E-2</v>
      </c>
      <c r="AO18" s="32">
        <v>11.7</v>
      </c>
      <c r="AP18" s="33">
        <v>8.2278481012658194E-2</v>
      </c>
      <c r="AQ18" s="32">
        <v>12.7</v>
      </c>
      <c r="AR18" s="33">
        <v>9.2363636363636398E-2</v>
      </c>
      <c r="AS18" s="32">
        <v>18.100000000000001</v>
      </c>
      <c r="AT18" s="33">
        <v>0.113550815558344</v>
      </c>
      <c r="AU18" s="32">
        <v>19.8</v>
      </c>
      <c r="AV18" s="33">
        <v>0.10361067503924599</v>
      </c>
      <c r="AW18" s="32">
        <v>17.899999999999999</v>
      </c>
      <c r="AX18" s="33">
        <v>9.1794871794871793E-2</v>
      </c>
      <c r="AY18" s="32">
        <v>23.4</v>
      </c>
      <c r="AZ18" s="33">
        <v>0.12607758620689699</v>
      </c>
    </row>
    <row r="19" spans="1:52" x14ac:dyDescent="0.25">
      <c r="A19" s="10" t="s">
        <v>1538</v>
      </c>
      <c r="B19" s="10"/>
      <c r="C19" s="32">
        <v>12.826000000000001</v>
      </c>
      <c r="D19" s="33">
        <v>0.32796991125378699</v>
      </c>
      <c r="E19" s="32">
        <v>8</v>
      </c>
      <c r="F19" s="33">
        <v>0.212472113035164</v>
      </c>
      <c r="G19" s="32">
        <v>5.5880000000000001</v>
      </c>
      <c r="H19" s="33">
        <v>9.05863472044353E-2</v>
      </c>
      <c r="I19" s="32">
        <v>6.2039999999999997</v>
      </c>
      <c r="J19" s="33">
        <v>0.13702018640399299</v>
      </c>
      <c r="K19" s="32">
        <v>5.468</v>
      </c>
      <c r="L19" s="33">
        <v>9.8878842676311002E-2</v>
      </c>
      <c r="M19" s="32">
        <v>4.5999999999999996</v>
      </c>
      <c r="N19" s="33">
        <v>7.8902229845626101E-2</v>
      </c>
      <c r="O19" s="32">
        <v>5.7</v>
      </c>
      <c r="P19" s="33">
        <v>7.0457354758961699E-2</v>
      </c>
      <c r="Q19" s="32">
        <v>9.8000000000000007</v>
      </c>
      <c r="R19" s="33">
        <v>0.14182344428364699</v>
      </c>
      <c r="S19" s="32">
        <v>10.1</v>
      </c>
      <c r="T19" s="33">
        <v>0.15142428785607201</v>
      </c>
      <c r="U19" s="32">
        <v>5.5</v>
      </c>
      <c r="V19" s="33">
        <v>7.5136612021857896E-2</v>
      </c>
      <c r="W19" s="32">
        <v>8.4</v>
      </c>
      <c r="X19" s="33">
        <v>0.11229946524064199</v>
      </c>
      <c r="Y19" s="32">
        <v>13.9</v>
      </c>
      <c r="Z19" s="33">
        <v>0.14994606256742199</v>
      </c>
      <c r="AA19" s="32">
        <v>16.100000000000001</v>
      </c>
      <c r="AB19" s="33">
        <v>0.18421052631578899</v>
      </c>
      <c r="AC19" s="32">
        <v>16.600000000000001</v>
      </c>
      <c r="AD19" s="33">
        <v>0.16242661448140899</v>
      </c>
      <c r="AE19" s="32">
        <v>21.7</v>
      </c>
      <c r="AF19" s="33">
        <v>0.159676232523915</v>
      </c>
      <c r="AG19" s="32">
        <v>18.100000000000001</v>
      </c>
      <c r="AH19" s="33">
        <v>0.16805942432683399</v>
      </c>
      <c r="AI19" s="32">
        <v>24.7</v>
      </c>
      <c r="AJ19" s="33">
        <v>0.209322033898305</v>
      </c>
      <c r="AK19" s="32">
        <v>28.9</v>
      </c>
      <c r="AL19" s="33">
        <v>0.207168458781362</v>
      </c>
      <c r="AM19" s="32">
        <v>23.6</v>
      </c>
      <c r="AN19" s="33">
        <v>0.16186556927297699</v>
      </c>
      <c r="AO19" s="32">
        <v>25.4</v>
      </c>
      <c r="AP19" s="33">
        <v>0.178621659634318</v>
      </c>
      <c r="AQ19" s="32">
        <v>29.5</v>
      </c>
      <c r="AR19" s="33">
        <v>0.21454545454545501</v>
      </c>
      <c r="AS19" s="32">
        <v>27.2</v>
      </c>
      <c r="AT19" s="33">
        <v>0.170639899623588</v>
      </c>
      <c r="AU19" s="32">
        <v>31.2</v>
      </c>
      <c r="AV19" s="33">
        <v>0.16326530612244899</v>
      </c>
      <c r="AW19" s="32">
        <v>19.2</v>
      </c>
      <c r="AX19" s="33">
        <v>9.8461538461538503E-2</v>
      </c>
      <c r="AY19" s="32">
        <v>18.5</v>
      </c>
      <c r="AZ19" s="33">
        <v>9.9676724137930994E-2</v>
      </c>
    </row>
    <row r="20" spans="1:52" x14ac:dyDescent="0.25">
      <c r="A20" s="10" t="s">
        <v>1539</v>
      </c>
      <c r="B20" s="10"/>
      <c r="C20" s="32">
        <v>0</v>
      </c>
      <c r="D20" s="33"/>
      <c r="E20" s="32">
        <v>0</v>
      </c>
      <c r="F20" s="33"/>
      <c r="G20" s="32">
        <v>10</v>
      </c>
      <c r="H20" s="33">
        <v>0.16210871010099401</v>
      </c>
      <c r="I20" s="32">
        <v>0</v>
      </c>
      <c r="J20" s="33"/>
      <c r="K20" s="32">
        <v>0</v>
      </c>
      <c r="L20" s="33"/>
      <c r="M20" s="32">
        <v>0</v>
      </c>
      <c r="N20" s="33"/>
      <c r="O20" s="32">
        <v>20</v>
      </c>
      <c r="P20" s="33">
        <v>0.247218788627936</v>
      </c>
      <c r="Q20" s="32">
        <v>0</v>
      </c>
      <c r="R20" s="33"/>
      <c r="S20" s="32">
        <v>0</v>
      </c>
      <c r="T20" s="33"/>
      <c r="U20" s="32">
        <v>0</v>
      </c>
      <c r="V20" s="33"/>
      <c r="W20" s="32">
        <v>0</v>
      </c>
      <c r="X20" s="33"/>
      <c r="Y20" s="32">
        <v>5.4</v>
      </c>
      <c r="Z20" s="33">
        <v>5.8252427184466E-2</v>
      </c>
      <c r="AA20" s="32">
        <v>0</v>
      </c>
      <c r="AB20" s="33"/>
      <c r="AC20" s="32">
        <v>7.3</v>
      </c>
      <c r="AD20" s="33">
        <v>7.1428571428571397E-2</v>
      </c>
      <c r="AE20" s="32">
        <v>30.4</v>
      </c>
      <c r="AF20" s="33">
        <v>0.22369389256806499</v>
      </c>
      <c r="AG20" s="32">
        <v>5</v>
      </c>
      <c r="AH20" s="33">
        <v>4.6425255338904403E-2</v>
      </c>
      <c r="AI20" s="32">
        <v>0</v>
      </c>
      <c r="AJ20" s="33"/>
      <c r="AK20" s="32">
        <v>0</v>
      </c>
      <c r="AL20" s="33"/>
      <c r="AM20" s="32">
        <v>0</v>
      </c>
      <c r="AN20" s="33"/>
      <c r="AO20" s="32">
        <v>0.3</v>
      </c>
      <c r="AP20" s="33">
        <v>2.1097046413502099E-3</v>
      </c>
      <c r="AQ20" s="32">
        <v>0.5</v>
      </c>
      <c r="AR20" s="33">
        <v>3.6363636363636398E-3</v>
      </c>
      <c r="AS20" s="32">
        <v>6.1</v>
      </c>
      <c r="AT20" s="33">
        <v>3.8268506900878303E-2</v>
      </c>
      <c r="AU20" s="32">
        <v>26.5</v>
      </c>
      <c r="AV20" s="33">
        <v>0.138670852956567</v>
      </c>
      <c r="AW20" s="32">
        <v>38.799999999999997</v>
      </c>
      <c r="AX20" s="33">
        <v>0.198974358974359</v>
      </c>
      <c r="AY20" s="32">
        <v>0.3</v>
      </c>
      <c r="AZ20" s="33">
        <v>1.6163793103448299E-3</v>
      </c>
    </row>
    <row r="21" spans="1:52" x14ac:dyDescent="0.25">
      <c r="A21" s="7" t="s">
        <v>90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Z3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  <col min="51" max="51" width="11.85546875" customWidth="1"/>
    <col min="52" max="52" width="7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0.25" x14ac:dyDescent="0.25">
      <c r="A2" s="8" t="s">
        <v>1540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9</v>
      </c>
      <c r="H4" s="30"/>
      <c r="I4" s="30" t="s">
        <v>10</v>
      </c>
      <c r="J4" s="30"/>
      <c r="K4" s="30" t="s">
        <v>11</v>
      </c>
      <c r="L4" s="30"/>
      <c r="M4" s="30" t="s">
        <v>12</v>
      </c>
      <c r="N4" s="30"/>
      <c r="O4" s="30" t="s">
        <v>13</v>
      </c>
      <c r="P4" s="30"/>
      <c r="Q4" s="30" t="s">
        <v>14</v>
      </c>
      <c r="R4" s="30"/>
      <c r="S4" s="30" t="s">
        <v>15</v>
      </c>
      <c r="T4" s="30"/>
      <c r="U4" s="30" t="s">
        <v>16</v>
      </c>
      <c r="V4" s="30"/>
      <c r="W4" s="30" t="s">
        <v>17</v>
      </c>
      <c r="X4" s="30"/>
      <c r="Y4" s="30" t="s">
        <v>18</v>
      </c>
      <c r="Z4" s="30"/>
      <c r="AA4" s="30" t="s">
        <v>19</v>
      </c>
      <c r="AB4" s="30"/>
      <c r="AC4" s="30" t="s">
        <v>20</v>
      </c>
      <c r="AD4" s="30"/>
      <c r="AE4" s="30" t="s">
        <v>21</v>
      </c>
      <c r="AF4" s="30"/>
      <c r="AG4" s="30" t="s">
        <v>22</v>
      </c>
      <c r="AH4" s="30"/>
      <c r="AI4" s="30" t="s">
        <v>23</v>
      </c>
      <c r="AJ4" s="30"/>
      <c r="AK4" s="30" t="s">
        <v>24</v>
      </c>
      <c r="AL4" s="30"/>
      <c r="AM4" s="30" t="s">
        <v>25</v>
      </c>
      <c r="AN4" s="30"/>
      <c r="AO4" s="30" t="s">
        <v>26</v>
      </c>
      <c r="AP4" s="30"/>
      <c r="AQ4" s="30" t="s">
        <v>27</v>
      </c>
      <c r="AR4" s="30"/>
      <c r="AS4" s="30" t="s">
        <v>28</v>
      </c>
      <c r="AT4" s="30"/>
      <c r="AU4" s="30" t="s">
        <v>29</v>
      </c>
      <c r="AV4" s="30"/>
      <c r="AW4" s="30" t="s">
        <v>30</v>
      </c>
      <c r="AX4" s="30"/>
      <c r="AY4" s="30" t="s">
        <v>31</v>
      </c>
      <c r="AZ4" s="30"/>
    </row>
    <row r="5" spans="1:52" x14ac:dyDescent="0.25">
      <c r="A5" s="9" t="s">
        <v>34</v>
      </c>
      <c r="B5" s="9"/>
      <c r="C5" s="31" t="s">
        <v>95</v>
      </c>
      <c r="D5" s="31"/>
      <c r="E5" s="31" t="s">
        <v>96</v>
      </c>
      <c r="F5" s="31"/>
      <c r="G5" s="31" t="s">
        <v>35</v>
      </c>
      <c r="H5" s="31"/>
      <c r="I5" s="31" t="s">
        <v>36</v>
      </c>
      <c r="J5" s="31"/>
      <c r="K5" s="31" t="s">
        <v>37</v>
      </c>
      <c r="L5" s="31"/>
      <c r="M5" s="31" t="s">
        <v>38</v>
      </c>
      <c r="N5" s="31"/>
      <c r="O5" s="31" t="s">
        <v>39</v>
      </c>
      <c r="P5" s="31"/>
      <c r="Q5" s="31" t="s">
        <v>40</v>
      </c>
      <c r="R5" s="31"/>
      <c r="S5" s="31" t="s">
        <v>41</v>
      </c>
      <c r="T5" s="31"/>
      <c r="U5" s="31" t="s">
        <v>42</v>
      </c>
      <c r="V5" s="31"/>
      <c r="W5" s="31" t="s">
        <v>43</v>
      </c>
      <c r="X5" s="31"/>
      <c r="Y5" s="31" t="s">
        <v>44</v>
      </c>
      <c r="Z5" s="31"/>
      <c r="AA5" s="31" t="s">
        <v>45</v>
      </c>
      <c r="AB5" s="31"/>
      <c r="AC5" s="31" t="s">
        <v>46</v>
      </c>
      <c r="AD5" s="31"/>
      <c r="AE5" s="31" t="s">
        <v>47</v>
      </c>
      <c r="AF5" s="31"/>
      <c r="AG5" s="31" t="s">
        <v>48</v>
      </c>
      <c r="AH5" s="31"/>
      <c r="AI5" s="31" t="s">
        <v>49</v>
      </c>
      <c r="AJ5" s="31"/>
      <c r="AK5" s="31" t="s">
        <v>50</v>
      </c>
      <c r="AL5" s="31"/>
      <c r="AM5" s="31" t="s">
        <v>51</v>
      </c>
      <c r="AN5" s="31"/>
      <c r="AO5" s="31" t="s">
        <v>52</v>
      </c>
      <c r="AP5" s="31"/>
      <c r="AQ5" s="31" t="s">
        <v>53</v>
      </c>
      <c r="AR5" s="31"/>
      <c r="AS5" s="31" t="s">
        <v>54</v>
      </c>
      <c r="AT5" s="31"/>
      <c r="AU5" s="31" t="s">
        <v>55</v>
      </c>
      <c r="AV5" s="31"/>
      <c r="AW5" s="31" t="s">
        <v>56</v>
      </c>
      <c r="AX5" s="31"/>
      <c r="AY5" s="31" t="s">
        <v>57</v>
      </c>
      <c r="AZ5" s="31"/>
    </row>
    <row r="6" spans="1:52" x14ac:dyDescent="0.25">
      <c r="A6" s="6" t="s">
        <v>0</v>
      </c>
      <c r="B6" s="6"/>
      <c r="C6" s="34">
        <v>131.49199999999999</v>
      </c>
      <c r="D6" s="35">
        <v>1</v>
      </c>
      <c r="E6" s="34">
        <v>138.40299999999999</v>
      </c>
      <c r="F6" s="35">
        <v>1</v>
      </c>
      <c r="G6" s="34">
        <v>183.58</v>
      </c>
      <c r="H6" s="35">
        <v>1</v>
      </c>
      <c r="I6" s="34">
        <v>222.09399999999999</v>
      </c>
      <c r="J6" s="35">
        <v>1</v>
      </c>
      <c r="K6" s="34">
        <v>244.1</v>
      </c>
      <c r="L6" s="35">
        <v>1</v>
      </c>
      <c r="M6" s="34">
        <v>237.1</v>
      </c>
      <c r="N6" s="35">
        <v>1</v>
      </c>
      <c r="O6" s="34">
        <v>302.39999999999998</v>
      </c>
      <c r="P6" s="35">
        <v>1</v>
      </c>
      <c r="Q6" s="34">
        <v>258.5</v>
      </c>
      <c r="R6" s="35">
        <v>1</v>
      </c>
      <c r="S6" s="34">
        <v>0.24790000000000001</v>
      </c>
      <c r="T6" s="35">
        <v>1</v>
      </c>
      <c r="U6" s="34">
        <v>236.6</v>
      </c>
      <c r="V6" s="35">
        <v>1</v>
      </c>
      <c r="W6" s="34">
        <v>288.89999999999998</v>
      </c>
      <c r="X6" s="35">
        <v>1</v>
      </c>
      <c r="Y6" s="34">
        <v>296</v>
      </c>
      <c r="Z6" s="35">
        <v>1</v>
      </c>
      <c r="AA6" s="34">
        <v>312</v>
      </c>
      <c r="AB6" s="35">
        <v>1</v>
      </c>
      <c r="AC6" s="34">
        <v>310.60000000000002</v>
      </c>
      <c r="AD6" s="35">
        <v>1</v>
      </c>
      <c r="AE6" s="34">
        <v>378.2</v>
      </c>
      <c r="AF6" s="35">
        <v>1</v>
      </c>
      <c r="AG6" s="34">
        <v>387.9</v>
      </c>
      <c r="AH6" s="35">
        <v>1</v>
      </c>
      <c r="AI6" s="34">
        <v>0.41199999999999998</v>
      </c>
      <c r="AJ6" s="35">
        <v>1</v>
      </c>
      <c r="AK6" s="34">
        <v>420.4</v>
      </c>
      <c r="AL6" s="35">
        <v>1</v>
      </c>
      <c r="AM6" s="34">
        <v>452.7</v>
      </c>
      <c r="AN6" s="35">
        <v>1</v>
      </c>
      <c r="AO6" s="34">
        <v>498.8</v>
      </c>
      <c r="AP6" s="35">
        <v>1</v>
      </c>
      <c r="AQ6" s="34">
        <v>515.20000000000005</v>
      </c>
      <c r="AR6" s="35">
        <v>1</v>
      </c>
      <c r="AS6" s="34">
        <v>515.29999999999995</v>
      </c>
      <c r="AT6" s="35">
        <v>1</v>
      </c>
      <c r="AU6" s="34">
        <v>590.20000000000005</v>
      </c>
      <c r="AV6" s="35">
        <v>1</v>
      </c>
      <c r="AW6" s="34">
        <v>622.1</v>
      </c>
      <c r="AX6" s="35">
        <v>1</v>
      </c>
      <c r="AY6" s="34" t="s">
        <v>141</v>
      </c>
      <c r="AZ6" s="35"/>
    </row>
    <row r="7" spans="1:52" x14ac:dyDescent="0.25">
      <c r="A7" s="10" t="s">
        <v>1541</v>
      </c>
      <c r="B7" s="10"/>
      <c r="C7" s="32">
        <v>131.49199999999999</v>
      </c>
      <c r="D7" s="33">
        <v>1</v>
      </c>
      <c r="E7" s="32">
        <v>138.40299999999999</v>
      </c>
      <c r="F7" s="33">
        <v>1</v>
      </c>
      <c r="G7" s="32">
        <v>183.58</v>
      </c>
      <c r="H7" s="33">
        <v>1</v>
      </c>
      <c r="I7" s="32">
        <v>222.09399999999999</v>
      </c>
      <c r="J7" s="33">
        <v>1</v>
      </c>
      <c r="K7" s="32">
        <v>244.1</v>
      </c>
      <c r="L7" s="33">
        <v>1</v>
      </c>
      <c r="M7" s="32">
        <v>237.1</v>
      </c>
      <c r="N7" s="33">
        <v>1</v>
      </c>
      <c r="O7" s="32">
        <v>302.39999999999998</v>
      </c>
      <c r="P7" s="33">
        <v>1</v>
      </c>
      <c r="Q7" s="32">
        <v>258.5</v>
      </c>
      <c r="R7" s="33">
        <v>1</v>
      </c>
      <c r="S7" s="32">
        <v>0.24790000000000001</v>
      </c>
      <c r="T7" s="33">
        <v>1</v>
      </c>
      <c r="U7" s="32">
        <v>236.6</v>
      </c>
      <c r="V7" s="33">
        <v>1</v>
      </c>
      <c r="W7" s="32">
        <v>288.89999999999998</v>
      </c>
      <c r="X7" s="33">
        <v>1</v>
      </c>
      <c r="Y7" s="32">
        <v>296</v>
      </c>
      <c r="Z7" s="33">
        <v>1</v>
      </c>
      <c r="AA7" s="32">
        <v>312</v>
      </c>
      <c r="AB7" s="33">
        <v>1</v>
      </c>
      <c r="AC7" s="32">
        <v>310.60000000000002</v>
      </c>
      <c r="AD7" s="33">
        <v>1</v>
      </c>
      <c r="AE7" s="32">
        <v>378.2</v>
      </c>
      <c r="AF7" s="33">
        <v>1</v>
      </c>
      <c r="AG7" s="32">
        <v>387.9</v>
      </c>
      <c r="AH7" s="33">
        <v>1</v>
      </c>
      <c r="AI7" s="32">
        <v>0.41199999999999998</v>
      </c>
      <c r="AJ7" s="33">
        <v>1</v>
      </c>
      <c r="AK7" s="32">
        <v>420.4</v>
      </c>
      <c r="AL7" s="33">
        <v>1</v>
      </c>
      <c r="AM7" s="32">
        <v>452.7</v>
      </c>
      <c r="AN7" s="33">
        <v>1</v>
      </c>
      <c r="AO7" s="32">
        <v>498.8</v>
      </c>
      <c r="AP7" s="33">
        <v>1</v>
      </c>
      <c r="AQ7" s="32">
        <v>515.20000000000005</v>
      </c>
      <c r="AR7" s="33">
        <v>1</v>
      </c>
      <c r="AS7" s="32">
        <v>515.29999999999995</v>
      </c>
      <c r="AT7" s="33">
        <v>1</v>
      </c>
      <c r="AU7" s="32">
        <v>590.20000000000005</v>
      </c>
      <c r="AV7" s="33">
        <v>1</v>
      </c>
      <c r="AW7" s="32">
        <v>622.1</v>
      </c>
      <c r="AX7" s="33">
        <v>1</v>
      </c>
      <c r="AY7" s="32" t="s">
        <v>141</v>
      </c>
      <c r="AZ7" s="33"/>
    </row>
    <row r="8" spans="1:52" x14ac:dyDescent="0.25">
      <c r="A8" s="6" t="s">
        <v>2</v>
      </c>
      <c r="B8" s="6"/>
      <c r="C8" s="34">
        <v>129.958</v>
      </c>
      <c r="D8" s="35">
        <v>1</v>
      </c>
      <c r="E8" s="34">
        <v>137.274</v>
      </c>
      <c r="F8" s="35">
        <v>1</v>
      </c>
      <c r="G8" s="34">
        <v>181.97200000000001</v>
      </c>
      <c r="H8" s="35">
        <v>1</v>
      </c>
      <c r="I8" s="34">
        <v>219.86500000000001</v>
      </c>
      <c r="J8" s="35">
        <v>1</v>
      </c>
      <c r="K8" s="34">
        <v>241.6</v>
      </c>
      <c r="L8" s="35">
        <v>1</v>
      </c>
      <c r="M8" s="34">
        <v>235</v>
      </c>
      <c r="N8" s="35">
        <v>1</v>
      </c>
      <c r="O8" s="34">
        <v>300</v>
      </c>
      <c r="P8" s="35">
        <v>1</v>
      </c>
      <c r="Q8" s="34">
        <v>255.8</v>
      </c>
      <c r="R8" s="35">
        <v>1</v>
      </c>
      <c r="S8" s="34">
        <v>0.245</v>
      </c>
      <c r="T8" s="35">
        <v>1</v>
      </c>
      <c r="U8" s="34">
        <v>233.7</v>
      </c>
      <c r="V8" s="35">
        <v>1</v>
      </c>
      <c r="W8" s="34">
        <v>285.8</v>
      </c>
      <c r="X8" s="35">
        <v>1</v>
      </c>
      <c r="Y8" s="34">
        <v>291.8</v>
      </c>
      <c r="Z8" s="35">
        <v>1</v>
      </c>
      <c r="AA8" s="34">
        <v>307.89999999999998</v>
      </c>
      <c r="AB8" s="35">
        <v>1</v>
      </c>
      <c r="AC8" s="34">
        <v>306</v>
      </c>
      <c r="AD8" s="35">
        <v>1</v>
      </c>
      <c r="AE8" s="34">
        <v>373.4</v>
      </c>
      <c r="AF8" s="35">
        <v>1</v>
      </c>
      <c r="AG8" s="34">
        <v>381.8</v>
      </c>
      <c r="AH8" s="35">
        <v>1</v>
      </c>
      <c r="AI8" s="34">
        <v>0.40429999999999999</v>
      </c>
      <c r="AJ8" s="35">
        <v>1</v>
      </c>
      <c r="AK8" s="34">
        <v>411.9</v>
      </c>
      <c r="AL8" s="35">
        <v>1</v>
      </c>
      <c r="AM8" s="34">
        <v>441.2</v>
      </c>
      <c r="AN8" s="35">
        <v>1</v>
      </c>
      <c r="AO8" s="34">
        <v>487.6</v>
      </c>
      <c r="AP8" s="35">
        <v>1</v>
      </c>
      <c r="AQ8" s="34">
        <v>506.7</v>
      </c>
      <c r="AR8" s="35">
        <v>1</v>
      </c>
      <c r="AS8" s="34">
        <v>507.8</v>
      </c>
      <c r="AT8" s="35">
        <v>1</v>
      </c>
      <c r="AU8" s="34">
        <v>581</v>
      </c>
      <c r="AV8" s="35">
        <v>1</v>
      </c>
      <c r="AW8" s="34">
        <v>614.1</v>
      </c>
      <c r="AX8" s="35">
        <v>1</v>
      </c>
      <c r="AY8" s="34" t="s">
        <v>141</v>
      </c>
      <c r="AZ8" s="35"/>
    </row>
    <row r="9" spans="1:52" x14ac:dyDescent="0.25">
      <c r="A9" s="10" t="s">
        <v>1541</v>
      </c>
      <c r="B9" s="10"/>
      <c r="C9" s="32">
        <v>129.958</v>
      </c>
      <c r="D9" s="33">
        <v>1</v>
      </c>
      <c r="E9" s="32">
        <v>137.274</v>
      </c>
      <c r="F9" s="33">
        <v>1</v>
      </c>
      <c r="G9" s="32">
        <v>181.97200000000001</v>
      </c>
      <c r="H9" s="33">
        <v>1</v>
      </c>
      <c r="I9" s="32">
        <v>219.86500000000001</v>
      </c>
      <c r="J9" s="33">
        <v>1</v>
      </c>
      <c r="K9" s="32">
        <v>241.6</v>
      </c>
      <c r="L9" s="33">
        <v>1</v>
      </c>
      <c r="M9" s="32">
        <v>235</v>
      </c>
      <c r="N9" s="33">
        <v>1</v>
      </c>
      <c r="O9" s="32">
        <v>300</v>
      </c>
      <c r="P9" s="33">
        <v>1</v>
      </c>
      <c r="Q9" s="32">
        <v>255.8</v>
      </c>
      <c r="R9" s="33">
        <v>1</v>
      </c>
      <c r="S9" s="32">
        <v>0.245</v>
      </c>
      <c r="T9" s="33">
        <v>1</v>
      </c>
      <c r="U9" s="32">
        <v>233.7</v>
      </c>
      <c r="V9" s="33">
        <v>1</v>
      </c>
      <c r="W9" s="32">
        <v>285.8</v>
      </c>
      <c r="X9" s="33">
        <v>1</v>
      </c>
      <c r="Y9" s="32">
        <v>291.8</v>
      </c>
      <c r="Z9" s="33">
        <v>1</v>
      </c>
      <c r="AA9" s="32">
        <v>307.89999999999998</v>
      </c>
      <c r="AB9" s="33">
        <v>1</v>
      </c>
      <c r="AC9" s="32">
        <v>306</v>
      </c>
      <c r="AD9" s="33">
        <v>1</v>
      </c>
      <c r="AE9" s="32">
        <v>373.4</v>
      </c>
      <c r="AF9" s="33">
        <v>1</v>
      </c>
      <c r="AG9" s="32">
        <v>381.8</v>
      </c>
      <c r="AH9" s="33">
        <v>1</v>
      </c>
      <c r="AI9" s="32">
        <v>0.40429999999999999</v>
      </c>
      <c r="AJ9" s="33">
        <v>1</v>
      </c>
      <c r="AK9" s="32">
        <v>411.9</v>
      </c>
      <c r="AL9" s="33">
        <v>1</v>
      </c>
      <c r="AM9" s="32">
        <v>441.2</v>
      </c>
      <c r="AN9" s="33">
        <v>1</v>
      </c>
      <c r="AO9" s="32">
        <v>487.6</v>
      </c>
      <c r="AP9" s="33">
        <v>1</v>
      </c>
      <c r="AQ9" s="32">
        <v>506.7</v>
      </c>
      <c r="AR9" s="33">
        <v>1</v>
      </c>
      <c r="AS9" s="32">
        <v>507.8</v>
      </c>
      <c r="AT9" s="33">
        <v>1</v>
      </c>
      <c r="AU9" s="32">
        <v>581</v>
      </c>
      <c r="AV9" s="33">
        <v>1</v>
      </c>
      <c r="AW9" s="32">
        <v>614.1</v>
      </c>
      <c r="AX9" s="33">
        <v>1</v>
      </c>
      <c r="AY9" s="32" t="s">
        <v>141</v>
      </c>
      <c r="AZ9" s="33"/>
    </row>
    <row r="10" spans="1:52" x14ac:dyDescent="0.25">
      <c r="A10" s="6" t="s">
        <v>98</v>
      </c>
      <c r="B10" s="6"/>
      <c r="C10" s="34">
        <v>21.870999999999999</v>
      </c>
      <c r="D10" s="35">
        <v>1</v>
      </c>
      <c r="E10" s="34">
        <v>-100.997</v>
      </c>
      <c r="F10" s="35"/>
      <c r="G10" s="34">
        <v>34.460999999999999</v>
      </c>
      <c r="H10" s="35">
        <v>1</v>
      </c>
      <c r="I10" s="34">
        <v>90.097999999999999</v>
      </c>
      <c r="J10" s="35">
        <v>1</v>
      </c>
      <c r="K10" s="34">
        <v>48.8</v>
      </c>
      <c r="L10" s="35">
        <v>1</v>
      </c>
      <c r="M10" s="34">
        <v>58.9</v>
      </c>
      <c r="N10" s="35">
        <v>1</v>
      </c>
      <c r="O10" s="34">
        <v>76.599999999999994</v>
      </c>
      <c r="P10" s="35">
        <v>1</v>
      </c>
      <c r="Q10" s="34">
        <v>-44.3</v>
      </c>
      <c r="R10" s="35"/>
      <c r="S10" s="34">
        <v>7.1800000000000003E-2</v>
      </c>
      <c r="T10" s="35">
        <v>1</v>
      </c>
      <c r="U10" s="34">
        <v>31.5</v>
      </c>
      <c r="V10" s="35">
        <v>1</v>
      </c>
      <c r="W10" s="34">
        <v>62.8</v>
      </c>
      <c r="X10" s="35">
        <v>1</v>
      </c>
      <c r="Y10" s="34">
        <v>44.5</v>
      </c>
      <c r="Z10" s="35">
        <v>1</v>
      </c>
      <c r="AA10" s="34">
        <v>-36.299999999999997</v>
      </c>
      <c r="AB10" s="35"/>
      <c r="AC10" s="34">
        <v>3.1</v>
      </c>
      <c r="AD10" s="35">
        <v>1</v>
      </c>
      <c r="AE10" s="34">
        <v>54.7</v>
      </c>
      <c r="AF10" s="35">
        <v>1</v>
      </c>
      <c r="AG10" s="34">
        <v>87.8</v>
      </c>
      <c r="AH10" s="35">
        <v>1</v>
      </c>
      <c r="AI10" s="34">
        <v>0.10340000000000001</v>
      </c>
      <c r="AJ10" s="35">
        <v>1</v>
      </c>
      <c r="AK10" s="34">
        <v>-114.2</v>
      </c>
      <c r="AL10" s="35"/>
      <c r="AM10" s="34">
        <v>73.599999999999994</v>
      </c>
      <c r="AN10" s="35">
        <v>1</v>
      </c>
      <c r="AO10" s="34">
        <v>141.19999999999999</v>
      </c>
      <c r="AP10" s="35">
        <v>1</v>
      </c>
      <c r="AQ10" s="34">
        <v>150.30000000000001</v>
      </c>
      <c r="AR10" s="35">
        <v>1</v>
      </c>
      <c r="AS10" s="34">
        <v>99.3</v>
      </c>
      <c r="AT10" s="35">
        <v>1</v>
      </c>
      <c r="AU10" s="34">
        <v>145.4</v>
      </c>
      <c r="AV10" s="35">
        <v>1</v>
      </c>
      <c r="AW10" s="34">
        <v>183.8</v>
      </c>
      <c r="AX10" s="35">
        <v>1</v>
      </c>
      <c r="AY10" s="34" t="s">
        <v>141</v>
      </c>
      <c r="AZ10" s="35"/>
    </row>
    <row r="11" spans="1:52" x14ac:dyDescent="0.25">
      <c r="A11" s="10" t="s">
        <v>1541</v>
      </c>
      <c r="B11" s="10"/>
      <c r="C11" s="32">
        <v>21.870999999999999</v>
      </c>
      <c r="D11" s="33">
        <v>1</v>
      </c>
      <c r="E11" s="32">
        <v>-100.997</v>
      </c>
      <c r="F11" s="33">
        <v>1</v>
      </c>
      <c r="G11" s="32">
        <v>34.460999999999999</v>
      </c>
      <c r="H11" s="33">
        <v>1</v>
      </c>
      <c r="I11" s="32">
        <v>90.097999999999999</v>
      </c>
      <c r="J11" s="33">
        <v>1</v>
      </c>
      <c r="K11" s="32">
        <v>48.8</v>
      </c>
      <c r="L11" s="33">
        <v>1</v>
      </c>
      <c r="M11" s="32">
        <v>58.9</v>
      </c>
      <c r="N11" s="33">
        <v>1</v>
      </c>
      <c r="O11" s="32">
        <v>76.599999999999994</v>
      </c>
      <c r="P11" s="33">
        <v>1</v>
      </c>
      <c r="Q11" s="32">
        <v>-44.3</v>
      </c>
      <c r="R11" s="33">
        <v>1</v>
      </c>
      <c r="S11" s="32">
        <v>7.1800000000000003E-2</v>
      </c>
      <c r="T11" s="33">
        <v>1</v>
      </c>
      <c r="U11" s="32">
        <v>31.5</v>
      </c>
      <c r="V11" s="33">
        <v>1</v>
      </c>
      <c r="W11" s="32">
        <v>62.8</v>
      </c>
      <c r="X11" s="33">
        <v>1</v>
      </c>
      <c r="Y11" s="32">
        <v>44.5</v>
      </c>
      <c r="Z11" s="33">
        <v>1</v>
      </c>
      <c r="AA11" s="32">
        <v>-36.299999999999997</v>
      </c>
      <c r="AB11" s="33">
        <v>1</v>
      </c>
      <c r="AC11" s="32">
        <v>3.1</v>
      </c>
      <c r="AD11" s="33">
        <v>1</v>
      </c>
      <c r="AE11" s="32">
        <v>54.7</v>
      </c>
      <c r="AF11" s="33">
        <v>1</v>
      </c>
      <c r="AG11" s="32">
        <v>87.8</v>
      </c>
      <c r="AH11" s="33">
        <v>1</v>
      </c>
      <c r="AI11" s="32">
        <v>0.10340000000000001</v>
      </c>
      <c r="AJ11" s="33">
        <v>1</v>
      </c>
      <c r="AK11" s="32">
        <v>-114.2</v>
      </c>
      <c r="AL11" s="33">
        <v>1</v>
      </c>
      <c r="AM11" s="32">
        <v>73.599999999999994</v>
      </c>
      <c r="AN11" s="33">
        <v>1</v>
      </c>
      <c r="AO11" s="32">
        <v>141.19999999999999</v>
      </c>
      <c r="AP11" s="33">
        <v>1</v>
      </c>
      <c r="AQ11" s="32">
        <v>150.30000000000001</v>
      </c>
      <c r="AR11" s="33">
        <v>1</v>
      </c>
      <c r="AS11" s="32">
        <v>99.3</v>
      </c>
      <c r="AT11" s="33">
        <v>1</v>
      </c>
      <c r="AU11" s="32">
        <v>145.4</v>
      </c>
      <c r="AV11" s="33">
        <v>1</v>
      </c>
      <c r="AW11" s="32">
        <v>183.8</v>
      </c>
      <c r="AX11" s="33">
        <v>1</v>
      </c>
      <c r="AY11" s="32" t="s">
        <v>141</v>
      </c>
      <c r="AZ11" s="33"/>
    </row>
    <row r="12" spans="1:52" x14ac:dyDescent="0.25">
      <c r="A12" s="6" t="s">
        <v>446</v>
      </c>
      <c r="B12" s="6"/>
      <c r="C12" s="34">
        <v>7.7629999999999999</v>
      </c>
      <c r="D12" s="35">
        <v>1</v>
      </c>
      <c r="E12" s="34">
        <v>7.8529999999999998</v>
      </c>
      <c r="F12" s="35">
        <v>1</v>
      </c>
      <c r="G12" s="34">
        <v>7.9420000000000002</v>
      </c>
      <c r="H12" s="35">
        <v>1</v>
      </c>
      <c r="I12" s="34">
        <v>8.0380000000000003</v>
      </c>
      <c r="J12" s="35">
        <v>1</v>
      </c>
      <c r="K12" s="34">
        <v>8.1999999999999993</v>
      </c>
      <c r="L12" s="35">
        <v>1</v>
      </c>
      <c r="M12" s="34">
        <v>8.1999999999999993</v>
      </c>
      <c r="N12" s="35">
        <v>1</v>
      </c>
      <c r="O12" s="34">
        <v>8.3000000000000007</v>
      </c>
      <c r="P12" s="35">
        <v>1</v>
      </c>
      <c r="Q12" s="34">
        <v>8.5</v>
      </c>
      <c r="R12" s="35">
        <v>1</v>
      </c>
      <c r="S12" s="34">
        <v>7.7999999999999996E-3</v>
      </c>
      <c r="T12" s="35">
        <v>1</v>
      </c>
      <c r="U12" s="34">
        <v>6.4</v>
      </c>
      <c r="V12" s="35">
        <v>1</v>
      </c>
      <c r="W12" s="34">
        <v>6.2</v>
      </c>
      <c r="X12" s="35">
        <v>1</v>
      </c>
      <c r="Y12" s="34">
        <v>6.6</v>
      </c>
      <c r="Z12" s="35">
        <v>1</v>
      </c>
      <c r="AA12" s="34">
        <v>6.6</v>
      </c>
      <c r="AB12" s="35">
        <v>1</v>
      </c>
      <c r="AC12" s="34">
        <v>2.6</v>
      </c>
      <c r="AD12" s="35">
        <v>1</v>
      </c>
      <c r="AE12" s="34">
        <v>2.2000000000000002</v>
      </c>
      <c r="AF12" s="35">
        <v>1</v>
      </c>
      <c r="AG12" s="34">
        <v>1.2</v>
      </c>
      <c r="AH12" s="35">
        <v>1</v>
      </c>
      <c r="AI12" s="34">
        <v>1.1000000000000001E-3</v>
      </c>
      <c r="AJ12" s="35">
        <v>1</v>
      </c>
      <c r="AK12" s="34">
        <v>1.1000000000000001</v>
      </c>
      <c r="AL12" s="35">
        <v>1</v>
      </c>
      <c r="AM12" s="34">
        <v>1.3</v>
      </c>
      <c r="AN12" s="35">
        <v>1</v>
      </c>
      <c r="AO12" s="34">
        <v>1.1000000000000001</v>
      </c>
      <c r="AP12" s="35">
        <v>1</v>
      </c>
      <c r="AQ12" s="34">
        <v>1.1000000000000001</v>
      </c>
      <c r="AR12" s="35">
        <v>1</v>
      </c>
      <c r="AS12" s="34">
        <v>1.1000000000000001</v>
      </c>
      <c r="AT12" s="35">
        <v>1</v>
      </c>
      <c r="AU12" s="34" t="s">
        <v>141</v>
      </c>
      <c r="AV12" s="35"/>
      <c r="AW12" s="34" t="s">
        <v>141</v>
      </c>
      <c r="AX12" s="35"/>
      <c r="AY12" s="34" t="s">
        <v>141</v>
      </c>
      <c r="AZ12" s="35"/>
    </row>
    <row r="13" spans="1:52" x14ac:dyDescent="0.25">
      <c r="A13" s="10" t="s">
        <v>1541</v>
      </c>
      <c r="B13" s="10"/>
      <c r="C13" s="32">
        <v>7.7629999999999999</v>
      </c>
      <c r="D13" s="33">
        <v>1</v>
      </c>
      <c r="E13" s="32">
        <v>7.8529999999999998</v>
      </c>
      <c r="F13" s="33">
        <v>1</v>
      </c>
      <c r="G13" s="32">
        <v>7.9420000000000002</v>
      </c>
      <c r="H13" s="33">
        <v>1</v>
      </c>
      <c r="I13" s="32">
        <v>8.0380000000000003</v>
      </c>
      <c r="J13" s="33">
        <v>1</v>
      </c>
      <c r="K13" s="32">
        <v>8.1999999999999993</v>
      </c>
      <c r="L13" s="33">
        <v>1</v>
      </c>
      <c r="M13" s="32">
        <v>8.1999999999999993</v>
      </c>
      <c r="N13" s="33">
        <v>1</v>
      </c>
      <c r="O13" s="32">
        <v>8.3000000000000007</v>
      </c>
      <c r="P13" s="33">
        <v>1</v>
      </c>
      <c r="Q13" s="32">
        <v>8.5</v>
      </c>
      <c r="R13" s="33">
        <v>1</v>
      </c>
      <c r="S13" s="32">
        <v>7.7999999999999996E-3</v>
      </c>
      <c r="T13" s="33">
        <v>1</v>
      </c>
      <c r="U13" s="32">
        <v>6.4</v>
      </c>
      <c r="V13" s="33">
        <v>1</v>
      </c>
      <c r="W13" s="32">
        <v>6.2</v>
      </c>
      <c r="X13" s="33">
        <v>1</v>
      </c>
      <c r="Y13" s="32">
        <v>6.6</v>
      </c>
      <c r="Z13" s="33">
        <v>1</v>
      </c>
      <c r="AA13" s="32">
        <v>6.6</v>
      </c>
      <c r="AB13" s="33">
        <v>1</v>
      </c>
      <c r="AC13" s="32">
        <v>2.6</v>
      </c>
      <c r="AD13" s="33">
        <v>1</v>
      </c>
      <c r="AE13" s="32">
        <v>2.2000000000000002</v>
      </c>
      <c r="AF13" s="33">
        <v>1</v>
      </c>
      <c r="AG13" s="32">
        <v>1.2</v>
      </c>
      <c r="AH13" s="33">
        <v>1</v>
      </c>
      <c r="AI13" s="32">
        <v>1.1000000000000001E-3</v>
      </c>
      <c r="AJ13" s="33">
        <v>1</v>
      </c>
      <c r="AK13" s="32">
        <v>1.1000000000000001</v>
      </c>
      <c r="AL13" s="33">
        <v>1</v>
      </c>
      <c r="AM13" s="32">
        <v>1.3</v>
      </c>
      <c r="AN13" s="33">
        <v>1</v>
      </c>
      <c r="AO13" s="32">
        <v>1.1000000000000001</v>
      </c>
      <c r="AP13" s="33">
        <v>1</v>
      </c>
      <c r="AQ13" s="32">
        <v>1.1000000000000001</v>
      </c>
      <c r="AR13" s="33">
        <v>1</v>
      </c>
      <c r="AS13" s="32">
        <v>1.1000000000000001</v>
      </c>
      <c r="AT13" s="33">
        <v>1</v>
      </c>
      <c r="AU13" s="32" t="s">
        <v>141</v>
      </c>
      <c r="AV13" s="33"/>
      <c r="AW13" s="32" t="s">
        <v>141</v>
      </c>
      <c r="AX13" s="33"/>
      <c r="AY13" s="32" t="s">
        <v>141</v>
      </c>
      <c r="AZ13" s="33"/>
    </row>
    <row r="14" spans="1:52" x14ac:dyDescent="0.25">
      <c r="A14" s="6" t="s">
        <v>418</v>
      </c>
      <c r="B14" s="6"/>
      <c r="C14" s="34">
        <v>18.808</v>
      </c>
      <c r="D14" s="35">
        <v>1</v>
      </c>
      <c r="E14" s="34">
        <v>-102.59399999999999</v>
      </c>
      <c r="F14" s="35"/>
      <c r="G14" s="34">
        <v>52.091000000000001</v>
      </c>
      <c r="H14" s="35">
        <v>1</v>
      </c>
      <c r="I14" s="34">
        <v>58.406999999999996</v>
      </c>
      <c r="J14" s="35">
        <v>1</v>
      </c>
      <c r="K14" s="34">
        <v>38.6</v>
      </c>
      <c r="L14" s="35">
        <v>1</v>
      </c>
      <c r="M14" s="34">
        <v>38.9</v>
      </c>
      <c r="N14" s="35">
        <v>1</v>
      </c>
      <c r="O14" s="34">
        <v>83.2</v>
      </c>
      <c r="P14" s="35">
        <v>1</v>
      </c>
      <c r="Q14" s="34">
        <v>-57.1</v>
      </c>
      <c r="R14" s="35"/>
      <c r="S14" s="34">
        <v>4.1700000000000001E-2</v>
      </c>
      <c r="T14" s="35">
        <v>1</v>
      </c>
      <c r="U14" s="34">
        <v>27.2</v>
      </c>
      <c r="V14" s="35">
        <v>1</v>
      </c>
      <c r="W14" s="34">
        <v>57.5</v>
      </c>
      <c r="X14" s="35">
        <v>1</v>
      </c>
      <c r="Y14" s="34">
        <v>30.5</v>
      </c>
      <c r="Z14" s="35">
        <v>1</v>
      </c>
      <c r="AA14" s="34">
        <v>-13.8</v>
      </c>
      <c r="AB14" s="35"/>
      <c r="AC14" s="34">
        <v>21.4</v>
      </c>
      <c r="AD14" s="35">
        <v>1</v>
      </c>
      <c r="AE14" s="34">
        <v>-23.3</v>
      </c>
      <c r="AF14" s="35"/>
      <c r="AG14" s="34">
        <v>97.9</v>
      </c>
      <c r="AH14" s="35">
        <v>1</v>
      </c>
      <c r="AI14" s="34">
        <v>0.1179</v>
      </c>
      <c r="AJ14" s="35">
        <v>1</v>
      </c>
      <c r="AK14" s="34">
        <v>-103.3</v>
      </c>
      <c r="AL14" s="35"/>
      <c r="AM14" s="34">
        <v>121.6</v>
      </c>
      <c r="AN14" s="35">
        <v>1</v>
      </c>
      <c r="AO14" s="34">
        <v>115.6</v>
      </c>
      <c r="AP14" s="35">
        <v>1</v>
      </c>
      <c r="AQ14" s="34">
        <v>198.2</v>
      </c>
      <c r="AR14" s="35">
        <v>1</v>
      </c>
      <c r="AS14" s="34">
        <v>34.5</v>
      </c>
      <c r="AT14" s="35">
        <v>1</v>
      </c>
      <c r="AU14" s="34">
        <v>98.6</v>
      </c>
      <c r="AV14" s="35">
        <v>1</v>
      </c>
      <c r="AW14" s="34">
        <v>190.3</v>
      </c>
      <c r="AX14" s="35">
        <v>1</v>
      </c>
      <c r="AY14" s="34" t="s">
        <v>141</v>
      </c>
      <c r="AZ14" s="35"/>
    </row>
    <row r="15" spans="1:52" x14ac:dyDescent="0.25">
      <c r="A15" s="10" t="s">
        <v>1541</v>
      </c>
      <c r="B15" s="10"/>
      <c r="C15" s="32">
        <v>18.808</v>
      </c>
      <c r="D15" s="33">
        <v>1</v>
      </c>
      <c r="E15" s="32">
        <v>-102.59399999999999</v>
      </c>
      <c r="F15" s="33">
        <v>1</v>
      </c>
      <c r="G15" s="32">
        <v>52.091000000000001</v>
      </c>
      <c r="H15" s="33">
        <v>1</v>
      </c>
      <c r="I15" s="32">
        <v>58.406999999999996</v>
      </c>
      <c r="J15" s="33">
        <v>1</v>
      </c>
      <c r="K15" s="32">
        <v>38.6</v>
      </c>
      <c r="L15" s="33">
        <v>1</v>
      </c>
      <c r="M15" s="32">
        <v>38.9</v>
      </c>
      <c r="N15" s="33">
        <v>1</v>
      </c>
      <c r="O15" s="32">
        <v>83.2</v>
      </c>
      <c r="P15" s="33">
        <v>1</v>
      </c>
      <c r="Q15" s="32">
        <v>-57.1</v>
      </c>
      <c r="R15" s="33">
        <v>1</v>
      </c>
      <c r="S15" s="32">
        <v>4.1700000000000001E-2</v>
      </c>
      <c r="T15" s="33">
        <v>1</v>
      </c>
      <c r="U15" s="32">
        <v>27.2</v>
      </c>
      <c r="V15" s="33">
        <v>1</v>
      </c>
      <c r="W15" s="32">
        <v>57.5</v>
      </c>
      <c r="X15" s="33">
        <v>1</v>
      </c>
      <c r="Y15" s="32">
        <v>30.5</v>
      </c>
      <c r="Z15" s="33">
        <v>1</v>
      </c>
      <c r="AA15" s="32">
        <v>-13.8</v>
      </c>
      <c r="AB15" s="33">
        <v>1</v>
      </c>
      <c r="AC15" s="32">
        <v>21.4</v>
      </c>
      <c r="AD15" s="33">
        <v>1</v>
      </c>
      <c r="AE15" s="32">
        <v>-23.3</v>
      </c>
      <c r="AF15" s="33">
        <v>1</v>
      </c>
      <c r="AG15" s="32">
        <v>97.9</v>
      </c>
      <c r="AH15" s="33">
        <v>1</v>
      </c>
      <c r="AI15" s="32">
        <v>0.1179</v>
      </c>
      <c r="AJ15" s="33">
        <v>1</v>
      </c>
      <c r="AK15" s="32">
        <v>-103.3</v>
      </c>
      <c r="AL15" s="33">
        <v>1</v>
      </c>
      <c r="AM15" s="32">
        <v>121.6</v>
      </c>
      <c r="AN15" s="33">
        <v>1</v>
      </c>
      <c r="AO15" s="32">
        <v>115.6</v>
      </c>
      <c r="AP15" s="33">
        <v>1</v>
      </c>
      <c r="AQ15" s="32">
        <v>198.2</v>
      </c>
      <c r="AR15" s="33">
        <v>1</v>
      </c>
      <c r="AS15" s="32">
        <v>34.5</v>
      </c>
      <c r="AT15" s="33">
        <v>1</v>
      </c>
      <c r="AU15" s="32">
        <v>98.6</v>
      </c>
      <c r="AV15" s="33">
        <v>1</v>
      </c>
      <c r="AW15" s="32">
        <v>190.3</v>
      </c>
      <c r="AX15" s="33">
        <v>1</v>
      </c>
      <c r="AY15" s="32" t="s">
        <v>141</v>
      </c>
      <c r="AZ15" s="33"/>
    </row>
    <row r="16" spans="1:52" x14ac:dyDescent="0.25">
      <c r="A16" s="6" t="s">
        <v>1542</v>
      </c>
      <c r="B16" s="6"/>
      <c r="C16" s="34">
        <v>0.73</v>
      </c>
      <c r="D16" s="35">
        <v>1</v>
      </c>
      <c r="E16" s="34">
        <v>-0.47899999999999998</v>
      </c>
      <c r="F16" s="35"/>
      <c r="G16" s="34">
        <v>0.753</v>
      </c>
      <c r="H16" s="35">
        <v>1</v>
      </c>
      <c r="I16" s="34">
        <v>4.6180000000000003</v>
      </c>
      <c r="J16" s="35">
        <v>1</v>
      </c>
      <c r="K16" s="34">
        <v>4.5999999999999996</v>
      </c>
      <c r="L16" s="35">
        <v>1</v>
      </c>
      <c r="M16" s="34">
        <v>1.5</v>
      </c>
      <c r="N16" s="35">
        <v>1</v>
      </c>
      <c r="O16" s="34">
        <v>3.6</v>
      </c>
      <c r="P16" s="35">
        <v>1</v>
      </c>
      <c r="Q16" s="34">
        <v>0.5</v>
      </c>
      <c r="R16" s="35">
        <v>1</v>
      </c>
      <c r="S16" s="34">
        <v>-0.30620000000000003</v>
      </c>
      <c r="T16" s="35"/>
      <c r="U16" s="34">
        <v>-4.9000000000000004</v>
      </c>
      <c r="V16" s="35"/>
      <c r="W16" s="34">
        <v>15.2</v>
      </c>
      <c r="X16" s="35">
        <v>1</v>
      </c>
      <c r="Y16" s="34">
        <v>8</v>
      </c>
      <c r="Z16" s="35">
        <v>1</v>
      </c>
      <c r="AA16" s="34">
        <v>-6.5</v>
      </c>
      <c r="AB16" s="35"/>
      <c r="AC16" s="34">
        <v>7.5</v>
      </c>
      <c r="AD16" s="35">
        <v>1</v>
      </c>
      <c r="AE16" s="34">
        <v>-6.4</v>
      </c>
      <c r="AF16" s="35"/>
      <c r="AG16" s="34">
        <v>29.4</v>
      </c>
      <c r="AH16" s="35">
        <v>1</v>
      </c>
      <c r="AI16" s="34">
        <v>2.8899999999999999E-2</v>
      </c>
      <c r="AJ16" s="35">
        <v>1</v>
      </c>
      <c r="AK16" s="34">
        <v>-26.7</v>
      </c>
      <c r="AL16" s="35"/>
      <c r="AM16" s="34">
        <v>26.1</v>
      </c>
      <c r="AN16" s="35">
        <v>1</v>
      </c>
      <c r="AO16" s="34">
        <v>32.5</v>
      </c>
      <c r="AP16" s="35">
        <v>1</v>
      </c>
      <c r="AQ16" s="34">
        <v>50.5</v>
      </c>
      <c r="AR16" s="35">
        <v>1</v>
      </c>
      <c r="AS16" s="34">
        <v>-8.9</v>
      </c>
      <c r="AT16" s="35"/>
      <c r="AU16" s="34">
        <v>33.6</v>
      </c>
      <c r="AV16" s="35">
        <v>1</v>
      </c>
      <c r="AW16" s="34">
        <v>60.5</v>
      </c>
      <c r="AX16" s="35">
        <v>1</v>
      </c>
      <c r="AY16" s="34" t="s">
        <v>141</v>
      </c>
      <c r="AZ16" s="35"/>
    </row>
    <row r="17" spans="1:52" x14ac:dyDescent="0.25">
      <c r="A17" s="10" t="s">
        <v>1541</v>
      </c>
      <c r="B17" s="10"/>
      <c r="C17" s="32">
        <v>0.73</v>
      </c>
      <c r="D17" s="33">
        <v>1</v>
      </c>
      <c r="E17" s="32">
        <v>-0.47899999999999998</v>
      </c>
      <c r="F17" s="33">
        <v>1</v>
      </c>
      <c r="G17" s="32">
        <v>0.753</v>
      </c>
      <c r="H17" s="33">
        <v>1</v>
      </c>
      <c r="I17" s="32">
        <v>4.6180000000000003</v>
      </c>
      <c r="J17" s="33">
        <v>1</v>
      </c>
      <c r="K17" s="32">
        <v>4.5999999999999996</v>
      </c>
      <c r="L17" s="33">
        <v>1</v>
      </c>
      <c r="M17" s="32">
        <v>1.5</v>
      </c>
      <c r="N17" s="33">
        <v>1</v>
      </c>
      <c r="O17" s="32">
        <v>3.6</v>
      </c>
      <c r="P17" s="33">
        <v>1</v>
      </c>
      <c r="Q17" s="32">
        <v>0.5</v>
      </c>
      <c r="R17" s="33">
        <v>1</v>
      </c>
      <c r="S17" s="32">
        <v>-0.30620000000000003</v>
      </c>
      <c r="T17" s="33">
        <v>1</v>
      </c>
      <c r="U17" s="32">
        <v>-4.9000000000000004</v>
      </c>
      <c r="V17" s="33">
        <v>1</v>
      </c>
      <c r="W17" s="32">
        <v>15.2</v>
      </c>
      <c r="X17" s="33">
        <v>1</v>
      </c>
      <c r="Y17" s="32">
        <v>8</v>
      </c>
      <c r="Z17" s="33">
        <v>1</v>
      </c>
      <c r="AA17" s="32">
        <v>-6.5</v>
      </c>
      <c r="AB17" s="33">
        <v>1</v>
      </c>
      <c r="AC17" s="32">
        <v>7.5</v>
      </c>
      <c r="AD17" s="33">
        <v>1</v>
      </c>
      <c r="AE17" s="32">
        <v>-6.4</v>
      </c>
      <c r="AF17" s="33">
        <v>1</v>
      </c>
      <c r="AG17" s="32">
        <v>29.4</v>
      </c>
      <c r="AH17" s="33">
        <v>1</v>
      </c>
      <c r="AI17" s="32">
        <v>2.8899999999999999E-2</v>
      </c>
      <c r="AJ17" s="33">
        <v>1</v>
      </c>
      <c r="AK17" s="32">
        <v>-26.7</v>
      </c>
      <c r="AL17" s="33">
        <v>1</v>
      </c>
      <c r="AM17" s="32">
        <v>26.1</v>
      </c>
      <c r="AN17" s="33">
        <v>1</v>
      </c>
      <c r="AO17" s="32">
        <v>32.5</v>
      </c>
      <c r="AP17" s="33">
        <v>1</v>
      </c>
      <c r="AQ17" s="32">
        <v>50.5</v>
      </c>
      <c r="AR17" s="33">
        <v>1</v>
      </c>
      <c r="AS17" s="32">
        <v>-8.9</v>
      </c>
      <c r="AT17" s="33">
        <v>1</v>
      </c>
      <c r="AU17" s="32">
        <v>33.6</v>
      </c>
      <c r="AV17" s="33">
        <v>1</v>
      </c>
      <c r="AW17" s="32">
        <v>60.5</v>
      </c>
      <c r="AX17" s="33">
        <v>1</v>
      </c>
      <c r="AY17" s="32" t="s">
        <v>141</v>
      </c>
      <c r="AZ17" s="33"/>
    </row>
    <row r="18" spans="1:52" x14ac:dyDescent="0.25">
      <c r="A18" s="6" t="s">
        <v>159</v>
      </c>
      <c r="B18" s="6"/>
      <c r="C18" s="34">
        <v>18.077999999999999</v>
      </c>
      <c r="D18" s="35">
        <v>1</v>
      </c>
      <c r="E18" s="34">
        <v>-102.11499999999999</v>
      </c>
      <c r="F18" s="35"/>
      <c r="G18" s="34">
        <v>51.338000000000001</v>
      </c>
      <c r="H18" s="35">
        <v>1</v>
      </c>
      <c r="I18" s="34">
        <v>53.789000000000001</v>
      </c>
      <c r="J18" s="35">
        <v>1</v>
      </c>
      <c r="K18" s="34">
        <v>34</v>
      </c>
      <c r="L18" s="35">
        <v>1</v>
      </c>
      <c r="M18" s="34">
        <v>37.4</v>
      </c>
      <c r="N18" s="35">
        <v>1</v>
      </c>
      <c r="O18" s="34">
        <v>79.599999999999994</v>
      </c>
      <c r="P18" s="35">
        <v>1</v>
      </c>
      <c r="Q18" s="34">
        <v>-57.6</v>
      </c>
      <c r="R18" s="35"/>
      <c r="S18" s="34">
        <v>0.34789999999999999</v>
      </c>
      <c r="T18" s="35">
        <v>1</v>
      </c>
      <c r="U18" s="34">
        <v>32.1</v>
      </c>
      <c r="V18" s="35">
        <v>1</v>
      </c>
      <c r="W18" s="34">
        <v>42.3</v>
      </c>
      <c r="X18" s="35">
        <v>1</v>
      </c>
      <c r="Y18" s="34">
        <v>22.5</v>
      </c>
      <c r="Z18" s="35">
        <v>1</v>
      </c>
      <c r="AA18" s="34">
        <v>-7.3</v>
      </c>
      <c r="AB18" s="35"/>
      <c r="AC18" s="34">
        <v>13.9</v>
      </c>
      <c r="AD18" s="35">
        <v>1</v>
      </c>
      <c r="AE18" s="34">
        <v>-16.899999999999999</v>
      </c>
      <c r="AF18" s="35"/>
      <c r="AG18" s="34">
        <v>68.5</v>
      </c>
      <c r="AH18" s="35">
        <v>1</v>
      </c>
      <c r="AI18" s="34">
        <v>8.8999999999999996E-2</v>
      </c>
      <c r="AJ18" s="35">
        <v>1</v>
      </c>
      <c r="AK18" s="34">
        <v>-76.599999999999994</v>
      </c>
      <c r="AL18" s="35"/>
      <c r="AM18" s="34">
        <v>95.5</v>
      </c>
      <c r="AN18" s="35">
        <v>1</v>
      </c>
      <c r="AO18" s="34">
        <v>83.1</v>
      </c>
      <c r="AP18" s="35">
        <v>1</v>
      </c>
      <c r="AQ18" s="34">
        <v>147.69999999999999</v>
      </c>
      <c r="AR18" s="35">
        <v>1</v>
      </c>
      <c r="AS18" s="34">
        <v>43.4</v>
      </c>
      <c r="AT18" s="35">
        <v>1</v>
      </c>
      <c r="AU18" s="34">
        <v>65</v>
      </c>
      <c r="AV18" s="35">
        <v>1</v>
      </c>
      <c r="AW18" s="34">
        <v>129.80000000000001</v>
      </c>
      <c r="AX18" s="35">
        <v>1</v>
      </c>
      <c r="AY18" s="34" t="s">
        <v>141</v>
      </c>
      <c r="AZ18" s="35"/>
    </row>
    <row r="19" spans="1:52" x14ac:dyDescent="0.25">
      <c r="A19" s="10" t="s">
        <v>1541</v>
      </c>
      <c r="B19" s="10"/>
      <c r="C19" s="32">
        <v>18.077999999999999</v>
      </c>
      <c r="D19" s="33">
        <v>1</v>
      </c>
      <c r="E19" s="32">
        <v>-102.11499999999999</v>
      </c>
      <c r="F19" s="33">
        <v>1</v>
      </c>
      <c r="G19" s="32">
        <v>51.338000000000001</v>
      </c>
      <c r="H19" s="33">
        <v>1</v>
      </c>
      <c r="I19" s="32">
        <v>53.789000000000001</v>
      </c>
      <c r="J19" s="33">
        <v>1</v>
      </c>
      <c r="K19" s="32">
        <v>34</v>
      </c>
      <c r="L19" s="33">
        <v>1</v>
      </c>
      <c r="M19" s="32">
        <v>37.4</v>
      </c>
      <c r="N19" s="33">
        <v>1</v>
      </c>
      <c r="O19" s="32">
        <v>79.599999999999994</v>
      </c>
      <c r="P19" s="33">
        <v>1</v>
      </c>
      <c r="Q19" s="32">
        <v>-57.6</v>
      </c>
      <c r="R19" s="33">
        <v>1</v>
      </c>
      <c r="S19" s="32">
        <v>0.34789999999999999</v>
      </c>
      <c r="T19" s="33">
        <v>1</v>
      </c>
      <c r="U19" s="32">
        <v>32.1</v>
      </c>
      <c r="V19" s="33">
        <v>1</v>
      </c>
      <c r="W19" s="32">
        <v>42.3</v>
      </c>
      <c r="X19" s="33">
        <v>1</v>
      </c>
      <c r="Y19" s="32">
        <v>22.5</v>
      </c>
      <c r="Z19" s="33">
        <v>1</v>
      </c>
      <c r="AA19" s="32">
        <v>-7.3</v>
      </c>
      <c r="AB19" s="33">
        <v>1</v>
      </c>
      <c r="AC19" s="32">
        <v>13.9</v>
      </c>
      <c r="AD19" s="33">
        <v>1</v>
      </c>
      <c r="AE19" s="32">
        <v>-16.899999999999999</v>
      </c>
      <c r="AF19" s="33">
        <v>1</v>
      </c>
      <c r="AG19" s="32">
        <v>68.5</v>
      </c>
      <c r="AH19" s="33">
        <v>1</v>
      </c>
      <c r="AI19" s="32">
        <v>8.8999999999999996E-2</v>
      </c>
      <c r="AJ19" s="33">
        <v>1</v>
      </c>
      <c r="AK19" s="32">
        <v>-76.599999999999994</v>
      </c>
      <c r="AL19" s="33">
        <v>1</v>
      </c>
      <c r="AM19" s="32">
        <v>95.5</v>
      </c>
      <c r="AN19" s="33">
        <v>1</v>
      </c>
      <c r="AO19" s="32">
        <v>83.1</v>
      </c>
      <c r="AP19" s="33">
        <v>1</v>
      </c>
      <c r="AQ19" s="32">
        <v>147.69999999999999</v>
      </c>
      <c r="AR19" s="33">
        <v>1</v>
      </c>
      <c r="AS19" s="32">
        <v>43.4</v>
      </c>
      <c r="AT19" s="33">
        <v>1</v>
      </c>
      <c r="AU19" s="32">
        <v>65</v>
      </c>
      <c r="AV19" s="33">
        <v>1</v>
      </c>
      <c r="AW19" s="32">
        <v>129.80000000000001</v>
      </c>
      <c r="AX19" s="33">
        <v>1</v>
      </c>
      <c r="AY19" s="32" t="s">
        <v>141</v>
      </c>
      <c r="AZ19" s="33"/>
    </row>
    <row r="20" spans="1:52" x14ac:dyDescent="0.25">
      <c r="A20" s="6" t="s">
        <v>1543</v>
      </c>
      <c r="B20" s="6"/>
      <c r="C20" s="34">
        <v>33.869</v>
      </c>
      <c r="D20" s="35">
        <v>1</v>
      </c>
      <c r="E20" s="34">
        <v>85.965000000000003</v>
      </c>
      <c r="F20" s="35">
        <v>1</v>
      </c>
      <c r="G20" s="34">
        <v>88.707999999999998</v>
      </c>
      <c r="H20" s="35">
        <v>1</v>
      </c>
      <c r="I20" s="34">
        <v>102.289</v>
      </c>
      <c r="J20" s="35">
        <v>1</v>
      </c>
      <c r="K20" s="34">
        <v>116.2</v>
      </c>
      <c r="L20" s="35">
        <v>1</v>
      </c>
      <c r="M20" s="34">
        <v>115.2</v>
      </c>
      <c r="N20" s="35">
        <v>1</v>
      </c>
      <c r="O20" s="34">
        <v>116.7</v>
      </c>
      <c r="P20" s="35">
        <v>1</v>
      </c>
      <c r="Q20" s="34">
        <v>114</v>
      </c>
      <c r="R20" s="35">
        <v>1</v>
      </c>
      <c r="S20" s="34">
        <v>0.12740000000000001</v>
      </c>
      <c r="T20" s="35">
        <v>1</v>
      </c>
      <c r="U20" s="34">
        <v>142.30000000000001</v>
      </c>
      <c r="V20" s="35">
        <v>1</v>
      </c>
      <c r="W20" s="34">
        <v>150.30000000000001</v>
      </c>
      <c r="X20" s="35">
        <v>1</v>
      </c>
      <c r="Y20" s="34">
        <v>149</v>
      </c>
      <c r="Z20" s="35">
        <v>1</v>
      </c>
      <c r="AA20" s="34">
        <v>155.80000000000001</v>
      </c>
      <c r="AB20" s="35">
        <v>1</v>
      </c>
      <c r="AC20" s="34">
        <v>158.6</v>
      </c>
      <c r="AD20" s="35">
        <v>1</v>
      </c>
      <c r="AE20" s="34">
        <v>159</v>
      </c>
      <c r="AF20" s="35">
        <v>1</v>
      </c>
      <c r="AG20" s="34">
        <v>150.5</v>
      </c>
      <c r="AH20" s="35">
        <v>1</v>
      </c>
      <c r="AI20" s="34">
        <v>0.14560000000000001</v>
      </c>
      <c r="AJ20" s="35">
        <v>1</v>
      </c>
      <c r="AK20" s="34">
        <v>147.19999999999999</v>
      </c>
      <c r="AL20" s="35">
        <v>1</v>
      </c>
      <c r="AM20" s="34">
        <v>149.1</v>
      </c>
      <c r="AN20" s="35">
        <v>1</v>
      </c>
      <c r="AO20" s="34">
        <v>149.6</v>
      </c>
      <c r="AP20" s="35">
        <v>1</v>
      </c>
      <c r="AQ20" s="34">
        <v>347.3</v>
      </c>
      <c r="AR20" s="35">
        <v>1</v>
      </c>
      <c r="AS20" s="34">
        <v>346.1</v>
      </c>
      <c r="AT20" s="35">
        <v>1</v>
      </c>
      <c r="AU20" s="34">
        <v>343</v>
      </c>
      <c r="AV20" s="35">
        <v>1</v>
      </c>
      <c r="AW20" s="34">
        <v>337.3</v>
      </c>
      <c r="AX20" s="35">
        <v>1</v>
      </c>
      <c r="AY20" s="34" t="s">
        <v>141</v>
      </c>
      <c r="AZ20" s="35"/>
    </row>
    <row r="21" spans="1:52" x14ac:dyDescent="0.25">
      <c r="A21" s="10" t="s">
        <v>1541</v>
      </c>
      <c r="B21" s="10"/>
      <c r="C21" s="32">
        <v>33.869</v>
      </c>
      <c r="D21" s="33">
        <v>1</v>
      </c>
      <c r="E21" s="32">
        <v>85.965000000000003</v>
      </c>
      <c r="F21" s="33">
        <v>1</v>
      </c>
      <c r="G21" s="32">
        <v>88.707999999999998</v>
      </c>
      <c r="H21" s="33">
        <v>1</v>
      </c>
      <c r="I21" s="32">
        <v>102.289</v>
      </c>
      <c r="J21" s="33">
        <v>1</v>
      </c>
      <c r="K21" s="32">
        <v>116.2</v>
      </c>
      <c r="L21" s="33">
        <v>1</v>
      </c>
      <c r="M21" s="32">
        <v>115.2</v>
      </c>
      <c r="N21" s="33">
        <v>1</v>
      </c>
      <c r="O21" s="32">
        <v>116.7</v>
      </c>
      <c r="P21" s="33">
        <v>1</v>
      </c>
      <c r="Q21" s="32">
        <v>114</v>
      </c>
      <c r="R21" s="33">
        <v>1</v>
      </c>
      <c r="S21" s="32">
        <v>0.12740000000000001</v>
      </c>
      <c r="T21" s="33">
        <v>1</v>
      </c>
      <c r="U21" s="32">
        <v>142.30000000000001</v>
      </c>
      <c r="V21" s="33">
        <v>1</v>
      </c>
      <c r="W21" s="32">
        <v>150.30000000000001</v>
      </c>
      <c r="X21" s="33">
        <v>1</v>
      </c>
      <c r="Y21" s="32">
        <v>149</v>
      </c>
      <c r="Z21" s="33">
        <v>1</v>
      </c>
      <c r="AA21" s="32">
        <v>155.80000000000001</v>
      </c>
      <c r="AB21" s="33">
        <v>1</v>
      </c>
      <c r="AC21" s="32">
        <v>158.6</v>
      </c>
      <c r="AD21" s="33">
        <v>1</v>
      </c>
      <c r="AE21" s="32">
        <v>159</v>
      </c>
      <c r="AF21" s="33">
        <v>1</v>
      </c>
      <c r="AG21" s="32">
        <v>150.5</v>
      </c>
      <c r="AH21" s="33">
        <v>1</v>
      </c>
      <c r="AI21" s="32">
        <v>0.14560000000000001</v>
      </c>
      <c r="AJ21" s="33">
        <v>1</v>
      </c>
      <c r="AK21" s="32">
        <v>147.19999999999999</v>
      </c>
      <c r="AL21" s="33">
        <v>1</v>
      </c>
      <c r="AM21" s="32">
        <v>149.1</v>
      </c>
      <c r="AN21" s="33">
        <v>1</v>
      </c>
      <c r="AO21" s="32">
        <v>149.6</v>
      </c>
      <c r="AP21" s="33">
        <v>1</v>
      </c>
      <c r="AQ21" s="32">
        <v>347.3</v>
      </c>
      <c r="AR21" s="33">
        <v>1</v>
      </c>
      <c r="AS21" s="32">
        <v>346.1</v>
      </c>
      <c r="AT21" s="33">
        <v>1</v>
      </c>
      <c r="AU21" s="32">
        <v>343</v>
      </c>
      <c r="AV21" s="33">
        <v>1</v>
      </c>
      <c r="AW21" s="32">
        <v>337.3</v>
      </c>
      <c r="AX21" s="33">
        <v>1</v>
      </c>
      <c r="AY21" s="32" t="s">
        <v>141</v>
      </c>
      <c r="AZ21" s="33"/>
    </row>
    <row r="22" spans="1:52" x14ac:dyDescent="0.25">
      <c r="A22" s="6" t="s">
        <v>1544</v>
      </c>
      <c r="B22" s="6"/>
      <c r="C22" s="34">
        <v>0</v>
      </c>
      <c r="D22" s="35"/>
      <c r="E22" s="34">
        <v>0</v>
      </c>
      <c r="F22" s="35"/>
      <c r="G22" s="34">
        <v>0</v>
      </c>
      <c r="H22" s="35"/>
      <c r="I22" s="34" t="s">
        <v>141</v>
      </c>
      <c r="J22" s="35"/>
      <c r="K22" s="34">
        <v>0</v>
      </c>
      <c r="L22" s="35"/>
      <c r="M22" s="34" t="s">
        <v>141</v>
      </c>
      <c r="N22" s="35"/>
      <c r="O22" s="34" t="s">
        <v>141</v>
      </c>
      <c r="P22" s="35"/>
      <c r="Q22" s="34" t="s">
        <v>141</v>
      </c>
      <c r="R22" s="35"/>
      <c r="S22" s="34">
        <v>0</v>
      </c>
      <c r="T22" s="35"/>
      <c r="U22" s="34" t="s">
        <v>141</v>
      </c>
      <c r="V22" s="35"/>
      <c r="W22" s="34" t="s">
        <v>141</v>
      </c>
      <c r="X22" s="35"/>
      <c r="Y22" s="34" t="s">
        <v>141</v>
      </c>
      <c r="Z22" s="35"/>
      <c r="AA22" s="34">
        <v>0</v>
      </c>
      <c r="AB22" s="35"/>
      <c r="AC22" s="34" t="s">
        <v>141</v>
      </c>
      <c r="AD22" s="35"/>
      <c r="AE22" s="34" t="s">
        <v>141</v>
      </c>
      <c r="AF22" s="35"/>
      <c r="AG22" s="34" t="s">
        <v>141</v>
      </c>
      <c r="AH22" s="35"/>
      <c r="AI22" s="34">
        <v>0</v>
      </c>
      <c r="AJ22" s="35"/>
      <c r="AK22" s="34" t="s">
        <v>141</v>
      </c>
      <c r="AL22" s="35"/>
      <c r="AM22" s="34" t="s">
        <v>141</v>
      </c>
      <c r="AN22" s="35"/>
      <c r="AO22" s="34" t="s">
        <v>141</v>
      </c>
      <c r="AP22" s="35"/>
      <c r="AQ22" s="34">
        <v>0</v>
      </c>
      <c r="AR22" s="35"/>
      <c r="AS22" s="34" t="s">
        <v>141</v>
      </c>
      <c r="AT22" s="35"/>
      <c r="AU22" s="34" t="s">
        <v>141</v>
      </c>
      <c r="AV22" s="35"/>
      <c r="AW22" s="34" t="s">
        <v>141</v>
      </c>
      <c r="AX22" s="35"/>
      <c r="AY22" s="34" t="s">
        <v>141</v>
      </c>
      <c r="AZ22" s="35"/>
    </row>
    <row r="23" spans="1:52" x14ac:dyDescent="0.25">
      <c r="A23" s="10" t="s">
        <v>1541</v>
      </c>
      <c r="B23" s="10"/>
      <c r="C23" s="32">
        <v>0</v>
      </c>
      <c r="D23" s="33"/>
      <c r="E23" s="32">
        <v>0</v>
      </c>
      <c r="F23" s="33"/>
      <c r="G23" s="32">
        <v>0</v>
      </c>
      <c r="H23" s="33"/>
      <c r="I23" s="32" t="s">
        <v>141</v>
      </c>
      <c r="J23" s="33"/>
      <c r="K23" s="32">
        <v>0</v>
      </c>
      <c r="L23" s="33"/>
      <c r="M23" s="32" t="s">
        <v>141</v>
      </c>
      <c r="N23" s="33"/>
      <c r="O23" s="32" t="s">
        <v>141</v>
      </c>
      <c r="P23" s="33"/>
      <c r="Q23" s="32" t="s">
        <v>141</v>
      </c>
      <c r="R23" s="33"/>
      <c r="S23" s="32">
        <v>0</v>
      </c>
      <c r="T23" s="33"/>
      <c r="U23" s="32" t="s">
        <v>141</v>
      </c>
      <c r="V23" s="33"/>
      <c r="W23" s="32" t="s">
        <v>141</v>
      </c>
      <c r="X23" s="33"/>
      <c r="Y23" s="32" t="s">
        <v>141</v>
      </c>
      <c r="Z23" s="33"/>
      <c r="AA23" s="32">
        <v>0</v>
      </c>
      <c r="AB23" s="33"/>
      <c r="AC23" s="32" t="s">
        <v>141</v>
      </c>
      <c r="AD23" s="33"/>
      <c r="AE23" s="32" t="s">
        <v>141</v>
      </c>
      <c r="AF23" s="33"/>
      <c r="AG23" s="32" t="s">
        <v>141</v>
      </c>
      <c r="AH23" s="33"/>
      <c r="AI23" s="32">
        <v>0</v>
      </c>
      <c r="AJ23" s="33"/>
      <c r="AK23" s="32" t="s">
        <v>141</v>
      </c>
      <c r="AL23" s="33"/>
      <c r="AM23" s="32" t="s">
        <v>141</v>
      </c>
      <c r="AN23" s="33"/>
      <c r="AO23" s="32" t="s">
        <v>141</v>
      </c>
      <c r="AP23" s="33"/>
      <c r="AQ23" s="32">
        <v>0</v>
      </c>
      <c r="AR23" s="33"/>
      <c r="AS23" s="32" t="s">
        <v>141</v>
      </c>
      <c r="AT23" s="33"/>
      <c r="AU23" s="32" t="s">
        <v>141</v>
      </c>
      <c r="AV23" s="33"/>
      <c r="AW23" s="32" t="s">
        <v>141</v>
      </c>
      <c r="AX23" s="33"/>
      <c r="AY23" s="32" t="s">
        <v>141</v>
      </c>
      <c r="AZ23" s="33"/>
    </row>
    <row r="24" spans="1:52" x14ac:dyDescent="0.25">
      <c r="A24" s="6" t="s">
        <v>1545</v>
      </c>
      <c r="B24" s="6"/>
      <c r="C24" s="34">
        <v>993.15099999999995</v>
      </c>
      <c r="D24" s="35">
        <v>1</v>
      </c>
      <c r="E24" s="34">
        <v>957.72299999999996</v>
      </c>
      <c r="F24" s="35">
        <v>1</v>
      </c>
      <c r="G24" s="34">
        <v>1066.8610000000001</v>
      </c>
      <c r="H24" s="35">
        <v>1</v>
      </c>
      <c r="I24" s="34">
        <v>1179.9349999999999</v>
      </c>
      <c r="J24" s="35">
        <v>1</v>
      </c>
      <c r="K24" s="34">
        <v>1306</v>
      </c>
      <c r="L24" s="35">
        <v>1</v>
      </c>
      <c r="M24" s="34">
        <v>1361.9</v>
      </c>
      <c r="N24" s="35">
        <v>1</v>
      </c>
      <c r="O24" s="34">
        <v>1515.6</v>
      </c>
      <c r="P24" s="35">
        <v>1</v>
      </c>
      <c r="Q24" s="34">
        <v>1502.6</v>
      </c>
      <c r="R24" s="35">
        <v>1</v>
      </c>
      <c r="S24" s="34">
        <v>1.7346999999999999</v>
      </c>
      <c r="T24" s="35">
        <v>1</v>
      </c>
      <c r="U24" s="34">
        <v>1846.4</v>
      </c>
      <c r="V24" s="35">
        <v>1</v>
      </c>
      <c r="W24" s="34">
        <v>1956.4</v>
      </c>
      <c r="X24" s="35">
        <v>1</v>
      </c>
      <c r="Y24" s="34">
        <v>2017.3</v>
      </c>
      <c r="Z24" s="35">
        <v>1</v>
      </c>
      <c r="AA24" s="34">
        <v>2072.5</v>
      </c>
      <c r="AB24" s="35">
        <v>1</v>
      </c>
      <c r="AC24" s="34">
        <v>2144.5</v>
      </c>
      <c r="AD24" s="35">
        <v>1</v>
      </c>
      <c r="AE24" s="34">
        <v>2005.7</v>
      </c>
      <c r="AF24" s="35">
        <v>1</v>
      </c>
      <c r="AG24" s="34">
        <v>2143.4</v>
      </c>
      <c r="AH24" s="35">
        <v>1</v>
      </c>
      <c r="AI24" s="34">
        <v>2.3687</v>
      </c>
      <c r="AJ24" s="35">
        <v>1</v>
      </c>
      <c r="AK24" s="34">
        <v>2359.8000000000002</v>
      </c>
      <c r="AL24" s="35">
        <v>1</v>
      </c>
      <c r="AM24" s="34">
        <v>2613.1</v>
      </c>
      <c r="AN24" s="35">
        <v>1</v>
      </c>
      <c r="AO24" s="34">
        <v>2848.2</v>
      </c>
      <c r="AP24" s="35">
        <v>1</v>
      </c>
      <c r="AQ24" s="34">
        <v>3251.4</v>
      </c>
      <c r="AR24" s="35">
        <v>1</v>
      </c>
      <c r="AS24" s="34">
        <v>3472.4</v>
      </c>
      <c r="AT24" s="35">
        <v>1</v>
      </c>
      <c r="AU24" s="34">
        <v>3305</v>
      </c>
      <c r="AV24" s="35">
        <v>1</v>
      </c>
      <c r="AW24" s="34">
        <v>3535</v>
      </c>
      <c r="AX24" s="35">
        <v>1</v>
      </c>
      <c r="AY24" s="34" t="s">
        <v>141</v>
      </c>
      <c r="AZ24" s="35"/>
    </row>
    <row r="25" spans="1:52" x14ac:dyDescent="0.25">
      <c r="A25" s="10" t="s">
        <v>1541</v>
      </c>
      <c r="B25" s="10"/>
      <c r="C25" s="32">
        <v>993.15099999999995</v>
      </c>
      <c r="D25" s="33">
        <v>1</v>
      </c>
      <c r="E25" s="32">
        <v>957.72299999999996</v>
      </c>
      <c r="F25" s="33">
        <v>1</v>
      </c>
      <c r="G25" s="32">
        <v>1066.8610000000001</v>
      </c>
      <c r="H25" s="33">
        <v>1</v>
      </c>
      <c r="I25" s="32">
        <v>1179.9349999999999</v>
      </c>
      <c r="J25" s="33">
        <v>1</v>
      </c>
      <c r="K25" s="32">
        <v>1306</v>
      </c>
      <c r="L25" s="33">
        <v>1</v>
      </c>
      <c r="M25" s="32">
        <v>1361.9</v>
      </c>
      <c r="N25" s="33">
        <v>1</v>
      </c>
      <c r="O25" s="32">
        <v>1515.6</v>
      </c>
      <c r="P25" s="33">
        <v>1</v>
      </c>
      <c r="Q25" s="32">
        <v>1502.6</v>
      </c>
      <c r="R25" s="33">
        <v>1</v>
      </c>
      <c r="S25" s="32">
        <v>1.7346999999999999</v>
      </c>
      <c r="T25" s="33">
        <v>1</v>
      </c>
      <c r="U25" s="32">
        <v>1846.4</v>
      </c>
      <c r="V25" s="33">
        <v>1</v>
      </c>
      <c r="W25" s="32">
        <v>1956.4</v>
      </c>
      <c r="X25" s="33">
        <v>1</v>
      </c>
      <c r="Y25" s="32">
        <v>2017.3</v>
      </c>
      <c r="Z25" s="33">
        <v>1</v>
      </c>
      <c r="AA25" s="32">
        <v>2072.5</v>
      </c>
      <c r="AB25" s="33">
        <v>1</v>
      </c>
      <c r="AC25" s="32">
        <v>2144.5</v>
      </c>
      <c r="AD25" s="33">
        <v>1</v>
      </c>
      <c r="AE25" s="32">
        <v>2005.7</v>
      </c>
      <c r="AF25" s="33">
        <v>1</v>
      </c>
      <c r="AG25" s="32">
        <v>2143.4</v>
      </c>
      <c r="AH25" s="33">
        <v>1</v>
      </c>
      <c r="AI25" s="32">
        <v>2.3687</v>
      </c>
      <c r="AJ25" s="33">
        <v>1</v>
      </c>
      <c r="AK25" s="32">
        <v>2359.8000000000002</v>
      </c>
      <c r="AL25" s="33">
        <v>1</v>
      </c>
      <c r="AM25" s="32">
        <v>2613.1</v>
      </c>
      <c r="AN25" s="33">
        <v>1</v>
      </c>
      <c r="AO25" s="32">
        <v>2848.2</v>
      </c>
      <c r="AP25" s="33">
        <v>1</v>
      </c>
      <c r="AQ25" s="32">
        <v>3251.4</v>
      </c>
      <c r="AR25" s="33">
        <v>1</v>
      </c>
      <c r="AS25" s="32">
        <v>3472.4</v>
      </c>
      <c r="AT25" s="33">
        <v>1</v>
      </c>
      <c r="AU25" s="32">
        <v>3305</v>
      </c>
      <c r="AV25" s="33">
        <v>1</v>
      </c>
      <c r="AW25" s="32">
        <v>3535</v>
      </c>
      <c r="AX25" s="33">
        <v>1</v>
      </c>
      <c r="AY25" s="32" t="s">
        <v>141</v>
      </c>
      <c r="AZ25" s="33"/>
    </row>
    <row r="26" spans="1:52" x14ac:dyDescent="0.25">
      <c r="A26" s="6" t="s">
        <v>1546</v>
      </c>
      <c r="B26" s="6"/>
      <c r="C26" s="34">
        <v>512.38599999999997</v>
      </c>
      <c r="D26" s="35">
        <v>1</v>
      </c>
      <c r="E26" s="34">
        <v>548.44799999999998</v>
      </c>
      <c r="F26" s="35">
        <v>1</v>
      </c>
      <c r="G26" s="34">
        <v>583.15499999999997</v>
      </c>
      <c r="H26" s="35">
        <v>1</v>
      </c>
      <c r="I26" s="34">
        <v>605.41999999999996</v>
      </c>
      <c r="J26" s="35">
        <v>1</v>
      </c>
      <c r="K26" s="34">
        <v>669.1</v>
      </c>
      <c r="L26" s="35">
        <v>1</v>
      </c>
      <c r="M26" s="34">
        <v>661.6</v>
      </c>
      <c r="N26" s="35">
        <v>1</v>
      </c>
      <c r="O26" s="34">
        <v>684.4</v>
      </c>
      <c r="P26" s="35">
        <v>1</v>
      </c>
      <c r="Q26" s="34">
        <v>698.3</v>
      </c>
      <c r="R26" s="35">
        <v>1</v>
      </c>
      <c r="S26" s="34">
        <v>0.60850000000000004</v>
      </c>
      <c r="T26" s="35">
        <v>1</v>
      </c>
      <c r="U26" s="34">
        <v>640.79999999999995</v>
      </c>
      <c r="V26" s="35">
        <v>1</v>
      </c>
      <c r="W26" s="34">
        <v>677.2</v>
      </c>
      <c r="X26" s="35">
        <v>1</v>
      </c>
      <c r="Y26" s="34">
        <v>671.3</v>
      </c>
      <c r="Z26" s="35">
        <v>1</v>
      </c>
      <c r="AA26" s="34">
        <v>698.5</v>
      </c>
      <c r="AB26" s="35">
        <v>1</v>
      </c>
      <c r="AC26" s="34">
        <v>753.4</v>
      </c>
      <c r="AD26" s="35">
        <v>1</v>
      </c>
      <c r="AE26" s="34">
        <v>582.29999999999995</v>
      </c>
      <c r="AF26" s="35">
        <v>1</v>
      </c>
      <c r="AG26" s="34">
        <v>598.79999999999995</v>
      </c>
      <c r="AH26" s="35">
        <v>1</v>
      </c>
      <c r="AI26" s="34">
        <v>0.66090000000000004</v>
      </c>
      <c r="AJ26" s="35">
        <v>1</v>
      </c>
      <c r="AK26" s="34">
        <v>675.3</v>
      </c>
      <c r="AL26" s="35">
        <v>1</v>
      </c>
      <c r="AM26" s="34">
        <v>760.1</v>
      </c>
      <c r="AN26" s="35">
        <v>1</v>
      </c>
      <c r="AO26" s="34">
        <v>846.1</v>
      </c>
      <c r="AP26" s="35">
        <v>1</v>
      </c>
      <c r="AQ26" s="34">
        <v>1019.4</v>
      </c>
      <c r="AR26" s="35">
        <v>1</v>
      </c>
      <c r="AS26" s="34">
        <v>1086.3</v>
      </c>
      <c r="AT26" s="35">
        <v>1</v>
      </c>
      <c r="AU26" s="34">
        <v>795.8</v>
      </c>
      <c r="AV26" s="35">
        <v>1</v>
      </c>
      <c r="AW26" s="34">
        <v>816.1</v>
      </c>
      <c r="AX26" s="35">
        <v>1</v>
      </c>
      <c r="AY26" s="34" t="s">
        <v>141</v>
      </c>
      <c r="AZ26" s="35"/>
    </row>
    <row r="27" spans="1:52" x14ac:dyDescent="0.25">
      <c r="A27" s="10" t="s">
        <v>1541</v>
      </c>
      <c r="B27" s="10"/>
      <c r="C27" s="32">
        <v>512.38599999999997</v>
      </c>
      <c r="D27" s="33">
        <v>1</v>
      </c>
      <c r="E27" s="32">
        <v>548.44799999999998</v>
      </c>
      <c r="F27" s="33">
        <v>1</v>
      </c>
      <c r="G27" s="32">
        <v>583.15499999999997</v>
      </c>
      <c r="H27" s="33">
        <v>1</v>
      </c>
      <c r="I27" s="32">
        <v>605.41999999999996</v>
      </c>
      <c r="J27" s="33">
        <v>1</v>
      </c>
      <c r="K27" s="32">
        <v>669.1</v>
      </c>
      <c r="L27" s="33">
        <v>1</v>
      </c>
      <c r="M27" s="32">
        <v>661.6</v>
      </c>
      <c r="N27" s="33">
        <v>1</v>
      </c>
      <c r="O27" s="32">
        <v>684.4</v>
      </c>
      <c r="P27" s="33">
        <v>1</v>
      </c>
      <c r="Q27" s="32">
        <v>698.3</v>
      </c>
      <c r="R27" s="33">
        <v>1</v>
      </c>
      <c r="S27" s="32">
        <v>0.60850000000000004</v>
      </c>
      <c r="T27" s="33">
        <v>1</v>
      </c>
      <c r="U27" s="32">
        <v>640.79999999999995</v>
      </c>
      <c r="V27" s="33">
        <v>1</v>
      </c>
      <c r="W27" s="32">
        <v>677.2</v>
      </c>
      <c r="X27" s="33">
        <v>1</v>
      </c>
      <c r="Y27" s="32">
        <v>671.3</v>
      </c>
      <c r="Z27" s="33">
        <v>1</v>
      </c>
      <c r="AA27" s="32">
        <v>698.5</v>
      </c>
      <c r="AB27" s="33">
        <v>1</v>
      </c>
      <c r="AC27" s="32">
        <v>753.4</v>
      </c>
      <c r="AD27" s="33">
        <v>1</v>
      </c>
      <c r="AE27" s="32">
        <v>582.29999999999995</v>
      </c>
      <c r="AF27" s="33">
        <v>1</v>
      </c>
      <c r="AG27" s="32">
        <v>598.79999999999995</v>
      </c>
      <c r="AH27" s="33">
        <v>1</v>
      </c>
      <c r="AI27" s="32">
        <v>0.66090000000000004</v>
      </c>
      <c r="AJ27" s="33">
        <v>1</v>
      </c>
      <c r="AK27" s="32">
        <v>675.3</v>
      </c>
      <c r="AL27" s="33">
        <v>1</v>
      </c>
      <c r="AM27" s="32">
        <v>760.1</v>
      </c>
      <c r="AN27" s="33">
        <v>1</v>
      </c>
      <c r="AO27" s="32">
        <v>846.1</v>
      </c>
      <c r="AP27" s="33">
        <v>1</v>
      </c>
      <c r="AQ27" s="32">
        <v>1019.4</v>
      </c>
      <c r="AR27" s="33">
        <v>1</v>
      </c>
      <c r="AS27" s="32">
        <v>1086.3</v>
      </c>
      <c r="AT27" s="33">
        <v>1</v>
      </c>
      <c r="AU27" s="32">
        <v>795.8</v>
      </c>
      <c r="AV27" s="33">
        <v>1</v>
      </c>
      <c r="AW27" s="32">
        <v>816.1</v>
      </c>
      <c r="AX27" s="33">
        <v>1</v>
      </c>
      <c r="AY27" s="32" t="s">
        <v>141</v>
      </c>
      <c r="AZ27" s="33"/>
    </row>
    <row r="28" spans="1:52" x14ac:dyDescent="0.25">
      <c r="A28" s="6" t="s">
        <v>501</v>
      </c>
      <c r="B28" s="6"/>
      <c r="C28" s="34">
        <v>1.2749999999999999</v>
      </c>
      <c r="D28" s="35">
        <v>1</v>
      </c>
      <c r="E28" s="34">
        <v>1.5660000000000001</v>
      </c>
      <c r="F28" s="35">
        <v>1</v>
      </c>
      <c r="G28" s="34">
        <v>1.786</v>
      </c>
      <c r="H28" s="35">
        <v>1</v>
      </c>
      <c r="I28" s="34">
        <v>2.0089999999999999</v>
      </c>
      <c r="J28" s="35">
        <v>1</v>
      </c>
      <c r="K28" s="34">
        <v>2.0390000000000001</v>
      </c>
      <c r="L28" s="35">
        <v>1</v>
      </c>
      <c r="M28" s="34">
        <v>2.1</v>
      </c>
      <c r="N28" s="35">
        <v>1</v>
      </c>
      <c r="O28" s="34">
        <v>2.1</v>
      </c>
      <c r="P28" s="35">
        <v>1</v>
      </c>
      <c r="Q28" s="34">
        <v>2.2000000000000002</v>
      </c>
      <c r="R28" s="35">
        <v>1</v>
      </c>
      <c r="S28" s="34">
        <v>2.2000000000000002</v>
      </c>
      <c r="T28" s="35">
        <v>1</v>
      </c>
      <c r="U28" s="34">
        <v>2.5</v>
      </c>
      <c r="V28" s="35">
        <v>1</v>
      </c>
      <c r="W28" s="34">
        <v>2.6</v>
      </c>
      <c r="X28" s="35">
        <v>1</v>
      </c>
      <c r="Y28" s="34">
        <v>2.8</v>
      </c>
      <c r="Z28" s="35">
        <v>1</v>
      </c>
      <c r="AA28" s="34">
        <v>3000</v>
      </c>
      <c r="AB28" s="35">
        <v>1</v>
      </c>
      <c r="AC28" s="34">
        <v>3.3</v>
      </c>
      <c r="AD28" s="35">
        <v>1</v>
      </c>
      <c r="AE28" s="34">
        <v>3.9</v>
      </c>
      <c r="AF28" s="35">
        <v>1</v>
      </c>
      <c r="AG28" s="34">
        <v>4</v>
      </c>
      <c r="AH28" s="35">
        <v>1</v>
      </c>
      <c r="AI28" s="34">
        <v>4.4000000000000004</v>
      </c>
      <c r="AJ28" s="35">
        <v>1</v>
      </c>
      <c r="AK28" s="34">
        <v>5</v>
      </c>
      <c r="AL28" s="35">
        <v>1</v>
      </c>
      <c r="AM28" s="34">
        <v>5.0999999999999996</v>
      </c>
      <c r="AN28" s="35">
        <v>1</v>
      </c>
      <c r="AO28" s="34">
        <v>5.5</v>
      </c>
      <c r="AP28" s="35">
        <v>1</v>
      </c>
      <c r="AQ28" s="34">
        <v>5.7</v>
      </c>
      <c r="AR28" s="35">
        <v>1</v>
      </c>
      <c r="AS28" s="34">
        <v>6.2</v>
      </c>
      <c r="AT28" s="35">
        <v>1</v>
      </c>
      <c r="AU28" s="34">
        <v>7.3</v>
      </c>
      <c r="AV28" s="35">
        <v>1</v>
      </c>
      <c r="AW28" s="34">
        <v>6.5</v>
      </c>
      <c r="AX28" s="35">
        <v>1</v>
      </c>
      <c r="AY28" s="34">
        <v>7100</v>
      </c>
      <c r="AZ28" s="35">
        <v>1</v>
      </c>
    </row>
    <row r="29" spans="1:52" x14ac:dyDescent="0.25">
      <c r="A29" s="10" t="s">
        <v>1541</v>
      </c>
      <c r="B29" s="10"/>
      <c r="C29" s="32">
        <v>1.2749999999999999</v>
      </c>
      <c r="D29" s="33">
        <v>1</v>
      </c>
      <c r="E29" s="32">
        <v>1.5660000000000001</v>
      </c>
      <c r="F29" s="33">
        <v>1</v>
      </c>
      <c r="G29" s="32">
        <v>1.786</v>
      </c>
      <c r="H29" s="33">
        <v>1</v>
      </c>
      <c r="I29" s="32">
        <v>2.0089999999999999</v>
      </c>
      <c r="J29" s="33">
        <v>1</v>
      </c>
      <c r="K29" s="32">
        <v>2.0390000000000001</v>
      </c>
      <c r="L29" s="33">
        <v>1</v>
      </c>
      <c r="M29" s="32">
        <v>2.1</v>
      </c>
      <c r="N29" s="33">
        <v>1</v>
      </c>
      <c r="O29" s="32">
        <v>2.1</v>
      </c>
      <c r="P29" s="33">
        <v>1</v>
      </c>
      <c r="Q29" s="32">
        <v>2.2000000000000002</v>
      </c>
      <c r="R29" s="33">
        <v>1</v>
      </c>
      <c r="S29" s="32">
        <v>2.2000000000000002</v>
      </c>
      <c r="T29" s="33">
        <v>1</v>
      </c>
      <c r="U29" s="32">
        <v>2.5</v>
      </c>
      <c r="V29" s="33">
        <v>1</v>
      </c>
      <c r="W29" s="32">
        <v>2.6</v>
      </c>
      <c r="X29" s="33">
        <v>1</v>
      </c>
      <c r="Y29" s="32">
        <v>2.8</v>
      </c>
      <c r="Z29" s="33">
        <v>1</v>
      </c>
      <c r="AA29" s="32">
        <v>3000</v>
      </c>
      <c r="AB29" s="33">
        <v>1</v>
      </c>
      <c r="AC29" s="32">
        <v>3.3</v>
      </c>
      <c r="AD29" s="33">
        <v>1</v>
      </c>
      <c r="AE29" s="32">
        <v>3.9</v>
      </c>
      <c r="AF29" s="33">
        <v>1</v>
      </c>
      <c r="AG29" s="32">
        <v>4</v>
      </c>
      <c r="AH29" s="33">
        <v>1</v>
      </c>
      <c r="AI29" s="32">
        <v>4.4000000000000004</v>
      </c>
      <c r="AJ29" s="33">
        <v>1</v>
      </c>
      <c r="AK29" s="32">
        <v>5</v>
      </c>
      <c r="AL29" s="33">
        <v>1</v>
      </c>
      <c r="AM29" s="32">
        <v>5.0999999999999996</v>
      </c>
      <c r="AN29" s="33">
        <v>1</v>
      </c>
      <c r="AO29" s="32">
        <v>5.5</v>
      </c>
      <c r="AP29" s="33">
        <v>1</v>
      </c>
      <c r="AQ29" s="32">
        <v>5.7</v>
      </c>
      <c r="AR29" s="33">
        <v>1</v>
      </c>
      <c r="AS29" s="32">
        <v>6.2</v>
      </c>
      <c r="AT29" s="33">
        <v>1</v>
      </c>
      <c r="AU29" s="32">
        <v>7.3</v>
      </c>
      <c r="AV29" s="33">
        <v>1</v>
      </c>
      <c r="AW29" s="32">
        <v>6.5</v>
      </c>
      <c r="AX29" s="33">
        <v>1</v>
      </c>
      <c r="AY29" s="32">
        <v>7100</v>
      </c>
      <c r="AZ29" s="33">
        <v>1</v>
      </c>
    </row>
    <row r="30" spans="1:52" x14ac:dyDescent="0.25">
      <c r="A30" s="6" t="s">
        <v>1171</v>
      </c>
      <c r="B30" s="6"/>
      <c r="C30" s="34" t="s">
        <v>141</v>
      </c>
      <c r="D30" s="35"/>
      <c r="E30" s="34" t="s">
        <v>141</v>
      </c>
      <c r="F30" s="35"/>
      <c r="G30" s="34" t="s">
        <v>141</v>
      </c>
      <c r="H30" s="35"/>
      <c r="I30" s="34" t="s">
        <v>141</v>
      </c>
      <c r="J30" s="35"/>
      <c r="K30" s="34">
        <v>2.0390000000000001</v>
      </c>
      <c r="L30" s="35">
        <v>1</v>
      </c>
      <c r="M30" s="34">
        <v>2.1</v>
      </c>
      <c r="N30" s="35">
        <v>1</v>
      </c>
      <c r="O30" s="34">
        <v>2.1</v>
      </c>
      <c r="P30" s="35">
        <v>1</v>
      </c>
      <c r="Q30" s="34">
        <v>2.2000000000000002</v>
      </c>
      <c r="R30" s="35">
        <v>1</v>
      </c>
      <c r="S30" s="34">
        <v>2.2000000000000001E-3</v>
      </c>
      <c r="T30" s="35">
        <v>1</v>
      </c>
      <c r="U30" s="34">
        <v>2.5</v>
      </c>
      <c r="V30" s="35">
        <v>1</v>
      </c>
      <c r="W30" s="34">
        <v>2.6</v>
      </c>
      <c r="X30" s="35">
        <v>1</v>
      </c>
      <c r="Y30" s="34">
        <v>2.8</v>
      </c>
      <c r="Z30" s="35">
        <v>1</v>
      </c>
      <c r="AA30" s="34">
        <v>3</v>
      </c>
      <c r="AB30" s="35">
        <v>1</v>
      </c>
      <c r="AC30" s="34">
        <v>3.3</v>
      </c>
      <c r="AD30" s="35">
        <v>1</v>
      </c>
      <c r="AE30" s="34">
        <v>3.9</v>
      </c>
      <c r="AF30" s="35">
        <v>1</v>
      </c>
      <c r="AG30" s="34">
        <v>4</v>
      </c>
      <c r="AH30" s="35">
        <v>1</v>
      </c>
      <c r="AI30" s="34">
        <v>3.8999999999999998E-3</v>
      </c>
      <c r="AJ30" s="35">
        <v>1</v>
      </c>
      <c r="AK30" s="34">
        <v>4.0999999999999996</v>
      </c>
      <c r="AL30" s="35">
        <v>1</v>
      </c>
      <c r="AM30" s="34">
        <v>4.2</v>
      </c>
      <c r="AN30" s="35">
        <v>1</v>
      </c>
      <c r="AO30" s="34">
        <v>4.5999999999999996</v>
      </c>
      <c r="AP30" s="35">
        <v>1</v>
      </c>
      <c r="AQ30" s="34">
        <v>4.9000000000000004</v>
      </c>
      <c r="AR30" s="35">
        <v>1</v>
      </c>
      <c r="AS30" s="34">
        <v>5.3</v>
      </c>
      <c r="AT30" s="35">
        <v>1</v>
      </c>
      <c r="AU30" s="34">
        <v>6.4</v>
      </c>
      <c r="AV30" s="35">
        <v>1</v>
      </c>
      <c r="AW30" s="34">
        <v>5.6</v>
      </c>
      <c r="AX30" s="35">
        <v>1</v>
      </c>
      <c r="AY30" s="34" t="s">
        <v>141</v>
      </c>
      <c r="AZ30" s="35"/>
    </row>
    <row r="31" spans="1:52" x14ac:dyDescent="0.25">
      <c r="A31" s="10" t="s">
        <v>1541</v>
      </c>
      <c r="B31" s="10"/>
      <c r="C31" s="32" t="s">
        <v>141</v>
      </c>
      <c r="D31" s="33"/>
      <c r="E31" s="32" t="s">
        <v>141</v>
      </c>
      <c r="F31" s="33"/>
      <c r="G31" s="32" t="s">
        <v>141</v>
      </c>
      <c r="H31" s="33"/>
      <c r="I31" s="32" t="s">
        <v>141</v>
      </c>
      <c r="J31" s="33"/>
      <c r="K31" s="32">
        <v>2.0390000000000001</v>
      </c>
      <c r="L31" s="33">
        <v>1</v>
      </c>
      <c r="M31" s="32">
        <v>2.1</v>
      </c>
      <c r="N31" s="33">
        <v>1</v>
      </c>
      <c r="O31" s="32">
        <v>2.1</v>
      </c>
      <c r="P31" s="33">
        <v>1</v>
      </c>
      <c r="Q31" s="32">
        <v>2.2000000000000002</v>
      </c>
      <c r="R31" s="33">
        <v>1</v>
      </c>
      <c r="S31" s="32">
        <v>2.2000000000000001E-3</v>
      </c>
      <c r="T31" s="33">
        <v>1</v>
      </c>
      <c r="U31" s="32">
        <v>2.5</v>
      </c>
      <c r="V31" s="33">
        <v>1</v>
      </c>
      <c r="W31" s="32">
        <v>2.6</v>
      </c>
      <c r="X31" s="33">
        <v>1</v>
      </c>
      <c r="Y31" s="32">
        <v>2.8</v>
      </c>
      <c r="Z31" s="33">
        <v>1</v>
      </c>
      <c r="AA31" s="32">
        <v>3</v>
      </c>
      <c r="AB31" s="33">
        <v>1</v>
      </c>
      <c r="AC31" s="32">
        <v>3.3</v>
      </c>
      <c r="AD31" s="33">
        <v>1</v>
      </c>
      <c r="AE31" s="32">
        <v>3.9</v>
      </c>
      <c r="AF31" s="33">
        <v>1</v>
      </c>
      <c r="AG31" s="32">
        <v>4</v>
      </c>
      <c r="AH31" s="33">
        <v>1</v>
      </c>
      <c r="AI31" s="32">
        <v>3.8999999999999998E-3</v>
      </c>
      <c r="AJ31" s="33">
        <v>1</v>
      </c>
      <c r="AK31" s="32">
        <v>4.0999999999999996</v>
      </c>
      <c r="AL31" s="33">
        <v>1</v>
      </c>
      <c r="AM31" s="32">
        <v>4.2</v>
      </c>
      <c r="AN31" s="33">
        <v>1</v>
      </c>
      <c r="AO31" s="32">
        <v>4.5999999999999996</v>
      </c>
      <c r="AP31" s="33">
        <v>1</v>
      </c>
      <c r="AQ31" s="32">
        <v>4.9000000000000004</v>
      </c>
      <c r="AR31" s="33">
        <v>1</v>
      </c>
      <c r="AS31" s="32">
        <v>5.3</v>
      </c>
      <c r="AT31" s="33">
        <v>1</v>
      </c>
      <c r="AU31" s="32">
        <v>6.4</v>
      </c>
      <c r="AV31" s="33">
        <v>1</v>
      </c>
      <c r="AW31" s="32">
        <v>5.6</v>
      </c>
      <c r="AX31" s="33">
        <v>1</v>
      </c>
      <c r="AY31" s="32" t="s">
        <v>141</v>
      </c>
      <c r="AZ31" s="33"/>
    </row>
    <row r="32" spans="1:52" x14ac:dyDescent="0.25">
      <c r="A32" s="6" t="s">
        <v>1533</v>
      </c>
      <c r="B32" s="6"/>
      <c r="C32" s="34">
        <v>39.106999999999999</v>
      </c>
      <c r="D32" s="35">
        <v>1</v>
      </c>
      <c r="E32" s="34">
        <v>37.652000000000001</v>
      </c>
      <c r="F32" s="35">
        <v>1</v>
      </c>
      <c r="G32" s="34">
        <v>61.686999999999998</v>
      </c>
      <c r="H32" s="35">
        <v>1</v>
      </c>
      <c r="I32" s="34">
        <v>45.277999999999999</v>
      </c>
      <c r="J32" s="35">
        <v>1</v>
      </c>
      <c r="K32" s="34">
        <v>55.3</v>
      </c>
      <c r="L32" s="35">
        <v>1</v>
      </c>
      <c r="M32" s="34">
        <v>58.3</v>
      </c>
      <c r="N32" s="35">
        <v>1</v>
      </c>
      <c r="O32" s="34">
        <v>80.900000000000006</v>
      </c>
      <c r="P32" s="35">
        <v>1</v>
      </c>
      <c r="Q32" s="34">
        <v>69.099999999999994</v>
      </c>
      <c r="R32" s="35">
        <v>1</v>
      </c>
      <c r="S32" s="34">
        <v>6.6699999999999995E-2</v>
      </c>
      <c r="T32" s="35">
        <v>1</v>
      </c>
      <c r="U32" s="34">
        <v>73.2</v>
      </c>
      <c r="V32" s="35">
        <v>1</v>
      </c>
      <c r="W32" s="34">
        <v>74.8</v>
      </c>
      <c r="X32" s="35">
        <v>1</v>
      </c>
      <c r="Y32" s="34">
        <v>92.7</v>
      </c>
      <c r="Z32" s="35">
        <v>1</v>
      </c>
      <c r="AA32" s="34">
        <v>87.4</v>
      </c>
      <c r="AB32" s="35">
        <v>1</v>
      </c>
      <c r="AC32" s="34">
        <v>102.2</v>
      </c>
      <c r="AD32" s="35">
        <v>1</v>
      </c>
      <c r="AE32" s="34">
        <v>135.9</v>
      </c>
      <c r="AF32" s="35">
        <v>1</v>
      </c>
      <c r="AG32" s="34">
        <v>107.7</v>
      </c>
      <c r="AH32" s="35">
        <v>1</v>
      </c>
      <c r="AI32" s="34">
        <v>0.11799999999999999</v>
      </c>
      <c r="AJ32" s="35">
        <v>1</v>
      </c>
      <c r="AK32" s="34">
        <v>139.5</v>
      </c>
      <c r="AL32" s="35">
        <v>1</v>
      </c>
      <c r="AM32" s="34">
        <v>145.80000000000001</v>
      </c>
      <c r="AN32" s="35">
        <v>1</v>
      </c>
      <c r="AO32" s="34">
        <v>142.19999999999999</v>
      </c>
      <c r="AP32" s="35">
        <v>1</v>
      </c>
      <c r="AQ32" s="34">
        <v>137.5</v>
      </c>
      <c r="AR32" s="35">
        <v>1</v>
      </c>
      <c r="AS32" s="34">
        <v>159.4</v>
      </c>
      <c r="AT32" s="35">
        <v>1</v>
      </c>
      <c r="AU32" s="34">
        <v>191.1</v>
      </c>
      <c r="AV32" s="35">
        <v>1</v>
      </c>
      <c r="AW32" s="34">
        <v>195</v>
      </c>
      <c r="AX32" s="35">
        <v>1</v>
      </c>
      <c r="AY32" s="34" t="s">
        <v>141</v>
      </c>
      <c r="AZ32" s="35"/>
    </row>
    <row r="33" spans="1:52" x14ac:dyDescent="0.25">
      <c r="A33" s="10" t="s">
        <v>1541</v>
      </c>
      <c r="B33" s="10"/>
      <c r="C33" s="32">
        <v>39.106999999999999</v>
      </c>
      <c r="D33" s="33">
        <v>1</v>
      </c>
      <c r="E33" s="32">
        <v>37.652000000000001</v>
      </c>
      <c r="F33" s="33">
        <v>1</v>
      </c>
      <c r="G33" s="32">
        <v>61.686999999999998</v>
      </c>
      <c r="H33" s="33">
        <v>1</v>
      </c>
      <c r="I33" s="32">
        <v>45.277999999999999</v>
      </c>
      <c r="J33" s="33">
        <v>1</v>
      </c>
      <c r="K33" s="32">
        <v>55.3</v>
      </c>
      <c r="L33" s="33">
        <v>1</v>
      </c>
      <c r="M33" s="32">
        <v>58.3</v>
      </c>
      <c r="N33" s="33">
        <v>1</v>
      </c>
      <c r="O33" s="32">
        <v>80.900000000000006</v>
      </c>
      <c r="P33" s="33">
        <v>1</v>
      </c>
      <c r="Q33" s="32">
        <v>69.099999999999994</v>
      </c>
      <c r="R33" s="33">
        <v>1</v>
      </c>
      <c r="S33" s="32">
        <v>6.6699999999999995E-2</v>
      </c>
      <c r="T33" s="33">
        <v>1</v>
      </c>
      <c r="U33" s="32">
        <v>73.2</v>
      </c>
      <c r="V33" s="33">
        <v>1</v>
      </c>
      <c r="W33" s="32">
        <v>74.8</v>
      </c>
      <c r="X33" s="33">
        <v>1</v>
      </c>
      <c r="Y33" s="32">
        <v>92.7</v>
      </c>
      <c r="Z33" s="33">
        <v>1</v>
      </c>
      <c r="AA33" s="32">
        <v>87.4</v>
      </c>
      <c r="AB33" s="33">
        <v>1</v>
      </c>
      <c r="AC33" s="32">
        <v>102.2</v>
      </c>
      <c r="AD33" s="33">
        <v>1</v>
      </c>
      <c r="AE33" s="32">
        <v>135.9</v>
      </c>
      <c r="AF33" s="33">
        <v>1</v>
      </c>
      <c r="AG33" s="32">
        <v>107.7</v>
      </c>
      <c r="AH33" s="33">
        <v>1</v>
      </c>
      <c r="AI33" s="32">
        <v>0.11799999999999999</v>
      </c>
      <c r="AJ33" s="33">
        <v>1</v>
      </c>
      <c r="AK33" s="32">
        <v>139.5</v>
      </c>
      <c r="AL33" s="33">
        <v>1</v>
      </c>
      <c r="AM33" s="32">
        <v>145.80000000000001</v>
      </c>
      <c r="AN33" s="33">
        <v>1</v>
      </c>
      <c r="AO33" s="32">
        <v>142.19999999999999</v>
      </c>
      <c r="AP33" s="33">
        <v>1</v>
      </c>
      <c r="AQ33" s="32">
        <v>137.5</v>
      </c>
      <c r="AR33" s="33">
        <v>1</v>
      </c>
      <c r="AS33" s="32">
        <v>159.4</v>
      </c>
      <c r="AT33" s="33">
        <v>1</v>
      </c>
      <c r="AU33" s="32">
        <v>191.1</v>
      </c>
      <c r="AV33" s="33">
        <v>1</v>
      </c>
      <c r="AW33" s="32">
        <v>195</v>
      </c>
      <c r="AX33" s="33">
        <v>1</v>
      </c>
      <c r="AY33" s="32" t="s">
        <v>141</v>
      </c>
      <c r="AZ33" s="33"/>
    </row>
    <row r="34" spans="1:52" x14ac:dyDescent="0.25">
      <c r="A34" s="6" t="s">
        <v>86</v>
      </c>
      <c r="B34" s="6"/>
      <c r="C34" s="34">
        <v>-6.01</v>
      </c>
      <c r="D34" s="35"/>
      <c r="E34" s="34">
        <v>-3.9390000000000001</v>
      </c>
      <c r="F34" s="35"/>
      <c r="G34" s="34">
        <v>-4.4530000000000003</v>
      </c>
      <c r="H34" s="35"/>
      <c r="I34" s="34">
        <v>-3.544</v>
      </c>
      <c r="J34" s="35"/>
      <c r="K34" s="34">
        <v>-2.7719999999999998</v>
      </c>
      <c r="L34" s="35"/>
      <c r="M34" s="34">
        <v>-1.3</v>
      </c>
      <c r="N34" s="35"/>
      <c r="O34" s="34">
        <v>-4.7</v>
      </c>
      <c r="P34" s="35"/>
      <c r="Q34" s="34">
        <v>-0.4</v>
      </c>
      <c r="R34" s="35"/>
      <c r="S34" s="34">
        <v>-4.5</v>
      </c>
      <c r="T34" s="35"/>
      <c r="U34" s="34">
        <v>-4.5</v>
      </c>
      <c r="V34" s="35"/>
      <c r="W34" s="34">
        <v>-4.3</v>
      </c>
      <c r="X34" s="35"/>
      <c r="Y34" s="34">
        <v>-5.7</v>
      </c>
      <c r="Z34" s="35"/>
      <c r="AA34" s="34">
        <v>-8900</v>
      </c>
      <c r="AB34" s="35"/>
      <c r="AC34" s="34">
        <v>-7.6</v>
      </c>
      <c r="AD34" s="35"/>
      <c r="AE34" s="34">
        <v>-8.8000000000000007</v>
      </c>
      <c r="AF34" s="35"/>
      <c r="AG34" s="34">
        <v>-14.7</v>
      </c>
      <c r="AH34" s="35"/>
      <c r="AI34" s="34">
        <v>-1.8</v>
      </c>
      <c r="AJ34" s="35"/>
      <c r="AK34" s="34">
        <v>-8.5</v>
      </c>
      <c r="AL34" s="35"/>
      <c r="AM34" s="34">
        <v>-6.8</v>
      </c>
      <c r="AN34" s="35"/>
      <c r="AO34" s="34">
        <v>-7.6</v>
      </c>
      <c r="AP34" s="35"/>
      <c r="AQ34" s="34">
        <v>-5.4</v>
      </c>
      <c r="AR34" s="35"/>
      <c r="AS34" s="34">
        <v>-11.2</v>
      </c>
      <c r="AT34" s="35"/>
      <c r="AU34" s="34">
        <v>-11.6</v>
      </c>
      <c r="AV34" s="35"/>
      <c r="AW34" s="34">
        <v>-8.1</v>
      </c>
      <c r="AX34" s="35"/>
      <c r="AY34" s="34">
        <v>-7300</v>
      </c>
      <c r="AZ34" s="35"/>
    </row>
    <row r="35" spans="1:52" x14ac:dyDescent="0.25">
      <c r="A35" s="10" t="s">
        <v>1541</v>
      </c>
      <c r="B35" s="10"/>
      <c r="C35" s="32">
        <v>-6.01</v>
      </c>
      <c r="D35" s="33">
        <v>1</v>
      </c>
      <c r="E35" s="32">
        <v>-3.9390000000000001</v>
      </c>
      <c r="F35" s="33">
        <v>1</v>
      </c>
      <c r="G35" s="32">
        <v>-4.4530000000000003</v>
      </c>
      <c r="H35" s="33">
        <v>1</v>
      </c>
      <c r="I35" s="32">
        <v>-3.544</v>
      </c>
      <c r="J35" s="33">
        <v>1</v>
      </c>
      <c r="K35" s="32">
        <v>-2.7719999999999998</v>
      </c>
      <c r="L35" s="33">
        <v>1</v>
      </c>
      <c r="M35" s="32">
        <v>-1.3</v>
      </c>
      <c r="N35" s="33">
        <v>1</v>
      </c>
      <c r="O35" s="32">
        <v>-4.7</v>
      </c>
      <c r="P35" s="33">
        <v>1</v>
      </c>
      <c r="Q35" s="32">
        <v>-0.4</v>
      </c>
      <c r="R35" s="33">
        <v>1</v>
      </c>
      <c r="S35" s="32">
        <v>-4.5</v>
      </c>
      <c r="T35" s="33">
        <v>1</v>
      </c>
      <c r="U35" s="32">
        <v>-4.5</v>
      </c>
      <c r="V35" s="33">
        <v>1</v>
      </c>
      <c r="W35" s="32">
        <v>-4.3</v>
      </c>
      <c r="X35" s="33">
        <v>1</v>
      </c>
      <c r="Y35" s="32">
        <v>-5.7</v>
      </c>
      <c r="Z35" s="33">
        <v>1</v>
      </c>
      <c r="AA35" s="32">
        <v>-8900</v>
      </c>
      <c r="AB35" s="33">
        <v>1</v>
      </c>
      <c r="AC35" s="32">
        <v>-7.6</v>
      </c>
      <c r="AD35" s="33">
        <v>1</v>
      </c>
      <c r="AE35" s="32">
        <v>-8.8000000000000007</v>
      </c>
      <c r="AF35" s="33">
        <v>1</v>
      </c>
      <c r="AG35" s="32">
        <v>-14.7</v>
      </c>
      <c r="AH35" s="33">
        <v>1</v>
      </c>
      <c r="AI35" s="32">
        <v>-1.8</v>
      </c>
      <c r="AJ35" s="33">
        <v>1</v>
      </c>
      <c r="AK35" s="32">
        <v>-8.5</v>
      </c>
      <c r="AL35" s="33">
        <v>1</v>
      </c>
      <c r="AM35" s="32">
        <v>-6.8</v>
      </c>
      <c r="AN35" s="33">
        <v>1</v>
      </c>
      <c r="AO35" s="32">
        <v>-7.6</v>
      </c>
      <c r="AP35" s="33">
        <v>1</v>
      </c>
      <c r="AQ35" s="32">
        <v>-5.4</v>
      </c>
      <c r="AR35" s="33">
        <v>1</v>
      </c>
      <c r="AS35" s="32">
        <v>-11.2</v>
      </c>
      <c r="AT35" s="33">
        <v>1</v>
      </c>
      <c r="AU35" s="32">
        <v>-11.6</v>
      </c>
      <c r="AV35" s="33">
        <v>1</v>
      </c>
      <c r="AW35" s="32">
        <v>-8.1</v>
      </c>
      <c r="AX35" s="33">
        <v>1</v>
      </c>
      <c r="AY35" s="32">
        <v>-7300</v>
      </c>
      <c r="AZ35" s="33">
        <v>1</v>
      </c>
    </row>
    <row r="36" spans="1:52" x14ac:dyDescent="0.25">
      <c r="A36" s="7" t="s">
        <v>90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22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1547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1548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1549</v>
      </c>
      <c r="B7" s="10"/>
      <c r="C7" s="13">
        <v>1.1659999999999999</v>
      </c>
      <c r="D7" s="13">
        <v>1.972</v>
      </c>
      <c r="E7" s="13">
        <v>3.036</v>
      </c>
      <c r="F7" s="13">
        <v>24</v>
      </c>
      <c r="G7" s="13">
        <v>6.2</v>
      </c>
      <c r="H7" s="13">
        <v>6</v>
      </c>
      <c r="I7" s="13">
        <v>34.799999999999997</v>
      </c>
      <c r="J7" s="13">
        <v>4.4000000000000004</v>
      </c>
      <c r="K7" s="13">
        <v>6.6</v>
      </c>
      <c r="L7" s="13">
        <v>5.6</v>
      </c>
      <c r="M7" s="13">
        <v>22.1</v>
      </c>
      <c r="N7" s="13">
        <v>7.2</v>
      </c>
      <c r="O7" s="13">
        <v>8.5</v>
      </c>
      <c r="P7" s="13">
        <v>5.6</v>
      </c>
      <c r="Q7" s="13">
        <v>26.2</v>
      </c>
      <c r="R7" s="13">
        <v>8.6</v>
      </c>
      <c r="S7" s="13">
        <v>7.4</v>
      </c>
      <c r="T7" s="13">
        <v>5.0999999999999996</v>
      </c>
      <c r="U7" s="13">
        <v>6.4</v>
      </c>
      <c r="V7" s="13">
        <v>7</v>
      </c>
      <c r="W7" s="13">
        <v>8</v>
      </c>
      <c r="X7" s="13">
        <v>6.3</v>
      </c>
      <c r="Y7" s="13">
        <v>6.4</v>
      </c>
      <c r="Z7" s="13">
        <v>5.5</v>
      </c>
      <c r="AA7" s="13">
        <v>6.5</v>
      </c>
    </row>
    <row r="8" spans="1:27" x14ac:dyDescent="0.25">
      <c r="A8" s="6" t="s">
        <v>1550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s="10" t="s">
        <v>1549</v>
      </c>
      <c r="B9" s="10"/>
      <c r="C9" s="13">
        <v>130.32599999999999</v>
      </c>
      <c r="D9" s="13">
        <v>136.43100000000001</v>
      </c>
      <c r="E9" s="13">
        <v>180.54400000000001</v>
      </c>
      <c r="F9" s="13">
        <v>198.09399999999999</v>
      </c>
      <c r="G9" s="13">
        <v>237.9</v>
      </c>
      <c r="H9" s="13">
        <v>231.1</v>
      </c>
      <c r="I9" s="13">
        <v>267.60000000000002</v>
      </c>
      <c r="J9" s="13">
        <v>254.1</v>
      </c>
      <c r="K9" s="13">
        <v>241.3</v>
      </c>
      <c r="L9" s="13">
        <v>231</v>
      </c>
      <c r="M9" s="13">
        <v>266.8</v>
      </c>
      <c r="N9" s="13">
        <v>288.8</v>
      </c>
      <c r="O9" s="13">
        <v>303.5</v>
      </c>
      <c r="P9" s="13">
        <v>305</v>
      </c>
      <c r="Q9" s="13">
        <v>352</v>
      </c>
      <c r="R9" s="13">
        <v>379.3</v>
      </c>
      <c r="S9" s="13">
        <v>404.6</v>
      </c>
      <c r="T9" s="13">
        <v>415.3</v>
      </c>
      <c r="U9" s="13">
        <v>446.3</v>
      </c>
      <c r="V9" s="13">
        <v>491.8</v>
      </c>
      <c r="W9" s="13">
        <v>507.2</v>
      </c>
      <c r="X9" s="13">
        <v>509</v>
      </c>
      <c r="Y9" s="13">
        <v>583.79999999999995</v>
      </c>
      <c r="Z9" s="13">
        <v>616.6</v>
      </c>
      <c r="AA9" s="13">
        <v>621.20000000000005</v>
      </c>
    </row>
    <row r="10" spans="1:27" x14ac:dyDescent="0.25">
      <c r="A10" s="6" t="s">
        <v>1551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1552</v>
      </c>
      <c r="B11" s="10"/>
      <c r="C11" s="13">
        <v>1.2459999999999999E-3</v>
      </c>
      <c r="D11" s="13">
        <v>3.9</v>
      </c>
      <c r="E11" s="13">
        <v>13.89</v>
      </c>
      <c r="F11" s="13">
        <v>11.717000000000001</v>
      </c>
      <c r="G11" s="13">
        <v>14.166</v>
      </c>
      <c r="H11" s="13">
        <v>13</v>
      </c>
      <c r="I11" s="13">
        <v>13.1</v>
      </c>
      <c r="J11" s="13">
        <v>15.3</v>
      </c>
      <c r="K11" s="13">
        <v>13.7</v>
      </c>
      <c r="L11" s="13">
        <v>13</v>
      </c>
      <c r="M11" s="13">
        <v>13.1</v>
      </c>
      <c r="N11" s="13">
        <v>15.8</v>
      </c>
      <c r="O11" s="13">
        <v>13.8</v>
      </c>
      <c r="P11" s="13">
        <v>14.4</v>
      </c>
      <c r="Q11" s="13">
        <v>15.7</v>
      </c>
      <c r="R11" s="13">
        <v>18.100000000000001</v>
      </c>
      <c r="S11" s="13">
        <v>20.5</v>
      </c>
      <c r="T11" s="13">
        <v>30.1</v>
      </c>
      <c r="U11" s="13">
        <v>27.9</v>
      </c>
      <c r="V11" s="13">
        <v>24.2</v>
      </c>
      <c r="W11" s="13">
        <v>23.9</v>
      </c>
      <c r="X11" s="13">
        <v>24.2</v>
      </c>
      <c r="Y11" s="13">
        <v>23.1</v>
      </c>
      <c r="Z11" s="13">
        <v>21.6</v>
      </c>
      <c r="AA11" s="13">
        <v>32.9</v>
      </c>
    </row>
    <row r="12" spans="1:27" x14ac:dyDescent="0.25">
      <c r="A12" s="6" t="s">
        <v>1553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1552</v>
      </c>
      <c r="B13" s="10"/>
      <c r="C13" s="13">
        <v>12.826000000000001</v>
      </c>
      <c r="D13" s="13">
        <v>8</v>
      </c>
      <c r="E13" s="13">
        <v>5.5880000000000001</v>
      </c>
      <c r="F13" s="13">
        <v>6.2039999999999997</v>
      </c>
      <c r="G13" s="13">
        <v>5.468</v>
      </c>
      <c r="H13" s="13">
        <v>4.5999999999999996</v>
      </c>
      <c r="I13" s="13">
        <v>5.7</v>
      </c>
      <c r="J13" s="13">
        <v>9.8000000000000007</v>
      </c>
      <c r="K13" s="13">
        <v>10.1</v>
      </c>
      <c r="L13" s="13">
        <v>5.5</v>
      </c>
      <c r="M13" s="13">
        <v>8.4</v>
      </c>
      <c r="N13" s="13">
        <v>13.9</v>
      </c>
      <c r="O13" s="13">
        <v>16.100000000000001</v>
      </c>
      <c r="P13" s="13">
        <v>16.600000000000001</v>
      </c>
      <c r="Q13" s="13">
        <v>21.7</v>
      </c>
      <c r="R13" s="13">
        <v>18.100000000000001</v>
      </c>
      <c r="S13" s="13">
        <v>24.7</v>
      </c>
      <c r="T13" s="13">
        <v>28.9</v>
      </c>
      <c r="U13" s="13">
        <v>23.6</v>
      </c>
      <c r="V13" s="13">
        <v>25.4</v>
      </c>
      <c r="W13" s="13">
        <v>29.5</v>
      </c>
      <c r="X13" s="13">
        <v>27.2</v>
      </c>
      <c r="Y13" s="13">
        <v>31.2</v>
      </c>
      <c r="Z13" s="13">
        <v>19.2</v>
      </c>
      <c r="AA13" s="13">
        <v>18.5</v>
      </c>
    </row>
    <row r="14" spans="1:27" x14ac:dyDescent="0.25">
      <c r="A14" s="6" t="s">
        <v>1554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x14ac:dyDescent="0.25">
      <c r="A15" s="10" t="s">
        <v>1552</v>
      </c>
      <c r="B15" s="10"/>
      <c r="C15" s="13">
        <v>11.28</v>
      </c>
      <c r="D15" s="13">
        <v>3.2</v>
      </c>
      <c r="E15" s="13">
        <v>5.0330000000000004</v>
      </c>
      <c r="F15" s="13">
        <v>4.3650000000000002</v>
      </c>
      <c r="G15" s="13">
        <v>12.044</v>
      </c>
      <c r="H15" s="13">
        <v>9.1999999999999993</v>
      </c>
      <c r="I15" s="13">
        <v>10.6</v>
      </c>
      <c r="J15" s="13">
        <v>11.7</v>
      </c>
      <c r="K15" s="13">
        <v>11.8</v>
      </c>
      <c r="L15" s="13">
        <v>9.4</v>
      </c>
      <c r="M15" s="13">
        <v>11.7</v>
      </c>
      <c r="N15" s="13">
        <v>14.8</v>
      </c>
      <c r="O15" s="13">
        <v>14.6</v>
      </c>
      <c r="P15" s="13">
        <v>15.9</v>
      </c>
      <c r="Q15" s="13">
        <v>15.8</v>
      </c>
      <c r="R15" s="13">
        <v>13.5</v>
      </c>
      <c r="S15" s="13">
        <v>18.5</v>
      </c>
      <c r="T15" s="13">
        <v>20.8</v>
      </c>
      <c r="U15" s="13">
        <v>25.7</v>
      </c>
      <c r="V15" s="13">
        <v>28.4</v>
      </c>
      <c r="W15" s="13">
        <v>21.6</v>
      </c>
      <c r="X15" s="13">
        <v>26.2</v>
      </c>
      <c r="Y15" s="13">
        <v>35.6</v>
      </c>
      <c r="Z15" s="13">
        <v>42.1</v>
      </c>
      <c r="AA15" s="13">
        <v>41.7</v>
      </c>
    </row>
    <row r="16" spans="1:27" x14ac:dyDescent="0.25">
      <c r="A16" s="6" t="s">
        <v>1555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0" t="s">
        <v>1552</v>
      </c>
      <c r="B17" s="10"/>
      <c r="C17" s="13">
        <v>0</v>
      </c>
      <c r="D17" s="13">
        <v>0</v>
      </c>
      <c r="E17" s="13">
        <v>10</v>
      </c>
      <c r="F17" s="13">
        <v>0</v>
      </c>
      <c r="G17" s="13">
        <v>0</v>
      </c>
      <c r="H17" s="13">
        <v>0</v>
      </c>
      <c r="I17" s="13">
        <v>20</v>
      </c>
      <c r="J17" s="13">
        <v>0</v>
      </c>
      <c r="K17" s="13">
        <v>0</v>
      </c>
      <c r="L17" s="13">
        <v>0</v>
      </c>
      <c r="M17" s="13">
        <v>0</v>
      </c>
      <c r="N17" s="13">
        <v>5.4</v>
      </c>
      <c r="O17" s="13">
        <v>0</v>
      </c>
      <c r="P17" s="13">
        <v>7.3</v>
      </c>
      <c r="Q17" s="13">
        <v>30.4</v>
      </c>
      <c r="R17" s="13">
        <v>5</v>
      </c>
      <c r="S17" s="13">
        <v>0</v>
      </c>
      <c r="T17" s="13">
        <v>0</v>
      </c>
      <c r="U17" s="13">
        <v>0</v>
      </c>
      <c r="V17" s="13">
        <v>0.3</v>
      </c>
      <c r="W17" s="13">
        <v>0.5</v>
      </c>
      <c r="X17" s="13">
        <v>6.1</v>
      </c>
      <c r="Y17" s="13">
        <v>26.5</v>
      </c>
      <c r="Z17" s="13">
        <v>38.799999999999997</v>
      </c>
      <c r="AA17" s="13">
        <v>0.3</v>
      </c>
    </row>
    <row r="18" spans="1:27" x14ac:dyDescent="0.25">
      <c r="A18" s="6" t="s">
        <v>1556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x14ac:dyDescent="0.25">
      <c r="A19" s="10" t="s">
        <v>1552</v>
      </c>
      <c r="B19" s="10"/>
      <c r="C19" s="13">
        <v>12</v>
      </c>
      <c r="D19" s="13">
        <v>15.9</v>
      </c>
      <c r="E19" s="13">
        <v>16.914000000000001</v>
      </c>
      <c r="F19" s="13">
        <v>17.917999999999999</v>
      </c>
      <c r="G19" s="13">
        <v>20.614999999999998</v>
      </c>
      <c r="H19" s="13">
        <v>23.9</v>
      </c>
      <c r="I19" s="13">
        <v>25.2</v>
      </c>
      <c r="J19" s="13">
        <v>24.8</v>
      </c>
      <c r="K19" s="13">
        <v>21.5</v>
      </c>
      <c r="L19" s="13">
        <v>35.5</v>
      </c>
      <c r="M19" s="13">
        <v>29.1</v>
      </c>
      <c r="N19" s="13">
        <v>32.4</v>
      </c>
      <c r="O19" s="13">
        <v>32.1</v>
      </c>
      <c r="P19" s="13">
        <v>37.299999999999997</v>
      </c>
      <c r="Q19" s="13">
        <v>40.799999999999997</v>
      </c>
      <c r="R19" s="13">
        <v>41.6</v>
      </c>
      <c r="S19" s="13">
        <v>44.1</v>
      </c>
      <c r="T19" s="13">
        <v>47.8</v>
      </c>
      <c r="U19" s="13">
        <v>57.4</v>
      </c>
      <c r="V19" s="13">
        <v>52.2</v>
      </c>
      <c r="W19" s="13">
        <v>49.3</v>
      </c>
      <c r="X19" s="13">
        <v>57.6</v>
      </c>
      <c r="Y19" s="13">
        <v>54.9</v>
      </c>
      <c r="Z19" s="13">
        <v>55.4</v>
      </c>
      <c r="AA19" s="13">
        <v>68.8</v>
      </c>
    </row>
    <row r="20" spans="1:27" x14ac:dyDescent="0.25">
      <c r="A20" s="6" t="s">
        <v>1557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1552</v>
      </c>
      <c r="B21" s="10"/>
      <c r="C21" s="13">
        <v>3</v>
      </c>
      <c r="D21" s="13">
        <v>6.6520000000000001</v>
      </c>
      <c r="E21" s="13">
        <v>10.262</v>
      </c>
      <c r="F21" s="13">
        <v>5.0739999999999998</v>
      </c>
      <c r="G21" s="13">
        <v>3.0070000000000001</v>
      </c>
      <c r="H21" s="13">
        <v>7.6</v>
      </c>
      <c r="I21" s="13">
        <v>6.3</v>
      </c>
      <c r="J21" s="13">
        <v>7.5</v>
      </c>
      <c r="K21" s="13">
        <v>9.6</v>
      </c>
      <c r="L21" s="13">
        <v>9.8000000000000007</v>
      </c>
      <c r="M21" s="13">
        <v>12.5</v>
      </c>
      <c r="N21" s="13">
        <v>10.4</v>
      </c>
      <c r="O21" s="13">
        <v>10.8</v>
      </c>
      <c r="P21" s="13">
        <v>10.7</v>
      </c>
      <c r="Q21" s="13">
        <v>11.5</v>
      </c>
      <c r="R21" s="13">
        <v>11.4</v>
      </c>
      <c r="S21" s="13">
        <v>10.199999999999999</v>
      </c>
      <c r="T21" s="13">
        <v>11.9</v>
      </c>
      <c r="U21" s="13">
        <v>11.2</v>
      </c>
      <c r="V21" s="13">
        <v>11.7</v>
      </c>
      <c r="W21" s="13">
        <v>12.7</v>
      </c>
      <c r="X21" s="13">
        <v>18.100000000000001</v>
      </c>
      <c r="Y21" s="13">
        <v>19.8</v>
      </c>
      <c r="Z21" s="13">
        <v>17.899999999999999</v>
      </c>
      <c r="AA21" s="13">
        <v>23.4</v>
      </c>
    </row>
    <row r="22" spans="1:27" x14ac:dyDescent="0.25">
      <c r="A22" s="7" t="s">
        <v>90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48"/>
  <sheetViews>
    <sheetView tabSelected="1" workbookViewId="0">
      <selection activeCell="K19" sqref="K19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1558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1559</v>
      </c>
      <c r="D4" s="4" t="s">
        <v>1560</v>
      </c>
      <c r="E4" s="4" t="s">
        <v>1561</v>
      </c>
      <c r="F4" s="4" t="s">
        <v>1562</v>
      </c>
      <c r="G4" s="4" t="s">
        <v>1563</v>
      </c>
      <c r="H4" s="4" t="s">
        <v>6</v>
      </c>
      <c r="I4" s="4" t="s">
        <v>1564</v>
      </c>
      <c r="J4" s="4" t="s">
        <v>1565</v>
      </c>
      <c r="K4" s="4" t="s">
        <v>1566</v>
      </c>
      <c r="L4" s="4" t="s">
        <v>1567</v>
      </c>
      <c r="M4" s="4" t="s">
        <v>1568</v>
      </c>
      <c r="N4" s="4" t="s">
        <v>1569</v>
      </c>
      <c r="O4" s="4" t="s">
        <v>1570</v>
      </c>
      <c r="P4" s="4" t="s">
        <v>1571</v>
      </c>
      <c r="Q4" s="4" t="s">
        <v>1572</v>
      </c>
      <c r="R4" s="4" t="s">
        <v>1573</v>
      </c>
      <c r="S4" s="4" t="s">
        <v>1574</v>
      </c>
      <c r="T4" s="4" t="s">
        <v>1575</v>
      </c>
      <c r="U4" s="4" t="s">
        <v>1576</v>
      </c>
      <c r="V4" s="4" t="s">
        <v>1577</v>
      </c>
      <c r="W4" s="4" t="s">
        <v>1578</v>
      </c>
      <c r="X4" s="4" t="s">
        <v>1579</v>
      </c>
      <c r="Y4" s="4" t="s">
        <v>1580</v>
      </c>
      <c r="Z4" s="4" t="s">
        <v>1581</v>
      </c>
      <c r="AA4" s="4" t="s">
        <v>1582</v>
      </c>
    </row>
    <row r="5" spans="1:27" x14ac:dyDescent="0.25">
      <c r="A5" s="9" t="s">
        <v>34</v>
      </c>
      <c r="B5" s="9"/>
      <c r="C5" s="5" t="s">
        <v>1583</v>
      </c>
      <c r="D5" s="5" t="s">
        <v>1584</v>
      </c>
      <c r="E5" s="5" t="s">
        <v>1585</v>
      </c>
      <c r="F5" s="5" t="s">
        <v>1586</v>
      </c>
      <c r="G5" s="5" t="s">
        <v>1587</v>
      </c>
      <c r="H5" s="5" t="s">
        <v>1588</v>
      </c>
      <c r="I5" s="5" t="s">
        <v>1589</v>
      </c>
      <c r="J5" s="5" t="s">
        <v>1590</v>
      </c>
      <c r="K5" s="5" t="s">
        <v>1591</v>
      </c>
      <c r="L5" s="5" t="s">
        <v>1592</v>
      </c>
      <c r="M5" s="5" t="s">
        <v>1593</v>
      </c>
      <c r="N5" s="5" t="s">
        <v>1594</v>
      </c>
      <c r="O5" s="5" t="s">
        <v>1595</v>
      </c>
      <c r="P5" s="5" t="s">
        <v>1596</v>
      </c>
      <c r="Q5" s="5" t="s">
        <v>1597</v>
      </c>
      <c r="R5" s="5" t="s">
        <v>1598</v>
      </c>
      <c r="S5" s="5" t="s">
        <v>1599</v>
      </c>
      <c r="T5" s="5" t="s">
        <v>1600</v>
      </c>
      <c r="U5" s="5" t="s">
        <v>95</v>
      </c>
      <c r="V5" s="5" t="s">
        <v>37</v>
      </c>
      <c r="W5" s="5" t="s">
        <v>41</v>
      </c>
      <c r="X5" s="5" t="s">
        <v>45</v>
      </c>
      <c r="Y5" s="5" t="s">
        <v>49</v>
      </c>
      <c r="Z5" s="5" t="s">
        <v>53</v>
      </c>
      <c r="AA5" s="5" t="s">
        <v>57</v>
      </c>
    </row>
    <row r="6" spans="1:27" x14ac:dyDescent="0.25">
      <c r="A6" s="10" t="s">
        <v>1601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0" t="s">
        <v>1602</v>
      </c>
      <c r="B7" s="10" t="s">
        <v>1603</v>
      </c>
      <c r="C7" s="14" t="str">
        <f>_xll.BDH("NBIX US Equity","ESG_DISCLOSURE_SCORE","FY 2000","FY 2000","Currency=USD","Period=FQ","BEST_FPERIOD_OVERRIDE=FQ","FILING_STATUS=MR","Sort=A","Dates=H","DateFormat=P","Fill=—","Direction=H","UseDPDF=Y")</f>
        <v>—</v>
      </c>
      <c r="D7" s="14" t="str">
        <f>_xll.BDH("NBIX US Equity","ESG_DISCLOSURE_SCORE","FY 2001","FY 2001","Currency=USD","Period=FQ","BEST_FPERIOD_OVERRIDE=FQ","FILING_STATUS=MR","Sort=A","Dates=H","DateFormat=P","Fill=—","Direction=H","UseDPDF=Y")</f>
        <v>—</v>
      </c>
      <c r="E7" s="14" t="str">
        <f>_xll.BDH("NBIX US Equity","ESG_DISCLOSURE_SCORE","FY 2002","FY 2002","Currency=USD","Period=FQ","BEST_FPERIOD_OVERRIDE=FQ","FILING_STATUS=MR","Sort=A","Dates=H","DateFormat=P","Fill=—","Direction=H","UseDPDF=Y")</f>
        <v>—</v>
      </c>
      <c r="F7" s="14" t="str">
        <f>_xll.BDH("NBIX US Equity","ESG_DISCLOSURE_SCORE","FY 2003","FY 2003","Currency=USD","Period=FQ","BEST_FPERIOD_OVERRIDE=FQ","FILING_STATUS=MR","Sort=A","Dates=H","DateFormat=P","Fill=—","Direction=H","UseDPDF=Y")</f>
        <v>—</v>
      </c>
      <c r="G7" s="14" t="str">
        <f>_xll.BDH("NBIX US Equity","ESG_DISCLOSURE_SCORE","FY 2004","FY 2004","Currency=USD","Period=FQ","BEST_FPERIOD_OVERRIDE=FQ","FILING_STATUS=MR","Sort=A","Dates=H","DateFormat=P","Fill=—","Direction=H","UseDPDF=Y")</f>
        <v>—</v>
      </c>
      <c r="H7" s="14" t="str">
        <f>_xll.BDH("NBIX US Equity","ESG_DISCLOSURE_SCORE","FY 2005","FY 2005","Currency=USD","Period=FQ","BEST_FPERIOD_OVERRIDE=FQ","FILING_STATUS=MR","Sort=A","Dates=H","DateFormat=P","Fill=—","Direction=H","UseDPDF=Y")</f>
        <v>—</v>
      </c>
      <c r="I7" s="14" t="str">
        <f>_xll.BDH("NBIX US Equity","ESG_DISCLOSURE_SCORE","FY 2006","FY 2006","Currency=USD","Period=FQ","BEST_FPERIOD_OVERRIDE=FQ","FILING_STATUS=MR","Sort=A","Dates=H","DateFormat=P","Fill=—","Direction=H","UseDPDF=Y")</f>
        <v>—</v>
      </c>
      <c r="J7" s="14" t="str">
        <f>_xll.BDH("NBIX US Equity","ESG_DISCLOSURE_SCORE","FY 2007","FY 2007","Currency=USD","Period=FQ","BEST_FPERIOD_OVERRIDE=FQ","FILING_STATUS=MR","Sort=A","Dates=H","DateFormat=P","Fill=—","Direction=H","UseDPDF=Y")</f>
        <v>—</v>
      </c>
      <c r="K7" s="14" t="str">
        <f>_xll.BDH("NBIX US Equity","ESG_DISCLOSURE_SCORE","FY 2008","FY 2008","Currency=USD","Period=FQ","BEST_FPERIOD_OVERRIDE=FQ","FILING_STATUS=MR","Sort=A","Dates=H","DateFormat=P","Fill=—","Direction=H","UseDPDF=Y")</f>
        <v>—</v>
      </c>
      <c r="L7" s="14" t="str">
        <f>_xll.BDH("NBIX US Equity","ESG_DISCLOSURE_SCORE","FY 2009","FY 2009","Currency=USD","Period=FQ","BEST_FPERIOD_OVERRIDE=FQ","FILING_STATUS=MR","Sort=A","Dates=H","DateFormat=P","Fill=—","Direction=H","UseDPDF=Y")</f>
        <v>—</v>
      </c>
      <c r="M7" s="14" t="str">
        <f>_xll.BDH("NBIX US Equity","ESG_DISCLOSURE_SCORE","FY 2010","FY 2010","Currency=USD","Period=FQ","BEST_FPERIOD_OVERRIDE=FQ","FILING_STATUS=MR","Sort=A","Dates=H","DateFormat=P","Fill=—","Direction=H","UseDPDF=Y")</f>
        <v>—</v>
      </c>
      <c r="N7" s="14" t="str">
        <f>_xll.BDH("NBIX US Equity","ESG_DISCLOSURE_SCORE","FY 2011","FY 2011","Currency=USD","Period=FQ","BEST_FPERIOD_OVERRIDE=FQ","FILING_STATUS=MR","Sort=A","Dates=H","DateFormat=P","Fill=—","Direction=H","UseDPDF=Y")</f>
        <v>—</v>
      </c>
      <c r="O7" s="14" t="str">
        <f>_xll.BDH("NBIX US Equity","ESG_DISCLOSURE_SCORE","FY 2012","FY 2012","Currency=USD","Period=FQ","BEST_FPERIOD_OVERRIDE=FQ","FILING_STATUS=MR","Sort=A","Dates=H","DateFormat=P","Fill=—","Direction=H","UseDPDF=Y")</f>
        <v>—</v>
      </c>
      <c r="P7" s="14" t="str">
        <f>_xll.BDH("NBIX US Equity","ESG_DISCLOSURE_SCORE","FY 2013","FY 2013","Currency=USD","Period=FQ","BEST_FPERIOD_OVERRIDE=FQ","FILING_STATUS=MR","Sort=A","Dates=H","DateFormat=P","Fill=—","Direction=H","UseDPDF=Y")</f>
        <v>—</v>
      </c>
      <c r="Q7" s="14" t="str">
        <f>_xll.BDH("NBIX US Equity","ESG_DISCLOSURE_SCORE","FY 2014","FY 2014","Currency=USD","Period=FQ","BEST_FPERIOD_OVERRIDE=FQ","FILING_STATUS=MR","Sort=A","Dates=H","DateFormat=P","Fill=—","Direction=H","UseDPDF=Y")</f>
        <v>—</v>
      </c>
      <c r="R7" s="14" t="str">
        <f>_xll.BDH("NBIX US Equity","ESG_DISCLOSURE_SCORE","FY 2015","FY 2015","Currency=USD","Period=FQ","BEST_FPERIOD_OVERRIDE=FQ","FILING_STATUS=MR","Sort=A","Dates=H","DateFormat=P","Fill=—","Direction=H","UseDPDF=Y")</f>
        <v>—</v>
      </c>
      <c r="S7" s="14" t="str">
        <f>_xll.BDH("NBIX US Equity","ESG_DISCLOSURE_SCORE","FY 2016","FY 2016","Currency=USD","Period=FQ","BEST_FPERIOD_OVERRIDE=FQ","FILING_STATUS=MR","Sort=A","Dates=H","DateFormat=P","Fill=—","Direction=H","UseDPDF=Y")</f>
        <v>—</v>
      </c>
      <c r="T7" s="14" t="str">
        <f>_xll.BDH("NBIX US Equity","ESG_DISCLOSURE_SCORE","FY 2017","FY 2017","Currency=USD","Period=FQ","BEST_FPERIOD_OVERRIDE=FQ","FILING_STATUS=MR","Sort=A","Dates=H","DateFormat=P","Fill=—","Direction=H","UseDPDF=Y")</f>
        <v>—</v>
      </c>
      <c r="U7" s="14" t="str">
        <f>_xll.BDH("NBIX US Equity","ESG_DISCLOSURE_SCORE","FY 2018","FY 2018","Currency=USD","Period=FQ","BEST_FPERIOD_OVERRIDE=FQ","FILING_STATUS=MR","Sort=A","Dates=H","DateFormat=P","Fill=—","Direction=H","UseDPDF=Y")</f>
        <v>—</v>
      </c>
      <c r="V7" s="14" t="str">
        <f>_xll.BDH("NBIX US Equity","ESG_DISCLOSURE_SCORE","FY 2019","FY 2019","Currency=USD","Period=FQ","BEST_FPERIOD_OVERRIDE=FQ","FILING_STATUS=MR","Sort=A","Dates=H","DateFormat=P","Fill=—","Direction=H","UseDPDF=Y")</f>
        <v>—</v>
      </c>
      <c r="W7" s="14" t="str">
        <f>_xll.BDH("NBIX US Equity","ESG_DISCLOSURE_SCORE","FY 2020","FY 2020","Currency=USD","Period=FQ","BEST_FPERIOD_OVERRIDE=FQ","FILING_STATUS=MR","Sort=A","Dates=H","DateFormat=P","Fill=—","Direction=H","UseDPDF=Y")</f>
        <v>—</v>
      </c>
      <c r="X7" s="14" t="str">
        <f>_xll.BDH("NBIX US Equity","ESG_DISCLOSURE_SCORE","FY 2021","FY 2021","Currency=USD","Period=FQ","BEST_FPERIOD_OVERRIDE=FQ","FILING_STATUS=MR","Sort=A","Dates=H","DateFormat=P","Fill=—","Direction=H","UseDPDF=Y")</f>
        <v>—</v>
      </c>
      <c r="Y7" s="14" t="str">
        <f>_xll.BDH("NBIX US Equity","ESG_DISCLOSURE_SCORE","FY 2022","FY 2022","Currency=USD","Period=FQ","BEST_FPERIOD_OVERRIDE=FQ","FILING_STATUS=MR","Sort=A","Dates=H","DateFormat=P","Fill=—","Direction=H","UseDPDF=Y")</f>
        <v>—</v>
      </c>
      <c r="Z7" s="14" t="str">
        <f>_xll.BDH("NBIX US Equity","ESG_DISCLOSURE_SCORE","FY 2023","FY 2023","Currency=USD","Period=FQ","BEST_FPERIOD_OVERRIDE=FQ","FILING_STATUS=MR","Sort=A","Dates=H","DateFormat=P","Fill=—","Direction=H","UseDPDF=Y")</f>
        <v>—</v>
      </c>
      <c r="AA7" s="14" t="str">
        <f>_xll.BDH("NBIX US Equity","ESG_DISCLOSURE_SCORE","FY 2024","FY 2024","Currency=USD","Period=FQ","BEST_FPERIOD_OVERRIDE=FQ","FILING_STATUS=MR","Sort=A","Dates=H","DateFormat=P","Fill=—","Direction=H","UseDPDF=Y")</f>
        <v>—</v>
      </c>
    </row>
    <row r="8" spans="1:27" x14ac:dyDescent="0.25">
      <c r="A8" s="10" t="s">
        <v>1604</v>
      </c>
      <c r="B8" s="10" t="s">
        <v>1605</v>
      </c>
      <c r="C8" s="14" t="str">
        <f>_xll.BDH("NBIX US Equity","ENVIRON_DISCLOSURE_SCORE","FY 2000","FY 2000","Currency=USD","Period=FQ","BEST_FPERIOD_OVERRIDE=FQ","FILING_STATUS=MR","Sort=A","Dates=H","DateFormat=P","Fill=—","Direction=H","UseDPDF=Y")</f>
        <v>—</v>
      </c>
      <c r="D8" s="14" t="str">
        <f>_xll.BDH("NBIX US Equity","ENVIRON_DISCLOSURE_SCORE","FY 2001","FY 2001","Currency=USD","Period=FQ","BEST_FPERIOD_OVERRIDE=FQ","FILING_STATUS=MR","Sort=A","Dates=H","DateFormat=P","Fill=—","Direction=H","UseDPDF=Y")</f>
        <v>—</v>
      </c>
      <c r="E8" s="14" t="str">
        <f>_xll.BDH("NBIX US Equity","ENVIRON_DISCLOSURE_SCORE","FY 2002","FY 2002","Currency=USD","Period=FQ","BEST_FPERIOD_OVERRIDE=FQ","FILING_STATUS=MR","Sort=A","Dates=H","DateFormat=P","Fill=—","Direction=H","UseDPDF=Y")</f>
        <v>—</v>
      </c>
      <c r="F8" s="14" t="str">
        <f>_xll.BDH("NBIX US Equity","ENVIRON_DISCLOSURE_SCORE","FY 2003","FY 2003","Currency=USD","Period=FQ","BEST_FPERIOD_OVERRIDE=FQ","FILING_STATUS=MR","Sort=A","Dates=H","DateFormat=P","Fill=—","Direction=H","UseDPDF=Y")</f>
        <v>—</v>
      </c>
      <c r="G8" s="14" t="str">
        <f>_xll.BDH("NBIX US Equity","ENVIRON_DISCLOSURE_SCORE","FY 2004","FY 2004","Currency=USD","Period=FQ","BEST_FPERIOD_OVERRIDE=FQ","FILING_STATUS=MR","Sort=A","Dates=H","DateFormat=P","Fill=—","Direction=H","UseDPDF=Y")</f>
        <v>—</v>
      </c>
      <c r="H8" s="14" t="str">
        <f>_xll.BDH("NBIX US Equity","ENVIRON_DISCLOSURE_SCORE","FY 2005","FY 2005","Currency=USD","Period=FQ","BEST_FPERIOD_OVERRIDE=FQ","FILING_STATUS=MR","Sort=A","Dates=H","DateFormat=P","Fill=—","Direction=H","UseDPDF=Y")</f>
        <v>—</v>
      </c>
      <c r="I8" s="14" t="str">
        <f>_xll.BDH("NBIX US Equity","ENVIRON_DISCLOSURE_SCORE","FY 2006","FY 2006","Currency=USD","Period=FQ","BEST_FPERIOD_OVERRIDE=FQ","FILING_STATUS=MR","Sort=A","Dates=H","DateFormat=P","Fill=—","Direction=H","UseDPDF=Y")</f>
        <v>—</v>
      </c>
      <c r="J8" s="14" t="str">
        <f>_xll.BDH("NBIX US Equity","ENVIRON_DISCLOSURE_SCORE","FY 2007","FY 2007","Currency=USD","Period=FQ","BEST_FPERIOD_OVERRIDE=FQ","FILING_STATUS=MR","Sort=A","Dates=H","DateFormat=P","Fill=—","Direction=H","UseDPDF=Y")</f>
        <v>—</v>
      </c>
      <c r="K8" s="14" t="str">
        <f>_xll.BDH("NBIX US Equity","ENVIRON_DISCLOSURE_SCORE","FY 2008","FY 2008","Currency=USD","Period=FQ","BEST_FPERIOD_OVERRIDE=FQ","FILING_STATUS=MR","Sort=A","Dates=H","DateFormat=P","Fill=—","Direction=H","UseDPDF=Y")</f>
        <v>—</v>
      </c>
      <c r="L8" s="14" t="str">
        <f>_xll.BDH("NBIX US Equity","ENVIRON_DISCLOSURE_SCORE","FY 2009","FY 2009","Currency=USD","Period=FQ","BEST_FPERIOD_OVERRIDE=FQ","FILING_STATUS=MR","Sort=A","Dates=H","DateFormat=P","Fill=—","Direction=H","UseDPDF=Y")</f>
        <v>—</v>
      </c>
      <c r="M8" s="14" t="str">
        <f>_xll.BDH("NBIX US Equity","ENVIRON_DISCLOSURE_SCORE","FY 2010","FY 2010","Currency=USD","Period=FQ","BEST_FPERIOD_OVERRIDE=FQ","FILING_STATUS=MR","Sort=A","Dates=H","DateFormat=P","Fill=—","Direction=H","UseDPDF=Y")</f>
        <v>—</v>
      </c>
      <c r="N8" s="14" t="str">
        <f>_xll.BDH("NBIX US Equity","ENVIRON_DISCLOSURE_SCORE","FY 2011","FY 2011","Currency=USD","Period=FQ","BEST_FPERIOD_OVERRIDE=FQ","FILING_STATUS=MR","Sort=A","Dates=H","DateFormat=P","Fill=—","Direction=H","UseDPDF=Y")</f>
        <v>—</v>
      </c>
      <c r="O8" s="14" t="str">
        <f>_xll.BDH("NBIX US Equity","ENVIRON_DISCLOSURE_SCORE","FY 2012","FY 2012","Currency=USD","Period=FQ","BEST_FPERIOD_OVERRIDE=FQ","FILING_STATUS=MR","Sort=A","Dates=H","DateFormat=P","Fill=—","Direction=H","UseDPDF=Y")</f>
        <v>—</v>
      </c>
      <c r="P8" s="14" t="str">
        <f>_xll.BDH("NBIX US Equity","ENVIRON_DISCLOSURE_SCORE","FY 2013","FY 2013","Currency=USD","Period=FQ","BEST_FPERIOD_OVERRIDE=FQ","FILING_STATUS=MR","Sort=A","Dates=H","DateFormat=P","Fill=—","Direction=H","UseDPDF=Y")</f>
        <v>—</v>
      </c>
      <c r="Q8" s="14" t="str">
        <f>_xll.BDH("NBIX US Equity","ENVIRON_DISCLOSURE_SCORE","FY 2014","FY 2014","Currency=USD","Period=FQ","BEST_FPERIOD_OVERRIDE=FQ","FILING_STATUS=MR","Sort=A","Dates=H","DateFormat=P","Fill=—","Direction=H","UseDPDF=Y")</f>
        <v>—</v>
      </c>
      <c r="R8" s="14" t="str">
        <f>_xll.BDH("NBIX US Equity","ENVIRON_DISCLOSURE_SCORE","FY 2015","FY 2015","Currency=USD","Period=FQ","BEST_FPERIOD_OVERRIDE=FQ","FILING_STATUS=MR","Sort=A","Dates=H","DateFormat=P","Fill=—","Direction=H","UseDPDF=Y")</f>
        <v>—</v>
      </c>
      <c r="S8" s="14" t="str">
        <f>_xll.BDH("NBIX US Equity","ENVIRON_DISCLOSURE_SCORE","FY 2016","FY 2016","Currency=USD","Period=FQ","BEST_FPERIOD_OVERRIDE=FQ","FILING_STATUS=MR","Sort=A","Dates=H","DateFormat=P","Fill=—","Direction=H","UseDPDF=Y")</f>
        <v>—</v>
      </c>
      <c r="T8" s="14" t="str">
        <f>_xll.BDH("NBIX US Equity","ENVIRON_DISCLOSURE_SCORE","FY 2017","FY 2017","Currency=USD","Period=FQ","BEST_FPERIOD_OVERRIDE=FQ","FILING_STATUS=MR","Sort=A","Dates=H","DateFormat=P","Fill=—","Direction=H","UseDPDF=Y")</f>
        <v>—</v>
      </c>
      <c r="U8" s="14" t="str">
        <f>_xll.BDH("NBIX US Equity","ENVIRON_DISCLOSURE_SCORE","FY 2018","FY 2018","Currency=USD","Period=FQ","BEST_FPERIOD_OVERRIDE=FQ","FILING_STATUS=MR","Sort=A","Dates=H","DateFormat=P","Fill=—","Direction=H","UseDPDF=Y")</f>
        <v>—</v>
      </c>
      <c r="V8" s="14" t="str">
        <f>_xll.BDH("NBIX US Equity","ENVIRON_DISCLOSURE_SCORE","FY 2019","FY 2019","Currency=USD","Period=FQ","BEST_FPERIOD_OVERRIDE=FQ","FILING_STATUS=MR","Sort=A","Dates=H","DateFormat=P","Fill=—","Direction=H","UseDPDF=Y")</f>
        <v>—</v>
      </c>
      <c r="W8" s="14" t="str">
        <f>_xll.BDH("NBIX US Equity","ENVIRON_DISCLOSURE_SCORE","FY 2020","FY 2020","Currency=USD","Period=FQ","BEST_FPERIOD_OVERRIDE=FQ","FILING_STATUS=MR","Sort=A","Dates=H","DateFormat=P","Fill=—","Direction=H","UseDPDF=Y")</f>
        <v>—</v>
      </c>
      <c r="X8" s="14" t="str">
        <f>_xll.BDH("NBIX US Equity","ENVIRON_DISCLOSURE_SCORE","FY 2021","FY 2021","Currency=USD","Period=FQ","BEST_FPERIOD_OVERRIDE=FQ","FILING_STATUS=MR","Sort=A","Dates=H","DateFormat=P","Fill=—","Direction=H","UseDPDF=Y")</f>
        <v>—</v>
      </c>
      <c r="Y8" s="14" t="str">
        <f>_xll.BDH("NBIX US Equity","ENVIRON_DISCLOSURE_SCORE","FY 2022","FY 2022","Currency=USD","Period=FQ","BEST_FPERIOD_OVERRIDE=FQ","FILING_STATUS=MR","Sort=A","Dates=H","DateFormat=P","Fill=—","Direction=H","UseDPDF=Y")</f>
        <v>—</v>
      </c>
      <c r="Z8" s="14" t="str">
        <f>_xll.BDH("NBIX US Equity","ENVIRON_DISCLOSURE_SCORE","FY 2023","FY 2023","Currency=USD","Period=FQ","BEST_FPERIOD_OVERRIDE=FQ","FILING_STATUS=MR","Sort=A","Dates=H","DateFormat=P","Fill=—","Direction=H","UseDPDF=Y")</f>
        <v>—</v>
      </c>
      <c r="AA8" s="14" t="str">
        <f>_xll.BDH("NBIX US Equity","ENVIRON_DISCLOSURE_SCORE","FY 2024","FY 2024","Currency=USD","Period=FQ","BEST_FPERIOD_OVERRIDE=FQ","FILING_STATUS=MR","Sort=A","Dates=H","DateFormat=P","Fill=—","Direction=H","UseDPDF=Y")</f>
        <v>—</v>
      </c>
    </row>
    <row r="9" spans="1:27" x14ac:dyDescent="0.25">
      <c r="A9" s="10" t="s">
        <v>1606</v>
      </c>
      <c r="B9" s="10" t="s">
        <v>1607</v>
      </c>
      <c r="C9" s="14" t="str">
        <f>_xll.BDH("NBIX US Equity","SOCIAL_DISCLOSURE_SCORE","FY 2000","FY 2000","Currency=USD","Period=FQ","BEST_FPERIOD_OVERRIDE=FQ","FILING_STATUS=MR","Sort=A","Dates=H","DateFormat=P","Fill=—","Direction=H","UseDPDF=Y")</f>
        <v>—</v>
      </c>
      <c r="D9" s="14" t="str">
        <f>_xll.BDH("NBIX US Equity","SOCIAL_DISCLOSURE_SCORE","FY 2001","FY 2001","Currency=USD","Period=FQ","BEST_FPERIOD_OVERRIDE=FQ","FILING_STATUS=MR","Sort=A","Dates=H","DateFormat=P","Fill=—","Direction=H","UseDPDF=Y")</f>
        <v>—</v>
      </c>
      <c r="E9" s="14" t="str">
        <f>_xll.BDH("NBIX US Equity","SOCIAL_DISCLOSURE_SCORE","FY 2002","FY 2002","Currency=USD","Period=FQ","BEST_FPERIOD_OVERRIDE=FQ","FILING_STATUS=MR","Sort=A","Dates=H","DateFormat=P","Fill=—","Direction=H","UseDPDF=Y")</f>
        <v>—</v>
      </c>
      <c r="F9" s="14" t="str">
        <f>_xll.BDH("NBIX US Equity","SOCIAL_DISCLOSURE_SCORE","FY 2003","FY 2003","Currency=USD","Period=FQ","BEST_FPERIOD_OVERRIDE=FQ","FILING_STATUS=MR","Sort=A","Dates=H","DateFormat=P","Fill=—","Direction=H","UseDPDF=Y")</f>
        <v>—</v>
      </c>
      <c r="G9" s="14" t="str">
        <f>_xll.BDH("NBIX US Equity","SOCIAL_DISCLOSURE_SCORE","FY 2004","FY 2004","Currency=USD","Period=FQ","BEST_FPERIOD_OVERRIDE=FQ","FILING_STATUS=MR","Sort=A","Dates=H","DateFormat=P","Fill=—","Direction=H","UseDPDF=Y")</f>
        <v>—</v>
      </c>
      <c r="H9" s="14" t="str">
        <f>_xll.BDH("NBIX US Equity","SOCIAL_DISCLOSURE_SCORE","FY 2005","FY 2005","Currency=USD","Period=FQ","BEST_FPERIOD_OVERRIDE=FQ","FILING_STATUS=MR","Sort=A","Dates=H","DateFormat=P","Fill=—","Direction=H","UseDPDF=Y")</f>
        <v>—</v>
      </c>
      <c r="I9" s="14" t="str">
        <f>_xll.BDH("NBIX US Equity","SOCIAL_DISCLOSURE_SCORE","FY 2006","FY 2006","Currency=USD","Period=FQ","BEST_FPERIOD_OVERRIDE=FQ","FILING_STATUS=MR","Sort=A","Dates=H","DateFormat=P","Fill=—","Direction=H","UseDPDF=Y")</f>
        <v>—</v>
      </c>
      <c r="J9" s="14" t="str">
        <f>_xll.BDH("NBIX US Equity","SOCIAL_DISCLOSURE_SCORE","FY 2007","FY 2007","Currency=USD","Period=FQ","BEST_FPERIOD_OVERRIDE=FQ","FILING_STATUS=MR","Sort=A","Dates=H","DateFormat=P","Fill=—","Direction=H","UseDPDF=Y")</f>
        <v>—</v>
      </c>
      <c r="K9" s="14" t="str">
        <f>_xll.BDH("NBIX US Equity","SOCIAL_DISCLOSURE_SCORE","FY 2008","FY 2008","Currency=USD","Period=FQ","BEST_FPERIOD_OVERRIDE=FQ","FILING_STATUS=MR","Sort=A","Dates=H","DateFormat=P","Fill=—","Direction=H","UseDPDF=Y")</f>
        <v>—</v>
      </c>
      <c r="L9" s="14" t="str">
        <f>_xll.BDH("NBIX US Equity","SOCIAL_DISCLOSURE_SCORE","FY 2009","FY 2009","Currency=USD","Period=FQ","BEST_FPERIOD_OVERRIDE=FQ","FILING_STATUS=MR","Sort=A","Dates=H","DateFormat=P","Fill=—","Direction=H","UseDPDF=Y")</f>
        <v>—</v>
      </c>
      <c r="M9" s="14" t="str">
        <f>_xll.BDH("NBIX US Equity","SOCIAL_DISCLOSURE_SCORE","FY 2010","FY 2010","Currency=USD","Period=FQ","BEST_FPERIOD_OVERRIDE=FQ","FILING_STATUS=MR","Sort=A","Dates=H","DateFormat=P","Fill=—","Direction=H","UseDPDF=Y")</f>
        <v>—</v>
      </c>
      <c r="N9" s="14" t="str">
        <f>_xll.BDH("NBIX US Equity","SOCIAL_DISCLOSURE_SCORE","FY 2011","FY 2011","Currency=USD","Period=FQ","BEST_FPERIOD_OVERRIDE=FQ","FILING_STATUS=MR","Sort=A","Dates=H","DateFormat=P","Fill=—","Direction=H","UseDPDF=Y")</f>
        <v>—</v>
      </c>
      <c r="O9" s="14" t="str">
        <f>_xll.BDH("NBIX US Equity","SOCIAL_DISCLOSURE_SCORE","FY 2012","FY 2012","Currency=USD","Period=FQ","BEST_FPERIOD_OVERRIDE=FQ","FILING_STATUS=MR","Sort=A","Dates=H","DateFormat=P","Fill=—","Direction=H","UseDPDF=Y")</f>
        <v>—</v>
      </c>
      <c r="P9" s="14" t="str">
        <f>_xll.BDH("NBIX US Equity","SOCIAL_DISCLOSURE_SCORE","FY 2013","FY 2013","Currency=USD","Period=FQ","BEST_FPERIOD_OVERRIDE=FQ","FILING_STATUS=MR","Sort=A","Dates=H","DateFormat=P","Fill=—","Direction=H","UseDPDF=Y")</f>
        <v>—</v>
      </c>
      <c r="Q9" s="14" t="str">
        <f>_xll.BDH("NBIX US Equity","SOCIAL_DISCLOSURE_SCORE","FY 2014","FY 2014","Currency=USD","Period=FQ","BEST_FPERIOD_OVERRIDE=FQ","FILING_STATUS=MR","Sort=A","Dates=H","DateFormat=P","Fill=—","Direction=H","UseDPDF=Y")</f>
        <v>—</v>
      </c>
      <c r="R9" s="14" t="str">
        <f>_xll.BDH("NBIX US Equity","SOCIAL_DISCLOSURE_SCORE","FY 2015","FY 2015","Currency=USD","Period=FQ","BEST_FPERIOD_OVERRIDE=FQ","FILING_STATUS=MR","Sort=A","Dates=H","DateFormat=P","Fill=—","Direction=H","UseDPDF=Y")</f>
        <v>—</v>
      </c>
      <c r="S9" s="14" t="str">
        <f>_xll.BDH("NBIX US Equity","SOCIAL_DISCLOSURE_SCORE","FY 2016","FY 2016","Currency=USD","Period=FQ","BEST_FPERIOD_OVERRIDE=FQ","FILING_STATUS=MR","Sort=A","Dates=H","DateFormat=P","Fill=—","Direction=H","UseDPDF=Y")</f>
        <v>—</v>
      </c>
      <c r="T9" s="14" t="str">
        <f>_xll.BDH("NBIX US Equity","SOCIAL_DISCLOSURE_SCORE","FY 2017","FY 2017","Currency=USD","Period=FQ","BEST_FPERIOD_OVERRIDE=FQ","FILING_STATUS=MR","Sort=A","Dates=H","DateFormat=P","Fill=—","Direction=H","UseDPDF=Y")</f>
        <v>—</v>
      </c>
      <c r="U9" s="14" t="str">
        <f>_xll.BDH("NBIX US Equity","SOCIAL_DISCLOSURE_SCORE","FY 2018","FY 2018","Currency=USD","Period=FQ","BEST_FPERIOD_OVERRIDE=FQ","FILING_STATUS=MR","Sort=A","Dates=H","DateFormat=P","Fill=—","Direction=H","UseDPDF=Y")</f>
        <v>—</v>
      </c>
      <c r="V9" s="14" t="str">
        <f>_xll.BDH("NBIX US Equity","SOCIAL_DISCLOSURE_SCORE","FY 2019","FY 2019","Currency=USD","Period=FQ","BEST_FPERIOD_OVERRIDE=FQ","FILING_STATUS=MR","Sort=A","Dates=H","DateFormat=P","Fill=—","Direction=H","UseDPDF=Y")</f>
        <v>—</v>
      </c>
      <c r="W9" s="14" t="str">
        <f>_xll.BDH("NBIX US Equity","SOCIAL_DISCLOSURE_SCORE","FY 2020","FY 2020","Currency=USD","Period=FQ","BEST_FPERIOD_OVERRIDE=FQ","FILING_STATUS=MR","Sort=A","Dates=H","DateFormat=P","Fill=—","Direction=H","UseDPDF=Y")</f>
        <v>—</v>
      </c>
      <c r="X9" s="14" t="str">
        <f>_xll.BDH("NBIX US Equity","SOCIAL_DISCLOSURE_SCORE","FY 2021","FY 2021","Currency=USD","Period=FQ","BEST_FPERIOD_OVERRIDE=FQ","FILING_STATUS=MR","Sort=A","Dates=H","DateFormat=P","Fill=—","Direction=H","UseDPDF=Y")</f>
        <v>—</v>
      </c>
      <c r="Y9" s="14" t="str">
        <f>_xll.BDH("NBIX US Equity","SOCIAL_DISCLOSURE_SCORE","FY 2022","FY 2022","Currency=USD","Period=FQ","BEST_FPERIOD_OVERRIDE=FQ","FILING_STATUS=MR","Sort=A","Dates=H","DateFormat=P","Fill=—","Direction=H","UseDPDF=Y")</f>
        <v>—</v>
      </c>
      <c r="Z9" s="14" t="str">
        <f>_xll.BDH("NBIX US Equity","SOCIAL_DISCLOSURE_SCORE","FY 2023","FY 2023","Currency=USD","Period=FQ","BEST_FPERIOD_OVERRIDE=FQ","FILING_STATUS=MR","Sort=A","Dates=H","DateFormat=P","Fill=—","Direction=H","UseDPDF=Y")</f>
        <v>—</v>
      </c>
      <c r="AA9" s="14" t="str">
        <f>_xll.BDH("NBIX US Equity","SOCIAL_DISCLOSURE_SCORE","FY 2024","FY 2024","Currency=USD","Period=FQ","BEST_FPERIOD_OVERRIDE=FQ","FILING_STATUS=MR","Sort=A","Dates=H","DateFormat=P","Fill=—","Direction=H","UseDPDF=Y")</f>
        <v>—</v>
      </c>
    </row>
    <row r="10" spans="1:27" x14ac:dyDescent="0.25">
      <c r="A10" s="10" t="s">
        <v>1608</v>
      </c>
      <c r="B10" s="10" t="s">
        <v>1609</v>
      </c>
      <c r="C10" s="14" t="str">
        <f>_xll.BDH("NBIX US Equity","GOVNCE_DISCLOSURE_SCORE","FY 2000","FY 2000","Currency=USD","Period=FQ","BEST_FPERIOD_OVERRIDE=FQ","FILING_STATUS=MR","Sort=A","Dates=H","DateFormat=P","Fill=—","Direction=H","UseDPDF=Y")</f>
        <v>—</v>
      </c>
      <c r="D10" s="14" t="str">
        <f>_xll.BDH("NBIX US Equity","GOVNCE_DISCLOSURE_SCORE","FY 2001","FY 2001","Currency=USD","Period=FQ","BEST_FPERIOD_OVERRIDE=FQ","FILING_STATUS=MR","Sort=A","Dates=H","DateFormat=P","Fill=—","Direction=H","UseDPDF=Y")</f>
        <v>—</v>
      </c>
      <c r="E10" s="14" t="str">
        <f>_xll.BDH("NBIX US Equity","GOVNCE_DISCLOSURE_SCORE","FY 2002","FY 2002","Currency=USD","Period=FQ","BEST_FPERIOD_OVERRIDE=FQ","FILING_STATUS=MR","Sort=A","Dates=H","DateFormat=P","Fill=—","Direction=H","UseDPDF=Y")</f>
        <v>—</v>
      </c>
      <c r="F10" s="14" t="str">
        <f>_xll.BDH("NBIX US Equity","GOVNCE_DISCLOSURE_SCORE","FY 2003","FY 2003","Currency=USD","Period=FQ","BEST_FPERIOD_OVERRIDE=FQ","FILING_STATUS=MR","Sort=A","Dates=H","DateFormat=P","Fill=—","Direction=H","UseDPDF=Y")</f>
        <v>—</v>
      </c>
      <c r="G10" s="14" t="str">
        <f>_xll.BDH("NBIX US Equity","GOVNCE_DISCLOSURE_SCORE","FY 2004","FY 2004","Currency=USD","Period=FQ","BEST_FPERIOD_OVERRIDE=FQ","FILING_STATUS=MR","Sort=A","Dates=H","DateFormat=P","Fill=—","Direction=H","UseDPDF=Y")</f>
        <v>—</v>
      </c>
      <c r="H10" s="14" t="str">
        <f>_xll.BDH("NBIX US Equity","GOVNCE_DISCLOSURE_SCORE","FY 2005","FY 2005","Currency=USD","Period=FQ","BEST_FPERIOD_OVERRIDE=FQ","FILING_STATUS=MR","Sort=A","Dates=H","DateFormat=P","Fill=—","Direction=H","UseDPDF=Y")</f>
        <v>—</v>
      </c>
      <c r="I10" s="14" t="str">
        <f>_xll.BDH("NBIX US Equity","GOVNCE_DISCLOSURE_SCORE","FY 2006","FY 2006","Currency=USD","Period=FQ","BEST_FPERIOD_OVERRIDE=FQ","FILING_STATUS=MR","Sort=A","Dates=H","DateFormat=P","Fill=—","Direction=H","UseDPDF=Y")</f>
        <v>—</v>
      </c>
      <c r="J10" s="14" t="str">
        <f>_xll.BDH("NBIX US Equity","GOVNCE_DISCLOSURE_SCORE","FY 2007","FY 2007","Currency=USD","Period=FQ","BEST_FPERIOD_OVERRIDE=FQ","FILING_STATUS=MR","Sort=A","Dates=H","DateFormat=P","Fill=—","Direction=H","UseDPDF=Y")</f>
        <v>—</v>
      </c>
      <c r="K10" s="14" t="str">
        <f>_xll.BDH("NBIX US Equity","GOVNCE_DISCLOSURE_SCORE","FY 2008","FY 2008","Currency=USD","Period=FQ","BEST_FPERIOD_OVERRIDE=FQ","FILING_STATUS=MR","Sort=A","Dates=H","DateFormat=P","Fill=—","Direction=H","UseDPDF=Y")</f>
        <v>—</v>
      </c>
      <c r="L10" s="14" t="str">
        <f>_xll.BDH("NBIX US Equity","GOVNCE_DISCLOSURE_SCORE","FY 2009","FY 2009","Currency=USD","Period=FQ","BEST_FPERIOD_OVERRIDE=FQ","FILING_STATUS=MR","Sort=A","Dates=H","DateFormat=P","Fill=—","Direction=H","UseDPDF=Y")</f>
        <v>—</v>
      </c>
      <c r="M10" s="14" t="str">
        <f>_xll.BDH("NBIX US Equity","GOVNCE_DISCLOSURE_SCORE","FY 2010","FY 2010","Currency=USD","Period=FQ","BEST_FPERIOD_OVERRIDE=FQ","FILING_STATUS=MR","Sort=A","Dates=H","DateFormat=P","Fill=—","Direction=H","UseDPDF=Y")</f>
        <v>—</v>
      </c>
      <c r="N10" s="14" t="str">
        <f>_xll.BDH("NBIX US Equity","GOVNCE_DISCLOSURE_SCORE","FY 2011","FY 2011","Currency=USD","Period=FQ","BEST_FPERIOD_OVERRIDE=FQ","FILING_STATUS=MR","Sort=A","Dates=H","DateFormat=P","Fill=—","Direction=H","UseDPDF=Y")</f>
        <v>—</v>
      </c>
      <c r="O10" s="14" t="str">
        <f>_xll.BDH("NBIX US Equity","GOVNCE_DISCLOSURE_SCORE","FY 2012","FY 2012","Currency=USD","Period=FQ","BEST_FPERIOD_OVERRIDE=FQ","FILING_STATUS=MR","Sort=A","Dates=H","DateFormat=P","Fill=—","Direction=H","UseDPDF=Y")</f>
        <v>—</v>
      </c>
      <c r="P10" s="14" t="str">
        <f>_xll.BDH("NBIX US Equity","GOVNCE_DISCLOSURE_SCORE","FY 2013","FY 2013","Currency=USD","Period=FQ","BEST_FPERIOD_OVERRIDE=FQ","FILING_STATUS=MR","Sort=A","Dates=H","DateFormat=P","Fill=—","Direction=H","UseDPDF=Y")</f>
        <v>—</v>
      </c>
      <c r="Q10" s="14" t="str">
        <f>_xll.BDH("NBIX US Equity","GOVNCE_DISCLOSURE_SCORE","FY 2014","FY 2014","Currency=USD","Period=FQ","BEST_FPERIOD_OVERRIDE=FQ","FILING_STATUS=MR","Sort=A","Dates=H","DateFormat=P","Fill=—","Direction=H","UseDPDF=Y")</f>
        <v>—</v>
      </c>
      <c r="R10" s="14" t="str">
        <f>_xll.BDH("NBIX US Equity","GOVNCE_DISCLOSURE_SCORE","FY 2015","FY 2015","Currency=USD","Period=FQ","BEST_FPERIOD_OVERRIDE=FQ","FILING_STATUS=MR","Sort=A","Dates=H","DateFormat=P","Fill=—","Direction=H","UseDPDF=Y")</f>
        <v>—</v>
      </c>
      <c r="S10" s="14" t="str">
        <f>_xll.BDH("NBIX US Equity","GOVNCE_DISCLOSURE_SCORE","FY 2016","FY 2016","Currency=USD","Period=FQ","BEST_FPERIOD_OVERRIDE=FQ","FILING_STATUS=MR","Sort=A","Dates=H","DateFormat=P","Fill=—","Direction=H","UseDPDF=Y")</f>
        <v>—</v>
      </c>
      <c r="T10" s="14" t="str">
        <f>_xll.BDH("NBIX US Equity","GOVNCE_DISCLOSURE_SCORE","FY 2017","FY 2017","Currency=USD","Period=FQ","BEST_FPERIOD_OVERRIDE=FQ","FILING_STATUS=MR","Sort=A","Dates=H","DateFormat=P","Fill=—","Direction=H","UseDPDF=Y")</f>
        <v>—</v>
      </c>
      <c r="U10" s="14" t="str">
        <f>_xll.BDH("NBIX US Equity","GOVNCE_DISCLOSURE_SCORE","FY 2018","FY 2018","Currency=USD","Period=FQ","BEST_FPERIOD_OVERRIDE=FQ","FILING_STATUS=MR","Sort=A","Dates=H","DateFormat=P","Fill=—","Direction=H","UseDPDF=Y")</f>
        <v>—</v>
      </c>
      <c r="V10" s="14" t="str">
        <f>_xll.BDH("NBIX US Equity","GOVNCE_DISCLOSURE_SCORE","FY 2019","FY 2019","Currency=USD","Period=FQ","BEST_FPERIOD_OVERRIDE=FQ","FILING_STATUS=MR","Sort=A","Dates=H","DateFormat=P","Fill=—","Direction=H","UseDPDF=Y")</f>
        <v>—</v>
      </c>
      <c r="W10" s="14" t="str">
        <f>_xll.BDH("NBIX US Equity","GOVNCE_DISCLOSURE_SCORE","FY 2020","FY 2020","Currency=USD","Period=FQ","BEST_FPERIOD_OVERRIDE=FQ","FILING_STATUS=MR","Sort=A","Dates=H","DateFormat=P","Fill=—","Direction=H","UseDPDF=Y")</f>
        <v>—</v>
      </c>
      <c r="X10" s="14" t="str">
        <f>_xll.BDH("NBIX US Equity","GOVNCE_DISCLOSURE_SCORE","FY 2021","FY 2021","Currency=USD","Period=FQ","BEST_FPERIOD_OVERRIDE=FQ","FILING_STATUS=MR","Sort=A","Dates=H","DateFormat=P","Fill=—","Direction=H","UseDPDF=Y")</f>
        <v>—</v>
      </c>
      <c r="Y10" s="14" t="str">
        <f>_xll.BDH("NBIX US Equity","GOVNCE_DISCLOSURE_SCORE","FY 2022","FY 2022","Currency=USD","Period=FQ","BEST_FPERIOD_OVERRIDE=FQ","FILING_STATUS=MR","Sort=A","Dates=H","DateFormat=P","Fill=—","Direction=H","UseDPDF=Y")</f>
        <v>—</v>
      </c>
      <c r="Z10" s="14" t="str">
        <f>_xll.BDH("NBIX US Equity","GOVNCE_DISCLOSURE_SCORE","FY 2023","FY 2023","Currency=USD","Period=FQ","BEST_FPERIOD_OVERRIDE=FQ","FILING_STATUS=MR","Sort=A","Dates=H","DateFormat=P","Fill=—","Direction=H","UseDPDF=Y")</f>
        <v>—</v>
      </c>
      <c r="AA10" s="14" t="str">
        <f>_xll.BDH("NBIX US Equity","GOVNCE_DISCLOSURE_SCORE","FY 2024","FY 2024","Currency=USD","Period=FQ","BEST_FPERIOD_OVERRIDE=FQ","FILING_STATUS=MR","Sort=A","Dates=H","DateFormat=P","Fill=—","Direction=H","UseDPDF=Y")</f>
        <v>—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 t="s">
        <v>1610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6" t="s">
        <v>1611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6" t="s">
        <v>1612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6" t="s">
        <v>1613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6" t="s">
        <v>1614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6" t="s">
        <v>1615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6" t="s">
        <v>1616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x14ac:dyDescent="0.25">
      <c r="A25" s="10" t="s">
        <v>1617</v>
      </c>
      <c r="B25" s="10" t="s">
        <v>1618</v>
      </c>
      <c r="C25" s="14" t="str">
        <f>_xll.BDH("NBIX US Equity","COMMUNITY_SPND_PCT_PRETAX_PROFIT","FY 2000","FY 2000","Currency=USD","Period=FQ","BEST_FPERIOD_OVERRIDE=FQ","FILING_STATUS=MR","FA_ADJUSTED=GAAP","Sort=A","Dates=H","DateFormat=P","Fill=—","Direction=H","UseDPDF=Y")</f>
        <v>—</v>
      </c>
      <c r="D25" s="14" t="str">
        <f>_xll.BDH("NBIX US Equity","COMMUNITY_SPND_PCT_PRETAX_PROFIT","FY 2001","FY 2001","Currency=USD","Period=FQ","BEST_FPERIOD_OVERRIDE=FQ","FILING_STATUS=MR","FA_ADJUSTED=GAAP","Sort=A","Dates=H","DateFormat=P","Fill=—","Direction=H","UseDPDF=Y")</f>
        <v>—</v>
      </c>
      <c r="E25" s="14" t="str">
        <f>_xll.BDH("NBIX US Equity","COMMUNITY_SPND_PCT_PRETAX_PROFIT","FY 2002","FY 2002","Currency=USD","Period=FQ","BEST_FPERIOD_OVERRIDE=FQ","FILING_STATUS=MR","FA_ADJUSTED=GAAP","Sort=A","Dates=H","DateFormat=P","Fill=—","Direction=H","UseDPDF=Y")</f>
        <v>—</v>
      </c>
      <c r="F25" s="14" t="str">
        <f>_xll.BDH("NBIX US Equity","COMMUNITY_SPND_PCT_PRETAX_PROFIT","FY 2003","FY 2003","Currency=USD","Period=FQ","BEST_FPERIOD_OVERRIDE=FQ","FILING_STATUS=MR","FA_ADJUSTED=GAAP","Sort=A","Dates=H","DateFormat=P","Fill=—","Direction=H","UseDPDF=Y")</f>
        <v>—</v>
      </c>
      <c r="G25" s="14" t="str">
        <f>_xll.BDH("NBIX US Equity","COMMUNITY_SPND_PCT_PRETAX_PROFIT","FY 2004","FY 2004","Currency=USD","Period=FQ","BEST_FPERIOD_OVERRIDE=FQ","FILING_STATUS=MR","FA_ADJUSTED=GAAP","Sort=A","Dates=H","DateFormat=P","Fill=—","Direction=H","UseDPDF=Y")</f>
        <v>—</v>
      </c>
      <c r="H25" s="14" t="str">
        <f>_xll.BDH("NBIX US Equity","COMMUNITY_SPND_PCT_PRETAX_PROFIT","FY 2005","FY 2005","Currency=USD","Period=FQ","BEST_FPERIOD_OVERRIDE=FQ","FILING_STATUS=MR","FA_ADJUSTED=GAAP","Sort=A","Dates=H","DateFormat=P","Fill=—","Direction=H","UseDPDF=Y")</f>
        <v>—</v>
      </c>
      <c r="I25" s="14" t="str">
        <f>_xll.BDH("NBIX US Equity","COMMUNITY_SPND_PCT_PRETAX_PROFIT","FY 2006","FY 2006","Currency=USD","Period=FQ","BEST_FPERIOD_OVERRIDE=FQ","FILING_STATUS=MR","FA_ADJUSTED=GAAP","Sort=A","Dates=H","DateFormat=P","Fill=—","Direction=H","UseDPDF=Y")</f>
        <v>—</v>
      </c>
      <c r="J25" s="14" t="str">
        <f>_xll.BDH("NBIX US Equity","COMMUNITY_SPND_PCT_PRETAX_PROFIT","FY 2007","FY 2007","Currency=USD","Period=FQ","BEST_FPERIOD_OVERRIDE=FQ","FILING_STATUS=MR","FA_ADJUSTED=GAAP","Sort=A","Dates=H","DateFormat=P","Fill=—","Direction=H","UseDPDF=Y")</f>
        <v>—</v>
      </c>
      <c r="K25" s="14" t="str">
        <f>_xll.BDH("NBIX US Equity","COMMUNITY_SPND_PCT_PRETAX_PROFIT","FY 2008","FY 2008","Currency=USD","Period=FQ","BEST_FPERIOD_OVERRIDE=FQ","FILING_STATUS=MR","FA_ADJUSTED=GAAP","Sort=A","Dates=H","DateFormat=P","Fill=—","Direction=H","UseDPDF=Y")</f>
        <v>—</v>
      </c>
      <c r="L25" s="14" t="str">
        <f>_xll.BDH("NBIX US Equity","COMMUNITY_SPND_PCT_PRETAX_PROFIT","FY 2009","FY 2009","Currency=USD","Period=FQ","BEST_FPERIOD_OVERRIDE=FQ","FILING_STATUS=MR","FA_ADJUSTED=GAAP","Sort=A","Dates=H","DateFormat=P","Fill=—","Direction=H","UseDPDF=Y")</f>
        <v>—</v>
      </c>
      <c r="M25" s="14" t="str">
        <f>_xll.BDH("NBIX US Equity","COMMUNITY_SPND_PCT_PRETAX_PROFIT","FY 2010","FY 2010","Currency=USD","Period=FQ","BEST_FPERIOD_OVERRIDE=FQ","FILING_STATUS=MR","FA_ADJUSTED=GAAP","Sort=A","Dates=H","DateFormat=P","Fill=—","Direction=H","UseDPDF=Y")</f>
        <v>—</v>
      </c>
      <c r="N25" s="14" t="str">
        <f>_xll.BDH("NBIX US Equity","COMMUNITY_SPND_PCT_PRETAX_PROFIT","FY 2011","FY 2011","Currency=USD","Period=FQ","BEST_FPERIOD_OVERRIDE=FQ","FILING_STATUS=MR","FA_ADJUSTED=GAAP","Sort=A","Dates=H","DateFormat=P","Fill=—","Direction=H","UseDPDF=Y")</f>
        <v>—</v>
      </c>
      <c r="O25" s="14" t="str">
        <f>_xll.BDH("NBIX US Equity","COMMUNITY_SPND_PCT_PRETAX_PROFIT","FY 2012","FY 2012","Currency=USD","Period=FQ","BEST_FPERIOD_OVERRIDE=FQ","FILING_STATUS=MR","FA_ADJUSTED=GAAP","Sort=A","Dates=H","DateFormat=P","Fill=—","Direction=H","UseDPDF=Y")</f>
        <v>—</v>
      </c>
      <c r="P25" s="14" t="str">
        <f>_xll.BDH("NBIX US Equity","COMMUNITY_SPND_PCT_PRETAX_PROFIT","FY 2013","FY 2013","Currency=USD","Period=FQ","BEST_FPERIOD_OVERRIDE=FQ","FILING_STATUS=MR","FA_ADJUSTED=GAAP","Sort=A","Dates=H","DateFormat=P","Fill=—","Direction=H","UseDPDF=Y")</f>
        <v>—</v>
      </c>
      <c r="Q25" s="14" t="str">
        <f>_xll.BDH("NBIX US Equity","COMMUNITY_SPND_PCT_PRETAX_PROFIT","FY 2014","FY 2014","Currency=USD","Period=FQ","BEST_FPERIOD_OVERRIDE=FQ","FILING_STATUS=MR","FA_ADJUSTED=GAAP","Sort=A","Dates=H","DateFormat=P","Fill=—","Direction=H","UseDPDF=Y")</f>
        <v>—</v>
      </c>
      <c r="R25" s="14" t="str">
        <f>_xll.BDH("NBIX US Equity","COMMUNITY_SPND_PCT_PRETAX_PROFIT","FY 2015","FY 2015","Currency=USD","Period=FQ","BEST_FPERIOD_OVERRIDE=FQ","FILING_STATUS=MR","FA_ADJUSTED=GAAP","Sort=A","Dates=H","DateFormat=P","Fill=—","Direction=H","UseDPDF=Y")</f>
        <v>—</v>
      </c>
      <c r="S25" s="14" t="str">
        <f>_xll.BDH("NBIX US Equity","COMMUNITY_SPND_PCT_PRETAX_PROFIT","FY 2016","FY 2016","Currency=USD","Period=FQ","BEST_FPERIOD_OVERRIDE=FQ","FILING_STATUS=MR","FA_ADJUSTED=GAAP","Sort=A","Dates=H","DateFormat=P","Fill=—","Direction=H","UseDPDF=Y")</f>
        <v>—</v>
      </c>
      <c r="T25" s="14" t="str">
        <f>_xll.BDH("NBIX US Equity","COMMUNITY_SPND_PCT_PRETAX_PROFIT","FY 2017","FY 2017","Currency=USD","Period=FQ","BEST_FPERIOD_OVERRIDE=FQ","FILING_STATUS=MR","FA_ADJUSTED=GAAP","Sort=A","Dates=H","DateFormat=P","Fill=—","Direction=H","UseDPDF=Y")</f>
        <v>—</v>
      </c>
      <c r="U25" s="14" t="str">
        <f>_xll.BDH("NBIX US Equity","COMMUNITY_SPND_PCT_PRETAX_PROFIT","FY 2018","FY 2018","Currency=USD","Period=FQ","BEST_FPERIOD_OVERRIDE=FQ","FILING_STATUS=MR","FA_ADJUSTED=GAAP","Sort=A","Dates=H","DateFormat=P","Fill=—","Direction=H","UseDPDF=Y")</f>
        <v>—</v>
      </c>
      <c r="V25" s="14" t="str">
        <f>_xll.BDH("NBIX US Equity","COMMUNITY_SPND_PCT_PRETAX_PROFIT","FY 2019","FY 2019","Currency=USD","Period=FQ","BEST_FPERIOD_OVERRIDE=FQ","FILING_STATUS=MR","FA_ADJUSTED=GAAP","Sort=A","Dates=H","DateFormat=P","Fill=—","Direction=H","UseDPDF=Y")</f>
        <v>—</v>
      </c>
      <c r="W25" s="14" t="str">
        <f>_xll.BDH("NBIX US Equity","COMMUNITY_SPND_PCT_PRETAX_PROFIT","FY 2020","FY 2020","Currency=USD","Period=FQ","BEST_FPERIOD_OVERRIDE=FQ","FILING_STATUS=MR","FA_ADJUSTED=GAAP","Sort=A","Dates=H","DateFormat=P","Fill=—","Direction=H","UseDPDF=Y")</f>
        <v>—</v>
      </c>
      <c r="X25" s="14" t="str">
        <f>_xll.BDH("NBIX US Equity","COMMUNITY_SPND_PCT_PRETAX_PROFIT","FY 2021","FY 2021","Currency=USD","Period=FQ","BEST_FPERIOD_OVERRIDE=FQ","FILING_STATUS=MR","FA_ADJUSTED=GAAP","Sort=A","Dates=H","DateFormat=P","Fill=—","Direction=H","UseDPDF=Y")</f>
        <v>—</v>
      </c>
      <c r="Y25" s="14" t="str">
        <f>_xll.BDH("NBIX US Equity","COMMUNITY_SPND_PCT_PRETAX_PROFIT","FY 2022","FY 2022","Currency=USD","Period=FQ","BEST_FPERIOD_OVERRIDE=FQ","FILING_STATUS=MR","FA_ADJUSTED=GAAP","Sort=A","Dates=H","DateFormat=P","Fill=—","Direction=H","UseDPDF=Y")</f>
        <v>—</v>
      </c>
      <c r="Z25" s="14" t="str">
        <f>_xll.BDH("NBIX US Equity","COMMUNITY_SPND_PCT_PRETAX_PROFIT","FY 2023","FY 2023","Currency=USD","Period=FQ","BEST_FPERIOD_OVERRIDE=FQ","FILING_STATUS=MR","FA_ADJUSTED=GAAP","Sort=A","Dates=H","DateFormat=P","Fill=—","Direction=H","UseDPDF=Y")</f>
        <v>—</v>
      </c>
      <c r="AA25" s="14" t="str">
        <f>_xll.BDH("NBIX US Equity","COMMUNITY_SPND_PCT_PRETAX_PROFIT","FY 2024","FY 2024","Currency=USD","Period=FQ","BEST_FPERIOD_OVERRIDE=FQ","FILING_STATUS=MR","FA_ADJUSTED=GAAP","Sort=A","Dates=H","DateFormat=P","Fill=—","Direction=H","UseDPDF=Y")</f>
        <v>—</v>
      </c>
    </row>
    <row r="26" spans="1:27" x14ac:dyDescent="0.25">
      <c r="A26" s="10" t="s">
        <v>1619</v>
      </c>
      <c r="B26" s="10" t="s">
        <v>1620</v>
      </c>
      <c r="C26" s="14" t="str">
        <f>_xll.BDH("NBIX US Equity","COMMUNITY_SPEND_PCT_EBITDA","FY 2000","FY 2000","Currency=USD","Period=FQ","BEST_FPERIOD_OVERRIDE=FQ","FILING_STATUS=MR","FA_ADJUSTED=GAAP","Sort=A","Dates=H","DateFormat=P","Fill=—","Direction=H","UseDPDF=Y")</f>
        <v>—</v>
      </c>
      <c r="D26" s="14" t="str">
        <f>_xll.BDH("NBIX US Equity","COMMUNITY_SPEND_PCT_EBITDA","FY 2001","FY 2001","Currency=USD","Period=FQ","BEST_FPERIOD_OVERRIDE=FQ","FILING_STATUS=MR","FA_ADJUSTED=GAAP","Sort=A","Dates=H","DateFormat=P","Fill=—","Direction=H","UseDPDF=Y")</f>
        <v>—</v>
      </c>
      <c r="E26" s="14" t="str">
        <f>_xll.BDH("NBIX US Equity","COMMUNITY_SPEND_PCT_EBITDA","FY 2002","FY 2002","Currency=USD","Period=FQ","BEST_FPERIOD_OVERRIDE=FQ","FILING_STATUS=MR","FA_ADJUSTED=GAAP","Sort=A","Dates=H","DateFormat=P","Fill=—","Direction=H","UseDPDF=Y")</f>
        <v>—</v>
      </c>
      <c r="F26" s="14" t="str">
        <f>_xll.BDH("NBIX US Equity","COMMUNITY_SPEND_PCT_EBITDA","FY 2003","FY 2003","Currency=USD","Period=FQ","BEST_FPERIOD_OVERRIDE=FQ","FILING_STATUS=MR","FA_ADJUSTED=GAAP","Sort=A","Dates=H","DateFormat=P","Fill=—","Direction=H","UseDPDF=Y")</f>
        <v>—</v>
      </c>
      <c r="G26" s="14" t="str">
        <f>_xll.BDH("NBIX US Equity","COMMUNITY_SPEND_PCT_EBITDA","FY 2004","FY 2004","Currency=USD","Period=FQ","BEST_FPERIOD_OVERRIDE=FQ","FILING_STATUS=MR","FA_ADJUSTED=GAAP","Sort=A","Dates=H","DateFormat=P","Fill=—","Direction=H","UseDPDF=Y")</f>
        <v>—</v>
      </c>
      <c r="H26" s="14" t="str">
        <f>_xll.BDH("NBIX US Equity","COMMUNITY_SPEND_PCT_EBITDA","FY 2005","FY 2005","Currency=USD","Period=FQ","BEST_FPERIOD_OVERRIDE=FQ","FILING_STATUS=MR","FA_ADJUSTED=GAAP","Sort=A","Dates=H","DateFormat=P","Fill=—","Direction=H","UseDPDF=Y")</f>
        <v>—</v>
      </c>
      <c r="I26" s="14" t="str">
        <f>_xll.BDH("NBIX US Equity","COMMUNITY_SPEND_PCT_EBITDA","FY 2006","FY 2006","Currency=USD","Period=FQ","BEST_FPERIOD_OVERRIDE=FQ","FILING_STATUS=MR","FA_ADJUSTED=GAAP","Sort=A","Dates=H","DateFormat=P","Fill=—","Direction=H","UseDPDF=Y")</f>
        <v>—</v>
      </c>
      <c r="J26" s="14" t="str">
        <f>_xll.BDH("NBIX US Equity","COMMUNITY_SPEND_PCT_EBITDA","FY 2007","FY 2007","Currency=USD","Period=FQ","BEST_FPERIOD_OVERRIDE=FQ","FILING_STATUS=MR","FA_ADJUSTED=GAAP","Sort=A","Dates=H","DateFormat=P","Fill=—","Direction=H","UseDPDF=Y")</f>
        <v>—</v>
      </c>
      <c r="K26" s="14" t="str">
        <f>_xll.BDH("NBIX US Equity","COMMUNITY_SPEND_PCT_EBITDA","FY 2008","FY 2008","Currency=USD","Period=FQ","BEST_FPERIOD_OVERRIDE=FQ","FILING_STATUS=MR","FA_ADJUSTED=GAAP","Sort=A","Dates=H","DateFormat=P","Fill=—","Direction=H","UseDPDF=Y")</f>
        <v>—</v>
      </c>
      <c r="L26" s="14" t="str">
        <f>_xll.BDH("NBIX US Equity","COMMUNITY_SPEND_PCT_EBITDA","FY 2009","FY 2009","Currency=USD","Period=FQ","BEST_FPERIOD_OVERRIDE=FQ","FILING_STATUS=MR","FA_ADJUSTED=GAAP","Sort=A","Dates=H","DateFormat=P","Fill=—","Direction=H","UseDPDF=Y")</f>
        <v>—</v>
      </c>
      <c r="M26" s="14" t="str">
        <f>_xll.BDH("NBIX US Equity","COMMUNITY_SPEND_PCT_EBITDA","FY 2010","FY 2010","Currency=USD","Period=FQ","BEST_FPERIOD_OVERRIDE=FQ","FILING_STATUS=MR","FA_ADJUSTED=GAAP","Sort=A","Dates=H","DateFormat=P","Fill=—","Direction=H","UseDPDF=Y")</f>
        <v>—</v>
      </c>
      <c r="N26" s="14" t="str">
        <f>_xll.BDH("NBIX US Equity","COMMUNITY_SPEND_PCT_EBITDA","FY 2011","FY 2011","Currency=USD","Period=FQ","BEST_FPERIOD_OVERRIDE=FQ","FILING_STATUS=MR","FA_ADJUSTED=GAAP","Sort=A","Dates=H","DateFormat=P","Fill=—","Direction=H","UseDPDF=Y")</f>
        <v>—</v>
      </c>
      <c r="O26" s="14" t="str">
        <f>_xll.BDH("NBIX US Equity","COMMUNITY_SPEND_PCT_EBITDA","FY 2012","FY 2012","Currency=USD","Period=FQ","BEST_FPERIOD_OVERRIDE=FQ","FILING_STATUS=MR","FA_ADJUSTED=GAAP","Sort=A","Dates=H","DateFormat=P","Fill=—","Direction=H","UseDPDF=Y")</f>
        <v>—</v>
      </c>
      <c r="P26" s="14" t="str">
        <f>_xll.BDH("NBIX US Equity","COMMUNITY_SPEND_PCT_EBITDA","FY 2013","FY 2013","Currency=USD","Period=FQ","BEST_FPERIOD_OVERRIDE=FQ","FILING_STATUS=MR","FA_ADJUSTED=GAAP","Sort=A","Dates=H","DateFormat=P","Fill=—","Direction=H","UseDPDF=Y")</f>
        <v>—</v>
      </c>
      <c r="Q26" s="14" t="str">
        <f>_xll.BDH("NBIX US Equity","COMMUNITY_SPEND_PCT_EBITDA","FY 2014","FY 2014","Currency=USD","Period=FQ","BEST_FPERIOD_OVERRIDE=FQ","FILING_STATUS=MR","FA_ADJUSTED=GAAP","Sort=A","Dates=H","DateFormat=P","Fill=—","Direction=H","UseDPDF=Y")</f>
        <v>—</v>
      </c>
      <c r="R26" s="14" t="str">
        <f>_xll.BDH("NBIX US Equity","COMMUNITY_SPEND_PCT_EBITDA","FY 2015","FY 2015","Currency=USD","Period=FQ","BEST_FPERIOD_OVERRIDE=FQ","FILING_STATUS=MR","FA_ADJUSTED=GAAP","Sort=A","Dates=H","DateFormat=P","Fill=—","Direction=H","UseDPDF=Y")</f>
        <v>—</v>
      </c>
      <c r="S26" s="14" t="str">
        <f>_xll.BDH("NBIX US Equity","COMMUNITY_SPEND_PCT_EBITDA","FY 2016","FY 2016","Currency=USD","Period=FQ","BEST_FPERIOD_OVERRIDE=FQ","FILING_STATUS=MR","FA_ADJUSTED=GAAP","Sort=A","Dates=H","DateFormat=P","Fill=—","Direction=H","UseDPDF=Y")</f>
        <v>—</v>
      </c>
      <c r="T26" s="14" t="str">
        <f>_xll.BDH("NBIX US Equity","COMMUNITY_SPEND_PCT_EBITDA","FY 2017","FY 2017","Currency=USD","Period=FQ","BEST_FPERIOD_OVERRIDE=FQ","FILING_STATUS=MR","FA_ADJUSTED=GAAP","Sort=A","Dates=H","DateFormat=P","Fill=—","Direction=H","UseDPDF=Y")</f>
        <v>—</v>
      </c>
      <c r="U26" s="14" t="str">
        <f>_xll.BDH("NBIX US Equity","COMMUNITY_SPEND_PCT_EBITDA","FY 2018","FY 2018","Currency=USD","Period=FQ","BEST_FPERIOD_OVERRIDE=FQ","FILING_STATUS=MR","FA_ADJUSTED=GAAP","Sort=A","Dates=H","DateFormat=P","Fill=—","Direction=H","UseDPDF=Y")</f>
        <v>—</v>
      </c>
      <c r="V26" s="14" t="str">
        <f>_xll.BDH("NBIX US Equity","COMMUNITY_SPEND_PCT_EBITDA","FY 2019","FY 2019","Currency=USD","Period=FQ","BEST_FPERIOD_OVERRIDE=FQ","FILING_STATUS=MR","FA_ADJUSTED=GAAP","Sort=A","Dates=H","DateFormat=P","Fill=—","Direction=H","UseDPDF=Y")</f>
        <v>—</v>
      </c>
      <c r="W26" s="14" t="str">
        <f>_xll.BDH("NBIX US Equity","COMMUNITY_SPEND_PCT_EBITDA","FY 2020","FY 2020","Currency=USD","Period=FQ","BEST_FPERIOD_OVERRIDE=FQ","FILING_STATUS=MR","FA_ADJUSTED=GAAP","Sort=A","Dates=H","DateFormat=P","Fill=—","Direction=H","UseDPDF=Y")</f>
        <v>—</v>
      </c>
      <c r="X26" s="14" t="str">
        <f>_xll.BDH("NBIX US Equity","COMMUNITY_SPEND_PCT_EBITDA","FY 2021","FY 2021","Currency=USD","Period=FQ","BEST_FPERIOD_OVERRIDE=FQ","FILING_STATUS=MR","FA_ADJUSTED=GAAP","Sort=A","Dates=H","DateFormat=P","Fill=—","Direction=H","UseDPDF=Y")</f>
        <v>—</v>
      </c>
      <c r="Y26" s="14" t="str">
        <f>_xll.BDH("NBIX US Equity","COMMUNITY_SPEND_PCT_EBITDA","FY 2022","FY 2022","Currency=USD","Period=FQ","BEST_FPERIOD_OVERRIDE=FQ","FILING_STATUS=MR","FA_ADJUSTED=GAAP","Sort=A","Dates=H","DateFormat=P","Fill=—","Direction=H","UseDPDF=Y")</f>
        <v>—</v>
      </c>
      <c r="Z26" s="14" t="str">
        <f>_xll.BDH("NBIX US Equity","COMMUNITY_SPEND_PCT_EBITDA","FY 2023","FY 2023","Currency=USD","Period=FQ","BEST_FPERIOD_OVERRIDE=FQ","FILING_STATUS=MR","FA_ADJUSTED=GAAP","Sort=A","Dates=H","DateFormat=P","Fill=—","Direction=H","UseDPDF=Y")</f>
        <v>—</v>
      </c>
      <c r="AA26" s="14" t="str">
        <f>_xll.BDH("NBIX US Equity","COMMUNITY_SPEND_PCT_EBITDA","FY 2024","FY 2024","Currency=USD","Period=FQ","BEST_FPERIOD_OVERRIDE=FQ","FILING_STATUS=MR","FA_ADJUSTED=GAAP","Sort=A","Dates=H","DateFormat=P","Fill=—","Direction=H","UseDPDF=Y")</f>
        <v>—</v>
      </c>
    </row>
    <row r="27" spans="1:27" x14ac:dyDescent="0.25">
      <c r="A27" s="10" t="s">
        <v>1621</v>
      </c>
      <c r="B27" s="10" t="s">
        <v>1622</v>
      </c>
      <c r="C27" s="14" t="str">
        <f>_xll.BDH("NBIX US Equity","COMMUNITY_SPEND_PCT_EQUITY","FY 2000","FY 2000","Currency=USD","Period=FQ","BEST_FPERIOD_OVERRIDE=FQ","FILING_STATUS=MR","Sort=A","Dates=H","DateFormat=P","Fill=—","Direction=H","UseDPDF=Y")</f>
        <v>—</v>
      </c>
      <c r="D27" s="14" t="str">
        <f>_xll.BDH("NBIX US Equity","COMMUNITY_SPEND_PCT_EQUITY","FY 2001","FY 2001","Currency=USD","Period=FQ","BEST_FPERIOD_OVERRIDE=FQ","FILING_STATUS=MR","Sort=A","Dates=H","DateFormat=P","Fill=—","Direction=H","UseDPDF=Y")</f>
        <v>—</v>
      </c>
      <c r="E27" s="14" t="str">
        <f>_xll.BDH("NBIX US Equity","COMMUNITY_SPEND_PCT_EQUITY","FY 2002","FY 2002","Currency=USD","Period=FQ","BEST_FPERIOD_OVERRIDE=FQ","FILING_STATUS=MR","Sort=A","Dates=H","DateFormat=P","Fill=—","Direction=H","UseDPDF=Y")</f>
        <v>—</v>
      </c>
      <c r="F27" s="14" t="str">
        <f>_xll.BDH("NBIX US Equity","COMMUNITY_SPEND_PCT_EQUITY","FY 2003","FY 2003","Currency=USD","Period=FQ","BEST_FPERIOD_OVERRIDE=FQ","FILING_STATUS=MR","Sort=A","Dates=H","DateFormat=P","Fill=—","Direction=H","UseDPDF=Y")</f>
        <v>—</v>
      </c>
      <c r="G27" s="14" t="str">
        <f>_xll.BDH("NBIX US Equity","COMMUNITY_SPEND_PCT_EQUITY","FY 2004","FY 2004","Currency=USD","Period=FQ","BEST_FPERIOD_OVERRIDE=FQ","FILING_STATUS=MR","Sort=A","Dates=H","DateFormat=P","Fill=—","Direction=H","UseDPDF=Y")</f>
        <v>—</v>
      </c>
      <c r="H27" s="14" t="str">
        <f>_xll.BDH("NBIX US Equity","COMMUNITY_SPEND_PCT_EQUITY","FY 2005","FY 2005","Currency=USD","Period=FQ","BEST_FPERIOD_OVERRIDE=FQ","FILING_STATUS=MR","Sort=A","Dates=H","DateFormat=P","Fill=—","Direction=H","UseDPDF=Y")</f>
        <v>—</v>
      </c>
      <c r="I27" s="14" t="str">
        <f>_xll.BDH("NBIX US Equity","COMMUNITY_SPEND_PCT_EQUITY","FY 2006","FY 2006","Currency=USD","Period=FQ","BEST_FPERIOD_OVERRIDE=FQ","FILING_STATUS=MR","Sort=A","Dates=H","DateFormat=P","Fill=—","Direction=H","UseDPDF=Y")</f>
        <v>—</v>
      </c>
      <c r="J27" s="14" t="str">
        <f>_xll.BDH("NBIX US Equity","COMMUNITY_SPEND_PCT_EQUITY","FY 2007","FY 2007","Currency=USD","Period=FQ","BEST_FPERIOD_OVERRIDE=FQ","FILING_STATUS=MR","Sort=A","Dates=H","DateFormat=P","Fill=—","Direction=H","UseDPDF=Y")</f>
        <v>—</v>
      </c>
      <c r="K27" s="14" t="str">
        <f>_xll.BDH("NBIX US Equity","COMMUNITY_SPEND_PCT_EQUITY","FY 2008","FY 2008","Currency=USD","Period=FQ","BEST_FPERIOD_OVERRIDE=FQ","FILING_STATUS=MR","Sort=A","Dates=H","DateFormat=P","Fill=—","Direction=H","UseDPDF=Y")</f>
        <v>—</v>
      </c>
      <c r="L27" s="14" t="str">
        <f>_xll.BDH("NBIX US Equity","COMMUNITY_SPEND_PCT_EQUITY","FY 2009","FY 2009","Currency=USD","Period=FQ","BEST_FPERIOD_OVERRIDE=FQ","FILING_STATUS=MR","Sort=A","Dates=H","DateFormat=P","Fill=—","Direction=H","UseDPDF=Y")</f>
        <v>—</v>
      </c>
      <c r="M27" s="14" t="str">
        <f>_xll.BDH("NBIX US Equity","COMMUNITY_SPEND_PCT_EQUITY","FY 2010","FY 2010","Currency=USD","Period=FQ","BEST_FPERIOD_OVERRIDE=FQ","FILING_STATUS=MR","Sort=A","Dates=H","DateFormat=P","Fill=—","Direction=H","UseDPDF=Y")</f>
        <v>—</v>
      </c>
      <c r="N27" s="14" t="str">
        <f>_xll.BDH("NBIX US Equity","COMMUNITY_SPEND_PCT_EQUITY","FY 2011","FY 2011","Currency=USD","Period=FQ","BEST_FPERIOD_OVERRIDE=FQ","FILING_STATUS=MR","Sort=A","Dates=H","DateFormat=P","Fill=—","Direction=H","UseDPDF=Y")</f>
        <v>—</v>
      </c>
      <c r="O27" s="14" t="str">
        <f>_xll.BDH("NBIX US Equity","COMMUNITY_SPEND_PCT_EQUITY","FY 2012","FY 2012","Currency=USD","Period=FQ","BEST_FPERIOD_OVERRIDE=FQ","FILING_STATUS=MR","Sort=A","Dates=H","DateFormat=P","Fill=—","Direction=H","UseDPDF=Y")</f>
        <v>—</v>
      </c>
      <c r="P27" s="14" t="str">
        <f>_xll.BDH("NBIX US Equity","COMMUNITY_SPEND_PCT_EQUITY","FY 2013","FY 2013","Currency=USD","Period=FQ","BEST_FPERIOD_OVERRIDE=FQ","FILING_STATUS=MR","Sort=A","Dates=H","DateFormat=P","Fill=—","Direction=H","UseDPDF=Y")</f>
        <v>—</v>
      </c>
      <c r="Q27" s="14" t="str">
        <f>_xll.BDH("NBIX US Equity","COMMUNITY_SPEND_PCT_EQUITY","FY 2014","FY 2014","Currency=USD","Period=FQ","BEST_FPERIOD_OVERRIDE=FQ","FILING_STATUS=MR","Sort=A","Dates=H","DateFormat=P","Fill=—","Direction=H","UseDPDF=Y")</f>
        <v>—</v>
      </c>
      <c r="R27" s="14" t="str">
        <f>_xll.BDH("NBIX US Equity","COMMUNITY_SPEND_PCT_EQUITY","FY 2015","FY 2015","Currency=USD","Period=FQ","BEST_FPERIOD_OVERRIDE=FQ","FILING_STATUS=MR","Sort=A","Dates=H","DateFormat=P","Fill=—","Direction=H","UseDPDF=Y")</f>
        <v>—</v>
      </c>
      <c r="S27" s="14" t="str">
        <f>_xll.BDH("NBIX US Equity","COMMUNITY_SPEND_PCT_EQUITY","FY 2016","FY 2016","Currency=USD","Period=FQ","BEST_FPERIOD_OVERRIDE=FQ","FILING_STATUS=MR","Sort=A","Dates=H","DateFormat=P","Fill=—","Direction=H","UseDPDF=Y")</f>
        <v>—</v>
      </c>
      <c r="T27" s="14" t="str">
        <f>_xll.BDH("NBIX US Equity","COMMUNITY_SPEND_PCT_EQUITY","FY 2017","FY 2017","Currency=USD","Period=FQ","BEST_FPERIOD_OVERRIDE=FQ","FILING_STATUS=MR","Sort=A","Dates=H","DateFormat=P","Fill=—","Direction=H","UseDPDF=Y")</f>
        <v>—</v>
      </c>
      <c r="U27" s="14" t="str">
        <f>_xll.BDH("NBIX US Equity","COMMUNITY_SPEND_PCT_EQUITY","FY 2018","FY 2018","Currency=USD","Period=FQ","BEST_FPERIOD_OVERRIDE=FQ","FILING_STATUS=MR","Sort=A","Dates=H","DateFormat=P","Fill=—","Direction=H","UseDPDF=Y")</f>
        <v>—</v>
      </c>
      <c r="V27" s="14" t="str">
        <f>_xll.BDH("NBIX US Equity","COMMUNITY_SPEND_PCT_EQUITY","FY 2019","FY 2019","Currency=USD","Period=FQ","BEST_FPERIOD_OVERRIDE=FQ","FILING_STATUS=MR","Sort=A","Dates=H","DateFormat=P","Fill=—","Direction=H","UseDPDF=Y")</f>
        <v>—</v>
      </c>
      <c r="W27" s="14" t="str">
        <f>_xll.BDH("NBIX US Equity","COMMUNITY_SPEND_PCT_EQUITY","FY 2020","FY 2020","Currency=USD","Period=FQ","BEST_FPERIOD_OVERRIDE=FQ","FILING_STATUS=MR","Sort=A","Dates=H","DateFormat=P","Fill=—","Direction=H","UseDPDF=Y")</f>
        <v>—</v>
      </c>
      <c r="X27" s="14" t="str">
        <f>_xll.BDH("NBIX US Equity","COMMUNITY_SPEND_PCT_EQUITY","FY 2021","FY 2021","Currency=USD","Period=FQ","BEST_FPERIOD_OVERRIDE=FQ","FILING_STATUS=MR","Sort=A","Dates=H","DateFormat=P","Fill=—","Direction=H","UseDPDF=Y")</f>
        <v>—</v>
      </c>
      <c r="Y27" s="14" t="str">
        <f>_xll.BDH("NBIX US Equity","COMMUNITY_SPEND_PCT_EQUITY","FY 2022","FY 2022","Currency=USD","Period=FQ","BEST_FPERIOD_OVERRIDE=FQ","FILING_STATUS=MR","Sort=A","Dates=H","DateFormat=P","Fill=—","Direction=H","UseDPDF=Y")</f>
        <v>—</v>
      </c>
      <c r="Z27" s="14" t="str">
        <f>_xll.BDH("NBIX US Equity","COMMUNITY_SPEND_PCT_EQUITY","FY 2023","FY 2023","Currency=USD","Period=FQ","BEST_FPERIOD_OVERRIDE=FQ","FILING_STATUS=MR","Sort=A","Dates=H","DateFormat=P","Fill=—","Direction=H","UseDPDF=Y")</f>
        <v>—</v>
      </c>
      <c r="AA27" s="14" t="str">
        <f>_xll.BDH("NBIX US Equity","COMMUNITY_SPEND_PCT_EQUITY","FY 2024","FY 2024","Currency=USD","Period=FQ","BEST_FPERIOD_OVERRIDE=FQ","FILING_STATUS=MR","Sort=A","Dates=H","DateFormat=P","Fill=—","Direction=H","UseDPDF=Y")</f>
        <v>—</v>
      </c>
    </row>
    <row r="28" spans="1:27" x14ac:dyDescent="0.25">
      <c r="A28" s="10" t="s">
        <v>1623</v>
      </c>
      <c r="B28" s="10" t="s">
        <v>1624</v>
      </c>
      <c r="C28" s="14" t="str">
        <f>_xll.BDH("NBIX US Equity","TRAINING_SPEND_PER_EMPLOYEE","FY 2000","FY 2000","Currency=USD","Period=FQ","BEST_FPERIOD_OVERRIDE=FQ","FILING_STATUS=MR","Sort=A","Dates=H","DateFormat=P","Fill=—","Direction=H","UseDPDF=Y")</f>
        <v>—</v>
      </c>
      <c r="D28" s="14" t="str">
        <f>_xll.BDH("NBIX US Equity","TRAINING_SPEND_PER_EMPLOYEE","FY 2001","FY 2001","Currency=USD","Period=FQ","BEST_FPERIOD_OVERRIDE=FQ","FILING_STATUS=MR","Sort=A","Dates=H","DateFormat=P","Fill=—","Direction=H","UseDPDF=Y")</f>
        <v>—</v>
      </c>
      <c r="E28" s="14" t="str">
        <f>_xll.BDH("NBIX US Equity","TRAINING_SPEND_PER_EMPLOYEE","FY 2002","FY 2002","Currency=USD","Period=FQ","BEST_FPERIOD_OVERRIDE=FQ","FILING_STATUS=MR","Sort=A","Dates=H","DateFormat=P","Fill=—","Direction=H","UseDPDF=Y")</f>
        <v>—</v>
      </c>
      <c r="F28" s="14" t="str">
        <f>_xll.BDH("NBIX US Equity","TRAINING_SPEND_PER_EMPLOYEE","FY 2003","FY 2003","Currency=USD","Period=FQ","BEST_FPERIOD_OVERRIDE=FQ","FILING_STATUS=MR","Sort=A","Dates=H","DateFormat=P","Fill=—","Direction=H","UseDPDF=Y")</f>
        <v>—</v>
      </c>
      <c r="G28" s="14" t="str">
        <f>_xll.BDH("NBIX US Equity","TRAINING_SPEND_PER_EMPLOYEE","FY 2004","FY 2004","Currency=USD","Period=FQ","BEST_FPERIOD_OVERRIDE=FQ","FILING_STATUS=MR","Sort=A","Dates=H","DateFormat=P","Fill=—","Direction=H","UseDPDF=Y")</f>
        <v>—</v>
      </c>
      <c r="H28" s="14" t="str">
        <f>_xll.BDH("NBIX US Equity","TRAINING_SPEND_PER_EMPLOYEE","FY 2005","FY 2005","Currency=USD","Period=FQ","BEST_FPERIOD_OVERRIDE=FQ","FILING_STATUS=MR","Sort=A","Dates=H","DateFormat=P","Fill=—","Direction=H","UseDPDF=Y")</f>
        <v>—</v>
      </c>
      <c r="I28" s="14" t="str">
        <f>_xll.BDH("NBIX US Equity","TRAINING_SPEND_PER_EMPLOYEE","FY 2006","FY 2006","Currency=USD","Period=FQ","BEST_FPERIOD_OVERRIDE=FQ","FILING_STATUS=MR","Sort=A","Dates=H","DateFormat=P","Fill=—","Direction=H","UseDPDF=Y")</f>
        <v>—</v>
      </c>
      <c r="J28" s="14" t="str">
        <f>_xll.BDH("NBIX US Equity","TRAINING_SPEND_PER_EMPLOYEE","FY 2007","FY 2007","Currency=USD","Period=FQ","BEST_FPERIOD_OVERRIDE=FQ","FILING_STATUS=MR","Sort=A","Dates=H","DateFormat=P","Fill=—","Direction=H","UseDPDF=Y")</f>
        <v>—</v>
      </c>
      <c r="K28" s="14" t="str">
        <f>_xll.BDH("NBIX US Equity","TRAINING_SPEND_PER_EMPLOYEE","FY 2008","FY 2008","Currency=USD","Period=FQ","BEST_FPERIOD_OVERRIDE=FQ","FILING_STATUS=MR","Sort=A","Dates=H","DateFormat=P","Fill=—","Direction=H","UseDPDF=Y")</f>
        <v>—</v>
      </c>
      <c r="L28" s="14" t="str">
        <f>_xll.BDH("NBIX US Equity","TRAINING_SPEND_PER_EMPLOYEE","FY 2009","FY 2009","Currency=USD","Period=FQ","BEST_FPERIOD_OVERRIDE=FQ","FILING_STATUS=MR","Sort=A","Dates=H","DateFormat=P","Fill=—","Direction=H","UseDPDF=Y")</f>
        <v>—</v>
      </c>
      <c r="M28" s="14" t="str">
        <f>_xll.BDH("NBIX US Equity","TRAINING_SPEND_PER_EMPLOYEE","FY 2010","FY 2010","Currency=USD","Period=FQ","BEST_FPERIOD_OVERRIDE=FQ","FILING_STATUS=MR","Sort=A","Dates=H","DateFormat=P","Fill=—","Direction=H","UseDPDF=Y")</f>
        <v>—</v>
      </c>
      <c r="N28" s="14" t="str">
        <f>_xll.BDH("NBIX US Equity","TRAINING_SPEND_PER_EMPLOYEE","FY 2011","FY 2011","Currency=USD","Period=FQ","BEST_FPERIOD_OVERRIDE=FQ","FILING_STATUS=MR","Sort=A","Dates=H","DateFormat=P","Fill=—","Direction=H","UseDPDF=Y")</f>
        <v>—</v>
      </c>
      <c r="O28" s="14" t="str">
        <f>_xll.BDH("NBIX US Equity","TRAINING_SPEND_PER_EMPLOYEE","FY 2012","FY 2012","Currency=USD","Period=FQ","BEST_FPERIOD_OVERRIDE=FQ","FILING_STATUS=MR","Sort=A","Dates=H","DateFormat=P","Fill=—","Direction=H","UseDPDF=Y")</f>
        <v>—</v>
      </c>
      <c r="P28" s="14" t="str">
        <f>_xll.BDH("NBIX US Equity","TRAINING_SPEND_PER_EMPLOYEE","FY 2013","FY 2013","Currency=USD","Period=FQ","BEST_FPERIOD_OVERRIDE=FQ","FILING_STATUS=MR","Sort=A","Dates=H","DateFormat=P","Fill=—","Direction=H","UseDPDF=Y")</f>
        <v>—</v>
      </c>
      <c r="Q28" s="14" t="str">
        <f>_xll.BDH("NBIX US Equity","TRAINING_SPEND_PER_EMPLOYEE","FY 2014","FY 2014","Currency=USD","Period=FQ","BEST_FPERIOD_OVERRIDE=FQ","FILING_STATUS=MR","Sort=A","Dates=H","DateFormat=P","Fill=—","Direction=H","UseDPDF=Y")</f>
        <v>—</v>
      </c>
      <c r="R28" s="14" t="str">
        <f>_xll.BDH("NBIX US Equity","TRAINING_SPEND_PER_EMPLOYEE","FY 2015","FY 2015","Currency=USD","Period=FQ","BEST_FPERIOD_OVERRIDE=FQ","FILING_STATUS=MR","Sort=A","Dates=H","DateFormat=P","Fill=—","Direction=H","UseDPDF=Y")</f>
        <v>—</v>
      </c>
      <c r="S28" s="14" t="str">
        <f>_xll.BDH("NBIX US Equity","TRAINING_SPEND_PER_EMPLOYEE","FY 2016","FY 2016","Currency=USD","Period=FQ","BEST_FPERIOD_OVERRIDE=FQ","FILING_STATUS=MR","Sort=A","Dates=H","DateFormat=P","Fill=—","Direction=H","UseDPDF=Y")</f>
        <v>—</v>
      </c>
      <c r="T28" s="14" t="str">
        <f>_xll.BDH("NBIX US Equity","TRAINING_SPEND_PER_EMPLOYEE","FY 2017","FY 2017","Currency=USD","Period=FQ","BEST_FPERIOD_OVERRIDE=FQ","FILING_STATUS=MR","Sort=A","Dates=H","DateFormat=P","Fill=—","Direction=H","UseDPDF=Y")</f>
        <v>—</v>
      </c>
      <c r="U28" s="14" t="str">
        <f>_xll.BDH("NBIX US Equity","TRAINING_SPEND_PER_EMPLOYEE","FY 2018","FY 2018","Currency=USD","Period=FQ","BEST_FPERIOD_OVERRIDE=FQ","FILING_STATUS=MR","Sort=A","Dates=H","DateFormat=P","Fill=—","Direction=H","UseDPDF=Y")</f>
        <v>—</v>
      </c>
      <c r="V28" s="14" t="str">
        <f>_xll.BDH("NBIX US Equity","TRAINING_SPEND_PER_EMPLOYEE","FY 2019","FY 2019","Currency=USD","Period=FQ","BEST_FPERIOD_OVERRIDE=FQ","FILING_STATUS=MR","Sort=A","Dates=H","DateFormat=P","Fill=—","Direction=H","UseDPDF=Y")</f>
        <v>—</v>
      </c>
      <c r="W28" s="14" t="str">
        <f>_xll.BDH("NBIX US Equity","TRAINING_SPEND_PER_EMPLOYEE","FY 2020","FY 2020","Currency=USD","Period=FQ","BEST_FPERIOD_OVERRIDE=FQ","FILING_STATUS=MR","Sort=A","Dates=H","DateFormat=P","Fill=—","Direction=H","UseDPDF=Y")</f>
        <v>—</v>
      </c>
      <c r="X28" s="14" t="str">
        <f>_xll.BDH("NBIX US Equity","TRAINING_SPEND_PER_EMPLOYEE","FY 2021","FY 2021","Currency=USD","Period=FQ","BEST_FPERIOD_OVERRIDE=FQ","FILING_STATUS=MR","Sort=A","Dates=H","DateFormat=P","Fill=—","Direction=H","UseDPDF=Y")</f>
        <v>—</v>
      </c>
      <c r="Y28" s="14" t="str">
        <f>_xll.BDH("NBIX US Equity","TRAINING_SPEND_PER_EMPLOYEE","FY 2022","FY 2022","Currency=USD","Period=FQ","BEST_FPERIOD_OVERRIDE=FQ","FILING_STATUS=MR","Sort=A","Dates=H","DateFormat=P","Fill=—","Direction=H","UseDPDF=Y")</f>
        <v>—</v>
      </c>
      <c r="Z28" s="14" t="str">
        <f>_xll.BDH("NBIX US Equity","TRAINING_SPEND_PER_EMPLOYEE","FY 2023","FY 2023","Currency=USD","Period=FQ","BEST_FPERIOD_OVERRIDE=FQ","FILING_STATUS=MR","Sort=A","Dates=H","DateFormat=P","Fill=—","Direction=H","UseDPDF=Y")</f>
        <v>—</v>
      </c>
      <c r="AA28" s="14" t="str">
        <f>_xll.BDH("NBIX US Equity","TRAINING_SPEND_PER_EMPLOYEE","FY 2024","FY 2024","Currency=USD","Period=FQ","BEST_FPERIOD_OVERRIDE=FQ","FILING_STATUS=MR","Sort=A","Dates=H","DateFormat=P","Fill=—","Direction=H","UseDPDF=Y")</f>
        <v>—</v>
      </c>
    </row>
    <row r="29" spans="1:27" x14ac:dyDescent="0.25">
      <c r="A29" s="10" t="s">
        <v>1625</v>
      </c>
      <c r="B29" s="10" t="s">
        <v>1626</v>
      </c>
      <c r="C29" s="14">
        <f>_xll.BDH("NBIX US Equity","RD_EXPENDITURES_PER_CASH_FLOW","FY 2000","FY 2000","Currency=USD","Period=FQ","BEST_FPERIOD_OVERRIDE=FQ","FILING_STATUS=MR","Sort=A","Dates=H","DateFormat=P","Fill=—","Direction=H","UseDPDF=Y")</f>
        <v>-2.0310999999999999</v>
      </c>
      <c r="D29" s="14">
        <f>_xll.BDH("NBIX US Equity","RD_EXPENDITURES_PER_CASH_FLOW","FY 2001","FY 2001","Currency=USD","Period=FQ","BEST_FPERIOD_OVERRIDE=FQ","FILING_STATUS=MR","Sort=A","Dates=H","DateFormat=P","Fill=—","Direction=H","UseDPDF=Y")</f>
        <v>271.25279999999998</v>
      </c>
      <c r="E29" s="14">
        <f>_xll.BDH("NBIX US Equity","RD_EXPENDITURES_PER_CASH_FLOW","FY 2002","FY 2002","Currency=USD","Period=FQ","BEST_FPERIOD_OVERRIDE=FQ","FILING_STATUS=MR","Sort=A","Dates=H","DateFormat=P","Fill=—","Direction=H","UseDPDF=Y")</f>
        <v>-1.2677</v>
      </c>
      <c r="F29" s="14">
        <f>_xll.BDH("NBIX US Equity","RD_EXPENDITURES_PER_CASH_FLOW","FY 2003","FY 2003","Currency=USD","Period=FQ","BEST_FPERIOD_OVERRIDE=FQ","FILING_STATUS=MR","Sort=A","Dates=H","DateFormat=P","Fill=—","Direction=H","UseDPDF=Y")</f>
        <v>-23.804500000000001</v>
      </c>
      <c r="G29" s="14">
        <f>_xll.BDH("NBIX US Equity","RD_EXPENDITURES_PER_CASH_FLOW","FY 2004","FY 2004","Currency=USD","Period=FQ","BEST_FPERIOD_OVERRIDE=FQ","FILING_STATUS=MR","Sort=A","Dates=H","DateFormat=P","Fill=—","Direction=H","UseDPDF=Y")</f>
        <v>-1.1496</v>
      </c>
      <c r="H29" s="14">
        <f>_xll.BDH("NBIX US Equity","RD_EXPENDITURES_PER_CASH_FLOW","FY 2005","FY 2005","Currency=USD","Period=FQ","BEST_FPERIOD_OVERRIDE=FQ","FILING_STATUS=MR","Sort=A","Dates=H","DateFormat=P","Fill=—","Direction=H","UseDPDF=Y")</f>
        <v>-1.0812999999999999</v>
      </c>
      <c r="I29" s="14">
        <f>_xll.BDH("NBIX US Equity","RD_EXPENDITURES_PER_CASH_FLOW","FY 2006","FY 2006","Currency=USD","Period=FQ","BEST_FPERIOD_OVERRIDE=FQ","FILING_STATUS=MR","Sort=A","Dates=H","DateFormat=P","Fill=—","Direction=H","UseDPDF=Y")</f>
        <v>-1.1076999999999999</v>
      </c>
      <c r="J29" s="14">
        <f>_xll.BDH("NBIX US Equity","RD_EXPENDITURES_PER_CASH_FLOW","FY 2007","FY 2007","Currency=USD","Period=FQ","BEST_FPERIOD_OVERRIDE=FQ","FILING_STATUS=MR","Sort=A","Dates=H","DateFormat=P","Fill=—","Direction=H","UseDPDF=Y")</f>
        <v>-5.7595999999999998</v>
      </c>
      <c r="K29" s="14">
        <f>_xll.BDH("NBIX US Equity","RD_EXPENDITURES_PER_CASH_FLOW","FY 2008","FY 2008","Currency=USD","Period=FQ","BEST_FPERIOD_OVERRIDE=FQ","FILING_STATUS=MR","Sort=A","Dates=H","DateFormat=P","Fill=—","Direction=H","UseDPDF=Y")</f>
        <v>-0.72819999999999996</v>
      </c>
      <c r="L29" s="14">
        <f>_xll.BDH("NBIX US Equity","RD_EXPENDITURES_PER_CASH_FLOW","FY 2009","FY 2009","Currency=USD","Period=FQ","BEST_FPERIOD_OVERRIDE=FQ","FILING_STATUS=MR","Sort=A","Dates=H","DateFormat=P","Fill=—","Direction=H","UseDPDF=Y")</f>
        <v>-0.48330000000000001</v>
      </c>
      <c r="M29" s="14">
        <f>_xll.BDH("NBIX US Equity","RD_EXPENDITURES_PER_CASH_FLOW","FY 2010","FY 2010","Currency=USD","Period=FQ","BEST_FPERIOD_OVERRIDE=FQ","FILING_STATUS=MR","Sort=A","Dates=H","DateFormat=P","Fill=—","Direction=H","UseDPDF=Y")</f>
        <v>-1.7810999999999999</v>
      </c>
      <c r="N29" s="14">
        <f>_xll.BDH("NBIX US Equity","RD_EXPENDITURES_PER_CASH_FLOW","FY 2011","FY 2011","Currency=USD","Period=FQ","BEST_FPERIOD_OVERRIDE=FQ","FILING_STATUS=MR","Sort=A","Dates=H","DateFormat=P","Fill=—","Direction=H","UseDPDF=Y")</f>
        <v>0.72499999999999998</v>
      </c>
      <c r="O29" s="14">
        <f>_xll.BDH("NBIX US Equity","RD_EXPENDITURES_PER_CASH_FLOW","FY 2012","FY 2012","Currency=USD","Period=FQ","BEST_FPERIOD_OVERRIDE=FQ","FILING_STATUS=MR","Sort=A","Dates=H","DateFormat=P","Fill=—","Direction=H","UseDPDF=Y")</f>
        <v>-1.0210999999999999</v>
      </c>
      <c r="P29" s="14">
        <f>_xll.BDH("NBIX US Equity","RD_EXPENDITURES_PER_CASH_FLOW","FY 2013","FY 2013","Currency=USD","Period=FQ","BEST_FPERIOD_OVERRIDE=FQ","FILING_STATUS=MR","Sort=A","Dates=H","DateFormat=P","Fill=—","Direction=H","UseDPDF=Y")</f>
        <v>-0.81969999999999998</v>
      </c>
      <c r="Q29" s="14">
        <f>_xll.BDH("NBIX US Equity","RD_EXPENDITURES_PER_CASH_FLOW","FY 2014","FY 2014","Currency=USD","Period=FQ","BEST_FPERIOD_OVERRIDE=FQ","FILING_STATUS=MR","Sort=A","Dates=H","DateFormat=P","Fill=—","Direction=H","UseDPDF=Y")</f>
        <v>-1.0123</v>
      </c>
      <c r="R29" s="14">
        <f>_xll.BDH("NBIX US Equity","RD_EXPENDITURES_PER_CASH_FLOW","FY 2015","FY 2015","Currency=USD","Period=FQ","BEST_FPERIOD_OVERRIDE=FQ","FILING_STATUS=MR","Sort=A","Dates=H","DateFormat=P","Fill=—","Direction=H","UseDPDF=Y")</f>
        <v>-1.4345000000000001</v>
      </c>
      <c r="S29" s="14">
        <f>_xll.BDH("NBIX US Equity","RD_EXPENDITURES_PER_CASH_FLOW","FY 2016","FY 2016","Currency=USD","Period=FQ","BEST_FPERIOD_OVERRIDE=FQ","FILING_STATUS=MR","Sort=A","Dates=H","DateFormat=P","Fill=—","Direction=H","UseDPDF=Y")</f>
        <v>-0.71289999999999998</v>
      </c>
      <c r="T29" s="14">
        <f>_xll.BDH("NBIX US Equity","RD_EXPENDITURES_PER_CASH_FLOW","FY 2017","FY 2017","Currency=USD","Period=FQ","BEST_FPERIOD_OVERRIDE=FQ","FILING_STATUS=MR","Sort=A","Dates=H","DateFormat=P","Fill=—","Direction=H","UseDPDF=Y")</f>
        <v>0.63129999999999997</v>
      </c>
      <c r="U29" s="14">
        <f>_xll.BDH("NBIX US Equity","RD_EXPENDITURES_PER_CASH_FLOW","FY 2018","FY 2018","Currency=USD","Period=FQ","BEST_FPERIOD_OVERRIDE=FQ","FILING_STATUS=MR","Sort=A","Dates=H","DateFormat=P","Fill=—","Direction=H","UseDPDF=Y")</f>
        <v>0.77510000000000001</v>
      </c>
      <c r="V29" s="14">
        <f>_xll.BDH("NBIX US Equity","RD_EXPENDITURES_PER_CASH_FLOW","FY 2019","FY 2019","Currency=USD","Period=FQ","BEST_FPERIOD_OVERRIDE=FQ","FILING_STATUS=MR","Sort=A","Dates=H","DateFormat=P","Fill=—","Direction=H","UseDPDF=Y")</f>
        <v>0.56720000000000004</v>
      </c>
      <c r="W29" s="14">
        <f>_xll.BDH("NBIX US Equity","RD_EXPENDITURES_PER_CASH_FLOW","FY 2020","FY 2020","Currency=USD","Period=FQ","BEST_FPERIOD_OVERRIDE=FQ","FILING_STATUS=MR","Sort=A","Dates=H","DateFormat=P","Fill=—","Direction=H","UseDPDF=Y")</f>
        <v>0.70579999999999998</v>
      </c>
      <c r="X29" s="14">
        <f>_xll.BDH("NBIX US Equity","RD_EXPENDITURES_PER_CASH_FLOW","FY 2021","FY 2021","Currency=USD","Period=FQ","BEST_FPERIOD_OVERRIDE=FQ","FILING_STATUS=MR","Sort=A","Dates=H","DateFormat=P","Fill=—","Direction=H","UseDPDF=Y")</f>
        <v>20.8095</v>
      </c>
      <c r="Y29" s="14">
        <f>_xll.BDH("NBIX US Equity","RD_EXPENDITURES_PER_CASH_FLOW","FY 2022","FY 2022","Currency=USD","Period=FQ","BEST_FPERIOD_OVERRIDE=FQ","FILING_STATUS=MR","Sort=A","Dates=H","DateFormat=P","Fill=—","Direction=H","UseDPDF=Y")</f>
        <v>0.82520000000000004</v>
      </c>
      <c r="Z29" s="14">
        <f>_xll.BDH("NBIX US Equity","RD_EXPENDITURES_PER_CASH_FLOW","FY 2023","FY 2023","Currency=USD","Period=FQ","BEST_FPERIOD_OVERRIDE=FQ","FILING_STATUS=MR","Sort=A","Dates=H","DateFormat=P","Fill=—","Direction=H","UseDPDF=Y")</f>
        <v>1.1133999999999999</v>
      </c>
      <c r="AA29" s="14">
        <f>_xll.BDH("NBIX US Equity","RD_EXPENDITURES_PER_CASH_FLOW","FY 2024","FY 2024","Currency=USD","Period=FQ","BEST_FPERIOD_OVERRIDE=FQ","FILING_STATUS=MR","Sort=A","Dates=H","DateFormat=P","Fill=—","Direction=H","UseDPDF=Y")</f>
        <v>0.76539999999999997</v>
      </c>
    </row>
    <row r="30" spans="1:27" x14ac:dyDescent="0.25">
      <c r="A30" s="10" t="s">
        <v>1627</v>
      </c>
      <c r="B30" s="10" t="s">
        <v>1628</v>
      </c>
      <c r="C30" s="14">
        <f>_xll.BDH("NBIX US Equity","ACTUAL_NET_INCOME_PER_EMPLOYEE","FY 2000","FY 2000","Currency=USD","Period=FQ","BEST_FPERIOD_OVERRIDE=FQ","FILING_STATUS=MR","FA_ADJUSTED=GAAP","Sort=A","Dates=H","DateFormat=P","Fill=—","Direction=H","UseDPDF=Y")</f>
        <v>-50180.8511</v>
      </c>
      <c r="D30" s="14">
        <f>_xll.BDH("NBIX US Equity","ACTUAL_NET_INCOME_PER_EMPLOYEE","FY 2001","FY 2001","Currency=USD","Period=FQ","BEST_FPERIOD_OVERRIDE=FQ","FILING_STATUS=MR","FA_ADJUSTED=GAAP","Sort=A","Dates=H","DateFormat=P","Fill=—","Direction=H","UseDPDF=Y")</f>
        <v>-69241.704500000007</v>
      </c>
      <c r="E30" s="14">
        <f>_xll.BDH("NBIX US Equity","ACTUAL_NET_INCOME_PER_EMPLOYEE","FY 2002","FY 2002","Currency=USD","Period=FQ","BEST_FPERIOD_OVERRIDE=FQ","FILING_STATUS=MR","FA_ADJUSTED=GAAP","Sort=A","Dates=H","DateFormat=P","Fill=—","Direction=H","UseDPDF=Y")</f>
        <v>-153308.2954</v>
      </c>
      <c r="F30" s="14" t="str">
        <f>_xll.BDH("NBIX US Equity","ACTUAL_NET_INCOME_PER_EMPLOYEE","FY 2003","FY 2003","Currency=USD","Period=FQ","BEST_FPERIOD_OVERRIDE=FQ","FILING_STATUS=MR","FA_ADJUSTED=GAAP","Sort=A","Dates=H","DateFormat=P","Fill=—","Direction=H","UseDPDF=Y")</f>
        <v>—</v>
      </c>
      <c r="G30" s="14">
        <f>_xll.BDH("NBIX US Equity","ACTUAL_NET_INCOME_PER_EMPLOYEE","FY 2004","FY 2004","Currency=USD","Period=FQ","BEST_FPERIOD_OVERRIDE=FQ","FILING_STATUS=MR","FA_ADJUSTED=GAAP","Sort=A","Dates=H","DateFormat=P","Fill=—","Direction=H","UseDPDF=Y")</f>
        <v>-53545.4545</v>
      </c>
      <c r="H30" s="14">
        <f>_xll.BDH("NBIX US Equity","ACTUAL_NET_INCOME_PER_EMPLOYEE","FY 2005","FY 2005","Currency=USD","Period=FQ","BEST_FPERIOD_OVERRIDE=FQ","FILING_STATUS=MR","FA_ADJUSTED=GAAP","Sort=A","Dates=H","DateFormat=P","Fill=—","Direction=H","UseDPDF=Y")</f>
        <v>-40659.865599999997</v>
      </c>
      <c r="I30" s="14">
        <f>_xll.BDH("NBIX US Equity","ACTUAL_NET_INCOME_PER_EMPLOYEE","FY 2006","FY 2006","Currency=USD","Period=FQ","BEST_FPERIOD_OVERRIDE=FQ","FILING_STATUS=MR","FA_ADJUSTED=GAAP","Sort=A","Dates=H","DateFormat=P","Fill=—","Direction=H","UseDPDF=Y")</f>
        <v>-55101.123599999999</v>
      </c>
      <c r="J30" s="14">
        <f>_xll.BDH("NBIX US Equity","ACTUAL_NET_INCOME_PER_EMPLOYEE","FY 2007","FY 2007","Currency=USD","Period=FQ","BEST_FPERIOD_OVERRIDE=FQ","FILING_STATUS=MR","FA_ADJUSTED=GAAP","Sort=A","Dates=H","DateFormat=P","Fill=—","Direction=H","UseDPDF=Y")</f>
        <v>-947962.96299999999</v>
      </c>
      <c r="K30" s="14">
        <f>_xll.BDH("NBIX US Equity","ACTUAL_NET_INCOME_PER_EMPLOYEE","FY 2008","FY 2008","Currency=USD","Period=FQ","BEST_FPERIOD_OVERRIDE=FQ","FILING_STATUS=MR","FA_ADJUSTED=GAAP","Sort=A","Dates=H","DateFormat=P","Fill=—","Direction=H","UseDPDF=Y")</f>
        <v>-230832</v>
      </c>
      <c r="L30" s="14">
        <f>_xll.BDH("NBIX US Equity","ACTUAL_NET_INCOME_PER_EMPLOYEE","FY 2009","FY 2009","Currency=USD","Period=FQ","BEST_FPERIOD_OVERRIDE=FQ","FILING_STATUS=MR","FA_ADJUSTED=GAAP","Sort=A","Dates=H","DateFormat=P","Fill=—","Direction=H","UseDPDF=Y")</f>
        <v>-121784.6154</v>
      </c>
      <c r="M30" s="14" t="str">
        <f>_xll.BDH("NBIX US Equity","ACTUAL_NET_INCOME_PER_EMPLOYEE","FY 2010","FY 2010","Currency=USD","Period=FQ","BEST_FPERIOD_OVERRIDE=FQ","FILING_STATUS=MR","FA_ADJUSTED=GAAP","Sort=A","Dates=H","DateFormat=P","Fill=—","Direction=H","UseDPDF=Y")</f>
        <v>—</v>
      </c>
      <c r="N30" s="14" t="str">
        <f>_xll.BDH("NBIX US Equity","ACTUAL_NET_INCOME_PER_EMPLOYEE","FY 2011","FY 2011","Currency=USD","Period=FQ","BEST_FPERIOD_OVERRIDE=FQ","FILING_STATUS=MR","FA_ADJUSTED=GAAP","Sort=A","Dates=H","DateFormat=P","Fill=—","Direction=H","UseDPDF=Y")</f>
        <v>—</v>
      </c>
      <c r="O30" s="14">
        <f>_xll.BDH("NBIX US Equity","ACTUAL_NET_INCOME_PER_EMPLOYEE","FY 2012","FY 2012","Currency=USD","Period=FQ","BEST_FPERIOD_OVERRIDE=FQ","FILING_STATUS=MR","FA_ADJUSTED=GAAP","Sort=A","Dates=H","DateFormat=P","Fill=—","Direction=H","UseDPDF=Y")</f>
        <v>121666.6667</v>
      </c>
      <c r="P30" s="14" t="str">
        <f>_xll.BDH("NBIX US Equity","ACTUAL_NET_INCOME_PER_EMPLOYEE","FY 2013","FY 2013","Currency=USD","Period=FQ","BEST_FPERIOD_OVERRIDE=FQ","FILING_STATUS=MR","FA_ADJUSTED=GAAP","Sort=A","Dates=H","DateFormat=P","Fill=—","Direction=H","UseDPDF=Y")</f>
        <v>—</v>
      </c>
      <c r="Q30" s="14" t="str">
        <f>_xll.BDH("NBIX US Equity","ACTUAL_NET_INCOME_PER_EMPLOYEE","FY 2014","FY 2014","Currency=USD","Period=FQ","BEST_FPERIOD_OVERRIDE=FQ","FILING_STATUS=MR","FA_ADJUSTED=GAAP","Sort=A","Dates=H","DateFormat=P","Fill=—","Direction=H","UseDPDF=Y")</f>
        <v>—</v>
      </c>
      <c r="R30" s="14">
        <f>_xll.BDH("NBIX US Equity","ACTUAL_NET_INCOME_PER_EMPLOYEE","FY 2015","FY 2015","Currency=USD","Period=FQ","BEST_FPERIOD_OVERRIDE=FQ","FILING_STATUS=MR","FA_ADJUSTED=GAAP","Sort=A","Dates=H","DateFormat=P","Fill=—","Direction=H","UseDPDF=Y")</f>
        <v>-244291.6667</v>
      </c>
      <c r="S30" s="14">
        <f>_xll.BDH("NBIX US Equity","ACTUAL_NET_INCOME_PER_EMPLOYEE","FY 2016","FY 2016","Currency=USD","Period=FQ","BEST_FPERIOD_OVERRIDE=FQ","FILING_STATUS=MR","FA_ADJUSTED=GAAP","Sort=A","Dates=H","DateFormat=P","Fill=—","Direction=H","UseDPDF=Y")</f>
        <v>-227852.04079999999</v>
      </c>
      <c r="T30" s="14">
        <f>_xll.BDH("NBIX US Equity","ACTUAL_NET_INCOME_PER_EMPLOYEE","FY 2017","FY 2017","Currency=USD","Period=FQ","BEST_FPERIOD_OVERRIDE=FQ","FILING_STATUS=MR","FA_ADJUSTED=GAAP","Sort=A","Dates=H","DateFormat=P","Fill=—","Direction=H","UseDPDF=Y")</f>
        <v>17235</v>
      </c>
      <c r="U30" s="14">
        <f>_xll.BDH("NBIX US Equity","ACTUAL_NET_INCOME_PER_EMPLOYEE","FY 2018","FY 2018","Currency=USD","Period=FQ","BEST_FPERIOD_OVERRIDE=FQ","FILING_STATUS=MR","FA_ADJUSTED=GAAP","Sort=A","Dates=H","DateFormat=P","Fill=—","Direction=H","UseDPDF=Y")</f>
        <v>30902.5641</v>
      </c>
      <c r="V30" s="14">
        <f>_xll.BDH("NBIX US Equity","ACTUAL_NET_INCOME_PER_EMPLOYEE","FY 2019","FY 2019","Currency=USD","Period=FQ","BEST_FPERIOD_OVERRIDE=FQ","FILING_STATUS=MR","FA_ADJUSTED=GAAP","Sort=A","Dates=H","DateFormat=P","Fill=—","Direction=H","UseDPDF=Y")</f>
        <v>48571.428599999999</v>
      </c>
      <c r="W30" s="14">
        <f>_xll.BDH("NBIX US Equity","ACTUAL_NET_INCOME_PER_EMPLOYEE","FY 2020","FY 2020","Currency=USD","Period=FQ","BEST_FPERIOD_OVERRIDE=FQ","FILING_STATUS=MR","FA_ADJUSTED=GAAP","Sort=A","Dates=H","DateFormat=P","Fill=—","Direction=H","UseDPDF=Y")</f>
        <v>411715.97629999998</v>
      </c>
      <c r="X30" s="14">
        <f>_xll.BDH("NBIX US Equity","ACTUAL_NET_INCOME_PER_EMPLOYEE","FY 2021","FY 2021","Currency=USD","Period=FQ","BEST_FPERIOD_OVERRIDE=FQ","FILING_STATUS=MR","FA_ADJUSTED=GAAP","Sort=A","Dates=H","DateFormat=P","Fill=—","Direction=H","UseDPDF=Y")</f>
        <v>-8111.1111000000001</v>
      </c>
      <c r="Y30" s="14">
        <f>_xll.BDH("NBIX US Equity","ACTUAL_NET_INCOME_PER_EMPLOYEE","FY 2022","FY 2022","Currency=USD","Period=FQ","BEST_FPERIOD_OVERRIDE=FQ","FILING_STATUS=MR","FA_ADJUSTED=GAAP","Sort=A","Dates=H","DateFormat=P","Fill=—","Direction=H","UseDPDF=Y")</f>
        <v>74166.666700000002</v>
      </c>
      <c r="Z30" s="14">
        <f>_xll.BDH("NBIX US Equity","ACTUAL_NET_INCOME_PER_EMPLOYEE","FY 2023","FY 2023","Currency=USD","Period=FQ","BEST_FPERIOD_OVERRIDE=FQ","FILING_STATUS=MR","FA_ADJUSTED=GAAP","Sort=A","Dates=H","DateFormat=P","Fill=—","Direction=H","UseDPDF=Y")</f>
        <v>105500</v>
      </c>
      <c r="AA30" s="14">
        <f>_xll.BDH("NBIX US Equity","ACTUAL_NET_INCOME_PER_EMPLOYEE","FY 2024","FY 2024","Currency=USD","Period=FQ","BEST_FPERIOD_OVERRIDE=FQ","FILING_STATUS=MR","FA_ADJUSTED=GAAP","Sort=A","Dates=H","DateFormat=P","Fill=—","Direction=H","UseDPDF=Y")</f>
        <v>57277.777800000003</v>
      </c>
    </row>
    <row r="31" spans="1:27" x14ac:dyDescent="0.25">
      <c r="A31" s="10" t="s">
        <v>1629</v>
      </c>
      <c r="B31" s="10" t="s">
        <v>1630</v>
      </c>
      <c r="C31" s="14">
        <f>_xll.BDH("NBIX US Equity","CASH_FLOW_PER_EMPLOYEE","FY 2000","FY 2000","Currency=USD","Period=FQ","BEST_FPERIOD_OVERRIDE=FQ","FILING_STATUS=MR","Sort=A","Dates=H","DateFormat=P","Fill=—","Direction=H","UseDPDF=Y")</f>
        <v>-30962.7716</v>
      </c>
      <c r="D31" s="14">
        <f>_xll.BDH("NBIX US Equity","CASH_FLOW_PER_EMPLOYEE","FY 2001","FY 2001","Currency=USD","Period=FQ","BEST_FPERIOD_OVERRIDE=FQ","FILING_STATUS=MR","Sort=A","Dates=H","DateFormat=P","Fill=—","Direction=H","UseDPDF=Y")</f>
        <v>431.27960000000002</v>
      </c>
      <c r="E31" s="14">
        <f>_xll.BDH("NBIX US Equity","CASH_FLOW_PER_EMPLOYEE","FY 2002","FY 2002","Currency=USD","Period=FQ","BEST_FPERIOD_OVERRIDE=FQ","FILING_STATUS=MR","Sort=A","Dates=H","DateFormat=P","Fill=—","Direction=H","UseDPDF=Y")</f>
        <v>-129592.88039999999</v>
      </c>
      <c r="F31" s="14" t="str">
        <f>_xll.BDH("NBIX US Equity","CASH_FLOW_PER_EMPLOYEE","FY 2003","FY 2003","Currency=USD","Period=FQ","BEST_FPERIOD_OVERRIDE=FQ","FILING_STATUS=MR","Sort=A","Dates=H","DateFormat=P","Fill=—","Direction=H","UseDPDF=Y")</f>
        <v>—</v>
      </c>
      <c r="G31" s="14">
        <f>_xll.BDH("NBIX US Equity","CASH_FLOW_PER_EMPLOYEE","FY 2004","FY 2004","Currency=USD","Period=FQ","BEST_FPERIOD_OVERRIDE=FQ","FILING_STATUS=MR","Sort=A","Dates=H","DateFormat=P","Fill=—","Direction=H","UseDPDF=Y")</f>
        <v>-75470.1299</v>
      </c>
      <c r="H31" s="14">
        <f>_xll.BDH("NBIX US Equity","CASH_FLOW_PER_EMPLOYEE","FY 2005","FY 2005","Currency=USD","Period=FQ","BEST_FPERIOD_OVERRIDE=FQ","FILING_STATUS=MR","Sort=A","Dates=H","DateFormat=P","Fill=—","Direction=H","UseDPDF=Y")</f>
        <v>-38952.379800000002</v>
      </c>
      <c r="I31" s="14">
        <f>_xll.BDH("NBIX US Equity","CASH_FLOW_PER_EMPLOYEE","FY 2006","FY 2006","Currency=USD","Period=FQ","BEST_FPERIOD_OVERRIDE=FQ","FILING_STATUS=MR","Sort=A","Dates=H","DateFormat=P","Fill=—","Direction=H","UseDPDF=Y")</f>
        <v>-62917.603000000003</v>
      </c>
      <c r="J31" s="14">
        <f>_xll.BDH("NBIX US Equity","CASH_FLOW_PER_EMPLOYEE","FY 2007","FY 2007","Currency=USD","Period=FQ","BEST_FPERIOD_OVERRIDE=FQ","FILING_STATUS=MR","Sort=A","Dates=H","DateFormat=P","Fill=—","Direction=H","UseDPDF=Y")</f>
        <v>-31303.703699999998</v>
      </c>
      <c r="K31" s="14">
        <f>_xll.BDH("NBIX US Equity","CASH_FLOW_PER_EMPLOYEE","FY 2008","FY 2008","Currency=USD","Period=FQ","BEST_FPERIOD_OVERRIDE=FQ","FILING_STATUS=MR","Sort=A","Dates=H","DateFormat=P","Fill=—","Direction=H","UseDPDF=Y")</f>
        <v>-130576</v>
      </c>
      <c r="L31" s="14">
        <f>_xll.BDH("NBIX US Equity","CASH_FLOW_PER_EMPLOYEE","FY 2009","FY 2009","Currency=USD","Period=FQ","BEST_FPERIOD_OVERRIDE=FQ","FILING_STATUS=MR","Sort=A","Dates=H","DateFormat=P","Fill=—","Direction=H","UseDPDF=Y")</f>
        <v>-214969.23079999999</v>
      </c>
      <c r="M31" s="14" t="str">
        <f>_xll.BDH("NBIX US Equity","CASH_FLOW_PER_EMPLOYEE","FY 2010","FY 2010","Currency=USD","Period=FQ","BEST_FPERIOD_OVERRIDE=FQ","FILING_STATUS=MR","Sort=A","Dates=H","DateFormat=P","Fill=—","Direction=H","UseDPDF=Y")</f>
        <v>—</v>
      </c>
      <c r="N31" s="14" t="str">
        <f>_xll.BDH("NBIX US Equity","CASH_FLOW_PER_EMPLOYEE","FY 2011","FY 2011","Currency=USD","Period=FQ","BEST_FPERIOD_OVERRIDE=FQ","FILING_STATUS=MR","Sort=A","Dates=H","DateFormat=P","Fill=—","Direction=H","UseDPDF=Y")</f>
        <v>—</v>
      </c>
      <c r="O31" s="14">
        <f>_xll.BDH("NBIX US Equity","CASH_FLOW_PER_EMPLOYEE","FY 2012","FY 2012","Currency=USD","Period=FQ","BEST_FPERIOD_OVERRIDE=FQ","FILING_STATUS=MR","Sort=A","Dates=H","DateFormat=P","Fill=—","Direction=H","UseDPDF=Y")</f>
        <v>-114217.94869999999</v>
      </c>
      <c r="P31" s="14" t="str">
        <f>_xll.BDH("NBIX US Equity","CASH_FLOW_PER_EMPLOYEE","FY 2013","FY 2013","Currency=USD","Period=FQ","BEST_FPERIOD_OVERRIDE=FQ","FILING_STATUS=MR","Sort=A","Dates=H","DateFormat=P","Fill=—","Direction=H","UseDPDF=Y")</f>
        <v>—</v>
      </c>
      <c r="Q31" s="14" t="str">
        <f>_xll.BDH("NBIX US Equity","CASH_FLOW_PER_EMPLOYEE","FY 2014","FY 2014","Currency=USD","Period=FQ","BEST_FPERIOD_OVERRIDE=FQ","FILING_STATUS=MR","Sort=A","Dates=H","DateFormat=P","Fill=—","Direction=H","UseDPDF=Y")</f>
        <v>—</v>
      </c>
      <c r="R31" s="14">
        <f>_xll.BDH("NBIX US Equity","CASH_FLOW_PER_EMPLOYEE","FY 2015","FY 2015","Currency=USD","Period=FQ","BEST_FPERIOD_OVERRIDE=FQ","FILING_STATUS=MR","Sort=A","Dates=H","DateFormat=P","Fill=—","Direction=H","UseDPDF=Y")</f>
        <v>-126691.6667</v>
      </c>
      <c r="S31" s="14">
        <f>_xll.BDH("NBIX US Equity","CASH_FLOW_PER_EMPLOYEE","FY 2016","FY 2016","Currency=USD","Period=FQ","BEST_FPERIOD_OVERRIDE=FQ","FILING_STATUS=MR","Sort=A","Dates=H","DateFormat=P","Fill=—","Direction=H","UseDPDF=Y")</f>
        <v>-161352.04079999999</v>
      </c>
      <c r="T31" s="14">
        <f>_xll.BDH("NBIX US Equity","CASH_FLOW_PER_EMPLOYEE","FY 2017","FY 2017","Currency=USD","Period=FQ","BEST_FPERIOD_OVERRIDE=FQ","FILING_STATUS=MR","Sort=A","Dates=H","DateFormat=P","Fill=—","Direction=H","UseDPDF=Y")</f>
        <v>101437.5</v>
      </c>
      <c r="U31" s="14">
        <f>_xll.BDH("NBIX US Equity","CASH_FLOW_PER_EMPLOYEE","FY 2018","FY 2018","Currency=USD","Period=FQ","BEST_FPERIOD_OVERRIDE=FQ","FILING_STATUS=MR","Sort=A","Dates=H","DateFormat=P","Fill=—","Direction=H","UseDPDF=Y")</f>
        <v>86246.1538</v>
      </c>
      <c r="V31" s="14">
        <f>_xll.BDH("NBIX US Equity","CASH_FLOW_PER_EMPLOYEE","FY 2019","FY 2019","Currency=USD","Period=FQ","BEST_FPERIOD_OVERRIDE=FQ","FILING_STATUS=MR","Sort=A","Dates=H","DateFormat=P","Fill=—","Direction=H","UseDPDF=Y")</f>
        <v>139284.28570000001</v>
      </c>
      <c r="W31" s="14">
        <f>_xll.BDH("NBIX US Equity","CASH_FLOW_PER_EMPLOYEE","FY 2020","FY 2020","Currency=USD","Period=FQ","BEST_FPERIOD_OVERRIDE=FQ","FILING_STATUS=MR","Sort=A","Dates=H","DateFormat=P","Fill=—","Direction=H","UseDPDF=Y")</f>
        <v>111834.3195</v>
      </c>
      <c r="X31" s="14">
        <f>_xll.BDH("NBIX US Equity","CASH_FLOW_PER_EMPLOYEE","FY 2021","FY 2021","Currency=USD","Period=FQ","BEST_FPERIOD_OVERRIDE=FQ","FILING_STATUS=MR","Sort=A","Dates=H","DateFormat=P","Fill=—","Direction=H","UseDPDF=Y")</f>
        <v>4666.6666999999998</v>
      </c>
      <c r="Y31" s="14">
        <f>_xll.BDH("NBIX US Equity","CASH_FLOW_PER_EMPLOYEE","FY 2022","FY 2022","Currency=USD","Period=FQ","BEST_FPERIOD_OVERRIDE=FQ","FILING_STATUS=MR","Sort=A","Dates=H","DateFormat=P","Fill=—","Direction=H","UseDPDF=Y")</f>
        <v>119166.6667</v>
      </c>
      <c r="Z31" s="14">
        <f>_xll.BDH("NBIX US Equity","CASH_FLOW_PER_EMPLOYEE","FY 2023","FY 2023","Currency=USD","Period=FQ","BEST_FPERIOD_OVERRIDE=FQ","FILING_STATUS=MR","Sort=A","Dates=H","DateFormat=P","Fill=—","Direction=H","UseDPDF=Y")</f>
        <v>88214.285699999993</v>
      </c>
      <c r="AA31" s="14">
        <f>_xll.BDH("NBIX US Equity","CASH_FLOW_PER_EMPLOYEE","FY 2024","FY 2024","Currency=USD","Period=FQ","BEST_FPERIOD_OVERRIDE=FQ","FILING_STATUS=MR","Sort=A","Dates=H","DateFormat=P","Fill=—","Direction=H","UseDPDF=Y")</f>
        <v>134722.22219999999</v>
      </c>
    </row>
    <row r="32" spans="1:27" x14ac:dyDescent="0.25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5">
      <c r="A33" s="6" t="s">
        <v>1631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x14ac:dyDescent="0.25">
      <c r="A34" s="10" t="s">
        <v>1632</v>
      </c>
      <c r="B34" s="10" t="s">
        <v>1633</v>
      </c>
      <c r="C34" s="14" t="str">
        <f>_xll.BDH("NBIX US Equity","PCT_OF_NON_EXEC_DIR_ON_BRD","FY 2000","FY 2000","Currency=USD","Period=FQ","BEST_FPERIOD_OVERRIDE=FQ","FILING_STATUS=MR","Sort=A","Dates=H","DateFormat=P","Fill=—","Direction=H","UseDPDF=Y")</f>
        <v>—</v>
      </c>
      <c r="D34" s="14" t="str">
        <f>_xll.BDH("NBIX US Equity","PCT_OF_NON_EXEC_DIR_ON_BRD","FY 2001","FY 2001","Currency=USD","Period=FQ","BEST_FPERIOD_OVERRIDE=FQ","FILING_STATUS=MR","Sort=A","Dates=H","DateFormat=P","Fill=—","Direction=H","UseDPDF=Y")</f>
        <v>—</v>
      </c>
      <c r="E34" s="14" t="str">
        <f>_xll.BDH("NBIX US Equity","PCT_OF_NON_EXEC_DIR_ON_BRD","FY 2002","FY 2002","Currency=USD","Period=FQ","BEST_FPERIOD_OVERRIDE=FQ","FILING_STATUS=MR","Sort=A","Dates=H","DateFormat=P","Fill=—","Direction=H","UseDPDF=Y")</f>
        <v>—</v>
      </c>
      <c r="F34" s="14" t="str">
        <f>_xll.BDH("NBIX US Equity","PCT_OF_NON_EXEC_DIR_ON_BRD","FY 2003","FY 2003","Currency=USD","Period=FQ","BEST_FPERIOD_OVERRIDE=FQ","FILING_STATUS=MR","Sort=A","Dates=H","DateFormat=P","Fill=—","Direction=H","UseDPDF=Y")</f>
        <v>—</v>
      </c>
      <c r="G34" s="14" t="str">
        <f>_xll.BDH("NBIX US Equity","PCT_OF_NON_EXEC_DIR_ON_BRD","FY 2004","FY 2004","Currency=USD","Period=FQ","BEST_FPERIOD_OVERRIDE=FQ","FILING_STATUS=MR","Sort=A","Dates=H","DateFormat=P","Fill=—","Direction=H","UseDPDF=Y")</f>
        <v>—</v>
      </c>
      <c r="H34" s="14" t="str">
        <f>_xll.BDH("NBIX US Equity","PCT_OF_NON_EXEC_DIR_ON_BRD","FY 2005","FY 2005","Currency=USD","Period=FQ","BEST_FPERIOD_OVERRIDE=FQ","FILING_STATUS=MR","Sort=A","Dates=H","DateFormat=P","Fill=—","Direction=H","UseDPDF=Y")</f>
        <v>—</v>
      </c>
      <c r="I34" s="14" t="str">
        <f>_xll.BDH("NBIX US Equity","PCT_OF_NON_EXEC_DIR_ON_BRD","FY 2006","FY 2006","Currency=USD","Period=FQ","BEST_FPERIOD_OVERRIDE=FQ","FILING_STATUS=MR","Sort=A","Dates=H","DateFormat=P","Fill=—","Direction=H","UseDPDF=Y")</f>
        <v>—</v>
      </c>
      <c r="J34" s="14" t="str">
        <f>_xll.BDH("NBIX US Equity","PCT_OF_NON_EXEC_DIR_ON_BRD","FY 2007","FY 2007","Currency=USD","Period=FQ","BEST_FPERIOD_OVERRIDE=FQ","FILING_STATUS=MR","Sort=A","Dates=H","DateFormat=P","Fill=—","Direction=H","UseDPDF=Y")</f>
        <v>—</v>
      </c>
      <c r="K34" s="14" t="str">
        <f>_xll.BDH("NBIX US Equity","PCT_OF_NON_EXEC_DIR_ON_BRD","FY 2008","FY 2008","Currency=USD","Period=FQ","BEST_FPERIOD_OVERRIDE=FQ","FILING_STATUS=MR","Sort=A","Dates=H","DateFormat=P","Fill=—","Direction=H","UseDPDF=Y")</f>
        <v>—</v>
      </c>
      <c r="L34" s="14" t="str">
        <f>_xll.BDH("NBIX US Equity","PCT_OF_NON_EXEC_DIR_ON_BRD","FY 2009","FY 2009","Currency=USD","Period=FQ","BEST_FPERIOD_OVERRIDE=FQ","FILING_STATUS=MR","Sort=A","Dates=H","DateFormat=P","Fill=—","Direction=H","UseDPDF=Y")</f>
        <v>—</v>
      </c>
      <c r="M34" s="14" t="str">
        <f>_xll.BDH("NBIX US Equity","PCT_OF_NON_EXEC_DIR_ON_BRD","FY 2010","FY 2010","Currency=USD","Period=FQ","BEST_FPERIOD_OVERRIDE=FQ","FILING_STATUS=MR","Sort=A","Dates=H","DateFormat=P","Fill=—","Direction=H","UseDPDF=Y")</f>
        <v>—</v>
      </c>
      <c r="N34" s="14" t="str">
        <f>_xll.BDH("NBIX US Equity","PCT_OF_NON_EXEC_DIR_ON_BRD","FY 2011","FY 2011","Currency=USD","Period=FQ","BEST_FPERIOD_OVERRIDE=FQ","FILING_STATUS=MR","Sort=A","Dates=H","DateFormat=P","Fill=—","Direction=H","UseDPDF=Y")</f>
        <v>—</v>
      </c>
      <c r="O34" s="14" t="str">
        <f>_xll.BDH("NBIX US Equity","PCT_OF_NON_EXEC_DIR_ON_BRD","FY 2012","FY 2012","Currency=USD","Period=FQ","BEST_FPERIOD_OVERRIDE=FQ","FILING_STATUS=MR","Sort=A","Dates=H","DateFormat=P","Fill=—","Direction=H","UseDPDF=Y")</f>
        <v>—</v>
      </c>
      <c r="P34" s="14" t="str">
        <f>_xll.BDH("NBIX US Equity","PCT_OF_NON_EXEC_DIR_ON_BRD","FY 2013","FY 2013","Currency=USD","Period=FQ","BEST_FPERIOD_OVERRIDE=FQ","FILING_STATUS=MR","Sort=A","Dates=H","DateFormat=P","Fill=—","Direction=H","UseDPDF=Y")</f>
        <v>—</v>
      </c>
      <c r="Q34" s="14" t="str">
        <f>_xll.BDH("NBIX US Equity","PCT_OF_NON_EXEC_DIR_ON_BRD","FY 2014","FY 2014","Currency=USD","Period=FQ","BEST_FPERIOD_OVERRIDE=FQ","FILING_STATUS=MR","Sort=A","Dates=H","DateFormat=P","Fill=—","Direction=H","UseDPDF=Y")</f>
        <v>—</v>
      </c>
      <c r="R34" s="14" t="str">
        <f>_xll.BDH("NBIX US Equity","PCT_OF_NON_EXEC_DIR_ON_BRD","FY 2015","FY 2015","Currency=USD","Period=FQ","BEST_FPERIOD_OVERRIDE=FQ","FILING_STATUS=MR","Sort=A","Dates=H","DateFormat=P","Fill=—","Direction=H","UseDPDF=Y")</f>
        <v>—</v>
      </c>
      <c r="S34" s="14" t="str">
        <f>_xll.BDH("NBIX US Equity","PCT_OF_NON_EXEC_DIR_ON_BRD","FY 2016","FY 2016","Currency=USD","Period=FQ","BEST_FPERIOD_OVERRIDE=FQ","FILING_STATUS=MR","Sort=A","Dates=H","DateFormat=P","Fill=—","Direction=H","UseDPDF=Y")</f>
        <v>—</v>
      </c>
      <c r="T34" s="14" t="str">
        <f>_xll.BDH("NBIX US Equity","PCT_OF_NON_EXEC_DIR_ON_BRD","FY 2017","FY 2017","Currency=USD","Period=FQ","BEST_FPERIOD_OVERRIDE=FQ","FILING_STATUS=MR","Sort=A","Dates=H","DateFormat=P","Fill=—","Direction=H","UseDPDF=Y")</f>
        <v>—</v>
      </c>
      <c r="U34" s="14" t="str">
        <f>_xll.BDH("NBIX US Equity","PCT_OF_NON_EXEC_DIR_ON_BRD","FY 2018","FY 2018","Currency=USD","Period=FQ","BEST_FPERIOD_OVERRIDE=FQ","FILING_STATUS=MR","Sort=A","Dates=H","DateFormat=P","Fill=—","Direction=H","UseDPDF=Y")</f>
        <v>—</v>
      </c>
      <c r="V34" s="14" t="str">
        <f>_xll.BDH("NBIX US Equity","PCT_OF_NON_EXEC_DIR_ON_BRD","FY 2019","FY 2019","Currency=USD","Period=FQ","BEST_FPERIOD_OVERRIDE=FQ","FILING_STATUS=MR","Sort=A","Dates=H","DateFormat=P","Fill=—","Direction=H","UseDPDF=Y")</f>
        <v>—</v>
      </c>
      <c r="W34" s="14" t="str">
        <f>_xll.BDH("NBIX US Equity","PCT_OF_NON_EXEC_DIR_ON_BRD","FY 2020","FY 2020","Currency=USD","Period=FQ","BEST_FPERIOD_OVERRIDE=FQ","FILING_STATUS=MR","Sort=A","Dates=H","DateFormat=P","Fill=—","Direction=H","UseDPDF=Y")</f>
        <v>—</v>
      </c>
      <c r="X34" s="14" t="str">
        <f>_xll.BDH("NBIX US Equity","PCT_OF_NON_EXEC_DIR_ON_BRD","FY 2021","FY 2021","Currency=USD","Period=FQ","BEST_FPERIOD_OVERRIDE=FQ","FILING_STATUS=MR","Sort=A","Dates=H","DateFormat=P","Fill=—","Direction=H","UseDPDF=Y")</f>
        <v>—</v>
      </c>
      <c r="Y34" s="14" t="str">
        <f>_xll.BDH("NBIX US Equity","PCT_OF_NON_EXEC_DIR_ON_BRD","FY 2022","FY 2022","Currency=USD","Period=FQ","BEST_FPERIOD_OVERRIDE=FQ","FILING_STATUS=MR","Sort=A","Dates=H","DateFormat=P","Fill=—","Direction=H","UseDPDF=Y")</f>
        <v>—</v>
      </c>
      <c r="Z34" s="14" t="str">
        <f>_xll.BDH("NBIX US Equity","PCT_OF_NON_EXEC_DIR_ON_BRD","FY 2023","FY 2023","Currency=USD","Period=FQ","BEST_FPERIOD_OVERRIDE=FQ","FILING_STATUS=MR","Sort=A","Dates=H","DateFormat=P","Fill=—","Direction=H","UseDPDF=Y")</f>
        <v>—</v>
      </c>
      <c r="AA34" s="14" t="str">
        <f>_xll.BDH("NBIX US Equity","PCT_OF_NON_EXEC_DIR_ON_BRD","FY 2024","FY 2024","Currency=USD","Period=FQ","BEST_FPERIOD_OVERRIDE=FQ","FILING_STATUS=MR","Sort=A","Dates=H","DateFormat=P","Fill=—","Direction=H","UseDPDF=Y")</f>
        <v>—</v>
      </c>
    </row>
    <row r="35" spans="1:27" x14ac:dyDescent="0.25">
      <c r="A35" s="10" t="s">
        <v>1634</v>
      </c>
      <c r="B35" s="10" t="s">
        <v>1635</v>
      </c>
      <c r="C35" s="14" t="str">
        <f>_xll.BDH("NBIX US Equity","PCT_INDEPENDENT_DIRECTORS","FY 2000","FY 2000","Currency=USD","Period=FQ","BEST_FPERIOD_OVERRIDE=FQ","FILING_STATUS=MR","Sort=A","Dates=H","DateFormat=P","Fill=—","Direction=H","UseDPDF=Y")</f>
        <v>—</v>
      </c>
      <c r="D35" s="14" t="str">
        <f>_xll.BDH("NBIX US Equity","PCT_INDEPENDENT_DIRECTORS","FY 2001","FY 2001","Currency=USD","Period=FQ","BEST_FPERIOD_OVERRIDE=FQ","FILING_STATUS=MR","Sort=A","Dates=H","DateFormat=P","Fill=—","Direction=H","UseDPDF=Y")</f>
        <v>—</v>
      </c>
      <c r="E35" s="14" t="str">
        <f>_xll.BDH("NBIX US Equity","PCT_INDEPENDENT_DIRECTORS","FY 2002","FY 2002","Currency=USD","Period=FQ","BEST_FPERIOD_OVERRIDE=FQ","FILING_STATUS=MR","Sort=A","Dates=H","DateFormat=P","Fill=—","Direction=H","UseDPDF=Y")</f>
        <v>—</v>
      </c>
      <c r="F35" s="14" t="str">
        <f>_xll.BDH("NBIX US Equity","PCT_INDEPENDENT_DIRECTORS","FY 2003","FY 2003","Currency=USD","Period=FQ","BEST_FPERIOD_OVERRIDE=FQ","FILING_STATUS=MR","Sort=A","Dates=H","DateFormat=P","Fill=—","Direction=H","UseDPDF=Y")</f>
        <v>—</v>
      </c>
      <c r="G35" s="14" t="str">
        <f>_xll.BDH("NBIX US Equity","PCT_INDEPENDENT_DIRECTORS","FY 2004","FY 2004","Currency=USD","Period=FQ","BEST_FPERIOD_OVERRIDE=FQ","FILING_STATUS=MR","Sort=A","Dates=H","DateFormat=P","Fill=—","Direction=H","UseDPDF=Y")</f>
        <v>—</v>
      </c>
      <c r="H35" s="14" t="str">
        <f>_xll.BDH("NBIX US Equity","PCT_INDEPENDENT_DIRECTORS","FY 2005","FY 2005","Currency=USD","Period=FQ","BEST_FPERIOD_OVERRIDE=FQ","FILING_STATUS=MR","Sort=A","Dates=H","DateFormat=P","Fill=—","Direction=H","UseDPDF=Y")</f>
        <v>—</v>
      </c>
      <c r="I35" s="14" t="str">
        <f>_xll.BDH("NBIX US Equity","PCT_INDEPENDENT_DIRECTORS","FY 2006","FY 2006","Currency=USD","Period=FQ","BEST_FPERIOD_OVERRIDE=FQ","FILING_STATUS=MR","Sort=A","Dates=H","DateFormat=P","Fill=—","Direction=H","UseDPDF=Y")</f>
        <v>—</v>
      </c>
      <c r="J35" s="14" t="str">
        <f>_xll.BDH("NBIX US Equity","PCT_INDEPENDENT_DIRECTORS","FY 2007","FY 2007","Currency=USD","Period=FQ","BEST_FPERIOD_OVERRIDE=FQ","FILING_STATUS=MR","Sort=A","Dates=H","DateFormat=P","Fill=—","Direction=H","UseDPDF=Y")</f>
        <v>—</v>
      </c>
      <c r="K35" s="14" t="str">
        <f>_xll.BDH("NBIX US Equity","PCT_INDEPENDENT_DIRECTORS","FY 2008","FY 2008","Currency=USD","Period=FQ","BEST_FPERIOD_OVERRIDE=FQ","FILING_STATUS=MR","Sort=A","Dates=H","DateFormat=P","Fill=—","Direction=H","UseDPDF=Y")</f>
        <v>—</v>
      </c>
      <c r="L35" s="14" t="str">
        <f>_xll.BDH("NBIX US Equity","PCT_INDEPENDENT_DIRECTORS","FY 2009","FY 2009","Currency=USD","Period=FQ","BEST_FPERIOD_OVERRIDE=FQ","FILING_STATUS=MR","Sort=A","Dates=H","DateFormat=P","Fill=—","Direction=H","UseDPDF=Y")</f>
        <v>—</v>
      </c>
      <c r="M35" s="14" t="str">
        <f>_xll.BDH("NBIX US Equity","PCT_INDEPENDENT_DIRECTORS","FY 2010","FY 2010","Currency=USD","Period=FQ","BEST_FPERIOD_OVERRIDE=FQ","FILING_STATUS=MR","Sort=A","Dates=H","DateFormat=P","Fill=—","Direction=H","UseDPDF=Y")</f>
        <v>—</v>
      </c>
      <c r="N35" s="14" t="str">
        <f>_xll.BDH("NBIX US Equity","PCT_INDEPENDENT_DIRECTORS","FY 2011","FY 2011","Currency=USD","Period=FQ","BEST_FPERIOD_OVERRIDE=FQ","FILING_STATUS=MR","Sort=A","Dates=H","DateFormat=P","Fill=—","Direction=H","UseDPDF=Y")</f>
        <v>—</v>
      </c>
      <c r="O35" s="14" t="str">
        <f>_xll.BDH("NBIX US Equity","PCT_INDEPENDENT_DIRECTORS","FY 2012","FY 2012","Currency=USD","Period=FQ","BEST_FPERIOD_OVERRIDE=FQ","FILING_STATUS=MR","Sort=A","Dates=H","DateFormat=P","Fill=—","Direction=H","UseDPDF=Y")</f>
        <v>—</v>
      </c>
      <c r="P35" s="14" t="str">
        <f>_xll.BDH("NBIX US Equity","PCT_INDEPENDENT_DIRECTORS","FY 2013","FY 2013","Currency=USD","Period=FQ","BEST_FPERIOD_OVERRIDE=FQ","FILING_STATUS=MR","Sort=A","Dates=H","DateFormat=P","Fill=—","Direction=H","UseDPDF=Y")</f>
        <v>—</v>
      </c>
      <c r="Q35" s="14" t="str">
        <f>_xll.BDH("NBIX US Equity","PCT_INDEPENDENT_DIRECTORS","FY 2014","FY 2014","Currency=USD","Period=FQ","BEST_FPERIOD_OVERRIDE=FQ","FILING_STATUS=MR","Sort=A","Dates=H","DateFormat=P","Fill=—","Direction=H","UseDPDF=Y")</f>
        <v>—</v>
      </c>
      <c r="R35" s="14" t="str">
        <f>_xll.BDH("NBIX US Equity","PCT_INDEPENDENT_DIRECTORS","FY 2015","FY 2015","Currency=USD","Period=FQ","BEST_FPERIOD_OVERRIDE=FQ","FILING_STATUS=MR","Sort=A","Dates=H","DateFormat=P","Fill=—","Direction=H","UseDPDF=Y")</f>
        <v>—</v>
      </c>
      <c r="S35" s="14" t="str">
        <f>_xll.BDH("NBIX US Equity","PCT_INDEPENDENT_DIRECTORS","FY 2016","FY 2016","Currency=USD","Period=FQ","BEST_FPERIOD_OVERRIDE=FQ","FILING_STATUS=MR","Sort=A","Dates=H","DateFormat=P","Fill=—","Direction=H","UseDPDF=Y")</f>
        <v>—</v>
      </c>
      <c r="T35" s="14" t="str">
        <f>_xll.BDH("NBIX US Equity","PCT_INDEPENDENT_DIRECTORS","FY 2017","FY 2017","Currency=USD","Period=FQ","BEST_FPERIOD_OVERRIDE=FQ","FILING_STATUS=MR","Sort=A","Dates=H","DateFormat=P","Fill=—","Direction=H","UseDPDF=Y")</f>
        <v>—</v>
      </c>
      <c r="U35" s="14" t="str">
        <f>_xll.BDH("NBIX US Equity","PCT_INDEPENDENT_DIRECTORS","FY 2018","FY 2018","Currency=USD","Period=FQ","BEST_FPERIOD_OVERRIDE=FQ","FILING_STATUS=MR","Sort=A","Dates=H","DateFormat=P","Fill=—","Direction=H","UseDPDF=Y")</f>
        <v>—</v>
      </c>
      <c r="V35" s="14" t="str">
        <f>_xll.BDH("NBIX US Equity","PCT_INDEPENDENT_DIRECTORS","FY 2019","FY 2019","Currency=USD","Period=FQ","BEST_FPERIOD_OVERRIDE=FQ","FILING_STATUS=MR","Sort=A","Dates=H","DateFormat=P","Fill=—","Direction=H","UseDPDF=Y")</f>
        <v>—</v>
      </c>
      <c r="W35" s="14" t="str">
        <f>_xll.BDH("NBIX US Equity","PCT_INDEPENDENT_DIRECTORS","FY 2020","FY 2020","Currency=USD","Period=FQ","BEST_FPERIOD_OVERRIDE=FQ","FILING_STATUS=MR","Sort=A","Dates=H","DateFormat=P","Fill=—","Direction=H","UseDPDF=Y")</f>
        <v>—</v>
      </c>
      <c r="X35" s="14" t="str">
        <f>_xll.BDH("NBIX US Equity","PCT_INDEPENDENT_DIRECTORS","FY 2021","FY 2021","Currency=USD","Period=FQ","BEST_FPERIOD_OVERRIDE=FQ","FILING_STATUS=MR","Sort=A","Dates=H","DateFormat=P","Fill=—","Direction=H","UseDPDF=Y")</f>
        <v>—</v>
      </c>
      <c r="Y35" s="14" t="str">
        <f>_xll.BDH("NBIX US Equity","PCT_INDEPENDENT_DIRECTORS","FY 2022","FY 2022","Currency=USD","Period=FQ","BEST_FPERIOD_OVERRIDE=FQ","FILING_STATUS=MR","Sort=A","Dates=H","DateFormat=P","Fill=—","Direction=H","UseDPDF=Y")</f>
        <v>—</v>
      </c>
      <c r="Z35" s="14" t="str">
        <f>_xll.BDH("NBIX US Equity","PCT_INDEPENDENT_DIRECTORS","FY 2023","FY 2023","Currency=USD","Period=FQ","BEST_FPERIOD_OVERRIDE=FQ","FILING_STATUS=MR","Sort=A","Dates=H","DateFormat=P","Fill=—","Direction=H","UseDPDF=Y")</f>
        <v>—</v>
      </c>
      <c r="AA35" s="14" t="str">
        <f>_xll.BDH("NBIX US Equity","PCT_INDEPENDENT_DIRECTORS","FY 2024","FY 2024","Currency=USD","Period=FQ","BEST_FPERIOD_OVERRIDE=FQ","FILING_STATUS=MR","Sort=A","Dates=H","DateFormat=P","Fill=—","Direction=H","UseDPDF=Y")</f>
        <v>—</v>
      </c>
    </row>
    <row r="36" spans="1:27" x14ac:dyDescent="0.25">
      <c r="A36" s="10" t="s">
        <v>1636</v>
      </c>
      <c r="B36" s="10" t="s">
        <v>1637</v>
      </c>
      <c r="C36" s="14" t="str">
        <f>_xll.BDH("NBIX US Equity","PCT_WOMEN_ON_BOARD","FY 2000","FY 2000","Currency=USD","Period=FQ","BEST_FPERIOD_OVERRIDE=FQ","FILING_STATUS=MR","Sort=A","Dates=H","DateFormat=P","Fill=—","Direction=H","UseDPDF=Y")</f>
        <v>—</v>
      </c>
      <c r="D36" s="14" t="str">
        <f>_xll.BDH("NBIX US Equity","PCT_WOMEN_ON_BOARD","FY 2001","FY 2001","Currency=USD","Period=FQ","BEST_FPERIOD_OVERRIDE=FQ","FILING_STATUS=MR","Sort=A","Dates=H","DateFormat=P","Fill=—","Direction=H","UseDPDF=Y")</f>
        <v>—</v>
      </c>
      <c r="E36" s="14" t="str">
        <f>_xll.BDH("NBIX US Equity","PCT_WOMEN_ON_BOARD","FY 2002","FY 2002","Currency=USD","Period=FQ","BEST_FPERIOD_OVERRIDE=FQ","FILING_STATUS=MR","Sort=A","Dates=H","DateFormat=P","Fill=—","Direction=H","UseDPDF=Y")</f>
        <v>—</v>
      </c>
      <c r="F36" s="14" t="str">
        <f>_xll.BDH("NBIX US Equity","PCT_WOMEN_ON_BOARD","FY 2003","FY 2003","Currency=USD","Period=FQ","BEST_FPERIOD_OVERRIDE=FQ","FILING_STATUS=MR","Sort=A","Dates=H","DateFormat=P","Fill=—","Direction=H","UseDPDF=Y")</f>
        <v>—</v>
      </c>
      <c r="G36" s="14" t="str">
        <f>_xll.BDH("NBIX US Equity","PCT_WOMEN_ON_BOARD","FY 2004","FY 2004","Currency=USD","Period=FQ","BEST_FPERIOD_OVERRIDE=FQ","FILING_STATUS=MR","Sort=A","Dates=H","DateFormat=P","Fill=—","Direction=H","UseDPDF=Y")</f>
        <v>—</v>
      </c>
      <c r="H36" s="14" t="str">
        <f>_xll.BDH("NBIX US Equity","PCT_WOMEN_ON_BOARD","FY 2005","FY 2005","Currency=USD","Period=FQ","BEST_FPERIOD_OVERRIDE=FQ","FILING_STATUS=MR","Sort=A","Dates=H","DateFormat=P","Fill=—","Direction=H","UseDPDF=Y")</f>
        <v>—</v>
      </c>
      <c r="I36" s="14" t="str">
        <f>_xll.BDH("NBIX US Equity","PCT_WOMEN_ON_BOARD","FY 2006","FY 2006","Currency=USD","Period=FQ","BEST_FPERIOD_OVERRIDE=FQ","FILING_STATUS=MR","Sort=A","Dates=H","DateFormat=P","Fill=—","Direction=H","UseDPDF=Y")</f>
        <v>—</v>
      </c>
      <c r="J36" s="14" t="str">
        <f>_xll.BDH("NBIX US Equity","PCT_WOMEN_ON_BOARD","FY 2007","FY 2007","Currency=USD","Period=FQ","BEST_FPERIOD_OVERRIDE=FQ","FILING_STATUS=MR","Sort=A","Dates=H","DateFormat=P","Fill=—","Direction=H","UseDPDF=Y")</f>
        <v>—</v>
      </c>
      <c r="K36" s="14" t="str">
        <f>_xll.BDH("NBIX US Equity","PCT_WOMEN_ON_BOARD","FY 2008","FY 2008","Currency=USD","Period=FQ","BEST_FPERIOD_OVERRIDE=FQ","FILING_STATUS=MR","Sort=A","Dates=H","DateFormat=P","Fill=—","Direction=H","UseDPDF=Y")</f>
        <v>—</v>
      </c>
      <c r="L36" s="14" t="str">
        <f>_xll.BDH("NBIX US Equity","PCT_WOMEN_ON_BOARD","FY 2009","FY 2009","Currency=USD","Period=FQ","BEST_FPERIOD_OVERRIDE=FQ","FILING_STATUS=MR","Sort=A","Dates=H","DateFormat=P","Fill=—","Direction=H","UseDPDF=Y")</f>
        <v>—</v>
      </c>
      <c r="M36" s="14" t="str">
        <f>_xll.BDH("NBIX US Equity","PCT_WOMEN_ON_BOARD","FY 2010","FY 2010","Currency=USD","Period=FQ","BEST_FPERIOD_OVERRIDE=FQ","FILING_STATUS=MR","Sort=A","Dates=H","DateFormat=P","Fill=—","Direction=H","UseDPDF=Y")</f>
        <v>—</v>
      </c>
      <c r="N36" s="14" t="str">
        <f>_xll.BDH("NBIX US Equity","PCT_WOMEN_ON_BOARD","FY 2011","FY 2011","Currency=USD","Period=FQ","BEST_FPERIOD_OVERRIDE=FQ","FILING_STATUS=MR","Sort=A","Dates=H","DateFormat=P","Fill=—","Direction=H","UseDPDF=Y")</f>
        <v>—</v>
      </c>
      <c r="O36" s="14" t="str">
        <f>_xll.BDH("NBIX US Equity","PCT_WOMEN_ON_BOARD","FY 2012","FY 2012","Currency=USD","Period=FQ","BEST_FPERIOD_OVERRIDE=FQ","FILING_STATUS=MR","Sort=A","Dates=H","DateFormat=P","Fill=—","Direction=H","UseDPDF=Y")</f>
        <v>—</v>
      </c>
      <c r="P36" s="14" t="str">
        <f>_xll.BDH("NBIX US Equity","PCT_WOMEN_ON_BOARD","FY 2013","FY 2013","Currency=USD","Period=FQ","BEST_FPERIOD_OVERRIDE=FQ","FILING_STATUS=MR","Sort=A","Dates=H","DateFormat=P","Fill=—","Direction=H","UseDPDF=Y")</f>
        <v>—</v>
      </c>
      <c r="Q36" s="14" t="str">
        <f>_xll.BDH("NBIX US Equity","PCT_WOMEN_ON_BOARD","FY 2014","FY 2014","Currency=USD","Period=FQ","BEST_FPERIOD_OVERRIDE=FQ","FILING_STATUS=MR","Sort=A","Dates=H","DateFormat=P","Fill=—","Direction=H","UseDPDF=Y")</f>
        <v>—</v>
      </c>
      <c r="R36" s="14" t="str">
        <f>_xll.BDH("NBIX US Equity","PCT_WOMEN_ON_BOARD","FY 2015","FY 2015","Currency=USD","Period=FQ","BEST_FPERIOD_OVERRIDE=FQ","FILING_STATUS=MR","Sort=A","Dates=H","DateFormat=P","Fill=—","Direction=H","UseDPDF=Y")</f>
        <v>—</v>
      </c>
      <c r="S36" s="14" t="str">
        <f>_xll.BDH("NBIX US Equity","PCT_WOMEN_ON_BOARD","FY 2016","FY 2016","Currency=USD","Period=FQ","BEST_FPERIOD_OVERRIDE=FQ","FILING_STATUS=MR","Sort=A","Dates=H","DateFormat=P","Fill=—","Direction=H","UseDPDF=Y")</f>
        <v>—</v>
      </c>
      <c r="T36" s="14" t="str">
        <f>_xll.BDH("NBIX US Equity","PCT_WOMEN_ON_BOARD","FY 2017","FY 2017","Currency=USD","Period=FQ","BEST_FPERIOD_OVERRIDE=FQ","FILING_STATUS=MR","Sort=A","Dates=H","DateFormat=P","Fill=—","Direction=H","UseDPDF=Y")</f>
        <v>—</v>
      </c>
      <c r="U36" s="14" t="str">
        <f>_xll.BDH("NBIX US Equity","PCT_WOMEN_ON_BOARD","FY 2018","FY 2018","Currency=USD","Period=FQ","BEST_FPERIOD_OVERRIDE=FQ","FILING_STATUS=MR","Sort=A","Dates=H","DateFormat=P","Fill=—","Direction=H","UseDPDF=Y")</f>
        <v>—</v>
      </c>
      <c r="V36" s="14" t="str">
        <f>_xll.BDH("NBIX US Equity","PCT_WOMEN_ON_BOARD","FY 2019","FY 2019","Currency=USD","Period=FQ","BEST_FPERIOD_OVERRIDE=FQ","FILING_STATUS=MR","Sort=A","Dates=H","DateFormat=P","Fill=—","Direction=H","UseDPDF=Y")</f>
        <v>—</v>
      </c>
      <c r="W36" s="14" t="str">
        <f>_xll.BDH("NBIX US Equity","PCT_WOMEN_ON_BOARD","FY 2020","FY 2020","Currency=USD","Period=FQ","BEST_FPERIOD_OVERRIDE=FQ","FILING_STATUS=MR","Sort=A","Dates=H","DateFormat=P","Fill=—","Direction=H","UseDPDF=Y")</f>
        <v>—</v>
      </c>
      <c r="X36" s="14" t="str">
        <f>_xll.BDH("NBIX US Equity","PCT_WOMEN_ON_BOARD","FY 2021","FY 2021","Currency=USD","Period=FQ","BEST_FPERIOD_OVERRIDE=FQ","FILING_STATUS=MR","Sort=A","Dates=H","DateFormat=P","Fill=—","Direction=H","UseDPDF=Y")</f>
        <v>—</v>
      </c>
      <c r="Y36" s="14" t="str">
        <f>_xll.BDH("NBIX US Equity","PCT_WOMEN_ON_BOARD","FY 2022","FY 2022","Currency=USD","Period=FQ","BEST_FPERIOD_OVERRIDE=FQ","FILING_STATUS=MR","Sort=A","Dates=H","DateFormat=P","Fill=—","Direction=H","UseDPDF=Y")</f>
        <v>—</v>
      </c>
      <c r="Z36" s="14" t="str">
        <f>_xll.BDH("NBIX US Equity","PCT_WOMEN_ON_BOARD","FY 2023","FY 2023","Currency=USD","Period=FQ","BEST_FPERIOD_OVERRIDE=FQ","FILING_STATUS=MR","Sort=A","Dates=H","DateFormat=P","Fill=—","Direction=H","UseDPDF=Y")</f>
        <v>—</v>
      </c>
      <c r="AA36" s="14" t="str">
        <f>_xll.BDH("NBIX US Equity","PCT_WOMEN_ON_BOARD","FY 2024","FY 2024","Currency=USD","Period=FQ","BEST_FPERIOD_OVERRIDE=FQ","FILING_STATUS=MR","Sort=A","Dates=H","DateFormat=P","Fill=—","Direction=H","UseDPDF=Y")</f>
        <v>—</v>
      </c>
    </row>
    <row r="37" spans="1:27" x14ac:dyDescent="0.25">
      <c r="A37" s="10" t="s">
        <v>1638</v>
      </c>
      <c r="B37" s="10" t="s">
        <v>1639</v>
      </c>
      <c r="C37" s="14" t="str">
        <f>_xll.BDH("NBIX US Equity","PERCENTAGE_OF_FEMALE_EXECUTIVES","FY 2000","FY 2000","Currency=USD","Period=FQ","BEST_FPERIOD_OVERRIDE=FQ","FILING_STATUS=MR","Sort=A","Dates=H","DateFormat=P","Fill=—","Direction=H","UseDPDF=Y")</f>
        <v>—</v>
      </c>
      <c r="D37" s="14" t="str">
        <f>_xll.BDH("NBIX US Equity","PERCENTAGE_OF_FEMALE_EXECUTIVES","FY 2001","FY 2001","Currency=USD","Period=FQ","BEST_FPERIOD_OVERRIDE=FQ","FILING_STATUS=MR","Sort=A","Dates=H","DateFormat=P","Fill=—","Direction=H","UseDPDF=Y")</f>
        <v>—</v>
      </c>
      <c r="E37" s="14" t="str">
        <f>_xll.BDH("NBIX US Equity","PERCENTAGE_OF_FEMALE_EXECUTIVES","FY 2002","FY 2002","Currency=USD","Period=FQ","BEST_FPERIOD_OVERRIDE=FQ","FILING_STATUS=MR","Sort=A","Dates=H","DateFormat=P","Fill=—","Direction=H","UseDPDF=Y")</f>
        <v>—</v>
      </c>
      <c r="F37" s="14" t="str">
        <f>_xll.BDH("NBIX US Equity","PERCENTAGE_OF_FEMALE_EXECUTIVES","FY 2003","FY 2003","Currency=USD","Period=FQ","BEST_FPERIOD_OVERRIDE=FQ","FILING_STATUS=MR","Sort=A","Dates=H","DateFormat=P","Fill=—","Direction=H","UseDPDF=Y")</f>
        <v>—</v>
      </c>
      <c r="G37" s="14" t="str">
        <f>_xll.BDH("NBIX US Equity","PERCENTAGE_OF_FEMALE_EXECUTIVES","FY 2004","FY 2004","Currency=USD","Period=FQ","BEST_FPERIOD_OVERRIDE=FQ","FILING_STATUS=MR","Sort=A","Dates=H","DateFormat=P","Fill=—","Direction=H","UseDPDF=Y")</f>
        <v>—</v>
      </c>
      <c r="H37" s="14" t="str">
        <f>_xll.BDH("NBIX US Equity","PERCENTAGE_OF_FEMALE_EXECUTIVES","FY 2005","FY 2005","Currency=USD","Period=FQ","BEST_FPERIOD_OVERRIDE=FQ","FILING_STATUS=MR","Sort=A","Dates=H","DateFormat=P","Fill=—","Direction=H","UseDPDF=Y")</f>
        <v>—</v>
      </c>
      <c r="I37" s="14" t="str">
        <f>_xll.BDH("NBIX US Equity","PERCENTAGE_OF_FEMALE_EXECUTIVES","FY 2006","FY 2006","Currency=USD","Period=FQ","BEST_FPERIOD_OVERRIDE=FQ","FILING_STATUS=MR","Sort=A","Dates=H","DateFormat=P","Fill=—","Direction=H","UseDPDF=Y")</f>
        <v>—</v>
      </c>
      <c r="J37" s="14" t="str">
        <f>_xll.BDH("NBIX US Equity","PERCENTAGE_OF_FEMALE_EXECUTIVES","FY 2007","FY 2007","Currency=USD","Period=FQ","BEST_FPERIOD_OVERRIDE=FQ","FILING_STATUS=MR","Sort=A","Dates=H","DateFormat=P","Fill=—","Direction=H","UseDPDF=Y")</f>
        <v>—</v>
      </c>
      <c r="K37" s="14" t="str">
        <f>_xll.BDH("NBIX US Equity","PERCENTAGE_OF_FEMALE_EXECUTIVES","FY 2008","FY 2008","Currency=USD","Period=FQ","BEST_FPERIOD_OVERRIDE=FQ","FILING_STATUS=MR","Sort=A","Dates=H","DateFormat=P","Fill=—","Direction=H","UseDPDF=Y")</f>
        <v>—</v>
      </c>
      <c r="L37" s="14" t="str">
        <f>_xll.BDH("NBIX US Equity","PERCENTAGE_OF_FEMALE_EXECUTIVES","FY 2009","FY 2009","Currency=USD","Period=FQ","BEST_FPERIOD_OVERRIDE=FQ","FILING_STATUS=MR","Sort=A","Dates=H","DateFormat=P","Fill=—","Direction=H","UseDPDF=Y")</f>
        <v>—</v>
      </c>
      <c r="M37" s="14" t="str">
        <f>_xll.BDH("NBIX US Equity","PERCENTAGE_OF_FEMALE_EXECUTIVES","FY 2010","FY 2010","Currency=USD","Period=FQ","BEST_FPERIOD_OVERRIDE=FQ","FILING_STATUS=MR","Sort=A","Dates=H","DateFormat=P","Fill=—","Direction=H","UseDPDF=Y")</f>
        <v>—</v>
      </c>
      <c r="N37" s="14" t="str">
        <f>_xll.BDH("NBIX US Equity","PERCENTAGE_OF_FEMALE_EXECUTIVES","FY 2011","FY 2011","Currency=USD","Period=FQ","BEST_FPERIOD_OVERRIDE=FQ","FILING_STATUS=MR","Sort=A","Dates=H","DateFormat=P","Fill=—","Direction=H","UseDPDF=Y")</f>
        <v>—</v>
      </c>
      <c r="O37" s="14" t="str">
        <f>_xll.BDH("NBIX US Equity","PERCENTAGE_OF_FEMALE_EXECUTIVES","FY 2012","FY 2012","Currency=USD","Period=FQ","BEST_FPERIOD_OVERRIDE=FQ","FILING_STATUS=MR","Sort=A","Dates=H","DateFormat=P","Fill=—","Direction=H","UseDPDF=Y")</f>
        <v>—</v>
      </c>
      <c r="P37" s="14" t="str">
        <f>_xll.BDH("NBIX US Equity","PERCENTAGE_OF_FEMALE_EXECUTIVES","FY 2013","FY 2013","Currency=USD","Period=FQ","BEST_FPERIOD_OVERRIDE=FQ","FILING_STATUS=MR","Sort=A","Dates=H","DateFormat=P","Fill=—","Direction=H","UseDPDF=Y")</f>
        <v>—</v>
      </c>
      <c r="Q37" s="14" t="str">
        <f>_xll.BDH("NBIX US Equity","PERCENTAGE_OF_FEMALE_EXECUTIVES","FY 2014","FY 2014","Currency=USD","Period=FQ","BEST_FPERIOD_OVERRIDE=FQ","FILING_STATUS=MR","Sort=A","Dates=H","DateFormat=P","Fill=—","Direction=H","UseDPDF=Y")</f>
        <v>—</v>
      </c>
      <c r="R37" s="14" t="str">
        <f>_xll.BDH("NBIX US Equity","PERCENTAGE_OF_FEMALE_EXECUTIVES","FY 2015","FY 2015","Currency=USD","Period=FQ","BEST_FPERIOD_OVERRIDE=FQ","FILING_STATUS=MR","Sort=A","Dates=H","DateFormat=P","Fill=—","Direction=H","UseDPDF=Y")</f>
        <v>—</v>
      </c>
      <c r="S37" s="14" t="str">
        <f>_xll.BDH("NBIX US Equity","PERCENTAGE_OF_FEMALE_EXECUTIVES","FY 2016","FY 2016","Currency=USD","Period=FQ","BEST_FPERIOD_OVERRIDE=FQ","FILING_STATUS=MR","Sort=A","Dates=H","DateFormat=P","Fill=—","Direction=H","UseDPDF=Y")</f>
        <v>—</v>
      </c>
      <c r="T37" s="14" t="str">
        <f>_xll.BDH("NBIX US Equity","PERCENTAGE_OF_FEMALE_EXECUTIVES","FY 2017","FY 2017","Currency=USD","Period=FQ","BEST_FPERIOD_OVERRIDE=FQ","FILING_STATUS=MR","Sort=A","Dates=H","DateFormat=P","Fill=—","Direction=H","UseDPDF=Y")</f>
        <v>—</v>
      </c>
      <c r="U37" s="14" t="str">
        <f>_xll.BDH("NBIX US Equity","PERCENTAGE_OF_FEMALE_EXECUTIVES","FY 2018","FY 2018","Currency=USD","Period=FQ","BEST_FPERIOD_OVERRIDE=FQ","FILING_STATUS=MR","Sort=A","Dates=H","DateFormat=P","Fill=—","Direction=H","UseDPDF=Y")</f>
        <v>—</v>
      </c>
      <c r="V37" s="14" t="str">
        <f>_xll.BDH("NBIX US Equity","PERCENTAGE_OF_FEMALE_EXECUTIVES","FY 2019","FY 2019","Currency=USD","Period=FQ","BEST_FPERIOD_OVERRIDE=FQ","FILING_STATUS=MR","Sort=A","Dates=H","DateFormat=P","Fill=—","Direction=H","UseDPDF=Y")</f>
        <v>—</v>
      </c>
      <c r="W37" s="14" t="str">
        <f>_xll.BDH("NBIX US Equity","PERCENTAGE_OF_FEMALE_EXECUTIVES","FY 2020","FY 2020","Currency=USD","Period=FQ","BEST_FPERIOD_OVERRIDE=FQ","FILING_STATUS=MR","Sort=A","Dates=H","DateFormat=P","Fill=—","Direction=H","UseDPDF=Y")</f>
        <v>—</v>
      </c>
      <c r="X37" s="14" t="str">
        <f>_xll.BDH("NBIX US Equity","PERCENTAGE_OF_FEMALE_EXECUTIVES","FY 2021","FY 2021","Currency=USD","Period=FQ","BEST_FPERIOD_OVERRIDE=FQ","FILING_STATUS=MR","Sort=A","Dates=H","DateFormat=P","Fill=—","Direction=H","UseDPDF=Y")</f>
        <v>—</v>
      </c>
      <c r="Y37" s="14" t="str">
        <f>_xll.BDH("NBIX US Equity","PERCENTAGE_OF_FEMALE_EXECUTIVES","FY 2022","FY 2022","Currency=USD","Period=FQ","BEST_FPERIOD_OVERRIDE=FQ","FILING_STATUS=MR","Sort=A","Dates=H","DateFormat=P","Fill=—","Direction=H","UseDPDF=Y")</f>
        <v>—</v>
      </c>
      <c r="Z37" s="14" t="str">
        <f>_xll.BDH("NBIX US Equity","PERCENTAGE_OF_FEMALE_EXECUTIVES","FY 2023","FY 2023","Currency=USD","Period=FQ","BEST_FPERIOD_OVERRIDE=FQ","FILING_STATUS=MR","Sort=A","Dates=H","DateFormat=P","Fill=—","Direction=H","UseDPDF=Y")</f>
        <v>—</v>
      </c>
      <c r="AA37" s="14" t="str">
        <f>_xll.BDH("NBIX US Equity","PERCENTAGE_OF_FEMALE_EXECUTIVES","FY 2024","FY 2024","Currency=USD","Period=FQ","BEST_FPERIOD_OVERRIDE=FQ","FILING_STATUS=MR","Sort=A","Dates=H","DateFormat=P","Fill=—","Direction=H","UseDPDF=Y")</f>
        <v>—</v>
      </c>
    </row>
    <row r="38" spans="1:27" x14ac:dyDescent="0.25">
      <c r="A38" s="10" t="s">
        <v>1640</v>
      </c>
      <c r="B38" s="10" t="s">
        <v>1641</v>
      </c>
      <c r="C38" s="14" t="str">
        <f>_xll.BDH("NBIX US Equity","BOARD_OF_DIRECTORS_AGE_RANGE","FY 2000","FY 2000","Currency=USD","Period=FQ","BEST_FPERIOD_OVERRIDE=FQ","FILING_STATUS=MR","Sort=A","Dates=H","DateFormat=P","Fill=—","Direction=H","UseDPDF=Y")</f>
        <v>—</v>
      </c>
      <c r="D38" s="14" t="str">
        <f>_xll.BDH("NBIX US Equity","BOARD_OF_DIRECTORS_AGE_RANGE","FY 2001","FY 2001","Currency=USD","Period=FQ","BEST_FPERIOD_OVERRIDE=FQ","FILING_STATUS=MR","Sort=A","Dates=H","DateFormat=P","Fill=—","Direction=H","UseDPDF=Y")</f>
        <v>—</v>
      </c>
      <c r="E38" s="14" t="str">
        <f>_xll.BDH("NBIX US Equity","BOARD_OF_DIRECTORS_AGE_RANGE","FY 2002","FY 2002","Currency=USD","Period=FQ","BEST_FPERIOD_OVERRIDE=FQ","FILING_STATUS=MR","Sort=A","Dates=H","DateFormat=P","Fill=—","Direction=H","UseDPDF=Y")</f>
        <v>—</v>
      </c>
      <c r="F38" s="14" t="str">
        <f>_xll.BDH("NBIX US Equity","BOARD_OF_DIRECTORS_AGE_RANGE","FY 2003","FY 2003","Currency=USD","Period=FQ","BEST_FPERIOD_OVERRIDE=FQ","FILING_STATUS=MR","Sort=A","Dates=H","DateFormat=P","Fill=—","Direction=H","UseDPDF=Y")</f>
        <v>—</v>
      </c>
      <c r="G38" s="14" t="str">
        <f>_xll.BDH("NBIX US Equity","BOARD_OF_DIRECTORS_AGE_RANGE","FY 2004","FY 2004","Currency=USD","Period=FQ","BEST_FPERIOD_OVERRIDE=FQ","FILING_STATUS=MR","Sort=A","Dates=H","DateFormat=P","Fill=—","Direction=H","UseDPDF=Y")</f>
        <v>—</v>
      </c>
      <c r="H38" s="14" t="str">
        <f>_xll.BDH("NBIX US Equity","BOARD_OF_DIRECTORS_AGE_RANGE","FY 2005","FY 2005","Currency=USD","Period=FQ","BEST_FPERIOD_OVERRIDE=FQ","FILING_STATUS=MR","Sort=A","Dates=H","DateFormat=P","Fill=—","Direction=H","UseDPDF=Y")</f>
        <v>—</v>
      </c>
      <c r="I38" s="14" t="str">
        <f>_xll.BDH("NBIX US Equity","BOARD_OF_DIRECTORS_AGE_RANGE","FY 2006","FY 2006","Currency=USD","Period=FQ","BEST_FPERIOD_OVERRIDE=FQ","FILING_STATUS=MR","Sort=A","Dates=H","DateFormat=P","Fill=—","Direction=H","UseDPDF=Y")</f>
        <v>—</v>
      </c>
      <c r="J38" s="14" t="str">
        <f>_xll.BDH("NBIX US Equity","BOARD_OF_DIRECTORS_AGE_RANGE","FY 2007","FY 2007","Currency=USD","Period=FQ","BEST_FPERIOD_OVERRIDE=FQ","FILING_STATUS=MR","Sort=A","Dates=H","DateFormat=P","Fill=—","Direction=H","UseDPDF=Y")</f>
        <v>—</v>
      </c>
      <c r="K38" s="14" t="str">
        <f>_xll.BDH("NBIX US Equity","BOARD_OF_DIRECTORS_AGE_RANGE","FY 2008","FY 2008","Currency=USD","Period=FQ","BEST_FPERIOD_OVERRIDE=FQ","FILING_STATUS=MR","Sort=A","Dates=H","DateFormat=P","Fill=—","Direction=H","UseDPDF=Y")</f>
        <v>—</v>
      </c>
      <c r="L38" s="14" t="str">
        <f>_xll.BDH("NBIX US Equity","BOARD_OF_DIRECTORS_AGE_RANGE","FY 2009","FY 2009","Currency=USD","Period=FQ","BEST_FPERIOD_OVERRIDE=FQ","FILING_STATUS=MR","Sort=A","Dates=H","DateFormat=P","Fill=—","Direction=H","UseDPDF=Y")</f>
        <v>—</v>
      </c>
      <c r="M38" s="14" t="str">
        <f>_xll.BDH("NBIX US Equity","BOARD_OF_DIRECTORS_AGE_RANGE","FY 2010","FY 2010","Currency=USD","Period=FQ","BEST_FPERIOD_OVERRIDE=FQ","FILING_STATUS=MR","Sort=A","Dates=H","DateFormat=P","Fill=—","Direction=H","UseDPDF=Y")</f>
        <v>—</v>
      </c>
      <c r="N38" s="14" t="str">
        <f>_xll.BDH("NBIX US Equity","BOARD_OF_DIRECTORS_AGE_RANGE","FY 2011","FY 2011","Currency=USD","Period=FQ","BEST_FPERIOD_OVERRIDE=FQ","FILING_STATUS=MR","Sort=A","Dates=H","DateFormat=P","Fill=—","Direction=H","UseDPDF=Y")</f>
        <v>—</v>
      </c>
      <c r="O38" s="14" t="str">
        <f>_xll.BDH("NBIX US Equity","BOARD_OF_DIRECTORS_AGE_RANGE","FY 2012","FY 2012","Currency=USD","Period=FQ","BEST_FPERIOD_OVERRIDE=FQ","FILING_STATUS=MR","Sort=A","Dates=H","DateFormat=P","Fill=—","Direction=H","UseDPDF=Y")</f>
        <v>—</v>
      </c>
      <c r="P38" s="14" t="str">
        <f>_xll.BDH("NBIX US Equity","BOARD_OF_DIRECTORS_AGE_RANGE","FY 2013","FY 2013","Currency=USD","Period=FQ","BEST_FPERIOD_OVERRIDE=FQ","FILING_STATUS=MR","Sort=A","Dates=H","DateFormat=P","Fill=—","Direction=H","UseDPDF=Y")</f>
        <v>—</v>
      </c>
      <c r="Q38" s="14" t="str">
        <f>_xll.BDH("NBIX US Equity","BOARD_OF_DIRECTORS_AGE_RANGE","FY 2014","FY 2014","Currency=USD","Period=FQ","BEST_FPERIOD_OVERRIDE=FQ","FILING_STATUS=MR","Sort=A","Dates=H","DateFormat=P","Fill=—","Direction=H","UseDPDF=Y")</f>
        <v>—</v>
      </c>
      <c r="R38" s="14" t="str">
        <f>_xll.BDH("NBIX US Equity","BOARD_OF_DIRECTORS_AGE_RANGE","FY 2015","FY 2015","Currency=USD","Period=FQ","BEST_FPERIOD_OVERRIDE=FQ","FILING_STATUS=MR","Sort=A","Dates=H","DateFormat=P","Fill=—","Direction=H","UseDPDF=Y")</f>
        <v>—</v>
      </c>
      <c r="S38" s="14" t="str">
        <f>_xll.BDH("NBIX US Equity","BOARD_OF_DIRECTORS_AGE_RANGE","FY 2016","FY 2016","Currency=USD","Period=FQ","BEST_FPERIOD_OVERRIDE=FQ","FILING_STATUS=MR","Sort=A","Dates=H","DateFormat=P","Fill=—","Direction=H","UseDPDF=Y")</f>
        <v>—</v>
      </c>
      <c r="T38" s="14" t="str">
        <f>_xll.BDH("NBIX US Equity","BOARD_OF_DIRECTORS_AGE_RANGE","FY 2017","FY 2017","Currency=USD","Period=FQ","BEST_FPERIOD_OVERRIDE=FQ","FILING_STATUS=MR","Sort=A","Dates=H","DateFormat=P","Fill=—","Direction=H","UseDPDF=Y")</f>
        <v>—</v>
      </c>
      <c r="U38" s="14" t="str">
        <f>_xll.BDH("NBIX US Equity","BOARD_OF_DIRECTORS_AGE_RANGE","FY 2018","FY 2018","Currency=USD","Period=FQ","BEST_FPERIOD_OVERRIDE=FQ","FILING_STATUS=MR","Sort=A","Dates=H","DateFormat=P","Fill=—","Direction=H","UseDPDF=Y")</f>
        <v>—</v>
      </c>
      <c r="V38" s="14" t="str">
        <f>_xll.BDH("NBIX US Equity","BOARD_OF_DIRECTORS_AGE_RANGE","FY 2019","FY 2019","Currency=USD","Period=FQ","BEST_FPERIOD_OVERRIDE=FQ","FILING_STATUS=MR","Sort=A","Dates=H","DateFormat=P","Fill=—","Direction=H","UseDPDF=Y")</f>
        <v>—</v>
      </c>
      <c r="W38" s="14" t="str">
        <f>_xll.BDH("NBIX US Equity","BOARD_OF_DIRECTORS_AGE_RANGE","FY 2020","FY 2020","Currency=USD","Period=FQ","BEST_FPERIOD_OVERRIDE=FQ","FILING_STATUS=MR","Sort=A","Dates=H","DateFormat=P","Fill=—","Direction=H","UseDPDF=Y")</f>
        <v>—</v>
      </c>
      <c r="X38" s="14" t="str">
        <f>_xll.BDH("NBIX US Equity","BOARD_OF_DIRECTORS_AGE_RANGE","FY 2021","FY 2021","Currency=USD","Period=FQ","BEST_FPERIOD_OVERRIDE=FQ","FILING_STATUS=MR","Sort=A","Dates=H","DateFormat=P","Fill=—","Direction=H","UseDPDF=Y")</f>
        <v>—</v>
      </c>
      <c r="Y38" s="14" t="str">
        <f>_xll.BDH("NBIX US Equity","BOARD_OF_DIRECTORS_AGE_RANGE","FY 2022","FY 2022","Currency=USD","Period=FQ","BEST_FPERIOD_OVERRIDE=FQ","FILING_STATUS=MR","Sort=A","Dates=H","DateFormat=P","Fill=—","Direction=H","UseDPDF=Y")</f>
        <v>—</v>
      </c>
      <c r="Z38" s="14" t="str">
        <f>_xll.BDH("NBIX US Equity","BOARD_OF_DIRECTORS_AGE_RANGE","FY 2023","FY 2023","Currency=USD","Period=FQ","BEST_FPERIOD_OVERRIDE=FQ","FILING_STATUS=MR","Sort=A","Dates=H","DateFormat=P","Fill=—","Direction=H","UseDPDF=Y")</f>
        <v>—</v>
      </c>
      <c r="AA38" s="14" t="str">
        <f>_xll.BDH("NBIX US Equity","BOARD_OF_DIRECTORS_AGE_RANGE","FY 2024","FY 2024","Currency=USD","Period=FQ","BEST_FPERIOD_OVERRIDE=FQ","FILING_STATUS=MR","Sort=A","Dates=H","DateFormat=P","Fill=—","Direction=H","UseDPDF=Y")</f>
        <v>—</v>
      </c>
    </row>
    <row r="39" spans="1:27" x14ac:dyDescent="0.25">
      <c r="A39" s="10" t="s">
        <v>1642</v>
      </c>
      <c r="B39" s="10" t="s">
        <v>1643</v>
      </c>
      <c r="C39" s="14" t="str">
        <f>_xll.BDH("NBIX US Equity","BOARD_AVERAGE_AGE","FY 2000","FY 2000","Currency=USD","Period=FQ","BEST_FPERIOD_OVERRIDE=FQ","FILING_STATUS=MR","Sort=A","Dates=H","DateFormat=P","Fill=—","Direction=H","UseDPDF=Y")</f>
        <v>—</v>
      </c>
      <c r="D39" s="14" t="str">
        <f>_xll.BDH("NBIX US Equity","BOARD_AVERAGE_AGE","FY 2001","FY 2001","Currency=USD","Period=FQ","BEST_FPERIOD_OVERRIDE=FQ","FILING_STATUS=MR","Sort=A","Dates=H","DateFormat=P","Fill=—","Direction=H","UseDPDF=Y")</f>
        <v>—</v>
      </c>
      <c r="E39" s="14" t="str">
        <f>_xll.BDH("NBIX US Equity","BOARD_AVERAGE_AGE","FY 2002","FY 2002","Currency=USD","Period=FQ","BEST_FPERIOD_OVERRIDE=FQ","FILING_STATUS=MR","Sort=A","Dates=H","DateFormat=P","Fill=—","Direction=H","UseDPDF=Y")</f>
        <v>—</v>
      </c>
      <c r="F39" s="14" t="str">
        <f>_xll.BDH("NBIX US Equity","BOARD_AVERAGE_AGE","FY 2003","FY 2003","Currency=USD","Period=FQ","BEST_FPERIOD_OVERRIDE=FQ","FILING_STATUS=MR","Sort=A","Dates=H","DateFormat=P","Fill=—","Direction=H","UseDPDF=Y")</f>
        <v>—</v>
      </c>
      <c r="G39" s="14" t="str">
        <f>_xll.BDH("NBIX US Equity","BOARD_AVERAGE_AGE","FY 2004","FY 2004","Currency=USD","Period=FQ","BEST_FPERIOD_OVERRIDE=FQ","FILING_STATUS=MR","Sort=A","Dates=H","DateFormat=P","Fill=—","Direction=H","UseDPDF=Y")</f>
        <v>—</v>
      </c>
      <c r="H39" s="14" t="str">
        <f>_xll.BDH("NBIX US Equity","BOARD_AVERAGE_AGE","FY 2005","FY 2005","Currency=USD","Period=FQ","BEST_FPERIOD_OVERRIDE=FQ","FILING_STATUS=MR","Sort=A","Dates=H","DateFormat=P","Fill=—","Direction=H","UseDPDF=Y")</f>
        <v>—</v>
      </c>
      <c r="I39" s="14" t="str">
        <f>_xll.BDH("NBIX US Equity","BOARD_AVERAGE_AGE","FY 2006","FY 2006","Currency=USD","Period=FQ","BEST_FPERIOD_OVERRIDE=FQ","FILING_STATUS=MR","Sort=A","Dates=H","DateFormat=P","Fill=—","Direction=H","UseDPDF=Y")</f>
        <v>—</v>
      </c>
      <c r="J39" s="14" t="str">
        <f>_xll.BDH("NBIX US Equity","BOARD_AVERAGE_AGE","FY 2007","FY 2007","Currency=USD","Period=FQ","BEST_FPERIOD_OVERRIDE=FQ","FILING_STATUS=MR","Sort=A","Dates=H","DateFormat=P","Fill=—","Direction=H","UseDPDF=Y")</f>
        <v>—</v>
      </c>
      <c r="K39" s="14" t="str">
        <f>_xll.BDH("NBIX US Equity","BOARD_AVERAGE_AGE","FY 2008","FY 2008","Currency=USD","Period=FQ","BEST_FPERIOD_OVERRIDE=FQ","FILING_STATUS=MR","Sort=A","Dates=H","DateFormat=P","Fill=—","Direction=H","UseDPDF=Y")</f>
        <v>—</v>
      </c>
      <c r="L39" s="14" t="str">
        <f>_xll.BDH("NBIX US Equity","BOARD_AVERAGE_AGE","FY 2009","FY 2009","Currency=USD","Period=FQ","BEST_FPERIOD_OVERRIDE=FQ","FILING_STATUS=MR","Sort=A","Dates=H","DateFormat=P","Fill=—","Direction=H","UseDPDF=Y")</f>
        <v>—</v>
      </c>
      <c r="M39" s="14" t="str">
        <f>_xll.BDH("NBIX US Equity","BOARD_AVERAGE_AGE","FY 2010","FY 2010","Currency=USD","Period=FQ","BEST_FPERIOD_OVERRIDE=FQ","FILING_STATUS=MR","Sort=A","Dates=H","DateFormat=P","Fill=—","Direction=H","UseDPDF=Y")</f>
        <v>—</v>
      </c>
      <c r="N39" s="14" t="str">
        <f>_xll.BDH("NBIX US Equity","BOARD_AVERAGE_AGE","FY 2011","FY 2011","Currency=USD","Period=FQ","BEST_FPERIOD_OVERRIDE=FQ","FILING_STATUS=MR","Sort=A","Dates=H","DateFormat=P","Fill=—","Direction=H","UseDPDF=Y")</f>
        <v>—</v>
      </c>
      <c r="O39" s="14" t="str">
        <f>_xll.BDH("NBIX US Equity","BOARD_AVERAGE_AGE","FY 2012","FY 2012","Currency=USD","Period=FQ","BEST_FPERIOD_OVERRIDE=FQ","FILING_STATUS=MR","Sort=A","Dates=H","DateFormat=P","Fill=—","Direction=H","UseDPDF=Y")</f>
        <v>—</v>
      </c>
      <c r="P39" s="14" t="str">
        <f>_xll.BDH("NBIX US Equity","BOARD_AVERAGE_AGE","FY 2013","FY 2013","Currency=USD","Period=FQ","BEST_FPERIOD_OVERRIDE=FQ","FILING_STATUS=MR","Sort=A","Dates=H","DateFormat=P","Fill=—","Direction=H","UseDPDF=Y")</f>
        <v>—</v>
      </c>
      <c r="Q39" s="14" t="str">
        <f>_xll.BDH("NBIX US Equity","BOARD_AVERAGE_AGE","FY 2014","FY 2014","Currency=USD","Period=FQ","BEST_FPERIOD_OVERRIDE=FQ","FILING_STATUS=MR","Sort=A","Dates=H","DateFormat=P","Fill=—","Direction=H","UseDPDF=Y")</f>
        <v>—</v>
      </c>
      <c r="R39" s="14" t="str">
        <f>_xll.BDH("NBIX US Equity","BOARD_AVERAGE_AGE","FY 2015","FY 2015","Currency=USD","Period=FQ","BEST_FPERIOD_OVERRIDE=FQ","FILING_STATUS=MR","Sort=A","Dates=H","DateFormat=P","Fill=—","Direction=H","UseDPDF=Y")</f>
        <v>—</v>
      </c>
      <c r="S39" s="14" t="str">
        <f>_xll.BDH("NBIX US Equity","BOARD_AVERAGE_AGE","FY 2016","FY 2016","Currency=USD","Period=FQ","BEST_FPERIOD_OVERRIDE=FQ","FILING_STATUS=MR","Sort=A","Dates=H","DateFormat=P","Fill=—","Direction=H","UseDPDF=Y")</f>
        <v>—</v>
      </c>
      <c r="T39" s="14" t="str">
        <f>_xll.BDH("NBIX US Equity","BOARD_AVERAGE_AGE","FY 2017","FY 2017","Currency=USD","Period=FQ","BEST_FPERIOD_OVERRIDE=FQ","FILING_STATUS=MR","Sort=A","Dates=H","DateFormat=P","Fill=—","Direction=H","UseDPDF=Y")</f>
        <v>—</v>
      </c>
      <c r="U39" s="14" t="str">
        <f>_xll.BDH("NBIX US Equity","BOARD_AVERAGE_AGE","FY 2018","FY 2018","Currency=USD","Period=FQ","BEST_FPERIOD_OVERRIDE=FQ","FILING_STATUS=MR","Sort=A","Dates=H","DateFormat=P","Fill=—","Direction=H","UseDPDF=Y")</f>
        <v>—</v>
      </c>
      <c r="V39" s="14" t="str">
        <f>_xll.BDH("NBIX US Equity","BOARD_AVERAGE_AGE","FY 2019","FY 2019","Currency=USD","Period=FQ","BEST_FPERIOD_OVERRIDE=FQ","FILING_STATUS=MR","Sort=A","Dates=H","DateFormat=P","Fill=—","Direction=H","UseDPDF=Y")</f>
        <v>—</v>
      </c>
      <c r="W39" s="14" t="str">
        <f>_xll.BDH("NBIX US Equity","BOARD_AVERAGE_AGE","FY 2020","FY 2020","Currency=USD","Period=FQ","BEST_FPERIOD_OVERRIDE=FQ","FILING_STATUS=MR","Sort=A","Dates=H","DateFormat=P","Fill=—","Direction=H","UseDPDF=Y")</f>
        <v>—</v>
      </c>
      <c r="X39" s="14" t="str">
        <f>_xll.BDH("NBIX US Equity","BOARD_AVERAGE_AGE","FY 2021","FY 2021","Currency=USD","Period=FQ","BEST_FPERIOD_OVERRIDE=FQ","FILING_STATUS=MR","Sort=A","Dates=H","DateFormat=P","Fill=—","Direction=H","UseDPDF=Y")</f>
        <v>—</v>
      </c>
      <c r="Y39" s="14" t="str">
        <f>_xll.BDH("NBIX US Equity","BOARD_AVERAGE_AGE","FY 2022","FY 2022","Currency=USD","Period=FQ","BEST_FPERIOD_OVERRIDE=FQ","FILING_STATUS=MR","Sort=A","Dates=H","DateFormat=P","Fill=—","Direction=H","UseDPDF=Y")</f>
        <v>—</v>
      </c>
      <c r="Z39" s="14" t="str">
        <f>_xll.BDH("NBIX US Equity","BOARD_AVERAGE_AGE","FY 2023","FY 2023","Currency=USD","Period=FQ","BEST_FPERIOD_OVERRIDE=FQ","FILING_STATUS=MR","Sort=A","Dates=H","DateFormat=P","Fill=—","Direction=H","UseDPDF=Y")</f>
        <v>—</v>
      </c>
      <c r="AA39" s="14" t="str">
        <f>_xll.BDH("NBIX US Equity","BOARD_AVERAGE_AGE","FY 2024","FY 2024","Currency=USD","Period=FQ","BEST_FPERIOD_OVERRIDE=FQ","FILING_STATUS=MR","Sort=A","Dates=H","DateFormat=P","Fill=—","Direction=H","UseDPDF=Y")</f>
        <v>—</v>
      </c>
    </row>
    <row r="40" spans="1:27" x14ac:dyDescent="0.25">
      <c r="A40" s="10" t="s">
        <v>1644</v>
      </c>
      <c r="B40" s="10" t="s">
        <v>1645</v>
      </c>
      <c r="C40" s="14" t="str">
        <f>_xll.BDH("NBIX US Equity","BOARD_MEETING_ATTENDANCE_PCT","FY 2000","FY 2000","Currency=USD","Period=FQ","BEST_FPERIOD_OVERRIDE=FQ","FILING_STATUS=MR","Sort=A","Dates=H","DateFormat=P","Fill=—","Direction=H","UseDPDF=Y")</f>
        <v>—</v>
      </c>
      <c r="D40" s="14" t="str">
        <f>_xll.BDH("NBIX US Equity","BOARD_MEETING_ATTENDANCE_PCT","FY 2001","FY 2001","Currency=USD","Period=FQ","BEST_FPERIOD_OVERRIDE=FQ","FILING_STATUS=MR","Sort=A","Dates=H","DateFormat=P","Fill=—","Direction=H","UseDPDF=Y")</f>
        <v>—</v>
      </c>
      <c r="E40" s="14" t="str">
        <f>_xll.BDH("NBIX US Equity","BOARD_MEETING_ATTENDANCE_PCT","FY 2002","FY 2002","Currency=USD","Period=FQ","BEST_FPERIOD_OVERRIDE=FQ","FILING_STATUS=MR","Sort=A","Dates=H","DateFormat=P","Fill=—","Direction=H","UseDPDF=Y")</f>
        <v>—</v>
      </c>
      <c r="F40" s="14" t="str">
        <f>_xll.BDH("NBIX US Equity","BOARD_MEETING_ATTENDANCE_PCT","FY 2003","FY 2003","Currency=USD","Period=FQ","BEST_FPERIOD_OVERRIDE=FQ","FILING_STATUS=MR","Sort=A","Dates=H","DateFormat=P","Fill=—","Direction=H","UseDPDF=Y")</f>
        <v>—</v>
      </c>
      <c r="G40" s="14" t="str">
        <f>_xll.BDH("NBIX US Equity","BOARD_MEETING_ATTENDANCE_PCT","FY 2004","FY 2004","Currency=USD","Period=FQ","BEST_FPERIOD_OVERRIDE=FQ","FILING_STATUS=MR","Sort=A","Dates=H","DateFormat=P","Fill=—","Direction=H","UseDPDF=Y")</f>
        <v>—</v>
      </c>
      <c r="H40" s="14" t="str">
        <f>_xll.BDH("NBIX US Equity","BOARD_MEETING_ATTENDANCE_PCT","FY 2005","FY 2005","Currency=USD","Period=FQ","BEST_FPERIOD_OVERRIDE=FQ","FILING_STATUS=MR","Sort=A","Dates=H","DateFormat=P","Fill=—","Direction=H","UseDPDF=Y")</f>
        <v>—</v>
      </c>
      <c r="I40" s="14" t="str">
        <f>_xll.BDH("NBIX US Equity","BOARD_MEETING_ATTENDANCE_PCT","FY 2006","FY 2006","Currency=USD","Period=FQ","BEST_FPERIOD_OVERRIDE=FQ","FILING_STATUS=MR","Sort=A","Dates=H","DateFormat=P","Fill=—","Direction=H","UseDPDF=Y")</f>
        <v>—</v>
      </c>
      <c r="J40" s="14" t="str">
        <f>_xll.BDH("NBIX US Equity","BOARD_MEETING_ATTENDANCE_PCT","FY 2007","FY 2007","Currency=USD","Period=FQ","BEST_FPERIOD_OVERRIDE=FQ","FILING_STATUS=MR","Sort=A","Dates=H","DateFormat=P","Fill=—","Direction=H","UseDPDF=Y")</f>
        <v>—</v>
      </c>
      <c r="K40" s="14" t="str">
        <f>_xll.BDH("NBIX US Equity","BOARD_MEETING_ATTENDANCE_PCT","FY 2008","FY 2008","Currency=USD","Period=FQ","BEST_FPERIOD_OVERRIDE=FQ","FILING_STATUS=MR","Sort=A","Dates=H","DateFormat=P","Fill=—","Direction=H","UseDPDF=Y")</f>
        <v>—</v>
      </c>
      <c r="L40" s="14" t="str">
        <f>_xll.BDH("NBIX US Equity","BOARD_MEETING_ATTENDANCE_PCT","FY 2009","FY 2009","Currency=USD","Period=FQ","BEST_FPERIOD_OVERRIDE=FQ","FILING_STATUS=MR","Sort=A","Dates=H","DateFormat=P","Fill=—","Direction=H","UseDPDF=Y")</f>
        <v>—</v>
      </c>
      <c r="M40" s="14" t="str">
        <f>_xll.BDH("NBIX US Equity","BOARD_MEETING_ATTENDANCE_PCT","FY 2010","FY 2010","Currency=USD","Period=FQ","BEST_FPERIOD_OVERRIDE=FQ","FILING_STATUS=MR","Sort=A","Dates=H","DateFormat=P","Fill=—","Direction=H","UseDPDF=Y")</f>
        <v>—</v>
      </c>
      <c r="N40" s="14" t="str">
        <f>_xll.BDH("NBIX US Equity","BOARD_MEETING_ATTENDANCE_PCT","FY 2011","FY 2011","Currency=USD","Period=FQ","BEST_FPERIOD_OVERRIDE=FQ","FILING_STATUS=MR","Sort=A","Dates=H","DateFormat=P","Fill=—","Direction=H","UseDPDF=Y")</f>
        <v>—</v>
      </c>
      <c r="O40" s="14" t="str">
        <f>_xll.BDH("NBIX US Equity","BOARD_MEETING_ATTENDANCE_PCT","FY 2012","FY 2012","Currency=USD","Period=FQ","BEST_FPERIOD_OVERRIDE=FQ","FILING_STATUS=MR","Sort=A","Dates=H","DateFormat=P","Fill=—","Direction=H","UseDPDF=Y")</f>
        <v>—</v>
      </c>
      <c r="P40" s="14" t="str">
        <f>_xll.BDH("NBIX US Equity","BOARD_MEETING_ATTENDANCE_PCT","FY 2013","FY 2013","Currency=USD","Period=FQ","BEST_FPERIOD_OVERRIDE=FQ","FILING_STATUS=MR","Sort=A","Dates=H","DateFormat=P","Fill=—","Direction=H","UseDPDF=Y")</f>
        <v>—</v>
      </c>
      <c r="Q40" s="14" t="str">
        <f>_xll.BDH("NBIX US Equity","BOARD_MEETING_ATTENDANCE_PCT","FY 2014","FY 2014","Currency=USD","Period=FQ","BEST_FPERIOD_OVERRIDE=FQ","FILING_STATUS=MR","Sort=A","Dates=H","DateFormat=P","Fill=—","Direction=H","UseDPDF=Y")</f>
        <v>—</v>
      </c>
      <c r="R40" s="14" t="str">
        <f>_xll.BDH("NBIX US Equity","BOARD_MEETING_ATTENDANCE_PCT","FY 2015","FY 2015","Currency=USD","Period=FQ","BEST_FPERIOD_OVERRIDE=FQ","FILING_STATUS=MR","Sort=A","Dates=H","DateFormat=P","Fill=—","Direction=H","UseDPDF=Y")</f>
        <v>—</v>
      </c>
      <c r="S40" s="14" t="str">
        <f>_xll.BDH("NBIX US Equity","BOARD_MEETING_ATTENDANCE_PCT","FY 2016","FY 2016","Currency=USD","Period=FQ","BEST_FPERIOD_OVERRIDE=FQ","FILING_STATUS=MR","Sort=A","Dates=H","DateFormat=P","Fill=—","Direction=H","UseDPDF=Y")</f>
        <v>—</v>
      </c>
      <c r="T40" s="14" t="str">
        <f>_xll.BDH("NBIX US Equity","BOARD_MEETING_ATTENDANCE_PCT","FY 2017","FY 2017","Currency=USD","Period=FQ","BEST_FPERIOD_OVERRIDE=FQ","FILING_STATUS=MR","Sort=A","Dates=H","DateFormat=P","Fill=—","Direction=H","UseDPDF=Y")</f>
        <v>—</v>
      </c>
      <c r="U40" s="14" t="str">
        <f>_xll.BDH("NBIX US Equity","BOARD_MEETING_ATTENDANCE_PCT","FY 2018","FY 2018","Currency=USD","Period=FQ","BEST_FPERIOD_OVERRIDE=FQ","FILING_STATUS=MR","Sort=A","Dates=H","DateFormat=P","Fill=—","Direction=H","UseDPDF=Y")</f>
        <v>—</v>
      </c>
      <c r="V40" s="14" t="str">
        <f>_xll.BDH("NBIX US Equity","BOARD_MEETING_ATTENDANCE_PCT","FY 2019","FY 2019","Currency=USD","Period=FQ","BEST_FPERIOD_OVERRIDE=FQ","FILING_STATUS=MR","Sort=A","Dates=H","DateFormat=P","Fill=—","Direction=H","UseDPDF=Y")</f>
        <v>—</v>
      </c>
      <c r="W40" s="14" t="str">
        <f>_xll.BDH("NBIX US Equity","BOARD_MEETING_ATTENDANCE_PCT","FY 2020","FY 2020","Currency=USD","Period=FQ","BEST_FPERIOD_OVERRIDE=FQ","FILING_STATUS=MR","Sort=A","Dates=H","DateFormat=P","Fill=—","Direction=H","UseDPDF=Y")</f>
        <v>—</v>
      </c>
      <c r="X40" s="14" t="str">
        <f>_xll.BDH("NBIX US Equity","BOARD_MEETING_ATTENDANCE_PCT","FY 2021","FY 2021","Currency=USD","Period=FQ","BEST_FPERIOD_OVERRIDE=FQ","FILING_STATUS=MR","Sort=A","Dates=H","DateFormat=P","Fill=—","Direction=H","UseDPDF=Y")</f>
        <v>—</v>
      </c>
      <c r="Y40" s="14" t="str">
        <f>_xll.BDH("NBIX US Equity","BOARD_MEETING_ATTENDANCE_PCT","FY 2022","FY 2022","Currency=USD","Period=FQ","BEST_FPERIOD_OVERRIDE=FQ","FILING_STATUS=MR","Sort=A","Dates=H","DateFormat=P","Fill=—","Direction=H","UseDPDF=Y")</f>
        <v>—</v>
      </c>
      <c r="Z40" s="14" t="str">
        <f>_xll.BDH("NBIX US Equity","BOARD_MEETING_ATTENDANCE_PCT","FY 2023","FY 2023","Currency=USD","Period=FQ","BEST_FPERIOD_OVERRIDE=FQ","FILING_STATUS=MR","Sort=A","Dates=H","DateFormat=P","Fill=—","Direction=H","UseDPDF=Y")</f>
        <v>—</v>
      </c>
      <c r="AA40" s="14" t="str">
        <f>_xll.BDH("NBIX US Equity","BOARD_MEETING_ATTENDANCE_PCT","FY 2024","FY 2024","Currency=USD","Period=FQ","BEST_FPERIOD_OVERRIDE=FQ","FILING_STATUS=MR","Sort=A","Dates=H","DateFormat=P","Fill=—","Direction=H","UseDPDF=Y")</f>
        <v>—</v>
      </c>
    </row>
    <row r="41" spans="1:27" x14ac:dyDescent="0.25">
      <c r="A41" s="10" t="s">
        <v>1646</v>
      </c>
      <c r="B41" s="10" t="s">
        <v>1647</v>
      </c>
      <c r="C41" s="14" t="str">
        <f>_xll.BDH("NBIX US Equity","IND_DIRECTORS_BRD_MTG_ATTEND_PCT","FY 2000","FY 2000","Currency=USD","Period=FQ","BEST_FPERIOD_OVERRIDE=FQ","FILING_STATUS=MR","Sort=A","Dates=H","DateFormat=P","Fill=—","Direction=H","UseDPDF=Y")</f>
        <v>—</v>
      </c>
      <c r="D41" s="14" t="str">
        <f>_xll.BDH("NBIX US Equity","IND_DIRECTORS_BRD_MTG_ATTEND_PCT","FY 2001","FY 2001","Currency=USD","Period=FQ","BEST_FPERIOD_OVERRIDE=FQ","FILING_STATUS=MR","Sort=A","Dates=H","DateFormat=P","Fill=—","Direction=H","UseDPDF=Y")</f>
        <v>—</v>
      </c>
      <c r="E41" s="14" t="str">
        <f>_xll.BDH("NBIX US Equity","IND_DIRECTORS_BRD_MTG_ATTEND_PCT","FY 2002","FY 2002","Currency=USD","Period=FQ","BEST_FPERIOD_OVERRIDE=FQ","FILING_STATUS=MR","Sort=A","Dates=H","DateFormat=P","Fill=—","Direction=H","UseDPDF=Y")</f>
        <v>—</v>
      </c>
      <c r="F41" s="14" t="str">
        <f>_xll.BDH("NBIX US Equity","IND_DIRECTORS_BRD_MTG_ATTEND_PCT","FY 2003","FY 2003","Currency=USD","Period=FQ","BEST_FPERIOD_OVERRIDE=FQ","FILING_STATUS=MR","Sort=A","Dates=H","DateFormat=P","Fill=—","Direction=H","UseDPDF=Y")</f>
        <v>—</v>
      </c>
      <c r="G41" s="14" t="str">
        <f>_xll.BDH("NBIX US Equity","IND_DIRECTORS_BRD_MTG_ATTEND_PCT","FY 2004","FY 2004","Currency=USD","Period=FQ","BEST_FPERIOD_OVERRIDE=FQ","FILING_STATUS=MR","Sort=A","Dates=H","DateFormat=P","Fill=—","Direction=H","UseDPDF=Y")</f>
        <v>—</v>
      </c>
      <c r="H41" s="14" t="str">
        <f>_xll.BDH("NBIX US Equity","IND_DIRECTORS_BRD_MTG_ATTEND_PCT","FY 2005","FY 2005","Currency=USD","Period=FQ","BEST_FPERIOD_OVERRIDE=FQ","FILING_STATUS=MR","Sort=A","Dates=H","DateFormat=P","Fill=—","Direction=H","UseDPDF=Y")</f>
        <v>—</v>
      </c>
      <c r="I41" s="14" t="str">
        <f>_xll.BDH("NBIX US Equity","IND_DIRECTORS_BRD_MTG_ATTEND_PCT","FY 2006","FY 2006","Currency=USD","Period=FQ","BEST_FPERIOD_OVERRIDE=FQ","FILING_STATUS=MR","Sort=A","Dates=H","DateFormat=P","Fill=—","Direction=H","UseDPDF=Y")</f>
        <v>—</v>
      </c>
      <c r="J41" s="14" t="str">
        <f>_xll.BDH("NBIX US Equity","IND_DIRECTORS_BRD_MTG_ATTEND_PCT","FY 2007","FY 2007","Currency=USD","Period=FQ","BEST_FPERIOD_OVERRIDE=FQ","FILING_STATUS=MR","Sort=A","Dates=H","DateFormat=P","Fill=—","Direction=H","UseDPDF=Y")</f>
        <v>—</v>
      </c>
      <c r="K41" s="14" t="str">
        <f>_xll.BDH("NBIX US Equity","IND_DIRECTORS_BRD_MTG_ATTEND_PCT","FY 2008","FY 2008","Currency=USD","Period=FQ","BEST_FPERIOD_OVERRIDE=FQ","FILING_STATUS=MR","Sort=A","Dates=H","DateFormat=P","Fill=—","Direction=H","UseDPDF=Y")</f>
        <v>—</v>
      </c>
      <c r="L41" s="14" t="str">
        <f>_xll.BDH("NBIX US Equity","IND_DIRECTORS_BRD_MTG_ATTEND_PCT","FY 2009","FY 2009","Currency=USD","Period=FQ","BEST_FPERIOD_OVERRIDE=FQ","FILING_STATUS=MR","Sort=A","Dates=H","DateFormat=P","Fill=—","Direction=H","UseDPDF=Y")</f>
        <v>—</v>
      </c>
      <c r="M41" s="14" t="str">
        <f>_xll.BDH("NBIX US Equity","IND_DIRECTORS_BRD_MTG_ATTEND_PCT","FY 2010","FY 2010","Currency=USD","Period=FQ","BEST_FPERIOD_OVERRIDE=FQ","FILING_STATUS=MR","Sort=A","Dates=H","DateFormat=P","Fill=—","Direction=H","UseDPDF=Y")</f>
        <v>—</v>
      </c>
      <c r="N41" s="14" t="str">
        <f>_xll.BDH("NBIX US Equity","IND_DIRECTORS_BRD_MTG_ATTEND_PCT","FY 2011","FY 2011","Currency=USD","Period=FQ","BEST_FPERIOD_OVERRIDE=FQ","FILING_STATUS=MR","Sort=A","Dates=H","DateFormat=P","Fill=—","Direction=H","UseDPDF=Y")</f>
        <v>—</v>
      </c>
      <c r="O41" s="14" t="str">
        <f>_xll.BDH("NBIX US Equity","IND_DIRECTORS_BRD_MTG_ATTEND_PCT","FY 2012","FY 2012","Currency=USD","Period=FQ","BEST_FPERIOD_OVERRIDE=FQ","FILING_STATUS=MR","Sort=A","Dates=H","DateFormat=P","Fill=—","Direction=H","UseDPDF=Y")</f>
        <v>—</v>
      </c>
      <c r="P41" s="14" t="str">
        <f>_xll.BDH("NBIX US Equity","IND_DIRECTORS_BRD_MTG_ATTEND_PCT","FY 2013","FY 2013","Currency=USD","Period=FQ","BEST_FPERIOD_OVERRIDE=FQ","FILING_STATUS=MR","Sort=A","Dates=H","DateFormat=P","Fill=—","Direction=H","UseDPDF=Y")</f>
        <v>—</v>
      </c>
      <c r="Q41" s="14" t="str">
        <f>_xll.BDH("NBIX US Equity","IND_DIRECTORS_BRD_MTG_ATTEND_PCT","FY 2014","FY 2014","Currency=USD","Period=FQ","BEST_FPERIOD_OVERRIDE=FQ","FILING_STATUS=MR","Sort=A","Dates=H","DateFormat=P","Fill=—","Direction=H","UseDPDF=Y")</f>
        <v>—</v>
      </c>
      <c r="R41" s="14" t="str">
        <f>_xll.BDH("NBIX US Equity","IND_DIRECTORS_BRD_MTG_ATTEND_PCT","FY 2015","FY 2015","Currency=USD","Period=FQ","BEST_FPERIOD_OVERRIDE=FQ","FILING_STATUS=MR","Sort=A","Dates=H","DateFormat=P","Fill=—","Direction=H","UseDPDF=Y")</f>
        <v>—</v>
      </c>
      <c r="S41" s="14" t="str">
        <f>_xll.BDH("NBIX US Equity","IND_DIRECTORS_BRD_MTG_ATTEND_PCT","FY 2016","FY 2016","Currency=USD","Period=FQ","BEST_FPERIOD_OVERRIDE=FQ","FILING_STATUS=MR","Sort=A","Dates=H","DateFormat=P","Fill=—","Direction=H","UseDPDF=Y")</f>
        <v>—</v>
      </c>
      <c r="T41" s="14" t="str">
        <f>_xll.BDH("NBIX US Equity","IND_DIRECTORS_BRD_MTG_ATTEND_PCT","FY 2017","FY 2017","Currency=USD","Period=FQ","BEST_FPERIOD_OVERRIDE=FQ","FILING_STATUS=MR","Sort=A","Dates=H","DateFormat=P","Fill=—","Direction=H","UseDPDF=Y")</f>
        <v>—</v>
      </c>
      <c r="U41" s="14" t="str">
        <f>_xll.BDH("NBIX US Equity","IND_DIRECTORS_BRD_MTG_ATTEND_PCT","FY 2018","FY 2018","Currency=USD","Period=FQ","BEST_FPERIOD_OVERRIDE=FQ","FILING_STATUS=MR","Sort=A","Dates=H","DateFormat=P","Fill=—","Direction=H","UseDPDF=Y")</f>
        <v>—</v>
      </c>
      <c r="V41" s="14" t="str">
        <f>_xll.BDH("NBIX US Equity","IND_DIRECTORS_BRD_MTG_ATTEND_PCT","FY 2019","FY 2019","Currency=USD","Period=FQ","BEST_FPERIOD_OVERRIDE=FQ","FILING_STATUS=MR","Sort=A","Dates=H","DateFormat=P","Fill=—","Direction=H","UseDPDF=Y")</f>
        <v>—</v>
      </c>
      <c r="W41" s="14" t="str">
        <f>_xll.BDH("NBIX US Equity","IND_DIRECTORS_BRD_MTG_ATTEND_PCT","FY 2020","FY 2020","Currency=USD","Period=FQ","BEST_FPERIOD_OVERRIDE=FQ","FILING_STATUS=MR","Sort=A","Dates=H","DateFormat=P","Fill=—","Direction=H","UseDPDF=Y")</f>
        <v>—</v>
      </c>
      <c r="X41" s="14" t="str">
        <f>_xll.BDH("NBIX US Equity","IND_DIRECTORS_BRD_MTG_ATTEND_PCT","FY 2021","FY 2021","Currency=USD","Period=FQ","BEST_FPERIOD_OVERRIDE=FQ","FILING_STATUS=MR","Sort=A","Dates=H","DateFormat=P","Fill=—","Direction=H","UseDPDF=Y")</f>
        <v>—</v>
      </c>
      <c r="Y41" s="14" t="str">
        <f>_xll.BDH("NBIX US Equity","IND_DIRECTORS_BRD_MTG_ATTEND_PCT","FY 2022","FY 2022","Currency=USD","Period=FQ","BEST_FPERIOD_OVERRIDE=FQ","FILING_STATUS=MR","Sort=A","Dates=H","DateFormat=P","Fill=—","Direction=H","UseDPDF=Y")</f>
        <v>—</v>
      </c>
      <c r="Z41" s="14" t="str">
        <f>_xll.BDH("NBIX US Equity","IND_DIRECTORS_BRD_MTG_ATTEND_PCT","FY 2023","FY 2023","Currency=USD","Period=FQ","BEST_FPERIOD_OVERRIDE=FQ","FILING_STATUS=MR","Sort=A","Dates=H","DateFormat=P","Fill=—","Direction=H","UseDPDF=Y")</f>
        <v>—</v>
      </c>
      <c r="AA41" s="14" t="str">
        <f>_xll.BDH("NBIX US Equity","IND_DIRECTORS_BRD_MTG_ATTEND_PCT","FY 2024","FY 2024","Currency=USD","Period=FQ","BEST_FPERIOD_OVERRIDE=FQ","FILING_STATUS=MR","Sort=A","Dates=H","DateFormat=P","Fill=—","Direction=H","UseDPDF=Y")</f>
        <v>—</v>
      </c>
    </row>
    <row r="42" spans="1:27" x14ac:dyDescent="0.25">
      <c r="A42" s="10" t="s">
        <v>1648</v>
      </c>
      <c r="B42" s="10" t="s">
        <v>1649</v>
      </c>
      <c r="C42" s="14" t="str">
        <f>_xll.BDH("NBIX US Equity","PCT_IND_DIRECTORS_ON_AUDIT_CMTE","FY 2000","FY 2000","Currency=USD","Period=FQ","BEST_FPERIOD_OVERRIDE=FQ","FILING_STATUS=MR","Sort=A","Dates=H","DateFormat=P","Fill=—","Direction=H","UseDPDF=Y")</f>
        <v>—</v>
      </c>
      <c r="D42" s="14" t="str">
        <f>_xll.BDH("NBIX US Equity","PCT_IND_DIRECTORS_ON_AUDIT_CMTE","FY 2001","FY 2001","Currency=USD","Period=FQ","BEST_FPERIOD_OVERRIDE=FQ","FILING_STATUS=MR","Sort=A","Dates=H","DateFormat=P","Fill=—","Direction=H","UseDPDF=Y")</f>
        <v>—</v>
      </c>
      <c r="E42" s="14" t="str">
        <f>_xll.BDH("NBIX US Equity","PCT_IND_DIRECTORS_ON_AUDIT_CMTE","FY 2002","FY 2002","Currency=USD","Period=FQ","BEST_FPERIOD_OVERRIDE=FQ","FILING_STATUS=MR","Sort=A","Dates=H","DateFormat=P","Fill=—","Direction=H","UseDPDF=Y")</f>
        <v>—</v>
      </c>
      <c r="F42" s="14" t="str">
        <f>_xll.BDH("NBIX US Equity","PCT_IND_DIRECTORS_ON_AUDIT_CMTE","FY 2003","FY 2003","Currency=USD","Period=FQ","BEST_FPERIOD_OVERRIDE=FQ","FILING_STATUS=MR","Sort=A","Dates=H","DateFormat=P","Fill=—","Direction=H","UseDPDF=Y")</f>
        <v>—</v>
      </c>
      <c r="G42" s="14" t="str">
        <f>_xll.BDH("NBIX US Equity","PCT_IND_DIRECTORS_ON_AUDIT_CMTE","FY 2004","FY 2004","Currency=USD","Period=FQ","BEST_FPERIOD_OVERRIDE=FQ","FILING_STATUS=MR","Sort=A","Dates=H","DateFormat=P","Fill=—","Direction=H","UseDPDF=Y")</f>
        <v>—</v>
      </c>
      <c r="H42" s="14" t="str">
        <f>_xll.BDH("NBIX US Equity","PCT_IND_DIRECTORS_ON_AUDIT_CMTE","FY 2005","FY 2005","Currency=USD","Period=FQ","BEST_FPERIOD_OVERRIDE=FQ","FILING_STATUS=MR","Sort=A","Dates=H","DateFormat=P","Fill=—","Direction=H","UseDPDF=Y")</f>
        <v>—</v>
      </c>
      <c r="I42" s="14" t="str">
        <f>_xll.BDH("NBIX US Equity","PCT_IND_DIRECTORS_ON_AUDIT_CMTE","FY 2006","FY 2006","Currency=USD","Period=FQ","BEST_FPERIOD_OVERRIDE=FQ","FILING_STATUS=MR","Sort=A","Dates=H","DateFormat=P","Fill=—","Direction=H","UseDPDF=Y")</f>
        <v>—</v>
      </c>
      <c r="J42" s="14" t="str">
        <f>_xll.BDH("NBIX US Equity","PCT_IND_DIRECTORS_ON_AUDIT_CMTE","FY 2007","FY 2007","Currency=USD","Period=FQ","BEST_FPERIOD_OVERRIDE=FQ","FILING_STATUS=MR","Sort=A","Dates=H","DateFormat=P","Fill=—","Direction=H","UseDPDF=Y")</f>
        <v>—</v>
      </c>
      <c r="K42" s="14" t="str">
        <f>_xll.BDH("NBIX US Equity","PCT_IND_DIRECTORS_ON_AUDIT_CMTE","FY 2008","FY 2008","Currency=USD","Period=FQ","BEST_FPERIOD_OVERRIDE=FQ","FILING_STATUS=MR","Sort=A","Dates=H","DateFormat=P","Fill=—","Direction=H","UseDPDF=Y")</f>
        <v>—</v>
      </c>
      <c r="L42" s="14" t="str">
        <f>_xll.BDH("NBIX US Equity","PCT_IND_DIRECTORS_ON_AUDIT_CMTE","FY 2009","FY 2009","Currency=USD","Period=FQ","BEST_FPERIOD_OVERRIDE=FQ","FILING_STATUS=MR","Sort=A","Dates=H","DateFormat=P","Fill=—","Direction=H","UseDPDF=Y")</f>
        <v>—</v>
      </c>
      <c r="M42" s="14" t="str">
        <f>_xll.BDH("NBIX US Equity","PCT_IND_DIRECTORS_ON_AUDIT_CMTE","FY 2010","FY 2010","Currency=USD","Period=FQ","BEST_FPERIOD_OVERRIDE=FQ","FILING_STATUS=MR","Sort=A","Dates=H","DateFormat=P","Fill=—","Direction=H","UseDPDF=Y")</f>
        <v>—</v>
      </c>
      <c r="N42" s="14" t="str">
        <f>_xll.BDH("NBIX US Equity","PCT_IND_DIRECTORS_ON_AUDIT_CMTE","FY 2011","FY 2011","Currency=USD","Period=FQ","BEST_FPERIOD_OVERRIDE=FQ","FILING_STATUS=MR","Sort=A","Dates=H","DateFormat=P","Fill=—","Direction=H","UseDPDF=Y")</f>
        <v>—</v>
      </c>
      <c r="O42" s="14" t="str">
        <f>_xll.BDH("NBIX US Equity","PCT_IND_DIRECTORS_ON_AUDIT_CMTE","FY 2012","FY 2012","Currency=USD","Period=FQ","BEST_FPERIOD_OVERRIDE=FQ","FILING_STATUS=MR","Sort=A","Dates=H","DateFormat=P","Fill=—","Direction=H","UseDPDF=Y")</f>
        <v>—</v>
      </c>
      <c r="P42" s="14" t="str">
        <f>_xll.BDH("NBIX US Equity","PCT_IND_DIRECTORS_ON_AUDIT_CMTE","FY 2013","FY 2013","Currency=USD","Period=FQ","BEST_FPERIOD_OVERRIDE=FQ","FILING_STATUS=MR","Sort=A","Dates=H","DateFormat=P","Fill=—","Direction=H","UseDPDF=Y")</f>
        <v>—</v>
      </c>
      <c r="Q42" s="14" t="str">
        <f>_xll.BDH("NBIX US Equity","PCT_IND_DIRECTORS_ON_AUDIT_CMTE","FY 2014","FY 2014","Currency=USD","Period=FQ","BEST_FPERIOD_OVERRIDE=FQ","FILING_STATUS=MR","Sort=A","Dates=H","DateFormat=P","Fill=—","Direction=H","UseDPDF=Y")</f>
        <v>—</v>
      </c>
      <c r="R42" s="14" t="str">
        <f>_xll.BDH("NBIX US Equity","PCT_IND_DIRECTORS_ON_AUDIT_CMTE","FY 2015","FY 2015","Currency=USD","Period=FQ","BEST_FPERIOD_OVERRIDE=FQ","FILING_STATUS=MR","Sort=A","Dates=H","DateFormat=P","Fill=—","Direction=H","UseDPDF=Y")</f>
        <v>—</v>
      </c>
      <c r="S42" s="14" t="str">
        <f>_xll.BDH("NBIX US Equity","PCT_IND_DIRECTORS_ON_AUDIT_CMTE","FY 2016","FY 2016","Currency=USD","Period=FQ","BEST_FPERIOD_OVERRIDE=FQ","FILING_STATUS=MR","Sort=A","Dates=H","DateFormat=P","Fill=—","Direction=H","UseDPDF=Y")</f>
        <v>—</v>
      </c>
      <c r="T42" s="14" t="str">
        <f>_xll.BDH("NBIX US Equity","PCT_IND_DIRECTORS_ON_AUDIT_CMTE","FY 2017","FY 2017","Currency=USD","Period=FQ","BEST_FPERIOD_OVERRIDE=FQ","FILING_STATUS=MR","Sort=A","Dates=H","DateFormat=P","Fill=—","Direction=H","UseDPDF=Y")</f>
        <v>—</v>
      </c>
      <c r="U42" s="14" t="str">
        <f>_xll.BDH("NBIX US Equity","PCT_IND_DIRECTORS_ON_AUDIT_CMTE","FY 2018","FY 2018","Currency=USD","Period=FQ","BEST_FPERIOD_OVERRIDE=FQ","FILING_STATUS=MR","Sort=A","Dates=H","DateFormat=P","Fill=—","Direction=H","UseDPDF=Y")</f>
        <v>—</v>
      </c>
      <c r="V42" s="14" t="str">
        <f>_xll.BDH("NBIX US Equity","PCT_IND_DIRECTORS_ON_AUDIT_CMTE","FY 2019","FY 2019","Currency=USD","Period=FQ","BEST_FPERIOD_OVERRIDE=FQ","FILING_STATUS=MR","Sort=A","Dates=H","DateFormat=P","Fill=—","Direction=H","UseDPDF=Y")</f>
        <v>—</v>
      </c>
      <c r="W42" s="14" t="str">
        <f>_xll.BDH("NBIX US Equity","PCT_IND_DIRECTORS_ON_AUDIT_CMTE","FY 2020","FY 2020","Currency=USD","Period=FQ","BEST_FPERIOD_OVERRIDE=FQ","FILING_STATUS=MR","Sort=A","Dates=H","DateFormat=P","Fill=—","Direction=H","UseDPDF=Y")</f>
        <v>—</v>
      </c>
      <c r="X42" s="14" t="str">
        <f>_xll.BDH("NBIX US Equity","PCT_IND_DIRECTORS_ON_AUDIT_CMTE","FY 2021","FY 2021","Currency=USD","Period=FQ","BEST_FPERIOD_OVERRIDE=FQ","FILING_STATUS=MR","Sort=A","Dates=H","DateFormat=P","Fill=—","Direction=H","UseDPDF=Y")</f>
        <v>—</v>
      </c>
      <c r="Y42" s="14" t="str">
        <f>_xll.BDH("NBIX US Equity","PCT_IND_DIRECTORS_ON_AUDIT_CMTE","FY 2022","FY 2022","Currency=USD","Period=FQ","BEST_FPERIOD_OVERRIDE=FQ","FILING_STATUS=MR","Sort=A","Dates=H","DateFormat=P","Fill=—","Direction=H","UseDPDF=Y")</f>
        <v>—</v>
      </c>
      <c r="Z42" s="14" t="str">
        <f>_xll.BDH("NBIX US Equity","PCT_IND_DIRECTORS_ON_AUDIT_CMTE","FY 2023","FY 2023","Currency=USD","Period=FQ","BEST_FPERIOD_OVERRIDE=FQ","FILING_STATUS=MR","Sort=A","Dates=H","DateFormat=P","Fill=—","Direction=H","UseDPDF=Y")</f>
        <v>—</v>
      </c>
      <c r="AA42" s="14" t="str">
        <f>_xll.BDH("NBIX US Equity","PCT_IND_DIRECTORS_ON_AUDIT_CMTE","FY 2024","FY 2024","Currency=USD","Period=FQ","BEST_FPERIOD_OVERRIDE=FQ","FILING_STATUS=MR","Sort=A","Dates=H","DateFormat=P","Fill=—","Direction=H","UseDPDF=Y")</f>
        <v>—</v>
      </c>
    </row>
    <row r="43" spans="1:27" x14ac:dyDescent="0.25">
      <c r="A43" s="10" t="s">
        <v>1650</v>
      </c>
      <c r="B43" s="10" t="s">
        <v>1651</v>
      </c>
      <c r="C43" s="14" t="str">
        <f>_xll.BDH("NBIX US Equity","AUDIT_COMMITTEE_MTG_ATTEND_PCT","FY 2000","FY 2000","Currency=USD","Period=FQ","BEST_FPERIOD_OVERRIDE=FQ","FILING_STATUS=MR","Sort=A","Dates=H","DateFormat=P","Fill=—","Direction=H","UseDPDF=Y")</f>
        <v>—</v>
      </c>
      <c r="D43" s="14" t="str">
        <f>_xll.BDH("NBIX US Equity","AUDIT_COMMITTEE_MTG_ATTEND_PCT","FY 2001","FY 2001","Currency=USD","Period=FQ","BEST_FPERIOD_OVERRIDE=FQ","FILING_STATUS=MR","Sort=A","Dates=H","DateFormat=P","Fill=—","Direction=H","UseDPDF=Y")</f>
        <v>—</v>
      </c>
      <c r="E43" s="14" t="str">
        <f>_xll.BDH("NBIX US Equity","AUDIT_COMMITTEE_MTG_ATTEND_PCT","FY 2002","FY 2002","Currency=USD","Period=FQ","BEST_FPERIOD_OVERRIDE=FQ","FILING_STATUS=MR","Sort=A","Dates=H","DateFormat=P","Fill=—","Direction=H","UseDPDF=Y")</f>
        <v>—</v>
      </c>
      <c r="F43" s="14" t="str">
        <f>_xll.BDH("NBIX US Equity","AUDIT_COMMITTEE_MTG_ATTEND_PCT","FY 2003","FY 2003","Currency=USD","Period=FQ","BEST_FPERIOD_OVERRIDE=FQ","FILING_STATUS=MR","Sort=A","Dates=H","DateFormat=P","Fill=—","Direction=H","UseDPDF=Y")</f>
        <v>—</v>
      </c>
      <c r="G43" s="14" t="str">
        <f>_xll.BDH("NBIX US Equity","AUDIT_COMMITTEE_MTG_ATTEND_PCT","FY 2004","FY 2004","Currency=USD","Period=FQ","BEST_FPERIOD_OVERRIDE=FQ","FILING_STATUS=MR","Sort=A","Dates=H","DateFormat=P","Fill=—","Direction=H","UseDPDF=Y")</f>
        <v>—</v>
      </c>
      <c r="H43" s="14" t="str">
        <f>_xll.BDH("NBIX US Equity","AUDIT_COMMITTEE_MTG_ATTEND_PCT","FY 2005","FY 2005","Currency=USD","Period=FQ","BEST_FPERIOD_OVERRIDE=FQ","FILING_STATUS=MR","Sort=A","Dates=H","DateFormat=P","Fill=—","Direction=H","UseDPDF=Y")</f>
        <v>—</v>
      </c>
      <c r="I43" s="14" t="str">
        <f>_xll.BDH("NBIX US Equity","AUDIT_COMMITTEE_MTG_ATTEND_PCT","FY 2006","FY 2006","Currency=USD","Period=FQ","BEST_FPERIOD_OVERRIDE=FQ","FILING_STATUS=MR","Sort=A","Dates=H","DateFormat=P","Fill=—","Direction=H","UseDPDF=Y")</f>
        <v>—</v>
      </c>
      <c r="J43" s="14" t="str">
        <f>_xll.BDH("NBIX US Equity","AUDIT_COMMITTEE_MTG_ATTEND_PCT","FY 2007","FY 2007","Currency=USD","Period=FQ","BEST_FPERIOD_OVERRIDE=FQ","FILING_STATUS=MR","Sort=A","Dates=H","DateFormat=P","Fill=—","Direction=H","UseDPDF=Y")</f>
        <v>—</v>
      </c>
      <c r="K43" s="14" t="str">
        <f>_xll.BDH("NBIX US Equity","AUDIT_COMMITTEE_MTG_ATTEND_PCT","FY 2008","FY 2008","Currency=USD","Period=FQ","BEST_FPERIOD_OVERRIDE=FQ","FILING_STATUS=MR","Sort=A","Dates=H","DateFormat=P","Fill=—","Direction=H","UseDPDF=Y")</f>
        <v>—</v>
      </c>
      <c r="L43" s="14" t="str">
        <f>_xll.BDH("NBIX US Equity","AUDIT_COMMITTEE_MTG_ATTEND_PCT","FY 2009","FY 2009","Currency=USD","Period=FQ","BEST_FPERIOD_OVERRIDE=FQ","FILING_STATUS=MR","Sort=A","Dates=H","DateFormat=P","Fill=—","Direction=H","UseDPDF=Y")</f>
        <v>—</v>
      </c>
      <c r="M43" s="14" t="str">
        <f>_xll.BDH("NBIX US Equity","AUDIT_COMMITTEE_MTG_ATTEND_PCT","FY 2010","FY 2010","Currency=USD","Period=FQ","BEST_FPERIOD_OVERRIDE=FQ","FILING_STATUS=MR","Sort=A","Dates=H","DateFormat=P","Fill=—","Direction=H","UseDPDF=Y")</f>
        <v>—</v>
      </c>
      <c r="N43" s="14" t="str">
        <f>_xll.BDH("NBIX US Equity","AUDIT_COMMITTEE_MTG_ATTEND_PCT","FY 2011","FY 2011","Currency=USD","Period=FQ","BEST_FPERIOD_OVERRIDE=FQ","FILING_STATUS=MR","Sort=A","Dates=H","DateFormat=P","Fill=—","Direction=H","UseDPDF=Y")</f>
        <v>—</v>
      </c>
      <c r="O43" s="14" t="str">
        <f>_xll.BDH("NBIX US Equity","AUDIT_COMMITTEE_MTG_ATTEND_PCT","FY 2012","FY 2012","Currency=USD","Period=FQ","BEST_FPERIOD_OVERRIDE=FQ","FILING_STATUS=MR","Sort=A","Dates=H","DateFormat=P","Fill=—","Direction=H","UseDPDF=Y")</f>
        <v>—</v>
      </c>
      <c r="P43" s="14" t="str">
        <f>_xll.BDH("NBIX US Equity","AUDIT_COMMITTEE_MTG_ATTEND_PCT","FY 2013","FY 2013","Currency=USD","Period=FQ","BEST_FPERIOD_OVERRIDE=FQ","FILING_STATUS=MR","Sort=A","Dates=H","DateFormat=P","Fill=—","Direction=H","UseDPDF=Y")</f>
        <v>—</v>
      </c>
      <c r="Q43" s="14" t="str">
        <f>_xll.BDH("NBIX US Equity","AUDIT_COMMITTEE_MTG_ATTEND_PCT","FY 2014","FY 2014","Currency=USD","Period=FQ","BEST_FPERIOD_OVERRIDE=FQ","FILING_STATUS=MR","Sort=A","Dates=H","DateFormat=P","Fill=—","Direction=H","UseDPDF=Y")</f>
        <v>—</v>
      </c>
      <c r="R43" s="14" t="str">
        <f>_xll.BDH("NBIX US Equity","AUDIT_COMMITTEE_MTG_ATTEND_PCT","FY 2015","FY 2015","Currency=USD","Period=FQ","BEST_FPERIOD_OVERRIDE=FQ","FILING_STATUS=MR","Sort=A","Dates=H","DateFormat=P","Fill=—","Direction=H","UseDPDF=Y")</f>
        <v>—</v>
      </c>
      <c r="S43" s="14" t="str">
        <f>_xll.BDH("NBIX US Equity","AUDIT_COMMITTEE_MTG_ATTEND_PCT","FY 2016","FY 2016","Currency=USD","Period=FQ","BEST_FPERIOD_OVERRIDE=FQ","FILING_STATUS=MR","Sort=A","Dates=H","DateFormat=P","Fill=—","Direction=H","UseDPDF=Y")</f>
        <v>—</v>
      </c>
      <c r="T43" s="14" t="str">
        <f>_xll.BDH("NBIX US Equity","AUDIT_COMMITTEE_MTG_ATTEND_PCT","FY 2017","FY 2017","Currency=USD","Period=FQ","BEST_FPERIOD_OVERRIDE=FQ","FILING_STATUS=MR","Sort=A","Dates=H","DateFormat=P","Fill=—","Direction=H","UseDPDF=Y")</f>
        <v>—</v>
      </c>
      <c r="U43" s="14" t="str">
        <f>_xll.BDH("NBIX US Equity","AUDIT_COMMITTEE_MTG_ATTEND_PCT","FY 2018","FY 2018","Currency=USD","Period=FQ","BEST_FPERIOD_OVERRIDE=FQ","FILING_STATUS=MR","Sort=A","Dates=H","DateFormat=P","Fill=—","Direction=H","UseDPDF=Y")</f>
        <v>—</v>
      </c>
      <c r="V43" s="14" t="str">
        <f>_xll.BDH("NBIX US Equity","AUDIT_COMMITTEE_MTG_ATTEND_PCT","FY 2019","FY 2019","Currency=USD","Period=FQ","BEST_FPERIOD_OVERRIDE=FQ","FILING_STATUS=MR","Sort=A","Dates=H","DateFormat=P","Fill=—","Direction=H","UseDPDF=Y")</f>
        <v>—</v>
      </c>
      <c r="W43" s="14" t="str">
        <f>_xll.BDH("NBIX US Equity","AUDIT_COMMITTEE_MTG_ATTEND_PCT","FY 2020","FY 2020","Currency=USD","Period=FQ","BEST_FPERIOD_OVERRIDE=FQ","FILING_STATUS=MR","Sort=A","Dates=H","DateFormat=P","Fill=—","Direction=H","UseDPDF=Y")</f>
        <v>—</v>
      </c>
      <c r="X43" s="14" t="str">
        <f>_xll.BDH("NBIX US Equity","AUDIT_COMMITTEE_MTG_ATTEND_PCT","FY 2021","FY 2021","Currency=USD","Period=FQ","BEST_FPERIOD_OVERRIDE=FQ","FILING_STATUS=MR","Sort=A","Dates=H","DateFormat=P","Fill=—","Direction=H","UseDPDF=Y")</f>
        <v>—</v>
      </c>
      <c r="Y43" s="14" t="str">
        <f>_xll.BDH("NBIX US Equity","AUDIT_COMMITTEE_MTG_ATTEND_PCT","FY 2022","FY 2022","Currency=USD","Period=FQ","BEST_FPERIOD_OVERRIDE=FQ","FILING_STATUS=MR","Sort=A","Dates=H","DateFormat=P","Fill=—","Direction=H","UseDPDF=Y")</f>
        <v>—</v>
      </c>
      <c r="Z43" s="14" t="str">
        <f>_xll.BDH("NBIX US Equity","AUDIT_COMMITTEE_MTG_ATTEND_PCT","FY 2023","FY 2023","Currency=USD","Period=FQ","BEST_FPERIOD_OVERRIDE=FQ","FILING_STATUS=MR","Sort=A","Dates=H","DateFormat=P","Fill=—","Direction=H","UseDPDF=Y")</f>
        <v>—</v>
      </c>
      <c r="AA43" s="14" t="str">
        <f>_xll.BDH("NBIX US Equity","AUDIT_COMMITTEE_MTG_ATTEND_PCT","FY 2024","FY 2024","Currency=USD","Period=FQ","BEST_FPERIOD_OVERRIDE=FQ","FILING_STATUS=MR","Sort=A","Dates=H","DateFormat=P","Fill=—","Direction=H","UseDPDF=Y")</f>
        <v>—</v>
      </c>
    </row>
    <row r="44" spans="1:27" x14ac:dyDescent="0.25">
      <c r="A44" s="10" t="s">
        <v>1652</v>
      </c>
      <c r="B44" s="10" t="s">
        <v>1653</v>
      </c>
      <c r="C44" s="14" t="str">
        <f>_xll.BDH("NBIX US Equity","PCT_IND_DIRECTORS_ON_COMP_CMTE","FY 2000","FY 2000","Currency=USD","Period=FQ","BEST_FPERIOD_OVERRIDE=FQ","FILING_STATUS=MR","Sort=A","Dates=H","DateFormat=P","Fill=—","Direction=H","UseDPDF=Y")</f>
        <v>—</v>
      </c>
      <c r="D44" s="14" t="str">
        <f>_xll.BDH("NBIX US Equity","PCT_IND_DIRECTORS_ON_COMP_CMTE","FY 2001","FY 2001","Currency=USD","Period=FQ","BEST_FPERIOD_OVERRIDE=FQ","FILING_STATUS=MR","Sort=A","Dates=H","DateFormat=P","Fill=—","Direction=H","UseDPDF=Y")</f>
        <v>—</v>
      </c>
      <c r="E44" s="14" t="str">
        <f>_xll.BDH("NBIX US Equity","PCT_IND_DIRECTORS_ON_COMP_CMTE","FY 2002","FY 2002","Currency=USD","Period=FQ","BEST_FPERIOD_OVERRIDE=FQ","FILING_STATUS=MR","Sort=A","Dates=H","DateFormat=P","Fill=—","Direction=H","UseDPDF=Y")</f>
        <v>—</v>
      </c>
      <c r="F44" s="14" t="str">
        <f>_xll.BDH("NBIX US Equity","PCT_IND_DIRECTORS_ON_COMP_CMTE","FY 2003","FY 2003","Currency=USD","Period=FQ","BEST_FPERIOD_OVERRIDE=FQ","FILING_STATUS=MR","Sort=A","Dates=H","DateFormat=P","Fill=—","Direction=H","UseDPDF=Y")</f>
        <v>—</v>
      </c>
      <c r="G44" s="14" t="str">
        <f>_xll.BDH("NBIX US Equity","PCT_IND_DIRECTORS_ON_COMP_CMTE","FY 2004","FY 2004","Currency=USD","Period=FQ","BEST_FPERIOD_OVERRIDE=FQ","FILING_STATUS=MR","Sort=A","Dates=H","DateFormat=P","Fill=—","Direction=H","UseDPDF=Y")</f>
        <v>—</v>
      </c>
      <c r="H44" s="14" t="str">
        <f>_xll.BDH("NBIX US Equity","PCT_IND_DIRECTORS_ON_COMP_CMTE","FY 2005","FY 2005","Currency=USD","Period=FQ","BEST_FPERIOD_OVERRIDE=FQ","FILING_STATUS=MR","Sort=A","Dates=H","DateFormat=P","Fill=—","Direction=H","UseDPDF=Y")</f>
        <v>—</v>
      </c>
      <c r="I44" s="14" t="str">
        <f>_xll.BDH("NBIX US Equity","PCT_IND_DIRECTORS_ON_COMP_CMTE","FY 2006","FY 2006","Currency=USD","Period=FQ","BEST_FPERIOD_OVERRIDE=FQ","FILING_STATUS=MR","Sort=A","Dates=H","DateFormat=P","Fill=—","Direction=H","UseDPDF=Y")</f>
        <v>—</v>
      </c>
      <c r="J44" s="14" t="str">
        <f>_xll.BDH("NBIX US Equity","PCT_IND_DIRECTORS_ON_COMP_CMTE","FY 2007","FY 2007","Currency=USD","Period=FQ","BEST_FPERIOD_OVERRIDE=FQ","FILING_STATUS=MR","Sort=A","Dates=H","DateFormat=P","Fill=—","Direction=H","UseDPDF=Y")</f>
        <v>—</v>
      </c>
      <c r="K44" s="14" t="str">
        <f>_xll.BDH("NBIX US Equity","PCT_IND_DIRECTORS_ON_COMP_CMTE","FY 2008","FY 2008","Currency=USD","Period=FQ","BEST_FPERIOD_OVERRIDE=FQ","FILING_STATUS=MR","Sort=A","Dates=H","DateFormat=P","Fill=—","Direction=H","UseDPDF=Y")</f>
        <v>—</v>
      </c>
      <c r="L44" s="14" t="str">
        <f>_xll.BDH("NBIX US Equity","PCT_IND_DIRECTORS_ON_COMP_CMTE","FY 2009","FY 2009","Currency=USD","Period=FQ","BEST_FPERIOD_OVERRIDE=FQ","FILING_STATUS=MR","Sort=A","Dates=H","DateFormat=P","Fill=—","Direction=H","UseDPDF=Y")</f>
        <v>—</v>
      </c>
      <c r="M44" s="14" t="str">
        <f>_xll.BDH("NBIX US Equity","PCT_IND_DIRECTORS_ON_COMP_CMTE","FY 2010","FY 2010","Currency=USD","Period=FQ","BEST_FPERIOD_OVERRIDE=FQ","FILING_STATUS=MR","Sort=A","Dates=H","DateFormat=P","Fill=—","Direction=H","UseDPDF=Y")</f>
        <v>—</v>
      </c>
      <c r="N44" s="14" t="str">
        <f>_xll.BDH("NBIX US Equity","PCT_IND_DIRECTORS_ON_COMP_CMTE","FY 2011","FY 2011","Currency=USD","Period=FQ","BEST_FPERIOD_OVERRIDE=FQ","FILING_STATUS=MR","Sort=A","Dates=H","DateFormat=P","Fill=—","Direction=H","UseDPDF=Y")</f>
        <v>—</v>
      </c>
      <c r="O44" s="14" t="str">
        <f>_xll.BDH("NBIX US Equity","PCT_IND_DIRECTORS_ON_COMP_CMTE","FY 2012","FY 2012","Currency=USD","Period=FQ","BEST_FPERIOD_OVERRIDE=FQ","FILING_STATUS=MR","Sort=A","Dates=H","DateFormat=P","Fill=—","Direction=H","UseDPDF=Y")</f>
        <v>—</v>
      </c>
      <c r="P44" s="14" t="str">
        <f>_xll.BDH("NBIX US Equity","PCT_IND_DIRECTORS_ON_COMP_CMTE","FY 2013","FY 2013","Currency=USD","Period=FQ","BEST_FPERIOD_OVERRIDE=FQ","FILING_STATUS=MR","Sort=A","Dates=H","DateFormat=P","Fill=—","Direction=H","UseDPDF=Y")</f>
        <v>—</v>
      </c>
      <c r="Q44" s="14" t="str">
        <f>_xll.BDH("NBIX US Equity","PCT_IND_DIRECTORS_ON_COMP_CMTE","FY 2014","FY 2014","Currency=USD","Period=FQ","BEST_FPERIOD_OVERRIDE=FQ","FILING_STATUS=MR","Sort=A","Dates=H","DateFormat=P","Fill=—","Direction=H","UseDPDF=Y")</f>
        <v>—</v>
      </c>
      <c r="R44" s="14" t="str">
        <f>_xll.BDH("NBIX US Equity","PCT_IND_DIRECTORS_ON_COMP_CMTE","FY 2015","FY 2015","Currency=USD","Period=FQ","BEST_FPERIOD_OVERRIDE=FQ","FILING_STATUS=MR","Sort=A","Dates=H","DateFormat=P","Fill=—","Direction=H","UseDPDF=Y")</f>
        <v>—</v>
      </c>
      <c r="S44" s="14" t="str">
        <f>_xll.BDH("NBIX US Equity","PCT_IND_DIRECTORS_ON_COMP_CMTE","FY 2016","FY 2016","Currency=USD","Period=FQ","BEST_FPERIOD_OVERRIDE=FQ","FILING_STATUS=MR","Sort=A","Dates=H","DateFormat=P","Fill=—","Direction=H","UseDPDF=Y")</f>
        <v>—</v>
      </c>
      <c r="T44" s="14" t="str">
        <f>_xll.BDH("NBIX US Equity","PCT_IND_DIRECTORS_ON_COMP_CMTE","FY 2017","FY 2017","Currency=USD","Period=FQ","BEST_FPERIOD_OVERRIDE=FQ","FILING_STATUS=MR","Sort=A","Dates=H","DateFormat=P","Fill=—","Direction=H","UseDPDF=Y")</f>
        <v>—</v>
      </c>
      <c r="U44" s="14" t="str">
        <f>_xll.BDH("NBIX US Equity","PCT_IND_DIRECTORS_ON_COMP_CMTE","FY 2018","FY 2018","Currency=USD","Period=FQ","BEST_FPERIOD_OVERRIDE=FQ","FILING_STATUS=MR","Sort=A","Dates=H","DateFormat=P","Fill=—","Direction=H","UseDPDF=Y")</f>
        <v>—</v>
      </c>
      <c r="V44" s="14" t="str">
        <f>_xll.BDH("NBIX US Equity","PCT_IND_DIRECTORS_ON_COMP_CMTE","FY 2019","FY 2019","Currency=USD","Period=FQ","BEST_FPERIOD_OVERRIDE=FQ","FILING_STATUS=MR","Sort=A","Dates=H","DateFormat=P","Fill=—","Direction=H","UseDPDF=Y")</f>
        <v>—</v>
      </c>
      <c r="W44" s="14" t="str">
        <f>_xll.BDH("NBIX US Equity","PCT_IND_DIRECTORS_ON_COMP_CMTE","FY 2020","FY 2020","Currency=USD","Period=FQ","BEST_FPERIOD_OVERRIDE=FQ","FILING_STATUS=MR","Sort=A","Dates=H","DateFormat=P","Fill=—","Direction=H","UseDPDF=Y")</f>
        <v>—</v>
      </c>
      <c r="X44" s="14" t="str">
        <f>_xll.BDH("NBIX US Equity","PCT_IND_DIRECTORS_ON_COMP_CMTE","FY 2021","FY 2021","Currency=USD","Period=FQ","BEST_FPERIOD_OVERRIDE=FQ","FILING_STATUS=MR","Sort=A","Dates=H","DateFormat=P","Fill=—","Direction=H","UseDPDF=Y")</f>
        <v>—</v>
      </c>
      <c r="Y44" s="14" t="str">
        <f>_xll.BDH("NBIX US Equity","PCT_IND_DIRECTORS_ON_COMP_CMTE","FY 2022","FY 2022","Currency=USD","Period=FQ","BEST_FPERIOD_OVERRIDE=FQ","FILING_STATUS=MR","Sort=A","Dates=H","DateFormat=P","Fill=—","Direction=H","UseDPDF=Y")</f>
        <v>—</v>
      </c>
      <c r="Z44" s="14" t="str">
        <f>_xll.BDH("NBIX US Equity","PCT_IND_DIRECTORS_ON_COMP_CMTE","FY 2023","FY 2023","Currency=USD","Period=FQ","BEST_FPERIOD_OVERRIDE=FQ","FILING_STATUS=MR","Sort=A","Dates=H","DateFormat=P","Fill=—","Direction=H","UseDPDF=Y")</f>
        <v>—</v>
      </c>
      <c r="AA44" s="14" t="str">
        <f>_xll.BDH("NBIX US Equity","PCT_IND_DIRECTORS_ON_COMP_CMTE","FY 2024","FY 2024","Currency=USD","Period=FQ","BEST_FPERIOD_OVERRIDE=FQ","FILING_STATUS=MR","Sort=A","Dates=H","DateFormat=P","Fill=—","Direction=H","UseDPDF=Y")</f>
        <v>—</v>
      </c>
    </row>
    <row r="45" spans="1:27" x14ac:dyDescent="0.25">
      <c r="A45" s="10" t="s">
        <v>1654</v>
      </c>
      <c r="B45" s="10" t="s">
        <v>1655</v>
      </c>
      <c r="C45" s="14" t="str">
        <f>_xll.BDH("NBIX US Equity","COMPENSATION_CMTE_MTG_ATTEND_PCT","FY 2000","FY 2000","Currency=USD","Period=FQ","BEST_FPERIOD_OVERRIDE=FQ","FILING_STATUS=MR","Sort=A","Dates=H","DateFormat=P","Fill=—","Direction=H","UseDPDF=Y")</f>
        <v>—</v>
      </c>
      <c r="D45" s="14" t="str">
        <f>_xll.BDH("NBIX US Equity","COMPENSATION_CMTE_MTG_ATTEND_PCT","FY 2001","FY 2001","Currency=USD","Period=FQ","BEST_FPERIOD_OVERRIDE=FQ","FILING_STATUS=MR","Sort=A","Dates=H","DateFormat=P","Fill=—","Direction=H","UseDPDF=Y")</f>
        <v>—</v>
      </c>
      <c r="E45" s="14" t="str">
        <f>_xll.BDH("NBIX US Equity","COMPENSATION_CMTE_MTG_ATTEND_PCT","FY 2002","FY 2002","Currency=USD","Period=FQ","BEST_FPERIOD_OVERRIDE=FQ","FILING_STATUS=MR","Sort=A","Dates=H","DateFormat=P","Fill=—","Direction=H","UseDPDF=Y")</f>
        <v>—</v>
      </c>
      <c r="F45" s="14" t="str">
        <f>_xll.BDH("NBIX US Equity","COMPENSATION_CMTE_MTG_ATTEND_PCT","FY 2003","FY 2003","Currency=USD","Period=FQ","BEST_FPERIOD_OVERRIDE=FQ","FILING_STATUS=MR","Sort=A","Dates=H","DateFormat=P","Fill=—","Direction=H","UseDPDF=Y")</f>
        <v>—</v>
      </c>
      <c r="G45" s="14" t="str">
        <f>_xll.BDH("NBIX US Equity","COMPENSATION_CMTE_MTG_ATTEND_PCT","FY 2004","FY 2004","Currency=USD","Period=FQ","BEST_FPERIOD_OVERRIDE=FQ","FILING_STATUS=MR","Sort=A","Dates=H","DateFormat=P","Fill=—","Direction=H","UseDPDF=Y")</f>
        <v>—</v>
      </c>
      <c r="H45" s="14" t="str">
        <f>_xll.BDH("NBIX US Equity","COMPENSATION_CMTE_MTG_ATTEND_PCT","FY 2005","FY 2005","Currency=USD","Period=FQ","BEST_FPERIOD_OVERRIDE=FQ","FILING_STATUS=MR","Sort=A","Dates=H","DateFormat=P","Fill=—","Direction=H","UseDPDF=Y")</f>
        <v>—</v>
      </c>
      <c r="I45" s="14" t="str">
        <f>_xll.BDH("NBIX US Equity","COMPENSATION_CMTE_MTG_ATTEND_PCT","FY 2006","FY 2006","Currency=USD","Period=FQ","BEST_FPERIOD_OVERRIDE=FQ","FILING_STATUS=MR","Sort=A","Dates=H","DateFormat=P","Fill=—","Direction=H","UseDPDF=Y")</f>
        <v>—</v>
      </c>
      <c r="J45" s="14" t="str">
        <f>_xll.BDH("NBIX US Equity","COMPENSATION_CMTE_MTG_ATTEND_PCT","FY 2007","FY 2007","Currency=USD","Period=FQ","BEST_FPERIOD_OVERRIDE=FQ","FILING_STATUS=MR","Sort=A","Dates=H","DateFormat=P","Fill=—","Direction=H","UseDPDF=Y")</f>
        <v>—</v>
      </c>
      <c r="K45" s="14" t="str">
        <f>_xll.BDH("NBIX US Equity","COMPENSATION_CMTE_MTG_ATTEND_PCT","FY 2008","FY 2008","Currency=USD","Period=FQ","BEST_FPERIOD_OVERRIDE=FQ","FILING_STATUS=MR","Sort=A","Dates=H","DateFormat=P","Fill=—","Direction=H","UseDPDF=Y")</f>
        <v>—</v>
      </c>
      <c r="L45" s="14" t="str">
        <f>_xll.BDH("NBIX US Equity","COMPENSATION_CMTE_MTG_ATTEND_PCT","FY 2009","FY 2009","Currency=USD","Period=FQ","BEST_FPERIOD_OVERRIDE=FQ","FILING_STATUS=MR","Sort=A","Dates=H","DateFormat=P","Fill=—","Direction=H","UseDPDF=Y")</f>
        <v>—</v>
      </c>
      <c r="M45" s="14" t="str">
        <f>_xll.BDH("NBIX US Equity","COMPENSATION_CMTE_MTG_ATTEND_PCT","FY 2010","FY 2010","Currency=USD","Period=FQ","BEST_FPERIOD_OVERRIDE=FQ","FILING_STATUS=MR","Sort=A","Dates=H","DateFormat=P","Fill=—","Direction=H","UseDPDF=Y")</f>
        <v>—</v>
      </c>
      <c r="N45" s="14" t="str">
        <f>_xll.BDH("NBIX US Equity","COMPENSATION_CMTE_MTG_ATTEND_PCT","FY 2011","FY 2011","Currency=USD","Period=FQ","BEST_FPERIOD_OVERRIDE=FQ","FILING_STATUS=MR","Sort=A","Dates=H","DateFormat=P","Fill=—","Direction=H","UseDPDF=Y")</f>
        <v>—</v>
      </c>
      <c r="O45" s="14" t="str">
        <f>_xll.BDH("NBIX US Equity","COMPENSATION_CMTE_MTG_ATTEND_PCT","FY 2012","FY 2012","Currency=USD","Period=FQ","BEST_FPERIOD_OVERRIDE=FQ","FILING_STATUS=MR","Sort=A","Dates=H","DateFormat=P","Fill=—","Direction=H","UseDPDF=Y")</f>
        <v>—</v>
      </c>
      <c r="P45" s="14" t="str">
        <f>_xll.BDH("NBIX US Equity","COMPENSATION_CMTE_MTG_ATTEND_PCT","FY 2013","FY 2013","Currency=USD","Period=FQ","BEST_FPERIOD_OVERRIDE=FQ","FILING_STATUS=MR","Sort=A","Dates=H","DateFormat=P","Fill=—","Direction=H","UseDPDF=Y")</f>
        <v>—</v>
      </c>
      <c r="Q45" s="14" t="str">
        <f>_xll.BDH("NBIX US Equity","COMPENSATION_CMTE_MTG_ATTEND_PCT","FY 2014","FY 2014","Currency=USD","Period=FQ","BEST_FPERIOD_OVERRIDE=FQ","FILING_STATUS=MR","Sort=A","Dates=H","DateFormat=P","Fill=—","Direction=H","UseDPDF=Y")</f>
        <v>—</v>
      </c>
      <c r="R45" s="14" t="str">
        <f>_xll.BDH("NBIX US Equity","COMPENSATION_CMTE_MTG_ATTEND_PCT","FY 2015","FY 2015","Currency=USD","Period=FQ","BEST_FPERIOD_OVERRIDE=FQ","FILING_STATUS=MR","Sort=A","Dates=H","DateFormat=P","Fill=—","Direction=H","UseDPDF=Y")</f>
        <v>—</v>
      </c>
      <c r="S45" s="14" t="str">
        <f>_xll.BDH("NBIX US Equity","COMPENSATION_CMTE_MTG_ATTEND_PCT","FY 2016","FY 2016","Currency=USD","Period=FQ","BEST_FPERIOD_OVERRIDE=FQ","FILING_STATUS=MR","Sort=A","Dates=H","DateFormat=P","Fill=—","Direction=H","UseDPDF=Y")</f>
        <v>—</v>
      </c>
      <c r="T45" s="14" t="str">
        <f>_xll.BDH("NBIX US Equity","COMPENSATION_CMTE_MTG_ATTEND_PCT","FY 2017","FY 2017","Currency=USD","Period=FQ","BEST_FPERIOD_OVERRIDE=FQ","FILING_STATUS=MR","Sort=A","Dates=H","DateFormat=P","Fill=—","Direction=H","UseDPDF=Y")</f>
        <v>—</v>
      </c>
      <c r="U45" s="14" t="str">
        <f>_xll.BDH("NBIX US Equity","COMPENSATION_CMTE_MTG_ATTEND_PCT","FY 2018","FY 2018","Currency=USD","Period=FQ","BEST_FPERIOD_OVERRIDE=FQ","FILING_STATUS=MR","Sort=A","Dates=H","DateFormat=P","Fill=—","Direction=H","UseDPDF=Y")</f>
        <v>—</v>
      </c>
      <c r="V45" s="14" t="str">
        <f>_xll.BDH("NBIX US Equity","COMPENSATION_CMTE_MTG_ATTEND_PCT","FY 2019","FY 2019","Currency=USD","Period=FQ","BEST_FPERIOD_OVERRIDE=FQ","FILING_STATUS=MR","Sort=A","Dates=H","DateFormat=P","Fill=—","Direction=H","UseDPDF=Y")</f>
        <v>—</v>
      </c>
      <c r="W45" s="14" t="str">
        <f>_xll.BDH("NBIX US Equity","COMPENSATION_CMTE_MTG_ATTEND_PCT","FY 2020","FY 2020","Currency=USD","Period=FQ","BEST_FPERIOD_OVERRIDE=FQ","FILING_STATUS=MR","Sort=A","Dates=H","DateFormat=P","Fill=—","Direction=H","UseDPDF=Y")</f>
        <v>—</v>
      </c>
      <c r="X45" s="14" t="str">
        <f>_xll.BDH("NBIX US Equity","COMPENSATION_CMTE_MTG_ATTEND_PCT","FY 2021","FY 2021","Currency=USD","Period=FQ","BEST_FPERIOD_OVERRIDE=FQ","FILING_STATUS=MR","Sort=A","Dates=H","DateFormat=P","Fill=—","Direction=H","UseDPDF=Y")</f>
        <v>—</v>
      </c>
      <c r="Y45" s="14" t="str">
        <f>_xll.BDH("NBIX US Equity","COMPENSATION_CMTE_MTG_ATTEND_PCT","FY 2022","FY 2022","Currency=USD","Period=FQ","BEST_FPERIOD_OVERRIDE=FQ","FILING_STATUS=MR","Sort=A","Dates=H","DateFormat=P","Fill=—","Direction=H","UseDPDF=Y")</f>
        <v>—</v>
      </c>
      <c r="Z45" s="14" t="str">
        <f>_xll.BDH("NBIX US Equity","COMPENSATION_CMTE_MTG_ATTEND_PCT","FY 2023","FY 2023","Currency=USD","Period=FQ","BEST_FPERIOD_OVERRIDE=FQ","FILING_STATUS=MR","Sort=A","Dates=H","DateFormat=P","Fill=—","Direction=H","UseDPDF=Y")</f>
        <v>—</v>
      </c>
      <c r="AA45" s="14" t="str">
        <f>_xll.BDH("NBIX US Equity","COMPENSATION_CMTE_MTG_ATTEND_PCT","FY 2024","FY 2024","Currency=USD","Period=FQ","BEST_FPERIOD_OVERRIDE=FQ","FILING_STATUS=MR","Sort=A","Dates=H","DateFormat=P","Fill=—","Direction=H","UseDPDF=Y")</f>
        <v>—</v>
      </c>
    </row>
    <row r="46" spans="1:27" x14ac:dyDescent="0.25">
      <c r="A46" s="10" t="s">
        <v>1656</v>
      </c>
      <c r="B46" s="10" t="s">
        <v>1657</v>
      </c>
      <c r="C46" s="14" t="str">
        <f>_xll.BDH("NBIX US Equity","PCT_OF_IND_DIRECTORS_ON_NOM_CMTE","FY 2000","FY 2000","Currency=USD","Period=FQ","BEST_FPERIOD_OVERRIDE=FQ","FILING_STATUS=MR","Sort=A","Dates=H","DateFormat=P","Fill=—","Direction=H","UseDPDF=Y")</f>
        <v>—</v>
      </c>
      <c r="D46" s="14" t="str">
        <f>_xll.BDH("NBIX US Equity","PCT_OF_IND_DIRECTORS_ON_NOM_CMTE","FY 2001","FY 2001","Currency=USD","Period=FQ","BEST_FPERIOD_OVERRIDE=FQ","FILING_STATUS=MR","Sort=A","Dates=H","DateFormat=P","Fill=—","Direction=H","UseDPDF=Y")</f>
        <v>—</v>
      </c>
      <c r="E46" s="14" t="str">
        <f>_xll.BDH("NBIX US Equity","PCT_OF_IND_DIRECTORS_ON_NOM_CMTE","FY 2002","FY 2002","Currency=USD","Period=FQ","BEST_FPERIOD_OVERRIDE=FQ","FILING_STATUS=MR","Sort=A","Dates=H","DateFormat=P","Fill=—","Direction=H","UseDPDF=Y")</f>
        <v>—</v>
      </c>
      <c r="F46" s="14" t="str">
        <f>_xll.BDH("NBIX US Equity","PCT_OF_IND_DIRECTORS_ON_NOM_CMTE","FY 2003","FY 2003","Currency=USD","Period=FQ","BEST_FPERIOD_OVERRIDE=FQ","FILING_STATUS=MR","Sort=A","Dates=H","DateFormat=P","Fill=—","Direction=H","UseDPDF=Y")</f>
        <v>—</v>
      </c>
      <c r="G46" s="14" t="str">
        <f>_xll.BDH("NBIX US Equity","PCT_OF_IND_DIRECTORS_ON_NOM_CMTE","FY 2004","FY 2004","Currency=USD","Period=FQ","BEST_FPERIOD_OVERRIDE=FQ","FILING_STATUS=MR","Sort=A","Dates=H","DateFormat=P","Fill=—","Direction=H","UseDPDF=Y")</f>
        <v>—</v>
      </c>
      <c r="H46" s="14" t="str">
        <f>_xll.BDH("NBIX US Equity","PCT_OF_IND_DIRECTORS_ON_NOM_CMTE","FY 2005","FY 2005","Currency=USD","Period=FQ","BEST_FPERIOD_OVERRIDE=FQ","FILING_STATUS=MR","Sort=A","Dates=H","DateFormat=P","Fill=—","Direction=H","UseDPDF=Y")</f>
        <v>—</v>
      </c>
      <c r="I46" s="14" t="str">
        <f>_xll.BDH("NBIX US Equity","PCT_OF_IND_DIRECTORS_ON_NOM_CMTE","FY 2006","FY 2006","Currency=USD","Period=FQ","BEST_FPERIOD_OVERRIDE=FQ","FILING_STATUS=MR","Sort=A","Dates=H","DateFormat=P","Fill=—","Direction=H","UseDPDF=Y")</f>
        <v>—</v>
      </c>
      <c r="J46" s="14" t="str">
        <f>_xll.BDH("NBIX US Equity","PCT_OF_IND_DIRECTORS_ON_NOM_CMTE","FY 2007","FY 2007","Currency=USD","Period=FQ","BEST_FPERIOD_OVERRIDE=FQ","FILING_STATUS=MR","Sort=A","Dates=H","DateFormat=P","Fill=—","Direction=H","UseDPDF=Y")</f>
        <v>—</v>
      </c>
      <c r="K46" s="14" t="str">
        <f>_xll.BDH("NBIX US Equity","PCT_OF_IND_DIRECTORS_ON_NOM_CMTE","FY 2008","FY 2008","Currency=USD","Period=FQ","BEST_FPERIOD_OVERRIDE=FQ","FILING_STATUS=MR","Sort=A","Dates=H","DateFormat=P","Fill=—","Direction=H","UseDPDF=Y")</f>
        <v>—</v>
      </c>
      <c r="L46" s="14" t="str">
        <f>_xll.BDH("NBIX US Equity","PCT_OF_IND_DIRECTORS_ON_NOM_CMTE","FY 2009","FY 2009","Currency=USD","Period=FQ","BEST_FPERIOD_OVERRIDE=FQ","FILING_STATUS=MR","Sort=A","Dates=H","DateFormat=P","Fill=—","Direction=H","UseDPDF=Y")</f>
        <v>—</v>
      </c>
      <c r="M46" s="14" t="str">
        <f>_xll.BDH("NBIX US Equity","PCT_OF_IND_DIRECTORS_ON_NOM_CMTE","FY 2010","FY 2010","Currency=USD","Period=FQ","BEST_FPERIOD_OVERRIDE=FQ","FILING_STATUS=MR","Sort=A","Dates=H","DateFormat=P","Fill=—","Direction=H","UseDPDF=Y")</f>
        <v>—</v>
      </c>
      <c r="N46" s="14" t="str">
        <f>_xll.BDH("NBIX US Equity","PCT_OF_IND_DIRECTORS_ON_NOM_CMTE","FY 2011","FY 2011","Currency=USD","Period=FQ","BEST_FPERIOD_OVERRIDE=FQ","FILING_STATUS=MR","Sort=A","Dates=H","DateFormat=P","Fill=—","Direction=H","UseDPDF=Y")</f>
        <v>—</v>
      </c>
      <c r="O46" s="14" t="str">
        <f>_xll.BDH("NBIX US Equity","PCT_OF_IND_DIRECTORS_ON_NOM_CMTE","FY 2012","FY 2012","Currency=USD","Period=FQ","BEST_FPERIOD_OVERRIDE=FQ","FILING_STATUS=MR","Sort=A","Dates=H","DateFormat=P","Fill=—","Direction=H","UseDPDF=Y")</f>
        <v>—</v>
      </c>
      <c r="P46" s="14" t="str">
        <f>_xll.BDH("NBIX US Equity","PCT_OF_IND_DIRECTORS_ON_NOM_CMTE","FY 2013","FY 2013","Currency=USD","Period=FQ","BEST_FPERIOD_OVERRIDE=FQ","FILING_STATUS=MR","Sort=A","Dates=H","DateFormat=P","Fill=—","Direction=H","UseDPDF=Y")</f>
        <v>—</v>
      </c>
      <c r="Q46" s="14" t="str">
        <f>_xll.BDH("NBIX US Equity","PCT_OF_IND_DIRECTORS_ON_NOM_CMTE","FY 2014","FY 2014","Currency=USD","Period=FQ","BEST_FPERIOD_OVERRIDE=FQ","FILING_STATUS=MR","Sort=A","Dates=H","DateFormat=P","Fill=—","Direction=H","UseDPDF=Y")</f>
        <v>—</v>
      </c>
      <c r="R46" s="14" t="str">
        <f>_xll.BDH("NBIX US Equity","PCT_OF_IND_DIRECTORS_ON_NOM_CMTE","FY 2015","FY 2015","Currency=USD","Period=FQ","BEST_FPERIOD_OVERRIDE=FQ","FILING_STATUS=MR","Sort=A","Dates=H","DateFormat=P","Fill=—","Direction=H","UseDPDF=Y")</f>
        <v>—</v>
      </c>
      <c r="S46" s="14" t="str">
        <f>_xll.BDH("NBIX US Equity","PCT_OF_IND_DIRECTORS_ON_NOM_CMTE","FY 2016","FY 2016","Currency=USD","Period=FQ","BEST_FPERIOD_OVERRIDE=FQ","FILING_STATUS=MR","Sort=A","Dates=H","DateFormat=P","Fill=—","Direction=H","UseDPDF=Y")</f>
        <v>—</v>
      </c>
      <c r="T46" s="14" t="str">
        <f>_xll.BDH("NBIX US Equity","PCT_OF_IND_DIRECTORS_ON_NOM_CMTE","FY 2017","FY 2017","Currency=USD","Period=FQ","BEST_FPERIOD_OVERRIDE=FQ","FILING_STATUS=MR","Sort=A","Dates=H","DateFormat=P","Fill=—","Direction=H","UseDPDF=Y")</f>
        <v>—</v>
      </c>
      <c r="U46" s="14" t="str">
        <f>_xll.BDH("NBIX US Equity","PCT_OF_IND_DIRECTORS_ON_NOM_CMTE","FY 2018","FY 2018","Currency=USD","Period=FQ","BEST_FPERIOD_OVERRIDE=FQ","FILING_STATUS=MR","Sort=A","Dates=H","DateFormat=P","Fill=—","Direction=H","UseDPDF=Y")</f>
        <v>—</v>
      </c>
      <c r="V46" s="14" t="str">
        <f>_xll.BDH("NBIX US Equity","PCT_OF_IND_DIRECTORS_ON_NOM_CMTE","FY 2019","FY 2019","Currency=USD","Period=FQ","BEST_FPERIOD_OVERRIDE=FQ","FILING_STATUS=MR","Sort=A","Dates=H","DateFormat=P","Fill=—","Direction=H","UseDPDF=Y")</f>
        <v>—</v>
      </c>
      <c r="W46" s="14" t="str">
        <f>_xll.BDH("NBIX US Equity","PCT_OF_IND_DIRECTORS_ON_NOM_CMTE","FY 2020","FY 2020","Currency=USD","Period=FQ","BEST_FPERIOD_OVERRIDE=FQ","FILING_STATUS=MR","Sort=A","Dates=H","DateFormat=P","Fill=—","Direction=H","UseDPDF=Y")</f>
        <v>—</v>
      </c>
      <c r="X46" s="14" t="str">
        <f>_xll.BDH("NBIX US Equity","PCT_OF_IND_DIRECTORS_ON_NOM_CMTE","FY 2021","FY 2021","Currency=USD","Period=FQ","BEST_FPERIOD_OVERRIDE=FQ","FILING_STATUS=MR","Sort=A","Dates=H","DateFormat=P","Fill=—","Direction=H","UseDPDF=Y")</f>
        <v>—</v>
      </c>
      <c r="Y46" s="14" t="str">
        <f>_xll.BDH("NBIX US Equity","PCT_OF_IND_DIRECTORS_ON_NOM_CMTE","FY 2022","FY 2022","Currency=USD","Period=FQ","BEST_FPERIOD_OVERRIDE=FQ","FILING_STATUS=MR","Sort=A","Dates=H","DateFormat=P","Fill=—","Direction=H","UseDPDF=Y")</f>
        <v>—</v>
      </c>
      <c r="Z46" s="14" t="str">
        <f>_xll.BDH("NBIX US Equity","PCT_OF_IND_DIRECTORS_ON_NOM_CMTE","FY 2023","FY 2023","Currency=USD","Period=FQ","BEST_FPERIOD_OVERRIDE=FQ","FILING_STATUS=MR","Sort=A","Dates=H","DateFormat=P","Fill=—","Direction=H","UseDPDF=Y")</f>
        <v>—</v>
      </c>
      <c r="AA46" s="14" t="str">
        <f>_xll.BDH("NBIX US Equity","PCT_OF_IND_DIRECTORS_ON_NOM_CMTE","FY 2024","FY 2024","Currency=USD","Period=FQ","BEST_FPERIOD_OVERRIDE=FQ","FILING_STATUS=MR","Sort=A","Dates=H","DateFormat=P","Fill=—","Direction=H","UseDPDF=Y")</f>
        <v>—</v>
      </c>
    </row>
    <row r="47" spans="1:27" x14ac:dyDescent="0.25">
      <c r="A47" s="10" t="s">
        <v>1658</v>
      </c>
      <c r="B47" s="10" t="s">
        <v>1659</v>
      </c>
      <c r="C47" s="14" t="str">
        <f>_xll.BDH("NBIX US Equity","PCT_OWNERSHIP_REQ_SPECIAL_MTG","FY 2000","FY 2000","Currency=USD","Period=FQ","BEST_FPERIOD_OVERRIDE=FQ","FILING_STATUS=MR","Sort=A","Dates=H","DateFormat=P","Fill=—","Direction=H","UseDPDF=Y")</f>
        <v>—</v>
      </c>
      <c r="D47" s="14" t="str">
        <f>_xll.BDH("NBIX US Equity","PCT_OWNERSHIP_REQ_SPECIAL_MTG","FY 2001","FY 2001","Currency=USD","Period=FQ","BEST_FPERIOD_OVERRIDE=FQ","FILING_STATUS=MR","Sort=A","Dates=H","DateFormat=P","Fill=—","Direction=H","UseDPDF=Y")</f>
        <v>—</v>
      </c>
      <c r="E47" s="14" t="str">
        <f>_xll.BDH("NBIX US Equity","PCT_OWNERSHIP_REQ_SPECIAL_MTG","FY 2002","FY 2002","Currency=USD","Period=FQ","BEST_FPERIOD_OVERRIDE=FQ","FILING_STATUS=MR","Sort=A","Dates=H","DateFormat=P","Fill=—","Direction=H","UseDPDF=Y")</f>
        <v>—</v>
      </c>
      <c r="F47" s="14" t="str">
        <f>_xll.BDH("NBIX US Equity","PCT_OWNERSHIP_REQ_SPECIAL_MTG","FY 2003","FY 2003","Currency=USD","Period=FQ","BEST_FPERIOD_OVERRIDE=FQ","FILING_STATUS=MR","Sort=A","Dates=H","DateFormat=P","Fill=—","Direction=H","UseDPDF=Y")</f>
        <v>—</v>
      </c>
      <c r="G47" s="14" t="str">
        <f>_xll.BDH("NBIX US Equity","PCT_OWNERSHIP_REQ_SPECIAL_MTG","FY 2004","FY 2004","Currency=USD","Period=FQ","BEST_FPERIOD_OVERRIDE=FQ","FILING_STATUS=MR","Sort=A","Dates=H","DateFormat=P","Fill=—","Direction=H","UseDPDF=Y")</f>
        <v>—</v>
      </c>
      <c r="H47" s="14" t="str">
        <f>_xll.BDH("NBIX US Equity","PCT_OWNERSHIP_REQ_SPECIAL_MTG","FY 2005","FY 2005","Currency=USD","Period=FQ","BEST_FPERIOD_OVERRIDE=FQ","FILING_STATUS=MR","Sort=A","Dates=H","DateFormat=P","Fill=—","Direction=H","UseDPDF=Y")</f>
        <v>—</v>
      </c>
      <c r="I47" s="14" t="str">
        <f>_xll.BDH("NBIX US Equity","PCT_OWNERSHIP_REQ_SPECIAL_MTG","FY 2006","FY 2006","Currency=USD","Period=FQ","BEST_FPERIOD_OVERRIDE=FQ","FILING_STATUS=MR","Sort=A","Dates=H","DateFormat=P","Fill=—","Direction=H","UseDPDF=Y")</f>
        <v>—</v>
      </c>
      <c r="J47" s="14" t="str">
        <f>_xll.BDH("NBIX US Equity","PCT_OWNERSHIP_REQ_SPECIAL_MTG","FY 2007","FY 2007","Currency=USD","Period=FQ","BEST_FPERIOD_OVERRIDE=FQ","FILING_STATUS=MR","Sort=A","Dates=H","DateFormat=P","Fill=—","Direction=H","UseDPDF=Y")</f>
        <v>—</v>
      </c>
      <c r="K47" s="14" t="str">
        <f>_xll.BDH("NBIX US Equity","PCT_OWNERSHIP_REQ_SPECIAL_MTG","FY 2008","FY 2008","Currency=USD","Period=FQ","BEST_FPERIOD_OVERRIDE=FQ","FILING_STATUS=MR","Sort=A","Dates=H","DateFormat=P","Fill=—","Direction=H","UseDPDF=Y")</f>
        <v>—</v>
      </c>
      <c r="L47" s="14" t="str">
        <f>_xll.BDH("NBIX US Equity","PCT_OWNERSHIP_REQ_SPECIAL_MTG","FY 2009","FY 2009","Currency=USD","Period=FQ","BEST_FPERIOD_OVERRIDE=FQ","FILING_STATUS=MR","Sort=A","Dates=H","DateFormat=P","Fill=—","Direction=H","UseDPDF=Y")</f>
        <v>—</v>
      </c>
      <c r="M47" s="14" t="str">
        <f>_xll.BDH("NBIX US Equity","PCT_OWNERSHIP_REQ_SPECIAL_MTG","FY 2010","FY 2010","Currency=USD","Period=FQ","BEST_FPERIOD_OVERRIDE=FQ","FILING_STATUS=MR","Sort=A","Dates=H","DateFormat=P","Fill=—","Direction=H","UseDPDF=Y")</f>
        <v>—</v>
      </c>
      <c r="N47" s="14" t="str">
        <f>_xll.BDH("NBIX US Equity","PCT_OWNERSHIP_REQ_SPECIAL_MTG","FY 2011","FY 2011","Currency=USD","Period=FQ","BEST_FPERIOD_OVERRIDE=FQ","FILING_STATUS=MR","Sort=A","Dates=H","DateFormat=P","Fill=—","Direction=H","UseDPDF=Y")</f>
        <v>—</v>
      </c>
      <c r="O47" s="14" t="str">
        <f>_xll.BDH("NBIX US Equity","PCT_OWNERSHIP_REQ_SPECIAL_MTG","FY 2012","FY 2012","Currency=USD","Period=FQ","BEST_FPERIOD_OVERRIDE=FQ","FILING_STATUS=MR","Sort=A","Dates=H","DateFormat=P","Fill=—","Direction=H","UseDPDF=Y")</f>
        <v>—</v>
      </c>
      <c r="P47" s="14" t="str">
        <f>_xll.BDH("NBIX US Equity","PCT_OWNERSHIP_REQ_SPECIAL_MTG","FY 2013","FY 2013","Currency=USD","Period=FQ","BEST_FPERIOD_OVERRIDE=FQ","FILING_STATUS=MR","Sort=A","Dates=H","DateFormat=P","Fill=—","Direction=H","UseDPDF=Y")</f>
        <v>—</v>
      </c>
      <c r="Q47" s="14" t="str">
        <f>_xll.BDH("NBIX US Equity","PCT_OWNERSHIP_REQ_SPECIAL_MTG","FY 2014","FY 2014","Currency=USD","Period=FQ","BEST_FPERIOD_OVERRIDE=FQ","FILING_STATUS=MR","Sort=A","Dates=H","DateFormat=P","Fill=—","Direction=H","UseDPDF=Y")</f>
        <v>—</v>
      </c>
      <c r="R47" s="14" t="str">
        <f>_xll.BDH("NBIX US Equity","PCT_OWNERSHIP_REQ_SPECIAL_MTG","FY 2015","FY 2015","Currency=USD","Period=FQ","BEST_FPERIOD_OVERRIDE=FQ","FILING_STATUS=MR","Sort=A","Dates=H","DateFormat=P","Fill=—","Direction=H","UseDPDF=Y")</f>
        <v>—</v>
      </c>
      <c r="S47" s="14" t="str">
        <f>_xll.BDH("NBIX US Equity","PCT_OWNERSHIP_REQ_SPECIAL_MTG","FY 2016","FY 2016","Currency=USD","Period=FQ","BEST_FPERIOD_OVERRIDE=FQ","FILING_STATUS=MR","Sort=A","Dates=H","DateFormat=P","Fill=—","Direction=H","UseDPDF=Y")</f>
        <v>—</v>
      </c>
      <c r="T47" s="14" t="str">
        <f>_xll.BDH("NBIX US Equity","PCT_OWNERSHIP_REQ_SPECIAL_MTG","FY 2017","FY 2017","Currency=USD","Period=FQ","BEST_FPERIOD_OVERRIDE=FQ","FILING_STATUS=MR","Sort=A","Dates=H","DateFormat=P","Fill=—","Direction=H","UseDPDF=Y")</f>
        <v>—</v>
      </c>
      <c r="U47" s="14" t="str">
        <f>_xll.BDH("NBIX US Equity","PCT_OWNERSHIP_REQ_SPECIAL_MTG","FY 2018","FY 2018","Currency=USD","Period=FQ","BEST_FPERIOD_OVERRIDE=FQ","FILING_STATUS=MR","Sort=A","Dates=H","DateFormat=P","Fill=—","Direction=H","UseDPDF=Y")</f>
        <v>—</v>
      </c>
      <c r="V47" s="14" t="str">
        <f>_xll.BDH("NBIX US Equity","PCT_OWNERSHIP_REQ_SPECIAL_MTG","FY 2019","FY 2019","Currency=USD","Period=FQ","BEST_FPERIOD_OVERRIDE=FQ","FILING_STATUS=MR","Sort=A","Dates=H","DateFormat=P","Fill=—","Direction=H","UseDPDF=Y")</f>
        <v>—</v>
      </c>
      <c r="W47" s="14" t="str">
        <f>_xll.BDH("NBIX US Equity","PCT_OWNERSHIP_REQ_SPECIAL_MTG","FY 2020","FY 2020","Currency=USD","Period=FQ","BEST_FPERIOD_OVERRIDE=FQ","FILING_STATUS=MR","Sort=A","Dates=H","DateFormat=P","Fill=—","Direction=H","UseDPDF=Y")</f>
        <v>—</v>
      </c>
      <c r="X47" s="14" t="str">
        <f>_xll.BDH("NBIX US Equity","PCT_OWNERSHIP_REQ_SPECIAL_MTG","FY 2021","FY 2021","Currency=USD","Period=FQ","BEST_FPERIOD_OVERRIDE=FQ","FILING_STATUS=MR","Sort=A","Dates=H","DateFormat=P","Fill=—","Direction=H","UseDPDF=Y")</f>
        <v>—</v>
      </c>
      <c r="Y47" s="14" t="str">
        <f>_xll.BDH("NBIX US Equity","PCT_OWNERSHIP_REQ_SPECIAL_MTG","FY 2022","FY 2022","Currency=USD","Period=FQ","BEST_FPERIOD_OVERRIDE=FQ","FILING_STATUS=MR","Sort=A","Dates=H","DateFormat=P","Fill=—","Direction=H","UseDPDF=Y")</f>
        <v>—</v>
      </c>
      <c r="Z47" s="14" t="str">
        <f>_xll.BDH("NBIX US Equity","PCT_OWNERSHIP_REQ_SPECIAL_MTG","FY 2023","FY 2023","Currency=USD","Period=FQ","BEST_FPERIOD_OVERRIDE=FQ","FILING_STATUS=MR","Sort=A","Dates=H","DateFormat=P","Fill=—","Direction=H","UseDPDF=Y")</f>
        <v>—</v>
      </c>
      <c r="AA47" s="14" t="str">
        <f>_xll.BDH("NBIX US Equity","PCT_OWNERSHIP_REQ_SPECIAL_MTG","FY 2024","FY 2024","Currency=USD","Period=FQ","BEST_FPERIOD_OVERRIDE=FQ","FILING_STATUS=MR","Sort=A","Dates=H","DateFormat=P","Fill=—","Direction=H","UseDPDF=Y")</f>
        <v>—</v>
      </c>
    </row>
    <row r="48" spans="1:27" x14ac:dyDescent="0.25">
      <c r="A48" s="7" t="s">
        <v>90</v>
      </c>
      <c r="B48" s="7"/>
      <c r="C48" s="7" t="s">
        <v>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6" t="s">
        <v>60</v>
      </c>
      <c r="B6" s="6" t="s">
        <v>61</v>
      </c>
      <c r="C6" s="19">
        <f>_xll.BDH("NBIX US Equity","HISTORICAL_MARKET_CAP","FQ3 2019","FQ3 2019","Currency=USD","Period=FQ","BEST_FPERIOD_OVERRIDE=FQ","FILING_STATUS=MR","SCALING_FORMAT=MLN","Sort=A","Dates=H","DateFormat=P","Fill=—","Direction=H","UseDPDF=Y")</f>
        <v>8297.3287999999993</v>
      </c>
      <c r="D6" s="19">
        <f>_xll.BDH("NBIX US Equity","HISTORICAL_MARKET_CAP","FQ4 2019","FQ4 2019","Currency=USD","Period=FQ","BEST_FPERIOD_OVERRIDE=FQ","FILING_STATUS=MR","SCALING_FORMAT=MLN","Sort=A","Dates=H","DateFormat=P","Fill=—","Direction=H","UseDPDF=Y")</f>
        <v>9921.3269999999993</v>
      </c>
      <c r="E6" s="19">
        <f>_xll.BDH("NBIX US Equity","HISTORICAL_MARKET_CAP","FQ1 2020","FQ1 2020","Currency=USD","Period=FQ","BEST_FPERIOD_OVERRIDE=FQ","FILING_STATUS=MR","SCALING_FORMAT=MLN","Sort=A","Dates=H","DateFormat=P","Fill=—","Direction=H","UseDPDF=Y")</f>
        <v>8031.84</v>
      </c>
      <c r="F6" s="19">
        <f>_xll.BDH("NBIX US Equity","HISTORICAL_MARKET_CAP","FQ2 2020","FQ2 2020","Currency=USD","Period=FQ","BEST_FPERIOD_OVERRIDE=FQ","FILING_STATUS=MR","SCALING_FORMAT=MLN","Sort=A","Dates=H","DateFormat=P","Fill=—","Direction=H","UseDPDF=Y")</f>
        <v>11370.4</v>
      </c>
      <c r="G6" s="19">
        <f>_xll.BDH("NBIX US Equity","HISTORICAL_MARKET_CAP","FQ3 2020","FQ3 2020","Currency=USD","Period=FQ","BEST_FPERIOD_OVERRIDE=FQ","FILING_STATUS=MR","SCALING_FORMAT=MLN","Sort=A","Dates=H","DateFormat=P","Fill=—","Direction=H","UseDPDF=Y")</f>
        <v>8981.3439999999991</v>
      </c>
      <c r="H6" s="19">
        <f>_xll.BDH("NBIX US Equity","HISTORICAL_MARKET_CAP","FQ4 2020","FQ4 2020","Currency=USD","Period=FQ","BEST_FPERIOD_OVERRIDE=FQ","FILING_STATUS=MR","SCALING_FORMAT=MLN","Sort=A","Dates=H","DateFormat=P","Fill=—","Direction=H","UseDPDF=Y")</f>
        <v>8961.9750000000004</v>
      </c>
      <c r="I6" s="19">
        <f>_xll.BDH("NBIX US Equity","HISTORICAL_MARKET_CAP","FQ1 2021","FQ1 2021","Currency=USD","Period=FQ","BEST_FPERIOD_OVERRIDE=FQ","FILING_STATUS=MR","SCALING_FORMAT=MLN","Sort=A","Dates=H","DateFormat=P","Fill=—","Direction=H","UseDPDF=Y")</f>
        <v>9190.125</v>
      </c>
      <c r="J6" s="19">
        <f>_xll.BDH("NBIX US Equity","HISTORICAL_MARKET_CAP","FQ2 2021","FQ2 2021","Currency=USD","Period=FQ","BEST_FPERIOD_OVERRIDE=FQ","FILING_STATUS=MR","SCALING_FORMAT=MLN","Sort=A","Dates=H","DateFormat=P","Fill=—","Direction=H","UseDPDF=Y")</f>
        <v>9206.4719999999998</v>
      </c>
      <c r="K6" s="19">
        <f>_xll.BDH("NBIX US Equity","HISTORICAL_MARKET_CAP","FQ3 2021","FQ3 2021","Currency=USD","Period=FQ","BEST_FPERIOD_OVERRIDE=FQ","FILING_STATUS=MR","SCALING_FORMAT=MLN","Sort=A","Dates=H","DateFormat=P","Fill=—","Direction=H","UseDPDF=Y")</f>
        <v>9092.268</v>
      </c>
      <c r="L6" s="19">
        <f>_xll.BDH("NBIX US Equity","HISTORICAL_MARKET_CAP","FQ4 2021","FQ4 2021","Currency=USD","Period=FQ","BEST_FPERIOD_OVERRIDE=FQ","FILING_STATUS=MR","SCALING_FORMAT=MLN","Sort=A","Dates=H","DateFormat=P","Fill=—","Direction=H","UseDPDF=Y")</f>
        <v>8082.6329999999998</v>
      </c>
      <c r="M6" s="19">
        <f>_xll.BDH("NBIX US Equity","HISTORICAL_MARKET_CAP","FQ1 2022","FQ1 2022","Currency=USD","Period=FQ","BEST_FPERIOD_OVERRIDE=FQ","FILING_STATUS=MR","SCALING_FORMAT=MLN","Sort=A","Dates=H","DateFormat=P","Fill=—","Direction=H","UseDPDF=Y")</f>
        <v>8953.125</v>
      </c>
      <c r="N6" s="19">
        <f>_xll.BDH("NBIX US Equity","HISTORICAL_MARKET_CAP","FQ2 2022","FQ2 2022","Currency=USD","Period=FQ","BEST_FPERIOD_OVERRIDE=FQ","FILING_STATUS=MR","SCALING_FORMAT=MLN","Sort=A","Dates=H","DateFormat=P","Fill=—","Direction=H","UseDPDF=Y")</f>
        <v>9319.0879999999997</v>
      </c>
      <c r="O6" s="19">
        <f>_xll.BDH("NBIX US Equity","HISTORICAL_MARKET_CAP","FQ3 2022","FQ3 2022","Currency=USD","Period=FQ","BEST_FPERIOD_OVERRIDE=FQ","FILING_STATUS=MR","SCALING_FORMAT=MLN","Sort=A","Dates=H","DateFormat=P","Fill=—","Direction=H","UseDPDF=Y")</f>
        <v>10206.781000000001</v>
      </c>
      <c r="P6" s="19">
        <f>_xll.BDH("NBIX US Equity","HISTORICAL_MARKET_CAP","FQ4 2022","FQ4 2022","Currency=USD","Period=FQ","BEST_FPERIOD_OVERRIDE=FQ","FILING_STATUS=MR","SCALING_FORMAT=MLN","Sort=A","Dates=H","DateFormat=P","Fill=—","Direction=H","UseDPDF=Y")</f>
        <v>11525.96</v>
      </c>
      <c r="Q6" s="19">
        <f>_xll.BDH("NBIX US Equity","HISTORICAL_MARKET_CAP","FQ1 2023","FQ1 2023","Currency=USD","Period=FQ","BEST_FPERIOD_OVERRIDE=FQ","FILING_STATUS=MR","SCALING_FORMAT=MLN","Sort=A","Dates=H","DateFormat=P","Fill=—","Direction=H","UseDPDF=Y")</f>
        <v>9868.9500000000007</v>
      </c>
      <c r="R6" s="19">
        <f>_xll.BDH("NBIX US Equity","HISTORICAL_MARKET_CAP","FQ2 2023","FQ2 2023","Currency=USD","Period=FQ","BEST_FPERIOD_OVERRIDE=FQ","FILING_STATUS=MR","SCALING_FORMAT=MLN","Sort=A","Dates=H","DateFormat=P","Fill=—","Direction=H","UseDPDF=Y")</f>
        <v>9203.68</v>
      </c>
      <c r="S6" s="19">
        <f>_xll.BDH("NBIX US Equity","HISTORICAL_MARKET_CAP","FQ3 2023","FQ3 2023","Currency=USD","Period=FQ","BEST_FPERIOD_OVERRIDE=FQ","FILING_STATUS=MR","SCALING_FORMAT=MLN","Sort=A","Dates=H","DateFormat=P","Fill=—","Direction=H","UseDPDF=Y")</f>
        <v>11047.5</v>
      </c>
      <c r="T6" s="19">
        <f>_xll.BDH("NBIX US Equity","HISTORICAL_MARKET_CAP","FQ4 2023","FQ4 2023","Currency=USD","Period=FQ","BEST_FPERIOD_OVERRIDE=FQ","FILING_STATUS=MR","SCALING_FORMAT=MLN","Sort=A","Dates=H","DateFormat=P","Fill=—","Direction=H","UseDPDF=Y")</f>
        <v>13004.712</v>
      </c>
      <c r="U6" s="19">
        <f>_xll.BDH("NBIX US Equity","HISTORICAL_MARKET_CAP","FQ1 2024","FQ1 2024","Currency=USD","Period=FQ","BEST_FPERIOD_OVERRIDE=FQ","FILING_STATUS=MR","SCALING_FORMAT=MLN","Sort=A","Dates=H","DateFormat=P","Fill=—","Direction=H","UseDPDF=Y")</f>
        <v>13874.752</v>
      </c>
      <c r="V6" s="19">
        <f>_xll.BDH("NBIX US Equity","HISTORICAL_MARKET_CAP","FQ2 2024","FQ2 2024","Currency=USD","Period=FQ","BEST_FPERIOD_OVERRIDE=FQ","FILING_STATUS=MR","SCALING_FORMAT=MLN","Sort=A","Dates=H","DateFormat=P","Fill=—","Direction=H","UseDPDF=Y")</f>
        <v>13890.903</v>
      </c>
      <c r="W6" s="19">
        <f>_xll.BDH("NBIX US Equity","HISTORICAL_MARKET_CAP","FQ3 2024","FQ3 2024","Currency=USD","Period=FQ","BEST_FPERIOD_OVERRIDE=FQ","FILING_STATUS=MR","SCALING_FORMAT=MLN","Sort=A","Dates=H","DateFormat=P","Fill=—","Direction=H","UseDPDF=Y")</f>
        <v>11660.263999999999</v>
      </c>
      <c r="X6" s="19">
        <f>_xll.BDH("NBIX US Equity","HISTORICAL_MARKET_CAP","FQ4 2024","FQ4 2024","Currency=USD","Period=FQ","BEST_FPERIOD_OVERRIDE=FQ","FILING_STATUS=MR","SCALING_FORMAT=MLN","Sort=A","Dates=H","DateFormat=P","Fill=—","Direction=H","UseDPDF=Y")</f>
        <v>13568.1</v>
      </c>
      <c r="Y6" s="22">
        <v>11272.48076262</v>
      </c>
      <c r="Z6" s="19"/>
      <c r="AA6" s="19"/>
    </row>
    <row r="7" spans="1:27" x14ac:dyDescent="0.25">
      <c r="A7" s="10" t="s">
        <v>166</v>
      </c>
      <c r="B7" s="10" t="s">
        <v>63</v>
      </c>
      <c r="C7" s="13">
        <f>_xll.BDH("NBIX US Equity","CASH_AND_MARKETABLE_SECURITIES","FQ3 2019","FQ3 2019","Currency=USD","Period=FQ","BEST_FPERIOD_OVERRIDE=FQ","FILING_STATUS=MR","SCALING_FORMAT=MLN","Sort=A","Dates=H","DateFormat=P","Fill=—","Direction=H","UseDPDF=Y")</f>
        <v>670.16200000000003</v>
      </c>
      <c r="D7" s="13">
        <f>_xll.BDH("NBIX US Equity","CASH_AND_MARKETABLE_SECURITIES","FQ4 2019","FQ4 2019","Currency=USD","Period=FQ","BEST_FPERIOD_OVERRIDE=FQ","FILING_STATUS=MR","SCALING_FORMAT=MLN","Sort=A","Dates=H","DateFormat=P","Fill=—","Direction=H","UseDPDF=Y")</f>
        <v>670.5</v>
      </c>
      <c r="E7" s="13">
        <f>_xll.BDH("NBIX US Equity","CASH_AND_MARKETABLE_SECURITIES","FQ1 2020","FQ1 2020","Currency=USD","Period=FQ","BEST_FPERIOD_OVERRIDE=FQ","FILING_STATUS=MR","SCALING_FORMAT=MLN","Sort=A","Dates=H","DateFormat=P","Fill=—","Direction=H","UseDPDF=Y")</f>
        <v>771.7</v>
      </c>
      <c r="F7" s="13">
        <f>_xll.BDH("NBIX US Equity","CASH_AND_MARKETABLE_SECURITIES","FQ2 2020","FQ2 2020","Currency=USD","Period=FQ","BEST_FPERIOD_OVERRIDE=FQ","FILING_STATUS=MR","SCALING_FORMAT=MLN","Sort=A","Dates=H","DateFormat=P","Fill=—","Direction=H","UseDPDF=Y")</f>
        <v>948.3</v>
      </c>
      <c r="G7" s="13">
        <f>_xll.BDH("NBIX US Equity","CASH_AND_MARKETABLE_SECURITIES","FQ3 2020","FQ3 2020","Currency=USD","Period=FQ","BEST_FPERIOD_OVERRIDE=FQ","FILING_STATUS=MR","SCALING_FORMAT=MLN","Sort=A","Dates=H","DateFormat=P","Fill=—","Direction=H","UseDPDF=Y")</f>
        <v>944.7</v>
      </c>
      <c r="H7" s="13">
        <f>_xll.BDH("NBIX US Equity","CASH_AND_MARKETABLE_SECURITIES","FQ4 2020","FQ4 2020","Currency=USD","Period=FQ","BEST_FPERIOD_OVERRIDE=FQ","FILING_STATUS=MR","SCALING_FORMAT=MLN","Sort=A","Dates=H","DateFormat=P","Fill=—","Direction=H","UseDPDF=Y")</f>
        <v>801</v>
      </c>
      <c r="I7" s="13">
        <f>_xll.BDH("NBIX US Equity","CASH_AND_MARKETABLE_SECURITIES","FQ1 2021","FQ1 2021","Currency=USD","Period=FQ","BEST_FPERIOD_OVERRIDE=FQ","FILING_STATUS=MR","SCALING_FORMAT=MLN","Sort=A","Dates=H","DateFormat=P","Fill=—","Direction=H","UseDPDF=Y")</f>
        <v>873.7</v>
      </c>
      <c r="J7" s="13">
        <f>_xll.BDH("NBIX US Equity","CASH_AND_MARKETABLE_SECURITIES","FQ2 2021","FQ2 2021","Currency=USD","Period=FQ","BEST_FPERIOD_OVERRIDE=FQ","FILING_STATUS=MR","SCALING_FORMAT=MLN","Sort=A","Dates=H","DateFormat=P","Fill=—","Direction=H","UseDPDF=Y")</f>
        <v>884.9</v>
      </c>
      <c r="K7" s="13">
        <f>_xll.BDH("NBIX US Equity","CASH_AND_MARKETABLE_SECURITIES","FQ3 2021","FQ3 2021","Currency=USD","Period=FQ","BEST_FPERIOD_OVERRIDE=FQ","FILING_STATUS=MR","SCALING_FORMAT=MLN","Sort=A","Dates=H","DateFormat=P","Fill=—","Direction=H","UseDPDF=Y")</f>
        <v>765.9</v>
      </c>
      <c r="L7" s="13">
        <f>_xll.BDH("NBIX US Equity","CASH_AND_MARKETABLE_SECURITIES","FQ4 2021","FQ4 2021","Currency=USD","Period=FQ","BEST_FPERIOD_OVERRIDE=FQ","FILING_STATUS=MR","SCALING_FORMAT=MLN","Sort=A","Dates=H","DateFormat=P","Fill=—","Direction=H","UseDPDF=Y")</f>
        <v>711.3</v>
      </c>
      <c r="M7" s="13">
        <f>_xll.BDH("NBIX US Equity","CASH_AND_MARKETABLE_SECURITIES","FQ1 2022","FQ1 2022","Currency=USD","Period=FQ","BEST_FPERIOD_OVERRIDE=FQ","FILING_STATUS=MR","SCALING_FORMAT=MLN","Sort=A","Dates=H","DateFormat=P","Fill=—","Direction=H","UseDPDF=Y")</f>
        <v>664.9</v>
      </c>
      <c r="N7" s="13">
        <f>_xll.BDH("NBIX US Equity","CASH_AND_MARKETABLE_SECURITIES","FQ2 2022","FQ2 2022","Currency=USD","Period=FQ","BEST_FPERIOD_OVERRIDE=FQ","FILING_STATUS=MR","SCALING_FORMAT=MLN","Sort=A","Dates=H","DateFormat=P","Fill=—","Direction=H","UseDPDF=Y")</f>
        <v>648.29999999999995</v>
      </c>
      <c r="O7" s="13">
        <f>_xll.BDH("NBIX US Equity","CASH_AND_MARKETABLE_SECURITIES","FQ3 2022","FQ3 2022","Currency=USD","Period=FQ","BEST_FPERIOD_OVERRIDE=FQ","FILING_STATUS=MR","SCALING_FORMAT=MLN","Sort=A","Dates=H","DateFormat=P","Fill=—","Direction=H","UseDPDF=Y")</f>
        <v>799.4</v>
      </c>
      <c r="P7" s="13">
        <f>_xll.BDH("NBIX US Equity","CASH_AND_MARKETABLE_SECURITIES","FQ4 2022","FQ4 2022","Currency=USD","Period=FQ","BEST_FPERIOD_OVERRIDE=FQ","FILING_STATUS=MR","SCALING_FORMAT=MLN","Sort=A","Dates=H","DateFormat=P","Fill=—","Direction=H","UseDPDF=Y")</f>
        <v>989.3</v>
      </c>
      <c r="Q7" s="13">
        <f>_xll.BDH("NBIX US Equity","CASH_AND_MARKETABLE_SECURITIES","FQ1 2023","FQ1 2023","Currency=USD","Period=FQ","BEST_FPERIOD_OVERRIDE=FQ","FILING_STATUS=MR","SCALING_FORMAT=MLN","Sort=A","Dates=H","DateFormat=P","Fill=—","Direction=H","UseDPDF=Y")</f>
        <v>894.6</v>
      </c>
      <c r="R7" s="13">
        <f>_xll.BDH("NBIX US Equity","CASH_AND_MARKETABLE_SECURITIES","FQ2 2023","FQ2 2023","Currency=USD","Period=FQ","BEST_FPERIOD_OVERRIDE=FQ","FILING_STATUS=MR","SCALING_FORMAT=MLN","Sort=A","Dates=H","DateFormat=P","Fill=—","Direction=H","UseDPDF=Y")</f>
        <v>976.7</v>
      </c>
      <c r="S7" s="13">
        <f>_xll.BDH("NBIX US Equity","CASH_AND_MARKETABLE_SECURITIES","FQ3 2023","FQ3 2023","Currency=USD","Period=FQ","BEST_FPERIOD_OVERRIDE=FQ","FILING_STATUS=MR","SCALING_FORMAT=MLN","Sort=A","Dates=H","DateFormat=P","Fill=—","Direction=H","UseDPDF=Y")</f>
        <v>1095.0999999999999</v>
      </c>
      <c r="T7" s="13">
        <f>_xll.BDH("NBIX US Equity","CASH_AND_MARKETABLE_SECURITIES","FQ4 2023","FQ4 2023","Currency=USD","Period=FQ","BEST_FPERIOD_OVERRIDE=FQ","FILING_STATUS=MR","SCALING_FORMAT=MLN","Sort=A","Dates=H","DateFormat=P","Fill=—","Direction=H","UseDPDF=Y")</f>
        <v>1031.5999999999999</v>
      </c>
      <c r="U7" s="13">
        <f>_xll.BDH("NBIX US Equity","CASH_AND_MARKETABLE_SECURITIES","FQ1 2024","FQ1 2024","Currency=USD","Period=FQ","BEST_FPERIOD_OVERRIDE=FQ","FILING_STATUS=MR","SCALING_FORMAT=MLN","Sort=A","Dates=H","DateFormat=P","Fill=—","Direction=H","UseDPDF=Y")</f>
        <v>1210.5999999999999</v>
      </c>
      <c r="V7" s="13">
        <f>_xll.BDH("NBIX US Equity","CASH_AND_MARKETABLE_SECURITIES","FQ2 2024","FQ2 2024","Currency=USD","Period=FQ","BEST_FPERIOD_OVERRIDE=FQ","FILING_STATUS=MR","SCALING_FORMAT=MLN","Sort=A","Dates=H","DateFormat=P","Fill=—","Direction=H","UseDPDF=Y")</f>
        <v>1038.9000000000001</v>
      </c>
      <c r="W7" s="13">
        <f>_xll.BDH("NBIX US Equity","CASH_AND_MARKETABLE_SECURITIES","FQ3 2024","FQ3 2024","Currency=USD","Period=FQ","BEST_FPERIOD_OVERRIDE=FQ","FILING_STATUS=MR","SCALING_FORMAT=MLN","Sort=A","Dates=H","DateFormat=P","Fill=—","Direction=H","UseDPDF=Y")</f>
        <v>1228</v>
      </c>
      <c r="X7" s="13">
        <f>_xll.BDH("NBIX US Equity","CASH_AND_MARKETABLE_SECURITIES","FQ4 2024","FQ4 2024","Currency=USD","Period=FQ","BEST_FPERIOD_OVERRIDE=FQ","FILING_STATUS=MR","SCALING_FORMAT=MLN","Sort=A","Dates=H","DateFormat=P","Fill=—","Direction=H","UseDPDF=Y")</f>
        <v>1076.0999999999999</v>
      </c>
      <c r="Y7" s="16">
        <v>1076.0999999999999</v>
      </c>
      <c r="Z7" s="13"/>
      <c r="AA7" s="13"/>
    </row>
    <row r="8" spans="1:27" x14ac:dyDescent="0.25">
      <c r="A8" s="10" t="s">
        <v>167</v>
      </c>
      <c r="B8" s="10" t="s">
        <v>168</v>
      </c>
      <c r="C8" s="13">
        <f>_xll.BDH("NBIX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_xll.BDH("NBIX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_xll.BDH("NBIX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_xll.BDH("NBIX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_xll.BDH("NBIX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_xll.BDH("NBIX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_xll.BDH("NBIX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_xll.BDH("NBIX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_xll.BDH("NBIX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_xll.BDH("NBIX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_xll.BDH("NBIX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_xll.BDH("NBIX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_xll.BDH("NBIX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_xll.BDH("NBIX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_xll.BDH("NBIX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_xll.BDH("NBIX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_xll.BDH("NBIX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_xll.BDH("NBIX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_xll.BDH("NBIX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_xll.BDH("NBIX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_xll.BDH("NBIX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_xll.BDH("NBIX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169</v>
      </c>
      <c r="B9" s="10" t="s">
        <v>170</v>
      </c>
      <c r="C9" s="13">
        <f>_xll.BDH("NBIX US Equity","MINORITY_NONCONTROLLING_INTEREST","FQ3 2019","FQ3 2019","Currency=USD","Period=FQ","BEST_FPERIOD_OVERRIDE=FQ","FILING_STATUS=MR","SCALING_FORMAT=MLN","Sort=A","Dates=H","DateFormat=P","Fill=—","Direction=H","UseDPDF=Y")</f>
        <v>0</v>
      </c>
      <c r="D9" s="13">
        <f>_xll.BDH("NBIX US Equity","MINORITY_NONCONTROLLING_INTEREST","FQ4 2019","FQ4 2019","Currency=USD","Period=FQ","BEST_FPERIOD_OVERRIDE=FQ","FILING_STATUS=MR","SCALING_FORMAT=MLN","Sort=A","Dates=H","DateFormat=P","Fill=—","Direction=H","UseDPDF=Y")</f>
        <v>0</v>
      </c>
      <c r="E9" s="13">
        <f>_xll.BDH("NBIX US Equity","MINORITY_NONCONTROLLING_INTEREST","FQ1 2020","FQ1 2020","Currency=USD","Period=FQ","BEST_FPERIOD_OVERRIDE=FQ","FILING_STATUS=MR","SCALING_FORMAT=MLN","Sort=A","Dates=H","DateFormat=P","Fill=—","Direction=H","UseDPDF=Y")</f>
        <v>0</v>
      </c>
      <c r="F9" s="13">
        <f>_xll.BDH("NBIX US Equity","MINORITY_NONCONTROLLING_INTEREST","FQ2 2020","FQ2 2020","Currency=USD","Period=FQ","BEST_FPERIOD_OVERRIDE=FQ","FILING_STATUS=MR","SCALING_FORMAT=MLN","Sort=A","Dates=H","DateFormat=P","Fill=—","Direction=H","UseDPDF=Y")</f>
        <v>0</v>
      </c>
      <c r="G9" s="13">
        <f>_xll.BDH("NBIX US Equity","MINORITY_NONCONTROLLING_INTEREST","FQ3 2020","FQ3 2020","Currency=USD","Period=FQ","BEST_FPERIOD_OVERRIDE=FQ","FILING_STATUS=MR","SCALING_FORMAT=MLN","Sort=A","Dates=H","DateFormat=P","Fill=—","Direction=H","UseDPDF=Y")</f>
        <v>0</v>
      </c>
      <c r="H9" s="13">
        <f>_xll.BDH("NBIX US Equity","MINORITY_NONCONTROLLING_INTEREST","FQ4 2020","FQ4 2020","Currency=USD","Period=FQ","BEST_FPERIOD_OVERRIDE=FQ","FILING_STATUS=MR","SCALING_FORMAT=MLN","Sort=A","Dates=H","DateFormat=P","Fill=—","Direction=H","UseDPDF=Y")</f>
        <v>0</v>
      </c>
      <c r="I9" s="13">
        <f>_xll.BDH("NBIX US Equity","MINORITY_NONCONTROLLING_INTEREST","FQ1 2021","FQ1 2021","Currency=USD","Period=FQ","BEST_FPERIOD_OVERRIDE=FQ","FILING_STATUS=MR","SCALING_FORMAT=MLN","Sort=A","Dates=H","DateFormat=P","Fill=—","Direction=H","UseDPDF=Y")</f>
        <v>0</v>
      </c>
      <c r="J9" s="13">
        <f>_xll.BDH("NBIX US Equity","MINORITY_NONCONTROLLING_INTEREST","FQ2 2021","FQ2 2021","Currency=USD","Period=FQ","BEST_FPERIOD_OVERRIDE=FQ","FILING_STATUS=MR","SCALING_FORMAT=MLN","Sort=A","Dates=H","DateFormat=P","Fill=—","Direction=H","UseDPDF=Y")</f>
        <v>0</v>
      </c>
      <c r="K9" s="13">
        <f>_xll.BDH("NBIX US Equity","MINORITY_NONCONTROLLING_INTEREST","FQ3 2021","FQ3 2021","Currency=USD","Period=FQ","BEST_FPERIOD_OVERRIDE=FQ","FILING_STATUS=MR","SCALING_FORMAT=MLN","Sort=A","Dates=H","DateFormat=P","Fill=—","Direction=H","UseDPDF=Y")</f>
        <v>0</v>
      </c>
      <c r="L9" s="13">
        <f>_xll.BDH("NBIX US Equity","MINORITY_NONCONTROLLING_INTEREST","FQ4 2021","FQ4 2021","Currency=USD","Period=FQ","BEST_FPERIOD_OVERRIDE=FQ","FILING_STATUS=MR","SCALING_FORMAT=MLN","Sort=A","Dates=H","DateFormat=P","Fill=—","Direction=H","UseDPDF=Y")</f>
        <v>0</v>
      </c>
      <c r="M9" s="13">
        <f>_xll.BDH("NBIX US Equity","MINORITY_NONCONTROLLING_INTEREST","FQ1 2022","FQ1 2022","Currency=USD","Period=FQ","BEST_FPERIOD_OVERRIDE=FQ","FILING_STATUS=MR","SCALING_FORMAT=MLN","Sort=A","Dates=H","DateFormat=P","Fill=—","Direction=H","UseDPDF=Y")</f>
        <v>0</v>
      </c>
      <c r="N9" s="13">
        <f>_xll.BDH("NBIX US Equity","MINORITY_NONCONTROLLING_INTEREST","FQ2 2022","FQ2 2022","Currency=USD","Period=FQ","BEST_FPERIOD_OVERRIDE=FQ","FILING_STATUS=MR","SCALING_FORMAT=MLN","Sort=A","Dates=H","DateFormat=P","Fill=—","Direction=H","UseDPDF=Y")</f>
        <v>0</v>
      </c>
      <c r="O9" s="13">
        <f>_xll.BDH("NBIX US Equity","MINORITY_NONCONTROLLING_INTEREST","FQ3 2022","FQ3 2022","Currency=USD","Period=FQ","BEST_FPERIOD_OVERRIDE=FQ","FILING_STATUS=MR","SCALING_FORMAT=MLN","Sort=A","Dates=H","DateFormat=P","Fill=—","Direction=H","UseDPDF=Y")</f>
        <v>0</v>
      </c>
      <c r="P9" s="13">
        <f>_xll.BDH("NBIX US Equity","MINORITY_NONCONTROLLING_INTEREST","FQ4 2022","FQ4 2022","Currency=USD","Period=FQ","BEST_FPERIOD_OVERRIDE=FQ","FILING_STATUS=MR","SCALING_FORMAT=MLN","Sort=A","Dates=H","DateFormat=P","Fill=—","Direction=H","UseDPDF=Y")</f>
        <v>0</v>
      </c>
      <c r="Q9" s="13">
        <f>_xll.BDH("NBIX US Equity","MINORITY_NONCONTROLLING_INTEREST","FQ1 2023","FQ1 2023","Currency=USD","Period=FQ","BEST_FPERIOD_OVERRIDE=FQ","FILING_STATUS=MR","SCALING_FORMAT=MLN","Sort=A","Dates=H","DateFormat=P","Fill=—","Direction=H","UseDPDF=Y")</f>
        <v>0</v>
      </c>
      <c r="R9" s="13">
        <f>_xll.BDH("NBIX US Equity","MINORITY_NONCONTROLLING_INTEREST","FQ2 2023","FQ2 2023","Currency=USD","Period=FQ","BEST_FPERIOD_OVERRIDE=FQ","FILING_STATUS=MR","SCALING_FORMAT=MLN","Sort=A","Dates=H","DateFormat=P","Fill=—","Direction=H","UseDPDF=Y")</f>
        <v>0</v>
      </c>
      <c r="S9" s="13">
        <f>_xll.BDH("NBIX US Equity","MINORITY_NONCONTROLLING_INTEREST","FQ3 2023","FQ3 2023","Currency=USD","Period=FQ","BEST_FPERIOD_OVERRIDE=FQ","FILING_STATUS=MR","SCALING_FORMAT=MLN","Sort=A","Dates=H","DateFormat=P","Fill=—","Direction=H","UseDPDF=Y")</f>
        <v>0</v>
      </c>
      <c r="T9" s="13">
        <f>_xll.BDH("NBIX US Equity","MINORITY_NONCONTROLLING_INTEREST","FQ4 2023","FQ4 2023","Currency=USD","Period=FQ","BEST_FPERIOD_OVERRIDE=FQ","FILING_STATUS=MR","SCALING_FORMAT=MLN","Sort=A","Dates=H","DateFormat=P","Fill=—","Direction=H","UseDPDF=Y")</f>
        <v>0</v>
      </c>
      <c r="U9" s="13">
        <f>_xll.BDH("NBIX US Equity","MINORITY_NONCONTROLLING_INTEREST","FQ1 2024","FQ1 2024","Currency=USD","Period=FQ","BEST_FPERIOD_OVERRIDE=FQ","FILING_STATUS=MR","SCALING_FORMAT=MLN","Sort=A","Dates=H","DateFormat=P","Fill=—","Direction=H","UseDPDF=Y")</f>
        <v>0</v>
      </c>
      <c r="V9" s="13">
        <f>_xll.BDH("NBIX US Equity","MINORITY_NONCONTROLLING_INTEREST","FQ2 2024","FQ2 2024","Currency=USD","Period=FQ","BEST_FPERIOD_OVERRIDE=FQ","FILING_STATUS=MR","SCALING_FORMAT=MLN","Sort=A","Dates=H","DateFormat=P","Fill=—","Direction=H","UseDPDF=Y")</f>
        <v>0</v>
      </c>
      <c r="W9" s="13">
        <f>_xll.BDH("NBIX US Equity","MINORITY_NONCONTROLLING_INTEREST","FQ3 2024","FQ3 2024","Currency=USD","Period=FQ","BEST_FPERIOD_OVERRIDE=FQ","FILING_STATUS=MR","SCALING_FORMAT=MLN","Sort=A","Dates=H","DateFormat=P","Fill=—","Direction=H","UseDPDF=Y")</f>
        <v>0</v>
      </c>
      <c r="X9" s="13">
        <f>_xll.BDH("NBIX US Equity","MINORITY_NONCONTROLLING_INTEREST","FQ4 2024","FQ4 2024","Currency=USD","Period=FQ","BEST_FPERIOD_OVERRIDE=FQ","FILING_STATUS=MR","SCALING_FORMAT=MLN","Sort=A","Dates=H","DateFormat=P","Fill=—","Direction=H","UseDPDF=Y")</f>
        <v>0</v>
      </c>
      <c r="Y9" s="16">
        <v>0</v>
      </c>
      <c r="Z9" s="13"/>
      <c r="AA9" s="13"/>
    </row>
    <row r="10" spans="1:27" x14ac:dyDescent="0.25">
      <c r="A10" s="10" t="s">
        <v>171</v>
      </c>
      <c r="B10" s="10" t="s">
        <v>67</v>
      </c>
      <c r="C10" s="13">
        <f>_xll.BDH("NBIX US Equity","SHORT_AND_LONG_TERM_DEBT","FQ3 2019","FQ3 2019","Currency=USD","Period=FQ","BEST_FPERIOD_OVERRIDE=FQ","FILING_STATUS=MR","SCALING_FORMAT=MLN","Sort=A","Dates=H","DateFormat=P","Fill=—","Direction=H","UseDPDF=Y")</f>
        <v>486.23</v>
      </c>
      <c r="D10" s="13">
        <f>_xll.BDH("NBIX US Equity","SHORT_AND_LONG_TERM_DEBT","FQ4 2019","FQ4 2019","Currency=USD","Period=FQ","BEST_FPERIOD_OVERRIDE=FQ","FILING_STATUS=MR","SCALING_FORMAT=MLN","Sort=A","Dates=H","DateFormat=P","Fill=—","Direction=H","UseDPDF=Y")</f>
        <v>503.78199999999998</v>
      </c>
      <c r="E10" s="13">
        <f>_xll.BDH("NBIX US Equity","SHORT_AND_LONG_TERM_DEBT","FQ1 2020","FQ1 2020","Currency=USD","Period=FQ","BEST_FPERIOD_OVERRIDE=FQ","FILING_STATUS=MR","SCALING_FORMAT=MLN","Sort=A","Dates=H","DateFormat=P","Fill=—","Direction=H","UseDPDF=Y")</f>
        <v>508.5</v>
      </c>
      <c r="F10" s="13">
        <f>_xll.BDH("NBIX US Equity","SHORT_AND_LONG_TERM_DEBT","FQ2 2020","FQ2 2020","Currency=USD","Period=FQ","BEST_FPERIOD_OVERRIDE=FQ","FILING_STATUS=MR","SCALING_FORMAT=MLN","Sort=A","Dates=H","DateFormat=P","Fill=—","Direction=H","UseDPDF=Y")</f>
        <v>513</v>
      </c>
      <c r="G10" s="13">
        <f>_xll.BDH("NBIX US Equity","SHORT_AND_LONG_TERM_DEBT","FQ3 2020","FQ3 2020","Currency=USD","Period=FQ","BEST_FPERIOD_OVERRIDE=FQ","FILING_STATUS=MR","SCALING_FORMAT=MLN","Sort=A","Dates=H","DateFormat=P","Fill=—","Direction=H","UseDPDF=Y")</f>
        <v>517.70000000000005</v>
      </c>
      <c r="H10" s="13">
        <f>_xll.BDH("NBIX US Equity","SHORT_AND_LONG_TERM_DEBT","FQ4 2020","FQ4 2020","Currency=USD","Period=FQ","BEST_FPERIOD_OVERRIDE=FQ","FILING_STATUS=MR","SCALING_FORMAT=MLN","Sort=A","Dates=H","DateFormat=P","Fill=—","Direction=H","UseDPDF=Y")</f>
        <v>422.6</v>
      </c>
      <c r="I10" s="13">
        <f>_xll.BDH("NBIX US Equity","SHORT_AND_LONG_TERM_DEBT","FQ1 2021","FQ1 2021","Currency=USD","Period=FQ","BEST_FPERIOD_OVERRIDE=FQ","FILING_STATUS=MR","SCALING_FORMAT=MLN","Sort=A","Dates=H","DateFormat=P","Fill=—","Direction=H","UseDPDF=Y")</f>
        <v>441.7</v>
      </c>
      <c r="J10" s="13">
        <f>_xll.BDH("NBIX US Equity","SHORT_AND_LONG_TERM_DEBT","FQ2 2021","FQ2 2021","Currency=USD","Period=FQ","BEST_FPERIOD_OVERRIDE=FQ","FILING_STATUS=MR","SCALING_FORMAT=MLN","Sort=A","Dates=H","DateFormat=P","Fill=—","Direction=H","UseDPDF=Y")</f>
        <v>450.3</v>
      </c>
      <c r="K10" s="13">
        <f>_xll.BDH("NBIX US Equity","SHORT_AND_LONG_TERM_DEBT","FQ3 2021","FQ3 2021","Currency=USD","Period=FQ","BEST_FPERIOD_OVERRIDE=FQ","FILING_STATUS=MR","SCALING_FORMAT=MLN","Sort=A","Dates=H","DateFormat=P","Fill=—","Direction=H","UseDPDF=Y")</f>
        <v>452.6</v>
      </c>
      <c r="L10" s="13">
        <f>_xll.BDH("NBIX US Equity","SHORT_AND_LONG_TERM_DEBT","FQ4 2021","FQ4 2021","Currency=USD","Period=FQ","BEST_FPERIOD_OVERRIDE=FQ","FILING_STATUS=MR","SCALING_FORMAT=MLN","Sort=A","Dates=H","DateFormat=P","Fill=—","Direction=H","UseDPDF=Y")</f>
        <v>456.9</v>
      </c>
      <c r="M10" s="13">
        <f>_xll.BDH("NBIX US Equity","SHORT_AND_LONG_TERM_DEBT","FQ1 2022","FQ1 2022","Currency=USD","Period=FQ","BEST_FPERIOD_OVERRIDE=FQ","FILING_STATUS=MR","SCALING_FORMAT=MLN","Sort=A","Dates=H","DateFormat=P","Fill=—","Direction=H","UseDPDF=Y")</f>
        <v>497.1</v>
      </c>
      <c r="N10" s="13">
        <f>_xll.BDH("NBIX US Equity","SHORT_AND_LONG_TERM_DEBT","FQ2 2022","FQ2 2022","Currency=USD","Period=FQ","BEST_FPERIOD_OVERRIDE=FQ","FILING_STATUS=MR","SCALING_FORMAT=MLN","Sort=A","Dates=H","DateFormat=P","Fill=—","Direction=H","UseDPDF=Y")</f>
        <v>285.7</v>
      </c>
      <c r="O10" s="13">
        <f>_xll.BDH("NBIX US Equity","SHORT_AND_LONG_TERM_DEBT","FQ3 2022","FQ3 2022","Currency=USD","Period=FQ","BEST_FPERIOD_OVERRIDE=FQ","FILING_STATUS=MR","SCALING_FORMAT=MLN","Sort=A","Dates=H","DateFormat=P","Fill=—","Direction=H","UseDPDF=Y")</f>
        <v>283.10000000000002</v>
      </c>
      <c r="P10" s="13">
        <f>_xll.BDH("NBIX US Equity","SHORT_AND_LONG_TERM_DEBT","FQ4 2022","FQ4 2022","Currency=USD","Period=FQ","BEST_FPERIOD_OVERRIDE=FQ","FILING_STATUS=MR","SCALING_FORMAT=MLN","Sort=A","Dates=H","DateFormat=P","Fill=—","Direction=H","UseDPDF=Y")</f>
        <v>262.89999999999998</v>
      </c>
      <c r="Q10" s="13">
        <f>_xll.BDH("NBIX US Equity","SHORT_AND_LONG_TERM_DEBT","FQ1 2023","FQ1 2023","Currency=USD","Period=FQ","BEST_FPERIOD_OVERRIDE=FQ","FILING_STATUS=MR","SCALING_FORMAT=MLN","Sort=A","Dates=H","DateFormat=P","Fill=—","Direction=H","UseDPDF=Y")</f>
        <v>259.89999999999998</v>
      </c>
      <c r="R10" s="13">
        <f>_xll.BDH("NBIX US Equity","SHORT_AND_LONG_TERM_DEBT","FQ2 2023","FQ2 2023","Currency=USD","Period=FQ","BEST_FPERIOD_OVERRIDE=FQ","FILING_STATUS=MR","SCALING_FORMAT=MLN","Sort=A","Dates=H","DateFormat=P","Fill=—","Direction=H","UseDPDF=Y")</f>
        <v>276.5</v>
      </c>
      <c r="S10" s="13">
        <f>_xll.BDH("NBIX US Equity","SHORT_AND_LONG_TERM_DEBT","FQ3 2023","FQ3 2023","Currency=USD","Period=FQ","BEST_FPERIOD_OVERRIDE=FQ","FILING_STATUS=MR","SCALING_FORMAT=MLN","Sort=A","Dates=H","DateFormat=P","Fill=—","Direction=H","UseDPDF=Y")</f>
        <v>273.60000000000002</v>
      </c>
      <c r="T10" s="13">
        <f>_xll.BDH("NBIX US Equity","SHORT_AND_LONG_TERM_DEBT","FQ4 2023","FQ4 2023","Currency=USD","Period=FQ","BEST_FPERIOD_OVERRIDE=FQ","FILING_STATUS=MR","SCALING_FORMAT=MLN","Sort=A","Dates=H","DateFormat=P","Fill=—","Direction=H","UseDPDF=Y")</f>
        <v>460.4</v>
      </c>
      <c r="U10" s="13">
        <f>_xll.BDH("NBIX US Equity","SHORT_AND_LONG_TERM_DEBT","FQ1 2024","FQ1 2024","Currency=USD","Period=FQ","BEST_FPERIOD_OVERRIDE=FQ","FILING_STATUS=MR","SCALING_FORMAT=MLN","Sort=A","Dates=H","DateFormat=P","Fill=—","Direction=H","UseDPDF=Y")</f>
        <v>410.7</v>
      </c>
      <c r="V10" s="13">
        <f>_xll.BDH("NBIX US Equity","SHORT_AND_LONG_TERM_DEBT","FQ2 2024","FQ2 2024","Currency=USD","Period=FQ","BEST_FPERIOD_OVERRIDE=FQ","FILING_STATUS=MR","SCALING_FORMAT=MLN","Sort=A","Dates=H","DateFormat=P","Fill=—","Direction=H","UseDPDF=Y")</f>
        <v>291.60000000000002</v>
      </c>
      <c r="W10" s="13">
        <f>_xll.BDH("NBIX US Equity","SHORT_AND_LONG_TERM_DEBT","FQ3 2024","FQ3 2024","Currency=USD","Period=FQ","BEST_FPERIOD_OVERRIDE=FQ","FILING_STATUS=MR","SCALING_FORMAT=MLN","Sort=A","Dates=H","DateFormat=P","Fill=—","Direction=H","UseDPDF=Y")</f>
        <v>286.2</v>
      </c>
      <c r="X10" s="13">
        <f>_xll.BDH("NBIX US Equity","SHORT_AND_LONG_TERM_DEBT","FQ4 2024","FQ4 2024","Currency=USD","Period=FQ","BEST_FPERIOD_OVERRIDE=FQ","FILING_STATUS=MR","SCALING_FORMAT=MLN","Sort=A","Dates=H","DateFormat=P","Fill=—","Direction=H","UseDPDF=Y")</f>
        <v>495.7</v>
      </c>
      <c r="Y10" s="16">
        <v>495.7</v>
      </c>
      <c r="Z10" s="13"/>
      <c r="AA10" s="13"/>
    </row>
    <row r="11" spans="1:27" x14ac:dyDescent="0.25">
      <c r="A11" s="6" t="s">
        <v>68</v>
      </c>
      <c r="B11" s="6" t="s">
        <v>69</v>
      </c>
      <c r="C11" s="19">
        <f>_xll.BDH("NBIX US Equity","ENTERPRISE_VALUE","FQ3 2019","FQ3 2019","Currency=USD","Period=FQ","BEST_FPERIOD_OVERRIDE=FQ","FILING_STATUS=MR","SCALING_FORMAT=MLN","Sort=A","Dates=H","DateFormat=P","Fill=—","Direction=H","UseDPDF=Y")</f>
        <v>8113.3968000000004</v>
      </c>
      <c r="D11" s="19">
        <f>_xll.BDH("NBIX US Equity","ENTERPRISE_VALUE","FQ4 2019","FQ4 2019","Currency=USD","Period=FQ","BEST_FPERIOD_OVERRIDE=FQ","FILING_STATUS=MR","SCALING_FORMAT=MLN","Sort=A","Dates=H","DateFormat=P","Fill=—","Direction=H","UseDPDF=Y")</f>
        <v>9754.6090000000004</v>
      </c>
      <c r="E11" s="19">
        <f>_xll.BDH("NBIX US Equity","ENTERPRISE_VALUE","FQ1 2020","FQ1 2020","Currency=USD","Period=FQ","BEST_FPERIOD_OVERRIDE=FQ","FILING_STATUS=MR","SCALING_FORMAT=MLN","Sort=A","Dates=H","DateFormat=P","Fill=—","Direction=H","UseDPDF=Y")</f>
        <v>7768.64</v>
      </c>
      <c r="F11" s="19">
        <f>_xll.BDH("NBIX US Equity","ENTERPRISE_VALUE","FQ2 2020","FQ2 2020","Currency=USD","Period=FQ","BEST_FPERIOD_OVERRIDE=FQ","FILING_STATUS=MR","SCALING_FORMAT=MLN","Sort=A","Dates=H","DateFormat=P","Fill=—","Direction=H","UseDPDF=Y")</f>
        <v>10935.1</v>
      </c>
      <c r="G11" s="19">
        <f>_xll.BDH("NBIX US Equity","ENTERPRISE_VALUE","FQ3 2020","FQ3 2020","Currency=USD","Period=FQ","BEST_FPERIOD_OVERRIDE=FQ","FILING_STATUS=MR","SCALING_FORMAT=MLN","Sort=A","Dates=H","DateFormat=P","Fill=—","Direction=H","UseDPDF=Y")</f>
        <v>8554.3439999999991</v>
      </c>
      <c r="H11" s="19">
        <f>_xll.BDH("NBIX US Equity","ENTERPRISE_VALUE","FQ4 2020","FQ4 2020","Currency=USD","Period=FQ","BEST_FPERIOD_OVERRIDE=FQ","FILING_STATUS=MR","SCALING_FORMAT=MLN","Sort=A","Dates=H","DateFormat=P","Fill=—","Direction=H","UseDPDF=Y")</f>
        <v>8583.5750000000007</v>
      </c>
      <c r="I11" s="19">
        <f>_xll.BDH("NBIX US Equity","ENTERPRISE_VALUE","FQ1 2021","FQ1 2021","Currency=USD","Period=FQ","BEST_FPERIOD_OVERRIDE=FQ","FILING_STATUS=MR","SCALING_FORMAT=MLN","Sort=A","Dates=H","DateFormat=P","Fill=—","Direction=H","UseDPDF=Y")</f>
        <v>8758.125</v>
      </c>
      <c r="J11" s="19">
        <f>_xll.BDH("NBIX US Equity","ENTERPRISE_VALUE","FQ2 2021","FQ2 2021","Currency=USD","Period=FQ","BEST_FPERIOD_OVERRIDE=FQ","FILING_STATUS=MR","SCALING_FORMAT=MLN","Sort=A","Dates=H","DateFormat=P","Fill=—","Direction=H","UseDPDF=Y")</f>
        <v>8771.8719999999994</v>
      </c>
      <c r="K11" s="19">
        <f>_xll.BDH("NBIX US Equity","ENTERPRISE_VALUE","FQ3 2021","FQ3 2021","Currency=USD","Period=FQ","BEST_FPERIOD_OVERRIDE=FQ","FILING_STATUS=MR","SCALING_FORMAT=MLN","Sort=A","Dates=H","DateFormat=P","Fill=—","Direction=H","UseDPDF=Y")</f>
        <v>8778.9680000000008</v>
      </c>
      <c r="L11" s="19">
        <f>_xll.BDH("NBIX US Equity","ENTERPRISE_VALUE","FQ4 2021","FQ4 2021","Currency=USD","Period=FQ","BEST_FPERIOD_OVERRIDE=FQ","FILING_STATUS=MR","SCALING_FORMAT=MLN","Sort=A","Dates=H","DateFormat=P","Fill=—","Direction=H","UseDPDF=Y")</f>
        <v>7828.2330000000002</v>
      </c>
      <c r="M11" s="19">
        <f>_xll.BDH("NBIX US Equity","ENTERPRISE_VALUE","FQ1 2022","FQ1 2022","Currency=USD","Period=FQ","BEST_FPERIOD_OVERRIDE=FQ","FILING_STATUS=MR","SCALING_FORMAT=MLN","Sort=A","Dates=H","DateFormat=P","Fill=—","Direction=H","UseDPDF=Y")</f>
        <v>8785.3250000000007</v>
      </c>
      <c r="N11" s="19">
        <f>_xll.BDH("NBIX US Equity","ENTERPRISE_VALUE","FQ2 2022","FQ2 2022","Currency=USD","Period=FQ","BEST_FPERIOD_OVERRIDE=FQ","FILING_STATUS=MR","SCALING_FORMAT=MLN","Sort=A","Dates=H","DateFormat=P","Fill=—","Direction=H","UseDPDF=Y")</f>
        <v>8956.4879999999994</v>
      </c>
      <c r="O11" s="19">
        <f>_xll.BDH("NBIX US Equity","ENTERPRISE_VALUE","FQ3 2022","FQ3 2022","Currency=USD","Period=FQ","BEST_FPERIOD_OVERRIDE=FQ","FILING_STATUS=MR","SCALING_FORMAT=MLN","Sort=A","Dates=H","DateFormat=P","Fill=—","Direction=H","UseDPDF=Y")</f>
        <v>9690.4809999999998</v>
      </c>
      <c r="P11" s="19">
        <f>_xll.BDH("NBIX US Equity","ENTERPRISE_VALUE","FQ4 2022","FQ4 2022","Currency=USD","Period=FQ","BEST_FPERIOD_OVERRIDE=FQ","FILING_STATUS=MR","SCALING_FORMAT=MLN","Sort=A","Dates=H","DateFormat=P","Fill=—","Direction=H","UseDPDF=Y")</f>
        <v>10799.56</v>
      </c>
      <c r="Q11" s="19">
        <f>_xll.BDH("NBIX US Equity","ENTERPRISE_VALUE","FQ1 2023","FQ1 2023","Currency=USD","Period=FQ","BEST_FPERIOD_OVERRIDE=FQ","FILING_STATUS=MR","SCALING_FORMAT=MLN","Sort=A","Dates=H","DateFormat=P","Fill=—","Direction=H","UseDPDF=Y")</f>
        <v>9234.25</v>
      </c>
      <c r="R11" s="19">
        <f>_xll.BDH("NBIX US Equity","ENTERPRISE_VALUE","FQ2 2023","FQ2 2023","Currency=USD","Period=FQ","BEST_FPERIOD_OVERRIDE=FQ","FILING_STATUS=MR","SCALING_FORMAT=MLN","Sort=A","Dates=H","DateFormat=P","Fill=—","Direction=H","UseDPDF=Y")</f>
        <v>8503.48</v>
      </c>
      <c r="S11" s="19">
        <f>_xll.BDH("NBIX US Equity","ENTERPRISE_VALUE","FQ3 2023","FQ3 2023","Currency=USD","Period=FQ","BEST_FPERIOD_OVERRIDE=FQ","FILING_STATUS=MR","SCALING_FORMAT=MLN","Sort=A","Dates=H","DateFormat=P","Fill=—","Direction=H","UseDPDF=Y")</f>
        <v>10226</v>
      </c>
      <c r="T11" s="19">
        <f>_xll.BDH("NBIX US Equity","ENTERPRISE_VALUE","FQ4 2023","FQ4 2023","Currency=USD","Period=FQ","BEST_FPERIOD_OVERRIDE=FQ","FILING_STATUS=MR","SCALING_FORMAT=MLN","Sort=A","Dates=H","DateFormat=P","Fill=—","Direction=H","UseDPDF=Y")</f>
        <v>12433.512000000001</v>
      </c>
      <c r="U11" s="19">
        <f>_xll.BDH("NBIX US Equity","ENTERPRISE_VALUE","FQ1 2024","FQ1 2024","Currency=USD","Period=FQ","BEST_FPERIOD_OVERRIDE=FQ","FILING_STATUS=MR","SCALING_FORMAT=MLN","Sort=A","Dates=H","DateFormat=P","Fill=—","Direction=H","UseDPDF=Y")</f>
        <v>13074.852000000001</v>
      </c>
      <c r="V11" s="19">
        <f>_xll.BDH("NBIX US Equity","ENTERPRISE_VALUE","FQ2 2024","FQ2 2024","Currency=USD","Period=FQ","BEST_FPERIOD_OVERRIDE=FQ","FILING_STATUS=MR","SCALING_FORMAT=MLN","Sort=A","Dates=H","DateFormat=P","Fill=—","Direction=H","UseDPDF=Y")</f>
        <v>13143.602999999999</v>
      </c>
      <c r="W11" s="19">
        <f>_xll.BDH("NBIX US Equity","ENTERPRISE_VALUE","FQ3 2024","FQ3 2024","Currency=USD","Period=FQ","BEST_FPERIOD_OVERRIDE=FQ","FILING_STATUS=MR","SCALING_FORMAT=MLN","Sort=A","Dates=H","DateFormat=P","Fill=—","Direction=H","UseDPDF=Y")</f>
        <v>10718.464</v>
      </c>
      <c r="X11" s="19">
        <f>_xll.BDH("NBIX US Equity","ENTERPRISE_VALUE","FQ4 2024","FQ4 2024","Currency=USD","Period=FQ","BEST_FPERIOD_OVERRIDE=FQ","FILING_STATUS=MR","SCALING_FORMAT=MLN","Sort=A","Dates=H","DateFormat=P","Fill=—","Direction=H","UseDPDF=Y")</f>
        <v>12987.7</v>
      </c>
      <c r="Y11" s="22">
        <v>10692.08076262</v>
      </c>
      <c r="Z11" s="19"/>
      <c r="AA11" s="19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21"/>
      <c r="Z12" s="18"/>
      <c r="AA12" s="18"/>
    </row>
    <row r="13" spans="1:27" x14ac:dyDescent="0.25">
      <c r="A13" s="6" t="s">
        <v>172</v>
      </c>
      <c r="B13" s="6" t="s">
        <v>173</v>
      </c>
      <c r="C13" s="19">
        <f>_xll.BDH("NBIX US Equity","BS_TOT_CAP","FQ3 2019","FQ3 2019","Currency=USD","Period=FQ","BEST_FPERIOD_OVERRIDE=FQ","FILING_STATUS=MR","SCALING_FORMAT=MLN","Sort=A","Dates=H","DateFormat=P","Fill=—","Direction=H","UseDPDF=Y")</f>
        <v>1060.7449999999999</v>
      </c>
      <c r="D13" s="19">
        <f>_xll.BDH("NBIX US Equity","BS_TOT_CAP","FQ4 2019","FQ4 2019","Currency=USD","Period=FQ","BEST_FPERIOD_OVERRIDE=FQ","FILING_STATUS=MR","SCALING_FORMAT=MLN","Sort=A","Dates=H","DateFormat=P","Fill=—","Direction=H","UseDPDF=Y")</f>
        <v>1140.682</v>
      </c>
      <c r="E13" s="19">
        <f>_xll.BDH("NBIX US Equity","BS_TOT_CAP","FQ1 2020","FQ1 2020","Currency=USD","Period=FQ","BEST_FPERIOD_OVERRIDE=FQ","FILING_STATUS=MR","SCALING_FORMAT=MLN","Sort=A","Dates=H","DateFormat=P","Fill=—","Direction=H","UseDPDF=Y")</f>
        <v>1208.8</v>
      </c>
      <c r="F13" s="19">
        <f>_xll.BDH("NBIX US Equity","BS_TOT_CAP","FQ2 2020","FQ2 2020","Currency=USD","Period=FQ","BEST_FPERIOD_OVERRIDE=FQ","FILING_STATUS=MR","SCALING_FORMAT=MLN","Sort=A","Dates=H","DateFormat=P","Fill=—","Direction=H","UseDPDF=Y")</f>
        <v>1344.2</v>
      </c>
      <c r="G13" s="19">
        <f>_xll.BDH("NBIX US Equity","BS_TOT_CAP","FQ3 2020","FQ3 2020","Currency=USD","Period=FQ","BEST_FPERIOD_OVERRIDE=FQ","FILING_STATUS=MR","SCALING_FORMAT=MLN","Sort=A","Dates=H","DateFormat=P","Fill=—","Direction=H","UseDPDF=Y")</f>
        <v>1322</v>
      </c>
      <c r="H13" s="19">
        <f>_xll.BDH("NBIX US Equity","BS_TOT_CAP","FQ4 2020","FQ4 2020","Currency=USD","Period=FQ","BEST_FPERIOD_OVERRIDE=FQ","FILING_STATUS=MR","SCALING_FORMAT=MLN","Sort=A","Dates=H","DateFormat=P","Fill=—","Direction=H","UseDPDF=Y")</f>
        <v>1548.8</v>
      </c>
      <c r="I13" s="19">
        <f>_xll.BDH("NBIX US Equity","BS_TOT_CAP","FQ1 2021","FQ1 2021","Currency=USD","Period=FQ","BEST_FPERIOD_OVERRIDE=FQ","FILING_STATUS=MR","SCALING_FORMAT=MLN","Sort=A","Dates=H","DateFormat=P","Fill=—","Direction=H","UseDPDF=Y")</f>
        <v>1647.3</v>
      </c>
      <c r="J13" s="19">
        <f>_xll.BDH("NBIX US Equity","BS_TOT_CAP","FQ2 2021","FQ2 2021","Currency=USD","Period=FQ","BEST_FPERIOD_OVERRIDE=FQ","FILING_STATUS=MR","SCALING_FORMAT=MLN","Sort=A","Dates=H","DateFormat=P","Fill=—","Direction=H","UseDPDF=Y")</f>
        <v>1729.5</v>
      </c>
      <c r="K13" s="19">
        <f>_xll.BDH("NBIX US Equity","BS_TOT_CAP","FQ3 2021","FQ3 2021","Currency=USD","Period=FQ","BEST_FPERIOD_OVERRIDE=FQ","FILING_STATUS=MR","SCALING_FORMAT=MLN","Sort=A","Dates=H","DateFormat=P","Fill=—","Direction=H","UseDPDF=Y")</f>
        <v>1798.6</v>
      </c>
      <c r="L13" s="19">
        <f>_xll.BDH("NBIX US Equity","BS_TOT_CAP","FQ4 2021","FQ4 2021","Currency=USD","Period=FQ","BEST_FPERIOD_OVERRIDE=FQ","FILING_STATUS=MR","SCALING_FORMAT=MLN","Sort=A","Dates=H","DateFormat=P","Fill=—","Direction=H","UseDPDF=Y")</f>
        <v>1830.9</v>
      </c>
      <c r="M13" s="19">
        <f>_xll.BDH("NBIX US Equity","BS_TOT_CAP","FQ1 2022","FQ1 2022","Currency=USD","Period=FQ","BEST_FPERIOD_OVERRIDE=FQ","FILING_STATUS=MR","SCALING_FORMAT=MLN","Sort=A","Dates=H","DateFormat=P","Fill=—","Direction=H","UseDPDF=Y")</f>
        <v>1888.2</v>
      </c>
      <c r="N13" s="19">
        <f>_xll.BDH("NBIX US Equity","BS_TOT_CAP","FQ2 2022","FQ2 2022","Currency=USD","Period=FQ","BEST_FPERIOD_OVERRIDE=FQ","FILING_STATUS=MR","SCALING_FORMAT=MLN","Sort=A","Dates=H","DateFormat=P","Fill=—","Direction=H","UseDPDF=Y")</f>
        <v>1709.1</v>
      </c>
      <c r="O13" s="19">
        <f>_xll.BDH("NBIX US Equity","BS_TOT_CAP","FQ3 2022","FQ3 2022","Currency=USD","Period=FQ","BEST_FPERIOD_OVERRIDE=FQ","FILING_STATUS=MR","SCALING_FORMAT=MLN","Sort=A","Dates=H","DateFormat=P","Fill=—","Direction=H","UseDPDF=Y")</f>
        <v>1827.7</v>
      </c>
      <c r="P13" s="19">
        <f>_xll.BDH("NBIX US Equity","BS_TOT_CAP","FQ4 2022","FQ4 2022","Currency=USD","Period=FQ","BEST_FPERIOD_OVERRIDE=FQ","FILING_STATUS=MR","SCALING_FORMAT=MLN","Sort=A","Dates=H","DateFormat=P","Fill=—","Direction=H","UseDPDF=Y")</f>
        <v>1970.7</v>
      </c>
      <c r="Q13" s="19">
        <f>_xll.BDH("NBIX US Equity","BS_TOT_CAP","FQ1 2023","FQ1 2023","Currency=USD","Period=FQ","BEST_FPERIOD_OVERRIDE=FQ","FILING_STATUS=MR","SCALING_FORMAT=MLN","Sort=A","Dates=H","DateFormat=P","Fill=—","Direction=H","UseDPDF=Y")</f>
        <v>1944.4</v>
      </c>
      <c r="R13" s="19">
        <f>_xll.BDH("NBIX US Equity","BS_TOT_CAP","FQ2 2023","FQ2 2023","Currency=USD","Period=FQ","BEST_FPERIOD_OVERRIDE=FQ","FILING_STATUS=MR","SCALING_FORMAT=MLN","Sort=A","Dates=H","DateFormat=P","Fill=—","Direction=H","UseDPDF=Y")</f>
        <v>2129.5</v>
      </c>
      <c r="S13" s="19">
        <f>_xll.BDH("NBIX US Equity","BS_TOT_CAP","FQ3 2023","FQ3 2023","Currency=USD","Period=FQ","BEST_FPERIOD_OVERRIDE=FQ","FILING_STATUS=MR","SCALING_FORMAT=MLN","Sort=A","Dates=H","DateFormat=P","Fill=—","Direction=H","UseDPDF=Y")</f>
        <v>2275.6999999999998</v>
      </c>
      <c r="T13" s="19">
        <f>_xll.BDH("NBIX US Equity","BS_TOT_CAP","FQ4 2023","FQ4 2023","Currency=USD","Period=FQ","BEST_FPERIOD_OVERRIDE=FQ","FILING_STATUS=MR","SCALING_FORMAT=MLN","Sort=A","Dates=H","DateFormat=P","Fill=—","Direction=H","UseDPDF=Y")</f>
        <v>2692.4</v>
      </c>
      <c r="U13" s="19">
        <f>_xll.BDH("NBIX US Equity","BS_TOT_CAP","FQ1 2024","FQ1 2024","Currency=USD","Period=FQ","BEST_FPERIOD_OVERRIDE=FQ","FILING_STATUS=MR","SCALING_FORMAT=MLN","Sort=A","Dates=H","DateFormat=P","Fill=—","Direction=H","UseDPDF=Y")</f>
        <v>2796.8</v>
      </c>
      <c r="V13" s="19">
        <f>_xll.BDH("NBIX US Equity","BS_TOT_CAP","FQ2 2024","FQ2 2024","Currency=USD","Period=FQ","BEST_FPERIOD_OVERRIDE=FQ","FILING_STATUS=MR","SCALING_FORMAT=MLN","Sort=A","Dates=H","DateFormat=P","Fill=—","Direction=H","UseDPDF=Y")</f>
        <v>2800.8</v>
      </c>
      <c r="W13" s="19">
        <f>_xll.BDH("NBIX US Equity","BS_TOT_CAP","FQ3 2024","FQ3 2024","Currency=USD","Period=FQ","BEST_FPERIOD_OVERRIDE=FQ","FILING_STATUS=MR","SCALING_FORMAT=MLN","Sort=A","Dates=H","DateFormat=P","Fill=—","Direction=H","UseDPDF=Y")</f>
        <v>3005.1</v>
      </c>
      <c r="X13" s="19">
        <f>_xll.BDH("NBIX US Equity","BS_TOT_CAP","FQ4 2024","FQ4 2024","Currency=USD","Period=FQ","BEST_FPERIOD_OVERRIDE=FQ","FILING_STATUS=MR","SCALING_FORMAT=MLN","Sort=A","Dates=H","DateFormat=P","Fill=—","Direction=H","UseDPDF=Y")</f>
        <v>3085.4</v>
      </c>
      <c r="Y13" s="22">
        <v>3085.4</v>
      </c>
      <c r="Z13" s="19"/>
      <c r="AA13" s="19"/>
    </row>
    <row r="14" spans="1:27" x14ac:dyDescent="0.25">
      <c r="A14" s="10" t="s">
        <v>174</v>
      </c>
      <c r="B14" s="10" t="s">
        <v>175</v>
      </c>
      <c r="C14" s="14">
        <f>_xll.BDH("NBIX US Equity","TOT_DEBT_TO_TOT_CAP","FQ3 2019","FQ3 2019","Currency=USD","Period=FQ","BEST_FPERIOD_OVERRIDE=FQ","FILING_STATUS=MR","Sort=A","Dates=H","DateFormat=P","Fill=—","Direction=H","UseDPDF=Y")</f>
        <v>45.838500000000003</v>
      </c>
      <c r="D14" s="14">
        <f>_xll.BDH("NBIX US Equity","TOT_DEBT_TO_TOT_CAP","FQ4 2019","FQ4 2019","Currency=USD","Period=FQ","BEST_FPERIOD_OVERRIDE=FQ","FILING_STATUS=MR","Sort=A","Dates=H","DateFormat=P","Fill=—","Direction=H","UseDPDF=Y")</f>
        <v>44.164999999999999</v>
      </c>
      <c r="E14" s="14">
        <f>_xll.BDH("NBIX US Equity","TOT_DEBT_TO_TOT_CAP","FQ1 2020","FQ1 2020","Currency=USD","Period=FQ","BEST_FPERIOD_OVERRIDE=FQ","FILING_STATUS=MR","Sort=A","Dates=H","DateFormat=P","Fill=—","Direction=H","UseDPDF=Y")</f>
        <v>42.066499999999998</v>
      </c>
      <c r="F14" s="14">
        <f>_xll.BDH("NBIX US Equity","TOT_DEBT_TO_TOT_CAP","FQ2 2020","FQ2 2020","Currency=USD","Period=FQ","BEST_FPERIOD_OVERRIDE=FQ","FILING_STATUS=MR","Sort=A","Dates=H","DateFormat=P","Fill=—","Direction=H","UseDPDF=Y")</f>
        <v>38.164000000000001</v>
      </c>
      <c r="G14" s="14">
        <f>_xll.BDH("NBIX US Equity","TOT_DEBT_TO_TOT_CAP","FQ3 2020","FQ3 2020","Currency=USD","Period=FQ","BEST_FPERIOD_OVERRIDE=FQ","FILING_STATUS=MR","Sort=A","Dates=H","DateFormat=P","Fill=—","Direction=H","UseDPDF=Y")</f>
        <v>39.160400000000003</v>
      </c>
      <c r="H14" s="14">
        <f>_xll.BDH("NBIX US Equity","TOT_DEBT_TO_TOT_CAP","FQ4 2020","FQ4 2020","Currency=USD","Period=FQ","BEST_FPERIOD_OVERRIDE=FQ","FILING_STATUS=MR","Sort=A","Dates=H","DateFormat=P","Fill=—","Direction=H","UseDPDF=Y")</f>
        <v>27.285599999999999</v>
      </c>
      <c r="I14" s="14">
        <f>_xll.BDH("NBIX US Equity","TOT_DEBT_TO_TOT_CAP","FQ1 2021","FQ1 2021","Currency=USD","Period=FQ","BEST_FPERIOD_OVERRIDE=FQ","FILING_STATUS=MR","Sort=A","Dates=H","DateFormat=P","Fill=—","Direction=H","UseDPDF=Y")</f>
        <v>26.813600000000001</v>
      </c>
      <c r="J14" s="14">
        <f>_xll.BDH("NBIX US Equity","TOT_DEBT_TO_TOT_CAP","FQ2 2021","FQ2 2021","Currency=USD","Period=FQ","BEST_FPERIOD_OVERRIDE=FQ","FILING_STATUS=MR","Sort=A","Dates=H","DateFormat=P","Fill=—","Direction=H","UseDPDF=Y")</f>
        <v>26.0364</v>
      </c>
      <c r="K14" s="14">
        <f>_xll.BDH("NBIX US Equity","TOT_DEBT_TO_TOT_CAP","FQ3 2021","FQ3 2021","Currency=USD","Period=FQ","BEST_FPERIOD_OVERRIDE=FQ","FILING_STATUS=MR","Sort=A","Dates=H","DateFormat=P","Fill=—","Direction=H","UseDPDF=Y")</f>
        <v>25.164000000000001</v>
      </c>
      <c r="L14" s="14">
        <f>_xll.BDH("NBIX US Equity","TOT_DEBT_TO_TOT_CAP","FQ4 2021","FQ4 2021","Currency=USD","Period=FQ","BEST_FPERIOD_OVERRIDE=FQ","FILING_STATUS=MR","Sort=A","Dates=H","DateFormat=P","Fill=—","Direction=H","UseDPDF=Y")</f>
        <v>24.954899999999999</v>
      </c>
      <c r="M14" s="14">
        <f>_xll.BDH("NBIX US Equity","TOT_DEBT_TO_TOT_CAP","FQ1 2022","FQ1 2022","Currency=USD","Period=FQ","BEST_FPERIOD_OVERRIDE=FQ","FILING_STATUS=MR","Sort=A","Dates=H","DateFormat=P","Fill=—","Direction=H","UseDPDF=Y")</f>
        <v>26.326699999999999</v>
      </c>
      <c r="N14" s="14">
        <f>_xll.BDH("NBIX US Equity","TOT_DEBT_TO_TOT_CAP","FQ2 2022","FQ2 2022","Currency=USD","Period=FQ","BEST_FPERIOD_OVERRIDE=FQ","FILING_STATUS=MR","Sort=A","Dates=H","DateFormat=P","Fill=—","Direction=H","UseDPDF=Y")</f>
        <v>16.7164</v>
      </c>
      <c r="O14" s="14">
        <f>_xll.BDH("NBIX US Equity","TOT_DEBT_TO_TOT_CAP","FQ3 2022","FQ3 2022","Currency=USD","Period=FQ","BEST_FPERIOD_OVERRIDE=FQ","FILING_STATUS=MR","Sort=A","Dates=H","DateFormat=P","Fill=—","Direction=H","UseDPDF=Y")</f>
        <v>15.4894</v>
      </c>
      <c r="P14" s="14">
        <f>_xll.BDH("NBIX US Equity","TOT_DEBT_TO_TOT_CAP","FQ4 2022","FQ4 2022","Currency=USD","Period=FQ","BEST_FPERIOD_OVERRIDE=FQ","FILING_STATUS=MR","Sort=A","Dates=H","DateFormat=P","Fill=—","Direction=H","UseDPDF=Y")</f>
        <v>13.340400000000001</v>
      </c>
      <c r="Q14" s="14">
        <f>_xll.BDH("NBIX US Equity","TOT_DEBT_TO_TOT_CAP","FQ1 2023","FQ1 2023","Currency=USD","Period=FQ","BEST_FPERIOD_OVERRIDE=FQ","FILING_STATUS=MR","Sort=A","Dates=H","DateFormat=P","Fill=—","Direction=H","UseDPDF=Y")</f>
        <v>13.3666</v>
      </c>
      <c r="R14" s="14">
        <f>_xll.BDH("NBIX US Equity","TOT_DEBT_TO_TOT_CAP","FQ2 2023","FQ2 2023","Currency=USD","Period=FQ","BEST_FPERIOD_OVERRIDE=FQ","FILING_STATUS=MR","Sort=A","Dates=H","DateFormat=P","Fill=—","Direction=H","UseDPDF=Y")</f>
        <v>12.984299999999999</v>
      </c>
      <c r="S14" s="14">
        <f>_xll.BDH("NBIX US Equity","TOT_DEBT_TO_TOT_CAP","FQ3 2023","FQ3 2023","Currency=USD","Period=FQ","BEST_FPERIOD_OVERRIDE=FQ","FILING_STATUS=MR","Sort=A","Dates=H","DateFormat=P","Fill=—","Direction=H","UseDPDF=Y")</f>
        <v>12.0227</v>
      </c>
      <c r="T14" s="14">
        <f>_xll.BDH("NBIX US Equity","TOT_DEBT_TO_TOT_CAP","FQ4 2023","FQ4 2023","Currency=USD","Period=FQ","BEST_FPERIOD_OVERRIDE=FQ","FILING_STATUS=MR","Sort=A","Dates=H","DateFormat=P","Fill=—","Direction=H","UseDPDF=Y")</f>
        <v>17.100000000000001</v>
      </c>
      <c r="U14" s="14">
        <f>_xll.BDH("NBIX US Equity","TOT_DEBT_TO_TOT_CAP","FQ1 2024","FQ1 2024","Currency=USD","Period=FQ","BEST_FPERIOD_OVERRIDE=FQ","FILING_STATUS=MR","Sort=A","Dates=H","DateFormat=P","Fill=—","Direction=H","UseDPDF=Y")</f>
        <v>14.6846</v>
      </c>
      <c r="V14" s="14">
        <f>_xll.BDH("NBIX US Equity","TOT_DEBT_TO_TOT_CAP","FQ2 2024","FQ2 2024","Currency=USD","Period=FQ","BEST_FPERIOD_OVERRIDE=FQ","FILING_STATUS=MR","Sort=A","Dates=H","DateFormat=P","Fill=—","Direction=H","UseDPDF=Y")</f>
        <v>10.411300000000001</v>
      </c>
      <c r="W14" s="14">
        <f>_xll.BDH("NBIX US Equity","TOT_DEBT_TO_TOT_CAP","FQ3 2024","FQ3 2024","Currency=USD","Period=FQ","BEST_FPERIOD_OVERRIDE=FQ","FILING_STATUS=MR","Sort=A","Dates=H","DateFormat=P","Fill=—","Direction=H","UseDPDF=Y")</f>
        <v>9.5237999999999996</v>
      </c>
      <c r="X14" s="14">
        <f>_xll.BDH("NBIX US Equity","TOT_DEBT_TO_TOT_CAP","FQ4 2024","FQ4 2024","Currency=USD","Period=FQ","BEST_FPERIOD_OVERRIDE=FQ","FILING_STATUS=MR","Sort=A","Dates=H","DateFormat=P","Fill=—","Direction=H","UseDPDF=Y")</f>
        <v>16.065999999999999</v>
      </c>
      <c r="Y14" s="17">
        <v>16.065988202502101</v>
      </c>
      <c r="Z14" s="14"/>
      <c r="AA14" s="14"/>
    </row>
    <row r="15" spans="1:27" x14ac:dyDescent="0.25">
      <c r="A15" s="10" t="s">
        <v>176</v>
      </c>
      <c r="B15" s="10" t="s">
        <v>177</v>
      </c>
      <c r="C15" s="14">
        <f>_xll.BDH("NBIX US Equity","TOTAL_DEBT_TO_EV","FQ3 2019","FQ3 2019","Currency=USD","Period=FQ","BEST_FPERIOD_OVERRIDE=FQ","FILING_STATUS=MR","Sort=A","Dates=H","DateFormat=P","Fill=—","Direction=H","UseDPDF=Y")</f>
        <v>5.9900000000000002E-2</v>
      </c>
      <c r="D15" s="14">
        <f>_xll.BDH("NBIX US Equity","TOTAL_DEBT_TO_EV","FQ4 2019","FQ4 2019","Currency=USD","Period=FQ","BEST_FPERIOD_OVERRIDE=FQ","FILING_STATUS=MR","Sort=A","Dates=H","DateFormat=P","Fill=—","Direction=H","UseDPDF=Y")</f>
        <v>5.16E-2</v>
      </c>
      <c r="E15" s="14">
        <f>_xll.BDH("NBIX US Equity","TOTAL_DEBT_TO_EV","FQ1 2020","FQ1 2020","Currency=USD","Period=FQ","BEST_FPERIOD_OVERRIDE=FQ","FILING_STATUS=MR","Sort=A","Dates=H","DateFormat=P","Fill=—","Direction=H","UseDPDF=Y")</f>
        <v>6.5500000000000003E-2</v>
      </c>
      <c r="F15" s="14">
        <f>_xll.BDH("NBIX US Equity","TOTAL_DEBT_TO_EV","FQ2 2020","FQ2 2020","Currency=USD","Period=FQ","BEST_FPERIOD_OVERRIDE=FQ","FILING_STATUS=MR","Sort=A","Dates=H","DateFormat=P","Fill=—","Direction=H","UseDPDF=Y")</f>
        <v>4.6899999999999997E-2</v>
      </c>
      <c r="G15" s="14">
        <f>_xll.BDH("NBIX US Equity","TOTAL_DEBT_TO_EV","FQ3 2020","FQ3 2020","Currency=USD","Period=FQ","BEST_FPERIOD_OVERRIDE=FQ","FILING_STATUS=MR","Sort=A","Dates=H","DateFormat=P","Fill=—","Direction=H","UseDPDF=Y")</f>
        <v>6.0499999999999998E-2</v>
      </c>
      <c r="H15" s="14">
        <f>_xll.BDH("NBIX US Equity","TOTAL_DEBT_TO_EV","FQ4 2020","FQ4 2020","Currency=USD","Period=FQ","BEST_FPERIOD_OVERRIDE=FQ","FILING_STATUS=MR","Sort=A","Dates=H","DateFormat=P","Fill=—","Direction=H","UseDPDF=Y")</f>
        <v>4.9200000000000001E-2</v>
      </c>
      <c r="I15" s="14">
        <f>_xll.BDH("NBIX US Equity","TOTAL_DEBT_TO_EV","FQ1 2021","FQ1 2021","Currency=USD","Period=FQ","BEST_FPERIOD_OVERRIDE=FQ","FILING_STATUS=MR","Sort=A","Dates=H","DateFormat=P","Fill=—","Direction=H","UseDPDF=Y")</f>
        <v>5.04E-2</v>
      </c>
      <c r="J15" s="14">
        <f>_xll.BDH("NBIX US Equity","TOTAL_DEBT_TO_EV","FQ2 2021","FQ2 2021","Currency=USD","Period=FQ","BEST_FPERIOD_OVERRIDE=FQ","FILING_STATUS=MR","Sort=A","Dates=H","DateFormat=P","Fill=—","Direction=H","UseDPDF=Y")</f>
        <v>5.1299999999999998E-2</v>
      </c>
      <c r="K15" s="14">
        <f>_xll.BDH("NBIX US Equity","TOTAL_DEBT_TO_EV","FQ3 2021","FQ3 2021","Currency=USD","Period=FQ","BEST_FPERIOD_OVERRIDE=FQ","FILING_STATUS=MR","Sort=A","Dates=H","DateFormat=P","Fill=—","Direction=H","UseDPDF=Y")</f>
        <v>5.16E-2</v>
      </c>
      <c r="L15" s="14">
        <f>_xll.BDH("NBIX US Equity","TOTAL_DEBT_TO_EV","FQ4 2021","FQ4 2021","Currency=USD","Period=FQ","BEST_FPERIOD_OVERRIDE=FQ","FILING_STATUS=MR","Sort=A","Dates=H","DateFormat=P","Fill=—","Direction=H","UseDPDF=Y")</f>
        <v>5.8400000000000001E-2</v>
      </c>
      <c r="M15" s="14">
        <f>_xll.BDH("NBIX US Equity","TOTAL_DEBT_TO_EV","FQ1 2022","FQ1 2022","Currency=USD","Period=FQ","BEST_FPERIOD_OVERRIDE=FQ","FILING_STATUS=MR","Sort=A","Dates=H","DateFormat=P","Fill=—","Direction=H","UseDPDF=Y")</f>
        <v>5.6599999999999998E-2</v>
      </c>
      <c r="N15" s="14">
        <f>_xll.BDH("NBIX US Equity","TOTAL_DEBT_TO_EV","FQ2 2022","FQ2 2022","Currency=USD","Period=FQ","BEST_FPERIOD_OVERRIDE=FQ","FILING_STATUS=MR","Sort=A","Dates=H","DateFormat=P","Fill=—","Direction=H","UseDPDF=Y")</f>
        <v>3.1899999999999998E-2</v>
      </c>
      <c r="O15" s="14">
        <f>_xll.BDH("NBIX US Equity","TOTAL_DEBT_TO_EV","FQ3 2022","FQ3 2022","Currency=USD","Period=FQ","BEST_FPERIOD_OVERRIDE=FQ","FILING_STATUS=MR","Sort=A","Dates=H","DateFormat=P","Fill=—","Direction=H","UseDPDF=Y")</f>
        <v>2.92E-2</v>
      </c>
      <c r="P15" s="14">
        <f>_xll.BDH("NBIX US Equity","TOTAL_DEBT_TO_EV","FQ4 2022","FQ4 2022","Currency=USD","Period=FQ","BEST_FPERIOD_OVERRIDE=FQ","FILING_STATUS=MR","Sort=A","Dates=H","DateFormat=P","Fill=—","Direction=H","UseDPDF=Y")</f>
        <v>2.4299999999999999E-2</v>
      </c>
      <c r="Q15" s="14">
        <f>_xll.BDH("NBIX US Equity","TOTAL_DEBT_TO_EV","FQ1 2023","FQ1 2023","Currency=USD","Period=FQ","BEST_FPERIOD_OVERRIDE=FQ","FILING_STATUS=MR","Sort=A","Dates=H","DateFormat=P","Fill=—","Direction=H","UseDPDF=Y")</f>
        <v>2.81E-2</v>
      </c>
      <c r="R15" s="14">
        <f>_xll.BDH("NBIX US Equity","TOTAL_DEBT_TO_EV","FQ2 2023","FQ2 2023","Currency=USD","Period=FQ","BEST_FPERIOD_OVERRIDE=FQ","FILING_STATUS=MR","Sort=A","Dates=H","DateFormat=P","Fill=—","Direction=H","UseDPDF=Y")</f>
        <v>3.2500000000000001E-2</v>
      </c>
      <c r="S15" s="14">
        <f>_xll.BDH("NBIX US Equity","TOTAL_DEBT_TO_EV","FQ3 2023","FQ3 2023","Currency=USD","Period=FQ","BEST_FPERIOD_OVERRIDE=FQ","FILING_STATUS=MR","Sort=A","Dates=H","DateFormat=P","Fill=—","Direction=H","UseDPDF=Y")</f>
        <v>2.6800000000000001E-2</v>
      </c>
      <c r="T15" s="14">
        <f>_xll.BDH("NBIX US Equity","TOTAL_DEBT_TO_EV","FQ4 2023","FQ4 2023","Currency=USD","Period=FQ","BEST_FPERIOD_OVERRIDE=FQ","FILING_STATUS=MR","Sort=A","Dates=H","DateFormat=P","Fill=—","Direction=H","UseDPDF=Y")</f>
        <v>3.6999999999999998E-2</v>
      </c>
      <c r="U15" s="14">
        <f>_xll.BDH("NBIX US Equity","TOTAL_DEBT_TO_EV","FQ1 2024","FQ1 2024","Currency=USD","Period=FQ","BEST_FPERIOD_OVERRIDE=FQ","FILING_STATUS=MR","Sort=A","Dates=H","DateFormat=P","Fill=—","Direction=H","UseDPDF=Y")</f>
        <v>3.1399999999999997E-2</v>
      </c>
      <c r="V15" s="14">
        <f>_xll.BDH("NBIX US Equity","TOTAL_DEBT_TO_EV","FQ2 2024","FQ2 2024","Currency=USD","Period=FQ","BEST_FPERIOD_OVERRIDE=FQ","FILING_STATUS=MR","Sort=A","Dates=H","DateFormat=P","Fill=—","Direction=H","UseDPDF=Y")</f>
        <v>2.2200000000000001E-2</v>
      </c>
      <c r="W15" s="14">
        <f>_xll.BDH("NBIX US Equity","TOTAL_DEBT_TO_EV","FQ3 2024","FQ3 2024","Currency=USD","Period=FQ","BEST_FPERIOD_OVERRIDE=FQ","FILING_STATUS=MR","Sort=A","Dates=H","DateFormat=P","Fill=—","Direction=H","UseDPDF=Y")</f>
        <v>2.6700000000000002E-2</v>
      </c>
      <c r="X15" s="14">
        <f>_xll.BDH("NBIX US Equity","TOTAL_DEBT_TO_EV","FQ4 2024","FQ4 2024","Currency=USD","Period=FQ","BEST_FPERIOD_OVERRIDE=FQ","FILING_STATUS=MR","Sort=A","Dates=H","DateFormat=P","Fill=—","Direction=H","UseDPDF=Y")</f>
        <v>3.8199999999999998E-2</v>
      </c>
      <c r="Y15" s="17">
        <v>4.6361415612664401E-2</v>
      </c>
      <c r="Z15" s="14"/>
      <c r="AA15" s="14"/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21"/>
      <c r="Z16" s="18"/>
      <c r="AA16" s="18"/>
    </row>
    <row r="17" spans="1:27" x14ac:dyDescent="0.25">
      <c r="A17" s="6" t="s">
        <v>178</v>
      </c>
      <c r="B17" s="6" t="s">
        <v>179</v>
      </c>
      <c r="C17" s="20">
        <f>_xll.BDH("NBIX US Equity","EV_TO_T12M_SALES","FQ3 2019","FQ3 2019","Currency=USD","Period=FQ","BEST_FPERIOD_OVERRIDE=FQ","FILING_STATUS=MR","FA_ADJUSTED=GAAP","Sort=A","Dates=H","DateFormat=P","Fill=—","Direction=H","UseDPDF=Y")</f>
        <v>12.0097</v>
      </c>
      <c r="D17" s="20">
        <f>_xll.BDH("NBIX US Equity","EV_TO_T12M_SALES","FQ4 2019","FQ4 2019","Currency=USD","Period=FQ","BEST_FPERIOD_OVERRIDE=FQ","FILING_STATUS=MR","FA_ADJUSTED=GAAP","Sort=A","Dates=H","DateFormat=P","Fill=—","Direction=H","UseDPDF=Y")</f>
        <v>12.376200000000001</v>
      </c>
      <c r="E17" s="20">
        <f>_xll.BDH("NBIX US Equity","EV_TO_T12M_SALES","FQ1 2020","FQ1 2020","Currency=USD","Period=FQ","BEST_FPERIOD_OVERRIDE=FQ","FILING_STATUS=MR","FA_ADJUSTED=GAAP","Sort=A","Dates=H","DateFormat=P","Fill=—","Direction=H","UseDPDF=Y")</f>
        <v>8.7596000000000007</v>
      </c>
      <c r="F17" s="20">
        <f>_xll.BDH("NBIX US Equity","EV_TO_T12M_SALES","FQ2 2020","FQ2 2020","Currency=USD","Period=FQ","BEST_FPERIOD_OVERRIDE=FQ","FILING_STATUS=MR","FA_ADJUSTED=GAAP","Sort=A","Dates=H","DateFormat=P","Fill=—","Direction=H","UseDPDF=Y")</f>
        <v>10.873200000000001</v>
      </c>
      <c r="G17" s="20">
        <f>_xll.BDH("NBIX US Equity","EV_TO_T12M_SALES","FQ3 2020","FQ3 2020","Currency=USD","Period=FQ","BEST_FPERIOD_OVERRIDE=FQ","FILING_STATUS=MR","FA_ADJUSTED=GAAP","Sort=A","Dates=H","DateFormat=P","Fill=—","Direction=H","UseDPDF=Y")</f>
        <v>8.2088000000000001</v>
      </c>
      <c r="H17" s="20">
        <f>_xll.BDH("NBIX US Equity","EV_TO_T12M_SALES","FQ4 2020","FQ4 2020","Currency=USD","Period=FQ","BEST_FPERIOD_OVERRIDE=FQ","FILING_STATUS=MR","FA_ADJUSTED=GAAP","Sort=A","Dates=H","DateFormat=P","Fill=—","Direction=H","UseDPDF=Y")</f>
        <v>8.2068999999999992</v>
      </c>
      <c r="I17" s="20">
        <f>_xll.BDH("NBIX US Equity","EV_TO_T12M_SALES","FQ1 2021","FQ1 2021","Currency=USD","Period=FQ","BEST_FPERIOD_OVERRIDE=FQ","FILING_STATUS=MR","FA_ADJUSTED=GAAP","Sort=A","Dates=H","DateFormat=P","Fill=—","Direction=H","UseDPDF=Y")</f>
        <v>8.3778000000000006</v>
      </c>
      <c r="J17" s="20">
        <f>_xll.BDH("NBIX US Equity","EV_TO_T12M_SALES","FQ2 2021","FQ2 2021","Currency=USD","Period=FQ","BEST_FPERIOD_OVERRIDE=FQ","FILING_STATUS=MR","FA_ADJUSTED=GAAP","Sort=A","Dates=H","DateFormat=P","Fill=—","Direction=H","UseDPDF=Y")</f>
        <v>8.5007000000000001</v>
      </c>
      <c r="K17" s="20">
        <f>_xll.BDH("NBIX US Equity","EV_TO_T12M_SALES","FQ3 2021","FQ3 2021","Currency=USD","Period=FQ","BEST_FPERIOD_OVERRIDE=FQ","FILING_STATUS=MR","FA_ADJUSTED=GAAP","Sort=A","Dates=H","DateFormat=P","Fill=—","Direction=H","UseDPDF=Y")</f>
        <v>8.2091999999999992</v>
      </c>
      <c r="L17" s="20">
        <f>_xll.BDH("NBIX US Equity","EV_TO_T12M_SALES","FQ4 2021","FQ4 2021","Currency=USD","Period=FQ","BEST_FPERIOD_OVERRIDE=FQ","FILING_STATUS=MR","FA_ADJUSTED=GAAP","Sort=A","Dates=H","DateFormat=P","Fill=—","Direction=H","UseDPDF=Y")</f>
        <v>6.9062000000000001</v>
      </c>
      <c r="M17" s="20">
        <f>_xll.BDH("NBIX US Equity","EV_TO_T12M_SALES","FQ1 2022","FQ1 2022","Currency=USD","Period=FQ","BEST_FPERIOD_OVERRIDE=FQ","FILING_STATUS=MR","FA_ADJUSTED=GAAP","Sort=A","Dates=H","DateFormat=P","Fill=—","Direction=H","UseDPDF=Y")</f>
        <v>7.2755999999999998</v>
      </c>
      <c r="N17" s="20">
        <f>_xll.BDH("NBIX US Equity","EV_TO_T12M_SALES","FQ2 2022","FQ2 2022","Currency=USD","Period=FQ","BEST_FPERIOD_OVERRIDE=FQ","FILING_STATUS=MR","FA_ADJUSTED=GAAP","Sort=A","Dates=H","DateFormat=P","Fill=—","Direction=H","UseDPDF=Y")</f>
        <v>6.9066000000000001</v>
      </c>
      <c r="O17" s="20">
        <f>_xll.BDH("NBIX US Equity","EV_TO_T12M_SALES","FQ3 2022","FQ3 2022","Currency=USD","Period=FQ","BEST_FPERIOD_OVERRIDE=FQ","FILING_STATUS=MR","FA_ADJUSTED=GAAP","Sort=A","Dates=H","DateFormat=P","Fill=—","Direction=H","UseDPDF=Y")</f>
        <v>6.9781000000000004</v>
      </c>
      <c r="P17" s="20">
        <f>_xll.BDH("NBIX US Equity","EV_TO_T12M_SALES","FQ4 2022","FQ4 2022","Currency=USD","Period=FQ","BEST_FPERIOD_OVERRIDE=FQ","FILING_STATUS=MR","FA_ADJUSTED=GAAP","Sort=A","Dates=H","DateFormat=P","Fill=—","Direction=H","UseDPDF=Y")</f>
        <v>7.2544000000000004</v>
      </c>
      <c r="Q17" s="20">
        <f>_xll.BDH("NBIX US Equity","EV_TO_T12M_SALES","FQ1 2023","FQ1 2023","Currency=USD","Period=FQ","BEST_FPERIOD_OVERRIDE=FQ","FILING_STATUS=MR","FA_ADJUSTED=GAAP","Sort=A","Dates=H","DateFormat=P","Fill=—","Direction=H","UseDPDF=Y")</f>
        <v>5.7767999999999997</v>
      </c>
      <c r="R17" s="20">
        <f>_xll.BDH("NBIX US Equity","EV_TO_T12M_SALES","FQ2 2023","FQ2 2023","Currency=USD","Period=FQ","BEST_FPERIOD_OVERRIDE=FQ","FILING_STATUS=MR","FA_ADJUSTED=GAAP","Sort=A","Dates=H","DateFormat=P","Fill=—","Direction=H","UseDPDF=Y")</f>
        <v>5.0827999999999998</v>
      </c>
      <c r="S17" s="20">
        <f>_xll.BDH("NBIX US Equity","EV_TO_T12M_SALES","FQ3 2023","FQ3 2023","Currency=USD","Period=FQ","BEST_FPERIOD_OVERRIDE=FQ","FILING_STATUS=MR","FA_ADJUSTED=GAAP","Sort=A","Dates=H","DateFormat=P","Fill=—","Direction=H","UseDPDF=Y")</f>
        <v>5.7324000000000002</v>
      </c>
      <c r="T17" s="20">
        <f>_xll.BDH("NBIX US Equity","EV_TO_T12M_SALES","FQ4 2023","FQ4 2023","Currency=USD","Period=FQ","BEST_FPERIOD_OVERRIDE=FQ","FILING_STATUS=MR","FA_ADJUSTED=GAAP","Sort=A","Dates=H","DateFormat=P","Fill=—","Direction=H","UseDPDF=Y")</f>
        <v>6.5887000000000002</v>
      </c>
      <c r="U17" s="20">
        <f>_xll.BDH("NBIX US Equity","EV_TO_T12M_SALES","FQ1 2024","FQ1 2024","Currency=USD","Period=FQ","BEST_FPERIOD_OVERRIDE=FQ","FILING_STATUS=MR","FA_ADJUSTED=GAAP","Sort=A","Dates=H","DateFormat=P","Fill=—","Direction=H","UseDPDF=Y")</f>
        <v>6.5968</v>
      </c>
      <c r="V17" s="20">
        <f>_xll.BDH("NBIX US Equity","EV_TO_T12M_SALES","FQ2 2024","FQ2 2024","Currency=USD","Period=FQ","BEST_FPERIOD_OVERRIDE=FQ","FILING_STATUS=MR","FA_ADJUSTED=GAAP","Sort=A","Dates=H","DateFormat=P","Fill=—","Direction=H","UseDPDF=Y")</f>
        <v>6.2012999999999998</v>
      </c>
      <c r="W17" s="20">
        <f>_xll.BDH("NBIX US Equity","EV_TO_T12M_SALES","FQ3 2024","FQ3 2024","Currency=USD","Period=FQ","BEST_FPERIOD_OVERRIDE=FQ","FILING_STATUS=MR","FA_ADJUSTED=GAAP","Sort=A","Dates=H","DateFormat=P","Fill=—","Direction=H","UseDPDF=Y")</f>
        <v>4.7790999999999997</v>
      </c>
      <c r="X17" s="20">
        <f>_xll.BDH("NBIX US Equity","EV_TO_T12M_SALES","FQ4 2024","FQ4 2024","Currency=USD","Period=FQ","BEST_FPERIOD_OVERRIDE=FQ","FILING_STATUS=MR","FA_ADJUSTED=GAAP","Sort=A","Dates=H","DateFormat=P","Fill=—","Direction=H","UseDPDF=Y")</f>
        <v>5.5141999999999998</v>
      </c>
      <c r="Y17" s="23">
        <v>4.5395833917632604</v>
      </c>
      <c r="Z17" s="20">
        <v>4.01019146630051</v>
      </c>
      <c r="AA17" s="20">
        <v>3.7979111513672099</v>
      </c>
    </row>
    <row r="18" spans="1:27" x14ac:dyDescent="0.25">
      <c r="A18" s="6" t="s">
        <v>180</v>
      </c>
      <c r="B18" s="6" t="s">
        <v>181</v>
      </c>
      <c r="C18" s="20">
        <f>_xll.BDH("NBIX US Equity","EV_TO_T12M_EBITDA","FQ3 2019","FQ3 2019","Currency=USD","Period=FQ","BEST_FPERIOD_OVERRIDE=FQ","FILING_STATUS=MR","FA_ADJUSTED=GAAP","Sort=A","Dates=H","DateFormat=P","Fill=—","Direction=H","UseDPDF=Y")</f>
        <v>135.36840000000001</v>
      </c>
      <c r="D18" s="20">
        <f>_xll.BDH("NBIX US Equity","EV_TO_T12M_EBITDA","FQ4 2019","FQ4 2019","Currency=USD","Period=FQ","BEST_FPERIOD_OVERRIDE=FQ","FILING_STATUS=MR","FA_ADJUSTED=GAAP","Sort=A","Dates=H","DateFormat=P","Fill=—","Direction=H","UseDPDF=Y")</f>
        <v>111.0219</v>
      </c>
      <c r="E18" s="20">
        <f>_xll.BDH("NBIX US Equity","EV_TO_T12M_EBITDA","FQ1 2020","FQ1 2020","Currency=USD","Period=FQ","BEST_FPERIOD_OVERRIDE=FQ","FILING_STATUS=MR","FA_ADJUSTED=GAAP","Sort=A","Dates=H","DateFormat=P","Fill=—","Direction=H","UseDPDF=Y")</f>
        <v>31.212800000000001</v>
      </c>
      <c r="F18" s="20">
        <f>_xll.BDH("NBIX US Equity","EV_TO_T12M_EBITDA","FQ2 2020","FQ2 2020","Currency=USD","Period=FQ","BEST_FPERIOD_OVERRIDE=FQ","FILING_STATUS=MR","FA_ADJUSTED=GAAP","Sort=A","Dates=H","DateFormat=P","Fill=—","Direction=H","UseDPDF=Y")</f>
        <v>37.468699999999998</v>
      </c>
      <c r="G18" s="20">
        <f>_xll.BDH("NBIX US Equity","EV_TO_T12M_EBITDA","FQ3 2020","FQ3 2020","Currency=USD","Period=FQ","BEST_FPERIOD_OVERRIDE=FQ","FILING_STATUS=MR","FA_ADJUSTED=GAAP","Sort=A","Dates=H","DateFormat=P","Fill=—","Direction=H","UseDPDF=Y")</f>
        <v>54.128100000000003</v>
      </c>
      <c r="H18" s="20">
        <f>_xll.BDH("NBIX US Equity","EV_TO_T12M_EBITDA","FQ4 2020","FQ4 2020","Currency=USD","Period=FQ","BEST_FPERIOD_OVERRIDE=FQ","FILING_STATUS=MR","FA_ADJUSTED=GAAP","Sort=A","Dates=H","DateFormat=P","Fill=—","Direction=H","UseDPDF=Y")</f>
        <v>47.240400000000001</v>
      </c>
      <c r="I18" s="20">
        <f>_xll.BDH("NBIX US Equity","EV_TO_T12M_EBITDA","FQ1 2021","FQ1 2021","Currency=USD","Period=FQ","BEST_FPERIOD_OVERRIDE=FQ","FILING_STATUS=MR","FA_ADJUSTED=GAAP","Sort=A","Dates=H","DateFormat=P","Fill=—","Direction=H","UseDPDF=Y")</f>
        <v>56.286200000000001</v>
      </c>
      <c r="J18" s="20">
        <f>_xll.BDH("NBIX US Equity","EV_TO_T12M_EBITDA","FQ2 2021","FQ2 2021","Currency=USD","Period=FQ","BEST_FPERIOD_OVERRIDE=FQ","FILING_STATUS=MR","FA_ADJUSTED=GAAP","Sort=A","Dates=H","DateFormat=P","Fill=—","Direction=H","UseDPDF=Y")</f>
        <v>61.042999999999999</v>
      </c>
      <c r="K18" s="20">
        <f>_xll.BDH("NBIX US Equity","EV_TO_T12M_EBITDA","FQ3 2021","FQ3 2021","Currency=USD","Period=FQ","BEST_FPERIOD_OVERRIDE=FQ","FILING_STATUS=MR","FA_ADJUSTED=GAAP","Sort=A","Dates=H","DateFormat=P","Fill=—","Direction=H","UseDPDF=Y")</f>
        <v>37.420999999999999</v>
      </c>
      <c r="L18" s="20">
        <f>_xll.BDH("NBIX US Equity","EV_TO_T12M_EBITDA","FQ4 2021","FQ4 2021","Currency=USD","Period=FQ","BEST_FPERIOD_OVERRIDE=FQ","FILING_STATUS=MR","FA_ADJUSTED=GAAP","Sort=A","Dates=H","DateFormat=P","Fill=—","Direction=H","UseDPDF=Y")</f>
        <v>60.825400000000002</v>
      </c>
      <c r="M18" s="20">
        <f>_xll.BDH("NBIX US Equity","EV_TO_T12M_EBITDA","FQ1 2022","FQ1 2022","Currency=USD","Period=FQ","BEST_FPERIOD_OVERRIDE=FQ","FILING_STATUS=MR","FA_ADJUSTED=GAAP","Sort=A","Dates=H","DateFormat=P","Fill=—","Direction=H","UseDPDF=Y")</f>
        <v>86.299899999999994</v>
      </c>
      <c r="N18" s="20">
        <f>_xll.BDH("NBIX US Equity","EV_TO_T12M_EBITDA","FQ2 2022","FQ2 2022","Currency=USD","Period=FQ","BEST_FPERIOD_OVERRIDE=FQ","FILING_STATUS=MR","FA_ADJUSTED=GAAP","Sort=A","Dates=H","DateFormat=P","Fill=—","Direction=H","UseDPDF=Y")</f>
        <v>94.080799999999996</v>
      </c>
      <c r="O18" s="20">
        <f>_xll.BDH("NBIX US Equity","EV_TO_T12M_EBITDA","FQ3 2022","FQ3 2022","Currency=USD","Period=FQ","BEST_FPERIOD_OVERRIDE=FQ","FILING_STATUS=MR","FA_ADJUSTED=GAAP","Sort=A","Dates=H","DateFormat=P","Fill=—","Direction=H","UseDPDF=Y")</f>
        <v>69.168300000000002</v>
      </c>
      <c r="P18" s="20">
        <f>_xll.BDH("NBIX US Equity","EV_TO_T12M_EBITDA","FQ4 2022","FQ4 2022","Currency=USD","Period=FQ","BEST_FPERIOD_OVERRIDE=FQ","FILING_STATUS=MR","FA_ADJUSTED=GAAP","Sort=A","Dates=H","DateFormat=P","Fill=—","Direction=H","UseDPDF=Y")</f>
        <v>38.446300000000001</v>
      </c>
      <c r="Q18" s="20">
        <f>_xll.BDH("NBIX US Equity","EV_TO_T12M_EBITDA","FQ1 2023","FQ1 2023","Currency=USD","Period=FQ","BEST_FPERIOD_OVERRIDE=FQ","FILING_STATUS=MR","FA_ADJUSTED=GAAP","Sort=A","Dates=H","DateFormat=P","Fill=—","Direction=H","UseDPDF=Y")</f>
        <v>55.863599999999998</v>
      </c>
      <c r="R18" s="20">
        <f>_xll.BDH("NBIX US Equity","EV_TO_T12M_EBITDA","FQ2 2023","FQ2 2023","Currency=USD","Period=FQ","BEST_FPERIOD_OVERRIDE=FQ","FILING_STATUS=MR","FA_ADJUSTED=GAAP","Sort=A","Dates=H","DateFormat=P","Fill=—","Direction=H","UseDPDF=Y")</f>
        <v>45.865600000000001</v>
      </c>
      <c r="S18" s="20">
        <f>_xll.BDH("NBIX US Equity","EV_TO_T12M_EBITDA","FQ3 2023","FQ3 2023","Currency=USD","Period=FQ","BEST_FPERIOD_OVERRIDE=FQ","FILING_STATUS=MR","FA_ADJUSTED=GAAP","Sort=A","Dates=H","DateFormat=P","Fill=—","Direction=H","UseDPDF=Y")</f>
        <v>42.643900000000002</v>
      </c>
      <c r="T18" s="20">
        <f>_xll.BDH("NBIX US Equity","EV_TO_T12M_EBITDA","FQ4 2023","FQ4 2023","Currency=USD","Period=FQ","BEST_FPERIOD_OVERRIDE=FQ","FILING_STATUS=MR","FA_ADJUSTED=GAAP","Sort=A","Dates=H","DateFormat=P","Fill=—","Direction=H","UseDPDF=Y")</f>
        <v>43.0822</v>
      </c>
      <c r="U18" s="20">
        <f>_xll.BDH("NBIX US Equity","EV_TO_T12M_EBITDA","FQ1 2024","FQ1 2024","Currency=USD","Period=FQ","BEST_FPERIOD_OVERRIDE=FQ","FILING_STATUS=MR","FA_ADJUSTED=GAAP","Sort=A","Dates=H","DateFormat=P","Fill=—","Direction=H","UseDPDF=Y")</f>
        <v>25.727799999999998</v>
      </c>
      <c r="V18" s="20">
        <f>_xll.BDH("NBIX US Equity","EV_TO_T12M_EBITDA","FQ2 2024","FQ2 2024","Currency=USD","Period=FQ","BEST_FPERIOD_OVERRIDE=FQ","FILING_STATUS=MR","FA_ADJUSTED=GAAP","Sort=A","Dates=H","DateFormat=P","Fill=—","Direction=H","UseDPDF=Y")</f>
        <v>22.3797</v>
      </c>
      <c r="W18" s="20">
        <f>_xll.BDH("NBIX US Equity","EV_TO_T12M_EBITDA","FQ3 2024","FQ3 2024","Currency=USD","Period=FQ","BEST_FPERIOD_OVERRIDE=FQ","FILING_STATUS=MR","FA_ADJUSTED=GAAP","Sort=A","Dates=H","DateFormat=P","Fill=—","Direction=H","UseDPDF=Y")</f>
        <v>16.855599999999999</v>
      </c>
      <c r="X18" s="20">
        <f>_xll.BDH("NBIX US Equity","EV_TO_T12M_EBITDA","FQ4 2024","FQ4 2024","Currency=USD","Period=FQ","BEST_FPERIOD_OVERRIDE=FQ","FILING_STATUS=MR","FA_ADJUSTED=GAAP","Sort=A","Dates=H","DateFormat=P","Fill=—","Direction=H","UseDPDF=Y")</f>
        <v>20.306000000000001</v>
      </c>
      <c r="Y18" s="23">
        <v>16.727285298216501</v>
      </c>
      <c r="Z18" s="20">
        <v>14.858265949525199</v>
      </c>
      <c r="AA18" s="20">
        <v>11.6184833637192</v>
      </c>
    </row>
    <row r="19" spans="1:27" x14ac:dyDescent="0.25">
      <c r="A19" s="6" t="s">
        <v>182</v>
      </c>
      <c r="B19" s="6" t="s">
        <v>183</v>
      </c>
      <c r="C19" s="20">
        <f>_xll.BDH("NBIX US Equity","EV_TO_T12M_EBIT","FQ3 2019","FQ3 2019","Currency=USD","Period=FQ","BEST_FPERIOD_OVERRIDE=FQ","FILING_STATUS=MR","FA_ADJUSTED=GAAP","Sort=A","Dates=H","DateFormat=P","Fill=—","Direction=H","UseDPDF=Y")</f>
        <v>162.15629999999999</v>
      </c>
      <c r="D19" s="20">
        <f>_xll.BDH("NBIX US Equity","EV_TO_T12M_EBIT","FQ4 2019","FQ4 2019","Currency=USD","Period=FQ","BEST_FPERIOD_OVERRIDE=FQ","FILING_STATUS=MR","FA_ADJUSTED=GAAP","Sort=A","Dates=H","DateFormat=P","Fill=—","Direction=H","UseDPDF=Y")</f>
        <v>126.5175</v>
      </c>
      <c r="E19" s="20">
        <f>_xll.BDH("NBIX US Equity","EV_TO_T12M_EBIT","FQ1 2020","FQ1 2020","Currency=USD","Period=FQ","BEST_FPERIOD_OVERRIDE=FQ","FILING_STATUS=MR","FA_ADJUSTED=GAAP","Sort=A","Dates=H","DateFormat=P","Fill=—","Direction=H","UseDPDF=Y")</f>
        <v>32.751399999999997</v>
      </c>
      <c r="F19" s="20">
        <f>_xll.BDH("NBIX US Equity","EV_TO_T12M_EBIT","FQ2 2020","FQ2 2020","Currency=USD","Period=FQ","BEST_FPERIOD_OVERRIDE=FQ","FILING_STATUS=MR","FA_ADJUSTED=GAAP","Sort=A","Dates=H","DateFormat=P","Fill=—","Direction=H","UseDPDF=Y")</f>
        <v>39.118899999999996</v>
      </c>
      <c r="G19" s="20">
        <f>_xll.BDH("NBIX US Equity","EV_TO_T12M_EBIT","FQ3 2020","FQ3 2020","Currency=USD","Period=FQ","BEST_FPERIOD_OVERRIDE=FQ","FILING_STATUS=MR","FA_ADJUSTED=GAAP","Sort=A","Dates=H","DateFormat=P","Fill=—","Direction=H","UseDPDF=Y")</f>
        <v>58.844099999999997</v>
      </c>
      <c r="H19" s="20">
        <f>_xll.BDH("NBIX US Equity","EV_TO_T12M_EBIT","FQ4 2020","FQ4 2020","Currency=USD","Period=FQ","BEST_FPERIOD_OVERRIDE=FQ","FILING_STATUS=MR","FA_ADJUSTED=GAAP","Sort=A","Dates=H","DateFormat=P","Fill=—","Direction=H","UseDPDF=Y")</f>
        <v>50.951099999999997</v>
      </c>
      <c r="I19" s="20">
        <f>_xll.BDH("NBIX US Equity","EV_TO_T12M_EBIT","FQ1 2021","FQ1 2021","Currency=USD","Period=FQ","BEST_FPERIOD_OVERRIDE=FQ","FILING_STATUS=MR","FA_ADJUSTED=GAAP","Sort=A","Dates=H","DateFormat=P","Fill=—","Direction=H","UseDPDF=Y")</f>
        <v>62.0349</v>
      </c>
      <c r="J19" s="20">
        <f>_xll.BDH("NBIX US Equity","EV_TO_T12M_EBIT","FQ2 2021","FQ2 2021","Currency=USD","Period=FQ","BEST_FPERIOD_OVERRIDE=FQ","FILING_STATUS=MR","FA_ADJUSTED=GAAP","Sort=A","Dates=H","DateFormat=P","Fill=—","Direction=H","UseDPDF=Y")</f>
        <v>68.727400000000003</v>
      </c>
      <c r="K19" s="20">
        <f>_xll.BDH("NBIX US Equity","EV_TO_T12M_EBIT","FQ3 2021","FQ3 2021","Currency=USD","Period=FQ","BEST_FPERIOD_OVERRIDE=FQ","FILING_STATUS=MR","FA_ADJUSTED=GAAP","Sort=A","Dates=H","DateFormat=P","Fill=—","Direction=H","UseDPDF=Y")</f>
        <v>40.509799999999998</v>
      </c>
      <c r="L19" s="20">
        <f>_xll.BDH("NBIX US Equity","EV_TO_T12M_EBIT","FQ4 2021","FQ4 2021","Currency=USD","Period=FQ","BEST_FPERIOD_OVERRIDE=FQ","FILING_STATUS=MR","FA_ADJUSTED=GAAP","Sort=A","Dates=H","DateFormat=P","Fill=—","Direction=H","UseDPDF=Y")</f>
        <v>76.373000000000005</v>
      </c>
      <c r="M19" s="20">
        <f>_xll.BDH("NBIX US Equity","EV_TO_T12M_EBIT","FQ1 2022","FQ1 2022","Currency=USD","Period=FQ","BEST_FPERIOD_OVERRIDE=FQ","FILING_STATUS=MR","FA_ADJUSTED=GAAP","Sort=A","Dates=H","DateFormat=P","Fill=—","Direction=H","UseDPDF=Y")</f>
        <v>118.5604</v>
      </c>
      <c r="N19" s="20">
        <f>_xll.BDH("NBIX US Equity","EV_TO_T12M_EBIT","FQ2 2022","FQ2 2022","Currency=USD","Period=FQ","BEST_FPERIOD_OVERRIDE=FQ","FILING_STATUS=MR","FA_ADJUSTED=GAAP","Sort=A","Dates=H","DateFormat=P","Fill=—","Direction=H","UseDPDF=Y")</f>
        <v>135.70439999999999</v>
      </c>
      <c r="O19" s="20">
        <f>_xll.BDH("NBIX US Equity","EV_TO_T12M_EBIT","FQ3 2022","FQ3 2022","Currency=USD","Period=FQ","BEST_FPERIOD_OVERRIDE=FQ","FILING_STATUS=MR","FA_ADJUSTED=GAAP","Sort=A","Dates=H","DateFormat=P","Fill=—","Direction=H","UseDPDF=Y")</f>
        <v>88.659499999999994</v>
      </c>
      <c r="P19" s="20">
        <f>_xll.BDH("NBIX US Equity","EV_TO_T12M_EBIT","FQ4 2022","FQ4 2022","Currency=USD","Period=FQ","BEST_FPERIOD_OVERRIDE=FQ","FILING_STATUS=MR","FA_ADJUSTED=GAAP","Sort=A","Dates=H","DateFormat=P","Fill=—","Direction=H","UseDPDF=Y")</f>
        <v>43.371699999999997</v>
      </c>
      <c r="Q19" s="20">
        <f>_xll.BDH("NBIX US Equity","EV_TO_T12M_EBIT","FQ1 2023","FQ1 2023","Currency=USD","Period=FQ","BEST_FPERIOD_OVERRIDE=FQ","FILING_STATUS=MR","FA_ADJUSTED=GAAP","Sort=A","Dates=H","DateFormat=P","Fill=—","Direction=H","UseDPDF=Y")</f>
        <v>70.115799999999993</v>
      </c>
      <c r="R19" s="20">
        <f>_xll.BDH("NBIX US Equity","EV_TO_T12M_EBIT","FQ2 2023","FQ2 2023","Currency=USD","Period=FQ","BEST_FPERIOD_OVERRIDE=FQ","FILING_STATUS=MR","FA_ADJUSTED=GAAP","Sort=A","Dates=H","DateFormat=P","Fill=—","Direction=H","UseDPDF=Y")</f>
        <v>56.463999999999999</v>
      </c>
      <c r="S19" s="20">
        <f>_xll.BDH("NBIX US Equity","EV_TO_T12M_EBIT","FQ3 2023","FQ3 2023","Currency=USD","Period=FQ","BEST_FPERIOD_OVERRIDE=FQ","FILING_STATUS=MR","FA_ADJUSTED=GAAP","Sort=A","Dates=H","DateFormat=P","Fill=—","Direction=H","UseDPDF=Y")</f>
        <v>50.127499999999998</v>
      </c>
      <c r="T19" s="20">
        <f>_xll.BDH("NBIX US Equity","EV_TO_T12M_EBIT","FQ4 2023","FQ4 2023","Currency=USD","Period=FQ","BEST_FPERIOD_OVERRIDE=FQ","FILING_STATUS=MR","FA_ADJUSTED=GAAP","Sort=A","Dates=H","DateFormat=P","Fill=—","Direction=H","UseDPDF=Y")</f>
        <v>48.307600000000001</v>
      </c>
      <c r="U19" s="20">
        <f>_xll.BDH("NBIX US Equity","EV_TO_T12M_EBIT","FQ1 2024","FQ1 2024","Currency=USD","Period=FQ","BEST_FPERIOD_OVERRIDE=FQ","FILING_STATUS=MR","FA_ADJUSTED=GAAP","Sort=A","Dates=H","DateFormat=P","Fill=—","Direction=H","UseDPDF=Y")</f>
        <v>27.622</v>
      </c>
      <c r="V19" s="20">
        <f>_xll.BDH("NBIX US Equity","EV_TO_T12M_EBIT","FQ2 2024","FQ2 2024","Currency=USD","Period=FQ","BEST_FPERIOD_OVERRIDE=FQ","FILING_STATUS=MR","FA_ADJUSTED=GAAP","Sort=A","Dates=H","DateFormat=P","Fill=—","Direction=H","UseDPDF=Y")</f>
        <v>24.0092</v>
      </c>
      <c r="W19" s="20">
        <f>_xll.BDH("NBIX US Equity","EV_TO_T12M_EBIT","FQ3 2024","FQ3 2024","Currency=USD","Period=FQ","BEST_FPERIOD_OVERRIDE=FQ","FILING_STATUS=MR","FA_ADJUSTED=GAAP","Sort=A","Dates=H","DateFormat=P","Fill=—","Direction=H","UseDPDF=Y")</f>
        <v>18.098500000000001</v>
      </c>
      <c r="X19" s="20">
        <f>_xll.BDH("NBIX US Equity","EV_TO_T12M_EBIT","FQ4 2024","FQ4 2024","Currency=USD","Period=FQ","BEST_FPERIOD_OVERRIDE=FQ","FILING_STATUS=MR","FA_ADJUSTED=GAAP","Sort=A","Dates=H","DateFormat=P","Fill=—","Direction=H","UseDPDF=Y")</f>
        <v>22.1554</v>
      </c>
      <c r="Y19" s="23">
        <v>18.1296377365932</v>
      </c>
      <c r="Z19" s="20">
        <v>19.155599123241998</v>
      </c>
      <c r="AA19" s="20">
        <v>16.549338484381799</v>
      </c>
    </row>
    <row r="20" spans="1:27" x14ac:dyDescent="0.25">
      <c r="A20" s="6" t="s">
        <v>184</v>
      </c>
      <c r="B20" s="6" t="s">
        <v>185</v>
      </c>
      <c r="C20" s="20">
        <f>_xll.BDH("NBIX US Equity","EV_TO_T12M_CASH_FLOW_FIRM","FQ3 2019","FQ3 2019","Currency=USD","Period=FQ","BEST_FPERIOD_OVERRIDE=FQ","FILING_STATUS=MR","FA_ADJUSTED=GAAP","Sort=A","Dates=H","DateFormat=P","Fill=—","Direction=H","UseDPDF=Y")</f>
        <v>59.715600000000002</v>
      </c>
      <c r="D20" s="20">
        <f>_xll.BDH("NBIX US Equity","EV_TO_T12M_CASH_FLOW_FIRM","FQ4 2019","FQ4 2019","Currency=USD","Period=FQ","BEST_FPERIOD_OVERRIDE=FQ","FILING_STATUS=MR","FA_ADJUSTED=GAAP","Sort=A","Dates=H","DateFormat=P","Fill=—","Direction=H","UseDPDF=Y")</f>
        <v>53.023899999999998</v>
      </c>
      <c r="E20" s="20">
        <f>_xll.BDH("NBIX US Equity","EV_TO_T12M_CASH_FLOW_FIRM","FQ1 2020","FQ1 2020","Currency=USD","Period=FQ","BEST_FPERIOD_OVERRIDE=FQ","FILING_STATUS=MR","FA_ADJUSTED=GAAP","Sort=A","Dates=H","DateFormat=P","Fill=—","Direction=H","UseDPDF=Y")</f>
        <v>22.9682</v>
      </c>
      <c r="F20" s="20">
        <f>_xll.BDH("NBIX US Equity","EV_TO_T12M_CASH_FLOW_FIRM","FQ2 2020","FQ2 2020","Currency=USD","Period=FQ","BEST_FPERIOD_OVERRIDE=FQ","FILING_STATUS=MR","FA_ADJUSTED=GAAP","Sort=A","Dates=H","DateFormat=P","Fill=—","Direction=H","UseDPDF=Y")</f>
        <v>27.766400000000001</v>
      </c>
      <c r="G20" s="20">
        <f>_xll.BDH("NBIX US Equity","EV_TO_T12M_CASH_FLOW_FIRM","FQ3 2020","FQ3 2020","Currency=USD","Period=FQ","BEST_FPERIOD_OVERRIDE=FQ","FILING_STATUS=MR","FA_ADJUSTED=GAAP","Sort=A","Dates=H","DateFormat=P","Fill=—","Direction=H","UseDPDF=Y")</f>
        <v>31.120899999999999</v>
      </c>
      <c r="H20" s="20" t="str">
        <f>_xll.BDH("NBIX US Equity","EV_TO_T12M_CASH_FLOW_FIRM","FQ4 2020","FQ4 2020","Currency=USD","Period=FQ","BEST_FPERIOD_OVERRIDE=FQ","FILING_STATUS=MR","FA_ADJUSTED=GAAP","Sort=A","Dates=H","DateFormat=P","Fill=—","Direction=H","UseDPDF=Y")</f>
        <v>—</v>
      </c>
      <c r="I20" s="20" t="str">
        <f>_xll.BDH("NBIX US Equity","EV_TO_T12M_CASH_FLOW_FIRM","FQ1 2021","FQ1 2021","Currency=USD","Period=FQ","BEST_FPERIOD_OVERRIDE=FQ","FILING_STATUS=MR","FA_ADJUSTED=GAAP","Sort=A","Dates=H","DateFormat=P","Fill=—","Direction=H","UseDPDF=Y")</f>
        <v>—</v>
      </c>
      <c r="J20" s="20" t="str">
        <f>_xll.BDH("NBIX US Equity","EV_TO_T12M_CASH_FLOW_FIRM","FQ2 2021","FQ2 2021","Currency=USD","Period=FQ","BEST_FPERIOD_OVERRIDE=FQ","FILING_STATUS=MR","FA_ADJUSTED=GAAP","Sort=A","Dates=H","DateFormat=P","Fill=—","Direction=H","UseDPDF=Y")</f>
        <v>—</v>
      </c>
      <c r="K20" s="20" t="str">
        <f>_xll.BDH("NBIX US Equity","EV_TO_T12M_CASH_FLOW_FIRM","FQ3 2021","FQ3 2021","Currency=USD","Period=FQ","BEST_FPERIOD_OVERRIDE=FQ","FILING_STATUS=MR","FA_ADJUSTED=GAAP","Sort=A","Dates=H","DateFormat=P","Fill=—","Direction=H","UseDPDF=Y")</f>
        <v>—</v>
      </c>
      <c r="L20" s="20">
        <f>_xll.BDH("NBIX US Equity","EV_TO_T12M_CASH_FLOW_FIRM","FQ4 2021","FQ4 2021","Currency=USD","Period=FQ","BEST_FPERIOD_OVERRIDE=FQ","FILING_STATUS=MR","FA_ADJUSTED=GAAP","Sort=A","Dates=H","DateFormat=P","Fill=—","Direction=H","UseDPDF=Y")</f>
        <v>26.8184</v>
      </c>
      <c r="M20" s="20">
        <f>_xll.BDH("NBIX US Equity","EV_TO_T12M_CASH_FLOW_FIRM","FQ1 2022","FQ1 2022","Currency=USD","Period=FQ","BEST_FPERIOD_OVERRIDE=FQ","FILING_STATUS=MR","FA_ADJUSTED=GAAP","Sort=A","Dates=H","DateFormat=P","Fill=—","Direction=H","UseDPDF=Y")</f>
        <v>55.208100000000002</v>
      </c>
      <c r="N20" s="20">
        <f>_xll.BDH("NBIX US Equity","EV_TO_T12M_CASH_FLOW_FIRM","FQ2 2022","FQ2 2022","Currency=USD","Period=FQ","BEST_FPERIOD_OVERRIDE=FQ","FILING_STATUS=MR","FA_ADJUSTED=GAAP","Sort=A","Dates=H","DateFormat=P","Fill=—","Direction=H","UseDPDF=Y")</f>
        <v>47.254399999999997</v>
      </c>
      <c r="O20" s="20">
        <f>_xll.BDH("NBIX US Equity","EV_TO_T12M_CASH_FLOW_FIRM","FQ3 2022","FQ3 2022","Currency=USD","Period=FQ","BEST_FPERIOD_OVERRIDE=FQ","FILING_STATUS=MR","FA_ADJUSTED=GAAP","Sort=A","Dates=H","DateFormat=P","Fill=—","Direction=H","UseDPDF=Y")</f>
        <v>43.026499999999999</v>
      </c>
      <c r="P20" s="20">
        <f>_xll.BDH("NBIX US Equity","EV_TO_T12M_CASH_FLOW_FIRM","FQ4 2022","FQ4 2022","Currency=USD","Period=FQ","BEST_FPERIOD_OVERRIDE=FQ","FILING_STATUS=MR","FA_ADJUSTED=GAAP","Sort=A","Dates=H","DateFormat=P","Fill=—","Direction=H","UseDPDF=Y")</f>
        <v>29.880199999999999</v>
      </c>
      <c r="Q20" s="20">
        <f>_xll.BDH("NBIX US Equity","EV_TO_T12M_CASH_FLOW_FIRM","FQ1 2023","FQ1 2023","Currency=USD","Period=FQ","BEST_FPERIOD_OVERRIDE=FQ","FILING_STATUS=MR","FA_ADJUSTED=GAAP","Sort=A","Dates=H","DateFormat=P","Fill=—","Direction=H","UseDPDF=Y")</f>
        <v>33.455300000000001</v>
      </c>
      <c r="R20" s="20">
        <f>_xll.BDH("NBIX US Equity","EV_TO_T12M_CASH_FLOW_FIRM","FQ2 2023","FQ2 2023","Currency=USD","Period=FQ","BEST_FPERIOD_OVERRIDE=FQ","FILING_STATUS=MR","FA_ADJUSTED=GAAP","Sort=A","Dates=H","DateFormat=P","Fill=—","Direction=H","UseDPDF=Y")</f>
        <v>26.4542</v>
      </c>
      <c r="S20" s="20">
        <f>_xll.BDH("NBIX US Equity","EV_TO_T12M_CASH_FLOW_FIRM","FQ3 2023","FQ3 2023","Currency=USD","Period=FQ","BEST_FPERIOD_OVERRIDE=FQ","FILING_STATUS=MR","FA_ADJUSTED=GAAP","Sort=A","Dates=H","DateFormat=P","Fill=—","Direction=H","UseDPDF=Y")</f>
        <v>23.726800000000001</v>
      </c>
      <c r="T20" s="20">
        <f>_xll.BDH("NBIX US Equity","EV_TO_T12M_CASH_FLOW_FIRM","FQ4 2023","FQ4 2023","Currency=USD","Period=FQ","BEST_FPERIOD_OVERRIDE=FQ","FILING_STATUS=MR","FA_ADJUSTED=GAAP","Sort=A","Dates=H","DateFormat=P","Fill=—","Direction=H","UseDPDF=Y")</f>
        <v>29.878699999999998</v>
      </c>
      <c r="U20" s="20">
        <f>_xll.BDH("NBIX US Equity","EV_TO_T12M_CASH_FLOW_FIRM","FQ1 2024","FQ1 2024","Currency=USD","Period=FQ","BEST_FPERIOD_OVERRIDE=FQ","FILING_STATUS=MR","FA_ADJUSTED=GAAP","Sort=A","Dates=H","DateFormat=P","Fill=—","Direction=H","UseDPDF=Y")</f>
        <v>19.351199999999999</v>
      </c>
      <c r="V20" s="20" t="str">
        <f>_xll.BDH("NBIX US Equity","EV_TO_T12M_CASH_FLOW_FIRM","FQ2 2024","FQ2 2024","Currency=USD","Period=FQ","BEST_FPERIOD_OVERRIDE=FQ","FILING_STATUS=MR","FA_ADJUSTED=GAAP","Sort=A","Dates=H","DateFormat=P","Fill=—","Direction=H","UseDPDF=Y")</f>
        <v>—</v>
      </c>
      <c r="W20" s="20" t="str">
        <f>_xll.BDH("NBIX US Equity","EV_TO_T12M_CASH_FLOW_FIRM","FQ3 2024","FQ3 2024","Currency=USD","Period=FQ","BEST_FPERIOD_OVERRIDE=FQ","FILING_STATUS=MR","FA_ADJUSTED=GAAP","Sort=A","Dates=H","DateFormat=P","Fill=—","Direction=H","UseDPDF=Y")</f>
        <v>—</v>
      </c>
      <c r="X20" s="20" t="str">
        <f>_xll.BDH("NBIX US Equity","EV_TO_T12M_CASH_FLOW_FIRM","FQ4 2024","FQ4 2024","Currency=USD","Period=FQ","BEST_FPERIOD_OVERRIDE=FQ","FILING_STATUS=MR","FA_ADJUSTED=GAAP","Sort=A","Dates=H","DateFormat=P","Fill=—","Direction=H","UseDPDF=Y")</f>
        <v>—</v>
      </c>
      <c r="Y20" s="23"/>
      <c r="Z20" s="20"/>
      <c r="AA20" s="20"/>
    </row>
    <row r="21" spans="1:27" x14ac:dyDescent="0.25">
      <c r="A21" s="6" t="s">
        <v>186</v>
      </c>
      <c r="B21" s="6" t="s">
        <v>187</v>
      </c>
      <c r="C21" s="20">
        <f>_xll.BDH("NBIX US Equity","EV_TO_T12M_FREE_CASH_FLOW_FIRM","FQ3 2019","FQ3 2019","Currency=USD","Period=FQ","BEST_FPERIOD_OVERRIDE=FQ","FILING_STATUS=MR","FA_ADJUSTED=GAAP","Sort=A","Dates=H","DateFormat=P","Fill=—","Direction=H","UseDPDF=Y")</f>
        <v>68.803399999999996</v>
      </c>
      <c r="D21" s="20">
        <f>_xll.BDH("NBIX US Equity","EV_TO_T12M_FREE_CASH_FLOW_FIRM","FQ4 2019","FQ4 2019","Currency=USD","Period=FQ","BEST_FPERIOD_OVERRIDE=FQ","FILING_STATUS=MR","FA_ADJUSTED=GAAP","Sort=A","Dates=H","DateFormat=P","Fill=—","Direction=H","UseDPDF=Y")</f>
        <v>57.631500000000003</v>
      </c>
      <c r="E21" s="20">
        <f>_xll.BDH("NBIX US Equity","EV_TO_T12M_FREE_CASH_FLOW_FIRM","FQ1 2020","FQ1 2020","Currency=USD","Period=FQ","BEST_FPERIOD_OVERRIDE=FQ","FILING_STATUS=MR","FA_ADJUSTED=GAAP","Sort=A","Dates=H","DateFormat=P","Fill=—","Direction=H","UseDPDF=Y")</f>
        <v>23.818100000000001</v>
      </c>
      <c r="F21" s="20">
        <f>_xll.BDH("NBIX US Equity","EV_TO_T12M_FREE_CASH_FLOW_FIRM","FQ2 2020","FQ2 2020","Currency=USD","Period=FQ","BEST_FPERIOD_OVERRIDE=FQ","FILING_STATUS=MR","FA_ADJUSTED=GAAP","Sort=A","Dates=H","DateFormat=P","Fill=—","Direction=H","UseDPDF=Y")</f>
        <v>28.662800000000001</v>
      </c>
      <c r="G21" s="20">
        <f>_xll.BDH("NBIX US Equity","EV_TO_T12M_FREE_CASH_FLOW_FIRM","FQ3 2020","FQ3 2020","Currency=USD","Period=FQ","BEST_FPERIOD_OVERRIDE=FQ","FILING_STATUS=MR","FA_ADJUSTED=GAAP","Sort=A","Dates=H","DateFormat=P","Fill=—","Direction=H","UseDPDF=Y")</f>
        <v>32.1952</v>
      </c>
      <c r="H21" s="20" t="str">
        <f>_xll.BDH("NBIX US Equity","EV_TO_T12M_FREE_CASH_FLOW_FIRM","FQ4 2020","FQ4 2020","Currency=USD","Period=FQ","BEST_FPERIOD_OVERRIDE=FQ","FILING_STATUS=MR","FA_ADJUSTED=GAAP","Sort=A","Dates=H","DateFormat=P","Fill=—","Direction=H","UseDPDF=Y")</f>
        <v>—</v>
      </c>
      <c r="I21" s="20" t="str">
        <f>_xll.BDH("NBIX US Equity","EV_TO_T12M_FREE_CASH_FLOW_FIRM","FQ1 2021","FQ1 2021","Currency=USD","Period=FQ","BEST_FPERIOD_OVERRIDE=FQ","FILING_STATUS=MR","FA_ADJUSTED=GAAP","Sort=A","Dates=H","DateFormat=P","Fill=—","Direction=H","UseDPDF=Y")</f>
        <v>—</v>
      </c>
      <c r="J21" s="20" t="str">
        <f>_xll.BDH("NBIX US Equity","EV_TO_T12M_FREE_CASH_FLOW_FIRM","FQ2 2021","FQ2 2021","Currency=USD","Period=FQ","BEST_FPERIOD_OVERRIDE=FQ","FILING_STATUS=MR","FA_ADJUSTED=GAAP","Sort=A","Dates=H","DateFormat=P","Fill=—","Direction=H","UseDPDF=Y")</f>
        <v>—</v>
      </c>
      <c r="K21" s="20" t="str">
        <f>_xll.BDH("NBIX US Equity","EV_TO_T12M_FREE_CASH_FLOW_FIRM","FQ3 2021","FQ3 2021","Currency=USD","Period=FQ","BEST_FPERIOD_OVERRIDE=FQ","FILING_STATUS=MR","FA_ADJUSTED=GAAP","Sort=A","Dates=H","DateFormat=P","Fill=—","Direction=H","UseDPDF=Y")</f>
        <v>—</v>
      </c>
      <c r="L21" s="20">
        <f>_xll.BDH("NBIX US Equity","EV_TO_T12M_FREE_CASH_FLOW_FIRM","FQ4 2021","FQ4 2021","Currency=USD","Period=FQ","BEST_FPERIOD_OVERRIDE=FQ","FILING_STATUS=MR","FA_ADJUSTED=GAAP","Sort=A","Dates=H","DateFormat=P","Fill=—","Direction=H","UseDPDF=Y")</f>
        <v>29.1557</v>
      </c>
      <c r="M21" s="20">
        <f>_xll.BDH("NBIX US Equity","EV_TO_T12M_FREE_CASH_FLOW_FIRM","FQ1 2022","FQ1 2022","Currency=USD","Period=FQ","BEST_FPERIOD_OVERRIDE=FQ","FILING_STATUS=MR","FA_ADJUSTED=GAAP","Sort=A","Dates=H","DateFormat=P","Fill=—","Direction=H","UseDPDF=Y")</f>
        <v>66.238900000000001</v>
      </c>
      <c r="N21" s="20">
        <f>_xll.BDH("NBIX US Equity","EV_TO_T12M_FREE_CASH_FLOW_FIRM","FQ2 2022","FQ2 2022","Currency=USD","Period=FQ","BEST_FPERIOD_OVERRIDE=FQ","FILING_STATUS=MR","FA_ADJUSTED=GAAP","Sort=A","Dates=H","DateFormat=P","Fill=—","Direction=H","UseDPDF=Y")</f>
        <v>56.494300000000003</v>
      </c>
      <c r="O21" s="20" t="str">
        <f>_xll.BDH("NBIX US Equity","EV_TO_T12M_FREE_CASH_FLOW_FIRM","FQ3 2022","FQ3 2022","Currency=USD","Period=FQ","BEST_FPERIOD_OVERRIDE=FQ","FILING_STATUS=MR","FA_ADJUSTED=GAAP","Sort=A","Dates=H","DateFormat=P","Fill=—","Direction=H","UseDPDF=Y")</f>
        <v>—</v>
      </c>
      <c r="P21" s="20" t="str">
        <f>_xll.BDH("NBIX US Equity","EV_TO_T12M_FREE_CASH_FLOW_FIRM","FQ4 2022","FQ4 2022","Currency=USD","Period=FQ","BEST_FPERIOD_OVERRIDE=FQ","FILING_STATUS=MR","FA_ADJUSTED=GAAP","Sort=A","Dates=H","DateFormat=P","Fill=—","Direction=H","UseDPDF=Y")</f>
        <v>—</v>
      </c>
      <c r="Q21" s="20" t="str">
        <f>_xll.BDH("NBIX US Equity","EV_TO_T12M_FREE_CASH_FLOW_FIRM","FQ1 2023","FQ1 2023","Currency=USD","Period=FQ","BEST_FPERIOD_OVERRIDE=FQ","FILING_STATUS=MR","FA_ADJUSTED=GAAP","Sort=A","Dates=H","DateFormat=P","Fill=—","Direction=H","UseDPDF=Y")</f>
        <v>—</v>
      </c>
      <c r="R21" s="20" t="str">
        <f>_xll.BDH("NBIX US Equity","EV_TO_T12M_FREE_CASH_FLOW_FIRM","FQ2 2023","FQ2 2023","Currency=USD","Period=FQ","BEST_FPERIOD_OVERRIDE=FQ","FILING_STATUS=MR","FA_ADJUSTED=GAAP","Sort=A","Dates=H","DateFormat=P","Fill=—","Direction=H","UseDPDF=Y")</f>
        <v>—</v>
      </c>
      <c r="S21" s="20">
        <f>_xll.BDH("NBIX US Equity","EV_TO_T12M_FREE_CASH_FLOW_FIRM","FQ3 2023","FQ3 2023","Currency=USD","Period=FQ","BEST_FPERIOD_OVERRIDE=FQ","FILING_STATUS=MR","FA_ADJUSTED=GAAP","Sort=A","Dates=H","DateFormat=P","Fill=—","Direction=H","UseDPDF=Y")</f>
        <v>25.1693</v>
      </c>
      <c r="T21" s="20">
        <f>_xll.BDH("NBIX US Equity","EV_TO_T12M_FREE_CASH_FLOW_FIRM","FQ4 2023","FQ4 2023","Currency=USD","Period=FQ","BEST_FPERIOD_OVERRIDE=FQ","FILING_STATUS=MR","FA_ADJUSTED=GAAP","Sort=A","Dates=H","DateFormat=P","Fill=—","Direction=H","UseDPDF=Y")</f>
        <v>32.058999999999997</v>
      </c>
      <c r="U21" s="20">
        <f>_xll.BDH("NBIX US Equity","EV_TO_T12M_FREE_CASH_FLOW_FIRM","FQ1 2024","FQ1 2024","Currency=USD","Period=FQ","BEST_FPERIOD_OVERRIDE=FQ","FILING_STATUS=MR","FA_ADJUSTED=GAAP","Sort=A","Dates=H","DateFormat=P","Fill=—","Direction=H","UseDPDF=Y")</f>
        <v>20.2818</v>
      </c>
      <c r="V21" s="20" t="str">
        <f>_xll.BDH("NBIX US Equity","EV_TO_T12M_FREE_CASH_FLOW_FIRM","FQ2 2024","FQ2 2024","Currency=USD","Period=FQ","BEST_FPERIOD_OVERRIDE=FQ","FILING_STATUS=MR","FA_ADJUSTED=GAAP","Sort=A","Dates=H","DateFormat=P","Fill=—","Direction=H","UseDPDF=Y")</f>
        <v>—</v>
      </c>
      <c r="W21" s="20" t="str">
        <f>_xll.BDH("NBIX US Equity","EV_TO_T12M_FREE_CASH_FLOW_FIRM","FQ3 2024","FQ3 2024","Currency=USD","Period=FQ","BEST_FPERIOD_OVERRIDE=FQ","FILING_STATUS=MR","FA_ADJUSTED=GAAP","Sort=A","Dates=H","DateFormat=P","Fill=—","Direction=H","UseDPDF=Y")</f>
        <v>—</v>
      </c>
      <c r="X21" s="20" t="str">
        <f>_xll.BDH("NBIX US Equity","EV_TO_T12M_FREE_CASH_FLOW_FIRM","FQ4 2024","FQ4 2024","Currency=USD","Period=FQ","BEST_FPERIOD_OVERRIDE=FQ","FILING_STATUS=MR","FA_ADJUSTED=GAAP","Sort=A","Dates=H","DateFormat=P","Fill=—","Direction=H","UseDPDF=Y")</f>
        <v>—</v>
      </c>
      <c r="Y21" s="23"/>
      <c r="Z21" s="20"/>
      <c r="AA21" s="20"/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1"/>
      <c r="Z22" s="18"/>
      <c r="AA22" s="18"/>
    </row>
    <row r="23" spans="1:27" x14ac:dyDescent="0.25">
      <c r="A23" s="6" t="s">
        <v>188</v>
      </c>
      <c r="B23" s="6" t="s">
        <v>189</v>
      </c>
      <c r="C23" s="19">
        <f>_xll.BDH("NBIX US Equity","DILUTED_MKT_CAP","FQ3 2019","FQ3 2019","Currency=USD","Period=FQ","BEST_FPERIOD_OVERRIDE=FQ","FILING_STATUS=MR","SCALING_FORMAT=MLN","Sort=A","Dates=H","DateFormat=P","Fill=—","Direction=H","UseDPDF=Y")</f>
        <v>8657.2281000000003</v>
      </c>
      <c r="D23" s="19">
        <f>_xll.BDH("NBIX US Equity","DILUTED_MKT_CAP","FQ4 2019","FQ4 2019","Currency=USD","Period=FQ","BEST_FPERIOD_OVERRIDE=FQ","FILING_STATUS=MR","SCALING_FORMAT=MLN","Sort=A","Dates=H","DateFormat=P","Fill=—","Direction=H","UseDPDF=Y")</f>
        <v>10448.028</v>
      </c>
      <c r="E23" s="19">
        <f>_xll.BDH("NBIX US Equity","DILUTED_MKT_CAP","FQ1 2020","FQ1 2020","Currency=USD","Period=FQ","BEST_FPERIOD_OVERRIDE=FQ","FILING_STATUS=MR","SCALING_FORMAT=MLN","Sort=A","Dates=H","DateFormat=P","Fill=—","Direction=H","UseDPDF=Y")</f>
        <v>8395.35</v>
      </c>
      <c r="F23" s="19">
        <f>_xll.BDH("NBIX US Equity","DILUTED_MKT_CAP","FQ2 2020","FQ2 2020","Currency=USD","Period=FQ","BEST_FPERIOD_OVERRIDE=FQ","FILING_STATUS=MR","SCALING_FORMAT=MLN","Sort=A","Dates=H","DateFormat=P","Fill=—","Direction=H","UseDPDF=Y")</f>
        <v>11980.4</v>
      </c>
      <c r="G23" s="19">
        <f>_xll.BDH("NBIX US Equity","DILUTED_MKT_CAP","FQ3 2020","FQ3 2020","Currency=USD","Period=FQ","BEST_FPERIOD_OVERRIDE=FQ","FILING_STATUS=MR","SCALING_FORMAT=MLN","Sort=A","Dates=H","DateFormat=P","Fill=—","Direction=H","UseDPDF=Y")</f>
        <v>8971.7279999999992</v>
      </c>
      <c r="H23" s="19">
        <f>_xll.BDH("NBIX US Equity","DILUTED_MKT_CAP","FQ4 2020","FQ4 2020","Currency=USD","Period=FQ","BEST_FPERIOD_OVERRIDE=FQ","FILING_STATUS=MR","SCALING_FORMAT=MLN","Sort=A","Dates=H","DateFormat=P","Fill=—","Direction=H","UseDPDF=Y")</f>
        <v>9316.6200000000008</v>
      </c>
      <c r="I23" s="19">
        <f>_xll.BDH("NBIX US Equity","DILUTED_MKT_CAP","FQ1 2021","FQ1 2021","Currency=USD","Period=FQ","BEST_FPERIOD_OVERRIDE=FQ","FILING_STATUS=MR","SCALING_FORMAT=MLN","Sort=A","Dates=H","DateFormat=P","Fill=—","Direction=H","UseDPDF=Y")</f>
        <v>9549.9500000000007</v>
      </c>
      <c r="J23" s="19">
        <f>_xll.BDH("NBIX US Equity","DILUTED_MKT_CAP","FQ2 2021","FQ2 2021","Currency=USD","Period=FQ","BEST_FPERIOD_OVERRIDE=FQ","FILING_STATUS=MR","SCALING_FORMAT=MLN","Sort=A","Dates=H","DateFormat=P","Fill=—","Direction=H","UseDPDF=Y")</f>
        <v>9508.1640000000007</v>
      </c>
      <c r="K23" s="19">
        <f>_xll.BDH("NBIX US Equity","DILUTED_MKT_CAP","FQ3 2021","FQ3 2021","Currency=USD","Period=FQ","BEST_FPERIOD_OVERRIDE=FQ","FILING_STATUS=MR","SCALING_FORMAT=MLN","Sort=A","Dates=H","DateFormat=P","Fill=—","Direction=H","UseDPDF=Y")</f>
        <v>9370.4069999999992</v>
      </c>
      <c r="L23" s="19">
        <f>_xll.BDH("NBIX US Equity","DILUTED_MKT_CAP","FQ4 2021","FQ4 2021","Currency=USD","Period=FQ","BEST_FPERIOD_OVERRIDE=FQ","FILING_STATUS=MR","SCALING_FORMAT=MLN","Sort=A","Dates=H","DateFormat=P","Fill=—","Direction=H","UseDPDF=Y")</f>
        <v>8082.6329999999998</v>
      </c>
      <c r="M23" s="19">
        <f>_xll.BDH("NBIX US Equity","DILUTED_MKT_CAP","FQ1 2022","FQ1 2022","Currency=USD","Period=FQ","BEST_FPERIOD_OVERRIDE=FQ","FILING_STATUS=MR","SCALING_FORMAT=MLN","Sort=A","Dates=H","DateFormat=P","Fill=—","Direction=H","UseDPDF=Y")</f>
        <v>9150</v>
      </c>
      <c r="N23" s="19">
        <f>_xll.BDH("NBIX US Equity","DILUTED_MKT_CAP","FQ2 2022","FQ2 2022","Currency=USD","Period=FQ","BEST_FPERIOD_OVERRIDE=FQ","FILING_STATUS=MR","SCALING_FORMAT=MLN","Sort=A","Dates=H","DateFormat=P","Fill=—","Direction=H","UseDPDF=Y")</f>
        <v>9319.0879999999997</v>
      </c>
      <c r="O23" s="19">
        <f>_xll.BDH("NBIX US Equity","DILUTED_MKT_CAP","FQ3 2022","FQ3 2022","Currency=USD","Period=FQ","BEST_FPERIOD_OVERRIDE=FQ","FILING_STATUS=MR","SCALING_FORMAT=MLN","Sort=A","Dates=H","DateFormat=P","Fill=—","Direction=H","UseDPDF=Y")</f>
        <v>10514.79</v>
      </c>
      <c r="P23" s="19">
        <f>_xll.BDH("NBIX US Equity","DILUTED_MKT_CAP","FQ4 2022","FQ4 2022","Currency=USD","Period=FQ","BEST_FPERIOD_OVERRIDE=FQ","FILING_STATUS=MR","SCALING_FORMAT=MLN","Sort=A","Dates=H","DateFormat=P","Fill=—","Direction=H","UseDPDF=Y")</f>
        <v>12039.552</v>
      </c>
      <c r="Q23" s="19">
        <f>_xll.BDH("NBIX US Equity","DILUTED_MKT_CAP","FQ1 2023","FQ1 2023","Currency=USD","Period=FQ","BEST_FPERIOD_OVERRIDE=FQ","FILING_STATUS=MR","SCALING_FORMAT=MLN","Sort=A","Dates=H","DateFormat=P","Fill=—","Direction=H","UseDPDF=Y")</f>
        <v>9828.4619999999995</v>
      </c>
      <c r="R23" s="19">
        <f>_xll.BDH("NBIX US Equity","DILUTED_MKT_CAP","FQ2 2023","FQ2 2023","Currency=USD","Period=FQ","BEST_FPERIOD_OVERRIDE=FQ","FILING_STATUS=MR","SCALING_FORMAT=MLN","Sort=A","Dates=H","DateFormat=P","Fill=—","Direction=H","UseDPDF=Y")</f>
        <v>9448.86</v>
      </c>
      <c r="S23" s="19">
        <f>_xll.BDH("NBIX US Equity","DILUTED_MKT_CAP","FQ3 2023","FQ3 2023","Currency=USD","Period=FQ","BEST_FPERIOD_OVERRIDE=FQ","FILING_STATUS=MR","SCALING_FORMAT=MLN","Sort=A","Dates=H","DateFormat=P","Fill=—","Direction=H","UseDPDF=Y")</f>
        <v>11373.75</v>
      </c>
      <c r="T23" s="19">
        <f>_xll.BDH("NBIX US Equity","DILUTED_MKT_CAP","FQ4 2023","FQ4 2023","Currency=USD","Period=FQ","BEST_FPERIOD_OVERRIDE=FQ","FILING_STATUS=MR","SCALING_FORMAT=MLN","Sort=A","Dates=H","DateFormat=P","Fill=—","Direction=H","UseDPDF=Y")</f>
        <v>13479.048000000001</v>
      </c>
      <c r="U23" s="19">
        <f>_xll.BDH("NBIX US Equity","DILUTED_MKT_CAP","FQ1 2024","FQ1 2024","Currency=USD","Period=FQ","BEST_FPERIOD_OVERRIDE=FQ","FILING_STATUS=MR","SCALING_FORMAT=MLN","Sort=A","Dates=H","DateFormat=P","Fill=—","Direction=H","UseDPDF=Y")</f>
        <v>14288.512000000001</v>
      </c>
      <c r="V23" s="19">
        <f>_xll.BDH("NBIX US Equity","DILUTED_MKT_CAP","FQ2 2024","FQ2 2024","Currency=USD","Period=FQ","BEST_FPERIOD_OVERRIDE=FQ","FILING_STATUS=MR","SCALING_FORMAT=MLN","Sort=A","Dates=H","DateFormat=P","Fill=—","Direction=H","UseDPDF=Y")</f>
        <v>14303.913</v>
      </c>
      <c r="W23" s="19">
        <f>_xll.BDH("NBIX US Equity","DILUTED_MKT_CAP","FQ3 2024","FQ3 2024","Currency=USD","Period=FQ","BEST_FPERIOD_OVERRIDE=FQ","FILING_STATUS=MR","SCALING_FORMAT=MLN","Sort=A","Dates=H","DateFormat=P","Fill=—","Direction=H","UseDPDF=Y")</f>
        <v>12017.446</v>
      </c>
      <c r="X23" s="19">
        <f>_xll.BDH("NBIX US Equity","DILUTED_MKT_CAP","FQ4 2024","FQ4 2024","Currency=USD","Period=FQ","BEST_FPERIOD_OVERRIDE=FQ","FILING_STATUS=MR","SCALING_FORMAT=MLN","Sort=A","Dates=H","DateFormat=P","Fill=—","Direction=H","UseDPDF=Y")</f>
        <v>14045.85</v>
      </c>
      <c r="Y23" s="22">
        <v>11633.873748779301</v>
      </c>
      <c r="Z23" s="19"/>
      <c r="AA23" s="19"/>
    </row>
    <row r="24" spans="1:27" x14ac:dyDescent="0.25">
      <c r="A24" s="6" t="s">
        <v>190</v>
      </c>
      <c r="B24" s="6" t="s">
        <v>191</v>
      </c>
      <c r="C24" s="19">
        <f>_xll.BDH("NBIX US Equity","DILUTED_EV","FQ3 2019","FQ3 2019","Currency=USD","Period=FQ","BEST_FPERIOD_OVERRIDE=FQ","FILING_STATUS=MR","SCALING_FORMAT=MLN","Sort=A","Dates=H","DateFormat=P","Fill=—","Direction=H","UseDPDF=Y")</f>
        <v>8494.1242000000002</v>
      </c>
      <c r="D24" s="19">
        <f>_xll.BDH("NBIX US Equity","DILUTED_EV","FQ4 2019","FQ4 2019","Currency=USD","Period=FQ","BEST_FPERIOD_OVERRIDE=FQ","FILING_STATUS=MR","SCALING_FORMAT=MLN","Sort=A","Dates=H","DateFormat=P","Fill=—","Direction=H","UseDPDF=Y")</f>
        <v>10292.641900000001</v>
      </c>
      <c r="E24" s="19">
        <f>_xll.BDH("NBIX US Equity","DILUTED_EV","FQ1 2020","FQ1 2020","Currency=USD","Period=FQ","BEST_FPERIOD_OVERRIDE=FQ","FILING_STATUS=MR","SCALING_FORMAT=MLN","Sort=A","Dates=H","DateFormat=P","Fill=—","Direction=H","UseDPDF=Y")</f>
        <v>8150.2825000000003</v>
      </c>
      <c r="F24" s="19">
        <f>_xll.BDH("NBIX US Equity","DILUTED_EV","FQ2 2020","FQ2 2020","Currency=USD","Period=FQ","BEST_FPERIOD_OVERRIDE=FQ","FILING_STATUS=MR","SCALING_FORMAT=MLN","Sort=A","Dates=H","DateFormat=P","Fill=—","Direction=H","UseDPDF=Y")</f>
        <v>11570.864299999999</v>
      </c>
      <c r="G24" s="19">
        <f>_xll.BDH("NBIX US Equity","DILUTED_EV","FQ3 2020","FQ3 2020","Currency=USD","Period=FQ","BEST_FPERIOD_OVERRIDE=FQ","FILING_STATUS=MR","SCALING_FORMAT=MLN","Sort=A","Dates=H","DateFormat=P","Fill=—","Direction=H","UseDPDF=Y")</f>
        <v>8554.3439999999991</v>
      </c>
      <c r="H24" s="19">
        <f>_xll.BDH("NBIX US Equity","DILUTED_EV","FQ4 2020","FQ4 2020","Currency=USD","Period=FQ","BEST_FPERIOD_OVERRIDE=FQ","FILING_STATUS=MR","SCALING_FORMAT=MLN","Sort=A","Dates=H","DateFormat=P","Fill=—","Direction=H","UseDPDF=Y")</f>
        <v>8938.2199999999993</v>
      </c>
      <c r="I24" s="19">
        <f>_xll.BDH("NBIX US Equity","DILUTED_EV","FQ1 2021","FQ1 2021","Currency=USD","Period=FQ","BEST_FPERIOD_OVERRIDE=FQ","FILING_STATUS=MR","SCALING_FORMAT=MLN","Sort=A","Dates=H","DateFormat=P","Fill=—","Direction=H","UseDPDF=Y")</f>
        <v>9148.3639000000003</v>
      </c>
      <c r="J24" s="19">
        <f>_xll.BDH("NBIX US Equity","DILUTED_EV","FQ2 2021","FQ2 2021","Currency=USD","Period=FQ","BEST_FPERIOD_OVERRIDE=FQ","FILING_STATUS=MR","SCALING_FORMAT=MLN","Sort=A","Dates=H","DateFormat=P","Fill=—","Direction=H","UseDPDF=Y")</f>
        <v>9073.5640000000003</v>
      </c>
      <c r="K24" s="19">
        <f>_xll.BDH("NBIX US Equity","DILUTED_EV","FQ3 2021","FQ3 2021","Currency=USD","Period=FQ","BEST_FPERIOD_OVERRIDE=FQ","FILING_STATUS=MR","SCALING_FORMAT=MLN","Sort=A","Dates=H","DateFormat=P","Fill=—","Direction=H","UseDPDF=Y")</f>
        <v>9067.0018</v>
      </c>
      <c r="L24" s="19">
        <f>_xll.BDH("NBIX US Equity","DILUTED_EV","FQ4 2021","FQ4 2021","Currency=USD","Period=FQ","BEST_FPERIOD_OVERRIDE=FQ","FILING_STATUS=MR","SCALING_FORMAT=MLN","Sort=A","Dates=H","DateFormat=P","Fill=—","Direction=H","UseDPDF=Y")</f>
        <v>7828.2330000000002</v>
      </c>
      <c r="M24" s="19">
        <f>_xll.BDH("NBIX US Equity","DILUTED_EV","FQ1 2022","FQ1 2022","Currency=USD","Period=FQ","BEST_FPERIOD_OVERRIDE=FQ","FILING_STATUS=MR","SCALING_FORMAT=MLN","Sort=A","Dates=H","DateFormat=P","Fill=—","Direction=H","UseDPDF=Y")</f>
        <v>9001.4025000000001</v>
      </c>
      <c r="N24" s="19">
        <f>_xll.BDH("NBIX US Equity","DILUTED_EV","FQ2 2022","FQ2 2022","Currency=USD","Period=FQ","BEST_FPERIOD_OVERRIDE=FQ","FILING_STATUS=MR","SCALING_FORMAT=MLN","Sort=A","Dates=H","DateFormat=P","Fill=—","Direction=H","UseDPDF=Y")</f>
        <v>8956.4879999999994</v>
      </c>
      <c r="O24" s="19">
        <f>_xll.BDH("NBIX US Equity","DILUTED_EV","FQ3 2022","FQ3 2022","Currency=USD","Period=FQ","BEST_FPERIOD_OVERRIDE=FQ","FILING_STATUS=MR","SCALING_FORMAT=MLN","Sort=A","Dates=H","DateFormat=P","Fill=—","Direction=H","UseDPDF=Y")</f>
        <v>10031.417299999999</v>
      </c>
      <c r="P24" s="19">
        <f>_xll.BDH("NBIX US Equity","DILUTED_EV","FQ4 2022","FQ4 2022","Currency=USD","Period=FQ","BEST_FPERIOD_OVERRIDE=FQ","FILING_STATUS=MR","SCALING_FORMAT=MLN","Sort=A","Dates=H","DateFormat=P","Fill=—","Direction=H","UseDPDF=Y")</f>
        <v>11338.156300000001</v>
      </c>
      <c r="Q24" s="19">
        <f>_xll.BDH("NBIX US Equity","DILUTED_EV","FQ1 2023","FQ1 2023","Currency=USD","Period=FQ","BEST_FPERIOD_OVERRIDE=FQ","FILING_STATUS=MR","SCALING_FORMAT=MLN","Sort=A","Dates=H","DateFormat=P","Fill=—","Direction=H","UseDPDF=Y")</f>
        <v>9234.25</v>
      </c>
      <c r="R24" s="19">
        <f>_xll.BDH("NBIX US Equity","DILUTED_EV","FQ2 2023","FQ2 2023","Currency=USD","Period=FQ","BEST_FPERIOD_OVERRIDE=FQ","FILING_STATUS=MR","SCALING_FORMAT=MLN","Sort=A","Dates=H","DateFormat=P","Fill=—","Direction=H","UseDPDF=Y")</f>
        <v>8748.66</v>
      </c>
      <c r="S24" s="19">
        <f>_xll.BDH("NBIX US Equity","DILUTED_EV","FQ3 2023","FQ3 2023","Currency=USD","Period=FQ","BEST_FPERIOD_OVERRIDE=FQ","FILING_STATUS=MR","SCALING_FORMAT=MLN","Sort=A","Dates=H","DateFormat=P","Fill=—","Direction=H","UseDPDF=Y")</f>
        <v>10587.1032</v>
      </c>
      <c r="T24" s="19">
        <f>_xll.BDH("NBIX US Equity","DILUTED_EV","FQ4 2023","FQ4 2023","Currency=USD","Period=FQ","BEST_FPERIOD_OVERRIDE=FQ","FILING_STATUS=MR","SCALING_FORMAT=MLN","Sort=A","Dates=H","DateFormat=P","Fill=—","Direction=H","UseDPDF=Y")</f>
        <v>12948.9427</v>
      </c>
      <c r="U24" s="19">
        <f>_xll.BDH("NBIX US Equity","DILUTED_EV","FQ1 2024","FQ1 2024","Currency=USD","Period=FQ","BEST_FPERIOD_OVERRIDE=FQ","FILING_STATUS=MR","SCALING_FORMAT=MLN","Sort=A","Dates=H","DateFormat=P","Fill=—","Direction=H","UseDPDF=Y")</f>
        <v>13603.1492</v>
      </c>
      <c r="V24" s="19">
        <f>_xll.BDH("NBIX US Equity","DILUTED_EV","FQ2 2024","FQ2 2024","Currency=USD","Period=FQ","BEST_FPERIOD_OVERRIDE=FQ","FILING_STATUS=MR","SCALING_FORMAT=MLN","Sort=A","Dates=H","DateFormat=P","Fill=—","Direction=H","UseDPDF=Y")</f>
        <v>13570.803400000001</v>
      </c>
      <c r="W24" s="19">
        <f>_xll.BDH("NBIX US Equity","DILUTED_EV","FQ3 2024","FQ3 2024","Currency=USD","Period=FQ","BEST_FPERIOD_OVERRIDE=FQ","FILING_STATUS=MR","SCALING_FORMAT=MLN","Sort=A","Dates=H","DateFormat=P","Fill=—","Direction=H","UseDPDF=Y")</f>
        <v>11087.5327</v>
      </c>
      <c r="X24" s="19">
        <f>_xll.BDH("NBIX US Equity","DILUTED_EV","FQ4 2024","FQ4 2024","Currency=USD","Period=FQ","BEST_FPERIOD_OVERRIDE=FQ","FILING_STATUS=MR","SCALING_FORMAT=MLN","Sort=A","Dates=H","DateFormat=P","Fill=—","Direction=H","UseDPDF=Y")</f>
        <v>13381.1749</v>
      </c>
      <c r="Y24" s="22">
        <v>10983.6705062866</v>
      </c>
      <c r="Z24" s="19"/>
      <c r="AA24" s="19"/>
    </row>
    <row r="25" spans="1:27" x14ac:dyDescent="0.25">
      <c r="A25" s="6" t="s">
        <v>192</v>
      </c>
      <c r="B25" s="6" t="s">
        <v>193</v>
      </c>
      <c r="C25" s="20">
        <f>_xll.BDH("NBIX US Equity","EV_TO_SH_OUT","FQ3 2019","FQ3 2019","Currency=USD","Period=FQ","BEST_FPERIOD_OVERRIDE=FQ","FILING_STATUS=MR","Sort=A","Dates=H","DateFormat=P","Fill=—","Direction=H","UseDPDF=Y")</f>
        <v>88.112499999999997</v>
      </c>
      <c r="D25" s="20">
        <f>_xll.BDH("NBIX US Equity","EV_TO_SH_OUT","FQ4 2019","FQ4 2019","Currency=USD","Period=FQ","BEST_FPERIOD_OVERRIDE=FQ","FILING_STATUS=MR","Sort=A","Dates=H","DateFormat=P","Fill=—","Direction=H","UseDPDF=Y")</f>
        <v>105.6837</v>
      </c>
      <c r="E25" s="20">
        <f>_xll.BDH("NBIX US Equity","EV_TO_SH_OUT","FQ1 2020","FQ1 2020","Currency=USD","Period=FQ","BEST_FPERIOD_OVERRIDE=FQ","FILING_STATUS=MR","Sort=A","Dates=H","DateFormat=P","Fill=—","Direction=H","UseDPDF=Y")</f>
        <v>83.713800000000006</v>
      </c>
      <c r="F25" s="20">
        <f>_xll.BDH("NBIX US Equity","EV_TO_SH_OUT","FQ2 2020","FQ2 2020","Currency=USD","Period=FQ","BEST_FPERIOD_OVERRIDE=FQ","FILING_STATUS=MR","Sort=A","Dates=H","DateFormat=P","Fill=—","Direction=H","UseDPDF=Y")</f>
        <v>117.32940000000001</v>
      </c>
      <c r="G25" s="20">
        <f>_xll.BDH("NBIX US Equity","EV_TO_SH_OUT","FQ3 2020","FQ3 2020","Currency=USD","Period=FQ","BEST_FPERIOD_OVERRIDE=FQ","FILING_STATUS=MR","Sort=A","Dates=H","DateFormat=P","Fill=—","Direction=H","UseDPDF=Y")</f>
        <v>91.588300000000004</v>
      </c>
      <c r="H25" s="20">
        <f>_xll.BDH("NBIX US Equity","EV_TO_SH_OUT","FQ4 2020","FQ4 2020","Currency=USD","Period=FQ","BEST_FPERIOD_OVERRIDE=FQ","FILING_STATUS=MR","Sort=A","Dates=H","DateFormat=P","Fill=—","Direction=H","UseDPDF=Y")</f>
        <v>91.802899999999994</v>
      </c>
      <c r="I25" s="20">
        <f>_xll.BDH("NBIX US Equity","EV_TO_SH_OUT","FQ1 2021","FQ1 2021","Currency=USD","Period=FQ","BEST_FPERIOD_OVERRIDE=FQ","FILING_STATUS=MR","Sort=A","Dates=H","DateFormat=P","Fill=—","Direction=H","UseDPDF=Y")</f>
        <v>92.678600000000003</v>
      </c>
      <c r="J25" s="20">
        <f>_xll.BDH("NBIX US Equity","EV_TO_SH_OUT","FQ2 2021","FQ2 2021","Currency=USD","Period=FQ","BEST_FPERIOD_OVERRIDE=FQ","FILING_STATUS=MR","Sort=A","Dates=H","DateFormat=P","Fill=—","Direction=H","UseDPDF=Y")</f>
        <v>92.725899999999996</v>
      </c>
      <c r="K25" s="20">
        <f>_xll.BDH("NBIX US Equity","EV_TO_SH_OUT","FQ3 2021","FQ3 2021","Currency=USD","Period=FQ","BEST_FPERIOD_OVERRIDE=FQ","FILING_STATUS=MR","Sort=A","Dates=H","DateFormat=P","Fill=—","Direction=H","UseDPDF=Y")</f>
        <v>92.605099999999993</v>
      </c>
      <c r="L25" s="20">
        <f>_xll.BDH("NBIX US Equity","EV_TO_SH_OUT","FQ4 2021","FQ4 2021","Currency=USD","Period=FQ","BEST_FPERIOD_OVERRIDE=FQ","FILING_STATUS=MR","Sort=A","Dates=H","DateFormat=P","Fill=—","Direction=H","UseDPDF=Y")</f>
        <v>82.4893</v>
      </c>
      <c r="M25" s="20">
        <f>_xll.BDH("NBIX US Equity","EV_TO_SH_OUT","FQ1 2022","FQ1 2022","Currency=USD","Period=FQ","BEST_FPERIOD_OVERRIDE=FQ","FILING_STATUS=MR","Sort=A","Dates=H","DateFormat=P","Fill=—","Direction=H","UseDPDF=Y")</f>
        <v>91.992900000000006</v>
      </c>
      <c r="N25" s="20">
        <f>_xll.BDH("NBIX US Equity","EV_TO_SH_OUT","FQ2 2022","FQ2 2022","Currency=USD","Period=FQ","BEST_FPERIOD_OVERRIDE=FQ","FILING_STATUS=MR","Sort=A","Dates=H","DateFormat=P","Fill=—","Direction=H","UseDPDF=Y")</f>
        <v>93.687100000000001</v>
      </c>
      <c r="O25" s="20">
        <f>_xll.BDH("NBIX US Equity","EV_TO_SH_OUT","FQ3 2022","FQ3 2022","Currency=USD","Period=FQ","BEST_FPERIOD_OVERRIDE=FQ","FILING_STATUS=MR","Sort=A","Dates=H","DateFormat=P","Fill=—","Direction=H","UseDPDF=Y")</f>
        <v>100.83750000000001</v>
      </c>
      <c r="P25" s="20">
        <f>_xll.BDH("NBIX US Equity","EV_TO_SH_OUT","FQ4 2022","FQ4 2022","Currency=USD","Period=FQ","BEST_FPERIOD_OVERRIDE=FQ","FILING_STATUS=MR","Sort=A","Dates=H","DateFormat=P","Fill=—","Direction=H","UseDPDF=Y")</f>
        <v>111.91249999999999</v>
      </c>
      <c r="Q25" s="20">
        <f>_xll.BDH("NBIX US Equity","EV_TO_SH_OUT","FQ1 2023","FQ1 2023","Currency=USD","Period=FQ","BEST_FPERIOD_OVERRIDE=FQ","FILING_STATUS=MR","Sort=A","Dates=H","DateFormat=P","Fill=—","Direction=H","UseDPDF=Y")</f>
        <v>94.710300000000004</v>
      </c>
      <c r="R25" s="20">
        <f>_xll.BDH("NBIX US Equity","EV_TO_SH_OUT","FQ2 2023","FQ2 2023","Currency=USD","Period=FQ","BEST_FPERIOD_OVERRIDE=FQ","FILING_STATUS=MR","Sort=A","Dates=H","DateFormat=P","Fill=—","Direction=H","UseDPDF=Y")</f>
        <v>87.125799999999998</v>
      </c>
      <c r="S25" s="20">
        <f>_xll.BDH("NBIX US Equity","EV_TO_SH_OUT","FQ3 2023","FQ3 2023","Currency=USD","Period=FQ","BEST_FPERIOD_OVERRIDE=FQ","FILING_STATUS=MR","Sort=A","Dates=H","DateFormat=P","Fill=—","Direction=H","UseDPDF=Y")</f>
        <v>104.1344</v>
      </c>
      <c r="T25" s="20">
        <f>_xll.BDH("NBIX US Equity","EV_TO_SH_OUT","FQ4 2023","FQ4 2023","Currency=USD","Period=FQ","BEST_FPERIOD_OVERRIDE=FQ","FILING_STATUS=MR","Sort=A","Dates=H","DateFormat=P","Fill=—","Direction=H","UseDPDF=Y")</f>
        <v>125.97280000000001</v>
      </c>
      <c r="U25" s="20">
        <f>_xll.BDH("NBIX US Equity","EV_TO_SH_OUT","FQ1 2024","FQ1 2024","Currency=USD","Period=FQ","BEST_FPERIOD_OVERRIDE=FQ","FILING_STATUS=MR","Sort=A","Dates=H","DateFormat=P","Fill=—","Direction=H","UseDPDF=Y")</f>
        <v>129.96870000000001</v>
      </c>
      <c r="V25" s="20">
        <f>_xll.BDH("NBIX US Equity","EV_TO_SH_OUT","FQ2 2024","FQ2 2024","Currency=USD","Period=FQ","BEST_FPERIOD_OVERRIDE=FQ","FILING_STATUS=MR","Sort=A","Dates=H","DateFormat=P","Fill=—","Direction=H","UseDPDF=Y")</f>
        <v>130.2637</v>
      </c>
      <c r="W25" s="20">
        <f>_xll.BDH("NBIX US Equity","EV_TO_SH_OUT","FQ3 2024","FQ3 2024","Currency=USD","Period=FQ","BEST_FPERIOD_OVERRIDE=FQ","FILING_STATUS=MR","Sort=A","Dates=H","DateFormat=P","Fill=—","Direction=H","UseDPDF=Y")</f>
        <v>105.91370000000001</v>
      </c>
      <c r="X25" s="20">
        <f>_xll.BDH("NBIX US Equity","EV_TO_SH_OUT","FQ4 2024","FQ4 2024","Currency=USD","Period=FQ","BEST_FPERIOD_OVERRIDE=FQ","FILING_STATUS=MR","Sort=A","Dates=H","DateFormat=P","Fill=—","Direction=H","UseDPDF=Y")</f>
        <v>130.661</v>
      </c>
      <c r="Y25" s="23">
        <v>130.660965794769</v>
      </c>
      <c r="Z25" s="20"/>
      <c r="AA25" s="20"/>
    </row>
    <row r="26" spans="1:27" x14ac:dyDescent="0.25">
      <c r="A26" s="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1"/>
      <c r="Z26" s="18"/>
      <c r="AA26" s="18"/>
    </row>
    <row r="27" spans="1:27" x14ac:dyDescent="0.25">
      <c r="A27" s="6" t="s">
        <v>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21"/>
      <c r="Z27" s="18"/>
      <c r="AA27" s="18"/>
    </row>
    <row r="28" spans="1:27" x14ac:dyDescent="0.25">
      <c r="A28" s="11" t="s">
        <v>194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7"/>
      <c r="Z28" s="24"/>
      <c r="AA28" s="24"/>
    </row>
    <row r="29" spans="1:27" x14ac:dyDescent="0.25">
      <c r="A29" s="10" t="s">
        <v>195</v>
      </c>
      <c r="B29" s="10" t="s">
        <v>196</v>
      </c>
      <c r="C29" s="12" t="s">
        <v>197</v>
      </c>
      <c r="D29" s="12" t="s">
        <v>197</v>
      </c>
      <c r="E29" s="12" t="s">
        <v>197</v>
      </c>
      <c r="F29" s="12" t="s">
        <v>197</v>
      </c>
      <c r="G29" s="12" t="s">
        <v>197</v>
      </c>
      <c r="H29" s="12" t="s">
        <v>197</v>
      </c>
      <c r="I29" s="12" t="s">
        <v>197</v>
      </c>
      <c r="J29" s="12" t="s">
        <v>197</v>
      </c>
      <c r="K29" s="12" t="s">
        <v>197</v>
      </c>
      <c r="L29" s="12" t="s">
        <v>197</v>
      </c>
      <c r="M29" s="12" t="s">
        <v>197</v>
      </c>
      <c r="N29" s="12" t="s">
        <v>197</v>
      </c>
      <c r="O29" s="12" t="s">
        <v>197</v>
      </c>
      <c r="P29" s="12" t="s">
        <v>197</v>
      </c>
      <c r="Q29" s="12" t="s">
        <v>197</v>
      </c>
      <c r="R29" s="12" t="s">
        <v>197</v>
      </c>
      <c r="S29" s="12" t="s">
        <v>197</v>
      </c>
      <c r="T29" s="12" t="s">
        <v>197</v>
      </c>
      <c r="U29" s="12" t="s">
        <v>197</v>
      </c>
      <c r="V29" s="12" t="s">
        <v>197</v>
      </c>
      <c r="W29" s="12" t="s">
        <v>197</v>
      </c>
      <c r="X29" s="12" t="s">
        <v>197</v>
      </c>
      <c r="Y29" s="15" t="s">
        <v>197</v>
      </c>
      <c r="Z29" s="12"/>
      <c r="AA29" s="12"/>
    </row>
    <row r="30" spans="1:27" x14ac:dyDescent="0.25">
      <c r="A30" s="10" t="s">
        <v>198</v>
      </c>
      <c r="B30" s="10" t="s">
        <v>199</v>
      </c>
      <c r="C30" s="13">
        <f>_xll.BDH("NBIX US Equity","TRAIL_12M_NET_SALES","FQ3 2019","FQ3 2019","Currency=USD","Period=FQ","BEST_FPERIOD_OVERRIDE=FQ","FILING_STATUS=MR","SCALING_FORMAT=MLN","FA_ADJUSTED=GAAP","Sort=A","Dates=H","DateFormat=P","Fill=—","Direction=H","UseDPDF=Y")</f>
        <v>675.56899999999996</v>
      </c>
      <c r="D30" s="13">
        <f>_xll.BDH("NBIX US Equity","TRAIL_12M_NET_SALES","FQ4 2019","FQ4 2019","Currency=USD","Period=FQ","BEST_FPERIOD_OVERRIDE=FQ","FILING_STATUS=MR","SCALING_FORMAT=MLN","FA_ADJUSTED=GAAP","Sort=A","Dates=H","DateFormat=P","Fill=—","Direction=H","UseDPDF=Y")</f>
        <v>788.17700000000002</v>
      </c>
      <c r="E30" s="13">
        <f>_xll.BDH("NBIX US Equity","TRAIL_12M_NET_SALES","FQ1 2020","FQ1 2020","Currency=USD","Period=FQ","BEST_FPERIOD_OVERRIDE=FQ","FILING_STATUS=MR","SCALING_FORMAT=MLN","FA_ADJUSTED=GAAP","Sort=A","Dates=H","DateFormat=P","Fill=—","Direction=H","UseDPDF=Y")</f>
        <v>886.87400000000002</v>
      </c>
      <c r="F30" s="13">
        <f>_xll.BDH("NBIX US Equity","TRAIL_12M_NET_SALES","FQ2 2020","FQ2 2020","Currency=USD","Period=FQ","BEST_FPERIOD_OVERRIDE=FQ","FILING_STATUS=MR","SCALING_FORMAT=MLN","FA_ADJUSTED=GAAP","Sort=A","Dates=H","DateFormat=P","Fill=—","Direction=H","UseDPDF=Y")</f>
        <v>1005.694</v>
      </c>
      <c r="G30" s="13">
        <f>_xll.BDH("NBIX US Equity","TRAIL_12M_NET_SALES","FQ3 2020","FQ3 2020","Currency=USD","Period=FQ","BEST_FPERIOD_OVERRIDE=FQ","FILING_STATUS=MR","SCALING_FORMAT=MLN","FA_ADJUSTED=GAAP","Sort=A","Dates=H","DateFormat=P","Fill=—","Direction=H","UseDPDF=Y")</f>
        <v>1042.0999999999999</v>
      </c>
      <c r="H30" s="13">
        <f>_xll.BDH("NBIX US Equity","TRAIL_12M_NET_SALES","FQ4 2020","FQ4 2020","Currency=USD","Period=FQ","BEST_FPERIOD_OVERRIDE=FQ","FILING_STATUS=MR","SCALING_FORMAT=MLN","FA_ADJUSTED=GAAP","Sort=A","Dates=H","DateFormat=P","Fill=—","Direction=H","UseDPDF=Y")</f>
        <v>1045.9000000000001</v>
      </c>
      <c r="I30" s="13">
        <f>_xll.BDH("NBIX US Equity","TRAIL_12M_NET_SALES","FQ1 2021","FQ1 2021","Currency=USD","Period=FQ","BEST_FPERIOD_OVERRIDE=FQ","FILING_STATUS=MR","SCALING_FORMAT=MLN","FA_ADJUSTED=GAAP","Sort=A","Dates=H","DateFormat=P","Fill=—","Direction=H","UseDPDF=Y")</f>
        <v>1045.4000000000001</v>
      </c>
      <c r="J30" s="13">
        <f>_xll.BDH("NBIX US Equity","TRAIL_12M_NET_SALES","FQ2 2021","FQ2 2021","Currency=USD","Period=FQ","BEST_FPERIOD_OVERRIDE=FQ","FILING_STATUS=MR","SCALING_FORMAT=MLN","FA_ADJUSTED=GAAP","Sort=A","Dates=H","DateFormat=P","Fill=—","Direction=H","UseDPDF=Y")</f>
        <v>1031.9000000000001</v>
      </c>
      <c r="K30" s="13">
        <f>_xll.BDH("NBIX US Equity","TRAIL_12M_NET_SALES","FQ3 2021","FQ3 2021","Currency=USD","Period=FQ","BEST_FPERIOD_OVERRIDE=FQ","FILING_STATUS=MR","SCALING_FORMAT=MLN","FA_ADJUSTED=GAAP","Sort=A","Dates=H","DateFormat=P","Fill=—","Direction=H","UseDPDF=Y")</f>
        <v>1069.4000000000001</v>
      </c>
      <c r="L30" s="13">
        <f>_xll.BDH("NBIX US Equity","TRAIL_12M_NET_SALES","FQ4 2021","FQ4 2021","Currency=USD","Period=FQ","BEST_FPERIOD_OVERRIDE=FQ","FILING_STATUS=MR","SCALING_FORMAT=MLN","FA_ADJUSTED=GAAP","Sort=A","Dates=H","DateFormat=P","Fill=—","Direction=H","UseDPDF=Y")</f>
        <v>1133.5</v>
      </c>
      <c r="M30" s="13">
        <f>_xll.BDH("NBIX US Equity","TRAIL_12M_NET_SALES","FQ1 2022","FQ1 2022","Currency=USD","Period=FQ","BEST_FPERIOD_OVERRIDE=FQ","FILING_STATUS=MR","SCALING_FORMAT=MLN","FA_ADJUSTED=GAAP","Sort=A","Dates=H","DateFormat=P","Fill=—","Direction=H","UseDPDF=Y")</f>
        <v>1207.5</v>
      </c>
      <c r="N30" s="13">
        <f>_xll.BDH("NBIX US Equity","TRAIL_12M_NET_SALES","FQ2 2022","FQ2 2022","Currency=USD","Period=FQ","BEST_FPERIOD_OVERRIDE=FQ","FILING_STATUS=MR","SCALING_FORMAT=MLN","FA_ADJUSTED=GAAP","Sort=A","Dates=H","DateFormat=P","Fill=—","Direction=H","UseDPDF=Y")</f>
        <v>1296.8</v>
      </c>
      <c r="O30" s="13">
        <f>_xll.BDH("NBIX US Equity","TRAIL_12M_NET_SALES","FQ3 2022","FQ3 2022","Currency=USD","Period=FQ","BEST_FPERIOD_OVERRIDE=FQ","FILING_STATUS=MR","SCALING_FORMAT=MLN","FA_ADJUSTED=GAAP","Sort=A","Dates=H","DateFormat=P","Fill=—","Direction=H","UseDPDF=Y")</f>
        <v>1388.7</v>
      </c>
      <c r="P30" s="13">
        <f>_xll.BDH("NBIX US Equity","TRAIL_12M_NET_SALES","FQ4 2022","FQ4 2022","Currency=USD","Period=FQ","BEST_FPERIOD_OVERRIDE=FQ","FILING_STATUS=MR","SCALING_FORMAT=MLN","FA_ADJUSTED=GAAP","Sort=A","Dates=H","DateFormat=P","Fill=—","Direction=H","UseDPDF=Y")</f>
        <v>1488.7</v>
      </c>
      <c r="Q30" s="13">
        <f>_xll.BDH("NBIX US Equity","TRAIL_12M_NET_SALES","FQ1 2023","FQ1 2023","Currency=USD","Period=FQ","BEST_FPERIOD_OVERRIDE=FQ","FILING_STATUS=MR","SCALING_FORMAT=MLN","FA_ADJUSTED=GAAP","Sort=A","Dates=H","DateFormat=P","Fill=—","Direction=H","UseDPDF=Y")</f>
        <v>1598.5</v>
      </c>
      <c r="R30" s="13">
        <f>_xll.BDH("NBIX US Equity","TRAIL_12M_NET_SALES","FQ2 2023","FQ2 2023","Currency=USD","Period=FQ","BEST_FPERIOD_OVERRIDE=FQ","FILING_STATUS=MR","SCALING_FORMAT=MLN","FA_ADJUSTED=GAAP","Sort=A","Dates=H","DateFormat=P","Fill=—","Direction=H","UseDPDF=Y")</f>
        <v>1673</v>
      </c>
      <c r="S30" s="13">
        <f>_xll.BDH("NBIX US Equity","TRAIL_12M_NET_SALES","FQ3 2023","FQ3 2023","Currency=USD","Period=FQ","BEST_FPERIOD_OVERRIDE=FQ","FILING_STATUS=MR","SCALING_FORMAT=MLN","FA_ADJUSTED=GAAP","Sort=A","Dates=H","DateFormat=P","Fill=—","Direction=H","UseDPDF=Y")</f>
        <v>1783.9</v>
      </c>
      <c r="T30" s="13">
        <f>_xll.BDH("NBIX US Equity","TRAIL_12M_NET_SALES","FQ4 2023","FQ4 2023","Currency=USD","Period=FQ","BEST_FPERIOD_OVERRIDE=FQ","FILING_STATUS=MR","SCALING_FORMAT=MLN","FA_ADJUSTED=GAAP","Sort=A","Dates=H","DateFormat=P","Fill=—","Direction=H","UseDPDF=Y")</f>
        <v>1887.1</v>
      </c>
      <c r="U30" s="13">
        <f>_xll.BDH("NBIX US Equity","TRAIL_12M_NET_SALES","FQ1 2024","FQ1 2024","Currency=USD","Period=FQ","BEST_FPERIOD_OVERRIDE=FQ","FILING_STATUS=MR","SCALING_FORMAT=MLN","FA_ADJUSTED=GAAP","Sort=A","Dates=H","DateFormat=P","Fill=—","Direction=H","UseDPDF=Y")</f>
        <v>1982</v>
      </c>
      <c r="V30" s="13">
        <f>_xll.BDH("NBIX US Equity","TRAIL_12M_NET_SALES","FQ2 2024","FQ2 2024","Currency=USD","Period=FQ","BEST_FPERIOD_OVERRIDE=FQ","FILING_STATUS=MR","SCALING_FORMAT=MLN","FA_ADJUSTED=GAAP","Sort=A","Dates=H","DateFormat=P","Fill=—","Direction=H","UseDPDF=Y")</f>
        <v>2119.5</v>
      </c>
      <c r="W30" s="13">
        <f>_xll.BDH("NBIX US Equity","TRAIL_12M_NET_SALES","FQ3 2024","FQ3 2024","Currency=USD","Period=FQ","BEST_FPERIOD_OVERRIDE=FQ","FILING_STATUS=MR","SCALING_FORMAT=MLN","FA_ADJUSTED=GAAP","Sort=A","Dates=H","DateFormat=P","Fill=—","Direction=H","UseDPDF=Y")</f>
        <v>2242.8000000000002</v>
      </c>
      <c r="X30" s="13">
        <f>_xll.BDH("NBIX US Equity","TRAIL_12M_NET_SALES","FQ4 2024","FQ4 2024","Currency=USD","Period=FQ","BEST_FPERIOD_OVERRIDE=FQ","FILING_STATUS=MR","SCALING_FORMAT=MLN","FA_ADJUSTED=GAAP","Sort=A","Dates=H","DateFormat=P","Fill=—","Direction=H","UseDPDF=Y")</f>
        <v>2355.3000000000002</v>
      </c>
      <c r="Y30" s="16">
        <v>2355.3000000000002</v>
      </c>
      <c r="Z30" s="13">
        <v>2666.2269999999999</v>
      </c>
      <c r="AA30" s="13">
        <v>2815.2530000000002</v>
      </c>
    </row>
    <row r="31" spans="1:27" x14ac:dyDescent="0.25">
      <c r="A31" s="10" t="s">
        <v>78</v>
      </c>
      <c r="B31" s="10" t="s">
        <v>200</v>
      </c>
      <c r="C31" s="13">
        <f>_xll.BDH("NBIX US Equity","TRAIL_12M_EBITDA","FQ3 2019","FQ3 2019","Currency=USD","Period=FQ","BEST_FPERIOD_OVERRIDE=FQ","FILING_STATUS=MR","SCALING_FORMAT=MLN","FA_ADJUSTED=GAAP","Sort=A","Dates=H","DateFormat=P","Fill=—","Direction=H","UseDPDF=Y")</f>
        <v>57.969000000000001</v>
      </c>
      <c r="D31" s="13">
        <f>_xll.BDH("NBIX US Equity","TRAIL_12M_EBITDA","FQ4 2019","FQ4 2019","Currency=USD","Period=FQ","BEST_FPERIOD_OVERRIDE=FQ","FILING_STATUS=MR","SCALING_FORMAT=MLN","FA_ADJUSTED=GAAP","Sort=A","Dates=H","DateFormat=P","Fill=—","Direction=H","UseDPDF=Y")</f>
        <v>87.861999999999995</v>
      </c>
      <c r="E31" s="13">
        <f>_xll.BDH("NBIX US Equity","TRAIL_12M_EBITDA","FQ1 2020","FQ1 2020","Currency=USD","Period=FQ","BEST_FPERIOD_OVERRIDE=FQ","FILING_STATUS=MR","SCALING_FORMAT=MLN","FA_ADJUSTED=GAAP","Sort=A","Dates=H","DateFormat=P","Fill=—","Direction=H","UseDPDF=Y")</f>
        <v>248.893</v>
      </c>
      <c r="F31" s="13">
        <f>_xll.BDH("NBIX US Equity","TRAIL_12M_EBITDA","FQ2 2020","FQ2 2020","Currency=USD","Period=FQ","BEST_FPERIOD_OVERRIDE=FQ","FILING_STATUS=MR","SCALING_FORMAT=MLN","FA_ADJUSTED=GAAP","Sort=A","Dates=H","DateFormat=P","Fill=—","Direction=H","UseDPDF=Y")</f>
        <v>291.846</v>
      </c>
      <c r="G31" s="13">
        <f>_xll.BDH("NBIX US Equity","TRAIL_12M_EBITDA","FQ3 2020","FQ3 2020","Currency=USD","Period=FQ","BEST_FPERIOD_OVERRIDE=FQ","FILING_STATUS=MR","SCALING_FORMAT=MLN","FA_ADJUSTED=GAAP","Sort=A","Dates=H","DateFormat=P","Fill=—","Direction=H","UseDPDF=Y")</f>
        <v>158.03899999999999</v>
      </c>
      <c r="H31" s="13">
        <f>_xll.BDH("NBIX US Equity","TRAIL_12M_EBITDA","FQ4 2020","FQ4 2020","Currency=USD","Period=FQ","BEST_FPERIOD_OVERRIDE=FQ","FILING_STATUS=MR","SCALING_FORMAT=MLN","FA_ADJUSTED=GAAP","Sort=A","Dates=H","DateFormat=P","Fill=—","Direction=H","UseDPDF=Y")</f>
        <v>181.7</v>
      </c>
      <c r="I31" s="13">
        <f>_xll.BDH("NBIX US Equity","TRAIL_12M_EBITDA","FQ1 2021","FQ1 2021","Currency=USD","Period=FQ","BEST_FPERIOD_OVERRIDE=FQ","FILING_STATUS=MR","SCALING_FORMAT=MLN","FA_ADJUSTED=GAAP","Sort=A","Dates=H","DateFormat=P","Fill=—","Direction=H","UseDPDF=Y")</f>
        <v>155.6</v>
      </c>
      <c r="J31" s="13">
        <f>_xll.BDH("NBIX US Equity","TRAIL_12M_EBITDA","FQ2 2021","FQ2 2021","Currency=USD","Period=FQ","BEST_FPERIOD_OVERRIDE=FQ","FILING_STATUS=MR","SCALING_FORMAT=MLN","FA_ADJUSTED=GAAP","Sort=A","Dates=H","DateFormat=P","Fill=—","Direction=H","UseDPDF=Y")</f>
        <v>143.69999999999999</v>
      </c>
      <c r="K31" s="13">
        <f>_xll.BDH("NBIX US Equity","TRAIL_12M_EBITDA","FQ3 2021","FQ3 2021","Currency=USD","Period=FQ","BEST_FPERIOD_OVERRIDE=FQ","FILING_STATUS=MR","SCALING_FORMAT=MLN","FA_ADJUSTED=GAAP","Sort=A","Dates=H","DateFormat=P","Fill=—","Direction=H","UseDPDF=Y")</f>
        <v>234.6</v>
      </c>
      <c r="L31" s="13">
        <f>_xll.BDH("NBIX US Equity","TRAIL_12M_EBITDA","FQ4 2021","FQ4 2021","Currency=USD","Period=FQ","BEST_FPERIOD_OVERRIDE=FQ","FILING_STATUS=MR","SCALING_FORMAT=MLN","FA_ADJUSTED=GAAP","Sort=A","Dates=H","DateFormat=P","Fill=—","Direction=H","UseDPDF=Y")</f>
        <v>128.69999999999999</v>
      </c>
      <c r="M31" s="13">
        <f>_xll.BDH("NBIX US Equity","TRAIL_12M_EBITDA","FQ1 2022","FQ1 2022","Currency=USD","Period=FQ","BEST_FPERIOD_OVERRIDE=FQ","FILING_STATUS=MR","SCALING_FORMAT=MLN","FA_ADJUSTED=GAAP","Sort=A","Dates=H","DateFormat=P","Fill=—","Direction=H","UseDPDF=Y")</f>
        <v>101.8</v>
      </c>
      <c r="N31" s="13">
        <f>_xll.BDH("NBIX US Equity","TRAIL_12M_EBITDA","FQ2 2022","FQ2 2022","Currency=USD","Period=FQ","BEST_FPERIOD_OVERRIDE=FQ","FILING_STATUS=MR","SCALING_FORMAT=MLN","FA_ADJUSTED=GAAP","Sort=A","Dates=H","DateFormat=P","Fill=—","Direction=H","UseDPDF=Y")</f>
        <v>95.2</v>
      </c>
      <c r="O31" s="13">
        <f>_xll.BDH("NBIX US Equity","TRAIL_12M_EBITDA","FQ3 2022","FQ3 2022","Currency=USD","Period=FQ","BEST_FPERIOD_OVERRIDE=FQ","FILING_STATUS=MR","SCALING_FORMAT=MLN","FA_ADJUSTED=GAAP","Sort=A","Dates=H","DateFormat=P","Fill=—","Direction=H","UseDPDF=Y")</f>
        <v>140.1</v>
      </c>
      <c r="P31" s="13">
        <f>_xll.BDH("NBIX US Equity","TRAIL_12M_EBITDA","FQ4 2022","FQ4 2022","Currency=USD","Period=FQ","BEST_FPERIOD_OVERRIDE=FQ","FILING_STATUS=MR","SCALING_FORMAT=MLN","FA_ADJUSTED=GAAP","Sort=A","Dates=H","DateFormat=P","Fill=—","Direction=H","UseDPDF=Y")</f>
        <v>280.89999999999998</v>
      </c>
      <c r="Q31" s="13">
        <f>_xll.BDH("NBIX US Equity","TRAIL_12M_EBITDA","FQ1 2023","FQ1 2023","Currency=USD","Period=FQ","BEST_FPERIOD_OVERRIDE=FQ","FILING_STATUS=MR","SCALING_FORMAT=MLN","FA_ADJUSTED=GAAP","Sort=A","Dates=H","DateFormat=P","Fill=—","Direction=H","UseDPDF=Y")</f>
        <v>165.3</v>
      </c>
      <c r="R31" s="13">
        <f>_xll.BDH("NBIX US Equity","TRAIL_12M_EBITDA","FQ2 2023","FQ2 2023","Currency=USD","Period=FQ","BEST_FPERIOD_OVERRIDE=FQ","FILING_STATUS=MR","SCALING_FORMAT=MLN","FA_ADJUSTED=GAAP","Sort=A","Dates=H","DateFormat=P","Fill=—","Direction=H","UseDPDF=Y")</f>
        <v>185.4</v>
      </c>
      <c r="S31" s="13">
        <f>_xll.BDH("NBIX US Equity","TRAIL_12M_EBITDA","FQ3 2023","FQ3 2023","Currency=USD","Period=FQ","BEST_FPERIOD_OVERRIDE=FQ","FILING_STATUS=MR","SCALING_FORMAT=MLN","FA_ADJUSTED=GAAP","Sort=A","Dates=H","DateFormat=P","Fill=—","Direction=H","UseDPDF=Y")</f>
        <v>239.8</v>
      </c>
      <c r="T31" s="13">
        <f>_xll.BDH("NBIX US Equity","TRAIL_12M_EBITDA","FQ4 2023","FQ4 2023","Currency=USD","Period=FQ","BEST_FPERIOD_OVERRIDE=FQ","FILING_STATUS=MR","SCALING_FORMAT=MLN","FA_ADJUSTED=GAAP","Sort=A","Dates=H","DateFormat=P","Fill=—","Direction=H","UseDPDF=Y")</f>
        <v>288.60000000000002</v>
      </c>
      <c r="U31" s="13">
        <f>_xll.BDH("NBIX US Equity","TRAIL_12M_EBITDA","FQ1 2024","FQ1 2024","Currency=USD","Period=FQ","BEST_FPERIOD_OVERRIDE=FQ","FILING_STATUS=MR","SCALING_FORMAT=MLN","FA_ADJUSTED=GAAP","Sort=A","Dates=H","DateFormat=P","Fill=—","Direction=H","UseDPDF=Y")</f>
        <v>508.2</v>
      </c>
      <c r="V31" s="13">
        <f>_xll.BDH("NBIX US Equity","TRAIL_12M_EBITDA","FQ2 2024","FQ2 2024","Currency=USD","Period=FQ","BEST_FPERIOD_OVERRIDE=FQ","FILING_STATUS=MR","SCALING_FORMAT=MLN","FA_ADJUSTED=GAAP","Sort=A","Dates=H","DateFormat=P","Fill=—","Direction=H","UseDPDF=Y")</f>
        <v>587.29999999999995</v>
      </c>
      <c r="W31" s="13">
        <f>_xll.BDH("NBIX US Equity","TRAIL_12M_EBITDA","FQ3 2024","FQ3 2024","Currency=USD","Period=FQ","BEST_FPERIOD_OVERRIDE=FQ","FILING_STATUS=MR","SCALING_FORMAT=MLN","FA_ADJUSTED=GAAP","Sort=A","Dates=H","DateFormat=P","Fill=—","Direction=H","UseDPDF=Y")</f>
        <v>635.9</v>
      </c>
      <c r="X31" s="13">
        <f>_xll.BDH("NBIX US Equity","TRAIL_12M_EBITDA","FQ4 2024","FQ4 2024","Currency=USD","Period=FQ","BEST_FPERIOD_OVERRIDE=FQ","FILING_STATUS=MR","SCALING_FORMAT=MLN","FA_ADJUSTED=GAAP","Sort=A","Dates=H","DateFormat=P","Fill=—","Direction=H","UseDPDF=Y")</f>
        <v>639.6</v>
      </c>
      <c r="Y31" s="16">
        <v>639.6</v>
      </c>
      <c r="Z31" s="13">
        <v>686.24300000000005</v>
      </c>
      <c r="AA31" s="13">
        <v>877.6</v>
      </c>
    </row>
    <row r="32" spans="1:27" x14ac:dyDescent="0.25">
      <c r="A32" s="10" t="s">
        <v>142</v>
      </c>
      <c r="B32" s="10" t="s">
        <v>201</v>
      </c>
      <c r="C32" s="13">
        <f>_xll.BDH("NBIX US Equity","TRAIL_12M_OPER_INC","FQ3 2019","FQ3 2019","Currency=USD","Period=FQ","BEST_FPERIOD_OVERRIDE=FQ","FILING_STATUS=MR","SCALING_FORMAT=MLN","FA_ADJUSTED=GAAP","Sort=A","Dates=H","DateFormat=P","Fill=—","Direction=H","UseDPDF=Y")</f>
        <v>45.433</v>
      </c>
      <c r="D32" s="13">
        <f>_xll.BDH("NBIX US Equity","TRAIL_12M_OPER_INC","FQ4 2019","FQ4 2019","Currency=USD","Period=FQ","BEST_FPERIOD_OVERRIDE=FQ","FILING_STATUS=MR","SCALING_FORMAT=MLN","FA_ADJUSTED=GAAP","Sort=A","Dates=H","DateFormat=P","Fill=—","Direction=H","UseDPDF=Y")</f>
        <v>72.361999999999995</v>
      </c>
      <c r="E32" s="13">
        <f>_xll.BDH("NBIX US Equity","TRAIL_12M_OPER_INC","FQ1 2020","FQ1 2020","Currency=USD","Period=FQ","BEST_FPERIOD_OVERRIDE=FQ","FILING_STATUS=MR","SCALING_FORMAT=MLN","FA_ADJUSTED=GAAP","Sort=A","Dates=H","DateFormat=P","Fill=—","Direction=H","UseDPDF=Y")</f>
        <v>232.25899999999999</v>
      </c>
      <c r="F32" s="13">
        <f>_xll.BDH("NBIX US Equity","TRAIL_12M_OPER_INC","FQ2 2020","FQ2 2020","Currency=USD","Period=FQ","BEST_FPERIOD_OVERRIDE=FQ","FILING_STATUS=MR","SCALING_FORMAT=MLN","FA_ADJUSTED=GAAP","Sort=A","Dates=H","DateFormat=P","Fill=—","Direction=H","UseDPDF=Y")</f>
        <v>274.39800000000002</v>
      </c>
      <c r="G32" s="13">
        <f>_xll.BDH("NBIX US Equity","TRAIL_12M_OPER_INC","FQ3 2020","FQ3 2020","Currency=USD","Period=FQ","BEST_FPERIOD_OVERRIDE=FQ","FILING_STATUS=MR","SCALING_FORMAT=MLN","FA_ADJUSTED=GAAP","Sort=A","Dates=H","DateFormat=P","Fill=—","Direction=H","UseDPDF=Y")</f>
        <v>140</v>
      </c>
      <c r="H32" s="13">
        <f>_xll.BDH("NBIX US Equity","TRAIL_12M_OPER_INC","FQ4 2020","FQ4 2020","Currency=USD","Period=FQ","BEST_FPERIOD_OVERRIDE=FQ","FILING_STATUS=MR","SCALING_FORMAT=MLN","FA_ADJUSTED=GAAP","Sort=A","Dates=H","DateFormat=P","Fill=—","Direction=H","UseDPDF=Y")</f>
        <v>163</v>
      </c>
      <c r="I32" s="13">
        <f>_xll.BDH("NBIX US Equity","TRAIL_12M_OPER_INC","FQ1 2021","FQ1 2021","Currency=USD","Period=FQ","BEST_FPERIOD_OVERRIDE=FQ","FILING_STATUS=MR","SCALING_FORMAT=MLN","FA_ADJUSTED=GAAP","Sort=A","Dates=H","DateFormat=P","Fill=—","Direction=H","UseDPDF=Y")</f>
        <v>135.6</v>
      </c>
      <c r="J32" s="13">
        <f>_xll.BDH("NBIX US Equity","TRAIL_12M_OPER_INC","FQ2 2021","FQ2 2021","Currency=USD","Period=FQ","BEST_FPERIOD_OVERRIDE=FQ","FILING_STATUS=MR","SCALING_FORMAT=MLN","FA_ADJUSTED=GAAP","Sort=A","Dates=H","DateFormat=P","Fill=—","Direction=H","UseDPDF=Y")</f>
        <v>121.8</v>
      </c>
      <c r="K32" s="13">
        <f>_xll.BDH("NBIX US Equity","TRAIL_12M_OPER_INC","FQ3 2021","FQ3 2021","Currency=USD","Period=FQ","BEST_FPERIOD_OVERRIDE=FQ","FILING_STATUS=MR","SCALING_FORMAT=MLN","FA_ADJUSTED=GAAP","Sort=A","Dates=H","DateFormat=P","Fill=—","Direction=H","UseDPDF=Y")</f>
        <v>210.6</v>
      </c>
      <c r="L32" s="13">
        <f>_xll.BDH("NBIX US Equity","TRAIL_12M_OPER_INC","FQ4 2021","FQ4 2021","Currency=USD","Period=FQ","BEST_FPERIOD_OVERRIDE=FQ","FILING_STATUS=MR","SCALING_FORMAT=MLN","FA_ADJUSTED=GAAP","Sort=A","Dates=H","DateFormat=P","Fill=—","Direction=H","UseDPDF=Y")</f>
        <v>102.5</v>
      </c>
      <c r="M32" s="13">
        <f>_xll.BDH("NBIX US Equity","TRAIL_12M_OPER_INC","FQ1 2022","FQ1 2022","Currency=USD","Period=FQ","BEST_FPERIOD_OVERRIDE=FQ","FILING_STATUS=MR","SCALING_FORMAT=MLN","FA_ADJUSTED=GAAP","Sort=A","Dates=H","DateFormat=P","Fill=—","Direction=H","UseDPDF=Y")</f>
        <v>74.099999999999994</v>
      </c>
      <c r="N32" s="13">
        <f>_xll.BDH("NBIX US Equity","TRAIL_12M_OPER_INC","FQ2 2022","FQ2 2022","Currency=USD","Period=FQ","BEST_FPERIOD_OVERRIDE=FQ","FILING_STATUS=MR","SCALING_FORMAT=MLN","FA_ADJUSTED=GAAP","Sort=A","Dates=H","DateFormat=P","Fill=—","Direction=H","UseDPDF=Y")</f>
        <v>66</v>
      </c>
      <c r="O32" s="13">
        <f>_xll.BDH("NBIX US Equity","TRAIL_12M_OPER_INC","FQ3 2022","FQ3 2022","Currency=USD","Period=FQ","BEST_FPERIOD_OVERRIDE=FQ","FILING_STATUS=MR","SCALING_FORMAT=MLN","FA_ADJUSTED=GAAP","Sort=A","Dates=H","DateFormat=P","Fill=—","Direction=H","UseDPDF=Y")</f>
        <v>109.3</v>
      </c>
      <c r="P32" s="13">
        <f>_xll.BDH("NBIX US Equity","TRAIL_12M_OPER_INC","FQ4 2022","FQ4 2022","Currency=USD","Period=FQ","BEST_FPERIOD_OVERRIDE=FQ","FILING_STATUS=MR","SCALING_FORMAT=MLN","FA_ADJUSTED=GAAP","Sort=A","Dates=H","DateFormat=P","Fill=—","Direction=H","UseDPDF=Y")</f>
        <v>249</v>
      </c>
      <c r="Q32" s="13">
        <f>_xll.BDH("NBIX US Equity","TRAIL_12M_OPER_INC","FQ1 2023","FQ1 2023","Currency=USD","Period=FQ","BEST_FPERIOD_OVERRIDE=FQ","FILING_STATUS=MR","SCALING_FORMAT=MLN","FA_ADJUSTED=GAAP","Sort=A","Dates=H","DateFormat=P","Fill=—","Direction=H","UseDPDF=Y")</f>
        <v>131.69999999999999</v>
      </c>
      <c r="R32" s="13">
        <f>_xll.BDH("NBIX US Equity","TRAIL_12M_OPER_INC","FQ2 2023","FQ2 2023","Currency=USD","Period=FQ","BEST_FPERIOD_OVERRIDE=FQ","FILING_STATUS=MR","SCALING_FORMAT=MLN","FA_ADJUSTED=GAAP","Sort=A","Dates=H","DateFormat=P","Fill=—","Direction=H","UseDPDF=Y")</f>
        <v>150.6</v>
      </c>
      <c r="S32" s="13">
        <f>_xll.BDH("NBIX US Equity","TRAIL_12M_OPER_INC","FQ3 2023","FQ3 2023","Currency=USD","Period=FQ","BEST_FPERIOD_OVERRIDE=FQ","FILING_STATUS=MR","SCALING_FORMAT=MLN","FA_ADJUSTED=GAAP","Sort=A","Dates=H","DateFormat=P","Fill=—","Direction=H","UseDPDF=Y")</f>
        <v>204</v>
      </c>
      <c r="T32" s="13">
        <f>_xll.BDH("NBIX US Equity","TRAIL_12M_OPER_INC","FQ4 2023","FQ4 2023","Currency=USD","Period=FQ","BEST_FPERIOD_OVERRIDE=FQ","FILING_STATUS=MR","SCALING_FORMAT=MLN","FA_ADJUSTED=GAAP","Sort=A","Dates=H","DateFormat=P","Fill=—","Direction=H","UseDPDF=Y")</f>
        <v>250.9</v>
      </c>
      <c r="U32" s="13">
        <f>_xll.BDH("NBIX US Equity","TRAIL_12M_OPER_INC","FQ1 2024","FQ1 2024","Currency=USD","Period=FQ","BEST_FPERIOD_OVERRIDE=FQ","FILING_STATUS=MR","SCALING_FORMAT=MLN","FA_ADJUSTED=GAAP","Sort=A","Dates=H","DateFormat=P","Fill=—","Direction=H","UseDPDF=Y")</f>
        <v>464.4</v>
      </c>
      <c r="V32" s="13">
        <f>_xll.BDH("NBIX US Equity","TRAIL_12M_OPER_INC","FQ2 2024","FQ2 2024","Currency=USD","Period=FQ","BEST_FPERIOD_OVERRIDE=FQ","FILING_STATUS=MR","SCALING_FORMAT=MLN","FA_ADJUSTED=GAAP","Sort=A","Dates=H","DateFormat=P","Fill=—","Direction=H","UseDPDF=Y")</f>
        <v>536.20000000000005</v>
      </c>
      <c r="W32" s="13">
        <f>_xll.BDH("NBIX US Equity","TRAIL_12M_OPER_INC","FQ3 2024","FQ3 2024","Currency=USD","Period=FQ","BEST_FPERIOD_OVERRIDE=FQ","FILING_STATUS=MR","SCALING_FORMAT=MLN","FA_ADJUSTED=GAAP","Sort=A","Dates=H","DateFormat=P","Fill=—","Direction=H","UseDPDF=Y")</f>
        <v>578.79999999999995</v>
      </c>
      <c r="X32" s="13">
        <f>_xll.BDH("NBIX US Equity","TRAIL_12M_OPER_INC","FQ4 2024","FQ4 2024","Currency=USD","Period=FQ","BEST_FPERIOD_OVERRIDE=FQ","FILING_STATUS=MR","SCALING_FORMAT=MLN","FA_ADJUSTED=GAAP","Sort=A","Dates=H","DateFormat=P","Fill=—","Direction=H","UseDPDF=Y")</f>
        <v>570.5</v>
      </c>
      <c r="Y32" s="16">
        <v>570.5</v>
      </c>
      <c r="Z32" s="13">
        <v>558.16999999999996</v>
      </c>
      <c r="AA32" s="13">
        <v>646.07299999999998</v>
      </c>
    </row>
    <row r="33" spans="1:27" x14ac:dyDescent="0.25">
      <c r="A33" s="10" t="s">
        <v>202</v>
      </c>
      <c r="B33" s="10" t="s">
        <v>203</v>
      </c>
      <c r="C33" s="13">
        <f>_xll.BDH("NBIX US Equity","TRAIL_12M_CASH_FLOW_FIRM","FQ3 2019","FQ3 2019","Currency=USD","Period=FQ","BEST_FPERIOD_OVERRIDE=FQ","FILING_STATUS=MR","SCALING_FORMAT=MLN","FA_ADJUSTED=GAAP","Sort=A","Dates=H","DateFormat=P","Fill=—","Direction=H","UseDPDF=Y")</f>
        <v>124.9011</v>
      </c>
      <c r="D33" s="13">
        <f>_xll.BDH("NBIX US Equity","TRAIL_12M_CASH_FLOW_FIRM","FQ4 2019","FQ4 2019","Currency=USD","Period=FQ","BEST_FPERIOD_OVERRIDE=FQ","FILING_STATUS=MR","SCALING_FORMAT=MLN","FA_ADJUSTED=GAAP","Sort=A","Dates=H","DateFormat=P","Fill=—","Direction=H","UseDPDF=Y")</f>
        <v>172.49469999999999</v>
      </c>
      <c r="E33" s="13">
        <f>_xll.BDH("NBIX US Equity","TRAIL_12M_CASH_FLOW_FIRM","FQ1 2020","FQ1 2020","Currency=USD","Period=FQ","BEST_FPERIOD_OVERRIDE=FQ","FILING_STATUS=MR","SCALING_FORMAT=MLN","FA_ADJUSTED=GAAP","Sort=A","Dates=H","DateFormat=P","Fill=—","Direction=H","UseDPDF=Y")</f>
        <v>325.39530000000002</v>
      </c>
      <c r="F33" s="13">
        <f>_xll.BDH("NBIX US Equity","TRAIL_12M_CASH_FLOW_FIRM","FQ2 2020","FQ2 2020","Currency=USD","Period=FQ","BEST_FPERIOD_OVERRIDE=FQ","FILING_STATUS=MR","SCALING_FORMAT=MLN","FA_ADJUSTED=GAAP","Sort=A","Dates=H","DateFormat=P","Fill=—","Direction=H","UseDPDF=Y")</f>
        <v>380.32369999999997</v>
      </c>
      <c r="G33" s="13">
        <f>_xll.BDH("NBIX US Equity","TRAIL_12M_CASH_FLOW_FIRM","FQ3 2020","FQ3 2020","Currency=USD","Period=FQ","BEST_FPERIOD_OVERRIDE=FQ","FILING_STATUS=MR","SCALING_FORMAT=MLN","FA_ADJUSTED=GAAP","Sort=A","Dates=H","DateFormat=P","Fill=—","Direction=H","UseDPDF=Y")</f>
        <v>261.43029999999999</v>
      </c>
      <c r="H33" s="13" t="str">
        <f>_xll.BDH("NBIX US Equity","TRAIL_12M_CASH_FLOW_FIRM","FQ4 2020","FQ4 2020","Currency=USD","Period=FQ","BEST_FPERIOD_OVERRIDE=FQ","FILING_STATUS=MR","SCALING_FORMAT=MLN","FA_ADJUSTED=GAAP","Sort=A","Dates=H","DateFormat=P","Fill=—","Direction=H","UseDPDF=Y")</f>
        <v>—</v>
      </c>
      <c r="I33" s="13" t="str">
        <f>_xll.BDH("NBIX US Equity","TRAIL_12M_CASH_FLOW_FIRM","FQ1 2021","FQ1 2021","Currency=USD","Period=FQ","BEST_FPERIOD_OVERRIDE=FQ","FILING_STATUS=MR","SCALING_FORMAT=MLN","FA_ADJUSTED=GAAP","Sort=A","Dates=H","DateFormat=P","Fill=—","Direction=H","UseDPDF=Y")</f>
        <v>—</v>
      </c>
      <c r="J33" s="13" t="str">
        <f>_xll.BDH("NBIX US Equity","TRAIL_12M_CASH_FLOW_FIRM","FQ2 2021","FQ2 2021","Currency=USD","Period=FQ","BEST_FPERIOD_OVERRIDE=FQ","FILING_STATUS=MR","SCALING_FORMAT=MLN","FA_ADJUSTED=GAAP","Sort=A","Dates=H","DateFormat=P","Fill=—","Direction=H","UseDPDF=Y")</f>
        <v>—</v>
      </c>
      <c r="K33" s="13" t="str">
        <f>_xll.BDH("NBIX US Equity","TRAIL_12M_CASH_FLOW_FIRM","FQ3 2021","FQ3 2021","Currency=USD","Period=FQ","BEST_FPERIOD_OVERRIDE=FQ","FILING_STATUS=MR","SCALING_FORMAT=MLN","FA_ADJUSTED=GAAP","Sort=A","Dates=H","DateFormat=P","Fill=—","Direction=H","UseDPDF=Y")</f>
        <v>—</v>
      </c>
      <c r="L33" s="13">
        <f>_xll.BDH("NBIX US Equity","TRAIL_12M_CASH_FLOW_FIRM","FQ4 2021","FQ4 2021","Currency=USD","Period=FQ","BEST_FPERIOD_OVERRIDE=FQ","FILING_STATUS=MR","SCALING_FORMAT=MLN","FA_ADJUSTED=GAAP","Sort=A","Dates=H","DateFormat=P","Fill=—","Direction=H","UseDPDF=Y")</f>
        <v>279.29759999999999</v>
      </c>
      <c r="M33" s="13">
        <f>_xll.BDH("NBIX US Equity","TRAIL_12M_CASH_FLOW_FIRM","FQ1 2022","FQ1 2022","Currency=USD","Period=FQ","BEST_FPERIOD_OVERRIDE=FQ","FILING_STATUS=MR","SCALING_FORMAT=MLN","FA_ADJUSTED=GAAP","Sort=A","Dates=H","DateFormat=P","Fill=—","Direction=H","UseDPDF=Y")</f>
        <v>145.131</v>
      </c>
      <c r="N33" s="13">
        <f>_xll.BDH("NBIX US Equity","TRAIL_12M_CASH_FLOW_FIRM","FQ2 2022","FQ2 2022","Currency=USD","Period=FQ","BEST_FPERIOD_OVERRIDE=FQ","FILING_STATUS=MR","SCALING_FORMAT=MLN","FA_ADJUSTED=GAAP","Sort=A","Dates=H","DateFormat=P","Fill=—","Direction=H","UseDPDF=Y")</f>
        <v>178.43780000000001</v>
      </c>
      <c r="O33" s="13">
        <f>_xll.BDH("NBIX US Equity","TRAIL_12M_CASH_FLOW_FIRM","FQ3 2022","FQ3 2022","Currency=USD","Period=FQ","BEST_FPERIOD_OVERRIDE=FQ","FILING_STATUS=MR","SCALING_FORMAT=MLN","FA_ADJUSTED=GAAP","Sort=A","Dates=H","DateFormat=P","Fill=—","Direction=H","UseDPDF=Y")</f>
        <v>209.52119999999999</v>
      </c>
      <c r="P33" s="13">
        <f>_xll.BDH("NBIX US Equity","TRAIL_12M_CASH_FLOW_FIRM","FQ4 2022","FQ4 2022","Currency=USD","Period=FQ","BEST_FPERIOD_OVERRIDE=FQ","FILING_STATUS=MR","SCALING_FORMAT=MLN","FA_ADJUSTED=GAAP","Sort=A","Dates=H","DateFormat=P","Fill=—","Direction=H","UseDPDF=Y")</f>
        <v>344.5283</v>
      </c>
      <c r="Q33" s="13">
        <f>_xll.BDH("NBIX US Equity","TRAIL_12M_CASH_FLOW_FIRM","FQ1 2023","FQ1 2023","Currency=USD","Period=FQ","BEST_FPERIOD_OVERRIDE=FQ","FILING_STATUS=MR","SCALING_FORMAT=MLN","FA_ADJUSTED=GAAP","Sort=A","Dates=H","DateFormat=P","Fill=—","Direction=H","UseDPDF=Y")</f>
        <v>258.71789999999999</v>
      </c>
      <c r="R33" s="13">
        <f>_xll.BDH("NBIX US Equity","TRAIL_12M_CASH_FLOW_FIRM","FQ2 2023","FQ2 2023","Currency=USD","Period=FQ","BEST_FPERIOD_OVERRIDE=FQ","FILING_STATUS=MR","SCALING_FORMAT=MLN","FA_ADJUSTED=GAAP","Sort=A","Dates=H","DateFormat=P","Fill=—","Direction=H","UseDPDF=Y")</f>
        <v>299.74160000000001</v>
      </c>
      <c r="S33" s="13">
        <f>_xll.BDH("NBIX US Equity","TRAIL_12M_CASH_FLOW_FIRM","FQ3 2023","FQ3 2023","Currency=USD","Period=FQ","BEST_FPERIOD_OVERRIDE=FQ","FILING_STATUS=MR","SCALING_FORMAT=MLN","FA_ADJUSTED=GAAP","Sort=A","Dates=H","DateFormat=P","Fill=—","Direction=H","UseDPDF=Y")</f>
        <v>412.88929999999999</v>
      </c>
      <c r="T33" s="13">
        <f>_xll.BDH("NBIX US Equity","TRAIL_12M_CASH_FLOW_FIRM","FQ4 2023","FQ4 2023","Currency=USD","Period=FQ","BEST_FPERIOD_OVERRIDE=FQ","FILING_STATUS=MR","SCALING_FORMAT=MLN","FA_ADJUSTED=GAAP","Sort=A","Dates=H","DateFormat=P","Fill=—","Direction=H","UseDPDF=Y")</f>
        <v>393.3587</v>
      </c>
      <c r="U33" s="13">
        <f>_xll.BDH("NBIX US Equity","TRAIL_12M_CASH_FLOW_FIRM","FQ1 2024","FQ1 2024","Currency=USD","Period=FQ","BEST_FPERIOD_OVERRIDE=FQ","FILING_STATUS=MR","SCALING_FORMAT=MLN","FA_ADJUSTED=GAAP","Sort=A","Dates=H","DateFormat=P","Fill=—","Direction=H","UseDPDF=Y")</f>
        <v>649.01909999999998</v>
      </c>
      <c r="V33" s="13" t="str">
        <f>_xll.BDH("NBIX US Equity","TRAIL_12M_CASH_FLOW_FIRM","FQ2 2024","FQ2 2024","Currency=USD","Period=FQ","BEST_FPERIOD_OVERRIDE=FQ","FILING_STATUS=MR","SCALING_FORMAT=MLN","FA_ADJUSTED=GAAP","Sort=A","Dates=H","DateFormat=P","Fill=—","Direction=H","UseDPDF=Y")</f>
        <v>—</v>
      </c>
      <c r="W33" s="13" t="str">
        <f>_xll.BDH("NBIX US Equity","TRAIL_12M_CASH_FLOW_FIRM","FQ3 2024","FQ3 2024","Currency=USD","Period=FQ","BEST_FPERIOD_OVERRIDE=FQ","FILING_STATUS=MR","SCALING_FORMAT=MLN","FA_ADJUSTED=GAAP","Sort=A","Dates=H","DateFormat=P","Fill=—","Direction=H","UseDPDF=Y")</f>
        <v>—</v>
      </c>
      <c r="X33" s="13" t="str">
        <f>_xll.BDH("NBIX US Equity","TRAIL_12M_CASH_FLOW_FIRM","FQ4 2024","FQ4 2024","Currency=USD","Period=FQ","BEST_FPERIOD_OVERRIDE=FQ","FILING_STATUS=MR","SCALING_FORMAT=MLN","FA_ADJUSTED=GAAP","Sort=A","Dates=H","DateFormat=P","Fill=—","Direction=H","UseDPDF=Y")</f>
        <v>—</v>
      </c>
      <c r="Y33" s="16"/>
      <c r="Z33" s="13"/>
      <c r="AA33" s="13"/>
    </row>
    <row r="34" spans="1:27" x14ac:dyDescent="0.25">
      <c r="A34" s="10" t="s">
        <v>204</v>
      </c>
      <c r="B34" s="10" t="s">
        <v>205</v>
      </c>
      <c r="C34" s="13">
        <f>_xll.BDH("NBIX US Equity","TRAIL_12M_FREE_CASH_FLOW_FIRM","FQ3 2019","FQ3 2019","Currency=USD","Period=FQ","BEST_FPERIOD_OVERRIDE=FQ","FILING_STATUS=MR","SCALING_FORMAT=MLN","FA_ADJUSTED=GAAP","Sort=A","Dates=H","DateFormat=P","Fill=—","Direction=H","UseDPDF=Y")</f>
        <v>106.9551</v>
      </c>
      <c r="D34" s="13">
        <f>_xll.BDH("NBIX US Equity","TRAIL_12M_FREE_CASH_FLOW_FIRM","FQ4 2019","FQ4 2019","Currency=USD","Period=FQ","BEST_FPERIOD_OVERRIDE=FQ","FILING_STATUS=MR","SCALING_FORMAT=MLN","FA_ADJUSTED=GAAP","Sort=A","Dates=H","DateFormat=P","Fill=—","Direction=H","UseDPDF=Y")</f>
        <v>157.7867</v>
      </c>
      <c r="E34" s="13">
        <f>_xll.BDH("NBIX US Equity","TRAIL_12M_FREE_CASH_FLOW_FIRM","FQ1 2020","FQ1 2020","Currency=USD","Period=FQ","BEST_FPERIOD_OVERRIDE=FQ","FILING_STATUS=MR","SCALING_FORMAT=MLN","FA_ADJUSTED=GAAP","Sort=A","Dates=H","DateFormat=P","Fill=—","Direction=H","UseDPDF=Y")</f>
        <v>313.3263</v>
      </c>
      <c r="F34" s="13">
        <f>_xll.BDH("NBIX US Equity","TRAIL_12M_FREE_CASH_FLOW_FIRM","FQ2 2020","FQ2 2020","Currency=USD","Period=FQ","BEST_FPERIOD_OVERRIDE=FQ","FILING_STATUS=MR","SCALING_FORMAT=MLN","FA_ADJUSTED=GAAP","Sort=A","Dates=H","DateFormat=P","Fill=—","Direction=H","UseDPDF=Y")</f>
        <v>368.0077</v>
      </c>
      <c r="G34" s="13">
        <f>_xll.BDH("NBIX US Equity","TRAIL_12M_FREE_CASH_FLOW_FIRM","FQ3 2020","FQ3 2020","Currency=USD","Period=FQ","BEST_FPERIOD_OVERRIDE=FQ","FILING_STATUS=MR","SCALING_FORMAT=MLN","FA_ADJUSTED=GAAP","Sort=A","Dates=H","DateFormat=P","Fill=—","Direction=H","UseDPDF=Y")</f>
        <v>252.25829999999999</v>
      </c>
      <c r="H34" s="13" t="str">
        <f>_xll.BDH("NBIX US Equity","TRAIL_12M_FREE_CASH_FLOW_FIRM","FQ4 2020","FQ4 2020","Currency=USD","Period=FQ","BEST_FPERIOD_OVERRIDE=FQ","FILING_STATUS=MR","SCALING_FORMAT=MLN","FA_ADJUSTED=GAAP","Sort=A","Dates=H","DateFormat=P","Fill=—","Direction=H","UseDPDF=Y")</f>
        <v>—</v>
      </c>
      <c r="I34" s="13" t="str">
        <f>_xll.BDH("NBIX US Equity","TRAIL_12M_FREE_CASH_FLOW_FIRM","FQ1 2021","FQ1 2021","Currency=USD","Period=FQ","BEST_FPERIOD_OVERRIDE=FQ","FILING_STATUS=MR","SCALING_FORMAT=MLN","FA_ADJUSTED=GAAP","Sort=A","Dates=H","DateFormat=P","Fill=—","Direction=H","UseDPDF=Y")</f>
        <v>—</v>
      </c>
      <c r="J34" s="13" t="str">
        <f>_xll.BDH("NBIX US Equity","TRAIL_12M_FREE_CASH_FLOW_FIRM","FQ2 2021","FQ2 2021","Currency=USD","Period=FQ","BEST_FPERIOD_OVERRIDE=FQ","FILING_STATUS=MR","SCALING_FORMAT=MLN","FA_ADJUSTED=GAAP","Sort=A","Dates=H","DateFormat=P","Fill=—","Direction=H","UseDPDF=Y")</f>
        <v>—</v>
      </c>
      <c r="K34" s="13" t="str">
        <f>_xll.BDH("NBIX US Equity","TRAIL_12M_FREE_CASH_FLOW_FIRM","FQ3 2021","FQ3 2021","Currency=USD","Period=FQ","BEST_FPERIOD_OVERRIDE=FQ","FILING_STATUS=MR","SCALING_FORMAT=MLN","FA_ADJUSTED=GAAP","Sort=A","Dates=H","DateFormat=P","Fill=—","Direction=H","UseDPDF=Y")</f>
        <v>—</v>
      </c>
      <c r="L34" s="13">
        <f>_xll.BDH("NBIX US Equity","TRAIL_12M_FREE_CASH_FLOW_FIRM","FQ4 2021","FQ4 2021","Currency=USD","Period=FQ","BEST_FPERIOD_OVERRIDE=FQ","FILING_STATUS=MR","SCALING_FORMAT=MLN","FA_ADJUSTED=GAAP","Sort=A","Dates=H","DateFormat=P","Fill=—","Direction=H","UseDPDF=Y")</f>
        <v>255.89760000000001</v>
      </c>
      <c r="M34" s="13">
        <f>_xll.BDH("NBIX US Equity","TRAIL_12M_FREE_CASH_FLOW_FIRM","FQ1 2022","FQ1 2022","Currency=USD","Period=FQ","BEST_FPERIOD_OVERRIDE=FQ","FILING_STATUS=MR","SCALING_FORMAT=MLN","FA_ADJUSTED=GAAP","Sort=A","Dates=H","DateFormat=P","Fill=—","Direction=H","UseDPDF=Y")</f>
        <v>118.631</v>
      </c>
      <c r="N34" s="13">
        <f>_xll.BDH("NBIX US Equity","TRAIL_12M_FREE_CASH_FLOW_FIRM","FQ2 2022","FQ2 2022","Currency=USD","Period=FQ","BEST_FPERIOD_OVERRIDE=FQ","FILING_STATUS=MR","SCALING_FORMAT=MLN","FA_ADJUSTED=GAAP","Sort=A","Dates=H","DateFormat=P","Fill=—","Direction=H","UseDPDF=Y")</f>
        <v>147.43780000000001</v>
      </c>
      <c r="O34" s="13" t="str">
        <f>_xll.BDH("NBIX US Equity","TRAIL_12M_FREE_CASH_FLOW_FIRM","FQ3 2022","FQ3 2022","Currency=USD","Period=FQ","BEST_FPERIOD_OVERRIDE=FQ","FILING_STATUS=MR","SCALING_FORMAT=MLN","FA_ADJUSTED=GAAP","Sort=A","Dates=H","DateFormat=P","Fill=—","Direction=H","UseDPDF=Y")</f>
        <v>—</v>
      </c>
      <c r="P34" s="13" t="str">
        <f>_xll.BDH("NBIX US Equity","TRAIL_12M_FREE_CASH_FLOW_FIRM","FQ4 2022","FQ4 2022","Currency=USD","Period=FQ","BEST_FPERIOD_OVERRIDE=FQ","FILING_STATUS=MR","SCALING_FORMAT=MLN","FA_ADJUSTED=GAAP","Sort=A","Dates=H","DateFormat=P","Fill=—","Direction=H","UseDPDF=Y")</f>
        <v>—</v>
      </c>
      <c r="Q34" s="13" t="str">
        <f>_xll.BDH("NBIX US Equity","TRAIL_12M_FREE_CASH_FLOW_FIRM","FQ1 2023","FQ1 2023","Currency=USD","Period=FQ","BEST_FPERIOD_OVERRIDE=FQ","FILING_STATUS=MR","SCALING_FORMAT=MLN","FA_ADJUSTED=GAAP","Sort=A","Dates=H","DateFormat=P","Fill=—","Direction=H","UseDPDF=Y")</f>
        <v>—</v>
      </c>
      <c r="R34" s="13" t="str">
        <f>_xll.BDH("NBIX US Equity","TRAIL_12M_FREE_CASH_FLOW_FIRM","FQ2 2023","FQ2 2023","Currency=USD","Period=FQ","BEST_FPERIOD_OVERRIDE=FQ","FILING_STATUS=MR","SCALING_FORMAT=MLN","FA_ADJUSTED=GAAP","Sort=A","Dates=H","DateFormat=P","Fill=—","Direction=H","UseDPDF=Y")</f>
        <v>—</v>
      </c>
      <c r="S34" s="13">
        <f>_xll.BDH("NBIX US Equity","TRAIL_12M_FREE_CASH_FLOW_FIRM","FQ3 2023","FQ3 2023","Currency=USD","Period=FQ","BEST_FPERIOD_OVERRIDE=FQ","FILING_STATUS=MR","SCALING_FORMAT=MLN","FA_ADJUSTED=GAAP","Sort=A","Dates=H","DateFormat=P","Fill=—","Direction=H","UseDPDF=Y")</f>
        <v>388.1893</v>
      </c>
      <c r="T34" s="13">
        <f>_xll.BDH("NBIX US Equity","TRAIL_12M_FREE_CASH_FLOW_FIRM","FQ4 2023","FQ4 2023","Currency=USD","Period=FQ","BEST_FPERIOD_OVERRIDE=FQ","FILING_STATUS=MR","SCALING_FORMAT=MLN","FA_ADJUSTED=GAAP","Sort=A","Dates=H","DateFormat=P","Fill=—","Direction=H","UseDPDF=Y")</f>
        <v>365.05869999999999</v>
      </c>
      <c r="U34" s="13">
        <f>_xll.BDH("NBIX US Equity","TRAIL_12M_FREE_CASH_FLOW_FIRM","FQ1 2024","FQ1 2024","Currency=USD","Period=FQ","BEST_FPERIOD_OVERRIDE=FQ","FILING_STATUS=MR","SCALING_FORMAT=MLN","FA_ADJUSTED=GAAP","Sort=A","Dates=H","DateFormat=P","Fill=—","Direction=H","UseDPDF=Y")</f>
        <v>618.01909999999998</v>
      </c>
      <c r="V34" s="13" t="str">
        <f>_xll.BDH("NBIX US Equity","TRAIL_12M_FREE_CASH_FLOW_FIRM","FQ2 2024","FQ2 2024","Currency=USD","Period=FQ","BEST_FPERIOD_OVERRIDE=FQ","FILING_STATUS=MR","SCALING_FORMAT=MLN","FA_ADJUSTED=GAAP","Sort=A","Dates=H","DateFormat=P","Fill=—","Direction=H","UseDPDF=Y")</f>
        <v>—</v>
      </c>
      <c r="W34" s="13" t="str">
        <f>_xll.BDH("NBIX US Equity","TRAIL_12M_FREE_CASH_FLOW_FIRM","FQ3 2024","FQ3 2024","Currency=USD","Period=FQ","BEST_FPERIOD_OVERRIDE=FQ","FILING_STATUS=MR","SCALING_FORMAT=MLN","FA_ADJUSTED=GAAP","Sort=A","Dates=H","DateFormat=P","Fill=—","Direction=H","UseDPDF=Y")</f>
        <v>—</v>
      </c>
      <c r="X34" s="13" t="str">
        <f>_xll.BDH("NBIX US Equity","TRAIL_12M_FREE_CASH_FLOW_FIRM","FQ4 2024","FQ4 2024","Currency=USD","Period=FQ","BEST_FPERIOD_OVERRIDE=FQ","FILING_STATUS=MR","SCALING_FORMAT=MLN","FA_ADJUSTED=GAAP","Sort=A","Dates=H","DateFormat=P","Fill=—","Direction=H","UseDPDF=Y")</f>
        <v>—</v>
      </c>
      <c r="Y34" s="16"/>
      <c r="Z34" s="13"/>
      <c r="AA34" s="13"/>
    </row>
    <row r="35" spans="1:27" x14ac:dyDescent="0.25">
      <c r="A35" s="7" t="s">
        <v>90</v>
      </c>
      <c r="B35" s="7"/>
      <c r="C35" s="7" t="s">
        <v>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9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206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6" t="s">
        <v>207</v>
      </c>
      <c r="B6" s="6" t="s">
        <v>208</v>
      </c>
      <c r="C6" s="20">
        <f>_xll.BDH("NBIX US Equity","PE_RATIO","FQ3 2019","FQ3 2019","Currency=USD","Period=FQ","BEST_FPERIOD_OVERRIDE=FQ","FILING_STATUS=MR","Sort=A","Dates=H","DateFormat=P","Fill=—","Direction=H","UseDPDF=Y")</f>
        <v>72.908799999999999</v>
      </c>
      <c r="D6" s="20">
        <f>_xll.BDH("NBIX US Equity","PE_RATIO","FQ4 2019","FQ4 2019","Currency=USD","Period=FQ","BEST_FPERIOD_OVERRIDE=FQ","FILING_STATUS=MR","Sort=A","Dates=H","DateFormat=P","Fill=—","Direction=H","UseDPDF=Y")</f>
        <v>58.505800000000001</v>
      </c>
      <c r="E6" s="20">
        <f>_xll.BDH("NBIX US Equity","PE_RATIO","FQ1 2020","FQ1 2020","Currency=USD","Period=FQ","BEST_FPERIOD_OVERRIDE=FQ","FILING_STATUS=MR","Sort=A","Dates=H","DateFormat=P","Fill=—","Direction=H","UseDPDF=Y")</f>
        <v>33.994399999999999</v>
      </c>
      <c r="F6" s="20">
        <f>_xll.BDH("NBIX US Equity","PE_RATIO","FQ2 2020","FQ2 2020","Currency=USD","Period=FQ","BEST_FPERIOD_OVERRIDE=FQ","FILING_STATUS=MR","Sort=A","Dates=H","DateFormat=P","Fill=—","Direction=H","UseDPDF=Y")</f>
        <v>36.948999999999998</v>
      </c>
      <c r="G6" s="20">
        <f>_xll.BDH("NBIX US Equity","PE_RATIO","FQ3 2020","FQ3 2020","Currency=USD","Period=FQ","BEST_FPERIOD_OVERRIDE=FQ","FILING_STATUS=MR","Sort=A","Dates=H","DateFormat=P","Fill=—","Direction=H","UseDPDF=Y")</f>
        <v>30.0291</v>
      </c>
      <c r="H6" s="20">
        <f>_xll.BDH("NBIX US Equity","PE_RATIO","FQ4 2020","FQ4 2020","Currency=USD","Period=FQ","BEST_FPERIOD_OVERRIDE=FQ","FILING_STATUS=MR","Sort=A","Dates=H","DateFormat=P","Fill=—","Direction=H","UseDPDF=Y")</f>
        <v>20.426200000000001</v>
      </c>
      <c r="I6" s="20">
        <f>_xll.BDH("NBIX US Equity","PE_RATIO","FQ1 2021","FQ1 2021","Currency=USD","Period=FQ","BEST_FPERIOD_OVERRIDE=FQ","FILING_STATUS=MR","Sort=A","Dates=H","DateFormat=P","Fill=—","Direction=H","UseDPDF=Y")</f>
        <v>21.778099999999998</v>
      </c>
      <c r="J6" s="20">
        <f>_xll.BDH("NBIX US Equity","PE_RATIO","FQ2 2021","FQ2 2021","Currency=USD","Period=FQ","BEST_FPERIOD_OVERRIDE=FQ","FILING_STATUS=MR","Sort=A","Dates=H","DateFormat=P","Fill=—","Direction=H","UseDPDF=Y")</f>
        <v>25.761299999999999</v>
      </c>
      <c r="K6" s="20">
        <f>_xll.BDH("NBIX US Equity","PE_RATIO","FQ3 2021","FQ3 2021","Currency=USD","Period=FQ","BEST_FPERIOD_OVERRIDE=FQ","FILING_STATUS=MR","Sort=A","Dates=H","DateFormat=P","Fill=—","Direction=H","UseDPDF=Y")</f>
        <v>28.2944</v>
      </c>
      <c r="L6" s="20">
        <f>_xll.BDH("NBIX US Equity","PE_RATIO","FQ4 2021","FQ4 2021","Currency=USD","Period=FQ","BEST_FPERIOD_OVERRIDE=FQ","FILING_STATUS=MR","Sort=A","Dates=H","DateFormat=P","Fill=—","Direction=H","UseDPDF=Y")</f>
        <v>52.359200000000001</v>
      </c>
      <c r="M6" s="20">
        <f>_xll.BDH("NBIX US Equity","PE_RATIO","FQ1 2022","FQ1 2022","Currency=USD","Period=FQ","BEST_FPERIOD_OVERRIDE=FQ","FILING_STATUS=MR","Sort=A","Dates=H","DateFormat=P","Fill=—","Direction=H","UseDPDF=Y")</f>
        <v>74.656499999999994</v>
      </c>
      <c r="N6" s="20">
        <f>_xll.BDH("NBIX US Equity","PE_RATIO","FQ2 2022","FQ2 2022","Currency=USD","Period=FQ","BEST_FPERIOD_OVERRIDE=FQ","FILING_STATUS=MR","Sort=A","Dates=H","DateFormat=P","Fill=—","Direction=H","UseDPDF=Y")</f>
        <v>147.27629999999999</v>
      </c>
      <c r="O6" s="20">
        <f>_xll.BDH("NBIX US Equity","PE_RATIO","FQ3 2022","FQ3 2022","Currency=USD","Period=FQ","BEST_FPERIOD_OVERRIDE=FQ","FILING_STATUS=MR","Sort=A","Dates=H","DateFormat=P","Fill=—","Direction=H","UseDPDF=Y")</f>
        <v>92.394099999999995</v>
      </c>
      <c r="P6" s="20">
        <f>_xll.BDH("NBIX US Equity","PE_RATIO","FQ4 2022","FQ4 2022","Currency=USD","Period=FQ","BEST_FPERIOD_OVERRIDE=FQ","FILING_STATUS=MR","Sort=A","Dates=H","DateFormat=P","Fill=—","Direction=H","UseDPDF=Y")</f>
        <v>78.514200000000002</v>
      </c>
      <c r="Q6" s="20">
        <f>_xll.BDH("NBIX US Equity","PE_RATIO","FQ1 2023","FQ1 2023","Currency=USD","Period=FQ","BEST_FPERIOD_OVERRIDE=FQ","FILING_STATUS=MR","Sort=A","Dates=H","DateFormat=P","Fill=—","Direction=H","UseDPDF=Y")</f>
        <v>52.438099999999999</v>
      </c>
      <c r="R6" s="20">
        <f>_xll.BDH("NBIX US Equity","PE_RATIO","FQ2 2023","FQ2 2023","Currency=USD","Period=FQ","BEST_FPERIOD_OVERRIDE=FQ","FILING_STATUS=MR","Sort=A","Dates=H","DateFormat=P","Fill=—","Direction=H","UseDPDF=Y")</f>
        <v>34.860799999999998</v>
      </c>
      <c r="S6" s="20">
        <f>_xll.BDH("NBIX US Equity","PE_RATIO","FQ3 2023","FQ3 2023","Currency=USD","Period=FQ","BEST_FPERIOD_OVERRIDE=FQ","FILING_STATUS=MR","Sort=A","Dates=H","DateFormat=P","Fill=—","Direction=H","UseDPDF=Y")</f>
        <v>34.358400000000003</v>
      </c>
      <c r="T6" s="20">
        <f>_xll.BDH("NBIX US Equity","PE_RATIO","FQ4 2023","FQ4 2023","Currency=USD","Period=FQ","BEST_FPERIOD_OVERRIDE=FQ","FILING_STATUS=MR","Sort=A","Dates=H","DateFormat=P","Fill=—","Direction=H","UseDPDF=Y")</f>
        <v>36.598999999999997</v>
      </c>
      <c r="U6" s="20">
        <f>_xll.BDH("NBIX US Equity","PE_RATIO","FQ1 2024","FQ1 2024","Currency=USD","Period=FQ","BEST_FPERIOD_OVERRIDE=FQ","FILING_STATUS=MR","Sort=A","Dates=H","DateFormat=P","Fill=—","Direction=H","UseDPDF=Y")</f>
        <v>37.362099999999998</v>
      </c>
      <c r="V6" s="20">
        <f>_xll.BDH("NBIX US Equity","PE_RATIO","FQ2 2024","FQ2 2024","Currency=USD","Period=FQ","BEST_FPERIOD_OVERRIDE=FQ","FILING_STATUS=MR","Sort=A","Dates=H","DateFormat=P","Fill=—","Direction=H","UseDPDF=Y")</f>
        <v>29.185400000000001</v>
      </c>
      <c r="W6" s="20">
        <f>_xll.BDH("NBIX US Equity","PE_RATIO","FQ3 2024","FQ3 2024","Currency=USD","Period=FQ","BEST_FPERIOD_OVERRIDE=FQ","FILING_STATUS=MR","Sort=A","Dates=H","DateFormat=P","Fill=—","Direction=H","UseDPDF=Y")</f>
        <v>23.721</v>
      </c>
      <c r="X6" s="20">
        <f>_xll.BDH("NBIX US Equity","PE_RATIO","FQ4 2024","FQ4 2024","Currency=USD","Period=FQ","BEST_FPERIOD_OVERRIDE=FQ","FILING_STATUS=MR","Sort=A","Dates=H","DateFormat=P","Fill=—","Direction=H","UseDPDF=Y")</f>
        <v>29.1494</v>
      </c>
      <c r="Y6" s="23">
        <v>24.1438546582187</v>
      </c>
      <c r="Z6" s="20">
        <v>19.296808329066401</v>
      </c>
      <c r="AA6" s="20">
        <v>16.831919011463501</v>
      </c>
    </row>
    <row r="7" spans="1:27" x14ac:dyDescent="0.25">
      <c r="A7" s="10" t="s">
        <v>209</v>
      </c>
      <c r="B7" s="10" t="s">
        <v>210</v>
      </c>
      <c r="C7" s="14">
        <f>_xll.BDH("NBIX US Equity","AVERAGE_PRICE_EARNINGS_RATIO","FQ3 2019","FQ3 2019","Currency=USD","Period=FQ","BEST_FPERIOD_OVERRIDE=FQ","FILING_STATUS=MR","Sort=A","Dates=H","DateFormat=P","Fill=—","Direction=H","UseDPDF=Y")</f>
        <v>96.793999999999997</v>
      </c>
      <c r="D7" s="14">
        <f>_xll.BDH("NBIX US Equity","AVERAGE_PRICE_EARNINGS_RATIO","FQ4 2019","FQ4 2019","Currency=USD","Period=FQ","BEST_FPERIOD_OVERRIDE=FQ","FILING_STATUS=MR","Sort=A","Dates=H","DateFormat=P","Fill=—","Direction=H","UseDPDF=Y")</f>
        <v>84.269900000000007</v>
      </c>
      <c r="E7" s="14">
        <f>_xll.BDH("NBIX US Equity","AVERAGE_PRICE_EARNINGS_RATIO","FQ1 2020","FQ1 2020","Currency=USD","Period=FQ","BEST_FPERIOD_OVERRIDE=FQ","FILING_STATUS=MR","Sort=A","Dates=H","DateFormat=P","Fill=—","Direction=H","UseDPDF=Y")</f>
        <v>53.055799999999998</v>
      </c>
      <c r="F7" s="14">
        <f>_xll.BDH("NBIX US Equity","AVERAGE_PRICE_EARNINGS_RATIO","FQ2 2020","FQ2 2020","Currency=USD","Period=FQ","BEST_FPERIOD_OVERRIDE=FQ","FILING_STATUS=MR","Sort=A","Dates=H","DateFormat=P","Fill=—","Direction=H","UseDPDF=Y")</f>
        <v>43.230499999999999</v>
      </c>
      <c r="G7" s="14">
        <f>_xll.BDH("NBIX US Equity","AVERAGE_PRICE_EARNINGS_RATIO","FQ3 2020","FQ3 2020","Currency=USD","Period=FQ","BEST_FPERIOD_OVERRIDE=FQ","FILING_STATUS=MR","Sort=A","Dates=H","DateFormat=P","Fill=—","Direction=H","UseDPDF=Y")</f>
        <v>35.047800000000002</v>
      </c>
      <c r="H7" s="14">
        <f>_xll.BDH("NBIX US Equity","AVERAGE_PRICE_EARNINGS_RATIO","FQ4 2020","FQ4 2020","Currency=USD","Period=FQ","BEST_FPERIOD_OVERRIDE=FQ","FILING_STATUS=MR","Sort=A","Dates=H","DateFormat=P","Fill=—","Direction=H","UseDPDF=Y")</f>
        <v>30.0136</v>
      </c>
      <c r="I7" s="14">
        <f>_xll.BDH("NBIX US Equity","AVERAGE_PRICE_EARNINGS_RATIO","FQ1 2021","FQ1 2021","Currency=USD","Period=FQ","BEST_FPERIOD_OVERRIDE=FQ","FILING_STATUS=MR","Sort=A","Dates=H","DateFormat=P","Fill=—","Direction=H","UseDPDF=Y")</f>
        <v>22.363900000000001</v>
      </c>
      <c r="J7" s="14">
        <f>_xll.BDH("NBIX US Equity","AVERAGE_PRICE_EARNINGS_RATIO","FQ2 2021","FQ2 2021","Currency=USD","Period=FQ","BEST_FPERIOD_OVERRIDE=FQ","FILING_STATUS=MR","Sort=A","Dates=H","DateFormat=P","Fill=—","Direction=H","UseDPDF=Y")</f>
        <v>21.5274</v>
      </c>
      <c r="K7" s="14">
        <f>_xll.BDH("NBIX US Equity","AVERAGE_PRICE_EARNINGS_RATIO","FQ3 2021","FQ3 2021","Currency=USD","Period=FQ","BEST_FPERIOD_OVERRIDE=FQ","FILING_STATUS=MR","Sort=A","Dates=H","DateFormat=P","Fill=—","Direction=H","UseDPDF=Y")</f>
        <v>25.0489</v>
      </c>
      <c r="L7" s="14">
        <f>_xll.BDH("NBIX US Equity","AVERAGE_PRICE_EARNINGS_RATIO","FQ4 2021","FQ4 2021","Currency=USD","Period=FQ","BEST_FPERIOD_OVERRIDE=FQ","FILING_STATUS=MR","Sort=A","Dates=H","DateFormat=P","Fill=—","Direction=H","UseDPDF=Y")</f>
        <v>27.5627</v>
      </c>
      <c r="M7" s="14">
        <f>_xll.BDH("NBIX US Equity","AVERAGE_PRICE_EARNINGS_RATIO","FQ1 2022","FQ1 2022","Currency=USD","Period=FQ","BEST_FPERIOD_OVERRIDE=FQ","FILING_STATUS=MR","Sort=A","Dates=H","DateFormat=P","Fill=—","Direction=H","UseDPDF=Y")</f>
        <v>52.3752</v>
      </c>
      <c r="N7" s="14">
        <f>_xll.BDH("NBIX US Equity","AVERAGE_PRICE_EARNINGS_RATIO","FQ2 2022","FQ2 2022","Currency=USD","Period=FQ","BEST_FPERIOD_OVERRIDE=FQ","FILING_STATUS=MR","Sort=A","Dates=H","DateFormat=P","Fill=—","Direction=H","UseDPDF=Y")</f>
        <v>74.620699999999999</v>
      </c>
      <c r="O7" s="14">
        <f>_xll.BDH("NBIX US Equity","AVERAGE_PRICE_EARNINGS_RATIO","FQ3 2022","FQ3 2022","Currency=USD","Period=FQ","BEST_FPERIOD_OVERRIDE=FQ","FILING_STATUS=MR","Sort=A","Dates=H","DateFormat=P","Fill=—","Direction=H","UseDPDF=Y")</f>
        <v>152.23320000000001</v>
      </c>
      <c r="P7" s="14">
        <f>_xll.BDH("NBIX US Equity","AVERAGE_PRICE_EARNINGS_RATIO","FQ4 2022","FQ4 2022","Currency=USD","Period=FQ","BEST_FPERIOD_OVERRIDE=FQ","FILING_STATUS=MR","Sort=A","Dates=H","DateFormat=P","Fill=—","Direction=H","UseDPDF=Y")</f>
        <v>101.48909999999999</v>
      </c>
      <c r="Q7" s="14">
        <f>_xll.BDH("NBIX US Equity","AVERAGE_PRICE_EARNINGS_RATIO","FQ1 2023","FQ1 2023","Currency=USD","Period=FQ","BEST_FPERIOD_OVERRIDE=FQ","FILING_STATUS=MR","Sort=A","Dates=H","DateFormat=P","Fill=—","Direction=H","UseDPDF=Y")</f>
        <v>68.176900000000003</v>
      </c>
      <c r="R7" s="14">
        <f>_xll.BDH("NBIX US Equity","AVERAGE_PRICE_EARNINGS_RATIO","FQ2 2023","FQ2 2023","Currency=USD","Period=FQ","BEST_FPERIOD_OVERRIDE=FQ","FILING_STATUS=MR","Sort=A","Dates=H","DateFormat=P","Fill=—","Direction=H","UseDPDF=Y")</f>
        <v>50.392800000000001</v>
      </c>
      <c r="S7" s="14">
        <f>_xll.BDH("NBIX US Equity","AVERAGE_PRICE_EARNINGS_RATIO","FQ3 2023","FQ3 2023","Currency=USD","Period=FQ","BEST_FPERIOD_OVERRIDE=FQ","FILING_STATUS=MR","Sort=A","Dates=H","DateFormat=P","Fill=—","Direction=H","UseDPDF=Y")</f>
        <v>38.813099999999999</v>
      </c>
      <c r="T7" s="14">
        <f>_xll.BDH("NBIX US Equity","AVERAGE_PRICE_EARNINGS_RATIO","FQ4 2023","FQ4 2023","Currency=USD","Period=FQ","BEST_FPERIOD_OVERRIDE=FQ","FILING_STATUS=MR","Sort=A","Dates=H","DateFormat=P","Fill=—","Direction=H","UseDPDF=Y")</f>
        <v>35.096699999999998</v>
      </c>
      <c r="U7" s="14">
        <f>_xll.BDH("NBIX US Equity","AVERAGE_PRICE_EARNINGS_RATIO","FQ1 2024","FQ1 2024","Currency=USD","Period=FQ","BEST_FPERIOD_OVERRIDE=FQ","FILING_STATUS=MR","Sort=A","Dates=H","DateFormat=P","Fill=—","Direction=H","UseDPDF=Y")</f>
        <v>37.919800000000002</v>
      </c>
      <c r="V7" s="14">
        <f>_xll.BDH("NBIX US Equity","AVERAGE_PRICE_EARNINGS_RATIO","FQ2 2024","FQ2 2024","Currency=USD","Period=FQ","BEST_FPERIOD_OVERRIDE=FQ","FILING_STATUS=MR","Sort=A","Dates=H","DateFormat=P","Fill=—","Direction=H","UseDPDF=Y")</f>
        <v>37.021599999999999</v>
      </c>
      <c r="W7" s="14">
        <f>_xll.BDH("NBIX US Equity","AVERAGE_PRICE_EARNINGS_RATIO","FQ3 2024","FQ3 2024","Currency=USD","Period=FQ","BEST_FPERIOD_OVERRIDE=FQ","FILING_STATUS=MR","Sort=A","Dates=H","DateFormat=P","Fill=—","Direction=H","UseDPDF=Y")</f>
        <v>29.051500000000001</v>
      </c>
      <c r="X7" s="14">
        <f>_xll.BDH("NBIX US Equity","AVERAGE_PRICE_EARNINGS_RATIO","FQ4 2024","FQ4 2024","Currency=USD","Period=FQ","BEST_FPERIOD_OVERRIDE=FQ","FILING_STATUS=MR","Sort=A","Dates=H","DateFormat=P","Fill=—","Direction=H","UseDPDF=Y")</f>
        <v>25.4801</v>
      </c>
      <c r="Y7" s="17"/>
      <c r="Z7" s="14"/>
      <c r="AA7" s="14"/>
    </row>
    <row r="8" spans="1:27" x14ac:dyDescent="0.25">
      <c r="A8" s="10" t="s">
        <v>211</v>
      </c>
      <c r="B8" s="10" t="s">
        <v>212</v>
      </c>
      <c r="C8" s="14">
        <f>_xll.BDH("NBIX US Equity","PX_ERN_RATIO_WITH_HIGH_CLOS_PX","FQ3 2019","FQ3 2019","Currency=USD","Period=FQ","BEST_FPERIOD_OVERRIDE=FQ","FILING_STATUS=MR","Sort=A","Dates=H","DateFormat=P","Fill=—","Direction=H","UseDPDF=Y")</f>
        <v>105.5106</v>
      </c>
      <c r="D8" s="14">
        <f>_xll.BDH("NBIX US Equity","PX_ERN_RATIO_WITH_HIGH_CLOS_PX","FQ4 2019","FQ4 2019","Currency=USD","Period=FQ","BEST_FPERIOD_OVERRIDE=FQ","FILING_STATUS=MR","Sort=A","Dates=H","DateFormat=P","Fill=—","Direction=H","UseDPDF=Y")</f>
        <v>95.936000000000007</v>
      </c>
      <c r="E8" s="14">
        <f>_xll.BDH("NBIX US Equity","PX_ERN_RATIO_WITH_HIGH_CLOS_PX","FQ1 2020","FQ1 2020","Currency=USD","Period=FQ","BEST_FPERIOD_OVERRIDE=FQ","FILING_STATUS=MR","Sort=A","Dates=H","DateFormat=P","Fill=—","Direction=H","UseDPDF=Y")</f>
        <v>61.918500000000002</v>
      </c>
      <c r="F8" s="14">
        <f>_xll.BDH("NBIX US Equity","PX_ERN_RATIO_WITH_HIGH_CLOS_PX","FQ2 2020","FQ2 2020","Currency=USD","Period=FQ","BEST_FPERIOD_OVERRIDE=FQ","FILING_STATUS=MR","Sort=A","Dates=H","DateFormat=P","Fill=—","Direction=H","UseDPDF=Y")</f>
        <v>51.201700000000002</v>
      </c>
      <c r="G8" s="14">
        <f>_xll.BDH("NBIX US Equity","PX_ERN_RATIO_WITH_HIGH_CLOS_PX","FQ3 2020","FQ3 2020","Currency=USD","Period=FQ","BEST_FPERIOD_OVERRIDE=FQ","FILING_STATUS=MR","Sort=A","Dates=H","DateFormat=P","Fill=—","Direction=H","UseDPDF=Y")</f>
        <v>40.931600000000003</v>
      </c>
      <c r="H8" s="14">
        <f>_xll.BDH("NBIX US Equity","PX_ERN_RATIO_WITH_HIGH_CLOS_PX","FQ4 2020","FQ4 2020","Currency=USD","Period=FQ","BEST_FPERIOD_OVERRIDE=FQ","FILING_STATUS=MR","Sort=A","Dates=H","DateFormat=P","Fill=—","Direction=H","UseDPDF=Y")</f>
        <v>33.829599999999999</v>
      </c>
      <c r="I8" s="14">
        <f>_xll.BDH("NBIX US Equity","PX_ERN_RATIO_WITH_HIGH_CLOS_PX","FQ1 2021","FQ1 2021","Currency=USD","Period=FQ","BEST_FPERIOD_OVERRIDE=FQ","FILING_STATUS=MR","Sort=A","Dates=H","DateFormat=P","Fill=—","Direction=H","UseDPDF=Y")</f>
        <v>25.444800000000001</v>
      </c>
      <c r="J8" s="14">
        <f>_xll.BDH("NBIX US Equity","PX_ERN_RATIO_WITH_HIGH_CLOS_PX","FQ2 2021","FQ2 2021","Currency=USD","Period=FQ","BEST_FPERIOD_OVERRIDE=FQ","FILING_STATUS=MR","Sort=A","Dates=H","DateFormat=P","Fill=—","Direction=H","UseDPDF=Y")</f>
        <v>25.761299999999999</v>
      </c>
      <c r="K8" s="14">
        <f>_xll.BDH("NBIX US Equity","PX_ERN_RATIO_WITH_HIGH_CLOS_PX","FQ3 2021","FQ3 2021","Currency=USD","Period=FQ","BEST_FPERIOD_OVERRIDE=FQ","FILING_STATUS=MR","Sort=A","Dates=H","DateFormat=P","Fill=—","Direction=H","UseDPDF=Y")</f>
        <v>28.2944</v>
      </c>
      <c r="L8" s="14">
        <f>_xll.BDH("NBIX US Equity","PX_ERN_RATIO_WITH_HIGH_CLOS_PX","FQ4 2021","FQ4 2021","Currency=USD","Period=FQ","BEST_FPERIOD_OVERRIDE=FQ","FILING_STATUS=MR","Sort=A","Dates=H","DateFormat=P","Fill=—","Direction=H","UseDPDF=Y")</f>
        <v>52.359200000000001</v>
      </c>
      <c r="M8" s="14">
        <f>_xll.BDH("NBIX US Equity","PX_ERN_RATIO_WITH_HIGH_CLOS_PX","FQ1 2022","FQ1 2022","Currency=USD","Period=FQ","BEST_FPERIOD_OVERRIDE=FQ","FILING_STATUS=MR","Sort=A","Dates=H","DateFormat=P","Fill=—","Direction=H","UseDPDF=Y")</f>
        <v>74.656499999999994</v>
      </c>
      <c r="N8" s="14">
        <f>_xll.BDH("NBIX US Equity","PX_ERN_RATIO_WITH_HIGH_CLOS_PX","FQ2 2022","FQ2 2022","Currency=USD","Period=FQ","BEST_FPERIOD_OVERRIDE=FQ","FILING_STATUS=MR","Sort=A","Dates=H","DateFormat=P","Fill=—","Direction=H","UseDPDF=Y")</f>
        <v>147.27629999999999</v>
      </c>
      <c r="O8" s="14">
        <f>_xll.BDH("NBIX US Equity","PX_ERN_RATIO_WITH_HIGH_CLOS_PX","FQ3 2022","FQ3 2022","Currency=USD","Period=FQ","BEST_FPERIOD_OVERRIDE=FQ","FILING_STATUS=MR","Sort=A","Dates=H","DateFormat=P","Fill=—","Direction=H","UseDPDF=Y")</f>
        <v>162.88329999999999</v>
      </c>
      <c r="P8" s="14">
        <f>_xll.BDH("NBIX US Equity","PX_ERN_RATIO_WITH_HIGH_CLOS_PX","FQ4 2022","FQ4 2022","Currency=USD","Period=FQ","BEST_FPERIOD_OVERRIDE=FQ","FILING_STATUS=MR","Sort=A","Dates=H","DateFormat=P","Fill=—","Direction=H","UseDPDF=Y")</f>
        <v>110.53189999999999</v>
      </c>
      <c r="Q8" s="14">
        <f>_xll.BDH("NBIX US Equity","PX_ERN_RATIO_WITH_HIGH_CLOS_PX","FQ1 2023","FQ1 2023","Currency=USD","Period=FQ","BEST_FPERIOD_OVERRIDE=FQ","FILING_STATUS=MR","Sort=A","Dates=H","DateFormat=P","Fill=—","Direction=H","UseDPDF=Y")</f>
        <v>80.867500000000007</v>
      </c>
      <c r="R8" s="14">
        <f>_xll.BDH("NBIX US Equity","PX_ERN_RATIO_WITH_HIGH_CLOS_PX","FQ2 2023","FQ2 2023","Currency=USD","Period=FQ","BEST_FPERIOD_OVERRIDE=FQ","FILING_STATUS=MR","Sort=A","Dates=H","DateFormat=P","Fill=—","Direction=H","UseDPDF=Y")</f>
        <v>54.329000000000001</v>
      </c>
      <c r="S8" s="14">
        <f>_xll.BDH("NBIX US Equity","PX_ERN_RATIO_WITH_HIGH_CLOS_PX","FQ3 2023","FQ3 2023","Currency=USD","Period=FQ","BEST_FPERIOD_OVERRIDE=FQ","FILING_STATUS=MR","Sort=A","Dates=H","DateFormat=P","Fill=—","Direction=H","UseDPDF=Y")</f>
        <v>43.289499999999997</v>
      </c>
      <c r="T8" s="14">
        <f>_xll.BDH("NBIX US Equity","PX_ERN_RATIO_WITH_HIGH_CLOS_PX","FQ4 2023","FQ4 2023","Currency=USD","Period=FQ","BEST_FPERIOD_OVERRIDE=FQ","FILING_STATUS=MR","Sort=A","Dates=H","DateFormat=P","Fill=—","Direction=H","UseDPDF=Y")</f>
        <v>40.545999999999999</v>
      </c>
      <c r="U8" s="14">
        <f>_xll.BDH("NBIX US Equity","PX_ERN_RATIO_WITH_HIGH_CLOS_PX","FQ1 2024","FQ1 2024","Currency=USD","Period=FQ","BEST_FPERIOD_OVERRIDE=FQ","FILING_STATUS=MR","Sort=A","Dates=H","DateFormat=P","Fill=—","Direction=H","UseDPDF=Y")</f>
        <v>39.926699999999997</v>
      </c>
      <c r="V8" s="14">
        <f>_xll.BDH("NBIX US Equity","PX_ERN_RATIO_WITH_HIGH_CLOS_PX","FQ2 2024","FQ2 2024","Currency=USD","Period=FQ","BEST_FPERIOD_OVERRIDE=FQ","FILING_STATUS=MR","Sort=A","Dates=H","DateFormat=P","Fill=—","Direction=H","UseDPDF=Y")</f>
        <v>38.789700000000003</v>
      </c>
      <c r="W8" s="14">
        <f>_xll.BDH("NBIX US Equity","PX_ERN_RATIO_WITH_HIGH_CLOS_PX","FQ3 2024","FQ3 2024","Currency=USD","Period=FQ","BEST_FPERIOD_OVERRIDE=FQ","FILING_STATUS=MR","Sort=A","Dates=H","DateFormat=P","Fill=—","Direction=H","UseDPDF=Y")</f>
        <v>32.467100000000002</v>
      </c>
      <c r="X8" s="14">
        <f>_xll.BDH("NBIX US Equity","PX_ERN_RATIO_WITH_HIGH_CLOS_PX","FQ4 2024","FQ4 2024","Currency=USD","Period=FQ","BEST_FPERIOD_OVERRIDE=FQ","FILING_STATUS=MR","Sort=A","Dates=H","DateFormat=P","Fill=—","Direction=H","UseDPDF=Y")</f>
        <v>29.1494</v>
      </c>
      <c r="Y8" s="17"/>
      <c r="Z8" s="14"/>
      <c r="AA8" s="14"/>
    </row>
    <row r="9" spans="1:27" x14ac:dyDescent="0.25">
      <c r="A9" s="10" t="s">
        <v>213</v>
      </c>
      <c r="B9" s="10" t="s">
        <v>214</v>
      </c>
      <c r="C9" s="14">
        <f>_xll.BDH("NBIX US Equity","PX_ERN_RATIO_WITH_LOW_CLOS_PX","FQ3 2019","FQ3 2019","Currency=USD","Period=FQ","BEST_FPERIOD_OVERRIDE=FQ","FILING_STATUS=MR","Sort=A","Dates=H","DateFormat=P","Fill=—","Direction=H","UseDPDF=Y")</f>
        <v>72.908799999999999</v>
      </c>
      <c r="D9" s="14">
        <f>_xll.BDH("NBIX US Equity","PX_ERN_RATIO_WITH_LOW_CLOS_PX","FQ4 2019","FQ4 2019","Currency=USD","Period=FQ","BEST_FPERIOD_OVERRIDE=FQ","FILING_STATUS=MR","Sort=A","Dates=H","DateFormat=P","Fill=—","Direction=H","UseDPDF=Y")</f>
        <v>58.505800000000001</v>
      </c>
      <c r="E9" s="14">
        <f>_xll.BDH("NBIX US Equity","PX_ERN_RATIO_WITH_LOW_CLOS_PX","FQ1 2020","FQ1 2020","Currency=USD","Period=FQ","BEST_FPERIOD_OVERRIDE=FQ","FILING_STATUS=MR","Sort=A","Dates=H","DateFormat=P","Fill=—","Direction=H","UseDPDF=Y")</f>
        <v>33.994399999999999</v>
      </c>
      <c r="F9" s="14">
        <f>_xll.BDH("NBIX US Equity","PX_ERN_RATIO_WITH_LOW_CLOS_PX","FQ2 2020","FQ2 2020","Currency=USD","Period=FQ","BEST_FPERIOD_OVERRIDE=FQ","FILING_STATUS=MR","Sort=A","Dates=H","DateFormat=P","Fill=—","Direction=H","UseDPDF=Y")</f>
        <v>33.420900000000003</v>
      </c>
      <c r="G9" s="14">
        <f>_xll.BDH("NBIX US Equity","PX_ERN_RATIO_WITH_LOW_CLOS_PX","FQ3 2020","FQ3 2020","Currency=USD","Period=FQ","BEST_FPERIOD_OVERRIDE=FQ","FILING_STATUS=MR","Sort=A","Dates=H","DateFormat=P","Fill=—","Direction=H","UseDPDF=Y")</f>
        <v>29.4986</v>
      </c>
      <c r="H9" s="14">
        <f>_xll.BDH("NBIX US Equity","PX_ERN_RATIO_WITH_LOW_CLOS_PX","FQ4 2020","FQ4 2020","Currency=USD","Period=FQ","BEST_FPERIOD_OVERRIDE=FQ","FILING_STATUS=MR","Sort=A","Dates=H","DateFormat=P","Fill=—","Direction=H","UseDPDF=Y")</f>
        <v>20.426200000000001</v>
      </c>
      <c r="I9" s="14">
        <f>_xll.BDH("NBIX US Equity","PX_ERN_RATIO_WITH_LOW_CLOS_PX","FQ1 2021","FQ1 2021","Currency=USD","Period=FQ","BEST_FPERIOD_OVERRIDE=FQ","FILING_STATUS=MR","Sort=A","Dates=H","DateFormat=P","Fill=—","Direction=H","UseDPDF=Y")</f>
        <v>18.6616</v>
      </c>
      <c r="J9" s="14">
        <f>_xll.BDH("NBIX US Equity","PX_ERN_RATIO_WITH_LOW_CLOS_PX","FQ2 2021","FQ2 2021","Currency=USD","Period=FQ","BEST_FPERIOD_OVERRIDE=FQ","FILING_STATUS=MR","Sort=A","Dates=H","DateFormat=P","Fill=—","Direction=H","UseDPDF=Y")</f>
        <v>20.026900000000001</v>
      </c>
      <c r="K9" s="14">
        <f>_xll.BDH("NBIX US Equity","PX_ERN_RATIO_WITH_LOW_CLOS_PX","FQ3 2021","FQ3 2021","Currency=USD","Period=FQ","BEST_FPERIOD_OVERRIDE=FQ","FILING_STATUS=MR","Sort=A","Dates=H","DateFormat=P","Fill=—","Direction=H","UseDPDF=Y")</f>
        <v>22.8125</v>
      </c>
      <c r="L9" s="14">
        <f>_xll.BDH("NBIX US Equity","PX_ERN_RATIO_WITH_LOW_CLOS_PX","FQ4 2021","FQ4 2021","Currency=USD","Period=FQ","BEST_FPERIOD_OVERRIDE=FQ","FILING_STATUS=MR","Sort=A","Dates=H","DateFormat=P","Fill=—","Direction=H","UseDPDF=Y")</f>
        <v>23.497499999999999</v>
      </c>
      <c r="M9" s="14">
        <f>_xll.BDH("NBIX US Equity","PX_ERN_RATIO_WITH_LOW_CLOS_PX","FQ1 2022","FQ1 2022","Currency=USD","Period=FQ","BEST_FPERIOD_OVERRIDE=FQ","FILING_STATUS=MR","Sort=A","Dates=H","DateFormat=P","Fill=—","Direction=H","UseDPDF=Y")</f>
        <v>44.539499999999997</v>
      </c>
      <c r="N9" s="14">
        <f>_xll.BDH("NBIX US Equity","PX_ERN_RATIO_WITH_LOW_CLOS_PX","FQ2 2022","FQ2 2022","Currency=USD","Period=FQ","BEST_FPERIOD_OVERRIDE=FQ","FILING_STATUS=MR","Sort=A","Dates=H","DateFormat=P","Fill=—","Direction=H","UseDPDF=Y")</f>
        <v>60.354300000000002</v>
      </c>
      <c r="O9" s="14">
        <f>_xll.BDH("NBIX US Equity","PX_ERN_RATIO_WITH_LOW_CLOS_PX","FQ3 2022","FQ3 2022","Currency=USD","Period=FQ","BEST_FPERIOD_OVERRIDE=FQ","FILING_STATUS=MR","Sort=A","Dates=H","DateFormat=P","Fill=—","Direction=H","UseDPDF=Y")</f>
        <v>92.394099999999995</v>
      </c>
      <c r="P9" s="14">
        <f>_xll.BDH("NBIX US Equity","PX_ERN_RATIO_WITH_LOW_CLOS_PX","FQ4 2022","FQ4 2022","Currency=USD","Period=FQ","BEST_FPERIOD_OVERRIDE=FQ","FILING_STATUS=MR","Sort=A","Dates=H","DateFormat=P","Fill=—","Direction=H","UseDPDF=Y")</f>
        <v>78.514200000000002</v>
      </c>
      <c r="Q9" s="14">
        <f>_xll.BDH("NBIX US Equity","PX_ERN_RATIO_WITH_LOW_CLOS_PX","FQ1 2023","FQ1 2023","Currency=USD","Period=FQ","BEST_FPERIOD_OVERRIDE=FQ","FILING_STATUS=MR","Sort=A","Dates=H","DateFormat=P","Fill=—","Direction=H","UseDPDF=Y")</f>
        <v>52.438099999999999</v>
      </c>
      <c r="R9" s="14">
        <f>_xll.BDH("NBIX US Equity","PX_ERN_RATIO_WITH_LOW_CLOS_PX","FQ2 2023","FQ2 2023","Currency=USD","Period=FQ","BEST_FPERIOD_OVERRIDE=FQ","FILING_STATUS=MR","Sort=A","Dates=H","DateFormat=P","Fill=—","Direction=H","UseDPDF=Y")</f>
        <v>34.860799999999998</v>
      </c>
      <c r="S9" s="14">
        <f>_xll.BDH("NBIX US Equity","PX_ERN_RATIO_WITH_LOW_CLOS_PX","FQ3 2023","FQ3 2023","Currency=USD","Period=FQ","BEST_FPERIOD_OVERRIDE=FQ","FILING_STATUS=MR","Sort=A","Dates=H","DateFormat=P","Fill=—","Direction=H","UseDPDF=Y")</f>
        <v>34.358400000000003</v>
      </c>
      <c r="T9" s="14">
        <f>_xll.BDH("NBIX US Equity","PX_ERN_RATIO_WITH_LOW_CLOS_PX","FQ4 2023","FQ4 2023","Currency=USD","Period=FQ","BEST_FPERIOD_OVERRIDE=FQ","FILING_STATUS=MR","Sort=A","Dates=H","DateFormat=P","Fill=—","Direction=H","UseDPDF=Y")</f>
        <v>32.3947</v>
      </c>
      <c r="U9" s="14">
        <f>_xll.BDH("NBIX US Equity","PX_ERN_RATIO_WITH_LOW_CLOS_PX","FQ1 2024","FQ1 2024","Currency=USD","Period=FQ","BEST_FPERIOD_OVERRIDE=FQ","FILING_STATUS=MR","Sort=A","Dates=H","DateFormat=P","Fill=—","Direction=H","UseDPDF=Y")</f>
        <v>36.221200000000003</v>
      </c>
      <c r="V9" s="14">
        <f>_xll.BDH("NBIX US Equity","PX_ERN_RATIO_WITH_LOW_CLOS_PX","FQ2 2024","FQ2 2024","Currency=USD","Period=FQ","BEST_FPERIOD_OVERRIDE=FQ","FILING_STATUS=MR","Sort=A","Dates=H","DateFormat=P","Fill=—","Direction=H","UseDPDF=Y")</f>
        <v>29.185400000000001</v>
      </c>
      <c r="W9" s="14">
        <f>_xll.BDH("NBIX US Equity","PX_ERN_RATIO_WITH_LOW_CLOS_PX","FQ3 2024","FQ3 2024","Currency=USD","Period=FQ","BEST_FPERIOD_OVERRIDE=FQ","FILING_STATUS=MR","Sort=A","Dates=H","DateFormat=P","Fill=—","Direction=H","UseDPDF=Y")</f>
        <v>23.721</v>
      </c>
      <c r="X9" s="14">
        <f>_xll.BDH("NBIX US Equity","PX_ERN_RATIO_WITH_LOW_CLOS_PX","FQ4 2024","FQ4 2024","Currency=USD","Period=FQ","BEST_FPERIOD_OVERRIDE=FQ","FILING_STATUS=MR","Sort=A","Dates=H","DateFormat=P","Fill=—","Direction=H","UseDPDF=Y")</f>
        <v>22.979900000000001</v>
      </c>
      <c r="Y9" s="17"/>
      <c r="Z9" s="14"/>
      <c r="AA9" s="14"/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21"/>
      <c r="Z10" s="18"/>
      <c r="AA10" s="18"/>
    </row>
    <row r="11" spans="1:27" x14ac:dyDescent="0.25">
      <c r="A11" s="6" t="s">
        <v>215</v>
      </c>
      <c r="B11" s="6" t="s">
        <v>216</v>
      </c>
      <c r="C11" s="20">
        <f>_xll.BDH("NBIX US Equity","PX_TO_BOOK_RATIO","FQ3 2019","FQ3 2019","Currency=USD","Period=FQ","BEST_FPERIOD_OVERRIDE=FQ","FILING_STATUS=MR","Sort=A","Dates=H","DateFormat=P","Fill=—","Direction=H","UseDPDF=Y")</f>
        <v>14.442299999999999</v>
      </c>
      <c r="D11" s="20">
        <f>_xll.BDH("NBIX US Equity","PX_TO_BOOK_RATIO","FQ4 2019","FQ4 2019","Currency=USD","Period=FQ","BEST_FPERIOD_OVERRIDE=FQ","FILING_STATUS=MR","Sort=A","Dates=H","DateFormat=P","Fill=—","Direction=H","UseDPDF=Y")</f>
        <v>15.577500000000001</v>
      </c>
      <c r="E11" s="20">
        <f>_xll.BDH("NBIX US Equity","PX_TO_BOOK_RATIO","FQ1 2020","FQ1 2020","Currency=USD","Period=FQ","BEST_FPERIOD_OVERRIDE=FQ","FILING_STATUS=MR","Sort=A","Dates=H","DateFormat=P","Fill=—","Direction=H","UseDPDF=Y")</f>
        <v>11.469099999999999</v>
      </c>
      <c r="F11" s="20">
        <f>_xll.BDH("NBIX US Equity","PX_TO_BOOK_RATIO","FQ2 2020","FQ2 2020","Currency=USD","Period=FQ","BEST_FPERIOD_OVERRIDE=FQ","FILING_STATUS=MR","Sort=A","Dates=H","DateFormat=P","Fill=—","Direction=H","UseDPDF=Y")</f>
        <v>13.679500000000001</v>
      </c>
      <c r="G11" s="20">
        <f>_xll.BDH("NBIX US Equity","PX_TO_BOOK_RATIO","FQ3 2020","FQ3 2020","Currency=USD","Period=FQ","BEST_FPERIOD_OVERRIDE=FQ","FILING_STATUS=MR","Sort=A","Dates=H","DateFormat=P","Fill=—","Direction=H","UseDPDF=Y")</f>
        <v>11.166700000000001</v>
      </c>
      <c r="H11" s="20">
        <f>_xll.BDH("NBIX US Equity","PX_TO_BOOK_RATIO","FQ4 2020","FQ4 2020","Currency=USD","Period=FQ","BEST_FPERIOD_OVERRIDE=FQ","FILING_STATUS=MR","Sort=A","Dates=H","DateFormat=P","Fill=—","Direction=H","UseDPDF=Y")</f>
        <v>7.9577</v>
      </c>
      <c r="I11" s="20">
        <f>_xll.BDH("NBIX US Equity","PX_TO_BOOK_RATIO","FQ1 2021","FQ1 2021","Currency=USD","Period=FQ","BEST_FPERIOD_OVERRIDE=FQ","FILING_STATUS=MR","Sort=A","Dates=H","DateFormat=P","Fill=—","Direction=H","UseDPDF=Y")</f>
        <v>7.6228999999999996</v>
      </c>
      <c r="J11" s="20">
        <f>_xll.BDH("NBIX US Equity","PX_TO_BOOK_RATIO","FQ2 2021","FQ2 2021","Currency=USD","Period=FQ","BEST_FPERIOD_OVERRIDE=FQ","FILING_STATUS=MR","Sort=A","Dates=H","DateFormat=P","Fill=—","Direction=H","UseDPDF=Y")</f>
        <v>7.1970999999999998</v>
      </c>
      <c r="K11" s="20">
        <f>_xll.BDH("NBIX US Equity","PX_TO_BOOK_RATIO","FQ3 2021","FQ3 2021","Currency=USD","Period=FQ","BEST_FPERIOD_OVERRIDE=FQ","FILING_STATUS=MR","Sort=A","Dates=H","DateFormat=P","Fill=—","Direction=H","UseDPDF=Y")</f>
        <v>6.7549999999999999</v>
      </c>
      <c r="L11" s="20">
        <f>_xll.BDH("NBIX US Equity","PX_TO_BOOK_RATIO","FQ4 2021","FQ4 2021","Currency=USD","Period=FQ","BEST_FPERIOD_OVERRIDE=FQ","FILING_STATUS=MR","Sort=A","Dates=H","DateFormat=P","Fill=—","Direction=H","UseDPDF=Y")</f>
        <v>5.8826000000000001</v>
      </c>
      <c r="M11" s="20">
        <f>_xll.BDH("NBIX US Equity","PX_TO_BOOK_RATIO","FQ1 2022","FQ1 2022","Currency=USD","Period=FQ","BEST_FPERIOD_OVERRIDE=FQ","FILING_STATUS=MR","Sort=A","Dates=H","DateFormat=P","Fill=—","Direction=H","UseDPDF=Y")</f>
        <v>6.4359999999999999</v>
      </c>
      <c r="N11" s="20">
        <f>_xll.BDH("NBIX US Equity","PX_TO_BOOK_RATIO","FQ2 2022","FQ2 2022","Currency=USD","Period=FQ","BEST_FPERIOD_OVERRIDE=FQ","FILING_STATUS=MR","Sort=A","Dates=H","DateFormat=P","Fill=—","Direction=H","UseDPDF=Y")</f>
        <v>6.5471000000000004</v>
      </c>
      <c r="O11" s="20">
        <f>_xll.BDH("NBIX US Equity","PX_TO_BOOK_RATIO","FQ3 2022","FQ3 2022","Currency=USD","Period=FQ","BEST_FPERIOD_OVERRIDE=FQ","FILING_STATUS=MR","Sort=A","Dates=H","DateFormat=P","Fill=—","Direction=H","UseDPDF=Y")</f>
        <v>6.6079999999999997</v>
      </c>
      <c r="P11" s="20">
        <f>_xll.BDH("NBIX US Equity","PX_TO_BOOK_RATIO","FQ4 2022","FQ4 2022","Currency=USD","Period=FQ","BEST_FPERIOD_OVERRIDE=FQ","FILING_STATUS=MR","Sort=A","Dates=H","DateFormat=P","Fill=—","Direction=H","UseDPDF=Y")</f>
        <v>6.7489999999999997</v>
      </c>
      <c r="Q11" s="20">
        <f>_xll.BDH("NBIX US Equity","PX_TO_BOOK_RATIO","FQ1 2023","FQ1 2023","Currency=USD","Period=FQ","BEST_FPERIOD_OVERRIDE=FQ","FILING_STATUS=MR","Sort=A","Dates=H","DateFormat=P","Fill=—","Direction=H","UseDPDF=Y")</f>
        <v>5.8586999999999998</v>
      </c>
      <c r="R11" s="20">
        <f>_xll.BDH("NBIX US Equity","PX_TO_BOOK_RATIO","FQ2 2023","FQ2 2023","Currency=USD","Period=FQ","BEST_FPERIOD_OVERRIDE=FQ","FILING_STATUS=MR","Sort=A","Dates=H","DateFormat=P","Fill=—","Direction=H","UseDPDF=Y")</f>
        <v>4.9668999999999999</v>
      </c>
      <c r="S11" s="20">
        <f>_xll.BDH("NBIX US Equity","PX_TO_BOOK_RATIO","FQ3 2023","FQ3 2023","Currency=USD","Period=FQ","BEST_FPERIOD_OVERRIDE=FQ","FILING_STATUS=MR","Sort=A","Dates=H","DateFormat=P","Fill=—","Direction=H","UseDPDF=Y")</f>
        <v>5.5179999999999998</v>
      </c>
      <c r="T11" s="20">
        <f>_xll.BDH("NBIX US Equity","PX_TO_BOOK_RATIO","FQ4 2023","FQ4 2023","Currency=USD","Period=FQ","BEST_FPERIOD_OVERRIDE=FQ","FILING_STATUS=MR","Sort=A","Dates=H","DateFormat=P","Fill=—","Direction=H","UseDPDF=Y")</f>
        <v>5.8265000000000002</v>
      </c>
      <c r="U11" s="20">
        <f>_xll.BDH("NBIX US Equity","PX_TO_BOOK_RATIO","FQ1 2024","FQ1 2024","Currency=USD","Period=FQ","BEST_FPERIOD_OVERRIDE=FQ","FILING_STATUS=MR","Sort=A","Dates=H","DateFormat=P","Fill=—","Direction=H","UseDPDF=Y")</f>
        <v>5.8148</v>
      </c>
      <c r="V11" s="20">
        <f>_xll.BDH("NBIX US Equity","PX_TO_BOOK_RATIO","FQ2 2024","FQ2 2024","Currency=USD","Period=FQ","BEST_FPERIOD_OVERRIDE=FQ","FILING_STATUS=MR","Sort=A","Dates=H","DateFormat=P","Fill=—","Direction=H","UseDPDF=Y")</f>
        <v>5.5359999999999996</v>
      </c>
      <c r="W11" s="20">
        <f>_xll.BDH("NBIX US Equity","PX_TO_BOOK_RATIO","FQ3 2024","FQ3 2024","Currency=USD","Period=FQ","BEST_FPERIOD_OVERRIDE=FQ","FILING_STATUS=MR","Sort=A","Dates=H","DateFormat=P","Fill=—","Direction=H","UseDPDF=Y")</f>
        <v>4.2885999999999997</v>
      </c>
      <c r="X11" s="20">
        <f>_xll.BDH("NBIX US Equity","PX_TO_BOOK_RATIO","FQ4 2024","FQ4 2024","Currency=USD","Period=FQ","BEST_FPERIOD_OVERRIDE=FQ","FILING_STATUS=MR","Sort=A","Dates=H","DateFormat=P","Fill=—","Direction=H","UseDPDF=Y")</f>
        <v>5.2393000000000001</v>
      </c>
      <c r="Y11" s="23">
        <v>4.3395620177334102</v>
      </c>
      <c r="Z11" s="20">
        <v>4.2336641078449704</v>
      </c>
      <c r="AA11" s="20">
        <v>4.03929974991068</v>
      </c>
    </row>
    <row r="12" spans="1:27" x14ac:dyDescent="0.25">
      <c r="A12" s="10" t="s">
        <v>209</v>
      </c>
      <c r="B12" s="10" t="s">
        <v>217</v>
      </c>
      <c r="C12" s="14">
        <f>_xll.BDH("NBIX US Equity","AVERAGE_PRICE_TO_BOOK_RATIO","FQ3 2019","FQ3 2019","Currency=USD","Period=FQ","BEST_FPERIOD_OVERRIDE=FQ","FILING_STATUS=MR","Sort=A","Dates=H","DateFormat=P","Fill=—","Direction=H","UseDPDF=Y")</f>
        <v>17.639199999999999</v>
      </c>
      <c r="D12" s="14">
        <f>_xll.BDH("NBIX US Equity","AVERAGE_PRICE_TO_BOOK_RATIO","FQ4 2019","FQ4 2019","Currency=USD","Period=FQ","BEST_FPERIOD_OVERRIDE=FQ","FILING_STATUS=MR","Sort=A","Dates=H","DateFormat=P","Fill=—","Direction=H","UseDPDF=Y")</f>
        <v>16.755099999999999</v>
      </c>
      <c r="E12" s="14">
        <f>_xll.BDH("NBIX US Equity","AVERAGE_PRICE_TO_BOOK_RATIO","FQ1 2020","FQ1 2020","Currency=USD","Period=FQ","BEST_FPERIOD_OVERRIDE=FQ","FILING_STATUS=MR","Sort=A","Dates=H","DateFormat=P","Fill=—","Direction=H","UseDPDF=Y")</f>
        <v>14.1654</v>
      </c>
      <c r="F12" s="14">
        <f>_xll.BDH("NBIX US Equity","AVERAGE_PRICE_TO_BOOK_RATIO","FQ2 2020","FQ2 2020","Currency=USD","Period=FQ","BEST_FPERIOD_OVERRIDE=FQ","FILING_STATUS=MR","Sort=A","Dates=H","DateFormat=P","Fill=—","Direction=H","UseDPDF=Y")</f>
        <v>14.6045</v>
      </c>
      <c r="G12" s="14">
        <f>_xll.BDH("NBIX US Equity","AVERAGE_PRICE_TO_BOOK_RATIO","FQ3 2020","FQ3 2020","Currency=USD","Period=FQ","BEST_FPERIOD_OVERRIDE=FQ","FILING_STATUS=MR","Sort=A","Dates=H","DateFormat=P","Fill=—","Direction=H","UseDPDF=Y")</f>
        <v>12.9764</v>
      </c>
      <c r="H12" s="14">
        <f>_xll.BDH("NBIX US Equity","AVERAGE_PRICE_TO_BOOK_RATIO","FQ4 2020","FQ4 2020","Currency=USD","Period=FQ","BEST_FPERIOD_OVERRIDE=FQ","FILING_STATUS=MR","Sort=A","Dates=H","DateFormat=P","Fill=—","Direction=H","UseDPDF=Y")</f>
        <v>11.166600000000001</v>
      </c>
      <c r="I12" s="14">
        <f>_xll.BDH("NBIX US Equity","AVERAGE_PRICE_TO_BOOK_RATIO","FQ1 2021","FQ1 2021","Currency=USD","Period=FQ","BEST_FPERIOD_OVERRIDE=FQ","FILING_STATUS=MR","Sort=A","Dates=H","DateFormat=P","Fill=—","Direction=H","UseDPDF=Y")</f>
        <v>8.6984999999999992</v>
      </c>
      <c r="J12" s="14">
        <f>_xll.BDH("NBIX US Equity","AVERAGE_PRICE_TO_BOOK_RATIO","FQ2 2021","FQ2 2021","Currency=USD","Period=FQ","BEST_FPERIOD_OVERRIDE=FQ","FILING_STATUS=MR","Sort=A","Dates=H","DateFormat=P","Fill=—","Direction=H","UseDPDF=Y")</f>
        <v>7.5061999999999998</v>
      </c>
      <c r="K12" s="14">
        <f>_xll.BDH("NBIX US Equity","AVERAGE_PRICE_TO_BOOK_RATIO","FQ3 2021","FQ3 2021","Currency=USD","Period=FQ","BEST_FPERIOD_OVERRIDE=FQ","FILING_STATUS=MR","Sort=A","Dates=H","DateFormat=P","Fill=—","Direction=H","UseDPDF=Y")</f>
        <v>6.98</v>
      </c>
      <c r="L12" s="14">
        <f>_xll.BDH("NBIX US Equity","AVERAGE_PRICE_TO_BOOK_RATIO","FQ4 2021","FQ4 2021","Currency=USD","Period=FQ","BEST_FPERIOD_OVERRIDE=FQ","FILING_STATUS=MR","Sort=A","Dates=H","DateFormat=P","Fill=—","Direction=H","UseDPDF=Y")</f>
        <v>6.4768999999999997</v>
      </c>
      <c r="M12" s="14">
        <f>_xll.BDH("NBIX US Equity","AVERAGE_PRICE_TO_BOOK_RATIO","FQ1 2022","FQ1 2022","Currency=USD","Period=FQ","BEST_FPERIOD_OVERRIDE=FQ","FILING_STATUS=MR","Sort=A","Dates=H","DateFormat=P","Fill=—","Direction=H","UseDPDF=Y")</f>
        <v>5.8529</v>
      </c>
      <c r="N12" s="14">
        <f>_xll.BDH("NBIX US Equity","AVERAGE_PRICE_TO_BOOK_RATIO","FQ2 2022","FQ2 2022","Currency=USD","Period=FQ","BEST_FPERIOD_OVERRIDE=FQ","FILING_STATUS=MR","Sort=A","Dates=H","DateFormat=P","Fill=—","Direction=H","UseDPDF=Y")</f>
        <v>6.3337000000000003</v>
      </c>
      <c r="O12" s="14">
        <f>_xll.BDH("NBIX US Equity","AVERAGE_PRICE_TO_BOOK_RATIO","FQ3 2022","FQ3 2022","Currency=USD","Period=FQ","BEST_FPERIOD_OVERRIDE=FQ","FILING_STATUS=MR","Sort=A","Dates=H","DateFormat=P","Fill=—","Direction=H","UseDPDF=Y")</f>
        <v>6.8064999999999998</v>
      </c>
      <c r="P12" s="14">
        <f>_xll.BDH("NBIX US Equity","AVERAGE_PRICE_TO_BOOK_RATIO","FQ4 2022","FQ4 2022","Currency=USD","Period=FQ","BEST_FPERIOD_OVERRIDE=FQ","FILING_STATUS=MR","Sort=A","Dates=H","DateFormat=P","Fill=—","Direction=H","UseDPDF=Y")</f>
        <v>7.2765000000000004</v>
      </c>
      <c r="Q12" s="14">
        <f>_xll.BDH("NBIX US Equity","AVERAGE_PRICE_TO_BOOK_RATIO","FQ1 2023","FQ1 2023","Currency=USD","Period=FQ","BEST_FPERIOD_OVERRIDE=FQ","FILING_STATUS=MR","Sort=A","Dates=H","DateFormat=P","Fill=—","Direction=H","UseDPDF=Y")</f>
        <v>5.8822000000000001</v>
      </c>
      <c r="R12" s="14">
        <f>_xll.BDH("NBIX US Equity","AVERAGE_PRICE_TO_BOOK_RATIO","FQ2 2023","FQ2 2023","Currency=USD","Period=FQ","BEST_FPERIOD_OVERRIDE=FQ","FILING_STATUS=MR","Sort=A","Dates=H","DateFormat=P","Fill=—","Direction=H","UseDPDF=Y")</f>
        <v>5.6475</v>
      </c>
      <c r="S12" s="14">
        <f>_xll.BDH("NBIX US Equity","AVERAGE_PRICE_TO_BOOK_RATIO","FQ3 2023","FQ3 2023","Currency=USD","Period=FQ","BEST_FPERIOD_OVERRIDE=FQ","FILING_STATUS=MR","Sort=A","Dates=H","DateFormat=P","Fill=—","Direction=H","UseDPDF=Y")</f>
        <v>5.5399000000000003</v>
      </c>
      <c r="T12" s="14">
        <f>_xll.BDH("NBIX US Equity","AVERAGE_PRICE_TO_BOOK_RATIO","FQ4 2023","FQ4 2023","Currency=USD","Period=FQ","BEST_FPERIOD_OVERRIDE=FQ","FILING_STATUS=MR","Sort=A","Dates=H","DateFormat=P","Fill=—","Direction=H","UseDPDF=Y")</f>
        <v>5.6356999999999999</v>
      </c>
      <c r="U12" s="14">
        <f>_xll.BDH("NBIX US Equity","AVERAGE_PRICE_TO_BOOK_RATIO","FQ1 2024","FQ1 2024","Currency=USD","Period=FQ","BEST_FPERIOD_OVERRIDE=FQ","FILING_STATUS=MR","Sort=A","Dates=H","DateFormat=P","Fill=—","Direction=H","UseDPDF=Y")</f>
        <v>6.0346000000000002</v>
      </c>
      <c r="V12" s="14">
        <f>_xll.BDH("NBIX US Equity","AVERAGE_PRICE_TO_BOOK_RATIO","FQ2 2024","FQ2 2024","Currency=USD","Period=FQ","BEST_FPERIOD_OVERRIDE=FQ","FILING_STATUS=MR","Sort=A","Dates=H","DateFormat=P","Fill=—","Direction=H","UseDPDF=Y")</f>
        <v>5.7775999999999996</v>
      </c>
      <c r="W12" s="14">
        <f>_xll.BDH("NBIX US Equity","AVERAGE_PRICE_TO_BOOK_RATIO","FQ3 2024","FQ3 2024","Currency=USD","Period=FQ","BEST_FPERIOD_OVERRIDE=FQ","FILING_STATUS=MR","Sort=A","Dates=H","DateFormat=P","Fill=—","Direction=H","UseDPDF=Y")</f>
        <v>5.5072999999999999</v>
      </c>
      <c r="X12" s="14">
        <f>_xll.BDH("NBIX US Equity","AVERAGE_PRICE_TO_BOOK_RATIO","FQ4 2024","FQ4 2024","Currency=USD","Period=FQ","BEST_FPERIOD_OVERRIDE=FQ","FILING_STATUS=MR","Sort=A","Dates=H","DateFormat=P","Fill=—","Direction=H","UseDPDF=Y")</f>
        <v>4.6060999999999996</v>
      </c>
      <c r="Y12" s="17"/>
      <c r="Z12" s="14"/>
      <c r="AA12" s="14"/>
    </row>
    <row r="13" spans="1:27" x14ac:dyDescent="0.25">
      <c r="A13" s="10" t="s">
        <v>211</v>
      </c>
      <c r="B13" s="10" t="s">
        <v>218</v>
      </c>
      <c r="C13" s="14">
        <f>_xll.BDH("NBIX US Equity","HIGH_CLOSING_PRICE_TO_BOOK_RATIO","FQ3 2019","FQ3 2019","Currency=USD","Period=FQ","BEST_FPERIOD_OVERRIDE=FQ","FILING_STATUS=MR","Sort=A","Dates=H","DateFormat=P","Fill=—","Direction=H","UseDPDF=Y")</f>
        <v>19.207799999999999</v>
      </c>
      <c r="D13" s="14">
        <f>_xll.BDH("NBIX US Equity","HIGH_CLOSING_PRICE_TO_BOOK_RATIO","FQ4 2019","FQ4 2019","Currency=USD","Period=FQ","BEST_FPERIOD_OVERRIDE=FQ","FILING_STATUS=MR","Sort=A","Dates=H","DateFormat=P","Fill=—","Direction=H","UseDPDF=Y")</f>
        <v>19.003699999999998</v>
      </c>
      <c r="E13" s="14">
        <f>_xll.BDH("NBIX US Equity","HIGH_CLOSING_PRICE_TO_BOOK_RATIO","FQ1 2020","FQ1 2020","Currency=USD","Period=FQ","BEST_FPERIOD_OVERRIDE=FQ","FILING_STATUS=MR","Sort=A","Dates=H","DateFormat=P","Fill=—","Direction=H","UseDPDF=Y")</f>
        <v>16.4862</v>
      </c>
      <c r="F13" s="14">
        <f>_xll.BDH("NBIX US Equity","HIGH_CLOSING_PRICE_TO_BOOK_RATIO","FQ2 2020","FQ2 2020","Currency=USD","Period=FQ","BEST_FPERIOD_OVERRIDE=FQ","FILING_STATUS=MR","Sort=A","Dates=H","DateFormat=P","Fill=—","Direction=H","UseDPDF=Y")</f>
        <v>17.2746</v>
      </c>
      <c r="G13" s="14">
        <f>_xll.BDH("NBIX US Equity","HIGH_CLOSING_PRICE_TO_BOOK_RATIO","FQ3 2020","FQ3 2020","Currency=USD","Period=FQ","BEST_FPERIOD_OVERRIDE=FQ","FILING_STATUS=MR","Sort=A","Dates=H","DateFormat=P","Fill=—","Direction=H","UseDPDF=Y")</f>
        <v>15.154</v>
      </c>
      <c r="H13" s="14">
        <f>_xll.BDH("NBIX US Equity","HIGH_CLOSING_PRICE_TO_BOOK_RATIO","FQ4 2020","FQ4 2020","Currency=USD","Period=FQ","BEST_FPERIOD_OVERRIDE=FQ","FILING_STATUS=MR","Sort=A","Dates=H","DateFormat=P","Fill=—","Direction=H","UseDPDF=Y")</f>
        <v>12.5799</v>
      </c>
      <c r="I13" s="14">
        <f>_xll.BDH("NBIX US Equity","HIGH_CLOSING_PRICE_TO_BOOK_RATIO","FQ1 2021","FQ1 2021","Currency=USD","Period=FQ","BEST_FPERIOD_OVERRIDE=FQ","FILING_STATUS=MR","Sort=A","Dates=H","DateFormat=P","Fill=—","Direction=H","UseDPDF=Y")</f>
        <v>9.9129000000000005</v>
      </c>
      <c r="J13" s="14">
        <f>_xll.BDH("NBIX US Equity","HIGH_CLOSING_PRICE_TO_BOOK_RATIO","FQ2 2021","FQ2 2021","Currency=USD","Period=FQ","BEST_FPERIOD_OVERRIDE=FQ","FILING_STATUS=MR","Sort=A","Dates=H","DateFormat=P","Fill=—","Direction=H","UseDPDF=Y")</f>
        <v>8.0164000000000009</v>
      </c>
      <c r="K13" s="14">
        <f>_xll.BDH("NBIX US Equity","HIGH_CLOSING_PRICE_TO_BOOK_RATIO","FQ3 2021","FQ3 2021","Currency=USD","Period=FQ","BEST_FPERIOD_OVERRIDE=FQ","FILING_STATUS=MR","Sort=A","Dates=H","DateFormat=P","Fill=—","Direction=H","UseDPDF=Y")</f>
        <v>7.3235000000000001</v>
      </c>
      <c r="L13" s="14">
        <f>_xll.BDH("NBIX US Equity","HIGH_CLOSING_PRICE_TO_BOOK_RATIO","FQ4 2021","FQ4 2021","Currency=USD","Period=FQ","BEST_FPERIOD_OVERRIDE=FQ","FILING_STATUS=MR","Sort=A","Dates=H","DateFormat=P","Fill=—","Direction=H","UseDPDF=Y")</f>
        <v>7.4812000000000003</v>
      </c>
      <c r="M13" s="14">
        <f>_xll.BDH("NBIX US Equity","HIGH_CLOSING_PRICE_TO_BOOK_RATIO","FQ1 2022","FQ1 2022","Currency=USD","Period=FQ","BEST_FPERIOD_OVERRIDE=FQ","FILING_STATUS=MR","Sort=A","Dates=H","DateFormat=P","Fill=—","Direction=H","UseDPDF=Y")</f>
        <v>6.5484</v>
      </c>
      <c r="N13" s="14">
        <f>_xll.BDH("NBIX US Equity","HIGH_CLOSING_PRICE_TO_BOOK_RATIO","FQ2 2022","FQ2 2022","Currency=USD","Period=FQ","BEST_FPERIOD_OVERRIDE=FQ","FILING_STATUS=MR","Sort=A","Dates=H","DateFormat=P","Fill=—","Direction=H","UseDPDF=Y")</f>
        <v>6.8699000000000003</v>
      </c>
      <c r="O13" s="14">
        <f>_xll.BDH("NBIX US Equity","HIGH_CLOSING_PRICE_TO_BOOK_RATIO","FQ3 2022","FQ3 2022","Currency=USD","Period=FQ","BEST_FPERIOD_OVERRIDE=FQ","FILING_STATUS=MR","Sort=A","Dates=H","DateFormat=P","Fill=—","Direction=H","UseDPDF=Y")</f>
        <v>7.2408999999999999</v>
      </c>
      <c r="P13" s="14">
        <f>_xll.BDH("NBIX US Equity","HIGH_CLOSING_PRICE_TO_BOOK_RATIO","FQ4 2022","FQ4 2022","Currency=USD","Period=FQ","BEST_FPERIOD_OVERRIDE=FQ","FILING_STATUS=MR","Sort=A","Dates=H","DateFormat=P","Fill=—","Direction=H","UseDPDF=Y")</f>
        <v>7.9053000000000004</v>
      </c>
      <c r="Q13" s="14">
        <f>_xll.BDH("NBIX US Equity","HIGH_CLOSING_PRICE_TO_BOOK_RATIO","FQ1 2023","FQ1 2023","Currency=USD","Period=FQ","BEST_FPERIOD_OVERRIDE=FQ","FILING_STATUS=MR","Sort=A","Dates=H","DateFormat=P","Fill=—","Direction=H","UseDPDF=Y")</f>
        <v>6.9512999999999998</v>
      </c>
      <c r="R13" s="14">
        <f>_xll.BDH("NBIX US Equity","HIGH_CLOSING_PRICE_TO_BOOK_RATIO","FQ2 2023","FQ2 2023","Currency=USD","Period=FQ","BEST_FPERIOD_OVERRIDE=FQ","FILING_STATUS=MR","Sort=A","Dates=H","DateFormat=P","Fill=—","Direction=H","UseDPDF=Y")</f>
        <v>6.0698999999999996</v>
      </c>
      <c r="S13" s="14">
        <f>_xll.BDH("NBIX US Equity","HIGH_CLOSING_PRICE_TO_BOOK_RATIO","FQ3 2023","FQ3 2023","Currency=USD","Period=FQ","BEST_FPERIOD_OVERRIDE=FQ","FILING_STATUS=MR","Sort=A","Dates=H","DateFormat=P","Fill=—","Direction=H","UseDPDF=Y")</f>
        <v>6.1677999999999997</v>
      </c>
      <c r="T13" s="14">
        <f>_xll.BDH("NBIX US Equity","HIGH_CLOSING_PRICE_TO_BOOK_RATIO","FQ4 2023","FQ4 2023","Currency=USD","Period=FQ","BEST_FPERIOD_OVERRIDE=FQ","FILING_STATUS=MR","Sort=A","Dates=H","DateFormat=P","Fill=—","Direction=H","UseDPDF=Y")</f>
        <v>6.5117000000000003</v>
      </c>
      <c r="U13" s="14">
        <f>_xll.BDH("NBIX US Equity","HIGH_CLOSING_PRICE_TO_BOOK_RATIO","FQ1 2024","FQ1 2024","Currency=USD","Period=FQ","BEST_FPERIOD_OVERRIDE=FQ","FILING_STATUS=MR","Sort=A","Dates=H","DateFormat=P","Fill=—","Direction=H","UseDPDF=Y")</f>
        <v>6.3562000000000003</v>
      </c>
      <c r="V13" s="14">
        <f>_xll.BDH("NBIX US Equity","HIGH_CLOSING_PRICE_TO_BOOK_RATIO","FQ2 2024","FQ2 2024","Currency=USD","Period=FQ","BEST_FPERIOD_OVERRIDE=FQ","FILING_STATUS=MR","Sort=A","Dates=H","DateFormat=P","Fill=—","Direction=H","UseDPDF=Y")</f>
        <v>6.0369999999999999</v>
      </c>
      <c r="W13" s="14">
        <f>_xll.BDH("NBIX US Equity","HIGH_CLOSING_PRICE_TO_BOOK_RATIO","FQ3 2024","FQ3 2024","Currency=USD","Period=FQ","BEST_FPERIOD_OVERRIDE=FQ","FILING_STATUS=MR","Sort=A","Dates=H","DateFormat=P","Fill=—","Direction=H","UseDPDF=Y")</f>
        <v>6.1585000000000001</v>
      </c>
      <c r="X13" s="14">
        <f>_xll.BDH("NBIX US Equity","HIGH_CLOSING_PRICE_TO_BOOK_RATIO","FQ4 2024","FQ4 2024","Currency=USD","Period=FQ","BEST_FPERIOD_OVERRIDE=FQ","FILING_STATUS=MR","Sort=A","Dates=H","DateFormat=P","Fill=—","Direction=H","UseDPDF=Y")</f>
        <v>5.2393000000000001</v>
      </c>
      <c r="Y13" s="17"/>
      <c r="Z13" s="14"/>
      <c r="AA13" s="14"/>
    </row>
    <row r="14" spans="1:27" x14ac:dyDescent="0.25">
      <c r="A14" s="10" t="s">
        <v>213</v>
      </c>
      <c r="B14" s="10" t="s">
        <v>219</v>
      </c>
      <c r="C14" s="14">
        <f>_xll.BDH("NBIX US Equity","LOW_CLOSING_PRICE_TO_BOOK_RATIO","FQ3 2019","FQ3 2019","Currency=USD","Period=FQ","BEST_FPERIOD_OVERRIDE=FQ","FILING_STATUS=MR","Sort=A","Dates=H","DateFormat=P","Fill=—","Direction=H","UseDPDF=Y")</f>
        <v>14.442299999999999</v>
      </c>
      <c r="D14" s="14">
        <f>_xll.BDH("NBIX US Equity","LOW_CLOSING_PRICE_TO_BOOK_RATIO","FQ4 2019","FQ4 2019","Currency=USD","Period=FQ","BEST_FPERIOD_OVERRIDE=FQ","FILING_STATUS=MR","Sort=A","Dates=H","DateFormat=P","Fill=—","Direction=H","UseDPDF=Y")</f>
        <v>13.911799999999999</v>
      </c>
      <c r="E14" s="14">
        <f>_xll.BDH("NBIX US Equity","LOW_CLOSING_PRICE_TO_BOOK_RATIO","FQ1 2020","FQ1 2020","Currency=USD","Period=FQ","BEST_FPERIOD_OVERRIDE=FQ","FILING_STATUS=MR","Sort=A","Dates=H","DateFormat=P","Fill=—","Direction=H","UseDPDF=Y")</f>
        <v>10.885</v>
      </c>
      <c r="F14" s="14">
        <f>_xll.BDH("NBIX US Equity","LOW_CLOSING_PRICE_TO_BOOK_RATIO","FQ2 2020","FQ2 2020","Currency=USD","Period=FQ","BEST_FPERIOD_OVERRIDE=FQ","FILING_STATUS=MR","Sort=A","Dates=H","DateFormat=P","Fill=—","Direction=H","UseDPDF=Y")</f>
        <v>11.275700000000001</v>
      </c>
      <c r="G14" s="14">
        <f>_xll.BDH("NBIX US Equity","LOW_CLOSING_PRICE_TO_BOOK_RATIO","FQ3 2020","FQ3 2020","Currency=USD","Period=FQ","BEST_FPERIOD_OVERRIDE=FQ","FILING_STATUS=MR","Sort=A","Dates=H","DateFormat=P","Fill=—","Direction=H","UseDPDF=Y")</f>
        <v>10.921200000000001</v>
      </c>
      <c r="H14" s="14">
        <f>_xll.BDH("NBIX US Equity","LOW_CLOSING_PRICE_TO_BOOK_RATIO","FQ4 2020","FQ4 2020","Currency=USD","Period=FQ","BEST_FPERIOD_OVERRIDE=FQ","FILING_STATUS=MR","Sort=A","Dates=H","DateFormat=P","Fill=—","Direction=H","UseDPDF=Y")</f>
        <v>7.9577</v>
      </c>
      <c r="I14" s="14">
        <f>_xll.BDH("NBIX US Equity","LOW_CLOSING_PRICE_TO_BOOK_RATIO","FQ1 2021","FQ1 2021","Currency=USD","Period=FQ","BEST_FPERIOD_OVERRIDE=FQ","FILING_STATUS=MR","Sort=A","Dates=H","DateFormat=P","Fill=—","Direction=H","UseDPDF=Y")</f>
        <v>7.2702999999999998</v>
      </c>
      <c r="J14" s="14">
        <f>_xll.BDH("NBIX US Equity","LOW_CLOSING_PRICE_TO_BOOK_RATIO","FQ2 2021","FQ2 2021","Currency=USD","Period=FQ","BEST_FPERIOD_OVERRIDE=FQ","FILING_STATUS=MR","Sort=A","Dates=H","DateFormat=P","Fill=—","Direction=H","UseDPDF=Y")</f>
        <v>7.0099</v>
      </c>
      <c r="K14" s="14">
        <f>_xll.BDH("NBIX US Equity","LOW_CLOSING_PRICE_TO_BOOK_RATIO","FQ3 2021","FQ3 2021","Currency=USD","Period=FQ","BEST_FPERIOD_OVERRIDE=FQ","FILING_STATUS=MR","Sort=A","Dates=H","DateFormat=P","Fill=—","Direction=H","UseDPDF=Y")</f>
        <v>6.3731999999999998</v>
      </c>
      <c r="L14" s="14">
        <f>_xll.BDH("NBIX US Equity","LOW_CLOSING_PRICE_TO_BOOK_RATIO","FQ4 2021","FQ4 2021","Currency=USD","Period=FQ","BEST_FPERIOD_OVERRIDE=FQ","FILING_STATUS=MR","Sort=A","Dates=H","DateFormat=P","Fill=—","Direction=H","UseDPDF=Y")</f>
        <v>5.6097999999999999</v>
      </c>
      <c r="M14" s="14">
        <f>_xll.BDH("NBIX US Equity","LOW_CLOSING_PRICE_TO_BOOK_RATIO","FQ1 2022","FQ1 2022","Currency=USD","Period=FQ","BEST_FPERIOD_OVERRIDE=FQ","FILING_STATUS=MR","Sort=A","Dates=H","DateFormat=P","Fill=—","Direction=H","UseDPDF=Y")</f>
        <v>5.0039999999999996</v>
      </c>
      <c r="N14" s="14">
        <f>_xll.BDH("NBIX US Equity","LOW_CLOSING_PRICE_TO_BOOK_RATIO","FQ2 2022","FQ2 2022","Currency=USD","Period=FQ","BEST_FPERIOD_OVERRIDE=FQ","FILING_STATUS=MR","Sort=A","Dates=H","DateFormat=P","Fill=—","Direction=H","UseDPDF=Y")</f>
        <v>5.2030000000000003</v>
      </c>
      <c r="O14" s="14">
        <f>_xll.BDH("NBIX US Equity","LOW_CLOSING_PRICE_TO_BOOK_RATIO","FQ3 2022","FQ3 2022","Currency=USD","Period=FQ","BEST_FPERIOD_OVERRIDE=FQ","FILING_STATUS=MR","Sort=A","Dates=H","DateFormat=P","Fill=—","Direction=H","UseDPDF=Y")</f>
        <v>6.181</v>
      </c>
      <c r="P14" s="14">
        <f>_xll.BDH("NBIX US Equity","LOW_CLOSING_PRICE_TO_BOOK_RATIO","FQ4 2022","FQ4 2022","Currency=USD","Period=FQ","BEST_FPERIOD_OVERRIDE=FQ","FILING_STATUS=MR","Sort=A","Dates=H","DateFormat=P","Fill=—","Direction=H","UseDPDF=Y")</f>
        <v>6.6398000000000001</v>
      </c>
      <c r="Q14" s="14">
        <f>_xll.BDH("NBIX US Equity","LOW_CLOSING_PRICE_TO_BOOK_RATIO","FQ1 2023","FQ1 2023","Currency=USD","Period=FQ","BEST_FPERIOD_OVERRIDE=FQ","FILING_STATUS=MR","Sort=A","Dates=H","DateFormat=P","Fill=—","Direction=H","UseDPDF=Y")</f>
        <v>5.3177000000000003</v>
      </c>
      <c r="R14" s="14">
        <f>_xll.BDH("NBIX US Equity","LOW_CLOSING_PRICE_TO_BOOK_RATIO","FQ2 2023","FQ2 2023","Currency=USD","Period=FQ","BEST_FPERIOD_OVERRIDE=FQ","FILING_STATUS=MR","Sort=A","Dates=H","DateFormat=P","Fill=—","Direction=H","UseDPDF=Y")</f>
        <v>4.9668999999999999</v>
      </c>
      <c r="S14" s="14">
        <f>_xll.BDH("NBIX US Equity","LOW_CLOSING_PRICE_TO_BOOK_RATIO","FQ3 2023","FQ3 2023","Currency=USD","Period=FQ","BEST_FPERIOD_OVERRIDE=FQ","FILING_STATUS=MR","Sort=A","Dates=H","DateFormat=P","Fill=—","Direction=H","UseDPDF=Y")</f>
        <v>4.9522000000000004</v>
      </c>
      <c r="T14" s="14">
        <f>_xll.BDH("NBIX US Equity","LOW_CLOSING_PRICE_TO_BOOK_RATIO","FQ4 2023","FQ4 2023","Currency=USD","Period=FQ","BEST_FPERIOD_OVERRIDE=FQ","FILING_STATUS=MR","Sort=A","Dates=H","DateFormat=P","Fill=—","Direction=H","UseDPDF=Y")</f>
        <v>5.2026000000000003</v>
      </c>
      <c r="U14" s="14">
        <f>_xll.BDH("NBIX US Equity","LOW_CLOSING_PRICE_TO_BOOK_RATIO","FQ1 2024","FQ1 2024","Currency=USD","Period=FQ","BEST_FPERIOD_OVERRIDE=FQ","FILING_STATUS=MR","Sort=A","Dates=H","DateFormat=P","Fill=—","Direction=H","UseDPDF=Y")</f>
        <v>5.7663000000000002</v>
      </c>
      <c r="V14" s="14">
        <f>_xll.BDH("NBIX US Equity","LOW_CLOSING_PRICE_TO_BOOK_RATIO","FQ2 2024","FQ2 2024","Currency=USD","Period=FQ","BEST_FPERIOD_OVERRIDE=FQ","FILING_STATUS=MR","Sort=A","Dates=H","DateFormat=P","Fill=—","Direction=H","UseDPDF=Y")</f>
        <v>5.5171999999999999</v>
      </c>
      <c r="W14" s="14">
        <f>_xll.BDH("NBIX US Equity","LOW_CLOSING_PRICE_TO_BOOK_RATIO","FQ3 2024","FQ3 2024","Currency=USD","Period=FQ","BEST_FPERIOD_OVERRIDE=FQ","FILING_STATUS=MR","Sort=A","Dates=H","DateFormat=P","Fill=—","Direction=H","UseDPDF=Y")</f>
        <v>4.2885999999999997</v>
      </c>
      <c r="X14" s="14">
        <f>_xll.BDH("NBIX US Equity","LOW_CLOSING_PRICE_TO_BOOK_RATIO","FQ4 2024","FQ4 2024","Currency=USD","Period=FQ","BEST_FPERIOD_OVERRIDE=FQ","FILING_STATUS=MR","Sort=A","Dates=H","DateFormat=P","Fill=—","Direction=H","UseDPDF=Y")</f>
        <v>4.1546000000000003</v>
      </c>
      <c r="Y14" s="17"/>
      <c r="Z14" s="14"/>
      <c r="AA14" s="14"/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21"/>
      <c r="Z15" s="18"/>
      <c r="AA15" s="18"/>
    </row>
    <row r="16" spans="1:27" x14ac:dyDescent="0.25">
      <c r="A16" s="6" t="s">
        <v>220</v>
      </c>
      <c r="B16" s="6" t="s">
        <v>221</v>
      </c>
      <c r="C16" s="20">
        <f>_xll.BDH("NBIX US Equity","PX_TO_TANG_BV_PER_SH","FQ3 2019","FQ3 2019","Currency=USD","Period=FQ","BEST_FPERIOD_OVERRIDE=FQ","FILING_STATUS=MR","Sort=A","Dates=H","DateFormat=P","Fill=—","Direction=H","UseDPDF=Y")</f>
        <v>14.442299999999999</v>
      </c>
      <c r="D16" s="20">
        <f>_xll.BDH("NBIX US Equity","PX_TO_TANG_BV_PER_SH","FQ4 2019","FQ4 2019","Currency=USD","Period=FQ","BEST_FPERIOD_OVERRIDE=FQ","FILING_STATUS=MR","Sort=A","Dates=H","DateFormat=P","Fill=—","Direction=H","UseDPDF=Y")</f>
        <v>15.577500000000001</v>
      </c>
      <c r="E16" s="20">
        <f>_xll.BDH("NBIX US Equity","PX_TO_TANG_BV_PER_SH","FQ1 2020","FQ1 2020","Currency=USD","Period=FQ","BEST_FPERIOD_OVERRIDE=FQ","FILING_STATUS=MR","Sort=A","Dates=H","DateFormat=P","Fill=—","Direction=H","UseDPDF=Y")</f>
        <v>11.469099999999999</v>
      </c>
      <c r="F16" s="20" t="str">
        <f>_xll.BDH("NBIX US Equity","PX_TO_TANG_BV_PER_SH","FQ2 2020","FQ2 2020","Currency=USD","Period=FQ","BEST_FPERIOD_OVERRIDE=FQ","FILING_STATUS=MR","Sort=A","Dates=H","DateFormat=P","Fill=—","Direction=H","UseDPDF=Y")</f>
        <v>—</v>
      </c>
      <c r="G16" s="20" t="str">
        <f>_xll.BDH("NBIX US Equity","PX_TO_TANG_BV_PER_SH","FQ3 2020","FQ3 2020","Currency=USD","Period=FQ","BEST_FPERIOD_OVERRIDE=FQ","FILING_STATUS=MR","Sort=A","Dates=H","DateFormat=P","Fill=—","Direction=H","UseDPDF=Y")</f>
        <v>—</v>
      </c>
      <c r="H16" s="20">
        <f>_xll.BDH("NBIX US Equity","PX_TO_TANG_BV_PER_SH","FQ4 2020","FQ4 2020","Currency=USD","Period=FQ","BEST_FPERIOD_OVERRIDE=FQ","FILING_STATUS=MR","Sort=A","Dates=H","DateFormat=P","Fill=—","Direction=H","UseDPDF=Y")</f>
        <v>7.9577</v>
      </c>
      <c r="I16" s="20">
        <f>_xll.BDH("NBIX US Equity","PX_TO_TANG_BV_PER_SH","FQ1 2021","FQ1 2021","Currency=USD","Period=FQ","BEST_FPERIOD_OVERRIDE=FQ","FILING_STATUS=MR","Sort=A","Dates=H","DateFormat=P","Fill=—","Direction=H","UseDPDF=Y")</f>
        <v>7.6228999999999996</v>
      </c>
      <c r="J16" s="20" t="str">
        <f>_xll.BDH("NBIX US Equity","PX_TO_TANG_BV_PER_SH","FQ2 2021","FQ2 2021","Currency=USD","Period=FQ","BEST_FPERIOD_OVERRIDE=FQ","FILING_STATUS=MR","Sort=A","Dates=H","DateFormat=P","Fill=—","Direction=H","UseDPDF=Y")</f>
        <v>—</v>
      </c>
      <c r="K16" s="20" t="str">
        <f>_xll.BDH("NBIX US Equity","PX_TO_TANG_BV_PER_SH","FQ3 2021","FQ3 2021","Currency=USD","Period=FQ","BEST_FPERIOD_OVERRIDE=FQ","FILING_STATUS=MR","Sort=A","Dates=H","DateFormat=P","Fill=—","Direction=H","UseDPDF=Y")</f>
        <v>—</v>
      </c>
      <c r="L16" s="20">
        <f>_xll.BDH("NBIX US Equity","PX_TO_TANG_BV_PER_SH","FQ4 2021","FQ4 2021","Currency=USD","Period=FQ","BEST_FPERIOD_OVERRIDE=FQ","FILING_STATUS=MR","Sort=A","Dates=H","DateFormat=P","Fill=—","Direction=H","UseDPDF=Y")</f>
        <v>5.8826000000000001</v>
      </c>
      <c r="M16" s="20" t="str">
        <f>_xll.BDH("NBIX US Equity","PX_TO_TANG_BV_PER_SH","FQ1 2022","FQ1 2022","Currency=USD","Period=FQ","BEST_FPERIOD_OVERRIDE=FQ","FILING_STATUS=MR","Sort=A","Dates=H","DateFormat=P","Fill=—","Direction=H","UseDPDF=Y")</f>
        <v>—</v>
      </c>
      <c r="N16" s="20">
        <f>_xll.BDH("NBIX US Equity","PX_TO_TANG_BV_PER_SH","FQ2 2022","FQ2 2022","Currency=USD","Period=FQ","BEST_FPERIOD_OVERRIDE=FQ","FILING_STATUS=MR","Sort=A","Dates=H","DateFormat=P","Fill=—","Direction=H","UseDPDF=Y")</f>
        <v>6.5471000000000004</v>
      </c>
      <c r="O16" s="20" t="str">
        <f>_xll.BDH("NBIX US Equity","PX_TO_TANG_BV_PER_SH","FQ3 2022","FQ3 2022","Currency=USD","Period=FQ","BEST_FPERIOD_OVERRIDE=FQ","FILING_STATUS=MR","Sort=A","Dates=H","DateFormat=P","Fill=—","Direction=H","UseDPDF=Y")</f>
        <v>—</v>
      </c>
      <c r="P16" s="20">
        <f>_xll.BDH("NBIX US Equity","PX_TO_TANG_BV_PER_SH","FQ4 2022","FQ4 2022","Currency=USD","Period=FQ","BEST_FPERIOD_OVERRIDE=FQ","FILING_STATUS=MR","Sort=A","Dates=H","DateFormat=P","Fill=—","Direction=H","UseDPDF=Y")</f>
        <v>6.8993000000000002</v>
      </c>
      <c r="Q16" s="20">
        <f>_xll.BDH("NBIX US Equity","PX_TO_TANG_BV_PER_SH","FQ1 2023","FQ1 2023","Currency=USD","Period=FQ","BEST_FPERIOD_OVERRIDE=FQ","FILING_STATUS=MR","Sort=A","Dates=H","DateFormat=P","Fill=—","Direction=H","UseDPDF=Y")</f>
        <v>5.9909999999999997</v>
      </c>
      <c r="R16" s="20">
        <f>_xll.BDH("NBIX US Equity","PX_TO_TANG_BV_PER_SH","FQ2 2023","FQ2 2023","Currency=USD","Period=FQ","BEST_FPERIOD_OVERRIDE=FQ","FILING_STATUS=MR","Sort=A","Dates=H","DateFormat=P","Fill=—","Direction=H","UseDPDF=Y")</f>
        <v>5.0678000000000001</v>
      </c>
      <c r="S16" s="20">
        <f>_xll.BDH("NBIX US Equity","PX_TO_TANG_BV_PER_SH","FQ3 2023","FQ3 2023","Currency=USD","Period=FQ","BEST_FPERIOD_OVERRIDE=FQ","FILING_STATUS=MR","Sort=A","Dates=H","DateFormat=P","Fill=—","Direction=H","UseDPDF=Y")</f>
        <v>5.6158000000000001</v>
      </c>
      <c r="T16" s="20">
        <f>_xll.BDH("NBIX US Equity","PX_TO_TANG_BV_PER_SH","FQ4 2023","FQ4 2023","Currency=USD","Period=FQ","BEST_FPERIOD_OVERRIDE=FQ","FILING_STATUS=MR","Sort=A","Dates=H","DateFormat=P","Fill=—","Direction=H","UseDPDF=Y")</f>
        <v>5.9207000000000001</v>
      </c>
      <c r="U16" s="20">
        <f>_xll.BDH("NBIX US Equity","PX_TO_TANG_BV_PER_SH","FQ1 2024","FQ1 2024","Currency=USD","Period=FQ","BEST_FPERIOD_OVERRIDE=FQ","FILING_STATUS=MR","Sort=A","Dates=H","DateFormat=P","Fill=—","Direction=H","UseDPDF=Y")</f>
        <v>5.8996000000000004</v>
      </c>
      <c r="V16" s="20">
        <f>_xll.BDH("NBIX US Equity","PX_TO_TANG_BV_PER_SH","FQ2 2024","FQ2 2024","Currency=USD","Period=FQ","BEST_FPERIOD_OVERRIDE=FQ","FILING_STATUS=MR","Sort=A","Dates=H","DateFormat=P","Fill=—","Direction=H","UseDPDF=Y")</f>
        <v>5.6109</v>
      </c>
      <c r="W16" s="20">
        <f>_xll.BDH("NBIX US Equity","PX_TO_TANG_BV_PER_SH","FQ3 2024","FQ3 2024","Currency=USD","Period=FQ","BEST_FPERIOD_OVERRIDE=FQ","FILING_STATUS=MR","Sort=A","Dates=H","DateFormat=P","Fill=—","Direction=H","UseDPDF=Y")</f>
        <v>4.3437000000000001</v>
      </c>
      <c r="X16" s="20">
        <f>_xll.BDH("NBIX US Equity","PX_TO_TANG_BV_PER_SH","FQ4 2024","FQ4 2024","Currency=USD","Period=FQ","BEST_FPERIOD_OVERRIDE=FQ","FILING_STATUS=MR","Sort=A","Dates=H","DateFormat=P","Fill=—","Direction=H","UseDPDF=Y")</f>
        <v>5.3141999999999996</v>
      </c>
      <c r="Y16" s="23">
        <v>4.4015994662870996</v>
      </c>
      <c r="Z16" s="20"/>
      <c r="AA16" s="20"/>
    </row>
    <row r="17" spans="1:27" x14ac:dyDescent="0.25">
      <c r="A17" s="10" t="s">
        <v>209</v>
      </c>
      <c r="B17" s="10" t="s">
        <v>222</v>
      </c>
      <c r="C17" s="14">
        <f>_xll.BDH("NBIX US Equity","AVERAGE_PRICE_TO_TANGIBLE_BPS","FQ3 2019","FQ3 2019","Currency=USD","Period=FQ","BEST_FPERIOD_OVERRIDE=FQ","FILING_STATUS=MR","Sort=A","Dates=H","DateFormat=P","Fill=—","Direction=H","UseDPDF=Y")</f>
        <v>17.639199999999999</v>
      </c>
      <c r="D17" s="14">
        <f>_xll.BDH("NBIX US Equity","AVERAGE_PRICE_TO_TANGIBLE_BPS","FQ4 2019","FQ4 2019","Currency=USD","Period=FQ","BEST_FPERIOD_OVERRIDE=FQ","FILING_STATUS=MR","Sort=A","Dates=H","DateFormat=P","Fill=—","Direction=H","UseDPDF=Y")</f>
        <v>16.755099999999999</v>
      </c>
      <c r="E17" s="14">
        <f>_xll.BDH("NBIX US Equity","AVERAGE_PRICE_TO_TANGIBLE_BPS","FQ1 2020","FQ1 2020","Currency=USD","Period=FQ","BEST_FPERIOD_OVERRIDE=FQ","FILING_STATUS=MR","Sort=A","Dates=H","DateFormat=P","Fill=—","Direction=H","UseDPDF=Y")</f>
        <v>14.1654</v>
      </c>
      <c r="F17" s="14">
        <f>_xll.BDH("NBIX US Equity","AVERAGE_PRICE_TO_TANGIBLE_BPS","FQ2 2020","FQ2 2020","Currency=USD","Period=FQ","BEST_FPERIOD_OVERRIDE=FQ","FILING_STATUS=MR","Sort=A","Dates=H","DateFormat=P","Fill=—","Direction=H","UseDPDF=Y")</f>
        <v>14.6195</v>
      </c>
      <c r="G17" s="14" t="str">
        <f>_xll.BDH("NBIX US Equity","AVERAGE_PRICE_TO_TANGIBLE_BPS","FQ3 2020","FQ3 2020","Currency=USD","Period=FQ","BEST_FPERIOD_OVERRIDE=FQ","FILING_STATUS=MR","Sort=A","Dates=H","DateFormat=P","Fill=—","Direction=H","UseDPDF=Y")</f>
        <v>—</v>
      </c>
      <c r="H17" s="14">
        <f>_xll.BDH("NBIX US Equity","AVERAGE_PRICE_TO_TANGIBLE_BPS","FQ4 2020","FQ4 2020","Currency=USD","Period=FQ","BEST_FPERIOD_OVERRIDE=FQ","FILING_STATUS=MR","Sort=A","Dates=H","DateFormat=P","Fill=—","Direction=H","UseDPDF=Y")</f>
        <v>7.9577</v>
      </c>
      <c r="I17" s="14">
        <f>_xll.BDH("NBIX US Equity","AVERAGE_PRICE_TO_TANGIBLE_BPS","FQ1 2021","FQ1 2021","Currency=USD","Period=FQ","BEST_FPERIOD_OVERRIDE=FQ","FILING_STATUS=MR","Sort=A","Dates=H","DateFormat=P","Fill=—","Direction=H","UseDPDF=Y")</f>
        <v>8.6984999999999992</v>
      </c>
      <c r="J17" s="14">
        <f>_xll.BDH("NBIX US Equity","AVERAGE_PRICE_TO_TANGIBLE_BPS","FQ2 2021","FQ2 2021","Currency=USD","Period=FQ","BEST_FPERIOD_OVERRIDE=FQ","FILING_STATUS=MR","Sort=A","Dates=H","DateFormat=P","Fill=—","Direction=H","UseDPDF=Y")</f>
        <v>7.5111999999999997</v>
      </c>
      <c r="K17" s="14" t="str">
        <f>_xll.BDH("NBIX US Equity","AVERAGE_PRICE_TO_TANGIBLE_BPS","FQ3 2021","FQ3 2021","Currency=USD","Period=FQ","BEST_FPERIOD_OVERRIDE=FQ","FILING_STATUS=MR","Sort=A","Dates=H","DateFormat=P","Fill=—","Direction=H","UseDPDF=Y")</f>
        <v>—</v>
      </c>
      <c r="L17" s="14">
        <f>_xll.BDH("NBIX US Equity","AVERAGE_PRICE_TO_TANGIBLE_BPS","FQ4 2021","FQ4 2021","Currency=USD","Period=FQ","BEST_FPERIOD_OVERRIDE=FQ","FILING_STATUS=MR","Sort=A","Dates=H","DateFormat=P","Fill=—","Direction=H","UseDPDF=Y")</f>
        <v>5.8826000000000001</v>
      </c>
      <c r="M17" s="14">
        <f>_xll.BDH("NBIX US Equity","AVERAGE_PRICE_TO_TANGIBLE_BPS","FQ1 2022","FQ1 2022","Currency=USD","Period=FQ","BEST_FPERIOD_OVERRIDE=FQ","FILING_STATUS=MR","Sort=A","Dates=H","DateFormat=P","Fill=—","Direction=H","UseDPDF=Y")</f>
        <v>5.8433000000000002</v>
      </c>
      <c r="N17" s="14">
        <f>_xll.BDH("NBIX US Equity","AVERAGE_PRICE_TO_TANGIBLE_BPS","FQ2 2022","FQ2 2022","Currency=USD","Period=FQ","BEST_FPERIOD_OVERRIDE=FQ","FILING_STATUS=MR","Sort=A","Dates=H","DateFormat=P","Fill=—","Direction=H","UseDPDF=Y")</f>
        <v>6.5471000000000004</v>
      </c>
      <c r="O17" s="14">
        <f>_xll.BDH("NBIX US Equity","AVERAGE_PRICE_TO_TANGIBLE_BPS","FQ3 2022","FQ3 2022","Currency=USD","Period=FQ","BEST_FPERIOD_OVERRIDE=FQ","FILING_STATUS=MR","Sort=A","Dates=H","DateFormat=P","Fill=—","Direction=H","UseDPDF=Y")</f>
        <v>6.8095999999999997</v>
      </c>
      <c r="P17" s="14">
        <f>_xll.BDH("NBIX US Equity","AVERAGE_PRICE_TO_TANGIBLE_BPS","FQ4 2022","FQ4 2022","Currency=USD","Period=FQ","BEST_FPERIOD_OVERRIDE=FQ","FILING_STATUS=MR","Sort=A","Dates=H","DateFormat=P","Fill=—","Direction=H","UseDPDF=Y")</f>
        <v>6.8993000000000002</v>
      </c>
      <c r="Q17" s="14">
        <f>_xll.BDH("NBIX US Equity","AVERAGE_PRICE_TO_TANGIBLE_BPS","FQ1 2023","FQ1 2023","Currency=USD","Period=FQ","BEST_FPERIOD_OVERRIDE=FQ","FILING_STATUS=MR","Sort=A","Dates=H","DateFormat=P","Fill=—","Direction=H","UseDPDF=Y")</f>
        <v>6.0132000000000003</v>
      </c>
      <c r="R17" s="14">
        <f>_xll.BDH("NBIX US Equity","AVERAGE_PRICE_TO_TANGIBLE_BPS","FQ2 2023","FQ2 2023","Currency=USD","Period=FQ","BEST_FPERIOD_OVERRIDE=FQ","FILING_STATUS=MR","Sort=A","Dates=H","DateFormat=P","Fill=—","Direction=H","UseDPDF=Y")</f>
        <v>5.7747999999999999</v>
      </c>
      <c r="S17" s="14">
        <f>_xll.BDH("NBIX US Equity","AVERAGE_PRICE_TO_TANGIBLE_BPS","FQ3 2023","FQ3 2023","Currency=USD","Period=FQ","BEST_FPERIOD_OVERRIDE=FQ","FILING_STATUS=MR","Sort=A","Dates=H","DateFormat=P","Fill=—","Direction=H","UseDPDF=Y")</f>
        <v>5.6521999999999997</v>
      </c>
      <c r="T17" s="14">
        <f>_xll.BDH("NBIX US Equity","AVERAGE_PRICE_TO_TANGIBLE_BPS","FQ4 2023","FQ4 2023","Currency=USD","Period=FQ","BEST_FPERIOD_OVERRIDE=FQ","FILING_STATUS=MR","Sort=A","Dates=H","DateFormat=P","Fill=—","Direction=H","UseDPDF=Y")</f>
        <v>5.7355</v>
      </c>
      <c r="U17" s="14">
        <f>_xll.BDH("NBIX US Equity","AVERAGE_PRICE_TO_TANGIBLE_BPS","FQ1 2024","FQ1 2024","Currency=USD","Period=FQ","BEST_FPERIOD_OVERRIDE=FQ","FILING_STATUS=MR","Sort=A","Dates=H","DateFormat=P","Fill=—","Direction=H","UseDPDF=Y")</f>
        <v>6.1319999999999997</v>
      </c>
      <c r="V17" s="14">
        <f>_xll.BDH("NBIX US Equity","AVERAGE_PRICE_TO_TANGIBLE_BPS","FQ2 2024","FQ2 2024","Currency=USD","Period=FQ","BEST_FPERIOD_OVERRIDE=FQ","FILING_STATUS=MR","Sort=A","Dates=H","DateFormat=P","Fill=—","Direction=H","UseDPDF=Y")</f>
        <v>5.8617999999999997</v>
      </c>
      <c r="W17" s="14">
        <f>_xll.BDH("NBIX US Equity","AVERAGE_PRICE_TO_TANGIBLE_BPS","FQ3 2024","FQ3 2024","Currency=USD","Period=FQ","BEST_FPERIOD_OVERRIDE=FQ","FILING_STATUS=MR","Sort=A","Dates=H","DateFormat=P","Fill=—","Direction=H","UseDPDF=Y")</f>
        <v>5.5818000000000003</v>
      </c>
      <c r="X17" s="14">
        <f>_xll.BDH("NBIX US Equity","AVERAGE_PRICE_TO_TANGIBLE_BPS","FQ4 2024","FQ4 2024","Currency=USD","Period=FQ","BEST_FPERIOD_OVERRIDE=FQ","FILING_STATUS=MR","Sort=A","Dates=H","DateFormat=P","Fill=—","Direction=H","UseDPDF=Y")</f>
        <v>4.6654999999999998</v>
      </c>
      <c r="Y17" s="17"/>
      <c r="Z17" s="14"/>
      <c r="AA17" s="14"/>
    </row>
    <row r="18" spans="1:27" x14ac:dyDescent="0.25">
      <c r="A18" s="10" t="s">
        <v>211</v>
      </c>
      <c r="B18" s="10" t="s">
        <v>223</v>
      </c>
      <c r="C18" s="14">
        <f>_xll.BDH("NBIX US Equity","HIGH_PRICE_TO_TANGIBLE_BPS","FQ3 2019","FQ3 2019","Currency=USD","Period=FQ","BEST_FPERIOD_OVERRIDE=FQ","FILING_STATUS=MR","Sort=A","Dates=H","DateFormat=P","Fill=—","Direction=H","UseDPDF=Y")</f>
        <v>19.207799999999999</v>
      </c>
      <c r="D18" s="14">
        <f>_xll.BDH("NBIX US Equity","HIGH_PRICE_TO_TANGIBLE_BPS","FQ4 2019","FQ4 2019","Currency=USD","Period=FQ","BEST_FPERIOD_OVERRIDE=FQ","FILING_STATUS=MR","Sort=A","Dates=H","DateFormat=P","Fill=—","Direction=H","UseDPDF=Y")</f>
        <v>19.003699999999998</v>
      </c>
      <c r="E18" s="14">
        <f>_xll.BDH("NBIX US Equity","HIGH_PRICE_TO_TANGIBLE_BPS","FQ1 2020","FQ1 2020","Currency=USD","Period=FQ","BEST_FPERIOD_OVERRIDE=FQ","FILING_STATUS=MR","Sort=A","Dates=H","DateFormat=P","Fill=—","Direction=H","UseDPDF=Y")</f>
        <v>16.4862</v>
      </c>
      <c r="F18" s="14">
        <f>_xll.BDH("NBIX US Equity","HIGH_PRICE_TO_TANGIBLE_BPS","FQ2 2020","FQ2 2020","Currency=USD","Period=FQ","BEST_FPERIOD_OVERRIDE=FQ","FILING_STATUS=MR","Sort=A","Dates=H","DateFormat=P","Fill=—","Direction=H","UseDPDF=Y")</f>
        <v>17.2746</v>
      </c>
      <c r="G18" s="14" t="str">
        <f>_xll.BDH("NBIX US Equity","HIGH_PRICE_TO_TANGIBLE_BPS","FQ3 2020","FQ3 2020","Currency=USD","Period=FQ","BEST_FPERIOD_OVERRIDE=FQ","FILING_STATUS=MR","Sort=A","Dates=H","DateFormat=P","Fill=—","Direction=H","UseDPDF=Y")</f>
        <v>—</v>
      </c>
      <c r="H18" s="14">
        <f>_xll.BDH("NBIX US Equity","HIGH_PRICE_TO_TANGIBLE_BPS","FQ4 2020","FQ4 2020","Currency=USD","Period=FQ","BEST_FPERIOD_OVERRIDE=FQ","FILING_STATUS=MR","Sort=A","Dates=H","DateFormat=P","Fill=—","Direction=H","UseDPDF=Y")</f>
        <v>7.9577</v>
      </c>
      <c r="I18" s="14">
        <f>_xll.BDH("NBIX US Equity","HIGH_PRICE_TO_TANGIBLE_BPS","FQ1 2021","FQ1 2021","Currency=USD","Period=FQ","BEST_FPERIOD_OVERRIDE=FQ","FILING_STATUS=MR","Sort=A","Dates=H","DateFormat=P","Fill=—","Direction=H","UseDPDF=Y")</f>
        <v>9.9129000000000005</v>
      </c>
      <c r="J18" s="14">
        <f>_xll.BDH("NBIX US Equity","HIGH_PRICE_TO_TANGIBLE_BPS","FQ2 2021","FQ2 2021","Currency=USD","Period=FQ","BEST_FPERIOD_OVERRIDE=FQ","FILING_STATUS=MR","Sort=A","Dates=H","DateFormat=P","Fill=—","Direction=H","UseDPDF=Y")</f>
        <v>8.0164000000000009</v>
      </c>
      <c r="K18" s="14" t="str">
        <f>_xll.BDH("NBIX US Equity","HIGH_PRICE_TO_TANGIBLE_BPS","FQ3 2021","FQ3 2021","Currency=USD","Period=FQ","BEST_FPERIOD_OVERRIDE=FQ","FILING_STATUS=MR","Sort=A","Dates=H","DateFormat=P","Fill=—","Direction=H","UseDPDF=Y")</f>
        <v>—</v>
      </c>
      <c r="L18" s="14">
        <f>_xll.BDH("NBIX US Equity","HIGH_PRICE_TO_TANGIBLE_BPS","FQ4 2021","FQ4 2021","Currency=USD","Period=FQ","BEST_FPERIOD_OVERRIDE=FQ","FILING_STATUS=MR","Sort=A","Dates=H","DateFormat=P","Fill=—","Direction=H","UseDPDF=Y")</f>
        <v>5.8826000000000001</v>
      </c>
      <c r="M18" s="14">
        <f>_xll.BDH("NBIX US Equity","HIGH_PRICE_TO_TANGIBLE_BPS","FQ1 2022","FQ1 2022","Currency=USD","Period=FQ","BEST_FPERIOD_OVERRIDE=FQ","FILING_STATUS=MR","Sort=A","Dates=H","DateFormat=P","Fill=—","Direction=H","UseDPDF=Y")</f>
        <v>6.5484</v>
      </c>
      <c r="N18" s="14">
        <f>_xll.BDH("NBIX US Equity","HIGH_PRICE_TO_TANGIBLE_BPS","FQ2 2022","FQ2 2022","Currency=USD","Period=FQ","BEST_FPERIOD_OVERRIDE=FQ","FILING_STATUS=MR","Sort=A","Dates=H","DateFormat=P","Fill=—","Direction=H","UseDPDF=Y")</f>
        <v>6.5471000000000004</v>
      </c>
      <c r="O18" s="14">
        <f>_xll.BDH("NBIX US Equity","HIGH_PRICE_TO_TANGIBLE_BPS","FQ3 2022","FQ3 2022","Currency=USD","Period=FQ","BEST_FPERIOD_OVERRIDE=FQ","FILING_STATUS=MR","Sort=A","Dates=H","DateFormat=P","Fill=—","Direction=H","UseDPDF=Y")</f>
        <v>7.2408999999999999</v>
      </c>
      <c r="P18" s="14">
        <f>_xll.BDH("NBIX US Equity","HIGH_PRICE_TO_TANGIBLE_BPS","FQ4 2022","FQ4 2022","Currency=USD","Period=FQ","BEST_FPERIOD_OVERRIDE=FQ","FILING_STATUS=MR","Sort=A","Dates=H","DateFormat=P","Fill=—","Direction=H","UseDPDF=Y")</f>
        <v>6.8993000000000002</v>
      </c>
      <c r="Q18" s="14">
        <f>_xll.BDH("NBIX US Equity","HIGH_PRICE_TO_TANGIBLE_BPS","FQ1 2023","FQ1 2023","Currency=USD","Period=FQ","BEST_FPERIOD_OVERRIDE=FQ","FILING_STATUS=MR","Sort=A","Dates=H","DateFormat=P","Fill=—","Direction=H","UseDPDF=Y")</f>
        <v>7.1060999999999996</v>
      </c>
      <c r="R18" s="14">
        <f>_xll.BDH("NBIX US Equity","HIGH_PRICE_TO_TANGIBLE_BPS","FQ2 2023","FQ2 2023","Currency=USD","Period=FQ","BEST_FPERIOD_OVERRIDE=FQ","FILING_STATUS=MR","Sort=A","Dates=H","DateFormat=P","Fill=—","Direction=H","UseDPDF=Y")</f>
        <v>6.2069999999999999</v>
      </c>
      <c r="S18" s="14">
        <f>_xll.BDH("NBIX US Equity","HIGH_PRICE_TO_TANGIBLE_BPS","FQ3 2023","FQ3 2023","Currency=USD","Period=FQ","BEST_FPERIOD_OVERRIDE=FQ","FILING_STATUS=MR","Sort=A","Dates=H","DateFormat=P","Fill=—","Direction=H","UseDPDF=Y")</f>
        <v>6.2930999999999999</v>
      </c>
      <c r="T18" s="14">
        <f>_xll.BDH("NBIX US Equity","HIGH_PRICE_TO_TANGIBLE_BPS","FQ4 2023","FQ4 2023","Currency=USD","Period=FQ","BEST_FPERIOD_OVERRIDE=FQ","FILING_STATUS=MR","Sort=A","Dates=H","DateFormat=P","Fill=—","Direction=H","UseDPDF=Y")</f>
        <v>6.6272000000000002</v>
      </c>
      <c r="U18" s="14">
        <f>_xll.BDH("NBIX US Equity","HIGH_PRICE_TO_TANGIBLE_BPS","FQ1 2024","FQ1 2024","Currency=USD","Period=FQ","BEST_FPERIOD_OVERRIDE=FQ","FILING_STATUS=MR","Sort=A","Dates=H","DateFormat=P","Fill=—","Direction=H","UseDPDF=Y")</f>
        <v>6.4589999999999996</v>
      </c>
      <c r="V18" s="14">
        <f>_xll.BDH("NBIX US Equity","HIGH_PRICE_TO_TANGIBLE_BPS","FQ2 2024","FQ2 2024","Currency=USD","Period=FQ","BEST_FPERIOD_OVERRIDE=FQ","FILING_STATUS=MR","Sort=A","Dates=H","DateFormat=P","Fill=—","Direction=H","UseDPDF=Y")</f>
        <v>6.1250999999999998</v>
      </c>
      <c r="W18" s="14">
        <f>_xll.BDH("NBIX US Equity","HIGH_PRICE_TO_TANGIBLE_BPS","FQ3 2024","FQ3 2024","Currency=USD","Period=FQ","BEST_FPERIOD_OVERRIDE=FQ","FILING_STATUS=MR","Sort=A","Dates=H","DateFormat=P","Fill=—","Direction=H","UseDPDF=Y")</f>
        <v>6.2417999999999996</v>
      </c>
      <c r="X18" s="14">
        <f>_xll.BDH("NBIX US Equity","HIGH_PRICE_TO_TANGIBLE_BPS","FQ4 2024","FQ4 2024","Currency=USD","Period=FQ","BEST_FPERIOD_OVERRIDE=FQ","FILING_STATUS=MR","Sort=A","Dates=H","DateFormat=P","Fill=—","Direction=H","UseDPDF=Y")</f>
        <v>5.3141999999999996</v>
      </c>
      <c r="Y18" s="17"/>
      <c r="Z18" s="14"/>
      <c r="AA18" s="14"/>
    </row>
    <row r="19" spans="1:27" x14ac:dyDescent="0.25">
      <c r="A19" s="10" t="s">
        <v>213</v>
      </c>
      <c r="B19" s="10" t="s">
        <v>224</v>
      </c>
      <c r="C19" s="14">
        <f>_xll.BDH("NBIX US Equity","LOW_PRICE_TO_TANGIBLE_BPS","FQ3 2019","FQ3 2019","Currency=USD","Period=FQ","BEST_FPERIOD_OVERRIDE=FQ","FILING_STATUS=MR","Sort=A","Dates=H","DateFormat=P","Fill=—","Direction=H","UseDPDF=Y")</f>
        <v>14.442299999999999</v>
      </c>
      <c r="D19" s="14">
        <f>_xll.BDH("NBIX US Equity","LOW_PRICE_TO_TANGIBLE_BPS","FQ4 2019","FQ4 2019","Currency=USD","Period=FQ","BEST_FPERIOD_OVERRIDE=FQ","FILING_STATUS=MR","Sort=A","Dates=H","DateFormat=P","Fill=—","Direction=H","UseDPDF=Y")</f>
        <v>13.911799999999999</v>
      </c>
      <c r="E19" s="14">
        <f>_xll.BDH("NBIX US Equity","LOW_PRICE_TO_TANGIBLE_BPS","FQ1 2020","FQ1 2020","Currency=USD","Period=FQ","BEST_FPERIOD_OVERRIDE=FQ","FILING_STATUS=MR","Sort=A","Dates=H","DateFormat=P","Fill=—","Direction=H","UseDPDF=Y")</f>
        <v>10.885</v>
      </c>
      <c r="F19" s="14">
        <f>_xll.BDH("NBIX US Equity","LOW_PRICE_TO_TANGIBLE_BPS","FQ2 2020","FQ2 2020","Currency=USD","Period=FQ","BEST_FPERIOD_OVERRIDE=FQ","FILING_STATUS=MR","Sort=A","Dates=H","DateFormat=P","Fill=—","Direction=H","UseDPDF=Y")</f>
        <v>11.275700000000001</v>
      </c>
      <c r="G19" s="14" t="str">
        <f>_xll.BDH("NBIX US Equity","LOW_PRICE_TO_TANGIBLE_BPS","FQ3 2020","FQ3 2020","Currency=USD","Period=FQ","BEST_FPERIOD_OVERRIDE=FQ","FILING_STATUS=MR","Sort=A","Dates=H","DateFormat=P","Fill=—","Direction=H","UseDPDF=Y")</f>
        <v>—</v>
      </c>
      <c r="H19" s="14">
        <f>_xll.BDH("NBIX US Equity","LOW_PRICE_TO_TANGIBLE_BPS","FQ4 2020","FQ4 2020","Currency=USD","Period=FQ","BEST_FPERIOD_OVERRIDE=FQ","FILING_STATUS=MR","Sort=A","Dates=H","DateFormat=P","Fill=—","Direction=H","UseDPDF=Y")</f>
        <v>7.9577</v>
      </c>
      <c r="I19" s="14">
        <f>_xll.BDH("NBIX US Equity","LOW_PRICE_TO_TANGIBLE_BPS","FQ1 2021","FQ1 2021","Currency=USD","Period=FQ","BEST_FPERIOD_OVERRIDE=FQ","FILING_STATUS=MR","Sort=A","Dates=H","DateFormat=P","Fill=—","Direction=H","UseDPDF=Y")</f>
        <v>7.2702999999999998</v>
      </c>
      <c r="J19" s="14">
        <f>_xll.BDH("NBIX US Equity","LOW_PRICE_TO_TANGIBLE_BPS","FQ2 2021","FQ2 2021","Currency=USD","Period=FQ","BEST_FPERIOD_OVERRIDE=FQ","FILING_STATUS=MR","Sort=A","Dates=H","DateFormat=P","Fill=—","Direction=H","UseDPDF=Y")</f>
        <v>7.0099</v>
      </c>
      <c r="K19" s="14" t="str">
        <f>_xll.BDH("NBIX US Equity","LOW_PRICE_TO_TANGIBLE_BPS","FQ3 2021","FQ3 2021","Currency=USD","Period=FQ","BEST_FPERIOD_OVERRIDE=FQ","FILING_STATUS=MR","Sort=A","Dates=H","DateFormat=P","Fill=—","Direction=H","UseDPDF=Y")</f>
        <v>—</v>
      </c>
      <c r="L19" s="14">
        <f>_xll.BDH("NBIX US Equity","LOW_PRICE_TO_TANGIBLE_BPS","FQ4 2021","FQ4 2021","Currency=USD","Period=FQ","BEST_FPERIOD_OVERRIDE=FQ","FILING_STATUS=MR","Sort=A","Dates=H","DateFormat=P","Fill=—","Direction=H","UseDPDF=Y")</f>
        <v>5.8826000000000001</v>
      </c>
      <c r="M19" s="14">
        <f>_xll.BDH("NBIX US Equity","LOW_PRICE_TO_TANGIBLE_BPS","FQ1 2022","FQ1 2022","Currency=USD","Period=FQ","BEST_FPERIOD_OVERRIDE=FQ","FILING_STATUS=MR","Sort=A","Dates=H","DateFormat=P","Fill=—","Direction=H","UseDPDF=Y")</f>
        <v>5.0039999999999996</v>
      </c>
      <c r="N19" s="14">
        <f>_xll.BDH("NBIX US Equity","LOW_PRICE_TO_TANGIBLE_BPS","FQ2 2022","FQ2 2022","Currency=USD","Period=FQ","BEST_FPERIOD_OVERRIDE=FQ","FILING_STATUS=MR","Sort=A","Dates=H","DateFormat=P","Fill=—","Direction=H","UseDPDF=Y")</f>
        <v>6.5471000000000004</v>
      </c>
      <c r="O19" s="14">
        <f>_xll.BDH("NBIX US Equity","LOW_PRICE_TO_TANGIBLE_BPS","FQ3 2022","FQ3 2022","Currency=USD","Period=FQ","BEST_FPERIOD_OVERRIDE=FQ","FILING_STATUS=MR","Sort=A","Dates=H","DateFormat=P","Fill=—","Direction=H","UseDPDF=Y")</f>
        <v>6.181</v>
      </c>
      <c r="P19" s="14">
        <f>_xll.BDH("NBIX US Equity","LOW_PRICE_TO_TANGIBLE_BPS","FQ4 2022","FQ4 2022","Currency=USD","Period=FQ","BEST_FPERIOD_OVERRIDE=FQ","FILING_STATUS=MR","Sort=A","Dates=H","DateFormat=P","Fill=—","Direction=H","UseDPDF=Y")</f>
        <v>6.8993000000000002</v>
      </c>
      <c r="Q19" s="14">
        <f>_xll.BDH("NBIX US Equity","LOW_PRICE_TO_TANGIBLE_BPS","FQ1 2023","FQ1 2023","Currency=USD","Period=FQ","BEST_FPERIOD_OVERRIDE=FQ","FILING_STATUS=MR","Sort=A","Dates=H","DateFormat=P","Fill=—","Direction=H","UseDPDF=Y")</f>
        <v>5.4360999999999997</v>
      </c>
      <c r="R19" s="14">
        <f>_xll.BDH("NBIX US Equity","LOW_PRICE_TO_TANGIBLE_BPS","FQ2 2023","FQ2 2023","Currency=USD","Period=FQ","BEST_FPERIOD_OVERRIDE=FQ","FILING_STATUS=MR","Sort=A","Dates=H","DateFormat=P","Fill=—","Direction=H","UseDPDF=Y")</f>
        <v>5.0678000000000001</v>
      </c>
      <c r="S19" s="14">
        <f>_xll.BDH("NBIX US Equity","LOW_PRICE_TO_TANGIBLE_BPS","FQ3 2023","FQ3 2023","Currency=USD","Period=FQ","BEST_FPERIOD_OVERRIDE=FQ","FILING_STATUS=MR","Sort=A","Dates=H","DateFormat=P","Fill=—","Direction=H","UseDPDF=Y")</f>
        <v>5.0528000000000004</v>
      </c>
      <c r="T19" s="14">
        <f>_xll.BDH("NBIX US Equity","LOW_PRICE_TO_TANGIBLE_BPS","FQ4 2023","FQ4 2023","Currency=USD","Period=FQ","BEST_FPERIOD_OVERRIDE=FQ","FILING_STATUS=MR","Sort=A","Dates=H","DateFormat=P","Fill=—","Direction=H","UseDPDF=Y")</f>
        <v>5.2949000000000002</v>
      </c>
      <c r="U19" s="14">
        <f>_xll.BDH("NBIX US Equity","LOW_PRICE_TO_TANGIBLE_BPS","FQ1 2024","FQ1 2024","Currency=USD","Period=FQ","BEST_FPERIOD_OVERRIDE=FQ","FILING_STATUS=MR","Sort=A","Dates=H","DateFormat=P","Fill=—","Direction=H","UseDPDF=Y")</f>
        <v>5.8594999999999997</v>
      </c>
      <c r="V19" s="14">
        <f>_xll.BDH("NBIX US Equity","LOW_PRICE_TO_TANGIBLE_BPS","FQ2 2024","FQ2 2024","Currency=USD","Period=FQ","BEST_FPERIOD_OVERRIDE=FQ","FILING_STATUS=MR","Sort=A","Dates=H","DateFormat=P","Fill=—","Direction=H","UseDPDF=Y")</f>
        <v>5.5975999999999999</v>
      </c>
      <c r="W19" s="14">
        <f>_xll.BDH("NBIX US Equity","LOW_PRICE_TO_TANGIBLE_BPS","FQ3 2024","FQ3 2024","Currency=USD","Period=FQ","BEST_FPERIOD_OVERRIDE=FQ","FILING_STATUS=MR","Sort=A","Dates=H","DateFormat=P","Fill=—","Direction=H","UseDPDF=Y")</f>
        <v>4.3437000000000001</v>
      </c>
      <c r="X19" s="14">
        <f>_xll.BDH("NBIX US Equity","LOW_PRICE_TO_TANGIBLE_BPS","FQ4 2024","FQ4 2024","Currency=USD","Period=FQ","BEST_FPERIOD_OVERRIDE=FQ","FILING_STATUS=MR","Sort=A","Dates=H","DateFormat=P","Fill=—","Direction=H","UseDPDF=Y")</f>
        <v>4.2080000000000002</v>
      </c>
      <c r="Y19" s="17"/>
      <c r="Z19" s="14"/>
      <c r="AA19" s="14"/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21"/>
      <c r="Z20" s="18"/>
      <c r="AA20" s="18"/>
    </row>
    <row r="21" spans="1:27" x14ac:dyDescent="0.25">
      <c r="A21" s="6" t="s">
        <v>225</v>
      </c>
      <c r="B21" s="6" t="s">
        <v>226</v>
      </c>
      <c r="C21" s="20">
        <f>_xll.BDH("NBIX US Equity","PX_TO_SALES_RATIO","FQ3 2019","FQ3 2019","Currency=USD","Period=FQ","BEST_FPERIOD_OVERRIDE=FQ","FILING_STATUS=MR","FA_ADJUSTED=GAAP","Sort=A","Dates=H","DateFormat=P","Fill=—","Direction=H","UseDPDF=Y")</f>
        <v>12.1843</v>
      </c>
      <c r="D21" s="20">
        <f>_xll.BDH("NBIX US Equity","PX_TO_SALES_RATIO","FQ4 2019","FQ4 2019","Currency=USD","Period=FQ","BEST_FPERIOD_OVERRIDE=FQ","FILING_STATUS=MR","FA_ADJUSTED=GAAP","Sort=A","Dates=H","DateFormat=P","Fill=—","Direction=H","UseDPDF=Y")</f>
        <v>12.5075</v>
      </c>
      <c r="E21" s="20">
        <f>_xll.BDH("NBIX US Equity","PX_TO_SALES_RATIO","FQ1 2020","FQ1 2020","Currency=USD","Period=FQ","BEST_FPERIOD_OVERRIDE=FQ","FILING_STATUS=MR","FA_ADJUSTED=GAAP","Sort=A","Dates=H","DateFormat=P","Fill=—","Direction=H","UseDPDF=Y")</f>
        <v>8.9832999999999998</v>
      </c>
      <c r="F21" s="20">
        <f>_xll.BDH("NBIX US Equity","PX_TO_SALES_RATIO","FQ2 2020","FQ2 2020","Currency=USD","Period=FQ","BEST_FPERIOD_OVERRIDE=FQ","FILING_STATUS=MR","FA_ADJUSTED=GAAP","Sort=A","Dates=H","DateFormat=P","Fill=—","Direction=H","UseDPDF=Y")</f>
        <v>11.215999999999999</v>
      </c>
      <c r="G21" s="20">
        <f>_xll.BDH("NBIX US Equity","PX_TO_SALES_RATIO","FQ3 2020","FQ3 2020","Currency=USD","Period=FQ","BEST_FPERIOD_OVERRIDE=FQ","FILING_STATUS=MR","FA_ADJUSTED=GAAP","Sort=A","Dates=H","DateFormat=P","Fill=—","Direction=H","UseDPDF=Y")</f>
        <v>8.5625999999999998</v>
      </c>
      <c r="H21" s="20">
        <f>_xll.BDH("NBIX US Equity","PX_TO_SALES_RATIO","FQ4 2020","FQ4 2020","Currency=USD","Period=FQ","BEST_FPERIOD_OVERRIDE=FQ","FILING_STATUS=MR","FA_ADJUSTED=GAAP","Sort=A","Dates=H","DateFormat=P","Fill=—","Direction=H","UseDPDF=Y")</f>
        <v>8.5320999999999998</v>
      </c>
      <c r="I21" s="20">
        <f>_xll.BDH("NBIX US Equity","PX_TO_SALES_RATIO","FQ1 2021","FQ1 2021","Currency=USD","Period=FQ","BEST_FPERIOD_OVERRIDE=FQ","FILING_STATUS=MR","FA_ADJUSTED=GAAP","Sort=A","Dates=H","DateFormat=P","Fill=—","Direction=H","UseDPDF=Y")</f>
        <v>8.6944999999999997</v>
      </c>
      <c r="J21" s="20">
        <f>_xll.BDH("NBIX US Equity","PX_TO_SALES_RATIO","FQ2 2021","FQ2 2021","Currency=USD","Period=FQ","BEST_FPERIOD_OVERRIDE=FQ","FILING_STATUS=MR","FA_ADJUSTED=GAAP","Sort=A","Dates=H","DateFormat=P","Fill=—","Direction=H","UseDPDF=Y")</f>
        <v>8.8573000000000004</v>
      </c>
      <c r="K21" s="20">
        <f>_xll.BDH("NBIX US Equity","PX_TO_SALES_RATIO","FQ3 2021","FQ3 2021","Currency=USD","Period=FQ","BEST_FPERIOD_OVERRIDE=FQ","FILING_STATUS=MR","FA_ADJUSTED=GAAP","Sort=A","Dates=H","DateFormat=P","Fill=—","Direction=H","UseDPDF=Y")</f>
        <v>8.4557000000000002</v>
      </c>
      <c r="L21" s="20">
        <f>_xll.BDH("NBIX US Equity","PX_TO_SALES_RATIO","FQ4 2021","FQ4 2021","Currency=USD","Period=FQ","BEST_FPERIOD_OVERRIDE=FQ","FILING_STATUS=MR","FA_ADJUSTED=GAAP","Sort=A","Dates=H","DateFormat=P","Fill=—","Direction=H","UseDPDF=Y")</f>
        <v>7.11</v>
      </c>
      <c r="M21" s="20">
        <f>_xll.BDH("NBIX US Equity","PX_TO_SALES_RATIO","FQ1 2022","FQ1 2022","Currency=USD","Period=FQ","BEST_FPERIOD_OVERRIDE=FQ","FILING_STATUS=MR","FA_ADJUSTED=GAAP","Sort=A","Dates=H","DateFormat=P","Fill=—","Direction=H","UseDPDF=Y")</f>
        <v>7.3666</v>
      </c>
      <c r="N21" s="20">
        <f>_xll.BDH("NBIX US Equity","PX_TO_SALES_RATIO","FQ2 2022","FQ2 2022","Currency=USD","Period=FQ","BEST_FPERIOD_OVERRIDE=FQ","FILING_STATUS=MR","FA_ADJUSTED=GAAP","Sort=A","Dates=H","DateFormat=P","Fill=—","Direction=H","UseDPDF=Y")</f>
        <v>7.1525999999999996</v>
      </c>
      <c r="O21" s="20">
        <f>_xll.BDH("NBIX US Equity","PX_TO_SALES_RATIO","FQ3 2022","FQ3 2022","Currency=USD","Period=FQ","BEST_FPERIOD_OVERRIDE=FQ","FILING_STATUS=MR","FA_ADJUSTED=GAAP","Sort=A","Dates=H","DateFormat=P","Fill=—","Direction=H","UseDPDF=Y")</f>
        <v>7.2987000000000002</v>
      </c>
      <c r="P21" s="20">
        <f>_xll.BDH("NBIX US Equity","PX_TO_SALES_RATIO","FQ4 2022","FQ4 2022","Currency=USD","Period=FQ","BEST_FPERIOD_OVERRIDE=FQ","FILING_STATUS=MR","FA_ADJUSTED=GAAP","Sort=A","Dates=H","DateFormat=P","Fill=—","Direction=H","UseDPDF=Y")</f>
        <v>7.6847000000000003</v>
      </c>
      <c r="Q21" s="20">
        <f>_xll.BDH("NBIX US Equity","PX_TO_SALES_RATIO","FQ1 2023","FQ1 2023","Currency=USD","Period=FQ","BEST_FPERIOD_OVERRIDE=FQ","FILING_STATUS=MR","FA_ADJUSTED=GAAP","Sort=A","Dates=H","DateFormat=P","Fill=—","Direction=H","UseDPDF=Y")</f>
        <v>6.0928000000000004</v>
      </c>
      <c r="R21" s="20">
        <f>_xll.BDH("NBIX US Equity","PX_TO_SALES_RATIO","FQ2 2023","FQ2 2023","Currency=USD","Period=FQ","BEST_FPERIOD_OVERRIDE=FQ","FILING_STATUS=MR","FA_ADJUSTED=GAAP","Sort=A","Dates=H","DateFormat=P","Fill=—","Direction=H","UseDPDF=Y")</f>
        <v>5.4523999999999999</v>
      </c>
      <c r="S21" s="20">
        <f>_xll.BDH("NBIX US Equity","PX_TO_SALES_RATIO","FQ3 2023","FQ3 2023","Currency=USD","Period=FQ","BEST_FPERIOD_OVERRIDE=FQ","FILING_STATUS=MR","FA_ADJUSTED=GAAP","Sort=A","Dates=H","DateFormat=P","Fill=—","Direction=H","UseDPDF=Y")</f>
        <v>6.1337000000000002</v>
      </c>
      <c r="T21" s="20">
        <f>_xll.BDH("NBIX US Equity","PX_TO_SALES_RATIO","FQ4 2023","FQ4 2023","Currency=USD","Period=FQ","BEST_FPERIOD_OVERRIDE=FQ","FILING_STATUS=MR","FA_ADJUSTED=GAAP","Sort=A","Dates=H","DateFormat=P","Fill=—","Direction=H","UseDPDF=Y")</f>
        <v>6.8273999999999999</v>
      </c>
      <c r="U21" s="20">
        <f>_xll.BDH("NBIX US Equity","PX_TO_SALES_RATIO","FQ1 2024","FQ1 2024","Currency=USD","Period=FQ","BEST_FPERIOD_OVERRIDE=FQ","FILING_STATUS=MR","FA_ADJUSTED=GAAP","Sort=A","Dates=H","DateFormat=P","Fill=—","Direction=H","UseDPDF=Y")</f>
        <v>6.8506</v>
      </c>
      <c r="V21" s="20">
        <f>_xll.BDH("NBIX US Equity","PX_TO_SALES_RATIO","FQ2 2024","FQ2 2024","Currency=USD","Period=FQ","BEST_FPERIOD_OVERRIDE=FQ","FILING_STATUS=MR","FA_ADJUSTED=GAAP","Sort=A","Dates=H","DateFormat=P","Fill=—","Direction=H","UseDPDF=Y")</f>
        <v>6.4485000000000001</v>
      </c>
      <c r="W21" s="20">
        <f>_xll.BDH("NBIX US Equity","PX_TO_SALES_RATIO","FQ3 2024","FQ3 2024","Currency=USD","Period=FQ","BEST_FPERIOD_OVERRIDE=FQ","FILING_STATUS=MR","FA_ADJUSTED=GAAP","Sort=A","Dates=H","DateFormat=P","Fill=—","Direction=H","UseDPDF=Y")</f>
        <v>5.1420000000000003</v>
      </c>
      <c r="X21" s="20">
        <f>_xll.BDH("NBIX US Equity","PX_TO_SALES_RATIO","FQ4 2024","FQ4 2024","Currency=USD","Period=FQ","BEST_FPERIOD_OVERRIDE=FQ","FILING_STATUS=MR","FA_ADJUSTED=GAAP","Sort=A","Dates=H","DateFormat=P","Fill=—","Direction=H","UseDPDF=Y")</f>
        <v>5.8212000000000002</v>
      </c>
      <c r="Y21" s="23">
        <v>4.8215688093392099</v>
      </c>
      <c r="Z21" s="20">
        <v>4.2278774462939603</v>
      </c>
      <c r="AA21" s="20">
        <v>4.0040738789728696</v>
      </c>
    </row>
    <row r="22" spans="1:27" x14ac:dyDescent="0.25">
      <c r="A22" s="10" t="s">
        <v>209</v>
      </c>
      <c r="B22" s="10" t="s">
        <v>227</v>
      </c>
      <c r="C22" s="14">
        <f>_xll.BDH("NBIX US Equity","AVERAGE_PRICE_TO_SALES_RATIO","FQ3 2019","FQ3 2019","Currency=USD","Period=FQ","BEST_FPERIOD_OVERRIDE=FQ","FILING_STATUS=MR","FA_ADJUSTED=GAAP","Sort=A","Dates=H","DateFormat=P","Fill=—","Direction=H","UseDPDF=Y")</f>
        <v>14.020200000000001</v>
      </c>
      <c r="D22" s="14">
        <f>_xll.BDH("NBIX US Equity","AVERAGE_PRICE_TO_SALES_RATIO","FQ4 2019","FQ4 2019","Currency=USD","Period=FQ","BEST_FPERIOD_OVERRIDE=FQ","FILING_STATUS=MR","FA_ADJUSTED=GAAP","Sort=A","Dates=H","DateFormat=P","Fill=—","Direction=H","UseDPDF=Y")</f>
        <v>14.1256</v>
      </c>
      <c r="E22" s="14">
        <f>_xll.BDH("NBIX US Equity","AVERAGE_PRICE_TO_SALES_RATIO","FQ1 2020","FQ1 2020","Currency=USD","Period=FQ","BEST_FPERIOD_OVERRIDE=FQ","FILING_STATUS=MR","FA_ADJUSTED=GAAP","Sort=A","Dates=H","DateFormat=P","Fill=—","Direction=H","UseDPDF=Y")</f>
        <v>11.370100000000001</v>
      </c>
      <c r="F22" s="14">
        <f>_xll.BDH("NBIX US Equity","AVERAGE_PRICE_TO_SALES_RATIO","FQ2 2020","FQ2 2020","Currency=USD","Period=FQ","BEST_FPERIOD_OVERRIDE=FQ","FILING_STATUS=MR","FA_ADJUSTED=GAAP","Sort=A","Dates=H","DateFormat=P","Fill=—","Direction=H","UseDPDF=Y")</f>
        <v>11.447100000000001</v>
      </c>
      <c r="G22" s="14">
        <f>_xll.BDH("NBIX US Equity","AVERAGE_PRICE_TO_SALES_RATIO","FQ3 2020","FQ3 2020","Currency=USD","Period=FQ","BEST_FPERIOD_OVERRIDE=FQ","FILING_STATUS=MR","FA_ADJUSTED=GAAP","Sort=A","Dates=H","DateFormat=P","Fill=—","Direction=H","UseDPDF=Y")</f>
        <v>10.6302</v>
      </c>
      <c r="H22" s="14">
        <f>_xll.BDH("NBIX US Equity","AVERAGE_PRICE_TO_SALES_RATIO","FQ4 2020","FQ4 2020","Currency=USD","Period=FQ","BEST_FPERIOD_OVERRIDE=FQ","FILING_STATUS=MR","FA_ADJUSTED=GAAP","Sort=A","Dates=H","DateFormat=P","Fill=—","Direction=H","UseDPDF=Y")</f>
        <v>8.6005000000000003</v>
      </c>
      <c r="I22" s="14">
        <f>_xll.BDH("NBIX US Equity","AVERAGE_PRICE_TO_SALES_RATIO","FQ1 2021","FQ1 2021","Currency=USD","Period=FQ","BEST_FPERIOD_OVERRIDE=FQ","FILING_STATUS=MR","FA_ADJUSTED=GAAP","Sort=A","Dates=H","DateFormat=P","Fill=—","Direction=H","UseDPDF=Y")</f>
        <v>9.3348999999999993</v>
      </c>
      <c r="J22" s="14">
        <f>_xll.BDH("NBIX US Equity","AVERAGE_PRICE_TO_SALES_RATIO","FQ2 2021","FQ2 2021","Currency=USD","Period=FQ","BEST_FPERIOD_OVERRIDE=FQ","FILING_STATUS=MR","FA_ADJUSTED=GAAP","Sort=A","Dates=H","DateFormat=P","Fill=—","Direction=H","UseDPDF=Y")</f>
        <v>8.5717999999999996</v>
      </c>
      <c r="K22" s="14">
        <f>_xll.BDH("NBIX US Equity","AVERAGE_PRICE_TO_SALES_RATIO","FQ3 2021","FQ3 2021","Currency=USD","Period=FQ","BEST_FPERIOD_OVERRIDE=FQ","FILING_STATUS=MR","FA_ADJUSTED=GAAP","Sort=A","Dates=H","DateFormat=P","Fill=—","Direction=H","UseDPDF=Y")</f>
        <v>8.5923999999999996</v>
      </c>
      <c r="L22" s="14">
        <f>_xll.BDH("NBIX US Equity","AVERAGE_PRICE_TO_SALES_RATIO","FQ4 2021","FQ4 2021","Currency=USD","Period=FQ","BEST_FPERIOD_OVERRIDE=FQ","FILING_STATUS=MR","FA_ADJUSTED=GAAP","Sort=A","Dates=H","DateFormat=P","Fill=—","Direction=H","UseDPDF=Y")</f>
        <v>8.1036999999999999</v>
      </c>
      <c r="M22" s="14">
        <f>_xll.BDH("NBIX US Equity","AVERAGE_PRICE_TO_SALES_RATIO","FQ1 2022","FQ1 2022","Currency=USD","Period=FQ","BEST_FPERIOD_OVERRIDE=FQ","FILING_STATUS=MR","FA_ADJUSTED=GAAP","Sort=A","Dates=H","DateFormat=P","Fill=—","Direction=H","UseDPDF=Y")</f>
        <v>7.0674999999999999</v>
      </c>
      <c r="N22" s="14">
        <f>_xll.BDH("NBIX US Equity","AVERAGE_PRICE_TO_SALES_RATIO","FQ2 2022","FQ2 2022","Currency=USD","Period=FQ","BEST_FPERIOD_OVERRIDE=FQ","FILING_STATUS=MR","FA_ADJUSTED=GAAP","Sort=A","Dates=H","DateFormat=P","Fill=—","Direction=H","UseDPDF=Y")</f>
        <v>7.2439999999999998</v>
      </c>
      <c r="O22" s="14">
        <f>_xll.BDH("NBIX US Equity","AVERAGE_PRICE_TO_SALES_RATIO","FQ3 2022","FQ3 2022","Currency=USD","Period=FQ","BEST_FPERIOD_OVERRIDE=FQ","FILING_STATUS=MR","FA_ADJUSTED=GAAP","Sort=A","Dates=H","DateFormat=P","Fill=—","Direction=H","UseDPDF=Y")</f>
        <v>7.4372999999999996</v>
      </c>
      <c r="P22" s="14">
        <f>_xll.BDH("NBIX US Equity","AVERAGE_PRICE_TO_SALES_RATIO","FQ4 2022","FQ4 2022","Currency=USD","Period=FQ","BEST_FPERIOD_OVERRIDE=FQ","FILING_STATUS=MR","FA_ADJUSTED=GAAP","Sort=A","Dates=H","DateFormat=P","Fill=—","Direction=H","UseDPDF=Y")</f>
        <v>8.0406999999999993</v>
      </c>
      <c r="Q22" s="14">
        <f>_xll.BDH("NBIX US Equity","AVERAGE_PRICE_TO_SALES_RATIO","FQ1 2023","FQ1 2023","Currency=USD","Period=FQ","BEST_FPERIOD_OVERRIDE=FQ","FILING_STATUS=MR","FA_ADJUSTED=GAAP","Sort=A","Dates=H","DateFormat=P","Fill=—","Direction=H","UseDPDF=Y")</f>
        <v>6.6883999999999997</v>
      </c>
      <c r="R22" s="14">
        <f>_xll.BDH("NBIX US Equity","AVERAGE_PRICE_TO_SALES_RATIO","FQ2 2023","FQ2 2023","Currency=USD","Period=FQ","BEST_FPERIOD_OVERRIDE=FQ","FILING_STATUS=MR","FA_ADJUSTED=GAAP","Sort=A","Dates=H","DateFormat=P","Fill=—","Direction=H","UseDPDF=Y")</f>
        <v>5.8777999999999997</v>
      </c>
      <c r="S22" s="14">
        <f>_xll.BDH("NBIX US Equity","AVERAGE_PRICE_TO_SALES_RATIO","FQ3 2023","FQ3 2023","Currency=USD","Period=FQ","BEST_FPERIOD_OVERRIDE=FQ","FILING_STATUS=MR","FA_ADJUSTED=GAAP","Sort=A","Dates=H","DateFormat=P","Fill=—","Direction=H","UseDPDF=Y")</f>
        <v>6.0826000000000002</v>
      </c>
      <c r="T22" s="14">
        <f>_xll.BDH("NBIX US Equity","AVERAGE_PRICE_TO_SALES_RATIO","FQ4 2023","FQ4 2023","Currency=USD","Period=FQ","BEST_FPERIOD_OVERRIDE=FQ","FILING_STATUS=MR","FA_ADJUSTED=GAAP","Sort=A","Dates=H","DateFormat=P","Fill=—","Direction=H","UseDPDF=Y")</f>
        <v>6.2702</v>
      </c>
      <c r="U22" s="14">
        <f>_xll.BDH("NBIX US Equity","AVERAGE_PRICE_TO_SALES_RATIO","FQ1 2024","FQ1 2024","Currency=USD","Period=FQ","BEST_FPERIOD_OVERRIDE=FQ","FILING_STATUS=MR","FA_ADJUSTED=GAAP","Sort=A","Dates=H","DateFormat=P","Fill=—","Direction=H","UseDPDF=Y")</f>
        <v>7.0719000000000003</v>
      </c>
      <c r="V22" s="14">
        <f>_xll.BDH("NBIX US Equity","AVERAGE_PRICE_TO_SALES_RATIO","FQ2 2024","FQ2 2024","Currency=USD","Period=FQ","BEST_FPERIOD_OVERRIDE=FQ","FILING_STATUS=MR","FA_ADJUSTED=GAAP","Sort=A","Dates=H","DateFormat=P","Fill=—","Direction=H","UseDPDF=Y")</f>
        <v>6.8056000000000001</v>
      </c>
      <c r="W22" s="14">
        <f>_xll.BDH("NBIX US Equity","AVERAGE_PRICE_TO_SALES_RATIO","FQ3 2024","FQ3 2024","Currency=USD","Period=FQ","BEST_FPERIOD_OVERRIDE=FQ","FILING_STATUS=MR","FA_ADJUSTED=GAAP","Sort=A","Dates=H","DateFormat=P","Fill=—","Direction=H","UseDPDF=Y")</f>
        <v>6.4173</v>
      </c>
      <c r="X22" s="14">
        <f>_xll.BDH("NBIX US Equity","AVERAGE_PRICE_TO_SALES_RATIO","FQ4 2024","FQ4 2024","Currency=USD","Period=FQ","BEST_FPERIOD_OVERRIDE=FQ","FILING_STATUS=MR","FA_ADJUSTED=GAAP","Sort=A","Dates=H","DateFormat=P","Fill=—","Direction=H","UseDPDF=Y")</f>
        <v>5.5155000000000003</v>
      </c>
      <c r="Y22" s="17"/>
      <c r="Z22" s="14"/>
      <c r="AA22" s="14"/>
    </row>
    <row r="23" spans="1:27" x14ac:dyDescent="0.25">
      <c r="A23" s="10" t="s">
        <v>211</v>
      </c>
      <c r="B23" s="10" t="s">
        <v>228</v>
      </c>
      <c r="C23" s="14">
        <f>_xll.BDH("NBIX US Equity","HIGH_PX_TO_SALES_RATIO","FQ3 2019","FQ3 2019","Currency=USD","Period=FQ","BEST_FPERIOD_OVERRIDE=FQ","FILING_STATUS=MR","FA_ADJUSTED=GAAP","Sort=A","Dates=H","DateFormat=P","Fill=—","Direction=H","UseDPDF=Y")</f>
        <v>15.405799999999999</v>
      </c>
      <c r="D23" s="14">
        <f>_xll.BDH("NBIX US Equity","HIGH_PX_TO_SALES_RATIO","FQ4 2019","FQ4 2019","Currency=USD","Period=FQ","BEST_FPERIOD_OVERRIDE=FQ","FILING_STATUS=MR","FA_ADJUSTED=GAAP","Sort=A","Dates=H","DateFormat=P","Fill=—","Direction=H","UseDPDF=Y")</f>
        <v>16.1785</v>
      </c>
      <c r="E23" s="14">
        <f>_xll.BDH("NBIX US Equity","HIGH_PX_TO_SALES_RATIO","FQ1 2020","FQ1 2020","Currency=USD","Period=FQ","BEST_FPERIOD_OVERRIDE=FQ","FILING_STATUS=MR","FA_ADJUSTED=GAAP","Sort=A","Dates=H","DateFormat=P","Fill=—","Direction=H","UseDPDF=Y")</f>
        <v>13.4087</v>
      </c>
      <c r="F23" s="14">
        <f>_xll.BDH("NBIX US Equity","HIGH_PX_TO_SALES_RATIO","FQ2 2020","FQ2 2020","Currency=USD","Period=FQ","BEST_FPERIOD_OVERRIDE=FQ","FILING_STATUS=MR","FA_ADJUSTED=GAAP","Sort=A","Dates=H","DateFormat=P","Fill=—","Direction=H","UseDPDF=Y")</f>
        <v>13.5969</v>
      </c>
      <c r="G23" s="14">
        <f>_xll.BDH("NBIX US Equity","HIGH_PX_TO_SALES_RATIO","FQ3 2020","FQ3 2020","Currency=USD","Period=FQ","BEST_FPERIOD_OVERRIDE=FQ","FILING_STATUS=MR","FA_ADJUSTED=GAAP","Sort=A","Dates=H","DateFormat=P","Fill=—","Direction=H","UseDPDF=Y")</f>
        <v>12.5274</v>
      </c>
      <c r="H23" s="14">
        <f>_xll.BDH("NBIX US Equity","HIGH_PX_TO_SALES_RATIO","FQ4 2020","FQ4 2020","Currency=USD","Period=FQ","BEST_FPERIOD_OVERRIDE=FQ","FILING_STATUS=MR","FA_ADJUSTED=GAAP","Sort=A","Dates=H","DateFormat=P","Fill=—","Direction=H","UseDPDF=Y")</f>
        <v>9.6997</v>
      </c>
      <c r="I23" s="14">
        <f>_xll.BDH("NBIX US Equity","HIGH_PX_TO_SALES_RATIO","FQ1 2021","FQ1 2021","Currency=USD","Period=FQ","BEST_FPERIOD_OVERRIDE=FQ","FILING_STATUS=MR","FA_ADJUSTED=GAAP","Sort=A","Dates=H","DateFormat=P","Fill=—","Direction=H","UseDPDF=Y")</f>
        <v>10.7058</v>
      </c>
      <c r="J23" s="14">
        <f>_xll.BDH("NBIX US Equity","HIGH_PX_TO_SALES_RATIO","FQ2 2021","FQ2 2021","Currency=USD","Period=FQ","BEST_FPERIOD_OVERRIDE=FQ","FILING_STATUS=MR","FA_ADJUSTED=GAAP","Sort=A","Dates=H","DateFormat=P","Fill=—","Direction=H","UseDPDF=Y")</f>
        <v>9.2728999999999999</v>
      </c>
      <c r="K23" s="14">
        <f>_xll.BDH("NBIX US Equity","HIGH_PX_TO_SALES_RATIO","FQ3 2021","FQ3 2021","Currency=USD","Period=FQ","BEST_FPERIOD_OVERRIDE=FQ","FILING_STATUS=MR","FA_ADJUSTED=GAAP","Sort=A","Dates=H","DateFormat=P","Fill=—","Direction=H","UseDPDF=Y")</f>
        <v>9.2314000000000007</v>
      </c>
      <c r="L23" s="14">
        <f>_xll.BDH("NBIX US Equity","HIGH_PX_TO_SALES_RATIO","FQ4 2021","FQ4 2021","Currency=USD","Period=FQ","BEST_FPERIOD_OVERRIDE=FQ","FILING_STATUS=MR","FA_ADJUSTED=GAAP","Sort=A","Dates=H","DateFormat=P","Fill=—","Direction=H","UseDPDF=Y")</f>
        <v>9.5229999999999997</v>
      </c>
      <c r="M23" s="14">
        <f>_xll.BDH("NBIX US Equity","HIGH_PX_TO_SALES_RATIO","FQ1 2022","FQ1 2022","Currency=USD","Period=FQ","BEST_FPERIOD_OVERRIDE=FQ","FILING_STATUS=MR","FA_ADJUSTED=GAAP","Sort=A","Dates=H","DateFormat=P","Fill=—","Direction=H","UseDPDF=Y")</f>
        <v>8.0031999999999996</v>
      </c>
      <c r="N23" s="14">
        <f>_xll.BDH("NBIX US Equity","HIGH_PX_TO_SALES_RATIO","FQ2 2022","FQ2 2022","Currency=USD","Period=FQ","BEST_FPERIOD_OVERRIDE=FQ","FILING_STATUS=MR","FA_ADJUSTED=GAAP","Sort=A","Dates=H","DateFormat=P","Fill=—","Direction=H","UseDPDF=Y")</f>
        <v>7.915</v>
      </c>
      <c r="O23" s="14">
        <f>_xll.BDH("NBIX US Equity","HIGH_PX_TO_SALES_RATIO","FQ3 2022","FQ3 2022","Currency=USD","Period=FQ","BEST_FPERIOD_OVERRIDE=FQ","FILING_STATUS=MR","FA_ADJUSTED=GAAP","Sort=A","Dates=H","DateFormat=P","Fill=—","Direction=H","UseDPDF=Y")</f>
        <v>8.0169999999999995</v>
      </c>
      <c r="P23" s="14">
        <f>_xll.BDH("NBIX US Equity","HIGH_PX_TO_SALES_RATIO","FQ4 2022","FQ4 2022","Currency=USD","Period=FQ","BEST_FPERIOD_OVERRIDE=FQ","FILING_STATUS=MR","FA_ADJUSTED=GAAP","Sort=A","Dates=H","DateFormat=P","Fill=—","Direction=H","UseDPDF=Y")</f>
        <v>8.8847000000000005</v>
      </c>
      <c r="Q23" s="14">
        <f>_xll.BDH("NBIX US Equity","HIGH_PX_TO_SALES_RATIO","FQ1 2023","FQ1 2023","Currency=USD","Period=FQ","BEST_FPERIOD_OVERRIDE=FQ","FILING_STATUS=MR","FA_ADJUSTED=GAAP","Sort=A","Dates=H","DateFormat=P","Fill=—","Direction=H","UseDPDF=Y")</f>
        <v>8.0434000000000001</v>
      </c>
      <c r="R23" s="14">
        <f>_xll.BDH("NBIX US Equity","HIGH_PX_TO_SALES_RATIO","FQ2 2023","FQ2 2023","Currency=USD","Period=FQ","BEST_FPERIOD_OVERRIDE=FQ","FILING_STATUS=MR","FA_ADJUSTED=GAAP","Sort=A","Dates=H","DateFormat=P","Fill=—","Direction=H","UseDPDF=Y")</f>
        <v>6.4996999999999998</v>
      </c>
      <c r="S23" s="14">
        <f>_xll.BDH("NBIX US Equity","HIGH_PX_TO_SALES_RATIO","FQ3 2023","FQ3 2023","Currency=USD","Period=FQ","BEST_FPERIOD_OVERRIDE=FQ","FILING_STATUS=MR","FA_ADJUSTED=GAAP","Sort=A","Dates=H","DateFormat=P","Fill=—","Direction=H","UseDPDF=Y")</f>
        <v>6.8973000000000004</v>
      </c>
      <c r="T23" s="14">
        <f>_xll.BDH("NBIX US Equity","HIGH_PX_TO_SALES_RATIO","FQ4 2023","FQ4 2023","Currency=USD","Period=FQ","BEST_FPERIOD_OVERRIDE=FQ","FILING_STATUS=MR","FA_ADJUSTED=GAAP","Sort=A","Dates=H","DateFormat=P","Fill=—","Direction=H","UseDPDF=Y")</f>
        <v>7.2861000000000002</v>
      </c>
      <c r="U23" s="14">
        <f>_xll.BDH("NBIX US Equity","HIGH_PX_TO_SALES_RATIO","FQ1 2024","FQ1 2024","Currency=USD","Period=FQ","BEST_FPERIOD_OVERRIDE=FQ","FILING_STATUS=MR","FA_ADJUSTED=GAAP","Sort=A","Dates=H","DateFormat=P","Fill=—","Direction=H","UseDPDF=Y")</f>
        <v>7.6881000000000004</v>
      </c>
      <c r="V23" s="14">
        <f>_xll.BDH("NBIX US Equity","HIGH_PX_TO_SALES_RATIO","FQ2 2024","FQ2 2024","Currency=USD","Period=FQ","BEST_FPERIOD_OVERRIDE=FQ","FILING_STATUS=MR","FA_ADJUSTED=GAAP","Sort=A","Dates=H","DateFormat=P","Fill=—","Direction=H","UseDPDF=Y")</f>
        <v>7.2411000000000003</v>
      </c>
      <c r="W23" s="14">
        <f>_xll.BDH("NBIX US Equity","HIGH_PX_TO_SALES_RATIO","FQ3 2024","FQ3 2024","Currency=USD","Period=FQ","BEST_FPERIOD_OVERRIDE=FQ","FILING_STATUS=MR","FA_ADJUSTED=GAAP","Sort=A","Dates=H","DateFormat=P","Fill=—","Direction=H","UseDPDF=Y")</f>
        <v>7.3997999999999999</v>
      </c>
      <c r="X23" s="14">
        <f>_xll.BDH("NBIX US Equity","HIGH_PX_TO_SALES_RATIO","FQ4 2024","FQ4 2024","Currency=USD","Period=FQ","BEST_FPERIOD_OVERRIDE=FQ","FILING_STATUS=MR","FA_ADJUSTED=GAAP","Sort=A","Dates=H","DateFormat=P","Fill=—","Direction=H","UseDPDF=Y")</f>
        <v>6.2478999999999996</v>
      </c>
      <c r="Y23" s="17"/>
      <c r="Z23" s="14"/>
      <c r="AA23" s="14"/>
    </row>
    <row r="24" spans="1:27" x14ac:dyDescent="0.25">
      <c r="A24" s="10" t="s">
        <v>213</v>
      </c>
      <c r="B24" s="10" t="s">
        <v>229</v>
      </c>
      <c r="C24" s="14">
        <f>_xll.BDH("NBIX US Equity","LOW_PX_TO_SALES_RATIO","FQ3 2019","FQ3 2019","Currency=USD","Period=FQ","BEST_FPERIOD_OVERRIDE=FQ","FILING_STATUS=MR","FA_ADJUSTED=GAAP","Sort=A","Dates=H","DateFormat=P","Fill=—","Direction=H","UseDPDF=Y")</f>
        <v>12.0274</v>
      </c>
      <c r="D24" s="14">
        <f>_xll.BDH("NBIX US Equity","LOW_PX_TO_SALES_RATIO","FQ4 2019","FQ4 2019","Currency=USD","Period=FQ","BEST_FPERIOD_OVERRIDE=FQ","FILING_STATUS=MR","FA_ADJUSTED=GAAP","Sort=A","Dates=H","DateFormat=P","Fill=—","Direction=H","UseDPDF=Y")</f>
        <v>11.449400000000001</v>
      </c>
      <c r="E24" s="14">
        <f>_xll.BDH("NBIX US Equity","LOW_PX_TO_SALES_RATIO","FQ1 2020","FQ1 2020","Currency=USD","Period=FQ","BEST_FPERIOD_OVERRIDE=FQ","FILING_STATUS=MR","FA_ADJUSTED=GAAP","Sort=A","Dates=H","DateFormat=P","Fill=—","Direction=H","UseDPDF=Y")</f>
        <v>8.3941999999999997</v>
      </c>
      <c r="F24" s="14">
        <f>_xll.BDH("NBIX US Equity","LOW_PX_TO_SALES_RATIO","FQ2 2020","FQ2 2020","Currency=USD","Period=FQ","BEST_FPERIOD_OVERRIDE=FQ","FILING_STATUS=MR","FA_ADJUSTED=GAAP","Sort=A","Dates=H","DateFormat=P","Fill=—","Direction=H","UseDPDF=Y")</f>
        <v>8.5640000000000001</v>
      </c>
      <c r="G24" s="14">
        <f>_xll.BDH("NBIX US Equity","LOW_PX_TO_SALES_RATIO","FQ3 2020","FQ3 2020","Currency=USD","Period=FQ","BEST_FPERIOD_OVERRIDE=FQ","FILING_STATUS=MR","FA_ADJUSTED=GAAP","Sort=A","Dates=H","DateFormat=P","Fill=—","Direction=H","UseDPDF=Y")</f>
        <v>8.4967000000000006</v>
      </c>
      <c r="H24" s="14">
        <f>_xll.BDH("NBIX US Equity","LOW_PX_TO_SALES_RATIO","FQ4 2020","FQ4 2020","Currency=USD","Period=FQ","BEST_FPERIOD_OVERRIDE=FQ","FILING_STATUS=MR","FA_ADJUSTED=GAAP","Sort=A","Dates=H","DateFormat=P","Fill=—","Direction=H","UseDPDF=Y")</f>
        <v>7.6597</v>
      </c>
      <c r="I24" s="14">
        <f>_xll.BDH("NBIX US Equity","LOW_PX_TO_SALES_RATIO","FQ1 2021","FQ1 2021","Currency=USD","Period=FQ","BEST_FPERIOD_OVERRIDE=FQ","FILING_STATUS=MR","FA_ADJUSTED=GAAP","Sort=A","Dates=H","DateFormat=P","Fill=—","Direction=H","UseDPDF=Y")</f>
        <v>7.7771999999999997</v>
      </c>
      <c r="J24" s="14">
        <f>_xll.BDH("NBIX US Equity","LOW_PX_TO_SALES_RATIO","FQ2 2021","FQ2 2021","Currency=USD","Period=FQ","BEST_FPERIOD_OVERRIDE=FQ","FILING_STATUS=MR","FA_ADJUSTED=GAAP","Sort=A","Dates=H","DateFormat=P","Fill=—","Direction=H","UseDPDF=Y")</f>
        <v>7.7950999999999997</v>
      </c>
      <c r="K24" s="14">
        <f>_xll.BDH("NBIX US Equity","LOW_PX_TO_SALES_RATIO","FQ3 2021","FQ3 2021","Currency=USD","Period=FQ","BEST_FPERIOD_OVERRIDE=FQ","FILING_STATUS=MR","FA_ADJUSTED=GAAP","Sort=A","Dates=H","DateFormat=P","Fill=—","Direction=H","UseDPDF=Y")</f>
        <v>7.7150999999999996</v>
      </c>
      <c r="L24" s="14">
        <f>_xll.BDH("NBIX US Equity","LOW_PX_TO_SALES_RATIO","FQ4 2021","FQ4 2021","Currency=USD","Period=FQ","BEST_FPERIOD_OVERRIDE=FQ","FILING_STATUS=MR","FA_ADJUSTED=GAAP","Sort=A","Dates=H","DateFormat=P","Fill=—","Direction=H","UseDPDF=Y")</f>
        <v>6.9040999999999997</v>
      </c>
      <c r="M24" s="14">
        <f>_xll.BDH("NBIX US Equity","LOW_PX_TO_SALES_RATIO","FQ1 2022","FQ1 2022","Currency=USD","Period=FQ","BEST_FPERIOD_OVERRIDE=FQ","FILING_STATUS=MR","FA_ADJUSTED=GAAP","Sort=A","Dates=H","DateFormat=P","Fill=—","Direction=H","UseDPDF=Y")</f>
        <v>6.0000999999999998</v>
      </c>
      <c r="N24" s="14">
        <f>_xll.BDH("NBIX US Equity","LOW_PX_TO_SALES_RATIO","FQ2 2022","FQ2 2022","Currency=USD","Period=FQ","BEST_FPERIOD_OVERRIDE=FQ","FILING_STATUS=MR","FA_ADJUSTED=GAAP","Sort=A","Dates=H","DateFormat=P","Fill=—","Direction=H","UseDPDF=Y")</f>
        <v>5.9128999999999996</v>
      </c>
      <c r="O24" s="14">
        <f>_xll.BDH("NBIX US Equity","LOW_PX_TO_SALES_RATIO","FQ3 2022","FQ3 2022","Currency=USD","Period=FQ","BEST_FPERIOD_OVERRIDE=FQ","FILING_STATUS=MR","FA_ADJUSTED=GAAP","Sort=A","Dates=H","DateFormat=P","Fill=—","Direction=H","UseDPDF=Y")</f>
        <v>6.7160000000000002</v>
      </c>
      <c r="P24" s="14">
        <f>_xll.BDH("NBIX US Equity","LOW_PX_TO_SALES_RATIO","FQ4 2022","FQ4 2022","Currency=USD","Period=FQ","BEST_FPERIOD_OVERRIDE=FQ","FILING_STATUS=MR","FA_ADJUSTED=GAAP","Sort=A","Dates=H","DateFormat=P","Fill=—","Direction=H","UseDPDF=Y")</f>
        <v>7.2251000000000003</v>
      </c>
      <c r="Q24" s="14">
        <f>_xll.BDH("NBIX US Equity","LOW_PX_TO_SALES_RATIO","FQ1 2023","FQ1 2023","Currency=USD","Period=FQ","BEST_FPERIOD_OVERRIDE=FQ","FILING_STATUS=MR","FA_ADJUSTED=GAAP","Sort=A","Dates=H","DateFormat=P","Fill=—","Direction=H","UseDPDF=Y")</f>
        <v>5.9363000000000001</v>
      </c>
      <c r="R24" s="14">
        <f>_xll.BDH("NBIX US Equity","LOW_PX_TO_SALES_RATIO","FQ2 2023","FQ2 2023","Currency=USD","Period=FQ","BEST_FPERIOD_OVERRIDE=FQ","FILING_STATUS=MR","FA_ADJUSTED=GAAP","Sort=A","Dates=H","DateFormat=P","Fill=—","Direction=H","UseDPDF=Y")</f>
        <v>5.3597000000000001</v>
      </c>
      <c r="S24" s="14">
        <f>_xll.BDH("NBIX US Equity","LOW_PX_TO_SALES_RATIO","FQ3 2023","FQ3 2023","Currency=USD","Period=FQ","BEST_FPERIOD_OVERRIDE=FQ","FILING_STATUS=MR","FA_ADJUSTED=GAAP","Sort=A","Dates=H","DateFormat=P","Fill=—","Direction=H","UseDPDF=Y")</f>
        <v>5.3933999999999997</v>
      </c>
      <c r="T24" s="14">
        <f>_xll.BDH("NBIX US Equity","LOW_PX_TO_SALES_RATIO","FQ4 2023","FQ4 2023","Currency=USD","Period=FQ","BEST_FPERIOD_OVERRIDE=FQ","FILING_STATUS=MR","FA_ADJUSTED=GAAP","Sort=A","Dates=H","DateFormat=P","Fill=—","Direction=H","UseDPDF=Y")</f>
        <v>5.6501000000000001</v>
      </c>
      <c r="U24" s="14">
        <f>_xll.BDH("NBIX US Equity","LOW_PX_TO_SALES_RATIO","FQ1 2024","FQ1 2024","Currency=USD","Period=FQ","BEST_FPERIOD_OVERRIDE=FQ","FILING_STATUS=MR","FA_ADJUSTED=GAAP","Sort=A","Dates=H","DateFormat=P","Fill=—","Direction=H","UseDPDF=Y")</f>
        <v>6.6326000000000001</v>
      </c>
      <c r="V24" s="14">
        <f>_xll.BDH("NBIX US Equity","LOW_PX_TO_SALES_RATIO","FQ2 2024","FQ2 2024","Currency=USD","Period=FQ","BEST_FPERIOD_OVERRIDE=FQ","FILING_STATUS=MR","FA_ADJUSTED=GAAP","Sort=A","Dates=H","DateFormat=P","Fill=—","Direction=H","UseDPDF=Y")</f>
        <v>6.3212999999999999</v>
      </c>
      <c r="W24" s="14">
        <f>_xll.BDH("NBIX US Equity","LOW_PX_TO_SALES_RATIO","FQ3 2024","FQ3 2024","Currency=USD","Period=FQ","BEST_FPERIOD_OVERRIDE=FQ","FILING_STATUS=MR","FA_ADJUSTED=GAAP","Sort=A","Dates=H","DateFormat=P","Fill=—","Direction=H","UseDPDF=Y")</f>
        <v>5.0929000000000002</v>
      </c>
      <c r="X24" s="14">
        <f>_xll.BDH("NBIX US Equity","LOW_PX_TO_SALES_RATIO","FQ4 2024","FQ4 2024","Currency=USD","Period=FQ","BEST_FPERIOD_OVERRIDE=FQ","FILING_STATUS=MR","FA_ADJUSTED=GAAP","Sort=A","Dates=H","DateFormat=P","Fill=—","Direction=H","UseDPDF=Y")</f>
        <v>4.9515000000000002</v>
      </c>
      <c r="Y24" s="17"/>
      <c r="Z24" s="14"/>
      <c r="AA24" s="14"/>
    </row>
    <row r="25" spans="1:27" x14ac:dyDescent="0.25">
      <c r="A25" s="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21"/>
      <c r="Z25" s="18"/>
      <c r="AA25" s="18"/>
    </row>
    <row r="26" spans="1:27" x14ac:dyDescent="0.25">
      <c r="A26" s="6" t="s">
        <v>230</v>
      </c>
      <c r="B26" s="6" t="s">
        <v>231</v>
      </c>
      <c r="C26" s="20">
        <f>_xll.BDH("NBIX US Equity","PX_TO_CASH_FLOW","FQ3 2019","FQ3 2019","Currency=USD","Period=FQ","BEST_FPERIOD_OVERRIDE=FQ","FILING_STATUS=MR","Sort=A","Dates=H","DateFormat=P","Fill=—","Direction=H","UseDPDF=Y")</f>
        <v>82.845399999999998</v>
      </c>
      <c r="D26" s="20">
        <f>_xll.BDH("NBIX US Equity","PX_TO_CASH_FLOW","FQ4 2019","FQ4 2019","Currency=USD","Period=FQ","BEST_FPERIOD_OVERRIDE=FQ","FILING_STATUS=MR","Sort=A","Dates=H","DateFormat=P","Fill=—","Direction=H","UseDPDF=Y")</f>
        <v>67.640100000000004</v>
      </c>
      <c r="E26" s="20">
        <f>_xll.BDH("NBIX US Equity","PX_TO_CASH_FLOW","FQ1 2020","FQ1 2020","Currency=USD","Period=FQ","BEST_FPERIOD_OVERRIDE=FQ","FILING_STATUS=MR","Sort=A","Dates=H","DateFormat=P","Fill=—","Direction=H","UseDPDF=Y")</f>
        <v>26.9801</v>
      </c>
      <c r="F26" s="20">
        <f>_xll.BDH("NBIX US Equity","PX_TO_CASH_FLOW","FQ2 2020","FQ2 2020","Currency=USD","Period=FQ","BEST_FPERIOD_OVERRIDE=FQ","FILING_STATUS=MR","Sort=A","Dates=H","DateFormat=P","Fill=—","Direction=H","UseDPDF=Y")</f>
        <v>32.238500000000002</v>
      </c>
      <c r="G26" s="20">
        <f>_xll.BDH("NBIX US Equity","PX_TO_CASH_FLOW","FQ3 2020","FQ3 2020","Currency=USD","Period=FQ","BEST_FPERIOD_OVERRIDE=FQ","FILING_STATUS=MR","Sort=A","Dates=H","DateFormat=P","Fill=—","Direction=H","UseDPDF=Y")</f>
        <v>38.453400000000002</v>
      </c>
      <c r="H26" s="20">
        <f>_xll.BDH("NBIX US Equity","PX_TO_CASH_FLOW","FQ4 2020","FQ4 2020","Currency=USD","Period=FQ","BEST_FPERIOD_OVERRIDE=FQ","FILING_STATUS=MR","Sort=A","Dates=H","DateFormat=P","Fill=—","Direction=H","UseDPDF=Y")</f>
        <v>39.060099999999998</v>
      </c>
      <c r="I26" s="20">
        <f>_xll.BDH("NBIX US Equity","PX_TO_CASH_FLOW","FQ1 2021","FQ1 2021","Currency=USD","Period=FQ","BEST_FPERIOD_OVERRIDE=FQ","FILING_STATUS=MR","Sort=A","Dates=H","DateFormat=P","Fill=—","Direction=H","UseDPDF=Y")</f>
        <v>32.445999999999998</v>
      </c>
      <c r="J26" s="20">
        <f>_xll.BDH("NBIX US Equity","PX_TO_CASH_FLOW","FQ2 2021","FQ2 2021","Currency=USD","Period=FQ","BEST_FPERIOD_OVERRIDE=FQ","FILING_STATUS=MR","Sort=A","Dates=H","DateFormat=P","Fill=—","Direction=H","UseDPDF=Y")</f>
        <v>34.637099999999997</v>
      </c>
      <c r="K26" s="20">
        <f>_xll.BDH("NBIX US Equity","PX_TO_CASH_FLOW","FQ3 2021","FQ3 2021","Currency=USD","Period=FQ","BEST_FPERIOD_OVERRIDE=FQ","FILING_STATUS=MR","Sort=A","Dates=H","DateFormat=P","Fill=—","Direction=H","UseDPDF=Y")</f>
        <v>26.055800000000001</v>
      </c>
      <c r="L26" s="20">
        <f>_xll.BDH("NBIX US Equity","PX_TO_CASH_FLOW","FQ4 2021","FQ4 2021","Currency=USD","Period=FQ","BEST_FPERIOD_OVERRIDE=FQ","FILING_STATUS=MR","Sort=A","Dates=H","DateFormat=P","Fill=—","Direction=H","UseDPDF=Y")</f>
        <v>31.375900000000001</v>
      </c>
      <c r="M26" s="20">
        <f>_xll.BDH("NBIX US Equity","PX_TO_CASH_FLOW","FQ1 2022","FQ1 2022","Currency=USD","Period=FQ","BEST_FPERIOD_OVERRIDE=FQ","FILING_STATUS=MR","Sort=A","Dates=H","DateFormat=P","Fill=—","Direction=H","UseDPDF=Y")</f>
        <v>68.793199999999999</v>
      </c>
      <c r="N26" s="20">
        <f>_xll.BDH("NBIX US Equity","PX_TO_CASH_FLOW","FQ2 2022","FQ2 2022","Currency=USD","Period=FQ","BEST_FPERIOD_OVERRIDE=FQ","FILING_STATUS=MR","Sort=A","Dates=H","DateFormat=P","Fill=—","Direction=H","UseDPDF=Y")</f>
        <v>56.792299999999997</v>
      </c>
      <c r="O26" s="20">
        <f>_xll.BDH("NBIX US Equity","PX_TO_CASH_FLOW","FQ3 2022","FQ3 2022","Currency=USD","Period=FQ","BEST_FPERIOD_OVERRIDE=FQ","FILING_STATUS=MR","Sort=A","Dates=H","DateFormat=P","Fill=—","Direction=H","UseDPDF=Y")</f>
        <v>50.692999999999998</v>
      </c>
      <c r="P26" s="20">
        <f>_xll.BDH("NBIX US Equity","PX_TO_CASH_FLOW","FQ4 2022","FQ4 2022","Currency=USD","Period=FQ","BEST_FPERIOD_OVERRIDE=FQ","FILING_STATUS=MR","Sort=A","Dates=H","DateFormat=P","Fill=—","Direction=H","UseDPDF=Y")</f>
        <v>33.779800000000002</v>
      </c>
      <c r="Q26" s="20">
        <f>_xll.BDH("NBIX US Equity","PX_TO_CASH_FLOW","FQ1 2023","FQ1 2023","Currency=USD","Period=FQ","BEST_FPERIOD_OVERRIDE=FQ","FILING_STATUS=MR","Sort=A","Dates=H","DateFormat=P","Fill=—","Direction=H","UseDPDF=Y")</f>
        <v>37.889899999999997</v>
      </c>
      <c r="R26" s="20">
        <f>_xll.BDH("NBIX US Equity","PX_TO_CASH_FLOW","FQ2 2023","FQ2 2023","Currency=USD","Period=FQ","BEST_FPERIOD_OVERRIDE=FQ","FILING_STATUS=MR","Sort=A","Dates=H","DateFormat=P","Fill=—","Direction=H","UseDPDF=Y")</f>
        <v>30.746400000000001</v>
      </c>
      <c r="S26" s="20">
        <f>_xll.BDH("NBIX US Equity","PX_TO_CASH_FLOW","FQ3 2023","FQ3 2023","Currency=USD","Period=FQ","BEST_FPERIOD_OVERRIDE=FQ","FILING_STATUS=MR","Sort=A","Dates=H","DateFormat=P","Fill=—","Direction=H","UseDPDF=Y")</f>
        <v>26.778099999999998</v>
      </c>
      <c r="T26" s="20">
        <f>_xll.BDH("NBIX US Equity","PX_TO_CASH_FLOW","FQ4 2023","FQ4 2023","Currency=USD","Period=FQ","BEST_FPERIOD_OVERRIDE=FQ","FILING_STATUS=MR","Sort=A","Dates=H","DateFormat=P","Fill=—","Direction=H","UseDPDF=Y")</f>
        <v>33.177799999999998</v>
      </c>
      <c r="U26" s="20">
        <f>_xll.BDH("NBIX US Equity","PX_TO_CASH_FLOW","FQ1 2024","FQ1 2024","Currency=USD","Period=FQ","BEST_FPERIOD_OVERRIDE=FQ","FILING_STATUS=MR","Sort=A","Dates=H","DateFormat=P","Fill=—","Direction=H","UseDPDF=Y")</f>
        <v>21.004100000000001</v>
      </c>
      <c r="V26" s="20">
        <f>_xll.BDH("NBIX US Equity","PX_TO_CASH_FLOW","FQ2 2024","FQ2 2024","Currency=USD","Period=FQ","BEST_FPERIOD_OVERRIDE=FQ","FILING_STATUS=MR","Sort=A","Dates=H","DateFormat=P","Fill=—","Direction=H","UseDPDF=Y")</f>
        <v>25.651</v>
      </c>
      <c r="W26" s="20">
        <f>_xll.BDH("NBIX US Equity","PX_TO_CASH_FLOW","FQ3 2024","FQ3 2024","Currency=USD","Period=FQ","BEST_FPERIOD_OVERRIDE=FQ","FILING_STATUS=MR","Sort=A","Dates=H","DateFormat=P","Fill=—","Direction=H","UseDPDF=Y")</f>
        <v>24.183700000000002</v>
      </c>
      <c r="X26" s="20">
        <f>_xll.BDH("NBIX US Equity","PX_TO_CASH_FLOW","FQ4 2024","FQ4 2024","Currency=USD","Period=FQ","BEST_FPERIOD_OVERRIDE=FQ","FILING_STATUS=MR","Sort=A","Dates=H","DateFormat=P","Fill=—","Direction=H","UseDPDF=Y")</f>
        <v>23.001899999999999</v>
      </c>
      <c r="Y26" s="23">
        <v>19.0519731861663</v>
      </c>
      <c r="Z26" s="20">
        <v>12.578994214508199</v>
      </c>
      <c r="AA26" s="20">
        <v>10.944820909971</v>
      </c>
    </row>
    <row r="27" spans="1:27" x14ac:dyDescent="0.25">
      <c r="A27" s="10" t="s">
        <v>209</v>
      </c>
      <c r="B27" s="10" t="s">
        <v>232</v>
      </c>
      <c r="C27" s="14">
        <f>_xll.BDH("NBIX US Equity","AVERAGE_PRICE_TO_CASH_FLOW","FQ3 2019","FQ3 2019","Currency=USD","Period=FQ","BEST_FPERIOD_OVERRIDE=FQ","FILING_STATUS=MR","Sort=A","Dates=H","DateFormat=P","Fill=—","Direction=H","UseDPDF=Y")</f>
        <v>118.6981</v>
      </c>
      <c r="D27" s="14">
        <f>_xll.BDH("NBIX US Equity","AVERAGE_PRICE_TO_CASH_FLOW","FQ4 2019","FQ4 2019","Currency=USD","Period=FQ","BEST_FPERIOD_OVERRIDE=FQ","FILING_STATUS=MR","Sort=A","Dates=H","DateFormat=P","Fill=—","Direction=H","UseDPDF=Y")</f>
        <v>95.772999999999996</v>
      </c>
      <c r="E27" s="14">
        <f>_xll.BDH("NBIX US Equity","AVERAGE_PRICE_TO_CASH_FLOW","FQ1 2020","FQ1 2020","Currency=USD","Period=FQ","BEST_FPERIOD_OVERRIDE=FQ","FILING_STATUS=MR","Sort=A","Dates=H","DateFormat=P","Fill=—","Direction=H","UseDPDF=Y")</f>
        <v>61.1404</v>
      </c>
      <c r="F27" s="14">
        <f>_xll.BDH("NBIX US Equity","AVERAGE_PRICE_TO_CASH_FLOW","FQ2 2020","FQ2 2020","Currency=USD","Period=FQ","BEST_FPERIOD_OVERRIDE=FQ","FILING_STATUS=MR","Sort=A","Dates=H","DateFormat=P","Fill=—","Direction=H","UseDPDF=Y")</f>
        <v>34.3568</v>
      </c>
      <c r="G27" s="14">
        <f>_xll.BDH("NBIX US Equity","AVERAGE_PRICE_TO_CASH_FLOW","FQ3 2020","FQ3 2020","Currency=USD","Period=FQ","BEST_FPERIOD_OVERRIDE=FQ","FILING_STATUS=MR","Sort=A","Dates=H","DateFormat=P","Fill=—","Direction=H","UseDPDF=Y")</f>
        <v>30.771100000000001</v>
      </c>
      <c r="H27" s="14">
        <f>_xll.BDH("NBIX US Equity","AVERAGE_PRICE_TO_CASH_FLOW","FQ4 2020","FQ4 2020","Currency=USD","Period=FQ","BEST_FPERIOD_OVERRIDE=FQ","FILING_STATUS=MR","Sort=A","Dates=H","DateFormat=P","Fill=—","Direction=H","UseDPDF=Y")</f>
        <v>38.635199999999998</v>
      </c>
      <c r="I27" s="14">
        <f>_xll.BDH("NBIX US Equity","AVERAGE_PRICE_TO_CASH_FLOW","FQ1 2021","FQ1 2021","Currency=USD","Period=FQ","BEST_FPERIOD_OVERRIDE=FQ","FILING_STATUS=MR","Sort=A","Dates=H","DateFormat=P","Fill=—","Direction=H","UseDPDF=Y")</f>
        <v>42.614800000000002</v>
      </c>
      <c r="J27" s="14">
        <f>_xll.BDH("NBIX US Equity","AVERAGE_PRICE_TO_CASH_FLOW","FQ2 2021","FQ2 2021","Currency=USD","Period=FQ","BEST_FPERIOD_OVERRIDE=FQ","FILING_STATUS=MR","Sort=A","Dates=H","DateFormat=P","Fill=—","Direction=H","UseDPDF=Y")</f>
        <v>32.013100000000001</v>
      </c>
      <c r="K27" s="14">
        <f>_xll.BDH("NBIX US Equity","AVERAGE_PRICE_TO_CASH_FLOW","FQ3 2021","FQ3 2021","Currency=USD","Period=FQ","BEST_FPERIOD_OVERRIDE=FQ","FILING_STATUS=MR","Sort=A","Dates=H","DateFormat=P","Fill=—","Direction=H","UseDPDF=Y")</f>
        <v>33.491799999999998</v>
      </c>
      <c r="L27" s="14">
        <f>_xll.BDH("NBIX US Equity","AVERAGE_PRICE_TO_CASH_FLOW","FQ4 2021","FQ4 2021","Currency=USD","Period=FQ","BEST_FPERIOD_OVERRIDE=FQ","FILING_STATUS=MR","Sort=A","Dates=H","DateFormat=P","Fill=—","Direction=H","UseDPDF=Y")</f>
        <v>25.1189</v>
      </c>
      <c r="M27" s="14">
        <f>_xll.BDH("NBIX US Equity","AVERAGE_PRICE_TO_CASH_FLOW","FQ1 2022","FQ1 2022","Currency=USD","Period=FQ","BEST_FPERIOD_OVERRIDE=FQ","FILING_STATUS=MR","Sort=A","Dates=H","DateFormat=P","Fill=—","Direction=H","UseDPDF=Y")</f>
        <v>31.773499999999999</v>
      </c>
      <c r="N27" s="14">
        <f>_xll.BDH("NBIX US Equity","AVERAGE_PRICE_TO_CASH_FLOW","FQ2 2022","FQ2 2022","Currency=USD","Period=FQ","BEST_FPERIOD_OVERRIDE=FQ","FILING_STATUS=MR","Sort=A","Dates=H","DateFormat=P","Fill=—","Direction=H","UseDPDF=Y")</f>
        <v>67.487399999999994</v>
      </c>
      <c r="O27" s="14">
        <f>_xll.BDH("NBIX US Equity","AVERAGE_PRICE_TO_CASH_FLOW","FQ3 2022","FQ3 2022","Currency=USD","Period=FQ","BEST_FPERIOD_OVERRIDE=FQ","FILING_STATUS=MR","Sort=A","Dates=H","DateFormat=P","Fill=—","Direction=H","UseDPDF=Y")</f>
        <v>58.939100000000003</v>
      </c>
      <c r="P27" s="14">
        <f>_xll.BDH("NBIX US Equity","AVERAGE_PRICE_TO_CASH_FLOW","FQ4 2022","FQ4 2022","Currency=USD","Period=FQ","BEST_FPERIOD_OVERRIDE=FQ","FILING_STATUS=MR","Sort=A","Dates=H","DateFormat=P","Fill=—","Direction=H","UseDPDF=Y")</f>
        <v>55.535499999999999</v>
      </c>
      <c r="Q27" s="14">
        <f>_xll.BDH("NBIX US Equity","AVERAGE_PRICE_TO_CASH_FLOW","FQ1 2023","FQ1 2023","Currency=USD","Period=FQ","BEST_FPERIOD_OVERRIDE=FQ","FILING_STATUS=MR","Sort=A","Dates=H","DateFormat=P","Fill=—","Direction=H","UseDPDF=Y")</f>
        <v>29.579499999999999</v>
      </c>
      <c r="R27" s="14">
        <f>_xll.BDH("NBIX US Equity","AVERAGE_PRICE_TO_CASH_FLOW","FQ2 2023","FQ2 2023","Currency=USD","Period=FQ","BEST_FPERIOD_OVERRIDE=FQ","FILING_STATUS=MR","Sort=A","Dates=H","DateFormat=P","Fill=—","Direction=H","UseDPDF=Y")</f>
        <v>36.5017</v>
      </c>
      <c r="S27" s="14">
        <f>_xll.BDH("NBIX US Equity","AVERAGE_PRICE_TO_CASH_FLOW","FQ3 2023","FQ3 2023","Currency=USD","Period=FQ","BEST_FPERIOD_OVERRIDE=FQ","FILING_STATUS=MR","Sort=A","Dates=H","DateFormat=P","Fill=—","Direction=H","UseDPDF=Y")</f>
        <v>34.176200000000001</v>
      </c>
      <c r="T27" s="14">
        <f>_xll.BDH("NBIX US Equity","AVERAGE_PRICE_TO_CASH_FLOW","FQ4 2023","FQ4 2023","Currency=USD","Period=FQ","BEST_FPERIOD_OVERRIDE=FQ","FILING_STATUS=MR","Sort=A","Dates=H","DateFormat=P","Fill=—","Direction=H","UseDPDF=Y")</f>
        <v>27.427399999999999</v>
      </c>
      <c r="U27" s="14">
        <f>_xll.BDH("NBIX US Equity","AVERAGE_PRICE_TO_CASH_FLOW","FQ1 2024","FQ1 2024","Currency=USD","Period=FQ","BEST_FPERIOD_OVERRIDE=FQ","FILING_STATUS=MR","Sort=A","Dates=H","DateFormat=P","Fill=—","Direction=H","UseDPDF=Y")</f>
        <v>34.164299999999997</v>
      </c>
      <c r="V27" s="14">
        <f>_xll.BDH("NBIX US Equity","AVERAGE_PRICE_TO_CASH_FLOW","FQ2 2024","FQ2 2024","Currency=USD","Period=FQ","BEST_FPERIOD_OVERRIDE=FQ","FILING_STATUS=MR","Sort=A","Dates=H","DateFormat=P","Fill=—","Direction=H","UseDPDF=Y")</f>
        <v>20.959399999999999</v>
      </c>
      <c r="W27" s="14">
        <f>_xll.BDH("NBIX US Equity","AVERAGE_PRICE_TO_CASH_FLOW","FQ3 2024","FQ3 2024","Currency=USD","Period=FQ","BEST_FPERIOD_OVERRIDE=FQ","FILING_STATUS=MR","Sort=A","Dates=H","DateFormat=P","Fill=—","Direction=H","UseDPDF=Y")</f>
        <v>25.5855</v>
      </c>
      <c r="X27" s="14">
        <f>_xll.BDH("NBIX US Equity","AVERAGE_PRICE_TO_CASH_FLOW","FQ4 2024","FQ4 2024","Currency=USD","Period=FQ","BEST_FPERIOD_OVERRIDE=FQ","FILING_STATUS=MR","Sort=A","Dates=H","DateFormat=P","Fill=—","Direction=H","UseDPDF=Y")</f>
        <v>25.8721</v>
      </c>
      <c r="Y27" s="17"/>
      <c r="Z27" s="14"/>
      <c r="AA27" s="14"/>
    </row>
    <row r="28" spans="1:27" x14ac:dyDescent="0.25">
      <c r="A28" s="10" t="s">
        <v>211</v>
      </c>
      <c r="B28" s="10" t="s">
        <v>233</v>
      </c>
      <c r="C28" s="14">
        <f>_xll.BDH("NBIX US Equity","HIGH_CLOSING_PRICE_TO_CASH_FLOW","FQ3 2019","FQ3 2019","Currency=USD","Period=FQ","BEST_FPERIOD_OVERRIDE=FQ","FILING_STATUS=MR","Sort=A","Dates=H","DateFormat=P","Fill=—","Direction=H","UseDPDF=Y")</f>
        <v>129.50030000000001</v>
      </c>
      <c r="D28" s="14">
        <f>_xll.BDH("NBIX US Equity","HIGH_CLOSING_PRICE_TO_CASH_FLOW","FQ4 2019","FQ4 2019","Currency=USD","Period=FQ","BEST_FPERIOD_OVERRIDE=FQ","FILING_STATUS=MR","Sort=A","Dates=H","DateFormat=P","Fill=—","Direction=H","UseDPDF=Y")</f>
        <v>109.01090000000001</v>
      </c>
      <c r="E28" s="14">
        <f>_xll.BDH("NBIX US Equity","HIGH_CLOSING_PRICE_TO_CASH_FLOW","FQ1 2020","FQ1 2020","Currency=USD","Period=FQ","BEST_FPERIOD_OVERRIDE=FQ","FILING_STATUS=MR","Sort=A","Dates=H","DateFormat=P","Fill=—","Direction=H","UseDPDF=Y")</f>
        <v>71.585599999999999</v>
      </c>
      <c r="F28" s="14">
        <f>_xll.BDH("NBIX US Equity","HIGH_CLOSING_PRICE_TO_CASH_FLOW","FQ2 2020","FQ2 2020","Currency=USD","Period=FQ","BEST_FPERIOD_OVERRIDE=FQ","FILING_STATUS=MR","Sort=A","Dates=H","DateFormat=P","Fill=—","Direction=H","UseDPDF=Y")</f>
        <v>40.636899999999997</v>
      </c>
      <c r="G28" s="14">
        <f>_xll.BDH("NBIX US Equity","HIGH_CLOSING_PRICE_TO_CASH_FLOW","FQ3 2020","FQ3 2020","Currency=USD","Period=FQ","BEST_FPERIOD_OVERRIDE=FQ","FILING_STATUS=MR","Sort=A","Dates=H","DateFormat=P","Fill=—","Direction=H","UseDPDF=Y")</f>
        <v>38.453400000000002</v>
      </c>
      <c r="H28" s="14">
        <f>_xll.BDH("NBIX US Equity","HIGH_CLOSING_PRICE_TO_CASH_FLOW","FQ4 2020","FQ4 2020","Currency=USD","Period=FQ","BEST_FPERIOD_OVERRIDE=FQ","FILING_STATUS=MR","Sort=A","Dates=H","DateFormat=P","Fill=—","Direction=H","UseDPDF=Y")</f>
        <v>43.320099999999996</v>
      </c>
      <c r="I28" s="14">
        <f>_xll.BDH("NBIX US Equity","HIGH_CLOSING_PRICE_TO_CASH_FLOW","FQ1 2021","FQ1 2021","Currency=USD","Period=FQ","BEST_FPERIOD_OVERRIDE=FQ","FILING_STATUS=MR","Sort=A","Dates=H","DateFormat=P","Fill=—","Direction=H","UseDPDF=Y")</f>
        <v>48.656999999999996</v>
      </c>
      <c r="J28" s="14">
        <f>_xll.BDH("NBIX US Equity","HIGH_CLOSING_PRICE_TO_CASH_FLOW","FQ2 2021","FQ2 2021","Currency=USD","Period=FQ","BEST_FPERIOD_OVERRIDE=FQ","FILING_STATUS=MR","Sort=A","Dates=H","DateFormat=P","Fill=—","Direction=H","UseDPDF=Y")</f>
        <v>34.637099999999997</v>
      </c>
      <c r="K28" s="14">
        <f>_xll.BDH("NBIX US Equity","HIGH_CLOSING_PRICE_TO_CASH_FLOW","FQ3 2021","FQ3 2021","Currency=USD","Period=FQ","BEST_FPERIOD_OVERRIDE=FQ","FILING_STATUS=MR","Sort=A","Dates=H","DateFormat=P","Fill=—","Direction=H","UseDPDF=Y")</f>
        <v>35.245699999999999</v>
      </c>
      <c r="L28" s="14">
        <f>_xll.BDH("NBIX US Equity","HIGH_CLOSING_PRICE_TO_CASH_FLOW","FQ4 2021","FQ4 2021","Currency=USD","Period=FQ","BEST_FPERIOD_OVERRIDE=FQ","FILING_STATUS=MR","Sort=A","Dates=H","DateFormat=P","Fill=—","Direction=H","UseDPDF=Y")</f>
        <v>31.375900000000001</v>
      </c>
      <c r="M28" s="14">
        <f>_xll.BDH("NBIX US Equity","HIGH_CLOSING_PRICE_TO_CASH_FLOW","FQ1 2022","FQ1 2022","Currency=USD","Period=FQ","BEST_FPERIOD_OVERRIDE=FQ","FILING_STATUS=MR","Sort=A","Dates=H","DateFormat=P","Fill=—","Direction=H","UseDPDF=Y")</f>
        <v>68.793199999999999</v>
      </c>
      <c r="N28" s="14">
        <f>_xll.BDH("NBIX US Equity","HIGH_CLOSING_PRICE_TO_CASH_FLOW","FQ2 2022","FQ2 2022","Currency=USD","Period=FQ","BEST_FPERIOD_OVERRIDE=FQ","FILING_STATUS=MR","Sort=A","Dates=H","DateFormat=P","Fill=—","Direction=H","UseDPDF=Y")</f>
        <v>73.430800000000005</v>
      </c>
      <c r="O28" s="14">
        <f>_xll.BDH("NBIX US Equity","HIGH_CLOSING_PRICE_TO_CASH_FLOW","FQ3 2022","FQ3 2022","Currency=USD","Period=FQ","BEST_FPERIOD_OVERRIDE=FQ","FILING_STATUS=MR","Sort=A","Dates=H","DateFormat=P","Fill=—","Direction=H","UseDPDF=Y")</f>
        <v>62.810600000000001</v>
      </c>
      <c r="P28" s="14">
        <f>_xll.BDH("NBIX US Equity","HIGH_CLOSING_PRICE_TO_CASH_FLOW","FQ4 2022","FQ4 2022","Currency=USD","Period=FQ","BEST_FPERIOD_OVERRIDE=FQ","FILING_STATUS=MR","Sort=A","Dates=H","DateFormat=P","Fill=—","Direction=H","UseDPDF=Y")</f>
        <v>60.644599999999997</v>
      </c>
      <c r="Q28" s="14">
        <f>_xll.BDH("NBIX US Equity","HIGH_CLOSING_PRICE_TO_CASH_FLOW","FQ1 2023","FQ1 2023","Currency=USD","Period=FQ","BEST_FPERIOD_OVERRIDE=FQ","FILING_STATUS=MR","Sort=A","Dates=H","DateFormat=P","Fill=—","Direction=H","UseDPDF=Y")</f>
        <v>37.889899999999997</v>
      </c>
      <c r="R28" s="14">
        <f>_xll.BDH("NBIX US Equity","HIGH_CLOSING_PRICE_TO_CASH_FLOW","FQ2 2023","FQ2 2023","Currency=USD","Period=FQ","BEST_FPERIOD_OVERRIDE=FQ","FILING_STATUS=MR","Sort=A","Dates=H","DateFormat=P","Fill=—","Direction=H","UseDPDF=Y")</f>
        <v>39.2562</v>
      </c>
      <c r="S28" s="14">
        <f>_xll.BDH("NBIX US Equity","HIGH_CLOSING_PRICE_TO_CASH_FLOW","FQ3 2023","FQ3 2023","Currency=USD","Period=FQ","BEST_FPERIOD_OVERRIDE=FQ","FILING_STATUS=MR","Sort=A","Dates=H","DateFormat=P","Fill=—","Direction=H","UseDPDF=Y")</f>
        <v>38.180300000000003</v>
      </c>
      <c r="T28" s="14">
        <f>_xll.BDH("NBIX US Equity","HIGH_CLOSING_PRICE_TO_CASH_FLOW","FQ4 2023","FQ4 2023","Currency=USD","Period=FQ","BEST_FPERIOD_OVERRIDE=FQ","FILING_STATUS=MR","Sort=A","Dates=H","DateFormat=P","Fill=—","Direction=H","UseDPDF=Y")</f>
        <v>33.177799999999998</v>
      </c>
      <c r="U28" s="14">
        <f>_xll.BDH("NBIX US Equity","HIGH_CLOSING_PRICE_TO_CASH_FLOW","FQ1 2024","FQ1 2024","Currency=USD","Period=FQ","BEST_FPERIOD_OVERRIDE=FQ","FILING_STATUS=MR","Sort=A","Dates=H","DateFormat=P","Fill=—","Direction=H","UseDPDF=Y")</f>
        <v>36.194400000000002</v>
      </c>
      <c r="V28" s="14">
        <f>_xll.BDH("NBIX US Equity","HIGH_CLOSING_PRICE_TO_CASH_FLOW","FQ2 2024","FQ2 2024","Currency=USD","Period=FQ","BEST_FPERIOD_OVERRIDE=FQ","FILING_STATUS=MR","Sort=A","Dates=H","DateFormat=P","Fill=—","Direction=H","UseDPDF=Y")</f>
        <v>25.651</v>
      </c>
      <c r="W28" s="14">
        <f>_xll.BDH("NBIX US Equity","HIGH_CLOSING_PRICE_TO_CASH_FLOW","FQ3 2024","FQ3 2024","Currency=USD","Period=FQ","BEST_FPERIOD_OVERRIDE=FQ","FILING_STATUS=MR","Sort=A","Dates=H","DateFormat=P","Fill=—","Direction=H","UseDPDF=Y")</f>
        <v>28.535299999999999</v>
      </c>
      <c r="X28" s="14">
        <f>_xll.BDH("NBIX US Equity","HIGH_CLOSING_PRICE_TO_CASH_FLOW","FQ4 2024","FQ4 2024","Currency=USD","Period=FQ","BEST_FPERIOD_OVERRIDE=FQ","FILING_STATUS=MR","Sort=A","Dates=H","DateFormat=P","Fill=—","Direction=H","UseDPDF=Y")</f>
        <v>29.267199999999999</v>
      </c>
      <c r="Y28" s="17"/>
      <c r="Z28" s="14"/>
      <c r="AA28" s="14"/>
    </row>
    <row r="29" spans="1:27" x14ac:dyDescent="0.25">
      <c r="A29" s="10" t="s">
        <v>213</v>
      </c>
      <c r="B29" s="10" t="s">
        <v>234</v>
      </c>
      <c r="C29" s="14">
        <f>_xll.BDH("NBIX US Equity","LOW_CLOSING_PRICE_TO_CASH_FLOW","FQ3 2019","FQ3 2019","Currency=USD","Period=FQ","BEST_FPERIOD_OVERRIDE=FQ","FILING_STATUS=MR","Sort=A","Dates=H","DateFormat=P","Fill=—","Direction=H","UseDPDF=Y")</f>
        <v>82.845399999999998</v>
      </c>
      <c r="D29" s="14">
        <f>_xll.BDH("NBIX US Equity","LOW_CLOSING_PRICE_TO_CASH_FLOW","FQ4 2019","FQ4 2019","Currency=USD","Period=FQ","BEST_FPERIOD_OVERRIDE=FQ","FILING_STATUS=MR","Sort=A","Dates=H","DateFormat=P","Fill=—","Direction=H","UseDPDF=Y")</f>
        <v>67.640100000000004</v>
      </c>
      <c r="E29" s="14">
        <f>_xll.BDH("NBIX US Equity","LOW_CLOSING_PRICE_TO_CASH_FLOW","FQ1 2020","FQ1 2020","Currency=USD","Period=FQ","BEST_FPERIOD_OVERRIDE=FQ","FILING_STATUS=MR","Sort=A","Dates=H","DateFormat=P","Fill=—","Direction=H","UseDPDF=Y")</f>
        <v>26.9801</v>
      </c>
      <c r="F29" s="14">
        <f>_xll.BDH("NBIX US Equity","LOW_CLOSING_PRICE_TO_CASH_FLOW","FQ2 2020","FQ2 2020","Currency=USD","Period=FQ","BEST_FPERIOD_OVERRIDE=FQ","FILING_STATUS=MR","Sort=A","Dates=H","DateFormat=P","Fill=—","Direction=H","UseDPDF=Y")</f>
        <v>26.524999999999999</v>
      </c>
      <c r="G29" s="14">
        <f>_xll.BDH("NBIX US Equity","LOW_CLOSING_PRICE_TO_CASH_FLOW","FQ3 2020","FQ3 2020","Currency=USD","Period=FQ","BEST_FPERIOD_OVERRIDE=FQ","FILING_STATUS=MR","Sort=A","Dates=H","DateFormat=P","Fill=—","Direction=H","UseDPDF=Y")</f>
        <v>25.738</v>
      </c>
      <c r="H29" s="14">
        <f>_xll.BDH("NBIX US Equity","LOW_CLOSING_PRICE_TO_CASH_FLOW","FQ4 2020","FQ4 2020","Currency=USD","Period=FQ","BEST_FPERIOD_OVERRIDE=FQ","FILING_STATUS=MR","Sort=A","Dates=H","DateFormat=P","Fill=—","Direction=H","UseDPDF=Y")</f>
        <v>34.754399999999997</v>
      </c>
      <c r="I29" s="14">
        <f>_xll.BDH("NBIX US Equity","LOW_CLOSING_PRICE_TO_CASH_FLOW","FQ1 2021","FQ1 2021","Currency=USD","Period=FQ","BEST_FPERIOD_OVERRIDE=FQ","FILING_STATUS=MR","Sort=A","Dates=H","DateFormat=P","Fill=—","Direction=H","UseDPDF=Y")</f>
        <v>32.445999999999998</v>
      </c>
      <c r="J29" s="14">
        <f>_xll.BDH("NBIX US Equity","LOW_CLOSING_PRICE_TO_CASH_FLOW","FQ2 2021","FQ2 2021","Currency=USD","Period=FQ","BEST_FPERIOD_OVERRIDE=FQ","FILING_STATUS=MR","Sort=A","Dates=H","DateFormat=P","Fill=—","Direction=H","UseDPDF=Y")</f>
        <v>29.8369</v>
      </c>
      <c r="K29" s="14">
        <f>_xll.BDH("NBIX US Equity","LOW_CLOSING_PRICE_TO_CASH_FLOW","FQ3 2021","FQ3 2021","Currency=USD","Period=FQ","BEST_FPERIOD_OVERRIDE=FQ","FILING_STATUS=MR","Sort=A","Dates=H","DateFormat=P","Fill=—","Direction=H","UseDPDF=Y")</f>
        <v>26.055800000000001</v>
      </c>
      <c r="L29" s="14">
        <f>_xll.BDH("NBIX US Equity","LOW_CLOSING_PRICE_TO_CASH_FLOW","FQ4 2021","FQ4 2021","Currency=USD","Period=FQ","BEST_FPERIOD_OVERRIDE=FQ","FILING_STATUS=MR","Sort=A","Dates=H","DateFormat=P","Fill=—","Direction=H","UseDPDF=Y")</f>
        <v>21.638500000000001</v>
      </c>
      <c r="M29" s="14">
        <f>_xll.BDH("NBIX US Equity","LOW_CLOSING_PRICE_TO_CASH_FLOW","FQ1 2022","FQ1 2022","Currency=USD","Period=FQ","BEST_FPERIOD_OVERRIDE=FQ","FILING_STATUS=MR","Sort=A","Dates=H","DateFormat=P","Fill=—","Direction=H","UseDPDF=Y")</f>
        <v>26.689900000000002</v>
      </c>
      <c r="N29" s="14">
        <f>_xll.BDH("NBIX US Equity","LOW_CLOSING_PRICE_TO_CASH_FLOW","FQ2 2022","FQ2 2022","Currency=USD","Period=FQ","BEST_FPERIOD_OVERRIDE=FQ","FILING_STATUS=MR","Sort=A","Dates=H","DateFormat=P","Fill=—","Direction=H","UseDPDF=Y")</f>
        <v>55.6143</v>
      </c>
      <c r="O29" s="14">
        <f>_xll.BDH("NBIX US Equity","LOW_CLOSING_PRICE_TO_CASH_FLOW","FQ3 2022","FQ3 2022","Currency=USD","Period=FQ","BEST_FPERIOD_OVERRIDE=FQ","FILING_STATUS=MR","Sort=A","Dates=H","DateFormat=P","Fill=—","Direction=H","UseDPDF=Y")</f>
        <v>50.692999999999998</v>
      </c>
      <c r="P29" s="14">
        <f>_xll.BDH("NBIX US Equity","LOW_CLOSING_PRICE_TO_CASH_FLOW","FQ4 2022","FQ4 2022","Currency=USD","Period=FQ","BEST_FPERIOD_OVERRIDE=FQ","FILING_STATUS=MR","Sort=A","Dates=H","DateFormat=P","Fill=—","Direction=H","UseDPDF=Y")</f>
        <v>33.779800000000002</v>
      </c>
      <c r="Q29" s="14">
        <f>_xll.BDH("NBIX US Equity","LOW_CLOSING_PRICE_TO_CASH_FLOW","FQ1 2023","FQ1 2023","Currency=USD","Period=FQ","BEST_FPERIOD_OVERRIDE=FQ","FILING_STATUS=MR","Sort=A","Dates=H","DateFormat=P","Fill=—","Direction=H","UseDPDF=Y")</f>
        <v>26.616</v>
      </c>
      <c r="R29" s="14">
        <f>_xll.BDH("NBIX US Equity","LOW_CLOSING_PRICE_TO_CASH_FLOW","FQ2 2023","FQ2 2023","Currency=USD","Period=FQ","BEST_FPERIOD_OVERRIDE=FQ","FILING_STATUS=MR","Sort=A","Dates=H","DateFormat=P","Fill=—","Direction=H","UseDPDF=Y")</f>
        <v>30.746400000000001</v>
      </c>
      <c r="S29" s="14">
        <f>_xll.BDH("NBIX US Equity","LOW_CLOSING_PRICE_TO_CASH_FLOW","FQ3 2023","FQ3 2023","Currency=USD","Period=FQ","BEST_FPERIOD_OVERRIDE=FQ","FILING_STATUS=MR","Sort=A","Dates=H","DateFormat=P","Fill=—","Direction=H","UseDPDF=Y")</f>
        <v>26.778099999999998</v>
      </c>
      <c r="T29" s="14">
        <f>_xll.BDH("NBIX US Equity","LOW_CLOSING_PRICE_TO_CASH_FLOW","FQ4 2023","FQ4 2023","Currency=USD","Period=FQ","BEST_FPERIOD_OVERRIDE=FQ","FILING_STATUS=MR","Sort=A","Dates=H","DateFormat=P","Fill=—","Direction=H","UseDPDF=Y")</f>
        <v>25.247599999999998</v>
      </c>
      <c r="U29" s="14">
        <f>_xll.BDH("NBIX US Equity","LOW_CLOSING_PRICE_TO_CASH_FLOW","FQ1 2024","FQ1 2024","Currency=USD","Period=FQ","BEST_FPERIOD_OVERRIDE=FQ","FILING_STATUS=MR","Sort=A","Dates=H","DateFormat=P","Fill=—","Direction=H","UseDPDF=Y")</f>
        <v>21.004100000000001</v>
      </c>
      <c r="V29" s="14">
        <f>_xll.BDH("NBIX US Equity","LOW_CLOSING_PRICE_TO_CASH_FLOW","FQ2 2024","FQ2 2024","Currency=USD","Period=FQ","BEST_FPERIOD_OVERRIDE=FQ","FILING_STATUS=MR","Sort=A","Dates=H","DateFormat=P","Fill=—","Direction=H","UseDPDF=Y")</f>
        <v>19.928899999999999</v>
      </c>
      <c r="W29" s="14">
        <f>_xll.BDH("NBIX US Equity","LOW_CLOSING_PRICE_TO_CASH_FLOW","FQ3 2024","FQ3 2024","Currency=USD","Period=FQ","BEST_FPERIOD_OVERRIDE=FQ","FILING_STATUS=MR","Sort=A","Dates=H","DateFormat=P","Fill=—","Direction=H","UseDPDF=Y")</f>
        <v>21.3432</v>
      </c>
      <c r="X29" s="14">
        <f>_xll.BDH("NBIX US Equity","LOW_CLOSING_PRICE_TO_CASH_FLOW","FQ4 2024","FQ4 2024","Currency=USD","Period=FQ","BEST_FPERIOD_OVERRIDE=FQ","FILING_STATUS=MR","Sort=A","Dates=H","DateFormat=P","Fill=—","Direction=H","UseDPDF=Y")</f>
        <v>23.001899999999999</v>
      </c>
      <c r="Y29" s="17"/>
      <c r="Z29" s="14"/>
      <c r="AA29" s="14"/>
    </row>
    <row r="30" spans="1:27" x14ac:dyDescent="0.25">
      <c r="A30" s="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1"/>
      <c r="Z30" s="18"/>
      <c r="AA30" s="18"/>
    </row>
    <row r="31" spans="1:27" x14ac:dyDescent="0.25">
      <c r="A31" s="6" t="s">
        <v>235</v>
      </c>
      <c r="B31" s="6" t="s">
        <v>236</v>
      </c>
      <c r="C31" s="20">
        <f>_xll.BDH("NBIX US Equity","PX_TO_FREE_CASH_FLOW","FQ3 2019","FQ3 2019","Currency=USD","Period=FQ","BEST_FPERIOD_OVERRIDE=FQ","FILING_STATUS=MR","Sort=A","Dates=H","DateFormat=P","Fill=—","Direction=H","UseDPDF=Y")</f>
        <v>101.1459</v>
      </c>
      <c r="D31" s="20">
        <f>_xll.BDH("NBIX US Equity","PX_TO_FREE_CASH_FLOW","FQ4 2019","FQ4 2019","Currency=USD","Period=FQ","BEST_FPERIOD_OVERRIDE=FQ","FILING_STATUS=MR","Sort=A","Dates=H","DateFormat=P","Fill=—","Direction=H","UseDPDF=Y")</f>
        <v>75.245999999999995</v>
      </c>
      <c r="E31" s="20">
        <f>_xll.BDH("NBIX US Equity","PX_TO_FREE_CASH_FLOW","FQ1 2020","FQ1 2020","Currency=USD","Period=FQ","BEST_FPERIOD_OVERRIDE=FQ","FILING_STATUS=MR","Sort=A","Dates=H","DateFormat=P","Fill=—","Direction=H","UseDPDF=Y")</f>
        <v>28.1325</v>
      </c>
      <c r="F31" s="20">
        <f>_xll.BDH("NBIX US Equity","PX_TO_FREE_CASH_FLOW","FQ2 2020","FQ2 2020","Currency=USD","Period=FQ","BEST_FPERIOD_OVERRIDE=FQ","FILING_STATUS=MR","Sort=A","Dates=H","DateFormat=P","Fill=—","Direction=H","UseDPDF=Y")</f>
        <v>33.4148</v>
      </c>
      <c r="G31" s="20">
        <f>_xll.BDH("NBIX US Equity","PX_TO_FREE_CASH_FLOW","FQ3 2020","FQ3 2020","Currency=USD","Period=FQ","BEST_FPERIOD_OVERRIDE=FQ","FILING_STATUS=MR","Sort=A","Dates=H","DateFormat=P","Fill=—","Direction=H","UseDPDF=Y")</f>
        <v>40.037300000000002</v>
      </c>
      <c r="H31" s="20">
        <f>_xll.BDH("NBIX US Equity","PX_TO_FREE_CASH_FLOW","FQ4 2020","FQ4 2020","Currency=USD","Period=FQ","BEST_FPERIOD_OVERRIDE=FQ","FILING_STATUS=MR","Sort=A","Dates=H","DateFormat=P","Fill=—","Direction=H","UseDPDF=Y")</f>
        <v>41.015599999999999</v>
      </c>
      <c r="I31" s="20">
        <f>_xll.BDH("NBIX US Equity","PX_TO_FREE_CASH_FLOW","FQ1 2021","FQ1 2021","Currency=USD","Period=FQ","BEST_FPERIOD_OVERRIDE=FQ","FILING_STATUS=MR","Sort=A","Dates=H","DateFormat=P","Fill=—","Direction=H","UseDPDF=Y")</f>
        <v>34.163899999999998</v>
      </c>
      <c r="J31" s="20">
        <f>_xll.BDH("NBIX US Equity","PX_TO_FREE_CASH_FLOW","FQ2 2021","FQ2 2021","Currency=USD","Period=FQ","BEST_FPERIOD_OVERRIDE=FQ","FILING_STATUS=MR","Sort=A","Dates=H","DateFormat=P","Fill=—","Direction=H","UseDPDF=Y")</f>
        <v>36.5306</v>
      </c>
      <c r="K31" s="20">
        <f>_xll.BDH("NBIX US Equity","PX_TO_FREE_CASH_FLOW","FQ3 2021","FQ3 2021","Currency=USD","Period=FQ","BEST_FPERIOD_OVERRIDE=FQ","FILING_STATUS=MR","Sort=A","Dates=H","DateFormat=P","Fill=—","Direction=H","UseDPDF=Y")</f>
        <v>27.565100000000001</v>
      </c>
      <c r="L31" s="20">
        <f>_xll.BDH("NBIX US Equity","PX_TO_FREE_CASH_FLOW","FQ4 2021","FQ4 2021","Currency=USD","Period=FQ","BEST_FPERIOD_OVERRIDE=FQ","FILING_STATUS=MR","Sort=A","Dates=H","DateFormat=P","Fill=—","Direction=H","UseDPDF=Y")</f>
        <v>34.519399999999997</v>
      </c>
      <c r="M31" s="20">
        <f>_xll.BDH("NBIX US Equity","PX_TO_FREE_CASH_FLOW","FQ1 2022","FQ1 2022","Currency=USD","Period=FQ","BEST_FPERIOD_OVERRIDE=FQ","FILING_STATUS=MR","Sort=A","Dates=H","DateFormat=P","Fill=—","Direction=H","UseDPDF=Y")</f>
        <v>86.516900000000007</v>
      </c>
      <c r="N31" s="20">
        <f>_xll.BDH("NBIX US Equity","PX_TO_FREE_CASH_FLOW","FQ2 2022","FQ2 2022","Currency=USD","Period=FQ","BEST_FPERIOD_OVERRIDE=FQ","FILING_STATUS=MR","Sort=A","Dates=H","DateFormat=P","Fill=—","Direction=H","UseDPDF=Y")</f>
        <v>70.096199999999996</v>
      </c>
      <c r="O31" s="20" t="str">
        <f>_xll.BDH("NBIX US Equity","PX_TO_FREE_CASH_FLOW","FQ3 2022","FQ3 2022","Currency=USD","Period=FQ","BEST_FPERIOD_OVERRIDE=FQ","FILING_STATUS=MR","Sort=A","Dates=H","DateFormat=P","Fill=—","Direction=H","UseDPDF=Y")</f>
        <v>—</v>
      </c>
      <c r="P31" s="20" t="str">
        <f>_xll.BDH("NBIX US Equity","PX_TO_FREE_CASH_FLOW","FQ4 2022","FQ4 2022","Currency=USD","Period=FQ","BEST_FPERIOD_OVERRIDE=FQ","FILING_STATUS=MR","Sort=A","Dates=H","DateFormat=P","Fill=—","Direction=H","UseDPDF=Y")</f>
        <v>—</v>
      </c>
      <c r="Q31" s="20" t="str">
        <f>_xll.BDH("NBIX US Equity","PX_TO_FREE_CASH_FLOW","FQ1 2023","FQ1 2023","Currency=USD","Period=FQ","BEST_FPERIOD_OVERRIDE=FQ","FILING_STATUS=MR","Sort=A","Dates=H","DateFormat=P","Fill=—","Direction=H","UseDPDF=Y")</f>
        <v>—</v>
      </c>
      <c r="R31" s="20" t="str">
        <f>_xll.BDH("NBIX US Equity","PX_TO_FREE_CASH_FLOW","FQ2 2023","FQ2 2023","Currency=USD","Period=FQ","BEST_FPERIOD_OVERRIDE=FQ","FILING_STATUS=MR","Sort=A","Dates=H","DateFormat=P","Fill=—","Direction=H","UseDPDF=Y")</f>
        <v>—</v>
      </c>
      <c r="S31" s="20">
        <f>_xll.BDH("NBIX US Equity","PX_TO_FREE_CASH_FLOW","FQ3 2023","FQ3 2023","Currency=USD","Period=FQ","BEST_FPERIOD_OVERRIDE=FQ","FILING_STATUS=MR","Sort=A","Dates=H","DateFormat=P","Fill=—","Direction=H","UseDPDF=Y")</f>
        <v>28.497900000000001</v>
      </c>
      <c r="T31" s="20">
        <f>_xll.BDH("NBIX US Equity","PX_TO_FREE_CASH_FLOW","FQ4 2023","FQ4 2023","Currency=USD","Period=FQ","BEST_FPERIOD_OVERRIDE=FQ","FILING_STATUS=MR","Sort=A","Dates=H","DateFormat=P","Fill=—","Direction=H","UseDPDF=Y")</f>
        <v>35.788699999999999</v>
      </c>
      <c r="U31" s="20">
        <f>_xll.BDH("NBIX US Equity","PX_TO_FREE_CASH_FLOW","FQ1 2024","FQ1 2024","Currency=USD","Period=FQ","BEST_FPERIOD_OVERRIDE=FQ","FILING_STATUS=MR","Sort=A","Dates=H","DateFormat=P","Fill=—","Direction=H","UseDPDF=Y")</f>
        <v>22.060400000000001</v>
      </c>
      <c r="V31" s="20">
        <f>_xll.BDH("NBIX US Equity","PX_TO_FREE_CASH_FLOW","FQ2 2024","FQ2 2024","Currency=USD","Period=FQ","BEST_FPERIOD_OVERRIDE=FQ","FILING_STATUS=MR","Sort=A","Dates=H","DateFormat=P","Fill=—","Direction=H","UseDPDF=Y")</f>
        <v>27.494299999999999</v>
      </c>
      <c r="W31" s="20">
        <f>_xll.BDH("NBIX US Equity","PX_TO_FREE_CASH_FLOW","FQ3 2024","FQ3 2024","Currency=USD","Period=FQ","BEST_FPERIOD_OVERRIDE=FQ","FILING_STATUS=MR","Sort=A","Dates=H","DateFormat=P","Fill=—","Direction=H","UseDPDF=Y")</f>
        <v>26.173999999999999</v>
      </c>
      <c r="X31" s="20">
        <f>_xll.BDH("NBIX US Equity","PX_TO_FREE_CASH_FLOW","FQ4 2024","FQ4 2024","Currency=USD","Period=FQ","BEST_FPERIOD_OVERRIDE=FQ","FILING_STATUS=MR","Sort=A","Dates=H","DateFormat=P","Fill=—","Direction=H","UseDPDF=Y")</f>
        <v>24.577500000000001</v>
      </c>
      <c r="Y31" s="23">
        <v>20.356972825210701</v>
      </c>
      <c r="Z31" s="20"/>
      <c r="AA31" s="20"/>
    </row>
    <row r="32" spans="1:27" x14ac:dyDescent="0.25">
      <c r="A32" s="10" t="s">
        <v>209</v>
      </c>
      <c r="B32" s="10" t="s">
        <v>237</v>
      </c>
      <c r="C32" s="14">
        <f>_xll.BDH("NBIX US Equity","AVERAGE_PRICE_TO_FREE_CASH_FLOW","FQ3 2019","FQ3 2019","Currency=USD","Period=FQ","BEST_FPERIOD_OVERRIDE=FQ","FILING_STATUS=MR","Sort=A","Dates=H","DateFormat=P","Fill=—","Direction=H","UseDPDF=Y")</f>
        <v>189.72540000000001</v>
      </c>
      <c r="D32" s="14">
        <f>_xll.BDH("NBIX US Equity","AVERAGE_PRICE_TO_FREE_CASH_FLOW","FQ4 2019","FQ4 2019","Currency=USD","Period=FQ","BEST_FPERIOD_OVERRIDE=FQ","FILING_STATUS=MR","Sort=A","Dates=H","DateFormat=P","Fill=—","Direction=H","UseDPDF=Y")</f>
        <v>116.8146</v>
      </c>
      <c r="E32" s="14">
        <f>_xll.BDH("NBIX US Equity","AVERAGE_PRICE_TO_FREE_CASH_FLOW","FQ1 2020","FQ1 2020","Currency=USD","Period=FQ","BEST_FPERIOD_OVERRIDE=FQ","FILING_STATUS=MR","Sort=A","Dates=H","DateFormat=P","Fill=—","Direction=H","UseDPDF=Y")</f>
        <v>67.985100000000003</v>
      </c>
      <c r="F32" s="14">
        <f>_xll.BDH("NBIX US Equity","AVERAGE_PRICE_TO_FREE_CASH_FLOW","FQ2 2020","FQ2 2020","Currency=USD","Period=FQ","BEST_FPERIOD_OVERRIDE=FQ","FILING_STATUS=MR","Sort=A","Dates=H","DateFormat=P","Fill=—","Direction=H","UseDPDF=Y")</f>
        <v>35.821100000000001</v>
      </c>
      <c r="G32" s="14">
        <f>_xll.BDH("NBIX US Equity","AVERAGE_PRICE_TO_FREE_CASH_FLOW","FQ3 2020","FQ3 2020","Currency=USD","Period=FQ","BEST_FPERIOD_OVERRIDE=FQ","FILING_STATUS=MR","Sort=A","Dates=H","DateFormat=P","Fill=—","Direction=H","UseDPDF=Y")</f>
        <v>31.896699999999999</v>
      </c>
      <c r="H32" s="14">
        <f>_xll.BDH("NBIX US Equity","AVERAGE_PRICE_TO_FREE_CASH_FLOW","FQ4 2020","FQ4 2020","Currency=USD","Period=FQ","BEST_FPERIOD_OVERRIDE=FQ","FILING_STATUS=MR","Sort=A","Dates=H","DateFormat=P","Fill=—","Direction=H","UseDPDF=Y")</f>
        <v>40.231999999999999</v>
      </c>
      <c r="I32" s="14">
        <f>_xll.BDH("NBIX US Equity","AVERAGE_PRICE_TO_FREE_CASH_FLOW","FQ1 2021","FQ1 2021","Currency=USD","Period=FQ","BEST_FPERIOD_OVERRIDE=FQ","FILING_STATUS=MR","Sort=A","Dates=H","DateFormat=P","Fill=—","Direction=H","UseDPDF=Y")</f>
        <v>44.7498</v>
      </c>
      <c r="J32" s="14">
        <f>_xll.BDH("NBIX US Equity","AVERAGE_PRICE_TO_FREE_CASH_FLOW","FQ2 2021","FQ2 2021","Currency=USD","Period=FQ","BEST_FPERIOD_OVERRIDE=FQ","FILING_STATUS=MR","Sort=A","Dates=H","DateFormat=P","Fill=—","Direction=H","UseDPDF=Y")</f>
        <v>33.709099999999999</v>
      </c>
      <c r="K32" s="14">
        <f>_xll.BDH("NBIX US Equity","AVERAGE_PRICE_TO_FREE_CASH_FLOW","FQ3 2021","FQ3 2021","Currency=USD","Period=FQ","BEST_FPERIOD_OVERRIDE=FQ","FILING_STATUS=MR","Sort=A","Dates=H","DateFormat=P","Fill=—","Direction=H","UseDPDF=Y")</f>
        <v>35.324100000000001</v>
      </c>
      <c r="L32" s="14">
        <f>_xll.BDH("NBIX US Equity","AVERAGE_PRICE_TO_FREE_CASH_FLOW","FQ4 2021","FQ4 2021","Currency=USD","Period=FQ","BEST_FPERIOD_OVERRIDE=FQ","FILING_STATUS=MR","Sort=A","Dates=H","DateFormat=P","Fill=—","Direction=H","UseDPDF=Y")</f>
        <v>26.5946</v>
      </c>
      <c r="M32" s="14">
        <f>_xll.BDH("NBIX US Equity","AVERAGE_PRICE_TO_FREE_CASH_FLOW","FQ1 2022","FQ1 2022","Currency=USD","Period=FQ","BEST_FPERIOD_OVERRIDE=FQ","FILING_STATUS=MR","Sort=A","Dates=H","DateFormat=P","Fill=—","Direction=H","UseDPDF=Y")</f>
        <v>35.131500000000003</v>
      </c>
      <c r="N32" s="14">
        <f>_xll.BDH("NBIX US Equity","AVERAGE_PRICE_TO_FREE_CASH_FLOW","FQ2 2022","FQ2 2022","Currency=USD","Period=FQ","BEST_FPERIOD_OVERRIDE=FQ","FILING_STATUS=MR","Sort=A","Dates=H","DateFormat=P","Fill=—","Direction=H","UseDPDF=Y")</f>
        <v>84.853200000000001</v>
      </c>
      <c r="O32" s="14">
        <f>_xll.BDH("NBIX US Equity","AVERAGE_PRICE_TO_FREE_CASH_FLOW","FQ3 2022","FQ3 2022","Currency=USD","Period=FQ","BEST_FPERIOD_OVERRIDE=FQ","FILING_STATUS=MR","Sort=A","Dates=H","DateFormat=P","Fill=—","Direction=H","UseDPDF=Y")</f>
        <v>72.907499999999999</v>
      </c>
      <c r="P32" s="14" t="str">
        <f>_xll.BDH("NBIX US Equity","AVERAGE_PRICE_TO_FREE_CASH_FLOW","FQ4 2022","FQ4 2022","Currency=USD","Period=FQ","BEST_FPERIOD_OVERRIDE=FQ","FILING_STATUS=MR","Sort=A","Dates=H","DateFormat=P","Fill=—","Direction=H","UseDPDF=Y")</f>
        <v>—</v>
      </c>
      <c r="Q32" s="14" t="str">
        <f>_xll.BDH("NBIX US Equity","AVERAGE_PRICE_TO_FREE_CASH_FLOW","FQ1 2023","FQ1 2023","Currency=USD","Period=FQ","BEST_FPERIOD_OVERRIDE=FQ","FILING_STATUS=MR","Sort=A","Dates=H","DateFormat=P","Fill=—","Direction=H","UseDPDF=Y")</f>
        <v>—</v>
      </c>
      <c r="R32" s="14" t="str">
        <f>_xll.BDH("NBIX US Equity","AVERAGE_PRICE_TO_FREE_CASH_FLOW","FQ2 2023","FQ2 2023","Currency=USD","Period=FQ","BEST_FPERIOD_OVERRIDE=FQ","FILING_STATUS=MR","Sort=A","Dates=H","DateFormat=P","Fill=—","Direction=H","UseDPDF=Y")</f>
        <v>—</v>
      </c>
      <c r="S32" s="14">
        <f>_xll.BDH("NBIX US Equity","AVERAGE_PRICE_TO_FREE_CASH_FLOW","FQ3 2023","FQ3 2023","Currency=USD","Period=FQ","BEST_FPERIOD_OVERRIDE=FQ","FILING_STATUS=MR","Sort=A","Dates=H","DateFormat=P","Fill=—","Direction=H","UseDPDF=Y")</f>
        <v>28.497900000000001</v>
      </c>
      <c r="T32" s="14">
        <f>_xll.BDH("NBIX US Equity","AVERAGE_PRICE_TO_FREE_CASH_FLOW","FQ4 2023","FQ4 2023","Currency=USD","Period=FQ","BEST_FPERIOD_OVERRIDE=FQ","FILING_STATUS=MR","Sort=A","Dates=H","DateFormat=P","Fill=—","Direction=H","UseDPDF=Y")</f>
        <v>29.1965</v>
      </c>
      <c r="U32" s="14">
        <f>_xll.BDH("NBIX US Equity","AVERAGE_PRICE_TO_FREE_CASH_FLOW","FQ1 2024","FQ1 2024","Currency=USD","Period=FQ","BEST_FPERIOD_OVERRIDE=FQ","FILING_STATUS=MR","Sort=A","Dates=H","DateFormat=P","Fill=—","Direction=H","UseDPDF=Y")</f>
        <v>36.843000000000004</v>
      </c>
      <c r="V32" s="14">
        <f>_xll.BDH("NBIX US Equity","AVERAGE_PRICE_TO_FREE_CASH_FLOW","FQ2 2024","FQ2 2024","Currency=USD","Period=FQ","BEST_FPERIOD_OVERRIDE=FQ","FILING_STATUS=MR","Sort=A","Dates=H","DateFormat=P","Fill=—","Direction=H","UseDPDF=Y")</f>
        <v>22.022200000000002</v>
      </c>
      <c r="W32" s="14">
        <f>_xll.BDH("NBIX US Equity","AVERAGE_PRICE_TO_FREE_CASH_FLOW","FQ3 2024","FQ3 2024","Currency=USD","Period=FQ","BEST_FPERIOD_OVERRIDE=FQ","FILING_STATUS=MR","Sort=A","Dates=H","DateFormat=P","Fill=—","Direction=H","UseDPDF=Y")</f>
        <v>27.428000000000001</v>
      </c>
      <c r="X32" s="14">
        <f>_xll.BDH("NBIX US Equity","AVERAGE_PRICE_TO_FREE_CASH_FLOW","FQ4 2024","FQ4 2024","Currency=USD","Period=FQ","BEST_FPERIOD_OVERRIDE=FQ","FILING_STATUS=MR","Sort=A","Dates=H","DateFormat=P","Fill=—","Direction=H","UseDPDF=Y")</f>
        <v>27.996500000000001</v>
      </c>
      <c r="Y32" s="17"/>
      <c r="Z32" s="14"/>
      <c r="AA32" s="14"/>
    </row>
    <row r="33" spans="1:27" x14ac:dyDescent="0.25">
      <c r="A33" s="10" t="s">
        <v>211</v>
      </c>
      <c r="B33" s="10" t="s">
        <v>238</v>
      </c>
      <c r="C33" s="14">
        <f>_xll.BDH("NBIX US Equity","HIGH_PRICE_TO_FREE_CASH_FLOW","FQ3 2019","FQ3 2019","Currency=USD","Period=FQ","BEST_FPERIOD_OVERRIDE=FQ","FILING_STATUS=MR","Sort=A","Dates=H","DateFormat=P","Fill=—","Direction=H","UseDPDF=Y")</f>
        <v>207.53039999999999</v>
      </c>
      <c r="D33" s="14">
        <f>_xll.BDH("NBIX US Equity","HIGH_PRICE_TO_FREE_CASH_FLOW","FQ4 2019","FQ4 2019","Currency=USD","Period=FQ","BEST_FPERIOD_OVERRIDE=FQ","FILING_STATUS=MR","Sort=A","Dates=H","DateFormat=P","Fill=—","Direction=H","UseDPDF=Y")</f>
        <v>133.09139999999999</v>
      </c>
      <c r="E33" s="14">
        <f>_xll.BDH("NBIX US Equity","HIGH_PRICE_TO_FREE_CASH_FLOW","FQ1 2020","FQ1 2020","Currency=USD","Period=FQ","BEST_FPERIOD_OVERRIDE=FQ","FILING_STATUS=MR","Sort=A","Dates=H","DateFormat=P","Fill=—","Direction=H","UseDPDF=Y")</f>
        <v>79.635099999999994</v>
      </c>
      <c r="F33" s="14">
        <f>_xll.BDH("NBIX US Equity","HIGH_PRICE_TO_FREE_CASH_FLOW","FQ2 2020","FQ2 2020","Currency=USD","Period=FQ","BEST_FPERIOD_OVERRIDE=FQ","FILING_STATUS=MR","Sort=A","Dates=H","DateFormat=P","Fill=—","Direction=H","UseDPDF=Y")</f>
        <v>42.372700000000002</v>
      </c>
      <c r="G33" s="14">
        <f>_xll.BDH("NBIX US Equity","HIGH_PRICE_TO_FREE_CASH_FLOW","FQ3 2020","FQ3 2020","Currency=USD","Period=FQ","BEST_FPERIOD_OVERRIDE=FQ","FILING_STATUS=MR","Sort=A","Dates=H","DateFormat=P","Fill=—","Direction=H","UseDPDF=Y")</f>
        <v>40.037300000000002</v>
      </c>
      <c r="H33" s="14">
        <f>_xll.BDH("NBIX US Equity","HIGH_PRICE_TO_FREE_CASH_FLOW","FQ4 2020","FQ4 2020","Currency=USD","Period=FQ","BEST_FPERIOD_OVERRIDE=FQ","FILING_STATUS=MR","Sort=A","Dates=H","DateFormat=P","Fill=—","Direction=H","UseDPDF=Y")</f>
        <v>45.104500000000002</v>
      </c>
      <c r="I33" s="14">
        <f>_xll.BDH("NBIX US Equity","HIGH_PRICE_TO_FREE_CASH_FLOW","FQ1 2021","FQ1 2021","Currency=USD","Period=FQ","BEST_FPERIOD_OVERRIDE=FQ","FILING_STATUS=MR","Sort=A","Dates=H","DateFormat=P","Fill=—","Direction=H","UseDPDF=Y")</f>
        <v>51.0929</v>
      </c>
      <c r="J33" s="14">
        <f>_xll.BDH("NBIX US Equity","HIGH_PRICE_TO_FREE_CASH_FLOW","FQ2 2021","FQ2 2021","Currency=USD","Period=FQ","BEST_FPERIOD_OVERRIDE=FQ","FILING_STATUS=MR","Sort=A","Dates=H","DateFormat=P","Fill=—","Direction=H","UseDPDF=Y")</f>
        <v>36.5306</v>
      </c>
      <c r="K33" s="14">
        <f>_xll.BDH("NBIX US Equity","HIGH_PRICE_TO_FREE_CASH_FLOW","FQ3 2021","FQ3 2021","Currency=USD","Period=FQ","BEST_FPERIOD_OVERRIDE=FQ","FILING_STATUS=MR","Sort=A","Dates=H","DateFormat=P","Fill=—","Direction=H","UseDPDF=Y")</f>
        <v>37.172499999999999</v>
      </c>
      <c r="L33" s="14">
        <f>_xll.BDH("NBIX US Equity","HIGH_PRICE_TO_FREE_CASH_FLOW","FQ4 2021","FQ4 2021","Currency=USD","Period=FQ","BEST_FPERIOD_OVERRIDE=FQ","FILING_STATUS=MR","Sort=A","Dates=H","DateFormat=P","Fill=—","Direction=H","UseDPDF=Y")</f>
        <v>34.519399999999997</v>
      </c>
      <c r="M33" s="14">
        <f>_xll.BDH("NBIX US Equity","HIGH_PRICE_TO_FREE_CASH_FLOW","FQ1 2022","FQ1 2022","Currency=USD","Period=FQ","BEST_FPERIOD_OVERRIDE=FQ","FILING_STATUS=MR","Sort=A","Dates=H","DateFormat=P","Fill=—","Direction=H","UseDPDF=Y")</f>
        <v>86.516900000000007</v>
      </c>
      <c r="N33" s="14">
        <f>_xll.BDH("NBIX US Equity","HIGH_PRICE_TO_FREE_CASH_FLOW","FQ2 2022","FQ2 2022","Currency=USD","Period=FQ","BEST_FPERIOD_OVERRIDE=FQ","FILING_STATUS=MR","Sort=A","Dates=H","DateFormat=P","Fill=—","Direction=H","UseDPDF=Y")</f>
        <v>92.349199999999996</v>
      </c>
      <c r="O33" s="14">
        <f>_xll.BDH("NBIX US Equity","HIGH_PRICE_TO_FREE_CASH_FLOW","FQ3 2022","FQ3 2022","Currency=USD","Period=FQ","BEST_FPERIOD_OVERRIDE=FQ","FILING_STATUS=MR","Sort=A","Dates=H","DateFormat=P","Fill=—","Direction=H","UseDPDF=Y")</f>
        <v>77.5244</v>
      </c>
      <c r="P33" s="14" t="str">
        <f>_xll.BDH("NBIX US Equity","HIGH_PRICE_TO_FREE_CASH_FLOW","FQ4 2022","FQ4 2022","Currency=USD","Period=FQ","BEST_FPERIOD_OVERRIDE=FQ","FILING_STATUS=MR","Sort=A","Dates=H","DateFormat=P","Fill=—","Direction=H","UseDPDF=Y")</f>
        <v>—</v>
      </c>
      <c r="Q33" s="14" t="str">
        <f>_xll.BDH("NBIX US Equity","HIGH_PRICE_TO_FREE_CASH_FLOW","FQ1 2023","FQ1 2023","Currency=USD","Period=FQ","BEST_FPERIOD_OVERRIDE=FQ","FILING_STATUS=MR","Sort=A","Dates=H","DateFormat=P","Fill=—","Direction=H","UseDPDF=Y")</f>
        <v>—</v>
      </c>
      <c r="R33" s="14" t="str">
        <f>_xll.BDH("NBIX US Equity","HIGH_PRICE_TO_FREE_CASH_FLOW","FQ2 2023","FQ2 2023","Currency=USD","Period=FQ","BEST_FPERIOD_OVERRIDE=FQ","FILING_STATUS=MR","Sort=A","Dates=H","DateFormat=P","Fill=—","Direction=H","UseDPDF=Y")</f>
        <v>—</v>
      </c>
      <c r="S33" s="14">
        <f>_xll.BDH("NBIX US Equity","HIGH_PRICE_TO_FREE_CASH_FLOW","FQ3 2023","FQ3 2023","Currency=USD","Period=FQ","BEST_FPERIOD_OVERRIDE=FQ","FILING_STATUS=MR","Sort=A","Dates=H","DateFormat=P","Fill=—","Direction=H","UseDPDF=Y")</f>
        <v>28.497900000000001</v>
      </c>
      <c r="T33" s="14">
        <f>_xll.BDH("NBIX US Equity","HIGH_PRICE_TO_FREE_CASH_FLOW","FQ4 2023","FQ4 2023","Currency=USD","Period=FQ","BEST_FPERIOD_OVERRIDE=FQ","FILING_STATUS=MR","Sort=A","Dates=H","DateFormat=P","Fill=—","Direction=H","UseDPDF=Y")</f>
        <v>35.788699999999999</v>
      </c>
      <c r="U33" s="14">
        <f>_xll.BDH("NBIX US Equity","HIGH_PRICE_TO_FREE_CASH_FLOW","FQ1 2024","FQ1 2024","Currency=USD","Period=FQ","BEST_FPERIOD_OVERRIDE=FQ","FILING_STATUS=MR","Sort=A","Dates=H","DateFormat=P","Fill=—","Direction=H","UseDPDF=Y")</f>
        <v>39.042700000000004</v>
      </c>
      <c r="V33" s="14">
        <f>_xll.BDH("NBIX US Equity","HIGH_PRICE_TO_FREE_CASH_FLOW","FQ2 2024","FQ2 2024","Currency=USD","Period=FQ","BEST_FPERIOD_OVERRIDE=FQ","FILING_STATUS=MR","Sort=A","Dates=H","DateFormat=P","Fill=—","Direction=H","UseDPDF=Y")</f>
        <v>27.494299999999999</v>
      </c>
      <c r="W33" s="14">
        <f>_xll.BDH("NBIX US Equity","HIGH_PRICE_TO_FREE_CASH_FLOW","FQ3 2024","FQ3 2024","Currency=USD","Period=FQ","BEST_FPERIOD_OVERRIDE=FQ","FILING_STATUS=MR","Sort=A","Dates=H","DateFormat=P","Fill=—","Direction=H","UseDPDF=Y")</f>
        <v>30.585799999999999</v>
      </c>
      <c r="X33" s="14">
        <f>_xll.BDH("NBIX US Equity","HIGH_PRICE_TO_FREE_CASH_FLOW","FQ4 2024","FQ4 2024","Currency=USD","Period=FQ","BEST_FPERIOD_OVERRIDE=FQ","FILING_STATUS=MR","Sort=A","Dates=H","DateFormat=P","Fill=—","Direction=H","UseDPDF=Y")</f>
        <v>31.675999999999998</v>
      </c>
      <c r="Y33" s="17"/>
      <c r="Z33" s="14"/>
      <c r="AA33" s="14"/>
    </row>
    <row r="34" spans="1:27" x14ac:dyDescent="0.25">
      <c r="A34" s="10" t="s">
        <v>213</v>
      </c>
      <c r="B34" s="10" t="s">
        <v>239</v>
      </c>
      <c r="C34" s="14">
        <f>_xll.BDH("NBIX US Equity","LOW_PRICE_TO_FREE_CASH_FLOW","FQ3 2019","FQ3 2019","Currency=USD","Period=FQ","BEST_FPERIOD_OVERRIDE=FQ","FILING_STATUS=MR","Sort=A","Dates=H","DateFormat=P","Fill=—","Direction=H","UseDPDF=Y")</f>
        <v>101.1459</v>
      </c>
      <c r="D34" s="14">
        <f>_xll.BDH("NBIX US Equity","LOW_PRICE_TO_FREE_CASH_FLOW","FQ4 2019","FQ4 2019","Currency=USD","Period=FQ","BEST_FPERIOD_OVERRIDE=FQ","FILING_STATUS=MR","Sort=A","Dates=H","DateFormat=P","Fill=—","Direction=H","UseDPDF=Y")</f>
        <v>75.245999999999995</v>
      </c>
      <c r="E34" s="14">
        <f>_xll.BDH("NBIX US Equity","LOW_PRICE_TO_FREE_CASH_FLOW","FQ1 2020","FQ1 2020","Currency=USD","Period=FQ","BEST_FPERIOD_OVERRIDE=FQ","FILING_STATUS=MR","Sort=A","Dates=H","DateFormat=P","Fill=—","Direction=H","UseDPDF=Y")</f>
        <v>28.1325</v>
      </c>
      <c r="F34" s="14">
        <f>_xll.BDH("NBIX US Equity","LOW_PRICE_TO_FREE_CASH_FLOW","FQ2 2020","FQ2 2020","Currency=USD","Period=FQ","BEST_FPERIOD_OVERRIDE=FQ","FILING_STATUS=MR","Sort=A","Dates=H","DateFormat=P","Fill=—","Direction=H","UseDPDF=Y")</f>
        <v>27.658000000000001</v>
      </c>
      <c r="G34" s="14">
        <f>_xll.BDH("NBIX US Equity","LOW_PRICE_TO_FREE_CASH_FLOW","FQ3 2020","FQ3 2020","Currency=USD","Period=FQ","BEST_FPERIOD_OVERRIDE=FQ","FILING_STATUS=MR","Sort=A","Dates=H","DateFormat=P","Fill=—","Direction=H","UseDPDF=Y")</f>
        <v>26.677099999999999</v>
      </c>
      <c r="H34" s="14">
        <f>_xll.BDH("NBIX US Equity","LOW_PRICE_TO_FREE_CASH_FLOW","FQ4 2020","FQ4 2020","Currency=USD","Period=FQ","BEST_FPERIOD_OVERRIDE=FQ","FILING_STATUS=MR","Sort=A","Dates=H","DateFormat=P","Fill=—","Direction=H","UseDPDF=Y")</f>
        <v>36.186</v>
      </c>
      <c r="I34" s="14">
        <f>_xll.BDH("NBIX US Equity","LOW_PRICE_TO_FREE_CASH_FLOW","FQ1 2021","FQ1 2021","Currency=USD","Period=FQ","BEST_FPERIOD_OVERRIDE=FQ","FILING_STATUS=MR","Sort=A","Dates=H","DateFormat=P","Fill=—","Direction=H","UseDPDF=Y")</f>
        <v>34.163899999999998</v>
      </c>
      <c r="J34" s="14">
        <f>_xll.BDH("NBIX US Equity","LOW_PRICE_TO_FREE_CASH_FLOW","FQ2 2021","FQ2 2021","Currency=USD","Period=FQ","BEST_FPERIOD_OVERRIDE=FQ","FILING_STATUS=MR","Sort=A","Dates=H","DateFormat=P","Fill=—","Direction=H","UseDPDF=Y")</f>
        <v>31.416799999999999</v>
      </c>
      <c r="K34" s="14">
        <f>_xll.BDH("NBIX US Equity","LOW_PRICE_TO_FREE_CASH_FLOW","FQ3 2021","FQ3 2021","Currency=USD","Period=FQ","BEST_FPERIOD_OVERRIDE=FQ","FILING_STATUS=MR","Sort=A","Dates=H","DateFormat=P","Fill=—","Direction=H","UseDPDF=Y")</f>
        <v>27.565100000000001</v>
      </c>
      <c r="L34" s="14">
        <f>_xll.BDH("NBIX US Equity","LOW_PRICE_TO_FREE_CASH_FLOW","FQ4 2021","FQ4 2021","Currency=USD","Period=FQ","BEST_FPERIOD_OVERRIDE=FQ","FILING_STATUS=MR","Sort=A","Dates=H","DateFormat=P","Fill=—","Direction=H","UseDPDF=Y")</f>
        <v>22.8919</v>
      </c>
      <c r="M34" s="14">
        <f>_xll.BDH("NBIX US Equity","LOW_PRICE_TO_FREE_CASH_FLOW","FQ1 2022","FQ1 2022","Currency=USD","Period=FQ","BEST_FPERIOD_OVERRIDE=FQ","FILING_STATUS=MR","Sort=A","Dates=H","DateFormat=P","Fill=—","Direction=H","UseDPDF=Y")</f>
        <v>29.364000000000001</v>
      </c>
      <c r="N34" s="14">
        <f>_xll.BDH("NBIX US Equity","LOW_PRICE_TO_FREE_CASH_FLOW","FQ2 2022","FQ2 2022","Currency=USD","Period=FQ","BEST_FPERIOD_OVERRIDE=FQ","FILING_STATUS=MR","Sort=A","Dates=H","DateFormat=P","Fill=—","Direction=H","UseDPDF=Y")</f>
        <v>69.942499999999995</v>
      </c>
      <c r="O34" s="14">
        <f>_xll.BDH("NBIX US Equity","LOW_PRICE_TO_FREE_CASH_FLOW","FQ3 2022","FQ3 2022","Currency=USD","Period=FQ","BEST_FPERIOD_OVERRIDE=FQ","FILING_STATUS=MR","Sort=A","Dates=H","DateFormat=P","Fill=—","Direction=H","UseDPDF=Y")</f>
        <v>66.177199999999999</v>
      </c>
      <c r="P34" s="14" t="str">
        <f>_xll.BDH("NBIX US Equity","LOW_PRICE_TO_FREE_CASH_FLOW","FQ4 2022","FQ4 2022","Currency=USD","Period=FQ","BEST_FPERIOD_OVERRIDE=FQ","FILING_STATUS=MR","Sort=A","Dates=H","DateFormat=P","Fill=—","Direction=H","UseDPDF=Y")</f>
        <v>—</v>
      </c>
      <c r="Q34" s="14" t="str">
        <f>_xll.BDH("NBIX US Equity","LOW_PRICE_TO_FREE_CASH_FLOW","FQ1 2023","FQ1 2023","Currency=USD","Period=FQ","BEST_FPERIOD_OVERRIDE=FQ","FILING_STATUS=MR","Sort=A","Dates=H","DateFormat=P","Fill=—","Direction=H","UseDPDF=Y")</f>
        <v>—</v>
      </c>
      <c r="R34" s="14" t="str">
        <f>_xll.BDH("NBIX US Equity","LOW_PRICE_TO_FREE_CASH_FLOW","FQ2 2023","FQ2 2023","Currency=USD","Period=FQ","BEST_FPERIOD_OVERRIDE=FQ","FILING_STATUS=MR","Sort=A","Dates=H","DateFormat=P","Fill=—","Direction=H","UseDPDF=Y")</f>
        <v>—</v>
      </c>
      <c r="S34" s="14">
        <f>_xll.BDH("NBIX US Equity","LOW_PRICE_TO_FREE_CASH_FLOW","FQ3 2023","FQ3 2023","Currency=USD","Period=FQ","BEST_FPERIOD_OVERRIDE=FQ","FILING_STATUS=MR","Sort=A","Dates=H","DateFormat=P","Fill=—","Direction=H","UseDPDF=Y")</f>
        <v>28.497900000000001</v>
      </c>
      <c r="T34" s="14">
        <f>_xll.BDH("NBIX US Equity","LOW_PRICE_TO_FREE_CASH_FLOW","FQ4 2023","FQ4 2023","Currency=USD","Period=FQ","BEST_FPERIOD_OVERRIDE=FQ","FILING_STATUS=MR","Sort=A","Dates=H","DateFormat=P","Fill=—","Direction=H","UseDPDF=Y")</f>
        <v>26.8691</v>
      </c>
      <c r="U34" s="14">
        <f>_xll.BDH("NBIX US Equity","LOW_PRICE_TO_FREE_CASH_FLOW","FQ1 2024","FQ1 2024","Currency=USD","Period=FQ","BEST_FPERIOD_OVERRIDE=FQ","FILING_STATUS=MR","Sort=A","Dates=H","DateFormat=P","Fill=—","Direction=H","UseDPDF=Y")</f>
        <v>22.060400000000001</v>
      </c>
      <c r="V34" s="14">
        <f>_xll.BDH("NBIX US Equity","LOW_PRICE_TO_FREE_CASH_FLOW","FQ2 2024","FQ2 2024","Currency=USD","Period=FQ","BEST_FPERIOD_OVERRIDE=FQ","FILING_STATUS=MR","Sort=A","Dates=H","DateFormat=P","Fill=—","Direction=H","UseDPDF=Y")</f>
        <v>20.931100000000001</v>
      </c>
      <c r="W34" s="14">
        <f>_xll.BDH("NBIX US Equity","LOW_PRICE_TO_FREE_CASH_FLOW","FQ3 2024","FQ3 2024","Currency=USD","Period=FQ","BEST_FPERIOD_OVERRIDE=FQ","FILING_STATUS=MR","Sort=A","Dates=H","DateFormat=P","Fill=—","Direction=H","UseDPDF=Y")</f>
        <v>22.876899999999999</v>
      </c>
      <c r="X34" s="14">
        <f>_xll.BDH("NBIX US Equity","LOW_PRICE_TO_FREE_CASH_FLOW","FQ4 2024","FQ4 2024","Currency=USD","Period=FQ","BEST_FPERIOD_OVERRIDE=FQ","FILING_STATUS=MR","Sort=A","Dates=H","DateFormat=P","Fill=—","Direction=H","UseDPDF=Y")</f>
        <v>24.577500000000001</v>
      </c>
      <c r="Y34" s="17"/>
      <c r="Z34" s="14"/>
      <c r="AA34" s="14"/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21"/>
      <c r="Z35" s="18"/>
      <c r="AA35" s="18"/>
    </row>
    <row r="36" spans="1:27" x14ac:dyDescent="0.25">
      <c r="A36" s="6" t="s">
        <v>178</v>
      </c>
      <c r="B36" s="6" t="s">
        <v>179</v>
      </c>
      <c r="C36" s="20">
        <f>_xll.BDH("NBIX US Equity","EV_TO_T12M_SALES","FQ3 2019","FQ3 2019","Currency=USD","Period=FQ","BEST_FPERIOD_OVERRIDE=FQ","FILING_STATUS=MR","FA_ADJUSTED=GAAP","Sort=A","Dates=H","DateFormat=P","Fill=—","Direction=H","UseDPDF=Y")</f>
        <v>12.0097</v>
      </c>
      <c r="D36" s="20">
        <f>_xll.BDH("NBIX US Equity","EV_TO_T12M_SALES","FQ4 2019","FQ4 2019","Currency=USD","Period=FQ","BEST_FPERIOD_OVERRIDE=FQ","FILING_STATUS=MR","FA_ADJUSTED=GAAP","Sort=A","Dates=H","DateFormat=P","Fill=—","Direction=H","UseDPDF=Y")</f>
        <v>12.376200000000001</v>
      </c>
      <c r="E36" s="20">
        <f>_xll.BDH("NBIX US Equity","EV_TO_T12M_SALES","FQ1 2020","FQ1 2020","Currency=USD","Period=FQ","BEST_FPERIOD_OVERRIDE=FQ","FILING_STATUS=MR","FA_ADJUSTED=GAAP","Sort=A","Dates=H","DateFormat=P","Fill=—","Direction=H","UseDPDF=Y")</f>
        <v>8.7596000000000007</v>
      </c>
      <c r="F36" s="20">
        <f>_xll.BDH("NBIX US Equity","EV_TO_T12M_SALES","FQ2 2020","FQ2 2020","Currency=USD","Period=FQ","BEST_FPERIOD_OVERRIDE=FQ","FILING_STATUS=MR","FA_ADJUSTED=GAAP","Sort=A","Dates=H","DateFormat=P","Fill=—","Direction=H","UseDPDF=Y")</f>
        <v>10.873200000000001</v>
      </c>
      <c r="G36" s="20">
        <f>_xll.BDH("NBIX US Equity","EV_TO_T12M_SALES","FQ3 2020","FQ3 2020","Currency=USD","Period=FQ","BEST_FPERIOD_OVERRIDE=FQ","FILING_STATUS=MR","FA_ADJUSTED=GAAP","Sort=A","Dates=H","DateFormat=P","Fill=—","Direction=H","UseDPDF=Y")</f>
        <v>8.2088000000000001</v>
      </c>
      <c r="H36" s="20">
        <f>_xll.BDH("NBIX US Equity","EV_TO_T12M_SALES","FQ4 2020","FQ4 2020","Currency=USD","Period=FQ","BEST_FPERIOD_OVERRIDE=FQ","FILING_STATUS=MR","FA_ADJUSTED=GAAP","Sort=A","Dates=H","DateFormat=P","Fill=—","Direction=H","UseDPDF=Y")</f>
        <v>8.2068999999999992</v>
      </c>
      <c r="I36" s="20">
        <f>_xll.BDH("NBIX US Equity","EV_TO_T12M_SALES","FQ1 2021","FQ1 2021","Currency=USD","Period=FQ","BEST_FPERIOD_OVERRIDE=FQ","FILING_STATUS=MR","FA_ADJUSTED=GAAP","Sort=A","Dates=H","DateFormat=P","Fill=—","Direction=H","UseDPDF=Y")</f>
        <v>8.3778000000000006</v>
      </c>
      <c r="J36" s="20">
        <f>_xll.BDH("NBIX US Equity","EV_TO_T12M_SALES","FQ2 2021","FQ2 2021","Currency=USD","Period=FQ","BEST_FPERIOD_OVERRIDE=FQ","FILING_STATUS=MR","FA_ADJUSTED=GAAP","Sort=A","Dates=H","DateFormat=P","Fill=—","Direction=H","UseDPDF=Y")</f>
        <v>8.5007000000000001</v>
      </c>
      <c r="K36" s="20">
        <f>_xll.BDH("NBIX US Equity","EV_TO_T12M_SALES","FQ3 2021","FQ3 2021","Currency=USD","Period=FQ","BEST_FPERIOD_OVERRIDE=FQ","FILING_STATUS=MR","FA_ADJUSTED=GAAP","Sort=A","Dates=H","DateFormat=P","Fill=—","Direction=H","UseDPDF=Y")</f>
        <v>8.2091999999999992</v>
      </c>
      <c r="L36" s="20">
        <f>_xll.BDH("NBIX US Equity","EV_TO_T12M_SALES","FQ4 2021","FQ4 2021","Currency=USD","Period=FQ","BEST_FPERIOD_OVERRIDE=FQ","FILING_STATUS=MR","FA_ADJUSTED=GAAP","Sort=A","Dates=H","DateFormat=P","Fill=—","Direction=H","UseDPDF=Y")</f>
        <v>6.9062000000000001</v>
      </c>
      <c r="M36" s="20">
        <f>_xll.BDH("NBIX US Equity","EV_TO_T12M_SALES","FQ1 2022","FQ1 2022","Currency=USD","Period=FQ","BEST_FPERIOD_OVERRIDE=FQ","FILING_STATUS=MR","FA_ADJUSTED=GAAP","Sort=A","Dates=H","DateFormat=P","Fill=—","Direction=H","UseDPDF=Y")</f>
        <v>7.2755999999999998</v>
      </c>
      <c r="N36" s="20">
        <f>_xll.BDH("NBIX US Equity","EV_TO_T12M_SALES","FQ2 2022","FQ2 2022","Currency=USD","Period=FQ","BEST_FPERIOD_OVERRIDE=FQ","FILING_STATUS=MR","FA_ADJUSTED=GAAP","Sort=A","Dates=H","DateFormat=P","Fill=—","Direction=H","UseDPDF=Y")</f>
        <v>6.9066000000000001</v>
      </c>
      <c r="O36" s="20">
        <f>_xll.BDH("NBIX US Equity","EV_TO_T12M_SALES","FQ3 2022","FQ3 2022","Currency=USD","Period=FQ","BEST_FPERIOD_OVERRIDE=FQ","FILING_STATUS=MR","FA_ADJUSTED=GAAP","Sort=A","Dates=H","DateFormat=P","Fill=—","Direction=H","UseDPDF=Y")</f>
        <v>6.9781000000000004</v>
      </c>
      <c r="P36" s="20">
        <f>_xll.BDH("NBIX US Equity","EV_TO_T12M_SALES","FQ4 2022","FQ4 2022","Currency=USD","Period=FQ","BEST_FPERIOD_OVERRIDE=FQ","FILING_STATUS=MR","FA_ADJUSTED=GAAP","Sort=A","Dates=H","DateFormat=P","Fill=—","Direction=H","UseDPDF=Y")</f>
        <v>7.2544000000000004</v>
      </c>
      <c r="Q36" s="20">
        <f>_xll.BDH("NBIX US Equity","EV_TO_T12M_SALES","FQ1 2023","FQ1 2023","Currency=USD","Period=FQ","BEST_FPERIOD_OVERRIDE=FQ","FILING_STATUS=MR","FA_ADJUSTED=GAAP","Sort=A","Dates=H","DateFormat=P","Fill=—","Direction=H","UseDPDF=Y")</f>
        <v>5.7767999999999997</v>
      </c>
      <c r="R36" s="20">
        <f>_xll.BDH("NBIX US Equity","EV_TO_T12M_SALES","FQ2 2023","FQ2 2023","Currency=USD","Period=FQ","BEST_FPERIOD_OVERRIDE=FQ","FILING_STATUS=MR","FA_ADJUSTED=GAAP","Sort=A","Dates=H","DateFormat=P","Fill=—","Direction=H","UseDPDF=Y")</f>
        <v>5.0827999999999998</v>
      </c>
      <c r="S36" s="20">
        <f>_xll.BDH("NBIX US Equity","EV_TO_T12M_SALES","FQ3 2023","FQ3 2023","Currency=USD","Period=FQ","BEST_FPERIOD_OVERRIDE=FQ","FILING_STATUS=MR","FA_ADJUSTED=GAAP","Sort=A","Dates=H","DateFormat=P","Fill=—","Direction=H","UseDPDF=Y")</f>
        <v>5.7324000000000002</v>
      </c>
      <c r="T36" s="20">
        <f>_xll.BDH("NBIX US Equity","EV_TO_T12M_SALES","FQ4 2023","FQ4 2023","Currency=USD","Period=FQ","BEST_FPERIOD_OVERRIDE=FQ","FILING_STATUS=MR","FA_ADJUSTED=GAAP","Sort=A","Dates=H","DateFormat=P","Fill=—","Direction=H","UseDPDF=Y")</f>
        <v>6.5887000000000002</v>
      </c>
      <c r="U36" s="20">
        <f>_xll.BDH("NBIX US Equity","EV_TO_T12M_SALES","FQ1 2024","FQ1 2024","Currency=USD","Period=FQ","BEST_FPERIOD_OVERRIDE=FQ","FILING_STATUS=MR","FA_ADJUSTED=GAAP","Sort=A","Dates=H","DateFormat=P","Fill=—","Direction=H","UseDPDF=Y")</f>
        <v>6.5968</v>
      </c>
      <c r="V36" s="20">
        <f>_xll.BDH("NBIX US Equity","EV_TO_T12M_SALES","FQ2 2024","FQ2 2024","Currency=USD","Period=FQ","BEST_FPERIOD_OVERRIDE=FQ","FILING_STATUS=MR","FA_ADJUSTED=GAAP","Sort=A","Dates=H","DateFormat=P","Fill=—","Direction=H","UseDPDF=Y")</f>
        <v>6.2012999999999998</v>
      </c>
      <c r="W36" s="20">
        <f>_xll.BDH("NBIX US Equity","EV_TO_T12M_SALES","FQ3 2024","FQ3 2024","Currency=USD","Period=FQ","BEST_FPERIOD_OVERRIDE=FQ","FILING_STATUS=MR","FA_ADJUSTED=GAAP","Sort=A","Dates=H","DateFormat=P","Fill=—","Direction=H","UseDPDF=Y")</f>
        <v>4.7790999999999997</v>
      </c>
      <c r="X36" s="20">
        <f>_xll.BDH("NBIX US Equity","EV_TO_T12M_SALES","FQ4 2024","FQ4 2024","Currency=USD","Period=FQ","BEST_FPERIOD_OVERRIDE=FQ","FILING_STATUS=MR","FA_ADJUSTED=GAAP","Sort=A","Dates=H","DateFormat=P","Fill=—","Direction=H","UseDPDF=Y")</f>
        <v>5.5141999999999998</v>
      </c>
      <c r="Y36" s="23">
        <v>4.5395833917632604</v>
      </c>
      <c r="Z36" s="20">
        <v>4.01019146630051</v>
      </c>
      <c r="AA36" s="20">
        <v>3.7979111513672099</v>
      </c>
    </row>
    <row r="37" spans="1:27" x14ac:dyDescent="0.25">
      <c r="A37" s="10" t="s">
        <v>209</v>
      </c>
      <c r="B37" s="10" t="s">
        <v>240</v>
      </c>
      <c r="C37" s="14">
        <f>_xll.BDH("NBIX US Equity","AVERAGE_EV_TO_T12M_SALES","FQ3 2019","FQ3 2019","Currency=USD","Period=FQ","BEST_FPERIOD_OVERRIDE=FQ","FILING_STATUS=MR","FA_ADJUSTED=GAAP","Sort=A","Dates=H","DateFormat=P","Fill=—","Direction=H","UseDPDF=Y")</f>
        <v>13.8514</v>
      </c>
      <c r="D37" s="14">
        <f>_xll.BDH("NBIX US Equity","AVERAGE_EV_TO_T12M_SALES","FQ4 2019","FQ4 2019","Currency=USD","Period=FQ","BEST_FPERIOD_OVERRIDE=FQ","FILING_STATUS=MR","FA_ADJUSTED=GAAP","Sort=A","Dates=H","DateFormat=P","Fill=—","Direction=H","UseDPDF=Y")</f>
        <v>13.942</v>
      </c>
      <c r="E37" s="14">
        <f>_xll.BDH("NBIX US Equity","AVERAGE_EV_TO_T12M_SALES","FQ1 2020","FQ1 2020","Currency=USD","Period=FQ","BEST_FPERIOD_OVERRIDE=FQ","FILING_STATUS=MR","FA_ADJUSTED=GAAP","Sort=A","Dates=H","DateFormat=P","Fill=—","Direction=H","UseDPDF=Y")</f>
        <v>11.2179</v>
      </c>
      <c r="F37" s="14">
        <f>_xll.BDH("NBIX US Equity","AVERAGE_EV_TO_T12M_SALES","FQ2 2020","FQ2 2020","Currency=USD","Period=FQ","BEST_FPERIOD_OVERRIDE=FQ","FILING_STATUS=MR","FA_ADJUSTED=GAAP","Sort=A","Dates=H","DateFormat=P","Fill=—","Direction=H","UseDPDF=Y")</f>
        <v>11.2403</v>
      </c>
      <c r="G37" s="14">
        <f>_xll.BDH("NBIX US Equity","AVERAGE_EV_TO_T12M_SALES","FQ3 2020","FQ3 2020","Currency=USD","Period=FQ","BEST_FPERIOD_OVERRIDE=FQ","FILING_STATUS=MR","FA_ADJUSTED=GAAP","Sort=A","Dates=H","DateFormat=P","Fill=—","Direction=H","UseDPDF=Y")</f>
        <v>10.2719</v>
      </c>
      <c r="H37" s="14">
        <f>_xll.BDH("NBIX US Equity","AVERAGE_EV_TO_T12M_SALES","FQ4 2020","FQ4 2020","Currency=USD","Period=FQ","BEST_FPERIOD_OVERRIDE=FQ","FILING_STATUS=MR","FA_ADJUSTED=GAAP","Sort=A","Dates=H","DateFormat=P","Fill=—","Direction=H","UseDPDF=Y")</f>
        <v>8.2429000000000006</v>
      </c>
      <c r="I37" s="14">
        <f>_xll.BDH("NBIX US Equity","AVERAGE_EV_TO_T12M_SALES","FQ1 2021","FQ1 2021","Currency=USD","Period=FQ","BEST_FPERIOD_OVERRIDE=FQ","FILING_STATUS=MR","FA_ADJUSTED=GAAP","Sort=A","Dates=H","DateFormat=P","Fill=—","Direction=H","UseDPDF=Y")</f>
        <v>9.0358999999999998</v>
      </c>
      <c r="J37" s="14">
        <f>_xll.BDH("NBIX US Equity","AVERAGE_EV_TO_T12M_SALES","FQ2 2021","FQ2 2021","Currency=USD","Period=FQ","BEST_FPERIOD_OVERRIDE=FQ","FILING_STATUS=MR","FA_ADJUSTED=GAAP","Sort=A","Dates=H","DateFormat=P","Fill=—","Direction=H","UseDPDF=Y")</f>
        <v>8.2523999999999997</v>
      </c>
      <c r="K37" s="14">
        <f>_xll.BDH("NBIX US Equity","AVERAGE_EV_TO_T12M_SALES","FQ3 2021","FQ3 2021","Currency=USD","Period=FQ","BEST_FPERIOD_OVERRIDE=FQ","FILING_STATUS=MR","FA_ADJUSTED=GAAP","Sort=A","Dates=H","DateFormat=P","Fill=—","Direction=H","UseDPDF=Y")</f>
        <v>8.2363999999999997</v>
      </c>
      <c r="L37" s="14">
        <f>_xll.BDH("NBIX US Equity","AVERAGE_EV_TO_T12M_SALES","FQ4 2021","FQ4 2021","Currency=USD","Period=FQ","BEST_FPERIOD_OVERRIDE=FQ","FILING_STATUS=MR","FA_ADJUSTED=GAAP","Sort=A","Dates=H","DateFormat=P","Fill=—","Direction=H","UseDPDF=Y")</f>
        <v>7.8547000000000002</v>
      </c>
      <c r="M37" s="14">
        <f>_xll.BDH("NBIX US Equity","AVERAGE_EV_TO_T12M_SALES","FQ1 2022","FQ1 2022","Currency=USD","Period=FQ","BEST_FPERIOD_OVERRIDE=FQ","FILING_STATUS=MR","FA_ADJUSTED=GAAP","Sort=A","Dates=H","DateFormat=P","Fill=—","Direction=H","UseDPDF=Y")</f>
        <v>6.8784999999999998</v>
      </c>
      <c r="N37" s="14">
        <f>_xll.BDH("NBIX US Equity","AVERAGE_EV_TO_T12M_SALES","FQ2 2022","FQ2 2022","Currency=USD","Period=FQ","BEST_FPERIOD_OVERRIDE=FQ","FILING_STATUS=MR","FA_ADJUSTED=GAAP","Sort=A","Dates=H","DateFormat=P","Fill=—","Direction=H","UseDPDF=Y")</f>
        <v>7.1521999999999997</v>
      </c>
      <c r="O37" s="14">
        <f>_xll.BDH("NBIX US Equity","AVERAGE_EV_TO_T12M_SALES","FQ3 2022","FQ3 2022","Currency=USD","Period=FQ","BEST_FPERIOD_OVERRIDE=FQ","FILING_STATUS=MR","FA_ADJUSTED=GAAP","Sort=A","Dates=H","DateFormat=P","Fill=—","Direction=H","UseDPDF=Y")</f>
        <v>7.1923000000000004</v>
      </c>
      <c r="P37" s="14">
        <f>_xll.BDH("NBIX US Equity","AVERAGE_EV_TO_T12M_SALES","FQ4 2022","FQ4 2022","Currency=USD","Period=FQ","BEST_FPERIOD_OVERRIDE=FQ","FILING_STATUS=MR","FA_ADJUSTED=GAAP","Sort=A","Dates=H","DateFormat=P","Fill=—","Direction=H","UseDPDF=Y")</f>
        <v>7.7127999999999997</v>
      </c>
      <c r="Q37" s="14">
        <f>_xll.BDH("NBIX US Equity","AVERAGE_EV_TO_T12M_SALES","FQ1 2023","FQ1 2023","Currency=USD","Period=FQ","BEST_FPERIOD_OVERRIDE=FQ","FILING_STATUS=MR","FA_ADJUSTED=GAAP","Sort=A","Dates=H","DateFormat=P","Fill=—","Direction=H","UseDPDF=Y")</f>
        <v>6.2435999999999998</v>
      </c>
      <c r="R37" s="14">
        <f>_xll.BDH("NBIX US Equity","AVERAGE_EV_TO_T12M_SALES","FQ2 2023","FQ2 2023","Currency=USD","Period=FQ","BEST_FPERIOD_OVERRIDE=FQ","FILING_STATUS=MR","FA_ADJUSTED=GAAP","Sort=A","Dates=H","DateFormat=P","Fill=—","Direction=H","UseDPDF=Y")</f>
        <v>5.5597000000000003</v>
      </c>
      <c r="S37" s="14">
        <f>_xll.BDH("NBIX US Equity","AVERAGE_EV_TO_T12M_SALES","FQ3 2023","FQ3 2023","Currency=USD","Period=FQ","BEST_FPERIOD_OVERRIDE=FQ","FILING_STATUS=MR","FA_ADJUSTED=GAAP","Sort=A","Dates=H","DateFormat=P","Fill=—","Direction=H","UseDPDF=Y")</f>
        <v>5.7192999999999996</v>
      </c>
      <c r="T37" s="14">
        <f>_xll.BDH("NBIX US Equity","AVERAGE_EV_TO_T12M_SALES","FQ4 2023","FQ4 2023","Currency=USD","Period=FQ","BEST_FPERIOD_OVERRIDE=FQ","FILING_STATUS=MR","FA_ADJUSTED=GAAP","Sort=A","Dates=H","DateFormat=P","Fill=—","Direction=H","UseDPDF=Y")</f>
        <v>5.8630000000000004</v>
      </c>
      <c r="U37" s="14">
        <f>_xll.BDH("NBIX US Equity","AVERAGE_EV_TO_T12M_SALES","FQ1 2024","FQ1 2024","Currency=USD","Period=FQ","BEST_FPERIOD_OVERRIDE=FQ","FILING_STATUS=MR","FA_ADJUSTED=GAAP","Sort=A","Dates=H","DateFormat=P","Fill=—","Direction=H","UseDPDF=Y")</f>
        <v>6.851</v>
      </c>
      <c r="V37" s="14">
        <f>_xll.BDH("NBIX US Equity","AVERAGE_EV_TO_T12M_SALES","FQ2 2024","FQ2 2024","Currency=USD","Period=FQ","BEST_FPERIOD_OVERRIDE=FQ","FILING_STATUS=MR","FA_ADJUSTED=GAAP","Sort=A","Dates=H","DateFormat=P","Fill=—","Direction=H","UseDPDF=Y")</f>
        <v>6.5423999999999998</v>
      </c>
      <c r="W37" s="14">
        <f>_xll.BDH("NBIX US Equity","AVERAGE_EV_TO_T12M_SALES","FQ3 2024","FQ3 2024","Currency=USD","Period=FQ","BEST_FPERIOD_OVERRIDE=FQ","FILING_STATUS=MR","FA_ADJUSTED=GAAP","Sort=A","Dates=H","DateFormat=P","Fill=—","Direction=H","UseDPDF=Y")</f>
        <v>6.1649000000000003</v>
      </c>
      <c r="X37" s="14">
        <f>_xll.BDH("NBIX US Equity","AVERAGE_EV_TO_T12M_SALES","FQ4 2024","FQ4 2024","Currency=USD","Period=FQ","BEST_FPERIOD_OVERRIDE=FQ","FILING_STATUS=MR","FA_ADJUSTED=GAAP","Sort=A","Dates=H","DateFormat=P","Fill=—","Direction=H","UseDPDF=Y")</f>
        <v>5.1570999999999998</v>
      </c>
      <c r="Y37" s="17"/>
      <c r="Z37" s="14"/>
      <c r="AA37" s="14"/>
    </row>
    <row r="38" spans="1:27" x14ac:dyDescent="0.25">
      <c r="A38" s="10" t="s">
        <v>211</v>
      </c>
      <c r="B38" s="10" t="s">
        <v>241</v>
      </c>
      <c r="C38" s="14">
        <f>_xll.BDH("NBIX US Equity","HIGH_EV_TO_T12M_SALES","FQ3 2019","FQ3 2019","Currency=USD","Period=FQ","BEST_FPERIOD_OVERRIDE=FQ","FILING_STATUS=MR","FA_ADJUSTED=GAAP","Sort=A","Dates=H","DateFormat=P","Fill=—","Direction=H","UseDPDF=Y")</f>
        <v>15.107799999999999</v>
      </c>
      <c r="D38" s="14">
        <f>_xll.BDH("NBIX US Equity","HIGH_EV_TO_T12M_SALES","FQ4 2019","FQ4 2019","Currency=USD","Period=FQ","BEST_FPERIOD_OVERRIDE=FQ","FILING_STATUS=MR","FA_ADJUSTED=GAAP","Sort=A","Dates=H","DateFormat=P","Fill=—","Direction=H","UseDPDF=Y")</f>
        <v>15.8912</v>
      </c>
      <c r="E38" s="14">
        <f>_xll.BDH("NBIX US Equity","HIGH_EV_TO_T12M_SALES","FQ1 2020","FQ1 2020","Currency=USD","Period=FQ","BEST_FPERIOD_OVERRIDE=FQ","FILING_STATUS=MR","FA_ADJUSTED=GAAP","Sort=A","Dates=H","DateFormat=P","Fill=—","Direction=H","UseDPDF=Y")</f>
        <v>13.0806</v>
      </c>
      <c r="F38" s="14">
        <f>_xll.BDH("NBIX US Equity","HIGH_EV_TO_T12M_SALES","FQ2 2020","FQ2 2020","Currency=USD","Period=FQ","BEST_FPERIOD_OVERRIDE=FQ","FILING_STATUS=MR","FA_ADJUSTED=GAAP","Sort=A","Dates=H","DateFormat=P","Fill=—","Direction=H","UseDPDF=Y")</f>
        <v>13.353300000000001</v>
      </c>
      <c r="G38" s="14">
        <f>_xll.BDH("NBIX US Equity","HIGH_EV_TO_T12M_SALES","FQ3 2020","FQ3 2020","Currency=USD","Period=FQ","BEST_FPERIOD_OVERRIDE=FQ","FILING_STATUS=MR","FA_ADJUSTED=GAAP","Sort=A","Dates=H","DateFormat=P","Fill=—","Direction=H","UseDPDF=Y")</f>
        <v>12.046799999999999</v>
      </c>
      <c r="H38" s="14">
        <f>_xll.BDH("NBIX US Equity","HIGH_EV_TO_T12M_SALES","FQ4 2020","FQ4 2020","Currency=USD","Period=FQ","BEST_FPERIOD_OVERRIDE=FQ","FILING_STATUS=MR","FA_ADJUSTED=GAAP","Sort=A","Dates=H","DateFormat=P","Fill=—","Direction=H","UseDPDF=Y")</f>
        <v>9.2843999999999998</v>
      </c>
      <c r="I38" s="14">
        <f>_xll.BDH("NBIX US Equity","HIGH_EV_TO_T12M_SALES","FQ1 2021","FQ1 2021","Currency=USD","Period=FQ","BEST_FPERIOD_OVERRIDE=FQ","FILING_STATUS=MR","FA_ADJUSTED=GAAP","Sort=A","Dates=H","DateFormat=P","Fill=—","Direction=H","UseDPDF=Y")</f>
        <v>10.3269</v>
      </c>
      <c r="J38" s="14">
        <f>_xll.BDH("NBIX US Equity","HIGH_EV_TO_T12M_SALES","FQ2 2021","FQ2 2021","Currency=USD","Period=FQ","BEST_FPERIOD_OVERRIDE=FQ","FILING_STATUS=MR","FA_ADJUSTED=GAAP","Sort=A","Dates=H","DateFormat=P","Fill=—","Direction=H","UseDPDF=Y")</f>
        <v>8.8361000000000001</v>
      </c>
      <c r="K38" s="14">
        <f>_xll.BDH("NBIX US Equity","HIGH_EV_TO_T12M_SALES","FQ3 2021","FQ3 2021","Currency=USD","Period=FQ","BEST_FPERIOD_OVERRIDE=FQ","FILING_STATUS=MR","FA_ADJUSTED=GAAP","Sort=A","Dates=H","DateFormat=P","Fill=—","Direction=H","UseDPDF=Y")</f>
        <v>8.6523000000000003</v>
      </c>
      <c r="L38" s="14">
        <f>_xll.BDH("NBIX US Equity","HIGH_EV_TO_T12M_SALES","FQ4 2021","FQ4 2021","Currency=USD","Period=FQ","BEST_FPERIOD_OVERRIDE=FQ","FILING_STATUS=MR","FA_ADJUSTED=GAAP","Sort=A","Dates=H","DateFormat=P","Fill=—","Direction=H","UseDPDF=Y")</f>
        <v>9.1297999999999995</v>
      </c>
      <c r="M38" s="14">
        <f>_xll.BDH("NBIX US Equity","HIGH_EV_TO_T12M_SALES","FQ1 2022","FQ1 2022","Currency=USD","Period=FQ","BEST_FPERIOD_OVERRIDE=FQ","FILING_STATUS=MR","FA_ADJUSTED=GAAP","Sort=A","Dates=H","DateFormat=P","Fill=—","Direction=H","UseDPDF=Y")</f>
        <v>7.742</v>
      </c>
      <c r="N38" s="14">
        <f>_xll.BDH("NBIX US Equity","HIGH_EV_TO_T12M_SALES","FQ2 2022","FQ2 2022","Currency=USD","Period=FQ","BEST_FPERIOD_OVERRIDE=FQ","FILING_STATUS=MR","FA_ADJUSTED=GAAP","Sort=A","Dates=H","DateFormat=P","Fill=—","Direction=H","UseDPDF=Y")</f>
        <v>7.7762000000000002</v>
      </c>
      <c r="O38" s="14">
        <f>_xll.BDH("NBIX US Equity","HIGH_EV_TO_T12M_SALES","FQ3 2022","FQ3 2022","Currency=USD","Period=FQ","BEST_FPERIOD_OVERRIDE=FQ","FILING_STATUS=MR","FA_ADJUSTED=GAAP","Sort=A","Dates=H","DateFormat=P","Fill=—","Direction=H","UseDPDF=Y")</f>
        <v>7.6714000000000002</v>
      </c>
      <c r="P38" s="14">
        <f>_xll.BDH("NBIX US Equity","HIGH_EV_TO_T12M_SALES","FQ4 2022","FQ4 2022","Currency=USD","Period=FQ","BEST_FPERIOD_OVERRIDE=FQ","FILING_STATUS=MR","FA_ADJUSTED=GAAP","Sort=A","Dates=H","DateFormat=P","Fill=—","Direction=H","UseDPDF=Y")</f>
        <v>8.4240999999999993</v>
      </c>
      <c r="Q38" s="14">
        <f>_xll.BDH("NBIX US Equity","HIGH_EV_TO_T12M_SALES","FQ1 2023","FQ1 2023","Currency=USD","Period=FQ","BEST_FPERIOD_OVERRIDE=FQ","FILING_STATUS=MR","FA_ADJUSTED=GAAP","Sort=A","Dates=H","DateFormat=P","Fill=—","Direction=H","UseDPDF=Y")</f>
        <v>7.4561999999999999</v>
      </c>
      <c r="R38" s="14">
        <f>_xll.BDH("NBIX US Equity","HIGH_EV_TO_T12M_SALES","FQ2 2023","FQ2 2023","Currency=USD","Period=FQ","BEST_FPERIOD_OVERRIDE=FQ","FILING_STATUS=MR","FA_ADJUSTED=GAAP","Sort=A","Dates=H","DateFormat=P","Fill=—","Direction=H","UseDPDF=Y")</f>
        <v>6.0011000000000001</v>
      </c>
      <c r="S38" s="14">
        <f>_xll.BDH("NBIX US Equity","HIGH_EV_TO_T12M_SALES","FQ3 2023","FQ3 2023","Currency=USD","Period=FQ","BEST_FPERIOD_OVERRIDE=FQ","FILING_STATUS=MR","FA_ADJUSTED=GAAP","Sort=A","Dates=H","DateFormat=P","Fill=—","Direction=H","UseDPDF=Y")</f>
        <v>6.4165999999999999</v>
      </c>
      <c r="T38" s="14">
        <f>_xll.BDH("NBIX US Equity","HIGH_EV_TO_T12M_SALES","FQ4 2023","FQ4 2023","Currency=USD","Period=FQ","BEST_FPERIOD_OVERRIDE=FQ","FILING_STATUS=MR","FA_ADJUSTED=GAAP","Sort=A","Dates=H","DateFormat=P","Fill=—","Direction=H","UseDPDF=Y")</f>
        <v>6.8514999999999997</v>
      </c>
      <c r="U38" s="14">
        <f>_xll.BDH("NBIX US Equity","HIGH_EV_TO_T12M_SALES","FQ1 2024","FQ1 2024","Currency=USD","Period=FQ","BEST_FPERIOD_OVERRIDE=FQ","FILING_STATUS=MR","FA_ADJUSTED=GAAP","Sort=A","Dates=H","DateFormat=P","Fill=—","Direction=H","UseDPDF=Y")</f>
        <v>7.2767999999999997</v>
      </c>
      <c r="V38" s="14">
        <f>_xll.BDH("NBIX US Equity","HIGH_EV_TO_T12M_SALES","FQ2 2024","FQ2 2024","Currency=USD","Period=FQ","BEST_FPERIOD_OVERRIDE=FQ","FILING_STATUS=MR","FA_ADJUSTED=GAAP","Sort=A","Dates=H","DateFormat=P","Fill=—","Direction=H","UseDPDF=Y")</f>
        <v>6.867</v>
      </c>
      <c r="W38" s="14">
        <f>_xll.BDH("NBIX US Equity","HIGH_EV_TO_T12M_SALES","FQ3 2024","FQ3 2024","Currency=USD","Period=FQ","BEST_FPERIOD_OVERRIDE=FQ","FILING_STATUS=MR","FA_ADJUSTED=GAAP","Sort=A","Dates=H","DateFormat=P","Fill=—","Direction=H","UseDPDF=Y")</f>
        <v>6.9436999999999998</v>
      </c>
      <c r="X38" s="14">
        <f>_xll.BDH("NBIX US Equity","HIGH_EV_TO_T12M_SALES","FQ4 2024","FQ4 2024","Currency=USD","Period=FQ","BEST_FPERIOD_OVERRIDE=FQ","FILING_STATUS=MR","FA_ADJUSTED=GAAP","Sort=A","Dates=H","DateFormat=P","Fill=—","Direction=H","UseDPDF=Y")</f>
        <v>5.8747999999999996</v>
      </c>
      <c r="Y38" s="17"/>
      <c r="Z38" s="14"/>
      <c r="AA38" s="14"/>
    </row>
    <row r="39" spans="1:27" x14ac:dyDescent="0.25">
      <c r="A39" s="10" t="s">
        <v>213</v>
      </c>
      <c r="B39" s="10" t="s">
        <v>242</v>
      </c>
      <c r="C39" s="14">
        <f>_xll.BDH("NBIX US Equity","LOW_EV_TO_T12M_SALES","FQ3 2019","FQ3 2019","Currency=USD","Period=FQ","BEST_FPERIOD_OVERRIDE=FQ","FILING_STATUS=MR","FA_ADJUSTED=GAAP","Sort=A","Dates=H","DateFormat=P","Fill=—","Direction=H","UseDPDF=Y")</f>
        <v>11.943</v>
      </c>
      <c r="D39" s="14">
        <f>_xll.BDH("NBIX US Equity","LOW_EV_TO_T12M_SALES","FQ4 2019","FQ4 2019","Currency=USD","Period=FQ","BEST_FPERIOD_OVERRIDE=FQ","FILING_STATUS=MR","FA_ADJUSTED=GAAP","Sort=A","Dates=H","DateFormat=P","Fill=—","Direction=H","UseDPDF=Y")</f>
        <v>11.494300000000001</v>
      </c>
      <c r="E39" s="14">
        <f>_xll.BDH("NBIX US Equity","LOW_EV_TO_T12M_SALES","FQ1 2020","FQ1 2020","Currency=USD","Period=FQ","BEST_FPERIOD_OVERRIDE=FQ","FILING_STATUS=MR","FA_ADJUSTED=GAAP","Sort=A","Dates=H","DateFormat=P","Fill=—","Direction=H","UseDPDF=Y")</f>
        <v>8.5836000000000006</v>
      </c>
      <c r="F39" s="14">
        <f>_xll.BDH("NBIX US Equity","LOW_EV_TO_T12M_SALES","FQ2 2020","FQ2 2020","Currency=USD","Period=FQ","BEST_FPERIOD_OVERRIDE=FQ","FILING_STATUS=MR","FA_ADJUSTED=GAAP","Sort=A","Dates=H","DateFormat=P","Fill=—","Direction=H","UseDPDF=Y")</f>
        <v>8.5580999999999996</v>
      </c>
      <c r="G39" s="14">
        <f>_xll.BDH("NBIX US Equity","LOW_EV_TO_T12M_SALES","FQ3 2020","FQ3 2020","Currency=USD","Period=FQ","BEST_FPERIOD_OVERRIDE=FQ","FILING_STATUS=MR","FA_ADJUSTED=GAAP","Sort=A","Dates=H","DateFormat=P","Fill=—","Direction=H","UseDPDF=Y")</f>
        <v>8.1953999999999994</v>
      </c>
      <c r="H39" s="14">
        <f>_xll.BDH("NBIX US Equity","LOW_EV_TO_T12M_SALES","FQ4 2020","FQ4 2020","Currency=USD","Period=FQ","BEST_FPERIOD_OVERRIDE=FQ","FILING_STATUS=MR","FA_ADJUSTED=GAAP","Sort=A","Dates=H","DateFormat=P","Fill=—","Direction=H","UseDPDF=Y")</f>
        <v>7.3821000000000003</v>
      </c>
      <c r="I39" s="14">
        <f>_xll.BDH("NBIX US Equity","LOW_EV_TO_T12M_SALES","FQ1 2021","FQ1 2021","Currency=USD","Period=FQ","BEST_FPERIOD_OVERRIDE=FQ","FILING_STATUS=MR","FA_ADJUSTED=GAAP","Sort=A","Dates=H","DateFormat=P","Fill=—","Direction=H","UseDPDF=Y")</f>
        <v>7.5038</v>
      </c>
      <c r="J39" s="14">
        <f>_xll.BDH("NBIX US Equity","LOW_EV_TO_T12M_SALES","FQ2 2021","FQ2 2021","Currency=USD","Period=FQ","BEST_FPERIOD_OVERRIDE=FQ","FILING_STATUS=MR","FA_ADJUSTED=GAAP","Sort=A","Dates=H","DateFormat=P","Fill=—","Direction=H","UseDPDF=Y")</f>
        <v>7.6748000000000003</v>
      </c>
      <c r="K39" s="14">
        <f>_xll.BDH("NBIX US Equity","LOW_EV_TO_T12M_SALES","FQ3 2021","FQ3 2021","Currency=USD","Period=FQ","BEST_FPERIOD_OVERRIDE=FQ","FILING_STATUS=MR","FA_ADJUSTED=GAAP","Sort=A","Dates=H","DateFormat=P","Fill=—","Direction=H","UseDPDF=Y")</f>
        <v>7.4832999999999998</v>
      </c>
      <c r="L39" s="14">
        <f>_xll.BDH("NBIX US Equity","LOW_EV_TO_T12M_SALES","FQ4 2021","FQ4 2021","Currency=USD","Period=FQ","BEST_FPERIOD_OVERRIDE=FQ","FILING_STATUS=MR","FA_ADJUSTED=GAAP","Sort=A","Dates=H","DateFormat=P","Fill=—","Direction=H","UseDPDF=Y")</f>
        <v>6.7728000000000002</v>
      </c>
      <c r="M39" s="14">
        <f>_xll.BDH("NBIX US Equity","LOW_EV_TO_T12M_SALES","FQ1 2022","FQ1 2022","Currency=USD","Period=FQ","BEST_FPERIOD_OVERRIDE=FQ","FILING_STATUS=MR","FA_ADJUSTED=GAAP","Sort=A","Dates=H","DateFormat=P","Fill=—","Direction=H","UseDPDF=Y")</f>
        <v>5.8391999999999999</v>
      </c>
      <c r="N39" s="14">
        <f>_xll.BDH("NBIX US Equity","LOW_EV_TO_T12M_SALES","FQ2 2022","FQ2 2022","Currency=USD","Period=FQ","BEST_FPERIOD_OVERRIDE=FQ","FILING_STATUS=MR","FA_ADJUSTED=GAAP","Sort=A","Dates=H","DateFormat=P","Fill=—","Direction=H","UseDPDF=Y")</f>
        <v>5.86</v>
      </c>
      <c r="O39" s="14">
        <f>_xll.BDH("NBIX US Equity","LOW_EV_TO_T12M_SALES","FQ3 2022","FQ3 2022","Currency=USD","Period=FQ","BEST_FPERIOD_OVERRIDE=FQ","FILING_STATUS=MR","FA_ADJUSTED=GAAP","Sort=A","Dates=H","DateFormat=P","Fill=—","Direction=H","UseDPDF=Y")</f>
        <v>6.5031999999999996</v>
      </c>
      <c r="P39" s="14">
        <f>_xll.BDH("NBIX US Equity","LOW_EV_TO_T12M_SALES","FQ4 2022","FQ4 2022","Currency=USD","Period=FQ","BEST_FPERIOD_OVERRIDE=FQ","FILING_STATUS=MR","FA_ADJUSTED=GAAP","Sort=A","Dates=H","DateFormat=P","Fill=—","Direction=H","UseDPDF=Y")</f>
        <v>6.9779999999999998</v>
      </c>
      <c r="Q39" s="14">
        <f>_xll.BDH("NBIX US Equity","LOW_EV_TO_T12M_SALES","FQ1 2023","FQ1 2023","Currency=USD","Period=FQ","BEST_FPERIOD_OVERRIDE=FQ","FILING_STATUS=MR","FA_ADJUSTED=GAAP","Sort=A","Dates=H","DateFormat=P","Fill=—","Direction=H","UseDPDF=Y")</f>
        <v>5.6180000000000003</v>
      </c>
      <c r="R39" s="14">
        <f>_xll.BDH("NBIX US Equity","LOW_EV_TO_T12M_SALES","FQ2 2023","FQ2 2023","Currency=USD","Period=FQ","BEST_FPERIOD_OVERRIDE=FQ","FILING_STATUS=MR","FA_ADJUSTED=GAAP","Sort=A","Dates=H","DateFormat=P","Fill=—","Direction=H","UseDPDF=Y")</f>
        <v>5.0679999999999996</v>
      </c>
      <c r="S39" s="14">
        <f>_xll.BDH("NBIX US Equity","LOW_EV_TO_T12M_SALES","FQ3 2023","FQ3 2023","Currency=USD","Period=FQ","BEST_FPERIOD_OVERRIDE=FQ","FILING_STATUS=MR","FA_ADJUSTED=GAAP","Sort=A","Dates=H","DateFormat=P","Fill=—","Direction=H","UseDPDF=Y")</f>
        <v>5.0650000000000004</v>
      </c>
      <c r="T39" s="14">
        <f>_xll.BDH("NBIX US Equity","LOW_EV_TO_T12M_SALES","FQ4 2023","FQ4 2023","Currency=USD","Period=FQ","BEST_FPERIOD_OVERRIDE=FQ","FILING_STATUS=MR","FA_ADJUSTED=GAAP","Sort=A","Dates=H","DateFormat=P","Fill=—","Direction=H","UseDPDF=Y")</f>
        <v>5.3459000000000003</v>
      </c>
      <c r="U39" s="14">
        <f>_xll.BDH("NBIX US Equity","LOW_EV_TO_T12M_SALES","FQ1 2024","FQ1 2024","Currency=USD","Period=FQ","BEST_FPERIOD_OVERRIDE=FQ","FILING_STATUS=MR","FA_ADJUSTED=GAAP","Sort=A","Dates=H","DateFormat=P","Fill=—","Direction=H","UseDPDF=Y")</f>
        <v>6.4960000000000004</v>
      </c>
      <c r="V39" s="14">
        <f>_xll.BDH("NBIX US Equity","LOW_EV_TO_T12M_SALES","FQ2 2024","FQ2 2024","Currency=USD","Period=FQ","BEST_FPERIOD_OVERRIDE=FQ","FILING_STATUS=MR","FA_ADJUSTED=GAAP","Sort=A","Dates=H","DateFormat=P","Fill=—","Direction=H","UseDPDF=Y")</f>
        <v>6.1841999999999997</v>
      </c>
      <c r="W39" s="14">
        <f>_xll.BDH("NBIX US Equity","LOW_EV_TO_T12M_SALES","FQ3 2024","FQ3 2024","Currency=USD","Period=FQ","BEST_FPERIOD_OVERRIDE=FQ","FILING_STATUS=MR","FA_ADJUSTED=GAAP","Sort=A","Dates=H","DateFormat=P","Fill=—","Direction=H","UseDPDF=Y")</f>
        <v>4.7675999999999998</v>
      </c>
      <c r="X39" s="14">
        <f>_xll.BDH("NBIX US Equity","LOW_EV_TO_T12M_SALES","FQ4 2024","FQ4 2024","Currency=USD","Period=FQ","BEST_FPERIOD_OVERRIDE=FQ","FILING_STATUS=MR","FA_ADJUSTED=GAAP","Sort=A","Dates=H","DateFormat=P","Fill=—","Direction=H","UseDPDF=Y")</f>
        <v>4.6055000000000001</v>
      </c>
      <c r="Y39" s="17"/>
      <c r="Z39" s="14"/>
      <c r="AA39" s="14"/>
    </row>
    <row r="40" spans="1:27" x14ac:dyDescent="0.25">
      <c r="A40" s="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21"/>
      <c r="Z40" s="18"/>
      <c r="AA40" s="18"/>
    </row>
    <row r="41" spans="1:27" x14ac:dyDescent="0.25">
      <c r="A41" s="6" t="s">
        <v>180</v>
      </c>
      <c r="B41" s="6" t="s">
        <v>181</v>
      </c>
      <c r="C41" s="20">
        <f>_xll.BDH("NBIX US Equity","EV_TO_T12M_EBITDA","FQ3 2019","FQ3 2019","Currency=USD","Period=FQ","BEST_FPERIOD_OVERRIDE=FQ","FILING_STATUS=MR","FA_ADJUSTED=GAAP","Sort=A","Dates=H","DateFormat=P","Fill=—","Direction=H","UseDPDF=Y")</f>
        <v>135.36840000000001</v>
      </c>
      <c r="D41" s="20">
        <f>_xll.BDH("NBIX US Equity","EV_TO_T12M_EBITDA","FQ4 2019","FQ4 2019","Currency=USD","Period=FQ","BEST_FPERIOD_OVERRIDE=FQ","FILING_STATUS=MR","FA_ADJUSTED=GAAP","Sort=A","Dates=H","DateFormat=P","Fill=—","Direction=H","UseDPDF=Y")</f>
        <v>111.0219</v>
      </c>
      <c r="E41" s="20">
        <f>_xll.BDH("NBIX US Equity","EV_TO_T12M_EBITDA","FQ1 2020","FQ1 2020","Currency=USD","Period=FQ","BEST_FPERIOD_OVERRIDE=FQ","FILING_STATUS=MR","FA_ADJUSTED=GAAP","Sort=A","Dates=H","DateFormat=P","Fill=—","Direction=H","UseDPDF=Y")</f>
        <v>31.212800000000001</v>
      </c>
      <c r="F41" s="20">
        <f>_xll.BDH("NBIX US Equity","EV_TO_T12M_EBITDA","FQ2 2020","FQ2 2020","Currency=USD","Period=FQ","BEST_FPERIOD_OVERRIDE=FQ","FILING_STATUS=MR","FA_ADJUSTED=GAAP","Sort=A","Dates=H","DateFormat=P","Fill=—","Direction=H","UseDPDF=Y")</f>
        <v>37.468699999999998</v>
      </c>
      <c r="G41" s="20">
        <f>_xll.BDH("NBIX US Equity","EV_TO_T12M_EBITDA","FQ3 2020","FQ3 2020","Currency=USD","Period=FQ","BEST_FPERIOD_OVERRIDE=FQ","FILING_STATUS=MR","FA_ADJUSTED=GAAP","Sort=A","Dates=H","DateFormat=P","Fill=—","Direction=H","UseDPDF=Y")</f>
        <v>54.128100000000003</v>
      </c>
      <c r="H41" s="20">
        <f>_xll.BDH("NBIX US Equity","EV_TO_T12M_EBITDA","FQ4 2020","FQ4 2020","Currency=USD","Period=FQ","BEST_FPERIOD_OVERRIDE=FQ","FILING_STATUS=MR","FA_ADJUSTED=GAAP","Sort=A","Dates=H","DateFormat=P","Fill=—","Direction=H","UseDPDF=Y")</f>
        <v>47.240400000000001</v>
      </c>
      <c r="I41" s="20">
        <f>_xll.BDH("NBIX US Equity","EV_TO_T12M_EBITDA","FQ1 2021","FQ1 2021","Currency=USD","Period=FQ","BEST_FPERIOD_OVERRIDE=FQ","FILING_STATUS=MR","FA_ADJUSTED=GAAP","Sort=A","Dates=H","DateFormat=P","Fill=—","Direction=H","UseDPDF=Y")</f>
        <v>56.286200000000001</v>
      </c>
      <c r="J41" s="20">
        <f>_xll.BDH("NBIX US Equity","EV_TO_T12M_EBITDA","FQ2 2021","FQ2 2021","Currency=USD","Period=FQ","BEST_FPERIOD_OVERRIDE=FQ","FILING_STATUS=MR","FA_ADJUSTED=GAAP","Sort=A","Dates=H","DateFormat=P","Fill=—","Direction=H","UseDPDF=Y")</f>
        <v>61.042999999999999</v>
      </c>
      <c r="K41" s="20">
        <f>_xll.BDH("NBIX US Equity","EV_TO_T12M_EBITDA","FQ3 2021","FQ3 2021","Currency=USD","Period=FQ","BEST_FPERIOD_OVERRIDE=FQ","FILING_STATUS=MR","FA_ADJUSTED=GAAP","Sort=A","Dates=H","DateFormat=P","Fill=—","Direction=H","UseDPDF=Y")</f>
        <v>37.420999999999999</v>
      </c>
      <c r="L41" s="20">
        <f>_xll.BDH("NBIX US Equity","EV_TO_T12M_EBITDA","FQ4 2021","FQ4 2021","Currency=USD","Period=FQ","BEST_FPERIOD_OVERRIDE=FQ","FILING_STATUS=MR","FA_ADJUSTED=GAAP","Sort=A","Dates=H","DateFormat=P","Fill=—","Direction=H","UseDPDF=Y")</f>
        <v>60.825400000000002</v>
      </c>
      <c r="M41" s="20">
        <f>_xll.BDH("NBIX US Equity","EV_TO_T12M_EBITDA","FQ1 2022","FQ1 2022","Currency=USD","Period=FQ","BEST_FPERIOD_OVERRIDE=FQ","FILING_STATUS=MR","FA_ADJUSTED=GAAP","Sort=A","Dates=H","DateFormat=P","Fill=—","Direction=H","UseDPDF=Y")</f>
        <v>86.299899999999994</v>
      </c>
      <c r="N41" s="20">
        <f>_xll.BDH("NBIX US Equity","EV_TO_T12M_EBITDA","FQ2 2022","FQ2 2022","Currency=USD","Period=FQ","BEST_FPERIOD_OVERRIDE=FQ","FILING_STATUS=MR","FA_ADJUSTED=GAAP","Sort=A","Dates=H","DateFormat=P","Fill=—","Direction=H","UseDPDF=Y")</f>
        <v>94.080799999999996</v>
      </c>
      <c r="O41" s="20">
        <f>_xll.BDH("NBIX US Equity","EV_TO_T12M_EBITDA","FQ3 2022","FQ3 2022","Currency=USD","Period=FQ","BEST_FPERIOD_OVERRIDE=FQ","FILING_STATUS=MR","FA_ADJUSTED=GAAP","Sort=A","Dates=H","DateFormat=P","Fill=—","Direction=H","UseDPDF=Y")</f>
        <v>69.168300000000002</v>
      </c>
      <c r="P41" s="20">
        <f>_xll.BDH("NBIX US Equity","EV_TO_T12M_EBITDA","FQ4 2022","FQ4 2022","Currency=USD","Period=FQ","BEST_FPERIOD_OVERRIDE=FQ","FILING_STATUS=MR","FA_ADJUSTED=GAAP","Sort=A","Dates=H","DateFormat=P","Fill=—","Direction=H","UseDPDF=Y")</f>
        <v>38.446300000000001</v>
      </c>
      <c r="Q41" s="20">
        <f>_xll.BDH("NBIX US Equity","EV_TO_T12M_EBITDA","FQ1 2023","FQ1 2023","Currency=USD","Period=FQ","BEST_FPERIOD_OVERRIDE=FQ","FILING_STATUS=MR","FA_ADJUSTED=GAAP","Sort=A","Dates=H","DateFormat=P","Fill=—","Direction=H","UseDPDF=Y")</f>
        <v>55.863599999999998</v>
      </c>
      <c r="R41" s="20">
        <f>_xll.BDH("NBIX US Equity","EV_TO_T12M_EBITDA","FQ2 2023","FQ2 2023","Currency=USD","Period=FQ","BEST_FPERIOD_OVERRIDE=FQ","FILING_STATUS=MR","FA_ADJUSTED=GAAP","Sort=A","Dates=H","DateFormat=P","Fill=—","Direction=H","UseDPDF=Y")</f>
        <v>45.865600000000001</v>
      </c>
      <c r="S41" s="20">
        <f>_xll.BDH("NBIX US Equity","EV_TO_T12M_EBITDA","FQ3 2023","FQ3 2023","Currency=USD","Period=FQ","BEST_FPERIOD_OVERRIDE=FQ","FILING_STATUS=MR","FA_ADJUSTED=GAAP","Sort=A","Dates=H","DateFormat=P","Fill=—","Direction=H","UseDPDF=Y")</f>
        <v>42.643900000000002</v>
      </c>
      <c r="T41" s="20">
        <f>_xll.BDH("NBIX US Equity","EV_TO_T12M_EBITDA","FQ4 2023","FQ4 2023","Currency=USD","Period=FQ","BEST_FPERIOD_OVERRIDE=FQ","FILING_STATUS=MR","FA_ADJUSTED=GAAP","Sort=A","Dates=H","DateFormat=P","Fill=—","Direction=H","UseDPDF=Y")</f>
        <v>43.0822</v>
      </c>
      <c r="U41" s="20">
        <f>_xll.BDH("NBIX US Equity","EV_TO_T12M_EBITDA","FQ1 2024","FQ1 2024","Currency=USD","Period=FQ","BEST_FPERIOD_OVERRIDE=FQ","FILING_STATUS=MR","FA_ADJUSTED=GAAP","Sort=A","Dates=H","DateFormat=P","Fill=—","Direction=H","UseDPDF=Y")</f>
        <v>25.727799999999998</v>
      </c>
      <c r="V41" s="20">
        <f>_xll.BDH("NBIX US Equity","EV_TO_T12M_EBITDA","FQ2 2024","FQ2 2024","Currency=USD","Period=FQ","BEST_FPERIOD_OVERRIDE=FQ","FILING_STATUS=MR","FA_ADJUSTED=GAAP","Sort=A","Dates=H","DateFormat=P","Fill=—","Direction=H","UseDPDF=Y")</f>
        <v>22.3797</v>
      </c>
      <c r="W41" s="20">
        <f>_xll.BDH("NBIX US Equity","EV_TO_T12M_EBITDA","FQ3 2024","FQ3 2024","Currency=USD","Period=FQ","BEST_FPERIOD_OVERRIDE=FQ","FILING_STATUS=MR","FA_ADJUSTED=GAAP","Sort=A","Dates=H","DateFormat=P","Fill=—","Direction=H","UseDPDF=Y")</f>
        <v>16.855599999999999</v>
      </c>
      <c r="X41" s="20">
        <f>_xll.BDH("NBIX US Equity","EV_TO_T12M_EBITDA","FQ4 2024","FQ4 2024","Currency=USD","Period=FQ","BEST_FPERIOD_OVERRIDE=FQ","FILING_STATUS=MR","FA_ADJUSTED=GAAP","Sort=A","Dates=H","DateFormat=P","Fill=—","Direction=H","UseDPDF=Y")</f>
        <v>20.306000000000001</v>
      </c>
      <c r="Y41" s="23">
        <v>16.727285298216501</v>
      </c>
      <c r="Z41" s="20">
        <v>14.858265949525199</v>
      </c>
      <c r="AA41" s="20">
        <v>11.6184833637192</v>
      </c>
    </row>
    <row r="42" spans="1:27" x14ac:dyDescent="0.25">
      <c r="A42" s="10" t="s">
        <v>209</v>
      </c>
      <c r="B42" s="10" t="s">
        <v>243</v>
      </c>
      <c r="C42" s="14">
        <f>_xll.BDH("NBIX US Equity","AVG_EV_TO_T12M_EBITDA","FQ3 2019","FQ3 2019","Currency=USD","Period=FQ","BEST_FPERIOD_OVERRIDE=FQ","FILING_STATUS=MR","FA_ADJUSTED=GAAP","Sort=A","Dates=H","DateFormat=P","Fill=—","Direction=H","UseDPDF=Y")</f>
        <v>359.12209999999999</v>
      </c>
      <c r="D42" s="14">
        <f>_xll.BDH("NBIX US Equity","AVG_EV_TO_T12M_EBITDA","FQ4 2019","FQ4 2019","Currency=USD","Period=FQ","BEST_FPERIOD_OVERRIDE=FQ","FILING_STATUS=MR","FA_ADJUSTED=GAAP","Sort=A","Dates=H","DateFormat=P","Fill=—","Direction=H","UseDPDF=Y")</f>
        <v>156.7047</v>
      </c>
      <c r="E42" s="14">
        <f>_xll.BDH("NBIX US Equity","AVG_EV_TO_T12M_EBITDA","FQ1 2020","FQ1 2020","Currency=USD","Period=FQ","BEST_FPERIOD_OVERRIDE=FQ","FILING_STATUS=MR","FA_ADJUSTED=GAAP","Sort=A","Dates=H","DateFormat=P","Fill=—","Direction=H","UseDPDF=Y")</f>
        <v>99.871600000000001</v>
      </c>
      <c r="F42" s="14">
        <f>_xll.BDH("NBIX US Equity","AVG_EV_TO_T12M_EBITDA","FQ2 2020","FQ2 2020","Currency=USD","Period=FQ","BEST_FPERIOD_OVERRIDE=FQ","FILING_STATUS=MR","FA_ADJUSTED=GAAP","Sort=A","Dates=H","DateFormat=P","Fill=—","Direction=H","UseDPDF=Y")</f>
        <v>40.032200000000003</v>
      </c>
      <c r="G42" s="14">
        <f>_xll.BDH("NBIX US Equity","AVG_EV_TO_T12M_EBITDA","FQ3 2020","FQ3 2020","Currency=USD","Period=FQ","BEST_FPERIOD_OVERRIDE=FQ","FILING_STATUS=MR","FA_ADJUSTED=GAAP","Sort=A","Dates=H","DateFormat=P","Fill=—","Direction=H","UseDPDF=Y")</f>
        <v>35.799700000000001</v>
      </c>
      <c r="H42" s="14">
        <f>_xll.BDH("NBIX US Equity","AVG_EV_TO_T12M_EBITDA","FQ4 2020","FQ4 2020","Currency=USD","Period=FQ","BEST_FPERIOD_OVERRIDE=FQ","FILING_STATUS=MR","FA_ADJUSTED=GAAP","Sort=A","Dates=H","DateFormat=P","Fill=—","Direction=H","UseDPDF=Y")</f>
        <v>54.245800000000003</v>
      </c>
      <c r="I42" s="14">
        <f>_xll.BDH("NBIX US Equity","AVG_EV_TO_T12M_EBITDA","FQ1 2021","FQ1 2021","Currency=USD","Period=FQ","BEST_FPERIOD_OVERRIDE=FQ","FILING_STATUS=MR","FA_ADJUSTED=GAAP","Sort=A","Dates=H","DateFormat=P","Fill=—","Direction=H","UseDPDF=Y")</f>
        <v>52.143799999999999</v>
      </c>
      <c r="J42" s="14">
        <f>_xll.BDH("NBIX US Equity","AVG_EV_TO_T12M_EBITDA","FQ2 2021","FQ2 2021","Currency=USD","Period=FQ","BEST_FPERIOD_OVERRIDE=FQ","FILING_STATUS=MR","FA_ADJUSTED=GAAP","Sort=A","Dates=H","DateFormat=P","Fill=—","Direction=H","UseDPDF=Y")</f>
        <v>55.5062</v>
      </c>
      <c r="K42" s="14">
        <f>_xll.BDH("NBIX US Equity","AVG_EV_TO_T12M_EBITDA","FQ3 2021","FQ3 2021","Currency=USD","Period=FQ","BEST_FPERIOD_OVERRIDE=FQ","FILING_STATUS=MR","FA_ADJUSTED=GAAP","Sort=A","Dates=H","DateFormat=P","Fill=—","Direction=H","UseDPDF=Y")</f>
        <v>58.8095</v>
      </c>
      <c r="L42" s="14">
        <f>_xll.BDH("NBIX US Equity","AVG_EV_TO_T12M_EBITDA","FQ4 2021","FQ4 2021","Currency=USD","Period=FQ","BEST_FPERIOD_OVERRIDE=FQ","FILING_STATUS=MR","FA_ADJUSTED=GAAP","Sort=A","Dates=H","DateFormat=P","Fill=—","Direction=H","UseDPDF=Y")</f>
        <v>36.263199999999998</v>
      </c>
      <c r="M42" s="14">
        <f>_xll.BDH("NBIX US Equity","AVG_EV_TO_T12M_EBITDA","FQ1 2022","FQ1 2022","Currency=USD","Period=FQ","BEST_FPERIOD_OVERRIDE=FQ","FILING_STATUS=MR","FA_ADJUSTED=GAAP","Sort=A","Dates=H","DateFormat=P","Fill=—","Direction=H","UseDPDF=Y")</f>
        <v>60.938600000000001</v>
      </c>
      <c r="N42" s="14">
        <f>_xll.BDH("NBIX US Equity","AVG_EV_TO_T12M_EBITDA","FQ2 2022","FQ2 2022","Currency=USD","Period=FQ","BEST_FPERIOD_OVERRIDE=FQ","FILING_STATUS=MR","FA_ADJUSTED=GAAP","Sort=A","Dates=H","DateFormat=P","Fill=—","Direction=H","UseDPDF=Y")</f>
        <v>85.032399999999996</v>
      </c>
      <c r="O42" s="14">
        <f>_xll.BDH("NBIX US Equity","AVG_EV_TO_T12M_EBITDA","FQ3 2022","FQ3 2022","Currency=USD","Period=FQ","BEST_FPERIOD_OVERRIDE=FQ","FILING_STATUS=MR","FA_ADJUSTED=GAAP","Sort=A","Dates=H","DateFormat=P","Fill=—","Direction=H","UseDPDF=Y")</f>
        <v>97.569299999999998</v>
      </c>
      <c r="P42" s="14">
        <f>_xll.BDH("NBIX US Equity","AVG_EV_TO_T12M_EBITDA","FQ4 2022","FQ4 2022","Currency=USD","Period=FQ","BEST_FPERIOD_OVERRIDE=FQ","FILING_STATUS=MR","FA_ADJUSTED=GAAP","Sort=A","Dates=H","DateFormat=P","Fill=—","Direction=H","UseDPDF=Y")</f>
        <v>75.921400000000006</v>
      </c>
      <c r="Q42" s="14">
        <f>_xll.BDH("NBIX US Equity","AVG_EV_TO_T12M_EBITDA","FQ1 2023","FQ1 2023","Currency=USD","Period=FQ","BEST_FPERIOD_OVERRIDE=FQ","FILING_STATUS=MR","FA_ADJUSTED=GAAP","Sort=A","Dates=H","DateFormat=P","Fill=—","Direction=H","UseDPDF=Y")</f>
        <v>33.492800000000003</v>
      </c>
      <c r="R42" s="14">
        <f>_xll.BDH("NBIX US Equity","AVG_EV_TO_T12M_EBITDA","FQ2 2023","FQ2 2023","Currency=USD","Period=FQ","BEST_FPERIOD_OVERRIDE=FQ","FILING_STATUS=MR","FA_ADJUSTED=GAAP","Sort=A","Dates=H","DateFormat=P","Fill=—","Direction=H","UseDPDF=Y")</f>
        <v>53.710999999999999</v>
      </c>
      <c r="S42" s="14">
        <f>_xll.BDH("NBIX US Equity","AVG_EV_TO_T12M_EBITDA","FQ3 2023","FQ3 2023","Currency=USD","Period=FQ","BEST_FPERIOD_OVERRIDE=FQ","FILING_STATUS=MR","FA_ADJUSTED=GAAP","Sort=A","Dates=H","DateFormat=P","Fill=—","Direction=H","UseDPDF=Y")</f>
        <v>51.466099999999997</v>
      </c>
      <c r="T42" s="14">
        <f>_xll.BDH("NBIX US Equity","AVG_EV_TO_T12M_EBITDA","FQ4 2023","FQ4 2023","Currency=USD","Period=FQ","BEST_FPERIOD_OVERRIDE=FQ","FILING_STATUS=MR","FA_ADJUSTED=GAAP","Sort=A","Dates=H","DateFormat=P","Fill=—","Direction=H","UseDPDF=Y")</f>
        <v>43.521599999999999</v>
      </c>
      <c r="U42" s="14">
        <f>_xll.BDH("NBIX US Equity","AVG_EV_TO_T12M_EBITDA","FQ1 2024","FQ1 2024","Currency=USD","Period=FQ","BEST_FPERIOD_OVERRIDE=FQ","FILING_STATUS=MR","FA_ADJUSTED=GAAP","Sort=A","Dates=H","DateFormat=P","Fill=—","Direction=H","UseDPDF=Y")</f>
        <v>44.515300000000003</v>
      </c>
      <c r="V42" s="14">
        <f>_xll.BDH("NBIX US Equity","AVG_EV_TO_T12M_EBITDA","FQ2 2024","FQ2 2024","Currency=USD","Period=FQ","BEST_FPERIOD_OVERRIDE=FQ","FILING_STATUS=MR","FA_ADJUSTED=GAAP","Sort=A","Dates=H","DateFormat=P","Fill=—","Direction=H","UseDPDF=Y")</f>
        <v>25.486999999999998</v>
      </c>
      <c r="W42" s="14">
        <f>_xll.BDH("NBIX US Equity","AVG_EV_TO_T12M_EBITDA","FQ3 2024","FQ3 2024","Currency=USD","Period=FQ","BEST_FPERIOD_OVERRIDE=FQ","FILING_STATUS=MR","FA_ADJUSTED=GAAP","Sort=A","Dates=H","DateFormat=P","Fill=—","Direction=H","UseDPDF=Y")</f>
        <v>22.2425</v>
      </c>
      <c r="X42" s="14">
        <f>_xll.BDH("NBIX US Equity","AVG_EV_TO_T12M_EBITDA","FQ4 2024","FQ4 2024","Currency=USD","Period=FQ","BEST_FPERIOD_OVERRIDE=FQ","FILING_STATUS=MR","FA_ADJUSTED=GAAP","Sort=A","Dates=H","DateFormat=P","Fill=—","Direction=H","UseDPDF=Y")</f>
        <v>18.2027</v>
      </c>
      <c r="Y42" s="17"/>
      <c r="Z42" s="14"/>
      <c r="AA42" s="14"/>
    </row>
    <row r="43" spans="1:27" x14ac:dyDescent="0.25">
      <c r="A43" s="10" t="s">
        <v>211</v>
      </c>
      <c r="B43" s="10" t="s">
        <v>244</v>
      </c>
      <c r="C43" s="14">
        <f>_xll.BDH("NBIX US Equity","HIGH_EV_TO_T12M_EBITDA","FQ3 2019","FQ3 2019","Currency=USD","Period=FQ","BEST_FPERIOD_OVERRIDE=FQ","FILING_STATUS=MR","FA_ADJUSTED=GAAP","Sort=A","Dates=H","DateFormat=P","Fill=—","Direction=H","UseDPDF=Y")</f>
        <v>394.72179999999997</v>
      </c>
      <c r="D43" s="14">
        <f>_xll.BDH("NBIX US Equity","HIGH_EV_TO_T12M_EBITDA","FQ4 2019","FQ4 2019","Currency=USD","Period=FQ","BEST_FPERIOD_OVERRIDE=FQ","FILING_STATUS=MR","FA_ADJUSTED=GAAP","Sort=A","Dates=H","DateFormat=P","Fill=—","Direction=H","UseDPDF=Y")</f>
        <v>179.11869999999999</v>
      </c>
      <c r="E43" s="14">
        <f>_xll.BDH("NBIX US Equity","HIGH_EV_TO_T12M_EBITDA","FQ1 2020","FQ1 2020","Currency=USD","Period=FQ","BEST_FPERIOD_OVERRIDE=FQ","FILING_STATUS=MR","FA_ADJUSTED=GAAP","Sort=A","Dates=H","DateFormat=P","Fill=—","Direction=H","UseDPDF=Y")</f>
        <v>117.3413</v>
      </c>
      <c r="F43" s="14">
        <f>_xll.BDH("NBIX US Equity","HIGH_EV_TO_T12M_EBITDA","FQ2 2020","FQ2 2020","Currency=USD","Period=FQ","BEST_FPERIOD_OVERRIDE=FQ","FILING_STATUS=MR","FA_ADJUSTED=GAAP","Sort=A","Dates=H","DateFormat=P","Fill=—","Direction=H","UseDPDF=Y")</f>
        <v>47.581499999999998</v>
      </c>
      <c r="G43" s="14">
        <f>_xll.BDH("NBIX US Equity","HIGH_EV_TO_T12M_EBITDA","FQ3 2020","FQ3 2020","Currency=USD","Period=FQ","BEST_FPERIOD_OVERRIDE=FQ","FILING_STATUS=MR","FA_ADJUSTED=GAAP","Sort=A","Dates=H","DateFormat=P","Fill=—","Direction=H","UseDPDF=Y")</f>
        <v>54.0398</v>
      </c>
      <c r="H43" s="14">
        <f>_xll.BDH("NBIX US Equity","HIGH_EV_TO_T12M_EBITDA","FQ4 2020","FQ4 2020","Currency=USD","Period=FQ","BEST_FPERIOD_OVERRIDE=FQ","FILING_STATUS=MR","FA_ADJUSTED=GAAP","Sort=A","Dates=H","DateFormat=P","Fill=—","Direction=H","UseDPDF=Y")</f>
        <v>61.220999999999997</v>
      </c>
      <c r="I43" s="14">
        <f>_xll.BDH("NBIX US Equity","HIGH_EV_TO_T12M_EBITDA","FQ1 2021","FQ1 2021","Currency=USD","Period=FQ","BEST_FPERIOD_OVERRIDE=FQ","FILING_STATUS=MR","FA_ADJUSTED=GAAP","Sort=A","Dates=H","DateFormat=P","Fill=—","Direction=H","UseDPDF=Y")</f>
        <v>59.443600000000004</v>
      </c>
      <c r="J43" s="14">
        <f>_xll.BDH("NBIX US Equity","HIGH_EV_TO_T12M_EBITDA","FQ2 2021","FQ2 2021","Currency=USD","Period=FQ","BEST_FPERIOD_OVERRIDE=FQ","FILING_STATUS=MR","FA_ADJUSTED=GAAP","Sort=A","Dates=H","DateFormat=P","Fill=—","Direction=H","UseDPDF=Y")</f>
        <v>61.006399999999999</v>
      </c>
      <c r="K43" s="14">
        <f>_xll.BDH("NBIX US Equity","HIGH_EV_TO_T12M_EBITDA","FQ3 2021","FQ3 2021","Currency=USD","Period=FQ","BEST_FPERIOD_OVERRIDE=FQ","FILING_STATUS=MR","FA_ADJUSTED=GAAP","Sort=A","Dates=H","DateFormat=P","Fill=—","Direction=H","UseDPDF=Y")</f>
        <v>62.131500000000003</v>
      </c>
      <c r="L43" s="14">
        <f>_xll.BDH("NBIX US Equity","HIGH_EV_TO_T12M_EBITDA","FQ4 2021","FQ4 2021","Currency=USD","Period=FQ","BEST_FPERIOD_OVERRIDE=FQ","FILING_STATUS=MR","FA_ADJUSTED=GAAP","Sort=A","Dates=H","DateFormat=P","Fill=—","Direction=H","UseDPDF=Y")</f>
        <v>60.803400000000003</v>
      </c>
      <c r="M43" s="14">
        <f>_xll.BDH("NBIX US Equity","HIGH_EV_TO_T12M_EBITDA","FQ1 2022","FQ1 2022","Currency=USD","Period=FQ","BEST_FPERIOD_OVERRIDE=FQ","FILING_STATUS=MR","FA_ADJUSTED=GAAP","Sort=A","Dates=H","DateFormat=P","Fill=—","Direction=H","UseDPDF=Y")</f>
        <v>86.062899999999999</v>
      </c>
      <c r="N43" s="14">
        <f>_xll.BDH("NBIX US Equity","HIGH_EV_TO_T12M_EBITDA","FQ2 2022","FQ2 2022","Currency=USD","Period=FQ","BEST_FPERIOD_OVERRIDE=FQ","FILING_STATUS=MR","FA_ADJUSTED=GAAP","Sort=A","Dates=H","DateFormat=P","Fill=—","Direction=H","UseDPDF=Y")</f>
        <v>94.056899999999999</v>
      </c>
      <c r="O43" s="14">
        <f>_xll.BDH("NBIX US Equity","HIGH_EV_TO_T12M_EBITDA","FQ3 2022","FQ3 2022","Currency=USD","Period=FQ","BEST_FPERIOD_OVERRIDE=FQ","FILING_STATUS=MR","FA_ADJUSTED=GAAP","Sort=A","Dates=H","DateFormat=P","Fill=—","Direction=H","UseDPDF=Y")</f>
        <v>104.4987</v>
      </c>
      <c r="P43" s="14">
        <f>_xll.BDH("NBIX US Equity","HIGH_EV_TO_T12M_EBITDA","FQ4 2022","FQ4 2022","Currency=USD","Period=FQ","BEST_FPERIOD_OVERRIDE=FQ","FILING_STATUS=MR","FA_ADJUSTED=GAAP","Sort=A","Dates=H","DateFormat=P","Fill=—","Direction=H","UseDPDF=Y")</f>
        <v>83.501300000000001</v>
      </c>
      <c r="Q43" s="14">
        <f>_xll.BDH("NBIX US Equity","HIGH_EV_TO_T12M_EBITDA","FQ1 2023","FQ1 2023","Currency=USD","Period=FQ","BEST_FPERIOD_OVERRIDE=FQ","FILING_STATUS=MR","FA_ADJUSTED=GAAP","Sort=A","Dates=H","DateFormat=P","Fill=—","Direction=H","UseDPDF=Y")</f>
        <v>55.305100000000003</v>
      </c>
      <c r="R43" s="14">
        <f>_xll.BDH("NBIX US Equity","HIGH_EV_TO_T12M_EBITDA","FQ2 2023","FQ2 2023","Currency=USD","Period=FQ","BEST_FPERIOD_OVERRIDE=FQ","FILING_STATUS=MR","FA_ADJUSTED=GAAP","Sort=A","Dates=H","DateFormat=P","Fill=—","Direction=H","UseDPDF=Y")</f>
        <v>58.032800000000002</v>
      </c>
      <c r="S43" s="14">
        <f>_xll.BDH("NBIX US Equity","HIGH_EV_TO_T12M_EBITDA","FQ3 2023","FQ3 2023","Currency=USD","Period=FQ","BEST_FPERIOD_OVERRIDE=FQ","FILING_STATUS=MR","FA_ADJUSTED=GAAP","Sort=A","Dates=H","DateFormat=P","Fill=—","Direction=H","UseDPDF=Y")</f>
        <v>57.901299999999999</v>
      </c>
      <c r="T43" s="14">
        <f>_xll.BDH("NBIX US Equity","HIGH_EV_TO_T12M_EBITDA","FQ4 2023","FQ4 2023","Currency=USD","Period=FQ","BEST_FPERIOD_OVERRIDE=FQ","FILING_STATUS=MR","FA_ADJUSTED=GAAP","Sort=A","Dates=H","DateFormat=P","Fill=—","Direction=H","UseDPDF=Y")</f>
        <v>50.969200000000001</v>
      </c>
      <c r="U43" s="14">
        <f>_xll.BDH("NBIX US Equity","HIGH_EV_TO_T12M_EBITDA","FQ1 2024","FQ1 2024","Currency=USD","Period=FQ","BEST_FPERIOD_OVERRIDE=FQ","FILING_STATUS=MR","FA_ADJUSTED=GAAP","Sort=A","Dates=H","DateFormat=P","Fill=—","Direction=H","UseDPDF=Y")</f>
        <v>47.581499999999998</v>
      </c>
      <c r="V43" s="14">
        <f>_xll.BDH("NBIX US Equity","HIGH_EV_TO_T12M_EBITDA","FQ2 2024","FQ2 2024","Currency=USD","Period=FQ","BEST_FPERIOD_OVERRIDE=FQ","FILING_STATUS=MR","FA_ADJUSTED=GAAP","Sort=A","Dates=H","DateFormat=P","Fill=—","Direction=H","UseDPDF=Y")</f>
        <v>26.781500000000001</v>
      </c>
      <c r="W43" s="14">
        <f>_xll.BDH("NBIX US Equity","HIGH_EV_TO_T12M_EBITDA","FQ3 2024","FQ3 2024","Currency=USD","Period=FQ","BEST_FPERIOD_OVERRIDE=FQ","FILING_STATUS=MR","FA_ADJUSTED=GAAP","Sort=A","Dates=H","DateFormat=P","Fill=—","Direction=H","UseDPDF=Y")</f>
        <v>25.059100000000001</v>
      </c>
      <c r="X43" s="14">
        <f>_xll.BDH("NBIX US Equity","HIGH_EV_TO_T12M_EBITDA","FQ4 2024","FQ4 2024","Currency=USD","Period=FQ","BEST_FPERIOD_OVERRIDE=FQ","FILING_STATUS=MR","FA_ADJUSTED=GAAP","Sort=A","Dates=H","DateFormat=P","Fill=—","Direction=H","UseDPDF=Y")</f>
        <v>20.720300000000002</v>
      </c>
      <c r="Y43" s="17"/>
      <c r="Z43" s="14"/>
      <c r="AA43" s="14"/>
    </row>
    <row r="44" spans="1:27" x14ac:dyDescent="0.25">
      <c r="A44" s="10" t="s">
        <v>213</v>
      </c>
      <c r="B44" s="10" t="s">
        <v>245</v>
      </c>
      <c r="C44" s="14">
        <f>_xll.BDH("NBIX US Equity","LOW_EV_TO_T12M_EBITDA","FQ3 2019","FQ3 2019","Currency=USD","Period=FQ","BEST_FPERIOD_OVERRIDE=FQ","FILING_STATUS=MR","FA_ADJUSTED=GAAP","Sort=A","Dates=H","DateFormat=P","Fill=—","Direction=H","UseDPDF=Y")</f>
        <v>134.61580000000001</v>
      </c>
      <c r="D44" s="14">
        <f>_xll.BDH("NBIX US Equity","LOW_EV_TO_T12M_EBITDA","FQ4 2019","FQ4 2019","Currency=USD","Period=FQ","BEST_FPERIOD_OVERRIDE=FQ","FILING_STATUS=MR","FA_ADJUSTED=GAAP","Sort=A","Dates=H","DateFormat=P","Fill=—","Direction=H","UseDPDF=Y")</f>
        <v>110.7693</v>
      </c>
      <c r="E44" s="14">
        <f>_xll.BDH("NBIX US Equity","LOW_EV_TO_T12M_EBITDA","FQ1 2020","FQ1 2020","Currency=USD","Period=FQ","BEST_FPERIOD_OVERRIDE=FQ","FILING_STATUS=MR","FA_ADJUSTED=GAAP","Sort=A","Dates=H","DateFormat=P","Fill=—","Direction=H","UseDPDF=Y")</f>
        <v>31.036300000000001</v>
      </c>
      <c r="F44" s="14">
        <f>_xll.BDH("NBIX US Equity","LOW_EV_TO_T12M_EBITDA","FQ2 2020","FQ2 2020","Currency=USD","Period=FQ","BEST_FPERIOD_OVERRIDE=FQ","FILING_STATUS=MR","FA_ADJUSTED=GAAP","Sort=A","Dates=H","DateFormat=P","Fill=—","Direction=H","UseDPDF=Y")</f>
        <v>30.494900000000001</v>
      </c>
      <c r="G44" s="14">
        <f>_xll.BDH("NBIX US Equity","LOW_EV_TO_T12M_EBITDA","FQ3 2020","FQ3 2020","Currency=USD","Period=FQ","BEST_FPERIOD_OVERRIDE=FQ","FILING_STATUS=MR","FA_ADJUSTED=GAAP","Sort=A","Dates=H","DateFormat=P","Fill=—","Direction=H","UseDPDF=Y")</f>
        <v>29.6311</v>
      </c>
      <c r="H44" s="14">
        <f>_xll.BDH("NBIX US Equity","LOW_EV_TO_T12M_EBITDA","FQ4 2020","FQ4 2020","Currency=USD","Period=FQ","BEST_FPERIOD_OVERRIDE=FQ","FILING_STATUS=MR","FA_ADJUSTED=GAAP","Sort=A","Dates=H","DateFormat=P","Fill=—","Direction=H","UseDPDF=Y")</f>
        <v>47.203000000000003</v>
      </c>
      <c r="I44" s="14">
        <f>_xll.BDH("NBIX US Equity","LOW_EV_TO_T12M_EBITDA","FQ1 2021","FQ1 2021","Currency=USD","Period=FQ","BEST_FPERIOD_OVERRIDE=FQ","FILING_STATUS=MR","FA_ADJUSTED=GAAP","Sort=A","Dates=H","DateFormat=P","Fill=—","Direction=H","UseDPDF=Y")</f>
        <v>43.193399999999997</v>
      </c>
      <c r="J44" s="14">
        <f>_xll.BDH("NBIX US Equity","LOW_EV_TO_T12M_EBITDA","FQ2 2021","FQ2 2021","Currency=USD","Period=FQ","BEST_FPERIOD_OVERRIDE=FQ","FILING_STATUS=MR","FA_ADJUSTED=GAAP","Sort=A","Dates=H","DateFormat=P","Fill=—","Direction=H","UseDPDF=Y")</f>
        <v>51.563299999999998</v>
      </c>
      <c r="K44" s="14">
        <f>_xll.BDH("NBIX US Equity","LOW_EV_TO_T12M_EBITDA","FQ3 2021","FQ3 2021","Currency=USD","Period=FQ","BEST_FPERIOD_OVERRIDE=FQ","FILING_STATUS=MR","FA_ADJUSTED=GAAP","Sort=A","Dates=H","DateFormat=P","Fill=—","Direction=H","UseDPDF=Y")</f>
        <v>37.358199999999997</v>
      </c>
      <c r="L44" s="14">
        <f>_xll.BDH("NBIX US Equity","LOW_EV_TO_T12M_EBITDA","FQ4 2021","FQ4 2021","Currency=USD","Period=FQ","BEST_FPERIOD_OVERRIDE=FQ","FILING_STATUS=MR","FA_ADJUSTED=GAAP","Sort=A","Dates=H","DateFormat=P","Fill=—","Direction=H","UseDPDF=Y")</f>
        <v>30.873100000000001</v>
      </c>
      <c r="M44" s="14">
        <f>_xll.BDH("NBIX US Equity","LOW_EV_TO_T12M_EBITDA","FQ1 2022","FQ1 2022","Currency=USD","Period=FQ","BEST_FPERIOD_OVERRIDE=FQ","FILING_STATUS=MR","FA_ADJUSTED=GAAP","Sort=A","Dates=H","DateFormat=P","Fill=—","Direction=H","UseDPDF=Y")</f>
        <v>51.427300000000002</v>
      </c>
      <c r="N44" s="14">
        <f>_xll.BDH("NBIX US Equity","LOW_EV_TO_T12M_EBITDA","FQ2 2022","FQ2 2022","Currency=USD","Period=FQ","BEST_FPERIOD_OVERRIDE=FQ","FILING_STATUS=MR","FA_ADJUSTED=GAAP","Sort=A","Dates=H","DateFormat=P","Fill=—","Direction=H","UseDPDF=Y")</f>
        <v>69.508399999999995</v>
      </c>
      <c r="O44" s="14">
        <f>_xll.BDH("NBIX US Equity","LOW_EV_TO_T12M_EBITDA","FQ3 2022","FQ3 2022","Currency=USD","Period=FQ","BEST_FPERIOD_OVERRIDE=FQ","FILING_STATUS=MR","FA_ADJUSTED=GAAP","Sort=A","Dates=H","DateFormat=P","Fill=—","Direction=H","UseDPDF=Y")</f>
        <v>68.819100000000006</v>
      </c>
      <c r="P44" s="14">
        <f>_xll.BDH("NBIX US Equity","LOW_EV_TO_T12M_EBITDA","FQ4 2022","FQ4 2022","Currency=USD","Period=FQ","BEST_FPERIOD_OVERRIDE=FQ","FILING_STATUS=MR","FA_ADJUSTED=GAAP","Sort=A","Dates=H","DateFormat=P","Fill=—","Direction=H","UseDPDF=Y")</f>
        <v>38.290799999999997</v>
      </c>
      <c r="Q44" s="14">
        <f>_xll.BDH("NBIX US Equity","LOW_EV_TO_T12M_EBITDA","FQ1 2023","FQ1 2023","Currency=USD","Period=FQ","BEST_FPERIOD_OVERRIDE=FQ","FILING_STATUS=MR","FA_ADJUSTED=GAAP","Sort=A","Dates=H","DateFormat=P","Fill=—","Direction=H","UseDPDF=Y")</f>
        <v>29.773900000000001</v>
      </c>
      <c r="R44" s="14">
        <f>_xll.BDH("NBIX US Equity","LOW_EV_TO_T12M_EBITDA","FQ2 2023","FQ2 2023","Currency=USD","Period=FQ","BEST_FPERIOD_OVERRIDE=FQ","FILING_STATUS=MR","FA_ADJUSTED=GAAP","Sort=A","Dates=H","DateFormat=P","Fill=—","Direction=H","UseDPDF=Y")</f>
        <v>45.852800000000002</v>
      </c>
      <c r="S44" s="14">
        <f>_xll.BDH("NBIX US Equity","LOW_EV_TO_T12M_EBITDA","FQ3 2023","FQ3 2023","Currency=USD","Period=FQ","BEST_FPERIOD_OVERRIDE=FQ","FILING_STATUS=MR","FA_ADJUSTED=GAAP","Sort=A","Dates=H","DateFormat=P","Fill=—","Direction=H","UseDPDF=Y")</f>
        <v>42.387</v>
      </c>
      <c r="T44" s="14">
        <f>_xll.BDH("NBIX US Equity","LOW_EV_TO_T12M_EBITDA","FQ4 2023","FQ4 2023","Currency=USD","Period=FQ","BEST_FPERIOD_OVERRIDE=FQ","FILING_STATUS=MR","FA_ADJUSTED=GAAP","Sort=A","Dates=H","DateFormat=P","Fill=—","Direction=H","UseDPDF=Y")</f>
        <v>39.768500000000003</v>
      </c>
      <c r="U44" s="14">
        <f>_xll.BDH("NBIX US Equity","LOW_EV_TO_T12M_EBITDA","FQ1 2024","FQ1 2024","Currency=USD","Period=FQ","BEST_FPERIOD_OVERRIDE=FQ","FILING_STATUS=MR","FA_ADJUSTED=GAAP","Sort=A","Dates=H","DateFormat=P","Fill=—","Direction=H","UseDPDF=Y")</f>
        <v>25.4313</v>
      </c>
      <c r="V44" s="14">
        <f>_xll.BDH("NBIX US Equity","LOW_EV_TO_T12M_EBITDA","FQ2 2024","FQ2 2024","Currency=USD","Period=FQ","BEST_FPERIOD_OVERRIDE=FQ","FILING_STATUS=MR","FA_ADJUSTED=GAAP","Sort=A","Dates=H","DateFormat=P","Fill=—","Direction=H","UseDPDF=Y")</f>
        <v>22.318100000000001</v>
      </c>
      <c r="W44" s="14">
        <f>_xll.BDH("NBIX US Equity","LOW_EV_TO_T12M_EBITDA","FQ3 2024","FQ3 2024","Currency=USD","Period=FQ","BEST_FPERIOD_OVERRIDE=FQ","FILING_STATUS=MR","FA_ADJUSTED=GAAP","Sort=A","Dates=H","DateFormat=P","Fill=—","Direction=H","UseDPDF=Y")</f>
        <v>16.815000000000001</v>
      </c>
      <c r="X44" s="14">
        <f>_xll.BDH("NBIX US Equity","LOW_EV_TO_T12M_EBITDA","FQ4 2024","FQ4 2024","Currency=USD","Period=FQ","BEST_FPERIOD_OVERRIDE=FQ","FILING_STATUS=MR","FA_ADJUSTED=GAAP","Sort=A","Dates=H","DateFormat=P","Fill=—","Direction=H","UseDPDF=Y")</f>
        <v>16.243400000000001</v>
      </c>
      <c r="Y44" s="17"/>
      <c r="Z44" s="14"/>
      <c r="AA44" s="14"/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21"/>
      <c r="Z45" s="18"/>
      <c r="AA45" s="18"/>
    </row>
    <row r="46" spans="1:27" x14ac:dyDescent="0.25">
      <c r="A46" s="6" t="s">
        <v>182</v>
      </c>
      <c r="B46" s="6" t="s">
        <v>183</v>
      </c>
      <c r="C46" s="20">
        <f>_xll.BDH("NBIX US Equity","EV_TO_T12M_EBIT","FQ3 2019","FQ3 2019","Currency=USD","Period=FQ","BEST_FPERIOD_OVERRIDE=FQ","FILING_STATUS=MR","FA_ADJUSTED=GAAP","Sort=A","Dates=H","DateFormat=P","Fill=—","Direction=H","UseDPDF=Y")</f>
        <v>162.15629999999999</v>
      </c>
      <c r="D46" s="20">
        <f>_xll.BDH("NBIX US Equity","EV_TO_T12M_EBIT","FQ4 2019","FQ4 2019","Currency=USD","Period=FQ","BEST_FPERIOD_OVERRIDE=FQ","FILING_STATUS=MR","FA_ADJUSTED=GAAP","Sort=A","Dates=H","DateFormat=P","Fill=—","Direction=H","UseDPDF=Y")</f>
        <v>126.5175</v>
      </c>
      <c r="E46" s="20">
        <f>_xll.BDH("NBIX US Equity","EV_TO_T12M_EBIT","FQ1 2020","FQ1 2020","Currency=USD","Period=FQ","BEST_FPERIOD_OVERRIDE=FQ","FILING_STATUS=MR","FA_ADJUSTED=GAAP","Sort=A","Dates=H","DateFormat=P","Fill=—","Direction=H","UseDPDF=Y")</f>
        <v>32.751399999999997</v>
      </c>
      <c r="F46" s="20">
        <f>_xll.BDH("NBIX US Equity","EV_TO_T12M_EBIT","FQ2 2020","FQ2 2020","Currency=USD","Period=FQ","BEST_FPERIOD_OVERRIDE=FQ","FILING_STATUS=MR","FA_ADJUSTED=GAAP","Sort=A","Dates=H","DateFormat=P","Fill=—","Direction=H","UseDPDF=Y")</f>
        <v>39.118899999999996</v>
      </c>
      <c r="G46" s="20">
        <f>_xll.BDH("NBIX US Equity","EV_TO_T12M_EBIT","FQ3 2020","FQ3 2020","Currency=USD","Period=FQ","BEST_FPERIOD_OVERRIDE=FQ","FILING_STATUS=MR","FA_ADJUSTED=GAAP","Sort=A","Dates=H","DateFormat=P","Fill=—","Direction=H","UseDPDF=Y")</f>
        <v>58.844099999999997</v>
      </c>
      <c r="H46" s="20">
        <f>_xll.BDH("NBIX US Equity","EV_TO_T12M_EBIT","FQ4 2020","FQ4 2020","Currency=USD","Period=FQ","BEST_FPERIOD_OVERRIDE=FQ","FILING_STATUS=MR","FA_ADJUSTED=GAAP","Sort=A","Dates=H","DateFormat=P","Fill=—","Direction=H","UseDPDF=Y")</f>
        <v>50.951099999999997</v>
      </c>
      <c r="I46" s="20">
        <f>_xll.BDH("NBIX US Equity","EV_TO_T12M_EBIT","FQ1 2021","FQ1 2021","Currency=USD","Period=FQ","BEST_FPERIOD_OVERRIDE=FQ","FILING_STATUS=MR","FA_ADJUSTED=GAAP","Sort=A","Dates=H","DateFormat=P","Fill=—","Direction=H","UseDPDF=Y")</f>
        <v>62.0349</v>
      </c>
      <c r="J46" s="20">
        <f>_xll.BDH("NBIX US Equity","EV_TO_T12M_EBIT","FQ2 2021","FQ2 2021","Currency=USD","Period=FQ","BEST_FPERIOD_OVERRIDE=FQ","FILING_STATUS=MR","FA_ADJUSTED=GAAP","Sort=A","Dates=H","DateFormat=P","Fill=—","Direction=H","UseDPDF=Y")</f>
        <v>68.727400000000003</v>
      </c>
      <c r="K46" s="20">
        <f>_xll.BDH("NBIX US Equity","EV_TO_T12M_EBIT","FQ3 2021","FQ3 2021","Currency=USD","Period=FQ","BEST_FPERIOD_OVERRIDE=FQ","FILING_STATUS=MR","FA_ADJUSTED=GAAP","Sort=A","Dates=H","DateFormat=P","Fill=—","Direction=H","UseDPDF=Y")</f>
        <v>40.509799999999998</v>
      </c>
      <c r="L46" s="20">
        <f>_xll.BDH("NBIX US Equity","EV_TO_T12M_EBIT","FQ4 2021","FQ4 2021","Currency=USD","Period=FQ","BEST_FPERIOD_OVERRIDE=FQ","FILING_STATUS=MR","FA_ADJUSTED=GAAP","Sort=A","Dates=H","DateFormat=P","Fill=—","Direction=H","UseDPDF=Y")</f>
        <v>76.373000000000005</v>
      </c>
      <c r="M46" s="20">
        <f>_xll.BDH("NBIX US Equity","EV_TO_T12M_EBIT","FQ1 2022","FQ1 2022","Currency=USD","Period=FQ","BEST_FPERIOD_OVERRIDE=FQ","FILING_STATUS=MR","FA_ADJUSTED=GAAP","Sort=A","Dates=H","DateFormat=P","Fill=—","Direction=H","UseDPDF=Y")</f>
        <v>118.5604</v>
      </c>
      <c r="N46" s="20">
        <f>_xll.BDH("NBIX US Equity","EV_TO_T12M_EBIT","FQ2 2022","FQ2 2022","Currency=USD","Period=FQ","BEST_FPERIOD_OVERRIDE=FQ","FILING_STATUS=MR","FA_ADJUSTED=GAAP","Sort=A","Dates=H","DateFormat=P","Fill=—","Direction=H","UseDPDF=Y")</f>
        <v>135.70439999999999</v>
      </c>
      <c r="O46" s="20">
        <f>_xll.BDH("NBIX US Equity","EV_TO_T12M_EBIT","FQ3 2022","FQ3 2022","Currency=USD","Period=FQ","BEST_FPERIOD_OVERRIDE=FQ","FILING_STATUS=MR","FA_ADJUSTED=GAAP","Sort=A","Dates=H","DateFormat=P","Fill=—","Direction=H","UseDPDF=Y")</f>
        <v>88.659499999999994</v>
      </c>
      <c r="P46" s="20">
        <f>_xll.BDH("NBIX US Equity","EV_TO_T12M_EBIT","FQ4 2022","FQ4 2022","Currency=USD","Period=FQ","BEST_FPERIOD_OVERRIDE=FQ","FILING_STATUS=MR","FA_ADJUSTED=GAAP","Sort=A","Dates=H","DateFormat=P","Fill=—","Direction=H","UseDPDF=Y")</f>
        <v>43.371699999999997</v>
      </c>
      <c r="Q46" s="20">
        <f>_xll.BDH("NBIX US Equity","EV_TO_T12M_EBIT","FQ1 2023","FQ1 2023","Currency=USD","Period=FQ","BEST_FPERIOD_OVERRIDE=FQ","FILING_STATUS=MR","FA_ADJUSTED=GAAP","Sort=A","Dates=H","DateFormat=P","Fill=—","Direction=H","UseDPDF=Y")</f>
        <v>70.115799999999993</v>
      </c>
      <c r="R46" s="20">
        <f>_xll.BDH("NBIX US Equity","EV_TO_T12M_EBIT","FQ2 2023","FQ2 2023","Currency=USD","Period=FQ","BEST_FPERIOD_OVERRIDE=FQ","FILING_STATUS=MR","FA_ADJUSTED=GAAP","Sort=A","Dates=H","DateFormat=P","Fill=—","Direction=H","UseDPDF=Y")</f>
        <v>56.463999999999999</v>
      </c>
      <c r="S46" s="20">
        <f>_xll.BDH("NBIX US Equity","EV_TO_T12M_EBIT","FQ3 2023","FQ3 2023","Currency=USD","Period=FQ","BEST_FPERIOD_OVERRIDE=FQ","FILING_STATUS=MR","FA_ADJUSTED=GAAP","Sort=A","Dates=H","DateFormat=P","Fill=—","Direction=H","UseDPDF=Y")</f>
        <v>50.127499999999998</v>
      </c>
      <c r="T46" s="20">
        <f>_xll.BDH("NBIX US Equity","EV_TO_T12M_EBIT","FQ4 2023","FQ4 2023","Currency=USD","Period=FQ","BEST_FPERIOD_OVERRIDE=FQ","FILING_STATUS=MR","FA_ADJUSTED=GAAP","Sort=A","Dates=H","DateFormat=P","Fill=—","Direction=H","UseDPDF=Y")</f>
        <v>48.307600000000001</v>
      </c>
      <c r="U46" s="20">
        <f>_xll.BDH("NBIX US Equity","EV_TO_T12M_EBIT","FQ1 2024","FQ1 2024","Currency=USD","Period=FQ","BEST_FPERIOD_OVERRIDE=FQ","FILING_STATUS=MR","FA_ADJUSTED=GAAP","Sort=A","Dates=H","DateFormat=P","Fill=—","Direction=H","UseDPDF=Y")</f>
        <v>27.622</v>
      </c>
      <c r="V46" s="20">
        <f>_xll.BDH("NBIX US Equity","EV_TO_T12M_EBIT","FQ2 2024","FQ2 2024","Currency=USD","Period=FQ","BEST_FPERIOD_OVERRIDE=FQ","FILING_STATUS=MR","FA_ADJUSTED=GAAP","Sort=A","Dates=H","DateFormat=P","Fill=—","Direction=H","UseDPDF=Y")</f>
        <v>24.0092</v>
      </c>
      <c r="W46" s="20">
        <f>_xll.BDH("NBIX US Equity","EV_TO_T12M_EBIT","FQ3 2024","FQ3 2024","Currency=USD","Period=FQ","BEST_FPERIOD_OVERRIDE=FQ","FILING_STATUS=MR","FA_ADJUSTED=GAAP","Sort=A","Dates=H","DateFormat=P","Fill=—","Direction=H","UseDPDF=Y")</f>
        <v>18.098500000000001</v>
      </c>
      <c r="X46" s="20">
        <f>_xll.BDH("NBIX US Equity","EV_TO_T12M_EBIT","FQ4 2024","FQ4 2024","Currency=USD","Period=FQ","BEST_FPERIOD_OVERRIDE=FQ","FILING_STATUS=MR","FA_ADJUSTED=GAAP","Sort=A","Dates=H","DateFormat=P","Fill=—","Direction=H","UseDPDF=Y")</f>
        <v>22.1554</v>
      </c>
      <c r="Y46" s="23">
        <v>18.1296377365932</v>
      </c>
      <c r="Z46" s="20">
        <v>19.155599123241998</v>
      </c>
      <c r="AA46" s="20">
        <v>16.549338484381799</v>
      </c>
    </row>
    <row r="47" spans="1:27" x14ac:dyDescent="0.25">
      <c r="A47" s="10" t="s">
        <v>209</v>
      </c>
      <c r="B47" s="10" t="s">
        <v>246</v>
      </c>
      <c r="C47" s="14">
        <f>_xll.BDH("NBIX US Equity","AVERAGE_EV_TO_T12M_EBIT","FQ3 2019","FQ3 2019","Currency=USD","Period=FQ","BEST_FPERIOD_OVERRIDE=FQ","FILING_STATUS=MR","FA_ADJUSTED=GAAP","Sort=A","Dates=H","DateFormat=P","Fill=—","Direction=H","UseDPDF=Y")</f>
        <v>579.55150000000003</v>
      </c>
      <c r="D47" s="14">
        <f>_xll.BDH("NBIX US Equity","AVERAGE_EV_TO_T12M_EBIT","FQ4 2019","FQ4 2019","Currency=USD","Period=FQ","BEST_FPERIOD_OVERRIDE=FQ","FILING_STATUS=MR","FA_ADJUSTED=GAAP","Sort=A","Dates=H","DateFormat=P","Fill=—","Direction=H","UseDPDF=Y")</f>
        <v>187.6138</v>
      </c>
      <c r="E47" s="14">
        <f>_xll.BDH("NBIX US Equity","AVERAGE_EV_TO_T12M_EBIT","FQ1 2020","FQ1 2020","Currency=USD","Period=FQ","BEST_FPERIOD_OVERRIDE=FQ","FILING_STATUS=MR","FA_ADJUSTED=GAAP","Sort=A","Dates=H","DateFormat=P","Fill=—","Direction=H","UseDPDF=Y")</f>
        <v>113.7658</v>
      </c>
      <c r="F47" s="14">
        <f>_xll.BDH("NBIX US Equity","AVERAGE_EV_TO_T12M_EBIT","FQ2 2020","FQ2 2020","Currency=USD","Period=FQ","BEST_FPERIOD_OVERRIDE=FQ","FILING_STATUS=MR","FA_ADJUSTED=GAAP","Sort=A","Dates=H","DateFormat=P","Fill=—","Direction=H","UseDPDF=Y")</f>
        <v>42.002499999999998</v>
      </c>
      <c r="G47" s="14">
        <f>_xll.BDH("NBIX US Equity","AVERAGE_EV_TO_T12M_EBIT","FQ3 2020","FQ3 2020","Currency=USD","Period=FQ","BEST_FPERIOD_OVERRIDE=FQ","FILING_STATUS=MR","FA_ADJUSTED=GAAP","Sort=A","Dates=H","DateFormat=P","Fill=—","Direction=H","UseDPDF=Y")</f>
        <v>37.412799999999997</v>
      </c>
      <c r="H47" s="14">
        <f>_xll.BDH("NBIX US Equity","AVERAGE_EV_TO_T12M_EBIT","FQ4 2020","FQ4 2020","Currency=USD","Period=FQ","BEST_FPERIOD_OVERRIDE=FQ","FILING_STATUS=MR","FA_ADJUSTED=GAAP","Sort=A","Dates=H","DateFormat=P","Fill=—","Direction=H","UseDPDF=Y")</f>
        <v>58.965699999999998</v>
      </c>
      <c r="I47" s="14">
        <f>_xll.BDH("NBIX US Equity","AVERAGE_EV_TO_T12M_EBIT","FQ1 2021","FQ1 2021","Currency=USD","Period=FQ","BEST_FPERIOD_OVERRIDE=FQ","FILING_STATUS=MR","FA_ADJUSTED=GAAP","Sort=A","Dates=H","DateFormat=P","Fill=—","Direction=H","UseDPDF=Y")</f>
        <v>56.261200000000002</v>
      </c>
      <c r="J47" s="14">
        <f>_xll.BDH("NBIX US Equity","AVERAGE_EV_TO_T12M_EBIT","FQ2 2021","FQ2 2021","Currency=USD","Period=FQ","BEST_FPERIOD_OVERRIDE=FQ","FILING_STATUS=MR","FA_ADJUSTED=GAAP","Sort=A","Dates=H","DateFormat=P","Fill=—","Direction=H","UseDPDF=Y")</f>
        <v>61.198300000000003</v>
      </c>
      <c r="K47" s="14">
        <f>_xll.BDH("NBIX US Equity","AVERAGE_EV_TO_T12M_EBIT","FQ3 2021","FQ3 2021","Currency=USD","Period=FQ","BEST_FPERIOD_OVERRIDE=FQ","FILING_STATUS=MR","FA_ADJUSTED=GAAP","Sort=A","Dates=H","DateFormat=P","Fill=—","Direction=H","UseDPDF=Y")</f>
        <v>66.187399999999997</v>
      </c>
      <c r="L47" s="14">
        <f>_xll.BDH("NBIX US Equity","AVERAGE_EV_TO_T12M_EBIT","FQ4 2021","FQ4 2021","Currency=USD","Period=FQ","BEST_FPERIOD_OVERRIDE=FQ","FILING_STATUS=MR","FA_ADJUSTED=GAAP","Sort=A","Dates=H","DateFormat=P","Fill=—","Direction=H","UseDPDF=Y")</f>
        <v>39.4208</v>
      </c>
      <c r="M47" s="14">
        <f>_xll.BDH("NBIX US Equity","AVERAGE_EV_TO_T12M_EBIT","FQ1 2022","FQ1 2022","Currency=USD","Period=FQ","BEST_FPERIOD_OVERRIDE=FQ","FILING_STATUS=MR","FA_ADJUSTED=GAAP","Sort=A","Dates=H","DateFormat=P","Fill=—","Direction=H","UseDPDF=Y")</f>
        <v>76.679100000000005</v>
      </c>
      <c r="N47" s="14">
        <f>_xll.BDH("NBIX US Equity","AVERAGE_EV_TO_T12M_EBIT","FQ2 2022","FQ2 2022","Currency=USD","Period=FQ","BEST_FPERIOD_OVERRIDE=FQ","FILING_STATUS=MR","FA_ADJUSTED=GAAP","Sort=A","Dates=H","DateFormat=P","Fill=—","Direction=H","UseDPDF=Y")</f>
        <v>116.92319999999999</v>
      </c>
      <c r="O47" s="14">
        <f>_xll.BDH("NBIX US Equity","AVERAGE_EV_TO_T12M_EBIT","FQ3 2022","FQ3 2022","Currency=USD","Period=FQ","BEST_FPERIOD_OVERRIDE=FQ","FILING_STATUS=MR","FA_ADJUSTED=GAAP","Sort=A","Dates=H","DateFormat=P","Fill=—","Direction=H","UseDPDF=Y")</f>
        <v>140.56360000000001</v>
      </c>
      <c r="P47" s="14">
        <f>_xll.BDH("NBIX US Equity","AVERAGE_EV_TO_T12M_EBIT","FQ4 2022","FQ4 2022","Currency=USD","Period=FQ","BEST_FPERIOD_OVERRIDE=FQ","FILING_STATUS=MR","FA_ADJUSTED=GAAP","Sort=A","Dates=H","DateFormat=P","Fill=—","Direction=H","UseDPDF=Y")</f>
        <v>97.222099999999998</v>
      </c>
      <c r="Q47" s="14">
        <f>_xll.BDH("NBIX US Equity","AVERAGE_EV_TO_T12M_EBIT","FQ1 2023","FQ1 2023","Currency=USD","Period=FQ","BEST_FPERIOD_OVERRIDE=FQ","FILING_STATUS=MR","FA_ADJUSTED=GAAP","Sort=A","Dates=H","DateFormat=P","Fill=—","Direction=H","UseDPDF=Y")</f>
        <v>37.896999999999998</v>
      </c>
      <c r="R47" s="14">
        <f>_xll.BDH("NBIX US Equity","AVERAGE_EV_TO_T12M_EBIT","FQ2 2023","FQ2 2023","Currency=USD","Period=FQ","BEST_FPERIOD_OVERRIDE=FQ","FILING_STATUS=MR","FA_ADJUSTED=GAAP","Sort=A","Dates=H","DateFormat=P","Fill=—","Direction=H","UseDPDF=Y")</f>
        <v>67.396299999999997</v>
      </c>
      <c r="S47" s="14">
        <f>_xll.BDH("NBIX US Equity","AVERAGE_EV_TO_T12M_EBIT","FQ3 2023","FQ3 2023","Currency=USD","Period=FQ","BEST_FPERIOD_OVERRIDE=FQ","FILING_STATUS=MR","FA_ADJUSTED=GAAP","Sort=A","Dates=H","DateFormat=P","Fill=—","Direction=H","UseDPDF=Y")</f>
        <v>63.321300000000001</v>
      </c>
      <c r="T47" s="14">
        <f>_xll.BDH("NBIX US Equity","AVERAGE_EV_TO_T12M_EBIT","FQ4 2023","FQ4 2023","Currency=USD","Period=FQ","BEST_FPERIOD_OVERRIDE=FQ","FILING_STATUS=MR","FA_ADJUSTED=GAAP","Sort=A","Dates=H","DateFormat=P","Fill=—","Direction=H","UseDPDF=Y")</f>
        <v>51.122399999999999</v>
      </c>
      <c r="U47" s="14">
        <f>_xll.BDH("NBIX US Equity","AVERAGE_EV_TO_T12M_EBIT","FQ1 2024","FQ1 2024","Currency=USD","Period=FQ","BEST_FPERIOD_OVERRIDE=FQ","FILING_STATUS=MR","FA_ADJUSTED=GAAP","Sort=A","Dates=H","DateFormat=P","Fill=—","Direction=H","UseDPDF=Y")</f>
        <v>49.8947</v>
      </c>
      <c r="V47" s="14">
        <f>_xll.BDH("NBIX US Equity","AVERAGE_EV_TO_T12M_EBIT","FQ2 2024","FQ2 2024","Currency=USD","Period=FQ","BEST_FPERIOD_OVERRIDE=FQ","FILING_STATUS=MR","FA_ADJUSTED=GAAP","Sort=A","Dates=H","DateFormat=P","Fill=—","Direction=H","UseDPDF=Y")</f>
        <v>27.363199999999999</v>
      </c>
      <c r="W47" s="14">
        <f>_xll.BDH("NBIX US Equity","AVERAGE_EV_TO_T12M_EBIT","FQ3 2024","FQ3 2024","Currency=USD","Period=FQ","BEST_FPERIOD_OVERRIDE=FQ","FILING_STATUS=MR","FA_ADJUSTED=GAAP","Sort=A","Dates=H","DateFormat=P","Fill=—","Direction=H","UseDPDF=Y")</f>
        <v>23.862200000000001</v>
      </c>
      <c r="X47" s="14">
        <f>_xll.BDH("NBIX US Equity","AVERAGE_EV_TO_T12M_EBIT","FQ4 2024","FQ4 2024","Currency=USD","Period=FQ","BEST_FPERIOD_OVERRIDE=FQ","FILING_STATUS=MR","FA_ADJUSTED=GAAP","Sort=A","Dates=H","DateFormat=P","Fill=—","Direction=H","UseDPDF=Y")</f>
        <v>19.550599999999999</v>
      </c>
      <c r="Y47" s="17"/>
      <c r="Z47" s="14"/>
      <c r="AA47" s="14"/>
    </row>
    <row r="48" spans="1:27" x14ac:dyDescent="0.25">
      <c r="A48" s="10" t="s">
        <v>211</v>
      </c>
      <c r="B48" s="10" t="s">
        <v>247</v>
      </c>
      <c r="C48" s="14">
        <f>_xll.BDH("NBIX US Equity","HIGH_EV_TO_T12M_EBIT","FQ3 2019","FQ3 2019","Currency=USD","Period=FQ","BEST_FPERIOD_OVERRIDE=FQ","FILING_STATUS=MR","FA_ADJUSTED=GAAP","Sort=A","Dates=H","DateFormat=P","Fill=—","Direction=H","UseDPDF=Y")</f>
        <v>637.96960000000001</v>
      </c>
      <c r="D48" s="14">
        <f>_xll.BDH("NBIX US Equity","HIGH_EV_TO_T12M_EBIT","FQ4 2019","FQ4 2019","Currency=USD","Period=FQ","BEST_FPERIOD_OVERRIDE=FQ","FILING_STATUS=MR","FA_ADJUSTED=GAAP","Sort=A","Dates=H","DateFormat=P","Fill=—","Direction=H","UseDPDF=Y")</f>
        <v>214.5642</v>
      </c>
      <c r="E48" s="14">
        <f>_xll.BDH("NBIX US Equity","HIGH_EV_TO_T12M_EBIT","FQ1 2020","FQ1 2020","Currency=USD","Period=FQ","BEST_FPERIOD_OVERRIDE=FQ","FILING_STATUS=MR","FA_ADJUSTED=GAAP","Sort=A","Dates=H","DateFormat=P","Fill=—","Direction=H","UseDPDF=Y")</f>
        <v>133.71889999999999</v>
      </c>
      <c r="F48" s="14">
        <f>_xll.BDH("NBIX US Equity","HIGH_EV_TO_T12M_EBIT","FQ2 2020","FQ2 2020","Currency=USD","Period=FQ","BEST_FPERIOD_OVERRIDE=FQ","FILING_STATUS=MR","FA_ADJUSTED=GAAP","Sort=A","Dates=H","DateFormat=P","Fill=—","Direction=H","UseDPDF=Y")</f>
        <v>49.927</v>
      </c>
      <c r="G48" s="14">
        <f>_xll.BDH("NBIX US Equity","HIGH_EV_TO_T12M_EBIT","FQ3 2020","FQ3 2020","Currency=USD","Period=FQ","BEST_FPERIOD_OVERRIDE=FQ","FILING_STATUS=MR","FA_ADJUSTED=GAAP","Sort=A","Dates=H","DateFormat=P","Fill=—","Direction=H","UseDPDF=Y")</f>
        <v>58.748100000000001</v>
      </c>
      <c r="H48" s="14">
        <f>_xll.BDH("NBIX US Equity","HIGH_EV_TO_T12M_EBIT","FQ4 2020","FQ4 2020","Currency=USD","Period=FQ","BEST_FPERIOD_OVERRIDE=FQ","FILING_STATUS=MR","FA_ADJUSTED=GAAP","Sort=A","Dates=H","DateFormat=P","Fill=—","Direction=H","UseDPDF=Y")</f>
        <v>66.555000000000007</v>
      </c>
      <c r="I48" s="14">
        <f>_xll.BDH("NBIX US Equity","HIGH_EV_TO_T12M_EBIT","FQ1 2021","FQ1 2021","Currency=USD","Period=FQ","BEST_FPERIOD_OVERRIDE=FQ","FILING_STATUS=MR","FA_ADJUSTED=GAAP","Sort=A","Dates=H","DateFormat=P","Fill=—","Direction=H","UseDPDF=Y")</f>
        <v>64.112799999999993</v>
      </c>
      <c r="J48" s="14">
        <f>_xll.BDH("NBIX US Equity","HIGH_EV_TO_T12M_EBIT","FQ2 2021","FQ2 2021","Currency=USD","Period=FQ","BEST_FPERIOD_OVERRIDE=FQ","FILING_STATUS=MR","FA_ADJUSTED=GAAP","Sort=A","Dates=H","DateFormat=P","Fill=—","Direction=H","UseDPDF=Y")</f>
        <v>68.686199999999999</v>
      </c>
      <c r="K48" s="14">
        <f>_xll.BDH("NBIX US Equity","HIGH_EV_TO_T12M_EBIT","FQ3 2021","FQ3 2021","Currency=USD","Period=FQ","BEST_FPERIOD_OVERRIDE=FQ","FILING_STATUS=MR","FA_ADJUSTED=GAAP","Sort=A","Dates=H","DateFormat=P","Fill=—","Direction=H","UseDPDF=Y")</f>
        <v>69.9529</v>
      </c>
      <c r="L48" s="14">
        <f>_xll.BDH("NBIX US Equity","HIGH_EV_TO_T12M_EBIT","FQ4 2021","FQ4 2021","Currency=USD","Period=FQ","BEST_FPERIOD_OVERRIDE=FQ","FILING_STATUS=MR","FA_ADJUSTED=GAAP","Sort=A","Dates=H","DateFormat=P","Fill=—","Direction=H","UseDPDF=Y")</f>
        <v>76.345299999999995</v>
      </c>
      <c r="M48" s="14">
        <f>_xll.BDH("NBIX US Equity","HIGH_EV_TO_T12M_EBIT","FQ1 2022","FQ1 2022","Currency=USD","Period=FQ","BEST_FPERIOD_OVERRIDE=FQ","FILING_STATUS=MR","FA_ADJUSTED=GAAP","Sort=A","Dates=H","DateFormat=P","Fill=—","Direction=H","UseDPDF=Y")</f>
        <v>118.23480000000001</v>
      </c>
      <c r="N48" s="14">
        <f>_xll.BDH("NBIX US Equity","HIGH_EV_TO_T12M_EBIT","FQ2 2022","FQ2 2022","Currency=USD","Period=FQ","BEST_FPERIOD_OVERRIDE=FQ","FILING_STATUS=MR","FA_ADJUSTED=GAAP","Sort=A","Dates=H","DateFormat=P","Fill=—","Direction=H","UseDPDF=Y")</f>
        <v>135.66990000000001</v>
      </c>
      <c r="O48" s="14">
        <f>_xll.BDH("NBIX US Equity","HIGH_EV_TO_T12M_EBIT","FQ3 2022","FQ3 2022","Currency=USD","Period=FQ","BEST_FPERIOD_OVERRIDE=FQ","FILING_STATUS=MR","FA_ADJUSTED=GAAP","Sort=A","Dates=H","DateFormat=P","Fill=—","Direction=H","UseDPDF=Y")</f>
        <v>150.73140000000001</v>
      </c>
      <c r="P48" s="14">
        <f>_xll.BDH("NBIX US Equity","HIGH_EV_TO_T12M_EBIT","FQ4 2022","FQ4 2022","Currency=USD","Period=FQ","BEST_FPERIOD_OVERRIDE=FQ","FILING_STATUS=MR","FA_ADJUSTED=GAAP","Sort=A","Dates=H","DateFormat=P","Fill=—","Direction=H","UseDPDF=Y")</f>
        <v>107.0314</v>
      </c>
      <c r="Q48" s="14">
        <f>_xll.BDH("NBIX US Equity","HIGH_EV_TO_T12M_EBIT","FQ1 2023","FQ1 2023","Currency=USD","Period=FQ","BEST_FPERIOD_OVERRIDE=FQ","FILING_STATUS=MR","FA_ADJUSTED=GAAP","Sort=A","Dates=H","DateFormat=P","Fill=—","Direction=H","UseDPDF=Y")</f>
        <v>69.4148</v>
      </c>
      <c r="R48" s="14">
        <f>_xll.BDH("NBIX US Equity","HIGH_EV_TO_T12M_EBIT","FQ2 2023","FQ2 2023","Currency=USD","Period=FQ","BEST_FPERIOD_OVERRIDE=FQ","FILING_STATUS=MR","FA_ADJUSTED=GAAP","Sort=A","Dates=H","DateFormat=P","Fill=—","Direction=H","UseDPDF=Y")</f>
        <v>72.838399999999993</v>
      </c>
      <c r="S48" s="14">
        <f>_xll.BDH("NBIX US Equity","HIGH_EV_TO_T12M_EBIT","FQ3 2023","FQ3 2023","Currency=USD","Period=FQ","BEST_FPERIOD_OVERRIDE=FQ","FILING_STATUS=MR","FA_ADJUSTED=GAAP","Sort=A","Dates=H","DateFormat=P","Fill=—","Direction=H","UseDPDF=Y")</f>
        <v>71.280900000000003</v>
      </c>
      <c r="T48" s="14">
        <f>_xll.BDH("NBIX US Equity","HIGH_EV_TO_T12M_EBIT","FQ4 2023","FQ4 2023","Currency=USD","Period=FQ","BEST_FPERIOD_OVERRIDE=FQ","FILING_STATUS=MR","FA_ADJUSTED=GAAP","Sort=A","Dates=H","DateFormat=P","Fill=—","Direction=H","UseDPDF=Y")</f>
        <v>59.913800000000002</v>
      </c>
      <c r="U48" s="14">
        <f>_xll.BDH("NBIX US Equity","HIGH_EV_TO_T12M_EBIT","FQ1 2024","FQ1 2024","Currency=USD","Period=FQ","BEST_FPERIOD_OVERRIDE=FQ","FILING_STATUS=MR","FA_ADJUSTED=GAAP","Sort=A","Dates=H","DateFormat=P","Fill=—","Direction=H","UseDPDF=Y")</f>
        <v>53.352600000000002</v>
      </c>
      <c r="V48" s="14">
        <f>_xll.BDH("NBIX US Equity","HIGH_EV_TO_T12M_EBIT","FQ2 2024","FQ2 2024","Currency=USD","Period=FQ","BEST_FPERIOD_OVERRIDE=FQ","FILING_STATUS=MR","FA_ADJUSTED=GAAP","Sort=A","Dates=H","DateFormat=P","Fill=—","Direction=H","UseDPDF=Y")</f>
        <v>28.753299999999999</v>
      </c>
      <c r="W48" s="14">
        <f>_xll.BDH("NBIX US Equity","HIGH_EV_TO_T12M_EBIT","FQ3 2024","FQ3 2024","Currency=USD","Period=FQ","BEST_FPERIOD_OVERRIDE=FQ","FILING_STATUS=MR","FA_ADJUSTED=GAAP","Sort=A","Dates=H","DateFormat=P","Fill=—","Direction=H","UseDPDF=Y")</f>
        <v>26.883700000000001</v>
      </c>
      <c r="X48" s="14">
        <f>_xll.BDH("NBIX US Equity","HIGH_EV_TO_T12M_EBIT","FQ4 2024","FQ4 2024","Currency=USD","Period=FQ","BEST_FPERIOD_OVERRIDE=FQ","FILING_STATUS=MR","FA_ADJUSTED=GAAP","Sort=A","Dates=H","DateFormat=P","Fill=—","Direction=H","UseDPDF=Y")</f>
        <v>22.5855</v>
      </c>
      <c r="Y48" s="17"/>
      <c r="Z48" s="14"/>
      <c r="AA48" s="14"/>
    </row>
    <row r="49" spans="1:27" x14ac:dyDescent="0.25">
      <c r="A49" s="10" t="s">
        <v>213</v>
      </c>
      <c r="B49" s="10" t="s">
        <v>248</v>
      </c>
      <c r="C49" s="14">
        <f>_xll.BDH("NBIX US Equity","LOW_EV_TO_T12M_EBIT","FQ3 2019","FQ3 2019","Currency=USD","Period=FQ","BEST_FPERIOD_OVERRIDE=FQ","FILING_STATUS=MR","FA_ADJUSTED=GAAP","Sort=A","Dates=H","DateFormat=P","Fill=—","Direction=H","UseDPDF=Y")</f>
        <v>161.25470000000001</v>
      </c>
      <c r="D49" s="14">
        <f>_xll.BDH("NBIX US Equity","LOW_EV_TO_T12M_EBIT","FQ4 2019","FQ4 2019","Currency=USD","Period=FQ","BEST_FPERIOD_OVERRIDE=FQ","FILING_STATUS=MR","FA_ADJUSTED=GAAP","Sort=A","Dates=H","DateFormat=P","Fill=—","Direction=H","UseDPDF=Y")</f>
        <v>126.22969999999999</v>
      </c>
      <c r="E49" s="14">
        <f>_xll.BDH("NBIX US Equity","LOW_EV_TO_T12M_EBIT","FQ1 2020","FQ1 2020","Currency=USD","Period=FQ","BEST_FPERIOD_OVERRIDE=FQ","FILING_STATUS=MR","FA_ADJUSTED=GAAP","Sort=A","Dates=H","DateFormat=P","Fill=—","Direction=H","UseDPDF=Y")</f>
        <v>32.566200000000002</v>
      </c>
      <c r="F49" s="14">
        <f>_xll.BDH("NBIX US Equity","LOW_EV_TO_T12M_EBIT","FQ2 2020","FQ2 2020","Currency=USD","Period=FQ","BEST_FPERIOD_OVERRIDE=FQ","FILING_STATUS=MR","FA_ADJUSTED=GAAP","Sort=A","Dates=H","DateFormat=P","Fill=—","Direction=H","UseDPDF=Y")</f>
        <v>31.998100000000001</v>
      </c>
      <c r="G49" s="14">
        <f>_xll.BDH("NBIX US Equity","LOW_EV_TO_T12M_EBIT","FQ3 2020","FQ3 2020","Currency=USD","Period=FQ","BEST_FPERIOD_OVERRIDE=FQ","FILING_STATUS=MR","FA_ADJUSTED=GAAP","Sort=A","Dates=H","DateFormat=P","Fill=—","Direction=H","UseDPDF=Y")</f>
        <v>30.9361</v>
      </c>
      <c r="H49" s="14">
        <f>_xll.BDH("NBIX US Equity","LOW_EV_TO_T12M_EBIT","FQ4 2020","FQ4 2020","Currency=USD","Period=FQ","BEST_FPERIOD_OVERRIDE=FQ","FILING_STATUS=MR","FA_ADJUSTED=GAAP","Sort=A","Dates=H","DateFormat=P","Fill=—","Direction=H","UseDPDF=Y")</f>
        <v>50.910800000000002</v>
      </c>
      <c r="I49" s="14">
        <f>_xll.BDH("NBIX US Equity","LOW_EV_TO_T12M_EBIT","FQ1 2021","FQ1 2021","Currency=USD","Period=FQ","BEST_FPERIOD_OVERRIDE=FQ","FILING_STATUS=MR","FA_ADJUSTED=GAAP","Sort=A","Dates=H","DateFormat=P","Fill=—","Direction=H","UseDPDF=Y")</f>
        <v>46.586199999999998</v>
      </c>
      <c r="J49" s="14">
        <f>_xll.BDH("NBIX US Equity","LOW_EV_TO_T12M_EBIT","FQ2 2021","FQ2 2021","Currency=USD","Period=FQ","BEST_FPERIOD_OVERRIDE=FQ","FILING_STATUS=MR","FA_ADJUSTED=GAAP","Sort=A","Dates=H","DateFormat=P","Fill=—","Direction=H","UseDPDF=Y")</f>
        <v>56.829599999999999</v>
      </c>
      <c r="K49" s="14">
        <f>_xll.BDH("NBIX US Equity","LOW_EV_TO_T12M_EBIT","FQ3 2021","FQ3 2021","Currency=USD","Period=FQ","BEST_FPERIOD_OVERRIDE=FQ","FILING_STATUS=MR","FA_ADJUSTED=GAAP","Sort=A","Dates=H","DateFormat=P","Fill=—","Direction=H","UseDPDF=Y")</f>
        <v>40.441899999999997</v>
      </c>
      <c r="L49" s="14">
        <f>_xll.BDH("NBIX US Equity","LOW_EV_TO_T12M_EBIT","FQ4 2021","FQ4 2021","Currency=USD","Period=FQ","BEST_FPERIOD_OVERRIDE=FQ","FILING_STATUS=MR","FA_ADJUSTED=GAAP","Sort=A","Dates=H","DateFormat=P","Fill=—","Direction=H","UseDPDF=Y")</f>
        <v>33.421500000000002</v>
      </c>
      <c r="M49" s="14">
        <f>_xll.BDH("NBIX US Equity","LOW_EV_TO_T12M_EBIT","FQ1 2022","FQ1 2022","Currency=USD","Period=FQ","BEST_FPERIOD_OVERRIDE=FQ","FILING_STATUS=MR","FA_ADJUSTED=GAAP","Sort=A","Dates=H","DateFormat=P","Fill=—","Direction=H","UseDPDF=Y")</f>
        <v>64.572599999999994</v>
      </c>
      <c r="N49" s="14">
        <f>_xll.BDH("NBIX US Equity","LOW_EV_TO_T12M_EBIT","FQ2 2022","FQ2 2022","Currency=USD","Period=FQ","BEST_FPERIOD_OVERRIDE=FQ","FILING_STATUS=MR","FA_ADJUSTED=GAAP","Sort=A","Dates=H","DateFormat=P","Fill=—","Direction=H","UseDPDF=Y")</f>
        <v>95.492000000000004</v>
      </c>
      <c r="O49" s="14">
        <f>_xll.BDH("NBIX US Equity","LOW_EV_TO_T12M_EBIT","FQ3 2022","FQ3 2022","Currency=USD","Period=FQ","BEST_FPERIOD_OVERRIDE=FQ","FILING_STATUS=MR","FA_ADJUSTED=GAAP","Sort=A","Dates=H","DateFormat=P","Fill=—","Direction=H","UseDPDF=Y")</f>
        <v>88.211799999999997</v>
      </c>
      <c r="P49" s="14">
        <f>_xll.BDH("NBIX US Equity","LOW_EV_TO_T12M_EBIT","FQ4 2022","FQ4 2022","Currency=USD","Period=FQ","BEST_FPERIOD_OVERRIDE=FQ","FILING_STATUS=MR","FA_ADJUSTED=GAAP","Sort=A","Dates=H","DateFormat=P","Fill=—","Direction=H","UseDPDF=Y")</f>
        <v>43.196399999999997</v>
      </c>
      <c r="Q49" s="14">
        <f>_xll.BDH("NBIX US Equity","LOW_EV_TO_T12M_EBIT","FQ1 2023","FQ1 2023","Currency=USD","Period=FQ","BEST_FPERIOD_OVERRIDE=FQ","FILING_STATUS=MR","FA_ADJUSTED=GAAP","Sort=A","Dates=H","DateFormat=P","Fill=—","Direction=H","UseDPDF=Y")</f>
        <v>33.588299999999997</v>
      </c>
      <c r="R49" s="14">
        <f>_xll.BDH("NBIX US Equity","LOW_EV_TO_T12M_EBIT","FQ2 2023","FQ2 2023","Currency=USD","Period=FQ","BEST_FPERIOD_OVERRIDE=FQ","FILING_STATUS=MR","FA_ADJUSTED=GAAP","Sort=A","Dates=H","DateFormat=P","Fill=—","Direction=H","UseDPDF=Y")</f>
        <v>56.448300000000003</v>
      </c>
      <c r="S49" s="14">
        <f>_xll.BDH("NBIX US Equity","LOW_EV_TO_T12M_EBIT","FQ3 2023","FQ3 2023","Currency=USD","Period=FQ","BEST_FPERIOD_OVERRIDE=FQ","FILING_STATUS=MR","FA_ADJUSTED=GAAP","Sort=A","Dates=H","DateFormat=P","Fill=—","Direction=H","UseDPDF=Y")</f>
        <v>49.825499999999998</v>
      </c>
      <c r="T49" s="14">
        <f>_xll.BDH("NBIX US Equity","LOW_EV_TO_T12M_EBIT","FQ4 2023","FQ4 2023","Currency=USD","Period=FQ","BEST_FPERIOD_OVERRIDE=FQ","FILING_STATUS=MR","FA_ADJUSTED=GAAP","Sort=A","Dates=H","DateFormat=P","Fill=—","Direction=H","UseDPDF=Y")</f>
        <v>46.747500000000002</v>
      </c>
      <c r="U49" s="14">
        <f>_xll.BDH("NBIX US Equity","LOW_EV_TO_T12M_EBIT","FQ1 2024","FQ1 2024","Currency=USD","Period=FQ","BEST_FPERIOD_OVERRIDE=FQ","FILING_STATUS=MR","FA_ADJUSTED=GAAP","Sort=A","Dates=H","DateFormat=P","Fill=—","Direction=H","UseDPDF=Y")</f>
        <v>27.303599999999999</v>
      </c>
      <c r="V49" s="14">
        <f>_xll.BDH("NBIX US Equity","LOW_EV_TO_T12M_EBIT","FQ2 2024","FQ2 2024","Currency=USD","Period=FQ","BEST_FPERIOD_OVERRIDE=FQ","FILING_STATUS=MR","FA_ADJUSTED=GAAP","Sort=A","Dates=H","DateFormat=P","Fill=—","Direction=H","UseDPDF=Y")</f>
        <v>23.943100000000001</v>
      </c>
      <c r="W49" s="14">
        <f>_xll.BDH("NBIX US Equity","LOW_EV_TO_T12M_EBIT","FQ3 2024","FQ3 2024","Currency=USD","Period=FQ","BEST_FPERIOD_OVERRIDE=FQ","FILING_STATUS=MR","FA_ADJUSTED=GAAP","Sort=A","Dates=H","DateFormat=P","Fill=—","Direction=H","UseDPDF=Y")</f>
        <v>18.0549</v>
      </c>
      <c r="X49" s="14">
        <f>_xll.BDH("NBIX US Equity","LOW_EV_TO_T12M_EBIT","FQ4 2024","FQ4 2024","Currency=USD","Period=FQ","BEST_FPERIOD_OVERRIDE=FQ","FILING_STATUS=MR","FA_ADJUSTED=GAAP","Sort=A","Dates=H","DateFormat=P","Fill=—","Direction=H","UseDPDF=Y")</f>
        <v>17.441099999999999</v>
      </c>
      <c r="Y49" s="17"/>
      <c r="Z49" s="14"/>
      <c r="AA49" s="14"/>
    </row>
    <row r="50" spans="1:27" x14ac:dyDescent="0.25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21"/>
      <c r="Z50" s="18"/>
      <c r="AA50" s="18"/>
    </row>
    <row r="51" spans="1:27" x14ac:dyDescent="0.25">
      <c r="A51" s="6" t="s">
        <v>249</v>
      </c>
      <c r="B51" s="6" t="s">
        <v>250</v>
      </c>
      <c r="C51" s="20">
        <f>_xll.BDH("NBIX US Equity","PX_LAST","FQ3 2019","FQ3 2019","Currency=USD","Period=FQ","BEST_FPERIOD_OVERRIDE=FQ","FILING_STATUS=MR","Sort=A","Dates=H","DateFormat=P","Fill=—","Direction=H","UseDPDF=Y")</f>
        <v>90.11</v>
      </c>
      <c r="D51" s="20">
        <f>_xll.BDH("NBIX US Equity","PX_LAST","FQ4 2019","FQ4 2019","Currency=USD","Period=FQ","BEST_FPERIOD_OVERRIDE=FQ","FILING_STATUS=MR","Sort=A","Dates=H","DateFormat=P","Fill=—","Direction=H","UseDPDF=Y")</f>
        <v>107.49</v>
      </c>
      <c r="E51" s="20">
        <f>_xll.BDH("NBIX US Equity","PX_LAST","FQ1 2020","FQ1 2020","Currency=USD","Period=FQ","BEST_FPERIOD_OVERRIDE=FQ","FILING_STATUS=MR","Sort=A","Dates=H","DateFormat=P","Fill=—","Direction=H","UseDPDF=Y")</f>
        <v>86.55</v>
      </c>
      <c r="F51" s="20">
        <f>_xll.BDH("NBIX US Equity","PX_LAST","FQ2 2020","FQ2 2020","Currency=USD","Period=FQ","BEST_FPERIOD_OVERRIDE=FQ","FILING_STATUS=MR","Sort=A","Dates=H","DateFormat=P","Fill=—","Direction=H","UseDPDF=Y")</f>
        <v>122</v>
      </c>
      <c r="G51" s="20">
        <f>_xll.BDH("NBIX US Equity","PX_LAST","FQ3 2020","FQ3 2020","Currency=USD","Period=FQ","BEST_FPERIOD_OVERRIDE=FQ","FILING_STATUS=MR","Sort=A","Dates=H","DateFormat=P","Fill=—","Direction=H","UseDPDF=Y")</f>
        <v>96.16</v>
      </c>
      <c r="H51" s="20">
        <f>_xll.BDH("NBIX US Equity","PX_LAST","FQ4 2020","FQ4 2020","Currency=USD","Period=FQ","BEST_FPERIOD_OVERRIDE=FQ","FILING_STATUS=MR","Sort=A","Dates=H","DateFormat=P","Fill=—","Direction=H","UseDPDF=Y")</f>
        <v>95.85</v>
      </c>
      <c r="I51" s="20">
        <f>_xll.BDH("NBIX US Equity","PX_LAST","FQ1 2021","FQ1 2021","Currency=USD","Period=FQ","BEST_FPERIOD_OVERRIDE=FQ","FILING_STATUS=MR","Sort=A","Dates=H","DateFormat=P","Fill=—","Direction=H","UseDPDF=Y")</f>
        <v>97.25</v>
      </c>
      <c r="J51" s="20">
        <f>_xll.BDH("NBIX US Equity","PX_LAST","FQ2 2021","FQ2 2021","Currency=USD","Period=FQ","BEST_FPERIOD_OVERRIDE=FQ","FILING_STATUS=MR","Sort=A","Dates=H","DateFormat=P","Fill=—","Direction=H","UseDPDF=Y")</f>
        <v>97.32</v>
      </c>
      <c r="K51" s="20">
        <f>_xll.BDH("NBIX US Equity","PX_LAST","FQ3 2021","FQ3 2021","Currency=USD","Period=FQ","BEST_FPERIOD_OVERRIDE=FQ","FILING_STATUS=MR","Sort=A","Dates=H","DateFormat=P","Fill=—","Direction=H","UseDPDF=Y")</f>
        <v>95.91</v>
      </c>
      <c r="L51" s="20">
        <f>_xll.BDH("NBIX US Equity","PX_LAST","FQ4 2021","FQ4 2021","Currency=USD","Period=FQ","BEST_FPERIOD_OVERRIDE=FQ","FILING_STATUS=MR","Sort=A","Dates=H","DateFormat=P","Fill=—","Direction=H","UseDPDF=Y")</f>
        <v>85.17</v>
      </c>
      <c r="M51" s="20">
        <f>_xll.BDH("NBIX US Equity","PX_LAST","FQ1 2022","FQ1 2022","Currency=USD","Period=FQ","BEST_FPERIOD_OVERRIDE=FQ","FILING_STATUS=MR","Sort=A","Dates=H","DateFormat=P","Fill=—","Direction=H","UseDPDF=Y")</f>
        <v>93.75</v>
      </c>
      <c r="N51" s="20">
        <f>_xll.BDH("NBIX US Equity","PX_LAST","FQ2 2022","FQ2 2022","Currency=USD","Period=FQ","BEST_FPERIOD_OVERRIDE=FQ","FILING_STATUS=MR","Sort=A","Dates=H","DateFormat=P","Fill=—","Direction=H","UseDPDF=Y")</f>
        <v>97.48</v>
      </c>
      <c r="O51" s="20">
        <f>_xll.BDH("NBIX US Equity","PX_LAST","FQ3 2022","FQ3 2022","Currency=USD","Period=FQ","BEST_FPERIOD_OVERRIDE=FQ","FILING_STATUS=MR","Sort=A","Dates=H","DateFormat=P","Fill=—","Direction=H","UseDPDF=Y")</f>
        <v>106.21</v>
      </c>
      <c r="P51" s="20">
        <f>_xll.BDH("NBIX US Equity","PX_LAST","FQ4 2022","FQ4 2022","Currency=USD","Period=FQ","BEST_FPERIOD_OVERRIDE=FQ","FILING_STATUS=MR","Sort=A","Dates=H","DateFormat=P","Fill=—","Direction=H","UseDPDF=Y")</f>
        <v>119.44</v>
      </c>
      <c r="Q51" s="20">
        <f>_xll.BDH("NBIX US Equity","PX_LAST","FQ1 2023","FQ1 2023","Currency=USD","Period=FQ","BEST_FPERIOD_OVERRIDE=FQ","FILING_STATUS=MR","Sort=A","Dates=H","DateFormat=P","Fill=—","Direction=H","UseDPDF=Y")</f>
        <v>101.22</v>
      </c>
      <c r="R51" s="20">
        <f>_xll.BDH("NBIX US Equity","PX_LAST","FQ2 2023","FQ2 2023","Currency=USD","Period=FQ","BEST_FPERIOD_OVERRIDE=FQ","FILING_STATUS=MR","Sort=A","Dates=H","DateFormat=P","Fill=—","Direction=H","UseDPDF=Y")</f>
        <v>94.3</v>
      </c>
      <c r="S51" s="20">
        <f>_xll.BDH("NBIX US Equity","PX_LAST","FQ3 2023","FQ3 2023","Currency=USD","Period=FQ","BEST_FPERIOD_OVERRIDE=FQ","FILING_STATUS=MR","Sort=A","Dates=H","DateFormat=P","Fill=—","Direction=H","UseDPDF=Y")</f>
        <v>112.5</v>
      </c>
      <c r="T51" s="20">
        <f>_xll.BDH("NBIX US Equity","PX_LAST","FQ4 2023","FQ4 2023","Currency=USD","Period=FQ","BEST_FPERIOD_OVERRIDE=FQ","FILING_STATUS=MR","Sort=A","Dates=H","DateFormat=P","Fill=—","Direction=H","UseDPDF=Y")</f>
        <v>131.76</v>
      </c>
      <c r="U51" s="20">
        <f>_xll.BDH("NBIX US Equity","PX_LAST","FQ1 2024","FQ1 2024","Currency=USD","Period=FQ","BEST_FPERIOD_OVERRIDE=FQ","FILING_STATUS=MR","Sort=A","Dates=H","DateFormat=P","Fill=—","Direction=H","UseDPDF=Y")</f>
        <v>137.91999999999999</v>
      </c>
      <c r="V51" s="20">
        <f>_xll.BDH("NBIX US Equity","PX_LAST","FQ2 2024","FQ2 2024","Currency=USD","Period=FQ","BEST_FPERIOD_OVERRIDE=FQ","FILING_STATUS=MR","Sort=A","Dates=H","DateFormat=P","Fill=—","Direction=H","UseDPDF=Y")</f>
        <v>137.66999999999999</v>
      </c>
      <c r="W51" s="20">
        <f>_xll.BDH("NBIX US Equity","PX_LAST","FQ3 2024","FQ3 2024","Currency=USD","Period=FQ","BEST_FPERIOD_OVERRIDE=FQ","FILING_STATUS=MR","Sort=A","Dates=H","DateFormat=P","Fill=—","Direction=H","UseDPDF=Y")</f>
        <v>115.22</v>
      </c>
      <c r="X51" s="20">
        <f>_xll.BDH("NBIX US Equity","PX_LAST","FQ4 2024","FQ4 2024","Currency=USD","Period=FQ","BEST_FPERIOD_OVERRIDE=FQ","FILING_STATUS=MR","Sort=A","Dates=H","DateFormat=P","Fill=—","Direction=H","UseDPDF=Y")</f>
        <v>136.5</v>
      </c>
      <c r="Y51" s="23">
        <v>113.05999755859401</v>
      </c>
      <c r="Z51" s="20"/>
      <c r="AA51" s="20"/>
    </row>
    <row r="52" spans="1:27" x14ac:dyDescent="0.25">
      <c r="A52" s="10" t="s">
        <v>211</v>
      </c>
      <c r="B52" s="10" t="s">
        <v>251</v>
      </c>
      <c r="C52" s="14">
        <f>_xll.BDH("NBIX US Equity","PX_HIGH","FQ3 2019","FQ3 2019","Currency=USD","Period=FQ","BEST_FPERIOD_OVERRIDE=FQ","FILING_STATUS=MR","Sort=A","Dates=H","DateFormat=P","Fill=—","Direction=H","UseDPDF=Y")</f>
        <v>102.505</v>
      </c>
      <c r="D52" s="14">
        <f>_xll.BDH("NBIX US Equity","PX_HIGH","FQ4 2019","FQ4 2019","Currency=USD","Period=FQ","BEST_FPERIOD_OVERRIDE=FQ","FILING_STATUS=MR","Sort=A","Dates=H","DateFormat=P","Fill=—","Direction=H","UseDPDF=Y")</f>
        <v>119.65</v>
      </c>
      <c r="E52" s="14">
        <f>_xll.BDH("NBIX US Equity","PX_HIGH","FQ1 2020","FQ1 2020","Currency=USD","Period=FQ","BEST_FPERIOD_OVERRIDE=FQ","FILING_STATUS=MR","Sort=A","Dates=H","DateFormat=P","Fill=—","Direction=H","UseDPDF=Y")</f>
        <v>115.235</v>
      </c>
      <c r="F52" s="14">
        <f>_xll.BDH("NBIX US Equity","PX_HIGH","FQ2 2020","FQ2 2020","Currency=USD","Period=FQ","BEST_FPERIOD_OVERRIDE=FQ","FILING_STATUS=MR","Sort=A","Dates=H","DateFormat=P","Fill=—","Direction=H","UseDPDF=Y")</f>
        <v>131</v>
      </c>
      <c r="G52" s="14">
        <f>_xll.BDH("NBIX US Equity","PX_HIGH","FQ3 2020","FQ3 2020","Currency=USD","Period=FQ","BEST_FPERIOD_OVERRIDE=FQ","FILING_STATUS=MR","Sort=A","Dates=H","DateFormat=P","Fill=—","Direction=H","UseDPDF=Y")</f>
        <v>136.26499999999999</v>
      </c>
      <c r="H52" s="14">
        <f>_xll.BDH("NBIX US Equity","PX_HIGH","FQ4 2020","FQ4 2020","Currency=USD","Period=FQ","BEST_FPERIOD_OVERRIDE=FQ","FILING_STATUS=MR","Sort=A","Dates=H","DateFormat=P","Fill=—","Direction=H","UseDPDF=Y")</f>
        <v>108.93</v>
      </c>
      <c r="I52" s="14">
        <f>_xll.BDH("NBIX US Equity","PX_HIGH","FQ1 2021","FQ1 2021","Currency=USD","Period=FQ","BEST_FPERIOD_OVERRIDE=FQ","FILING_STATUS=MR","Sort=A","Dates=H","DateFormat=P","Fill=—","Direction=H","UseDPDF=Y")</f>
        <v>120.27</v>
      </c>
      <c r="J52" s="14">
        <f>_xll.BDH("NBIX US Equity","PX_HIGH","FQ2 2021","FQ2 2021","Currency=USD","Period=FQ","BEST_FPERIOD_OVERRIDE=FQ","FILING_STATUS=MR","Sort=A","Dates=H","DateFormat=P","Fill=—","Direction=H","UseDPDF=Y")</f>
        <v>103.72</v>
      </c>
      <c r="K52" s="14">
        <f>_xll.BDH("NBIX US Equity","PX_HIGH","FQ3 2021","FQ3 2021","Currency=USD","Period=FQ","BEST_FPERIOD_OVERRIDE=FQ","FILING_STATUS=MR","Sort=A","Dates=H","DateFormat=P","Fill=—","Direction=H","UseDPDF=Y")</f>
        <v>101.43</v>
      </c>
      <c r="L52" s="14">
        <f>_xll.BDH("NBIX US Equity","PX_HIGH","FQ4 2021","FQ4 2021","Currency=USD","Period=FQ","BEST_FPERIOD_OVERRIDE=FQ","FILING_STATUS=MR","Sort=A","Dates=H","DateFormat=P","Fill=—","Direction=H","UseDPDF=Y")</f>
        <v>108.015</v>
      </c>
      <c r="M52" s="14">
        <f>_xll.BDH("NBIX US Equity","PX_HIGH","FQ1 2022","FQ1 2022","Currency=USD","Period=FQ","BEST_FPERIOD_OVERRIDE=FQ","FILING_STATUS=MR","Sort=A","Dates=H","DateFormat=P","Fill=—","Direction=H","UseDPDF=Y")</f>
        <v>95.87</v>
      </c>
      <c r="N52" s="14">
        <f>_xll.BDH("NBIX US Equity","PX_HIGH","FQ2 2022","FQ2 2022","Currency=USD","Period=FQ","BEST_FPERIOD_OVERRIDE=FQ","FILING_STATUS=MR","Sort=A","Dates=H","DateFormat=P","Fill=—","Direction=H","UseDPDF=Y")</f>
        <v>100.73</v>
      </c>
      <c r="O52" s="14">
        <f>_xll.BDH("NBIX US Equity","PX_HIGH","FQ3 2022","FQ3 2022","Currency=USD","Period=FQ","BEST_FPERIOD_OVERRIDE=FQ","FILING_STATUS=MR","Sort=A","Dates=H","DateFormat=P","Fill=—","Direction=H","UseDPDF=Y")</f>
        <v>109.26</v>
      </c>
      <c r="P52" s="14">
        <f>_xll.BDH("NBIX US Equity","PX_HIGH","FQ4 2022","FQ4 2022","Currency=USD","Period=FQ","BEST_FPERIOD_OVERRIDE=FQ","FILING_STATUS=MR","Sort=A","Dates=H","DateFormat=P","Fill=—","Direction=H","UseDPDF=Y")</f>
        <v>129.29</v>
      </c>
      <c r="Q52" s="14">
        <f>_xll.BDH("NBIX US Equity","PX_HIGH","FQ1 2023","FQ1 2023","Currency=USD","Period=FQ","BEST_FPERIOD_OVERRIDE=FQ","FILING_STATUS=MR","Sort=A","Dates=H","DateFormat=P","Fill=—","Direction=H","UseDPDF=Y")</f>
        <v>125.015</v>
      </c>
      <c r="R52" s="14">
        <f>_xll.BDH("NBIX US Equity","PX_HIGH","FQ2 2023","FQ2 2023","Currency=USD","Period=FQ","BEST_FPERIOD_OVERRIDE=FQ","FILING_STATUS=MR","Sort=A","Dates=H","DateFormat=P","Fill=—","Direction=H","UseDPDF=Y")</f>
        <v>107.98</v>
      </c>
      <c r="S52" s="14">
        <f>_xll.BDH("NBIX US Equity","PX_HIGH","FQ3 2023","FQ3 2023","Currency=USD","Period=FQ","BEST_FPERIOD_OVERRIDE=FQ","FILING_STATUS=MR","Sort=A","Dates=H","DateFormat=P","Fill=—","Direction=H","UseDPDF=Y")</f>
        <v>119.29</v>
      </c>
      <c r="T52" s="14">
        <f>_xll.BDH("NBIX US Equity","PX_HIGH","FQ4 2023","FQ4 2023","Currency=USD","Period=FQ","BEST_FPERIOD_OVERRIDE=FQ","FILING_STATUS=MR","Sort=A","Dates=H","DateFormat=P","Fill=—","Direction=H","UseDPDF=Y")</f>
        <v>133.63499999999999</v>
      </c>
      <c r="U52" s="14">
        <f>_xll.BDH("NBIX US Equity","PX_HIGH","FQ1 2024","FQ1 2024","Currency=USD","Period=FQ","BEST_FPERIOD_OVERRIDE=FQ","FILING_STATUS=MR","Sort=A","Dates=H","DateFormat=P","Fill=—","Direction=H","UseDPDF=Y")</f>
        <v>148.3699</v>
      </c>
      <c r="V52" s="14">
        <f>_xll.BDH("NBIX US Equity","PX_HIGH","FQ2 2024","FQ2 2024","Currency=USD","Period=FQ","BEST_FPERIOD_OVERRIDE=FQ","FILING_STATUS=MR","Sort=A","Dates=H","DateFormat=P","Fill=—","Direction=H","UseDPDF=Y")</f>
        <v>145.78</v>
      </c>
      <c r="W52" s="14">
        <f>_xll.BDH("NBIX US Equity","PX_HIGH","FQ3 2024","FQ3 2024","Currency=USD","Period=FQ","BEST_FPERIOD_OVERRIDE=FQ","FILING_STATUS=MR","Sort=A","Dates=H","DateFormat=P","Fill=—","Direction=H","UseDPDF=Y")</f>
        <v>157.97989999999999</v>
      </c>
      <c r="X52" s="14">
        <f>_xll.BDH("NBIX US Equity","PX_HIGH","FQ4 2024","FQ4 2024","Currency=USD","Period=FQ","BEST_FPERIOD_OVERRIDE=FQ","FILING_STATUS=MR","Sort=A","Dates=H","DateFormat=P","Fill=—","Direction=H","UseDPDF=Y")</f>
        <v>140</v>
      </c>
      <c r="Y52" s="17">
        <v>114.425003051758</v>
      </c>
      <c r="Z52" s="14"/>
      <c r="AA52" s="14"/>
    </row>
    <row r="53" spans="1:27" x14ac:dyDescent="0.25">
      <c r="A53" s="10" t="s">
        <v>213</v>
      </c>
      <c r="B53" s="10" t="s">
        <v>252</v>
      </c>
      <c r="C53" s="14">
        <f>_xll.BDH("NBIX US Equity","PX_LOW","FQ3 2019","FQ3 2019","Currency=USD","Period=FQ","BEST_FPERIOD_OVERRIDE=FQ","FILING_STATUS=MR","Sort=A","Dates=H","DateFormat=P","Fill=—","Direction=H","UseDPDF=Y")</f>
        <v>83.19</v>
      </c>
      <c r="D53" s="14">
        <f>_xll.BDH("NBIX US Equity","PX_LOW","FQ4 2019","FQ4 2019","Currency=USD","Period=FQ","BEST_FPERIOD_OVERRIDE=FQ","FILING_STATUS=MR","Sort=A","Dates=H","DateFormat=P","Fill=—","Direction=H","UseDPDF=Y")</f>
        <v>84.674999999999997</v>
      </c>
      <c r="E53" s="14">
        <f>_xll.BDH("NBIX US Equity","PX_LOW","FQ1 2020","FQ1 2020","Currency=USD","Period=FQ","BEST_FPERIOD_OVERRIDE=FQ","FILING_STATUS=MR","Sort=A","Dates=H","DateFormat=P","Fill=—","Direction=H","UseDPDF=Y")</f>
        <v>72.14</v>
      </c>
      <c r="F53" s="14">
        <f>_xll.BDH("NBIX US Equity","PX_LOW","FQ2 2020","FQ2 2020","Currency=USD","Period=FQ","BEST_FPERIOD_OVERRIDE=FQ","FILING_STATUS=MR","Sort=A","Dates=H","DateFormat=P","Fill=—","Direction=H","UseDPDF=Y")</f>
        <v>82.51</v>
      </c>
      <c r="G53" s="14">
        <f>_xll.BDH("NBIX US Equity","PX_LOW","FQ3 2020","FQ3 2020","Currency=USD","Period=FQ","BEST_FPERIOD_OVERRIDE=FQ","FILING_STATUS=MR","Sort=A","Dates=H","DateFormat=P","Fill=—","Direction=H","UseDPDF=Y")</f>
        <v>95.42</v>
      </c>
      <c r="H53" s="14">
        <f>_xll.BDH("NBIX US Equity","PX_LOW","FQ4 2020","FQ4 2020","Currency=USD","Period=FQ","BEST_FPERIOD_OVERRIDE=FQ","FILING_STATUS=MR","Sort=A","Dates=H","DateFormat=P","Fill=—","Direction=H","UseDPDF=Y")</f>
        <v>86.02</v>
      </c>
      <c r="I53" s="14">
        <f>_xll.BDH("NBIX US Equity","PX_LOW","FQ1 2021","FQ1 2021","Currency=USD","Period=FQ","BEST_FPERIOD_OVERRIDE=FQ","FILING_STATUS=MR","Sort=A","Dates=H","DateFormat=P","Fill=—","Direction=H","UseDPDF=Y")</f>
        <v>87.37</v>
      </c>
      <c r="J53" s="14">
        <f>_xll.BDH("NBIX US Equity","PX_LOW","FQ2 2021","FQ2 2021","Currency=USD","Period=FQ","BEST_FPERIOD_OVERRIDE=FQ","FILING_STATUS=MR","Sort=A","Dates=H","DateFormat=P","Fill=—","Direction=H","UseDPDF=Y")</f>
        <v>87.19</v>
      </c>
      <c r="K53" s="14">
        <f>_xll.BDH("NBIX US Equity","PX_LOW","FQ3 2021","FQ3 2021","Currency=USD","Period=FQ","BEST_FPERIOD_OVERRIDE=FQ","FILING_STATUS=MR","Sort=A","Dates=H","DateFormat=P","Fill=—","Direction=H","UseDPDF=Y")</f>
        <v>84.77</v>
      </c>
      <c r="L53" s="14">
        <f>_xll.BDH("NBIX US Equity","PX_LOW","FQ4 2021","FQ4 2021","Currency=USD","Period=FQ","BEST_FPERIOD_OVERRIDE=FQ","FILING_STATUS=MR","Sort=A","Dates=H","DateFormat=P","Fill=—","Direction=H","UseDPDF=Y")</f>
        <v>78.31</v>
      </c>
      <c r="M53" s="14">
        <f>_xll.BDH("NBIX US Equity","PX_LOW","FQ1 2022","FQ1 2022","Currency=USD","Period=FQ","BEST_FPERIOD_OVERRIDE=FQ","FILING_STATUS=MR","Sort=A","Dates=H","DateFormat=P","Fill=—","Direction=H","UseDPDF=Y")</f>
        <v>71.875</v>
      </c>
      <c r="N53" s="14">
        <f>_xll.BDH("NBIX US Equity","PX_LOW","FQ2 2022","FQ2 2022","Currency=USD","Period=FQ","BEST_FPERIOD_OVERRIDE=FQ","FILING_STATUS=MR","Sort=A","Dates=H","DateFormat=P","Fill=—","Direction=H","UseDPDF=Y")</f>
        <v>75.25</v>
      </c>
      <c r="O53" s="14">
        <f>_xll.BDH("NBIX US Equity","PX_LOW","FQ3 2022","FQ3 2022","Currency=USD","Period=FQ","BEST_FPERIOD_OVERRIDE=FQ","FILING_STATUS=MR","Sort=A","Dates=H","DateFormat=P","Fill=—","Direction=H","UseDPDF=Y")</f>
        <v>91.53</v>
      </c>
      <c r="P53" s="14">
        <f>_xll.BDH("NBIX US Equity","PX_LOW","FQ4 2022","FQ4 2022","Currency=USD","Period=FQ","BEST_FPERIOD_OVERRIDE=FQ","FILING_STATUS=MR","Sort=A","Dates=H","DateFormat=P","Fill=—","Direction=H","UseDPDF=Y")</f>
        <v>105.14</v>
      </c>
      <c r="Q53" s="14">
        <f>_xll.BDH("NBIX US Equity","PX_LOW","FQ1 2023","FQ1 2023","Currency=USD","Period=FQ","BEST_FPERIOD_OVERRIDE=FQ","FILING_STATUS=MR","Sort=A","Dates=H","DateFormat=P","Fill=—","Direction=H","UseDPDF=Y")</f>
        <v>92.89</v>
      </c>
      <c r="R53" s="14">
        <f>_xll.BDH("NBIX US Equity","PX_LOW","FQ2 2023","FQ2 2023","Currency=USD","Period=FQ","BEST_FPERIOD_OVERRIDE=FQ","FILING_STATUS=MR","Sort=A","Dates=H","DateFormat=P","Fill=—","Direction=H","UseDPDF=Y")</f>
        <v>89.04</v>
      </c>
      <c r="S53" s="14">
        <f>_xll.BDH("NBIX US Equity","PX_LOW","FQ3 2023","FQ3 2023","Currency=USD","Period=FQ","BEST_FPERIOD_OVERRIDE=FQ","FILING_STATUS=MR","Sort=A","Dates=H","DateFormat=P","Fill=—","Direction=H","UseDPDF=Y")</f>
        <v>93.28</v>
      </c>
      <c r="T53" s="14">
        <f>_xll.BDH("NBIX US Equity","PX_LOW","FQ4 2023","FQ4 2023","Currency=USD","Period=FQ","BEST_FPERIOD_OVERRIDE=FQ","FILING_STATUS=MR","Sort=A","Dates=H","DateFormat=P","Fill=—","Direction=H","UseDPDF=Y")</f>
        <v>103.63</v>
      </c>
      <c r="U53" s="14">
        <f>_xll.BDH("NBIX US Equity","PX_LOW","FQ1 2024","FQ1 2024","Currency=USD","Period=FQ","BEST_FPERIOD_OVERRIDE=FQ","FILING_STATUS=MR","Sort=A","Dates=H","DateFormat=P","Fill=—","Direction=H","UseDPDF=Y")</f>
        <v>128</v>
      </c>
      <c r="V53" s="14">
        <f>_xll.BDH("NBIX US Equity","PX_LOW","FQ2 2024","FQ2 2024","Currency=USD","Period=FQ","BEST_FPERIOD_OVERRIDE=FQ","FILING_STATUS=MR","Sort=A","Dates=H","DateFormat=P","Fill=—","Direction=H","UseDPDF=Y")</f>
        <v>129.33000000000001</v>
      </c>
      <c r="W53" s="14">
        <f>_xll.BDH("NBIX US Equity","PX_LOW","FQ3 2024","FQ3 2024","Currency=USD","Period=FQ","BEST_FPERIOD_OVERRIDE=FQ","FILING_STATUS=MR","Sort=A","Dates=H","DateFormat=P","Fill=—","Direction=H","UseDPDF=Y")</f>
        <v>114.08</v>
      </c>
      <c r="X53" s="14">
        <f>_xll.BDH("NBIX US Equity","PX_LOW","FQ4 2024","FQ4 2024","Currency=USD","Period=FQ","BEST_FPERIOD_OVERRIDE=FQ","FILING_STATUS=MR","Sort=A","Dates=H","DateFormat=P","Fill=—","Direction=H","UseDPDF=Y")</f>
        <v>110.95</v>
      </c>
      <c r="Y53" s="17">
        <v>112.15000152587901</v>
      </c>
      <c r="Z53" s="14"/>
      <c r="AA53" s="14"/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21"/>
      <c r="Z54" s="18"/>
      <c r="AA54" s="18"/>
    </row>
    <row r="55" spans="1:27" x14ac:dyDescent="0.25">
      <c r="A55" s="6" t="s">
        <v>68</v>
      </c>
      <c r="B55" s="6" t="s">
        <v>69</v>
      </c>
      <c r="C55" s="19">
        <f>_xll.BDH("NBIX US Equity","ENTERPRISE_VALUE","FQ3 2019","FQ3 2019","Currency=USD","Period=FQ","BEST_FPERIOD_OVERRIDE=FQ","FILING_STATUS=MR","SCALING_FORMAT=MLN","Sort=A","Dates=H","DateFormat=P","Fill=—","Direction=H","UseDPDF=Y")</f>
        <v>8113.3968000000004</v>
      </c>
      <c r="D55" s="19">
        <f>_xll.BDH("NBIX US Equity","ENTERPRISE_VALUE","FQ4 2019","FQ4 2019","Currency=USD","Period=FQ","BEST_FPERIOD_OVERRIDE=FQ","FILING_STATUS=MR","SCALING_FORMAT=MLN","Sort=A","Dates=H","DateFormat=P","Fill=—","Direction=H","UseDPDF=Y")</f>
        <v>9754.6090000000004</v>
      </c>
      <c r="E55" s="19">
        <f>_xll.BDH("NBIX US Equity","ENTERPRISE_VALUE","FQ1 2020","FQ1 2020","Currency=USD","Period=FQ","BEST_FPERIOD_OVERRIDE=FQ","FILING_STATUS=MR","SCALING_FORMAT=MLN","Sort=A","Dates=H","DateFormat=P","Fill=—","Direction=H","UseDPDF=Y")</f>
        <v>7768.64</v>
      </c>
      <c r="F55" s="19">
        <f>_xll.BDH("NBIX US Equity","ENTERPRISE_VALUE","FQ2 2020","FQ2 2020","Currency=USD","Period=FQ","BEST_FPERIOD_OVERRIDE=FQ","FILING_STATUS=MR","SCALING_FORMAT=MLN","Sort=A","Dates=H","DateFormat=P","Fill=—","Direction=H","UseDPDF=Y")</f>
        <v>10935.1</v>
      </c>
      <c r="G55" s="19">
        <f>_xll.BDH("NBIX US Equity","ENTERPRISE_VALUE","FQ3 2020","FQ3 2020","Currency=USD","Period=FQ","BEST_FPERIOD_OVERRIDE=FQ","FILING_STATUS=MR","SCALING_FORMAT=MLN","Sort=A","Dates=H","DateFormat=P","Fill=—","Direction=H","UseDPDF=Y")</f>
        <v>8554.3439999999991</v>
      </c>
      <c r="H55" s="19">
        <f>_xll.BDH("NBIX US Equity","ENTERPRISE_VALUE","FQ4 2020","FQ4 2020","Currency=USD","Period=FQ","BEST_FPERIOD_OVERRIDE=FQ","FILING_STATUS=MR","SCALING_FORMAT=MLN","Sort=A","Dates=H","DateFormat=P","Fill=—","Direction=H","UseDPDF=Y")</f>
        <v>8583.5750000000007</v>
      </c>
      <c r="I55" s="19">
        <f>_xll.BDH("NBIX US Equity","ENTERPRISE_VALUE","FQ1 2021","FQ1 2021","Currency=USD","Period=FQ","BEST_FPERIOD_OVERRIDE=FQ","FILING_STATUS=MR","SCALING_FORMAT=MLN","Sort=A","Dates=H","DateFormat=P","Fill=—","Direction=H","UseDPDF=Y")</f>
        <v>8758.125</v>
      </c>
      <c r="J55" s="19">
        <f>_xll.BDH("NBIX US Equity","ENTERPRISE_VALUE","FQ2 2021","FQ2 2021","Currency=USD","Period=FQ","BEST_FPERIOD_OVERRIDE=FQ","FILING_STATUS=MR","SCALING_FORMAT=MLN","Sort=A","Dates=H","DateFormat=P","Fill=—","Direction=H","UseDPDF=Y")</f>
        <v>8771.8719999999994</v>
      </c>
      <c r="K55" s="19">
        <f>_xll.BDH("NBIX US Equity","ENTERPRISE_VALUE","FQ3 2021","FQ3 2021","Currency=USD","Period=FQ","BEST_FPERIOD_OVERRIDE=FQ","FILING_STATUS=MR","SCALING_FORMAT=MLN","Sort=A","Dates=H","DateFormat=P","Fill=—","Direction=H","UseDPDF=Y")</f>
        <v>8778.9680000000008</v>
      </c>
      <c r="L55" s="19">
        <f>_xll.BDH("NBIX US Equity","ENTERPRISE_VALUE","FQ4 2021","FQ4 2021","Currency=USD","Period=FQ","BEST_FPERIOD_OVERRIDE=FQ","FILING_STATUS=MR","SCALING_FORMAT=MLN","Sort=A","Dates=H","DateFormat=P","Fill=—","Direction=H","UseDPDF=Y")</f>
        <v>7828.2330000000002</v>
      </c>
      <c r="M55" s="19">
        <f>_xll.BDH("NBIX US Equity","ENTERPRISE_VALUE","FQ1 2022","FQ1 2022","Currency=USD","Period=FQ","BEST_FPERIOD_OVERRIDE=FQ","FILING_STATUS=MR","SCALING_FORMAT=MLN","Sort=A","Dates=H","DateFormat=P","Fill=—","Direction=H","UseDPDF=Y")</f>
        <v>8785.3250000000007</v>
      </c>
      <c r="N55" s="19">
        <f>_xll.BDH("NBIX US Equity","ENTERPRISE_VALUE","FQ2 2022","FQ2 2022","Currency=USD","Period=FQ","BEST_FPERIOD_OVERRIDE=FQ","FILING_STATUS=MR","SCALING_FORMAT=MLN","Sort=A","Dates=H","DateFormat=P","Fill=—","Direction=H","UseDPDF=Y")</f>
        <v>8956.4879999999994</v>
      </c>
      <c r="O55" s="19">
        <f>_xll.BDH("NBIX US Equity","ENTERPRISE_VALUE","FQ3 2022","FQ3 2022","Currency=USD","Period=FQ","BEST_FPERIOD_OVERRIDE=FQ","FILING_STATUS=MR","SCALING_FORMAT=MLN","Sort=A","Dates=H","DateFormat=P","Fill=—","Direction=H","UseDPDF=Y")</f>
        <v>9690.4809999999998</v>
      </c>
      <c r="P55" s="19">
        <f>_xll.BDH("NBIX US Equity","ENTERPRISE_VALUE","FQ4 2022","FQ4 2022","Currency=USD","Period=FQ","BEST_FPERIOD_OVERRIDE=FQ","FILING_STATUS=MR","SCALING_FORMAT=MLN","Sort=A","Dates=H","DateFormat=P","Fill=—","Direction=H","UseDPDF=Y")</f>
        <v>10799.56</v>
      </c>
      <c r="Q55" s="19">
        <f>_xll.BDH("NBIX US Equity","ENTERPRISE_VALUE","FQ1 2023","FQ1 2023","Currency=USD","Period=FQ","BEST_FPERIOD_OVERRIDE=FQ","FILING_STATUS=MR","SCALING_FORMAT=MLN","Sort=A","Dates=H","DateFormat=P","Fill=—","Direction=H","UseDPDF=Y")</f>
        <v>9234.25</v>
      </c>
      <c r="R55" s="19">
        <f>_xll.BDH("NBIX US Equity","ENTERPRISE_VALUE","FQ2 2023","FQ2 2023","Currency=USD","Period=FQ","BEST_FPERIOD_OVERRIDE=FQ","FILING_STATUS=MR","SCALING_FORMAT=MLN","Sort=A","Dates=H","DateFormat=P","Fill=—","Direction=H","UseDPDF=Y")</f>
        <v>8503.48</v>
      </c>
      <c r="S55" s="19">
        <f>_xll.BDH("NBIX US Equity","ENTERPRISE_VALUE","FQ3 2023","FQ3 2023","Currency=USD","Period=FQ","BEST_FPERIOD_OVERRIDE=FQ","FILING_STATUS=MR","SCALING_FORMAT=MLN","Sort=A","Dates=H","DateFormat=P","Fill=—","Direction=H","UseDPDF=Y")</f>
        <v>10226</v>
      </c>
      <c r="T55" s="19">
        <f>_xll.BDH("NBIX US Equity","ENTERPRISE_VALUE","FQ4 2023","FQ4 2023","Currency=USD","Period=FQ","BEST_FPERIOD_OVERRIDE=FQ","FILING_STATUS=MR","SCALING_FORMAT=MLN","Sort=A","Dates=H","DateFormat=P","Fill=—","Direction=H","UseDPDF=Y")</f>
        <v>12433.512000000001</v>
      </c>
      <c r="U55" s="19">
        <f>_xll.BDH("NBIX US Equity","ENTERPRISE_VALUE","FQ1 2024","FQ1 2024","Currency=USD","Period=FQ","BEST_FPERIOD_OVERRIDE=FQ","FILING_STATUS=MR","SCALING_FORMAT=MLN","Sort=A","Dates=H","DateFormat=P","Fill=—","Direction=H","UseDPDF=Y")</f>
        <v>13074.852000000001</v>
      </c>
      <c r="V55" s="19">
        <f>_xll.BDH("NBIX US Equity","ENTERPRISE_VALUE","FQ2 2024","FQ2 2024","Currency=USD","Period=FQ","BEST_FPERIOD_OVERRIDE=FQ","FILING_STATUS=MR","SCALING_FORMAT=MLN","Sort=A","Dates=H","DateFormat=P","Fill=—","Direction=H","UseDPDF=Y")</f>
        <v>13143.602999999999</v>
      </c>
      <c r="W55" s="19">
        <f>_xll.BDH("NBIX US Equity","ENTERPRISE_VALUE","FQ3 2024","FQ3 2024","Currency=USD","Period=FQ","BEST_FPERIOD_OVERRIDE=FQ","FILING_STATUS=MR","SCALING_FORMAT=MLN","Sort=A","Dates=H","DateFormat=P","Fill=—","Direction=H","UseDPDF=Y")</f>
        <v>10718.464</v>
      </c>
      <c r="X55" s="19">
        <f>_xll.BDH("NBIX US Equity","ENTERPRISE_VALUE","FQ4 2024","FQ4 2024","Currency=USD","Period=FQ","BEST_FPERIOD_OVERRIDE=FQ","FILING_STATUS=MR","SCALING_FORMAT=MLN","Sort=A","Dates=H","DateFormat=P","Fill=—","Direction=H","UseDPDF=Y")</f>
        <v>12987.7</v>
      </c>
      <c r="Y55" s="22">
        <v>10692.08076262</v>
      </c>
      <c r="Z55" s="19"/>
      <c r="AA55" s="19"/>
    </row>
    <row r="56" spans="1:27" x14ac:dyDescent="0.25">
      <c r="A56" s="10" t="s">
        <v>209</v>
      </c>
      <c r="B56" s="10" t="s">
        <v>253</v>
      </c>
      <c r="C56" s="13">
        <f>_xll.BDH("NBIX US Equity","AVERAGE_ENTERPRISE_VALUE","FQ3 2019","FQ3 2019","Currency=USD","Period=FQ","BEST_FPERIOD_OVERRIDE=FQ","FILING_STATUS=MR","SCALING_FORMAT=MLN","Sort=A","Dates=H","DateFormat=P","Fill=—","Direction=H","UseDPDF=Y")</f>
        <v>8396.4063000000006</v>
      </c>
      <c r="D56" s="13">
        <f>_xll.BDH("NBIX US Equity","AVERAGE_ENTERPRISE_VALUE","FQ4 2019","FQ4 2019","Currency=USD","Period=FQ","BEST_FPERIOD_OVERRIDE=FQ","FILING_STATUS=MR","SCALING_FORMAT=MLN","Sort=A","Dates=H","DateFormat=P","Fill=—","Direction=H","UseDPDF=Y")</f>
        <v>9440.5360999999994</v>
      </c>
      <c r="E56" s="13">
        <f>_xll.BDH("NBIX US Equity","AVERAGE_ENTERPRISE_VALUE","FQ1 2020","FQ1 2020","Currency=USD","Period=FQ","BEST_FPERIOD_OVERRIDE=FQ","FILING_STATUS=MR","SCALING_FORMAT=MLN","Sort=A","Dates=H","DateFormat=P","Fill=—","Direction=H","UseDPDF=Y")</f>
        <v>8855.5292000000009</v>
      </c>
      <c r="F56" s="13">
        <f>_xll.BDH("NBIX US Equity","AVERAGE_ENTERPRISE_VALUE","FQ2 2020","FQ2 2020","Currency=USD","Period=FQ","BEST_FPERIOD_OVERRIDE=FQ","FILING_STATUS=MR","SCALING_FORMAT=MLN","Sort=A","Dates=H","DateFormat=P","Fill=—","Direction=H","UseDPDF=Y")</f>
        <v>9989.1818999999996</v>
      </c>
      <c r="G56" s="13">
        <f>_xll.BDH("NBIX US Equity","AVERAGE_ENTERPRISE_VALUE","FQ3 2020","FQ3 2020","Currency=USD","Period=FQ","BEST_FPERIOD_OVERRIDE=FQ","FILING_STATUS=MR","SCALING_FORMAT=MLN","Sort=A","Dates=H","DateFormat=P","Fill=—","Direction=H","UseDPDF=Y")</f>
        <v>10335.021500000001</v>
      </c>
      <c r="H56" s="13">
        <f>_xll.BDH("NBIX US Equity","AVERAGE_ENTERPRISE_VALUE","FQ4 2020","FQ4 2020","Currency=USD","Period=FQ","BEST_FPERIOD_OVERRIDE=FQ","FILING_STATUS=MR","SCALING_FORMAT=MLN","Sort=A","Dates=H","DateFormat=P","Fill=—","Direction=H","UseDPDF=Y")</f>
        <v>8590.3953999999994</v>
      </c>
      <c r="I56" s="13">
        <f>_xll.BDH("NBIX US Equity","AVERAGE_ENTERPRISE_VALUE","FQ1 2021","FQ1 2021","Currency=USD","Period=FQ","BEST_FPERIOD_OVERRIDE=FQ","FILING_STATUS=MR","SCALING_FORMAT=MLN","Sort=A","Dates=H","DateFormat=P","Fill=—","Direction=H","UseDPDF=Y")</f>
        <v>9450.5856999999996</v>
      </c>
      <c r="J56" s="13">
        <f>_xll.BDH("NBIX US Equity","AVERAGE_ENTERPRISE_VALUE","FQ2 2021","FQ2 2021","Currency=USD","Period=FQ","BEST_FPERIOD_OVERRIDE=FQ","FILING_STATUS=MR","SCALING_FORMAT=MLN","Sort=A","Dates=H","DateFormat=P","Fill=—","Direction=H","UseDPDF=Y")</f>
        <v>8625.2482999999993</v>
      </c>
      <c r="K56" s="13">
        <f>_xll.BDH("NBIX US Equity","AVERAGE_ENTERPRISE_VALUE","FQ3 2021","FQ3 2021","Currency=USD","Period=FQ","BEST_FPERIOD_OVERRIDE=FQ","FILING_STATUS=MR","SCALING_FORMAT=MLN","Sort=A","Dates=H","DateFormat=P","Fill=—","Direction=H","UseDPDF=Y")</f>
        <v>8503.9807000000001</v>
      </c>
      <c r="L56" s="13">
        <f>_xll.BDH("NBIX US Equity","AVERAGE_ENTERPRISE_VALUE","FQ4 2021","FQ4 2021","Currency=USD","Period=FQ","BEST_FPERIOD_OVERRIDE=FQ","FILING_STATUS=MR","SCALING_FORMAT=MLN","Sort=A","Dates=H","DateFormat=P","Fill=—","Direction=H","UseDPDF=Y")</f>
        <v>8406.7275000000009</v>
      </c>
      <c r="M56" s="13">
        <f>_xll.BDH("NBIX US Equity","AVERAGE_ENTERPRISE_VALUE","FQ1 2022","FQ1 2022","Currency=USD","Period=FQ","BEST_FPERIOD_OVERRIDE=FQ","FILING_STATUS=MR","SCALING_FORMAT=MLN","Sort=A","Dates=H","DateFormat=P","Fill=—","Direction=H","UseDPDF=Y")</f>
        <v>7805.4521000000004</v>
      </c>
      <c r="N56" s="13">
        <f>_xll.BDH("NBIX US Equity","AVERAGE_ENTERPRISE_VALUE","FQ2 2022","FQ2 2022","Currency=USD","Period=FQ","BEST_FPERIOD_OVERRIDE=FQ","FILING_STATUS=MR","SCALING_FORMAT=MLN","Sort=A","Dates=H","DateFormat=P","Fill=—","Direction=H","UseDPDF=Y")</f>
        <v>8646.2841000000008</v>
      </c>
      <c r="O56" s="13">
        <f>_xll.BDH("NBIX US Equity","AVERAGE_ENTERPRISE_VALUE","FQ3 2022","FQ3 2022","Currency=USD","Period=FQ","BEST_FPERIOD_OVERRIDE=FQ","FILING_STATUS=MR","SCALING_FORMAT=MLN","Sort=A","Dates=H","DateFormat=P","Fill=—","Direction=H","UseDPDF=Y")</f>
        <v>9336.8801999999996</v>
      </c>
      <c r="P56" s="13">
        <f>_xll.BDH("NBIX US Equity","AVERAGE_ENTERPRISE_VALUE","FQ4 2022","FQ4 2022","Currency=USD","Period=FQ","BEST_FPERIOD_OVERRIDE=FQ","FILING_STATUS=MR","SCALING_FORMAT=MLN","Sort=A","Dates=H","DateFormat=P","Fill=—","Direction=H","UseDPDF=Y")</f>
        <v>10722.164500000001</v>
      </c>
      <c r="Q56" s="13">
        <f>_xll.BDH("NBIX US Equity","AVERAGE_ENTERPRISE_VALUE","FQ1 2023","FQ1 2023","Currency=USD","Period=FQ","BEST_FPERIOD_OVERRIDE=FQ","FILING_STATUS=MR","SCALING_FORMAT=MLN","Sort=A","Dates=H","DateFormat=P","Fill=—","Direction=H","UseDPDF=Y")</f>
        <v>9305.0134999999991</v>
      </c>
      <c r="R56" s="13">
        <f>_xll.BDH("NBIX US Equity","AVERAGE_ENTERPRISE_VALUE","FQ2 2023","FQ2 2023","Currency=USD","Period=FQ","BEST_FPERIOD_OVERRIDE=FQ","FILING_STATUS=MR","SCALING_FORMAT=MLN","Sort=A","Dates=H","DateFormat=P","Fill=—","Direction=H","UseDPDF=Y")</f>
        <v>8893.2993000000006</v>
      </c>
      <c r="S56" s="13">
        <f>_xll.BDH("NBIX US Equity","AVERAGE_ENTERPRISE_VALUE","FQ3 2023","FQ3 2023","Currency=USD","Period=FQ","BEST_FPERIOD_OVERRIDE=FQ","FILING_STATUS=MR","SCALING_FORMAT=MLN","Sort=A","Dates=H","DateFormat=P","Fill=—","Direction=H","UseDPDF=Y")</f>
        <v>9578.4246000000003</v>
      </c>
      <c r="T56" s="13">
        <f>_xll.BDH("NBIX US Equity","AVERAGE_ENTERPRISE_VALUE","FQ4 2023","FQ4 2023","Currency=USD","Period=FQ","BEST_FPERIOD_OVERRIDE=FQ","FILING_STATUS=MR","SCALING_FORMAT=MLN","Sort=A","Dates=H","DateFormat=P","Fill=—","Direction=H","UseDPDF=Y")</f>
        <v>10469.7024</v>
      </c>
      <c r="U56" s="13">
        <f>_xll.BDH("NBIX US Equity","AVERAGE_ENTERPRISE_VALUE","FQ1 2024","FQ1 2024","Currency=USD","Period=FQ","BEST_FPERIOD_OVERRIDE=FQ","FILING_STATUS=MR","SCALING_FORMAT=MLN","Sort=A","Dates=H","DateFormat=P","Fill=—","Direction=H","UseDPDF=Y")</f>
        <v>12938.661599999999</v>
      </c>
      <c r="V56" s="13">
        <f>_xll.BDH("NBIX US Equity","AVERAGE_ENTERPRISE_VALUE","FQ2 2024","FQ2 2024","Currency=USD","Period=FQ","BEST_FPERIOD_OVERRIDE=FQ","FILING_STATUS=MR","SCALING_FORMAT=MLN","Sort=A","Dates=H","DateFormat=P","Fill=—","Direction=H","UseDPDF=Y")</f>
        <v>12980.525600000001</v>
      </c>
      <c r="W56" s="13">
        <f>_xll.BDH("NBIX US Equity","AVERAGE_ENTERPRISE_VALUE","FQ3 2024","FQ3 2024","Currency=USD","Period=FQ","BEST_FPERIOD_OVERRIDE=FQ","FILING_STATUS=MR","SCALING_FORMAT=MLN","Sort=A","Dates=H","DateFormat=P","Fill=—","Direction=H","UseDPDF=Y")</f>
        <v>13075.765299999999</v>
      </c>
      <c r="X56" s="13">
        <f>_xll.BDH("NBIX US Equity","AVERAGE_ENTERPRISE_VALUE","FQ4 2024","FQ4 2024","Currency=USD","Period=FQ","BEST_FPERIOD_OVERRIDE=FQ","FILING_STATUS=MR","SCALING_FORMAT=MLN","Sort=A","Dates=H","DateFormat=P","Fill=—","Direction=H","UseDPDF=Y")</f>
        <v>11576.3199</v>
      </c>
      <c r="Y56" s="16"/>
      <c r="Z56" s="13"/>
      <c r="AA56" s="13"/>
    </row>
    <row r="57" spans="1:27" x14ac:dyDescent="0.25">
      <c r="A57" s="10" t="s">
        <v>211</v>
      </c>
      <c r="B57" s="10" t="s">
        <v>254</v>
      </c>
      <c r="C57" s="13">
        <f>_xll.BDH("NBIX US Equity","HIGH_ENTERPRISE_VALUE","FQ3 2019","FQ3 2019","Currency=USD","Period=FQ","BEST_FPERIOD_OVERRIDE=FQ","FILING_STATUS=MR","SCALING_FORMAT=MLN","Sort=A","Dates=H","DateFormat=P","Fill=—","Direction=H","UseDPDF=Y")</f>
        <v>9143.7312000000002</v>
      </c>
      <c r="D57" s="13">
        <f>_xll.BDH("NBIX US Equity","HIGH_ENTERPRISE_VALUE","FQ4 2019","FQ4 2019","Currency=USD","Period=FQ","BEST_FPERIOD_OVERRIDE=FQ","FILING_STATUS=MR","SCALING_FORMAT=MLN","Sort=A","Dates=H","DateFormat=P","Fill=—","Direction=H","UseDPDF=Y")</f>
        <v>10735.596799999999</v>
      </c>
      <c r="E57" s="13">
        <f>_xll.BDH("NBIX US Equity","HIGH_ENTERPRISE_VALUE","FQ1 2020","FQ1 2020","Currency=USD","Period=FQ","BEST_FPERIOD_OVERRIDE=FQ","FILING_STATUS=MR","SCALING_FORMAT=MLN","Sort=A","Dates=H","DateFormat=P","Fill=—","Direction=H","UseDPDF=Y")</f>
        <v>10309.840899999999</v>
      </c>
      <c r="F57" s="13">
        <f>_xll.BDH("NBIX US Equity","HIGH_ENTERPRISE_VALUE","FQ2 2020","FQ2 2020","Currency=USD","Period=FQ","BEST_FPERIOD_OVERRIDE=FQ","FILING_STATUS=MR","SCALING_FORMAT=MLN","Sort=A","Dates=H","DateFormat=P","Fill=—","Direction=H","UseDPDF=Y")</f>
        <v>11842.697200000001</v>
      </c>
      <c r="G57" s="13">
        <f>_xll.BDH("NBIX US Equity","HIGH_ENTERPRISE_VALUE","FQ3 2020","FQ3 2020","Currency=USD","Period=FQ","BEST_FPERIOD_OVERRIDE=FQ","FILING_STATUS=MR","SCALING_FORMAT=MLN","Sort=A","Dates=H","DateFormat=P","Fill=—","Direction=H","UseDPDF=Y")</f>
        <v>12115.4211</v>
      </c>
      <c r="H57" s="13">
        <f>_xll.BDH("NBIX US Equity","HIGH_ENTERPRISE_VALUE","FQ4 2020","FQ4 2020","Currency=USD","Period=FQ","BEST_FPERIOD_OVERRIDE=FQ","FILING_STATUS=MR","SCALING_FORMAT=MLN","Sort=A","Dates=H","DateFormat=P","Fill=—","Direction=H","UseDPDF=Y")</f>
        <v>9675.3003000000008</v>
      </c>
      <c r="I57" s="13">
        <f>_xll.BDH("NBIX US Equity","HIGH_ENTERPRISE_VALUE","FQ1 2021","FQ1 2021","Currency=USD","Period=FQ","BEST_FPERIOD_OVERRIDE=FQ","FILING_STATUS=MR","SCALING_FORMAT=MLN","Sort=A","Dates=H","DateFormat=P","Fill=—","Direction=H","UseDPDF=Y")</f>
        <v>10800.8938</v>
      </c>
      <c r="J57" s="13">
        <f>_xll.BDH("NBIX US Equity","HIGH_ENTERPRISE_VALUE","FQ2 2021","FQ2 2021","Currency=USD","Period=FQ","BEST_FPERIOD_OVERRIDE=FQ","FILING_STATUS=MR","SCALING_FORMAT=MLN","Sort=A","Dates=H","DateFormat=P","Fill=—","Direction=H","UseDPDF=Y")</f>
        <v>9237.2185000000009</v>
      </c>
      <c r="K57" s="13">
        <f>_xll.BDH("NBIX US Equity","HIGH_ENTERPRISE_VALUE","FQ3 2021","FQ3 2021","Currency=USD","Period=FQ","BEST_FPERIOD_OVERRIDE=FQ","FILING_STATUS=MR","SCALING_FORMAT=MLN","Sort=A","Dates=H","DateFormat=P","Fill=—","Direction=H","UseDPDF=Y")</f>
        <v>8928.2895000000008</v>
      </c>
      <c r="L57" s="13">
        <f>_xll.BDH("NBIX US Equity","HIGH_ENTERPRISE_VALUE","FQ4 2021","FQ4 2021","Currency=USD","Period=FQ","BEST_FPERIOD_OVERRIDE=FQ","FILING_STATUS=MR","SCALING_FORMAT=MLN","Sort=A","Dates=H","DateFormat=P","Fill=—","Direction=H","UseDPDF=Y")</f>
        <v>9763.4400999999998</v>
      </c>
      <c r="M57" s="13">
        <f>_xll.BDH("NBIX US Equity","HIGH_ENTERPRISE_VALUE","FQ1 2022","FQ1 2022","Currency=USD","Period=FQ","BEST_FPERIOD_OVERRIDE=FQ","FILING_STATUS=MR","SCALING_FORMAT=MLN","Sort=A","Dates=H","DateFormat=P","Fill=—","Direction=H","UseDPDF=Y")</f>
        <v>8775.5588000000007</v>
      </c>
      <c r="N57" s="13">
        <f>_xll.BDH("NBIX US Equity","HIGH_ENTERPRISE_VALUE","FQ2 2022","FQ2 2022","Currency=USD","Period=FQ","BEST_FPERIOD_OVERRIDE=FQ","FILING_STATUS=MR","SCALING_FORMAT=MLN","Sort=A","Dates=H","DateFormat=P","Fill=—","Direction=H","UseDPDF=Y")</f>
        <v>9389.8017</v>
      </c>
      <c r="O57" s="13">
        <f>_xll.BDH("NBIX US Equity","HIGH_ENTERPRISE_VALUE","FQ3 2022","FQ3 2022","Currency=USD","Period=FQ","BEST_FPERIOD_OVERRIDE=FQ","FILING_STATUS=MR","SCALING_FORMAT=MLN","Sort=A","Dates=H","DateFormat=P","Fill=—","Direction=H","UseDPDF=Y")</f>
        <v>9948.2752</v>
      </c>
      <c r="P57" s="13">
        <f>_xll.BDH("NBIX US Equity","HIGH_ENTERPRISE_VALUE","FQ4 2022","FQ4 2022","Currency=USD","Period=FQ","BEST_FPERIOD_OVERRIDE=FQ","FILING_STATUS=MR","SCALING_FORMAT=MLN","Sort=A","Dates=H","DateFormat=P","Fill=—","Direction=H","UseDPDF=Y")</f>
        <v>11698.5353</v>
      </c>
      <c r="Q57" s="13">
        <f>_xll.BDH("NBIX US Equity","HIGH_ENTERPRISE_VALUE","FQ1 2023","FQ1 2023","Currency=USD","Period=FQ","BEST_FPERIOD_OVERRIDE=FQ","FILING_STATUS=MR","SCALING_FORMAT=MLN","Sort=A","Dates=H","DateFormat=P","Fill=—","Direction=H","UseDPDF=Y")</f>
        <v>11100.0524</v>
      </c>
      <c r="R57" s="13">
        <f>_xll.BDH("NBIX US Equity","HIGH_ENTERPRISE_VALUE","FQ2 2023","FQ2 2023","Currency=USD","Period=FQ","BEST_FPERIOD_OVERRIDE=FQ","FILING_STATUS=MR","SCALING_FORMAT=MLN","Sort=A","Dates=H","DateFormat=P","Fill=—","Direction=H","UseDPDF=Y")</f>
        <v>9592.8140999999996</v>
      </c>
      <c r="S57" s="13">
        <f>_xll.BDH("NBIX US Equity","HIGH_ENTERPRISE_VALUE","FQ3 2023","FQ3 2023","Currency=USD","Period=FQ","BEST_FPERIOD_OVERRIDE=FQ","FILING_STATUS=MR","SCALING_FORMAT=MLN","Sort=A","Dates=H","DateFormat=P","Fill=—","Direction=H","UseDPDF=Y")</f>
        <v>10734.901900000001</v>
      </c>
      <c r="T57" s="13">
        <f>_xll.BDH("NBIX US Equity","HIGH_ENTERPRISE_VALUE","FQ4 2023","FQ4 2023","Currency=USD","Period=FQ","BEST_FPERIOD_OVERRIDE=FQ","FILING_STATUS=MR","SCALING_FORMAT=MLN","Sort=A","Dates=H","DateFormat=P","Fill=—","Direction=H","UseDPDF=Y")</f>
        <v>12374.473400000001</v>
      </c>
      <c r="U57" s="13">
        <f>_xll.BDH("NBIX US Equity","HIGH_ENTERPRISE_VALUE","FQ1 2024","FQ1 2024","Currency=USD","Period=FQ","BEST_FPERIOD_OVERRIDE=FQ","FILING_STATUS=MR","SCALING_FORMAT=MLN","Sort=A","Dates=H","DateFormat=P","Fill=—","Direction=H","UseDPDF=Y")</f>
        <v>13732.006600000001</v>
      </c>
      <c r="V57" s="13">
        <f>_xll.BDH("NBIX US Equity","HIGH_ENTERPRISE_VALUE","FQ2 2024","FQ2 2024","Currency=USD","Period=FQ","BEST_FPERIOD_OVERRIDE=FQ","FILING_STATUS=MR","SCALING_FORMAT=MLN","Sort=A","Dates=H","DateFormat=P","Fill=—","Direction=H","UseDPDF=Y")</f>
        <v>13610.344499999999</v>
      </c>
      <c r="W57" s="13">
        <f>_xll.BDH("NBIX US Equity","HIGH_ENTERPRISE_VALUE","FQ3 2024","FQ3 2024","Currency=USD","Period=FQ","BEST_FPERIOD_OVERRIDE=FQ","FILING_STATUS=MR","SCALING_FORMAT=MLN","Sort=A","Dates=H","DateFormat=P","Fill=—","Direction=H","UseDPDF=Y")</f>
        <v>14717.2125</v>
      </c>
      <c r="X57" s="13">
        <f>_xll.BDH("NBIX US Equity","HIGH_ENTERPRISE_VALUE","FQ4 2024","FQ4 2024","Currency=USD","Period=FQ","BEST_FPERIOD_OVERRIDE=FQ","FILING_STATUS=MR","SCALING_FORMAT=MLN","Sort=A","Dates=H","DateFormat=P","Fill=—","Direction=H","UseDPDF=Y")</f>
        <v>13239.803400000001</v>
      </c>
      <c r="Y57" s="16"/>
      <c r="Z57" s="13"/>
      <c r="AA57" s="13"/>
    </row>
    <row r="58" spans="1:27" x14ac:dyDescent="0.25">
      <c r="A58" s="10" t="s">
        <v>213</v>
      </c>
      <c r="B58" s="10" t="s">
        <v>255</v>
      </c>
      <c r="C58" s="13">
        <f>_xll.BDH("NBIX US Equity","LOW_ENTERPRISE_VALUE","FQ3 2019","FQ3 2019","Currency=USD","Period=FQ","BEST_FPERIOD_OVERRIDE=FQ","FILING_STATUS=MR","SCALING_FORMAT=MLN","Sort=A","Dates=H","DateFormat=P","Fill=—","Direction=H","UseDPDF=Y")</f>
        <v>7500.0919000000004</v>
      </c>
      <c r="D58" s="13">
        <f>_xll.BDH("NBIX US Equity","LOW_ENTERPRISE_VALUE","FQ4 2019","FQ4 2019","Currency=USD","Period=FQ","BEST_FPERIOD_OVERRIDE=FQ","FILING_STATUS=MR","SCALING_FORMAT=MLN","Sort=A","Dates=H","DateFormat=P","Fill=—","Direction=H","UseDPDF=Y")</f>
        <v>7765.16</v>
      </c>
      <c r="E58" s="13">
        <f>_xll.BDH("NBIX US Equity","LOW_ENTERPRISE_VALUE","FQ1 2020","FQ1 2020","Currency=USD","Period=FQ","BEST_FPERIOD_OVERRIDE=FQ","FILING_STATUS=MR","SCALING_FORMAT=MLN","Sort=A","Dates=H","DateFormat=P","Fill=—","Direction=H","UseDPDF=Y")</f>
        <v>6765.3635999999997</v>
      </c>
      <c r="F58" s="13">
        <f>_xll.BDH("NBIX US Equity","LOW_ENTERPRISE_VALUE","FQ2 2020","FQ2 2020","Currency=USD","Period=FQ","BEST_FPERIOD_OVERRIDE=FQ","FILING_STATUS=MR","SCALING_FORMAT=MLN","Sort=A","Dates=H","DateFormat=P","Fill=—","Direction=H","UseDPDF=Y")</f>
        <v>7589.9596000000001</v>
      </c>
      <c r="G58" s="13">
        <f>_xll.BDH("NBIX US Equity","LOW_ENTERPRISE_VALUE","FQ3 2020","FQ3 2020","Currency=USD","Period=FQ","BEST_FPERIOD_OVERRIDE=FQ","FILING_STATUS=MR","SCALING_FORMAT=MLN","Sort=A","Dates=H","DateFormat=P","Fill=—","Direction=H","UseDPDF=Y")</f>
        <v>8540.3884999999991</v>
      </c>
      <c r="H58" s="13">
        <f>_xll.BDH("NBIX US Equity","LOW_ENTERPRISE_VALUE","FQ4 2020","FQ4 2020","Currency=USD","Period=FQ","BEST_FPERIOD_OVERRIDE=FQ","FILING_STATUS=MR","SCALING_FORMAT=MLN","Sort=A","Dates=H","DateFormat=P","Fill=—","Direction=H","UseDPDF=Y")</f>
        <v>7692.9277000000002</v>
      </c>
      <c r="I58" s="13">
        <f>_xll.BDH("NBIX US Equity","LOW_ENTERPRISE_VALUE","FQ1 2021","FQ1 2021","Currency=USD","Period=FQ","BEST_FPERIOD_OVERRIDE=FQ","FILING_STATUS=MR","SCALING_FORMAT=MLN","Sort=A","Dates=H","DateFormat=P","Fill=—","Direction=H","UseDPDF=Y")</f>
        <v>7848.2449999999999</v>
      </c>
      <c r="J58" s="13">
        <f>_xll.BDH("NBIX US Equity","LOW_ENTERPRISE_VALUE","FQ2 2021","FQ2 2021","Currency=USD","Period=FQ","BEST_FPERIOD_OVERRIDE=FQ","FILING_STATUS=MR","SCALING_FORMAT=MLN","Sort=A","Dates=H","DateFormat=P","Fill=—","Direction=H","UseDPDF=Y")</f>
        <v>8023.2479999999996</v>
      </c>
      <c r="K58" s="13">
        <f>_xll.BDH("NBIX US Equity","LOW_ENTERPRISE_VALUE","FQ3 2021","FQ3 2021","Currency=USD","Period=FQ","BEST_FPERIOD_OVERRIDE=FQ","FILING_STATUS=MR","SCALING_FORMAT=MLN","Sort=A","Dates=H","DateFormat=P","Fill=—","Direction=H","UseDPDF=Y")</f>
        <v>7722.0290999999997</v>
      </c>
      <c r="L58" s="13">
        <f>_xll.BDH("NBIX US Equity","LOW_ENTERPRISE_VALUE","FQ4 2021","FQ4 2021","Currency=USD","Period=FQ","BEST_FPERIOD_OVERRIDE=FQ","FILING_STATUS=MR","SCALING_FORMAT=MLN","Sort=A","Dates=H","DateFormat=P","Fill=—","Direction=H","UseDPDF=Y")</f>
        <v>7242.8320999999996</v>
      </c>
      <c r="M58" s="13">
        <f>_xll.BDH("NBIX US Equity","LOW_ENTERPRISE_VALUE","FQ1 2022","FQ1 2022","Currency=USD","Period=FQ","BEST_FPERIOD_OVERRIDE=FQ","FILING_STATUS=MR","SCALING_FORMAT=MLN","Sort=A","Dates=H","DateFormat=P","Fill=—","Direction=H","UseDPDF=Y")</f>
        <v>6618.6918999999998</v>
      </c>
      <c r="N58" s="13">
        <f>_xll.BDH("NBIX US Equity","LOW_ENTERPRISE_VALUE","FQ2 2022","FQ2 2022","Currency=USD","Period=FQ","BEST_FPERIOD_OVERRIDE=FQ","FILING_STATUS=MR","SCALING_FORMAT=MLN","Sort=A","Dates=H","DateFormat=P","Fill=—","Direction=H","UseDPDF=Y")</f>
        <v>7075.9552000000003</v>
      </c>
      <c r="O58" s="13">
        <f>_xll.BDH("NBIX US Equity","LOW_ENTERPRISE_VALUE","FQ3 2022","FQ3 2022","Currency=USD","Period=FQ","BEST_FPERIOD_OVERRIDE=FQ","FILING_STATUS=MR","SCALING_FORMAT=MLN","Sort=A","Dates=H","DateFormat=P","Fill=—","Direction=H","UseDPDF=Y")</f>
        <v>8433.3202000000001</v>
      </c>
      <c r="P58" s="13">
        <f>_xll.BDH("NBIX US Equity","LOW_ENTERPRISE_VALUE","FQ4 2022","FQ4 2022","Currency=USD","Period=FQ","BEST_FPERIOD_OVERRIDE=FQ","FILING_STATUS=MR","SCALING_FORMAT=MLN","Sort=A","Dates=H","DateFormat=P","Fill=—","Direction=H","UseDPDF=Y")</f>
        <v>9690.3282999999992</v>
      </c>
      <c r="Q58" s="13">
        <f>_xll.BDH("NBIX US Equity","LOW_ENTERPRISE_VALUE","FQ1 2023","FQ1 2023","Currency=USD","Period=FQ","BEST_FPERIOD_OVERRIDE=FQ","FILING_STATUS=MR","SCALING_FORMAT=MLN","Sort=A","Dates=H","DateFormat=P","Fill=—","Direction=H","UseDPDF=Y")</f>
        <v>8363.4883000000009</v>
      </c>
      <c r="R58" s="13">
        <f>_xll.BDH("NBIX US Equity","LOW_ENTERPRISE_VALUE","FQ2 2023","FQ2 2023","Currency=USD","Period=FQ","BEST_FPERIOD_OVERRIDE=FQ","FILING_STATUS=MR","SCALING_FORMAT=MLN","Sort=A","Dates=H","DateFormat=P","Fill=—","Direction=H","UseDPDF=Y")</f>
        <v>8101.1751999999997</v>
      </c>
      <c r="S58" s="13">
        <f>_xll.BDH("NBIX US Equity","LOW_ENTERPRISE_VALUE","FQ3 2023","FQ3 2023","Currency=USD","Period=FQ","BEST_FPERIOD_OVERRIDE=FQ","FILING_STATUS=MR","SCALING_FORMAT=MLN","Sort=A","Dates=H","DateFormat=P","Fill=—","Direction=H","UseDPDF=Y")</f>
        <v>8473.7862999999998</v>
      </c>
      <c r="T58" s="13">
        <f>_xll.BDH("NBIX US Equity","LOW_ENTERPRISE_VALUE","FQ4 2023","FQ4 2023","Currency=USD","Period=FQ","BEST_FPERIOD_OVERRIDE=FQ","FILING_STATUS=MR","SCALING_FORMAT=MLN","Sort=A","Dates=H","DateFormat=P","Fill=—","Direction=H","UseDPDF=Y")</f>
        <v>9536.4953999999998</v>
      </c>
      <c r="U58" s="13">
        <f>_xll.BDH("NBIX US Equity","LOW_ENTERPRISE_VALUE","FQ1 2024","FQ1 2024","Currency=USD","Period=FQ","BEST_FPERIOD_OVERRIDE=FQ","FILING_STATUS=MR","SCALING_FORMAT=MLN","Sort=A","Dates=H","DateFormat=P","Fill=—","Direction=H","UseDPDF=Y")</f>
        <v>12258.536099999999</v>
      </c>
      <c r="V58" s="13">
        <f>_xll.BDH("NBIX US Equity","LOW_ENTERPRISE_VALUE","FQ2 2024","FQ2 2024","Currency=USD","Period=FQ","BEST_FPERIOD_OVERRIDE=FQ","FILING_STATUS=MR","SCALING_FORMAT=MLN","Sort=A","Dates=H","DateFormat=P","Fill=—","Direction=H","UseDPDF=Y")</f>
        <v>12369.487499999999</v>
      </c>
      <c r="W58" s="13">
        <f>_xll.BDH("NBIX US Equity","LOW_ENTERPRISE_VALUE","FQ3 2024","FQ3 2024","Currency=USD","Period=FQ","BEST_FPERIOD_OVERRIDE=FQ","FILING_STATUS=MR","SCALING_FORMAT=MLN","Sort=A","Dates=H","DateFormat=P","Fill=—","Direction=H","UseDPDF=Y")</f>
        <v>10692.6834</v>
      </c>
      <c r="X58" s="13">
        <f>_xll.BDH("NBIX US Equity","LOW_ENTERPRISE_VALUE","FQ4 2024","FQ4 2024","Currency=USD","Period=FQ","BEST_FPERIOD_OVERRIDE=FQ","FILING_STATUS=MR","SCALING_FORMAT=MLN","Sort=A","Dates=H","DateFormat=P","Fill=—","Direction=H","UseDPDF=Y")</f>
        <v>10329.168900000001</v>
      </c>
      <c r="Y58" s="16"/>
      <c r="Z58" s="13"/>
      <c r="AA58" s="13"/>
    </row>
    <row r="59" spans="1:27" x14ac:dyDescent="0.25">
      <c r="A59" s="7" t="s">
        <v>90</v>
      </c>
      <c r="B59" s="7"/>
      <c r="C59" s="7" t="s">
        <v>5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256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10" t="s">
        <v>257</v>
      </c>
      <c r="B6" s="10" t="s">
        <v>121</v>
      </c>
      <c r="C6" s="13">
        <f>_xll.BDH("NBIX US Equity","BS_SH_OUT","FQ2 2019","FQ2 2019","Currency=USD","Period=FQ","BEST_FPERIOD_OVERRIDE=FQ","FILING_STATUS=MR","Sort=A","Dates=H","DateFormat=P","Fill=—","Direction=H","UseDPDF=Y")</f>
        <v>91.536000000000001</v>
      </c>
      <c r="D6" s="13">
        <f>_xll.BDH("NBIX US Equity","BS_SH_OUT","FQ3 2019","FQ3 2019","Currency=USD","Period=FQ","BEST_FPERIOD_OVERRIDE=FQ","FILING_STATUS=MR","Sort=A","Dates=H","DateFormat=P","Fill=—","Direction=H","UseDPDF=Y")</f>
        <v>92.08</v>
      </c>
      <c r="E6" s="13">
        <f>_xll.BDH("NBIX US Equity","BS_SH_OUT","FQ4 2019","FQ4 2019","Currency=USD","Period=FQ","BEST_FPERIOD_OVERRIDE=FQ","FILING_STATUS=MR","Sort=A","Dates=H","DateFormat=P","Fill=—","Direction=H","UseDPDF=Y")</f>
        <v>92.3</v>
      </c>
      <c r="F6" s="13">
        <f>_xll.BDH("NBIX US Equity","BS_SH_OUT","FQ1 2020","FQ1 2020","Currency=USD","Period=FQ","BEST_FPERIOD_OVERRIDE=FQ","FILING_STATUS=MR","Sort=A","Dates=H","DateFormat=P","Fill=—","Direction=H","UseDPDF=Y")</f>
        <v>92.8</v>
      </c>
      <c r="G6" s="13">
        <f>_xll.BDH("NBIX US Equity","BS_SH_OUT","FQ2 2020","FQ2 2020","Currency=USD","Period=FQ","BEST_FPERIOD_OVERRIDE=FQ","FILING_STATUS=MR","Sort=A","Dates=H","DateFormat=P","Fill=—","Direction=H","UseDPDF=Y")</f>
        <v>93.2</v>
      </c>
      <c r="H6" s="13">
        <f>_xll.BDH("NBIX US Equity","BS_SH_OUT","FQ3 2020","FQ3 2020","Currency=USD","Period=FQ","BEST_FPERIOD_OVERRIDE=FQ","FILING_STATUS=MR","Sort=A","Dates=H","DateFormat=P","Fill=—","Direction=H","UseDPDF=Y")</f>
        <v>93.4</v>
      </c>
      <c r="I6" s="13">
        <f>_xll.BDH("NBIX US Equity","BS_SH_OUT","FQ4 2020","FQ4 2020","Currency=USD","Period=FQ","BEST_FPERIOD_OVERRIDE=FQ","FILING_STATUS=MR","Sort=A","Dates=H","DateFormat=P","Fill=—","Direction=H","UseDPDF=Y")</f>
        <v>93.5</v>
      </c>
      <c r="J6" s="13">
        <f>_xll.BDH("NBIX US Equity","BS_SH_OUT","FQ1 2021","FQ1 2021","Currency=USD","Period=FQ","BEST_FPERIOD_OVERRIDE=FQ","FILING_STATUS=MR","Sort=A","Dates=H","DateFormat=P","Fill=—","Direction=H","UseDPDF=Y")</f>
        <v>94.5</v>
      </c>
      <c r="K6" s="13">
        <f>_xll.BDH("NBIX US Equity","BS_SH_OUT","FQ2 2021","FQ2 2021","Currency=USD","Period=FQ","BEST_FPERIOD_OVERRIDE=FQ","FILING_STATUS=MR","Sort=A","Dates=H","DateFormat=P","Fill=—","Direction=H","UseDPDF=Y")</f>
        <v>94.6</v>
      </c>
      <c r="L6" s="13">
        <f>_xll.BDH("NBIX US Equity","BS_SH_OUT","FQ3 2021","FQ3 2021","Currency=USD","Period=FQ","BEST_FPERIOD_OVERRIDE=FQ","FILING_STATUS=MR","Sort=A","Dates=H","DateFormat=P","Fill=—","Direction=H","UseDPDF=Y")</f>
        <v>94.8</v>
      </c>
      <c r="M6" s="13">
        <f>_xll.BDH("NBIX US Equity","BS_SH_OUT","FQ4 2021","FQ4 2021","Currency=USD","Period=FQ","BEST_FPERIOD_OVERRIDE=FQ","FILING_STATUS=MR","Sort=A","Dates=H","DateFormat=P","Fill=—","Direction=H","UseDPDF=Y")</f>
        <v>94.9</v>
      </c>
      <c r="N6" s="13">
        <f>_xll.BDH("NBIX US Equity","BS_SH_OUT","FQ1 2022","FQ1 2022","Currency=USD","Period=FQ","BEST_FPERIOD_OVERRIDE=FQ","FILING_STATUS=MR","Sort=A","Dates=H","DateFormat=P","Fill=—","Direction=H","UseDPDF=Y")</f>
        <v>95.5</v>
      </c>
      <c r="O6" s="13">
        <f>_xll.BDH("NBIX US Equity","BS_SH_OUT","FQ2 2022","FQ2 2022","Currency=USD","Period=FQ","BEST_FPERIOD_OVERRIDE=FQ","FILING_STATUS=MR","Sort=A","Dates=H","DateFormat=P","Fill=—","Direction=H","UseDPDF=Y")</f>
        <v>95.6</v>
      </c>
      <c r="P6" s="13">
        <f>_xll.BDH("NBIX US Equity","BS_SH_OUT","FQ3 2022","FQ3 2022","Currency=USD","Period=FQ","BEST_FPERIOD_OVERRIDE=FQ","FILING_STATUS=MR","Sort=A","Dates=H","DateFormat=P","Fill=—","Direction=H","UseDPDF=Y")</f>
        <v>96.1</v>
      </c>
      <c r="Q6" s="13">
        <f>_xll.BDH("NBIX US Equity","BS_SH_OUT","FQ4 2022","FQ4 2022","Currency=USD","Period=FQ","BEST_FPERIOD_OVERRIDE=FQ","FILING_STATUS=MR","Sort=A","Dates=H","DateFormat=P","Fill=—","Direction=H","UseDPDF=Y")</f>
        <v>96.5</v>
      </c>
      <c r="R6" s="13">
        <f>_xll.BDH("NBIX US Equity","BS_SH_OUT","FQ1 2023","FQ1 2023","Currency=USD","Period=FQ","BEST_FPERIOD_OVERRIDE=FQ","FILING_STATUS=MR","Sort=A","Dates=H","DateFormat=P","Fill=—","Direction=H","UseDPDF=Y")</f>
        <v>97.5</v>
      </c>
      <c r="S6" s="13">
        <f>_xll.BDH("NBIX US Equity","BS_SH_OUT","FQ2 2023","FQ2 2023","Currency=USD","Period=FQ","BEST_FPERIOD_OVERRIDE=FQ","FILING_STATUS=MR","Sort=A","Dates=H","DateFormat=P","Fill=—","Direction=H","UseDPDF=Y")</f>
        <v>97.6</v>
      </c>
      <c r="T6" s="13">
        <f>_xll.BDH("NBIX US Equity","BS_SH_OUT","FQ3 2023","FQ3 2023","Currency=USD","Period=FQ","BEST_FPERIOD_OVERRIDE=FQ","FILING_STATUS=MR","Sort=A","Dates=H","DateFormat=P","Fill=—","Direction=H","UseDPDF=Y")</f>
        <v>98.2</v>
      </c>
      <c r="U6" s="13">
        <f>_xll.BDH("NBIX US Equity","BS_SH_OUT","FQ4 2023","FQ4 2023","Currency=USD","Period=FQ","BEST_FPERIOD_OVERRIDE=FQ","FILING_STATUS=MR","Sort=A","Dates=H","DateFormat=P","Fill=—","Direction=H","UseDPDF=Y")</f>
        <v>98.7</v>
      </c>
      <c r="V6" s="13">
        <f>_xll.BDH("NBIX US Equity","BS_SH_OUT","FQ1 2024","FQ1 2024","Currency=USD","Period=FQ","BEST_FPERIOD_OVERRIDE=FQ","FILING_STATUS=MR","Sort=A","Dates=H","DateFormat=P","Fill=—","Direction=H","UseDPDF=Y")</f>
        <v>100.6</v>
      </c>
      <c r="W6" s="13">
        <f>_xll.BDH("NBIX US Equity","BS_SH_OUT","FQ2 2024","FQ2 2024","Currency=USD","Period=FQ","BEST_FPERIOD_OVERRIDE=FQ","FILING_STATUS=MR","Sort=A","Dates=H","DateFormat=P","Fill=—","Direction=H","UseDPDF=Y")</f>
        <v>100.9</v>
      </c>
      <c r="X6" s="13">
        <f>_xll.BDH("NBIX US Equity","BS_SH_OUT","FQ3 2024","FQ3 2024","Currency=USD","Period=FQ","BEST_FPERIOD_OVERRIDE=FQ","FILING_STATUS=MR","Sort=A","Dates=H","DateFormat=P","Fill=—","Direction=H","UseDPDF=Y")</f>
        <v>101.2</v>
      </c>
      <c r="Y6" s="13">
        <f>_xll.BDH("NBIX US Equity","BS_SH_OUT","FQ4 2024","FQ4 2024","Currency=USD","Period=FQ","BEST_FPERIOD_OVERRIDE=FQ","FILING_STATUS=MR","Sort=A","Dates=H","DateFormat=P","Fill=—","Direction=H","UseDPDF=Y")</f>
        <v>99.4</v>
      </c>
      <c r="Z6" s="13"/>
      <c r="AA6" s="13"/>
    </row>
    <row r="7" spans="1:27" x14ac:dyDescent="0.25">
      <c r="A7" s="10" t="s">
        <v>258</v>
      </c>
      <c r="B7" s="10" t="s">
        <v>108</v>
      </c>
      <c r="C7" s="13">
        <f>_xll.BDH("NBIX US Equity","IS_SH_FOR_DILUTED_EPS","FQ2 2019","FQ2 2019","Currency=USD","Period=FQ","BEST_FPERIOD_OVERRIDE=FQ","FILING_STATUS=MR","Sort=A","Dates=H","DateFormat=P","Fill=—","Direction=H","UseDPDF=Y")</f>
        <v>94.778999999999996</v>
      </c>
      <c r="D7" s="13">
        <f>_xll.BDH("NBIX US Equity","IS_SH_FOR_DILUTED_EPS","FQ3 2019","FQ3 2019","Currency=USD","Period=FQ","BEST_FPERIOD_OVERRIDE=FQ","FILING_STATUS=MR","Sort=A","Dates=H","DateFormat=P","Fill=—","Direction=H","UseDPDF=Y")</f>
        <v>96.073999999999998</v>
      </c>
      <c r="E7" s="13">
        <f>_xll.BDH("NBIX US Equity","IS_SH_FOR_DILUTED_EPS","FQ4 2019","FQ4 2019","Currency=USD","Period=FQ","BEST_FPERIOD_OVERRIDE=FQ","FILING_STATUS=MR","Sort=A","Dates=H","DateFormat=P","Fill=—","Direction=H","UseDPDF=Y")</f>
        <v>97.2</v>
      </c>
      <c r="F7" s="13">
        <f>_xll.BDH("NBIX US Equity","IS_SH_FOR_DILUTED_EPS","FQ1 2020","FQ1 2020","Currency=USD","Period=FQ","BEST_FPERIOD_OVERRIDE=FQ","FILING_STATUS=MR","Sort=A","Dates=H","DateFormat=P","Fill=—","Direction=H","UseDPDF=Y")</f>
        <v>97</v>
      </c>
      <c r="G7" s="13">
        <f>_xll.BDH("NBIX US Equity","IS_SH_FOR_DILUTED_EPS","FQ2 2020","FQ2 2020","Currency=USD","Period=FQ","BEST_FPERIOD_OVERRIDE=FQ","FILING_STATUS=MR","Sort=A","Dates=H","DateFormat=P","Fill=—","Direction=H","UseDPDF=Y")</f>
        <v>98.2</v>
      </c>
      <c r="H7" s="13">
        <f>_xll.BDH("NBIX US Equity","IS_SH_FOR_DILUTED_EPS","FQ3 2020","FQ3 2020","Currency=USD","Period=FQ","BEST_FPERIOD_OVERRIDE=FQ","FILING_STATUS=MR","Sort=A","Dates=H","DateFormat=P","Fill=—","Direction=H","UseDPDF=Y")</f>
        <v>93.3</v>
      </c>
      <c r="I7" s="13">
        <f>_xll.BDH("NBIX US Equity","IS_SH_FOR_DILUTED_EPS","FQ4 2020","FQ4 2020","Currency=USD","Period=FQ","BEST_FPERIOD_OVERRIDE=FQ","FILING_STATUS=MR","Sort=A","Dates=H","DateFormat=P","Fill=—","Direction=H","UseDPDF=Y")</f>
        <v>97.2</v>
      </c>
      <c r="J7" s="13">
        <f>_xll.BDH("NBIX US Equity","IS_SH_FOR_DILUTED_EPS","FQ1 2021","FQ1 2021","Currency=USD","Period=FQ","BEST_FPERIOD_OVERRIDE=FQ","FILING_STATUS=MR","Sort=A","Dates=H","DateFormat=P","Fill=—","Direction=H","UseDPDF=Y")</f>
        <v>98.2</v>
      </c>
      <c r="K7" s="13">
        <f>_xll.BDH("NBIX US Equity","IS_SH_FOR_DILUTED_EPS","FQ2 2021","FQ2 2021","Currency=USD","Period=FQ","BEST_FPERIOD_OVERRIDE=FQ","FILING_STATUS=MR","Sort=A","Dates=H","DateFormat=P","Fill=—","Direction=H","UseDPDF=Y")</f>
        <v>97.7</v>
      </c>
      <c r="L7" s="13">
        <f>_xll.BDH("NBIX US Equity","IS_SH_FOR_DILUTED_EPS","FQ3 2021","FQ3 2021","Currency=USD","Period=FQ","BEST_FPERIOD_OVERRIDE=FQ","FILING_STATUS=MR","Sort=A","Dates=H","DateFormat=P","Fill=—","Direction=H","UseDPDF=Y")</f>
        <v>97.7</v>
      </c>
      <c r="M7" s="13">
        <f>_xll.BDH("NBIX US Equity","IS_SH_FOR_DILUTED_EPS","FQ4 2021","FQ4 2021","Currency=USD","Period=FQ","BEST_FPERIOD_OVERRIDE=FQ","FILING_STATUS=MR","Sort=A","Dates=H","DateFormat=P","Fill=—","Direction=H","UseDPDF=Y")</f>
        <v>94.9</v>
      </c>
      <c r="N7" s="13">
        <f>_xll.BDH("NBIX US Equity","IS_SH_FOR_DILUTED_EPS","FQ1 2022","FQ1 2022","Currency=USD","Period=FQ","BEST_FPERIOD_OVERRIDE=FQ","FILING_STATUS=MR","Sort=A","Dates=H","DateFormat=P","Fill=—","Direction=H","UseDPDF=Y")</f>
        <v>97.6</v>
      </c>
      <c r="O7" s="13">
        <f>_xll.BDH("NBIX US Equity","IS_SH_FOR_DILUTED_EPS","FQ2 2022","FQ2 2022","Currency=USD","Period=FQ","BEST_FPERIOD_OVERRIDE=FQ","FILING_STATUS=MR","Sort=A","Dates=H","DateFormat=P","Fill=—","Direction=H","UseDPDF=Y")</f>
        <v>95.6</v>
      </c>
      <c r="P7" s="13">
        <f>_xll.BDH("NBIX US Equity","IS_SH_FOR_DILUTED_EPS","FQ3 2022","FQ3 2022","Currency=USD","Period=FQ","BEST_FPERIOD_OVERRIDE=FQ","FILING_STATUS=MR","Sort=A","Dates=H","DateFormat=P","Fill=—","Direction=H","UseDPDF=Y")</f>
        <v>99</v>
      </c>
      <c r="Q7" s="13">
        <f>_xll.BDH("NBIX US Equity","IS_SH_FOR_DILUTED_EPS","FQ4 2022","FQ4 2022","Currency=USD","Period=FQ","BEST_FPERIOD_OVERRIDE=FQ","FILING_STATUS=MR","Sort=A","Dates=H","DateFormat=P","Fill=—","Direction=H","UseDPDF=Y")</f>
        <v>100.8</v>
      </c>
      <c r="R7" s="13">
        <f>_xll.BDH("NBIX US Equity","IS_SH_FOR_DILUTED_EPS","FQ1 2023","FQ1 2023","Currency=USD","Period=FQ","BEST_FPERIOD_OVERRIDE=FQ","FILING_STATUS=MR","Sort=A","Dates=H","DateFormat=P","Fill=—","Direction=H","UseDPDF=Y")</f>
        <v>97.1</v>
      </c>
      <c r="S7" s="13">
        <f>_xll.BDH("NBIX US Equity","IS_SH_FOR_DILUTED_EPS","FQ2 2023","FQ2 2023","Currency=USD","Period=FQ","BEST_FPERIOD_OVERRIDE=FQ","FILING_STATUS=MR","Sort=A","Dates=H","DateFormat=P","Fill=—","Direction=H","UseDPDF=Y")</f>
        <v>100.2</v>
      </c>
      <c r="T7" s="13">
        <f>_xll.BDH("NBIX US Equity","IS_SH_FOR_DILUTED_EPS","FQ3 2023","FQ3 2023","Currency=USD","Period=FQ","BEST_FPERIOD_OVERRIDE=FQ","FILING_STATUS=MR","Sort=A","Dates=H","DateFormat=P","Fill=—","Direction=H","UseDPDF=Y")</f>
        <v>101.1</v>
      </c>
      <c r="U7" s="13">
        <f>_xll.BDH("NBIX US Equity","IS_SH_FOR_DILUTED_EPS","FQ4 2023","FQ4 2023","Currency=USD","Period=FQ","BEST_FPERIOD_OVERRIDE=FQ","FILING_STATUS=MR","Sort=A","Dates=H","DateFormat=P","Fill=—","Direction=H","UseDPDF=Y")</f>
        <v>102.3</v>
      </c>
      <c r="V7" s="13">
        <f>_xll.BDH("NBIX US Equity","IS_SH_FOR_DILUTED_EPS","FQ1 2024","FQ1 2024","Currency=USD","Period=FQ","BEST_FPERIOD_OVERRIDE=FQ","FILING_STATUS=MR","Sort=A","Dates=H","DateFormat=P","Fill=—","Direction=H","UseDPDF=Y")</f>
        <v>103.6</v>
      </c>
      <c r="W7" s="13">
        <f>_xll.BDH("NBIX US Equity","IS_SH_FOR_DILUTED_EPS","FQ2 2024","FQ2 2024","Currency=USD","Period=FQ","BEST_FPERIOD_OVERRIDE=FQ","FILING_STATUS=MR","Sort=A","Dates=H","DateFormat=P","Fill=—","Direction=H","UseDPDF=Y")</f>
        <v>103.9</v>
      </c>
      <c r="X7" s="13">
        <f>_xll.BDH("NBIX US Equity","IS_SH_FOR_DILUTED_EPS","FQ3 2024","FQ3 2024","Currency=USD","Period=FQ","BEST_FPERIOD_OVERRIDE=FQ","FILING_STATUS=MR","Sort=A","Dates=H","DateFormat=P","Fill=—","Direction=H","UseDPDF=Y")</f>
        <v>104.3</v>
      </c>
      <c r="Y7" s="13">
        <f>_xll.BDH("NBIX US Equity","IS_SH_FOR_DILUTED_EPS","FQ4 2024","FQ4 2024","Currency=USD","Period=FQ","BEST_FPERIOD_OVERRIDE=FQ","FILING_STATUS=MR","Sort=A","Dates=H","DateFormat=P","Fill=—","Direction=H","UseDPDF=Y")</f>
        <v>102.9</v>
      </c>
      <c r="Z7" s="13"/>
      <c r="AA7" s="13"/>
    </row>
    <row r="8" spans="1:27" x14ac:dyDescent="0.25">
      <c r="A8" s="10" t="s">
        <v>259</v>
      </c>
      <c r="B8" s="10" t="s">
        <v>106</v>
      </c>
      <c r="C8" s="13">
        <f>_xll.BDH("NBIX US Equity","IS_AVG_NUM_SH_FOR_EPS","FQ2 2019","FQ2 2019","Currency=USD","Period=FQ","BEST_FPERIOD_OVERRIDE=FQ","FILING_STATUS=MR","Sort=A","Dates=H","DateFormat=P","Fill=—","Direction=H","UseDPDF=Y")</f>
        <v>91.388999999999996</v>
      </c>
      <c r="D8" s="13">
        <f>_xll.BDH("NBIX US Equity","IS_AVG_NUM_SH_FOR_EPS","FQ3 2019","FQ3 2019","Currency=USD","Period=FQ","BEST_FPERIOD_OVERRIDE=FQ","FILING_STATUS=MR","Sort=A","Dates=H","DateFormat=P","Fill=—","Direction=H","UseDPDF=Y")</f>
        <v>91.858999999999995</v>
      </c>
      <c r="E8" s="13">
        <f>_xll.BDH("NBIX US Equity","IS_AVG_NUM_SH_FOR_EPS","FQ4 2019","FQ4 2019","Currency=USD","Period=FQ","BEST_FPERIOD_OVERRIDE=FQ","FILING_STATUS=MR","Sort=A","Dates=H","DateFormat=P","Fill=—","Direction=H","UseDPDF=Y")</f>
        <v>92.2</v>
      </c>
      <c r="F8" s="13">
        <f>_xll.BDH("NBIX US Equity","IS_AVG_NUM_SH_FOR_EPS","FQ1 2020","FQ1 2020","Currency=USD","Period=FQ","BEST_FPERIOD_OVERRIDE=FQ","FILING_STATUS=MR","Sort=A","Dates=H","DateFormat=P","Fill=—","Direction=H","UseDPDF=Y")</f>
        <v>92.6</v>
      </c>
      <c r="G8" s="13">
        <f>_xll.BDH("NBIX US Equity","IS_AVG_NUM_SH_FOR_EPS","FQ2 2020","FQ2 2020","Currency=USD","Period=FQ","BEST_FPERIOD_OVERRIDE=FQ","FILING_STATUS=MR","Sort=A","Dates=H","DateFormat=P","Fill=—","Direction=H","UseDPDF=Y")</f>
        <v>93</v>
      </c>
      <c r="H8" s="13">
        <f>_xll.BDH("NBIX US Equity","IS_AVG_NUM_SH_FOR_EPS","FQ3 2020","FQ3 2020","Currency=USD","Period=FQ","BEST_FPERIOD_OVERRIDE=FQ","FILING_STATUS=MR","Sort=A","Dates=H","DateFormat=P","Fill=—","Direction=H","UseDPDF=Y")</f>
        <v>93.3</v>
      </c>
      <c r="I8" s="13">
        <f>_xll.BDH("NBIX US Equity","IS_AVG_NUM_SH_FOR_EPS","FQ4 2020","FQ4 2020","Currency=USD","Period=FQ","BEST_FPERIOD_OVERRIDE=FQ","FILING_STATUS=MR","Sort=A","Dates=H","DateFormat=P","Fill=—","Direction=H","UseDPDF=Y")</f>
        <v>93.5</v>
      </c>
      <c r="J8" s="13">
        <f>_xll.BDH("NBIX US Equity","IS_AVG_NUM_SH_FOR_EPS","FQ1 2021","FQ1 2021","Currency=USD","Period=FQ","BEST_FPERIOD_OVERRIDE=FQ","FILING_STATUS=MR","Sort=A","Dates=H","DateFormat=P","Fill=—","Direction=H","UseDPDF=Y")</f>
        <v>94.2</v>
      </c>
      <c r="K8" s="13">
        <f>_xll.BDH("NBIX US Equity","IS_AVG_NUM_SH_FOR_EPS","FQ2 2021","FQ2 2021","Currency=USD","Period=FQ","BEST_FPERIOD_OVERRIDE=FQ","FILING_STATUS=MR","Sort=A","Dates=H","DateFormat=P","Fill=—","Direction=H","UseDPDF=Y")</f>
        <v>94.6</v>
      </c>
      <c r="L8" s="13">
        <f>_xll.BDH("NBIX US Equity","IS_AVG_NUM_SH_FOR_EPS","FQ3 2021","FQ3 2021","Currency=USD","Period=FQ","BEST_FPERIOD_OVERRIDE=FQ","FILING_STATUS=MR","Sort=A","Dates=H","DateFormat=P","Fill=—","Direction=H","UseDPDF=Y")</f>
        <v>94.7</v>
      </c>
      <c r="M8" s="13">
        <f>_xll.BDH("NBIX US Equity","IS_AVG_NUM_SH_FOR_EPS","FQ4 2021","FQ4 2021","Currency=USD","Period=FQ","BEST_FPERIOD_OVERRIDE=FQ","FILING_STATUS=MR","Sort=A","Dates=H","DateFormat=P","Fill=—","Direction=H","UseDPDF=Y")</f>
        <v>94.9</v>
      </c>
      <c r="N8" s="13">
        <f>_xll.BDH("NBIX US Equity","IS_AVG_NUM_SH_FOR_EPS","FQ1 2022","FQ1 2022","Currency=USD","Period=FQ","BEST_FPERIOD_OVERRIDE=FQ","FILING_STATUS=MR","Sort=A","Dates=H","DateFormat=P","Fill=—","Direction=H","UseDPDF=Y")</f>
        <v>95.3</v>
      </c>
      <c r="O8" s="13">
        <f>_xll.BDH("NBIX US Equity","IS_AVG_NUM_SH_FOR_EPS","FQ2 2022","FQ2 2022","Currency=USD","Period=FQ","BEST_FPERIOD_OVERRIDE=FQ","FILING_STATUS=MR","Sort=A","Dates=H","DateFormat=P","Fill=—","Direction=H","UseDPDF=Y")</f>
        <v>95.6</v>
      </c>
      <c r="P8" s="13">
        <f>_xll.BDH("NBIX US Equity","IS_AVG_NUM_SH_FOR_EPS","FQ3 2022","FQ3 2022","Currency=USD","Period=FQ","BEST_FPERIOD_OVERRIDE=FQ","FILING_STATUS=MR","Sort=A","Dates=H","DateFormat=P","Fill=—","Direction=H","UseDPDF=Y")</f>
        <v>95.8</v>
      </c>
      <c r="Q8" s="13">
        <f>_xll.BDH("NBIX US Equity","IS_AVG_NUM_SH_FOR_EPS","FQ4 2022","FQ4 2022","Currency=USD","Period=FQ","BEST_FPERIOD_OVERRIDE=FQ","FILING_STATUS=MR","Sort=A","Dates=H","DateFormat=P","Fill=—","Direction=H","UseDPDF=Y")</f>
        <v>96.3</v>
      </c>
      <c r="R8" s="13">
        <f>_xll.BDH("NBIX US Equity","IS_AVG_NUM_SH_FOR_EPS","FQ1 2023","FQ1 2023","Currency=USD","Period=FQ","BEST_FPERIOD_OVERRIDE=FQ","FILING_STATUS=MR","Sort=A","Dates=H","DateFormat=P","Fill=—","Direction=H","UseDPDF=Y")</f>
        <v>97.1</v>
      </c>
      <c r="S8" s="13">
        <f>_xll.BDH("NBIX US Equity","IS_AVG_NUM_SH_FOR_EPS","FQ2 2023","FQ2 2023","Currency=USD","Period=FQ","BEST_FPERIOD_OVERRIDE=FQ","FILING_STATUS=MR","Sort=A","Dates=H","DateFormat=P","Fill=—","Direction=H","UseDPDF=Y")</f>
        <v>97.6</v>
      </c>
      <c r="T8" s="13">
        <f>_xll.BDH("NBIX US Equity","IS_AVG_NUM_SH_FOR_EPS","FQ3 2023","FQ3 2023","Currency=USD","Period=FQ","BEST_FPERIOD_OVERRIDE=FQ","FILING_STATUS=MR","Sort=A","Dates=H","DateFormat=P","Fill=—","Direction=H","UseDPDF=Y")</f>
        <v>97.9</v>
      </c>
      <c r="U8" s="13">
        <f>_xll.BDH("NBIX US Equity","IS_AVG_NUM_SH_FOR_EPS","FQ4 2023","FQ4 2023","Currency=USD","Period=FQ","BEST_FPERIOD_OVERRIDE=FQ","FILING_STATUS=MR","Sort=A","Dates=H","DateFormat=P","Fill=—","Direction=H","UseDPDF=Y")</f>
        <v>98.4</v>
      </c>
      <c r="V8" s="13">
        <f>_xll.BDH("NBIX US Equity","IS_AVG_NUM_SH_FOR_EPS","FQ1 2024","FQ1 2024","Currency=USD","Period=FQ","BEST_FPERIOD_OVERRIDE=FQ","FILING_STATUS=MR","Sort=A","Dates=H","DateFormat=P","Fill=—","Direction=H","UseDPDF=Y")</f>
        <v>99.8</v>
      </c>
      <c r="W8" s="13">
        <f>_xll.BDH("NBIX US Equity","IS_AVG_NUM_SH_FOR_EPS","FQ2 2024","FQ2 2024","Currency=USD","Period=FQ","BEST_FPERIOD_OVERRIDE=FQ","FILING_STATUS=MR","Sort=A","Dates=H","DateFormat=P","Fill=—","Direction=H","UseDPDF=Y")</f>
        <v>100.8</v>
      </c>
      <c r="X8" s="13">
        <f>_xll.BDH("NBIX US Equity","IS_AVG_NUM_SH_FOR_EPS","FQ3 2024","FQ3 2024","Currency=USD","Period=FQ","BEST_FPERIOD_OVERRIDE=FQ","FILING_STATUS=MR","Sort=A","Dates=H","DateFormat=P","Fill=—","Direction=H","UseDPDF=Y")</f>
        <v>101.1</v>
      </c>
      <c r="Y8" s="13">
        <f>_xll.BDH("NBIX US Equity","IS_AVG_NUM_SH_FOR_EPS","FQ4 2024","FQ4 2024","Currency=USD","Period=FQ","BEST_FPERIOD_OVERRIDE=FQ","FILING_STATUS=MR","Sort=A","Dates=H","DateFormat=P","Fill=—","Direction=H","UseDPDF=Y")</f>
        <v>100</v>
      </c>
      <c r="Z8" s="13"/>
      <c r="AA8" s="13"/>
    </row>
    <row r="9" spans="1:27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5">
      <c r="A10" s="6" t="s">
        <v>260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0</v>
      </c>
      <c r="B11" s="10" t="s">
        <v>261</v>
      </c>
      <c r="C11" s="14">
        <f>_xll.BDH("NBIX US Equity","REVENUE_PER_SH","FQ2 2019","FQ2 2019","Currency=USD","Period=FQ","BEST_FPERIOD_OVERRIDE=FQ","FILING_STATUS=MR","FA_ADJUSTED=GAAP","Sort=A","Dates=H","DateFormat=P","Fill=—","Direction=H","UseDPDF=Y")</f>
        <v>2.0087999999999999</v>
      </c>
      <c r="D11" s="14">
        <f>_xll.BDH("NBIX US Equity","REVENUE_PER_SH","FQ3 2019","FQ3 2019","Currency=USD","Period=FQ","BEST_FPERIOD_OVERRIDE=FQ","FILING_STATUS=MR","FA_ADJUSTED=GAAP","Sort=A","Dates=H","DateFormat=P","Fill=—","Direction=H","UseDPDF=Y")</f>
        <v>2.4178000000000002</v>
      </c>
      <c r="E11" s="14">
        <f>_xll.BDH("NBIX US Equity","REVENUE_PER_SH","FQ4 2019","FQ4 2019","Currency=USD","Period=FQ","BEST_FPERIOD_OVERRIDE=FQ","FILING_STATUS=MR","FA_ADJUSTED=GAAP","Sort=A","Dates=H","DateFormat=P","Fill=—","Direction=H","UseDPDF=Y")</f>
        <v>2.6475</v>
      </c>
      <c r="F11" s="14">
        <f>_xll.BDH("NBIX US Equity","REVENUE_PER_SH","FQ1 2020","FQ1 2020","Currency=USD","Period=FQ","BEST_FPERIOD_OVERRIDE=FQ","FILING_STATUS=MR","FA_ADJUSTED=GAAP","Sort=A","Dates=H","DateFormat=P","Fill=—","Direction=H","UseDPDF=Y")</f>
        <v>2.5605000000000002</v>
      </c>
      <c r="G11" s="14">
        <f>_xll.BDH("NBIX US Equity","REVENUE_PER_SH","FQ2 2020","FQ2 2020","Currency=USD","Period=FQ","BEST_FPERIOD_OVERRIDE=FQ","FILING_STATUS=MR","FA_ADJUSTED=GAAP","Sort=A","Dates=H","DateFormat=P","Fill=—","Direction=H","UseDPDF=Y")</f>
        <v>3.2515999999999998</v>
      </c>
      <c r="H11" s="14">
        <f>_xll.BDH("NBIX US Equity","REVENUE_PER_SH","FQ3 2020","FQ3 2020","Currency=USD","Period=FQ","BEST_FPERIOD_OVERRIDE=FQ","FILING_STATUS=MR","FA_ADJUSTED=GAAP","Sort=A","Dates=H","DateFormat=P","Fill=—","Direction=H","UseDPDF=Y")</f>
        <v>2.7706</v>
      </c>
      <c r="I11" s="14">
        <f>_xll.BDH("NBIX US Equity","REVENUE_PER_SH","FQ4 2020","FQ4 2020","Currency=USD","Period=FQ","BEST_FPERIOD_OVERRIDE=FQ","FILING_STATUS=MR","FA_ADJUSTED=GAAP","Sort=A","Dates=H","DateFormat=P","Fill=—","Direction=H","UseDPDF=Y")</f>
        <v>2.6513</v>
      </c>
      <c r="J11" s="14">
        <f>_xll.BDH("NBIX US Equity","REVENUE_PER_SH","FQ1 2021","FQ1 2021","Currency=USD","Period=FQ","BEST_FPERIOD_OVERRIDE=FQ","FILING_STATUS=MR","FA_ADJUSTED=GAAP","Sort=A","Dates=H","DateFormat=P","Fill=—","Direction=H","UseDPDF=Y")</f>
        <v>2.5116999999999998</v>
      </c>
      <c r="K11" s="14">
        <f>_xll.BDH("NBIX US Equity","REVENUE_PER_SH","FQ2 2021","FQ2 2021","Currency=USD","Period=FQ","BEST_FPERIOD_OVERRIDE=FQ","FILING_STATUS=MR","FA_ADJUSTED=GAAP","Sort=A","Dates=H","DateFormat=P","Fill=—","Direction=H","UseDPDF=Y")</f>
        <v>3.0539000000000001</v>
      </c>
      <c r="L11" s="14">
        <f>_xll.BDH("NBIX US Equity","REVENUE_PER_SH","FQ3 2021","FQ3 2021","Currency=USD","Period=FQ","BEST_FPERIOD_OVERRIDE=FQ","FILING_STATUS=MR","FA_ADJUSTED=GAAP","Sort=A","Dates=H","DateFormat=P","Fill=—","Direction=H","UseDPDF=Y")</f>
        <v>3.1257000000000001</v>
      </c>
      <c r="M11" s="14">
        <f>_xll.BDH("NBIX US Equity","REVENUE_PER_SH","FQ4 2021","FQ4 2021","Currency=USD","Period=FQ","BEST_FPERIOD_OVERRIDE=FQ","FILING_STATUS=MR","FA_ADJUSTED=GAAP","Sort=A","Dates=H","DateFormat=P","Fill=—","Direction=H","UseDPDF=Y")</f>
        <v>3.2877000000000001</v>
      </c>
      <c r="N11" s="14">
        <f>_xll.BDH("NBIX US Equity","REVENUE_PER_SH","FQ1 2022","FQ1 2022","Currency=USD","Period=FQ","BEST_FPERIOD_OVERRIDE=FQ","FILING_STATUS=MR","FA_ADJUSTED=GAAP","Sort=A","Dates=H","DateFormat=P","Fill=—","Direction=H","UseDPDF=Y")</f>
        <v>3.2591999999999999</v>
      </c>
      <c r="O11" s="14">
        <f>_xll.BDH("NBIX US Equity","REVENUE_PER_SH","FQ2 2022","FQ2 2022","Currency=USD","Period=FQ","BEST_FPERIOD_OVERRIDE=FQ","FILING_STATUS=MR","FA_ADJUSTED=GAAP","Sort=A","Dates=H","DateFormat=P","Fill=—","Direction=H","UseDPDF=Y")</f>
        <v>3.9561000000000002</v>
      </c>
      <c r="P11" s="14">
        <f>_xll.BDH("NBIX US Equity","REVENUE_PER_SH","FQ3 2022","FQ3 2022","Currency=USD","Period=FQ","BEST_FPERIOD_OVERRIDE=FQ","FILING_STATUS=MR","FA_ADJUSTED=GAAP","Sort=A","Dates=H","DateFormat=P","Fill=—","Direction=H","UseDPDF=Y")</f>
        <v>4.0491000000000001</v>
      </c>
      <c r="Q11" s="14">
        <f>_xll.BDH("NBIX US Equity","REVENUE_PER_SH","FQ4 2022","FQ4 2022","Currency=USD","Period=FQ","BEST_FPERIOD_OVERRIDE=FQ","FILING_STATUS=MR","FA_ADJUSTED=GAAP","Sort=A","Dates=H","DateFormat=P","Fill=—","Direction=H","UseDPDF=Y")</f>
        <v>4.2782999999999998</v>
      </c>
      <c r="R11" s="14">
        <f>_xll.BDH("NBIX US Equity","REVENUE_PER_SH","FQ1 2023","FQ1 2023","Currency=USD","Period=FQ","BEST_FPERIOD_OVERRIDE=FQ","FILING_STATUS=MR","FA_ADJUSTED=GAAP","Sort=A","Dates=H","DateFormat=P","Fill=—","Direction=H","UseDPDF=Y")</f>
        <v>4.3296000000000001</v>
      </c>
      <c r="S11" s="14">
        <f>_xll.BDH("NBIX US Equity","REVENUE_PER_SH","FQ2 2023","FQ2 2023","Currency=USD","Period=FQ","BEST_FPERIOD_OVERRIDE=FQ","FILING_STATUS=MR","FA_ADJUSTED=GAAP","Sort=A","Dates=H","DateFormat=P","Fill=—","Direction=H","UseDPDF=Y")</f>
        <v>4.6383000000000001</v>
      </c>
      <c r="T11" s="14">
        <f>_xll.BDH("NBIX US Equity","REVENUE_PER_SH","FQ3 2023","FQ3 2023","Currency=USD","Period=FQ","BEST_FPERIOD_OVERRIDE=FQ","FILING_STATUS=MR","FA_ADJUSTED=GAAP","Sort=A","Dates=H","DateFormat=P","Fill=—","Direction=H","UseDPDF=Y")</f>
        <v>5.0949999999999998</v>
      </c>
      <c r="U11" s="14">
        <f>_xll.BDH("NBIX US Equity","REVENUE_PER_SH","FQ4 2023","FQ4 2023","Currency=USD","Period=FQ","BEST_FPERIOD_OVERRIDE=FQ","FILING_STATUS=MR","FA_ADJUSTED=GAAP","Sort=A","Dates=H","DateFormat=P","Fill=—","Direction=H","UseDPDF=Y")</f>
        <v>5.2358000000000002</v>
      </c>
      <c r="V11" s="14">
        <f>_xll.BDH("NBIX US Equity","REVENUE_PER_SH","FQ1 2024","FQ1 2024","Currency=USD","Period=FQ","BEST_FPERIOD_OVERRIDE=FQ","FILING_STATUS=MR","FA_ADJUSTED=GAAP","Sort=A","Dates=H","DateFormat=P","Fill=—","Direction=H","UseDPDF=Y")</f>
        <v>5.1632999999999996</v>
      </c>
      <c r="W11" s="14">
        <f>_xll.BDH("NBIX US Equity","REVENUE_PER_SH","FQ2 2024","FQ2 2024","Currency=USD","Period=FQ","BEST_FPERIOD_OVERRIDE=FQ","FILING_STATUS=MR","FA_ADJUSTED=GAAP","Sort=A","Dates=H","DateFormat=P","Fill=—","Direction=H","UseDPDF=Y")</f>
        <v>5.8552</v>
      </c>
      <c r="X11" s="14">
        <f>_xll.BDH("NBIX US Equity","REVENUE_PER_SH","FQ3 2024","FQ3 2024","Currency=USD","Period=FQ","BEST_FPERIOD_OVERRIDE=FQ","FILING_STATUS=MR","FA_ADJUSTED=GAAP","Sort=A","Dates=H","DateFormat=P","Fill=—","Direction=H","UseDPDF=Y")</f>
        <v>6.1532999999999998</v>
      </c>
      <c r="Y11" s="14">
        <f>_xll.BDH("NBIX US Equity","REVENUE_PER_SH","FQ4 2024","FQ4 2024","Currency=USD","Period=FQ","BEST_FPERIOD_OVERRIDE=FQ","FILING_STATUS=MR","FA_ADJUSTED=GAAP","Sort=A","Dates=H","DateFormat=P","Fill=—","Direction=H","UseDPDF=Y")</f>
        <v>6.2770000000000001</v>
      </c>
      <c r="Z11" s="14"/>
      <c r="AA11" s="14"/>
    </row>
    <row r="12" spans="1:27" x14ac:dyDescent="0.25">
      <c r="A12" s="10" t="s">
        <v>78</v>
      </c>
      <c r="B12" s="10" t="s">
        <v>262</v>
      </c>
      <c r="C12" s="14">
        <f>_xll.BDH("NBIX US Equity","EBITDA_PER_SH","FQ2 2019","FQ2 2019","Currency=USD","Period=FQ","BEST_FPERIOD_OVERRIDE=FQ","FILING_STATUS=MR","FA_ADJUSTED=GAAP","Sort=A","Dates=H","DateFormat=P","Fill=—","Direction=H","UseDPDF=Y")</f>
        <v>0.41849999999999998</v>
      </c>
      <c r="D12" s="14">
        <f>_xll.BDH("NBIX US Equity","EBITDA_PER_SH","FQ3 2019","FQ3 2019","Currency=USD","Period=FQ","BEST_FPERIOD_OVERRIDE=FQ","FILING_STATUS=MR","FA_ADJUSTED=GAAP","Sort=A","Dates=H","DateFormat=P","Fill=—","Direction=H","UseDPDF=Y")</f>
        <v>1.0245</v>
      </c>
      <c r="E12" s="14">
        <f>_xll.BDH("NBIX US Equity","EBITDA_PER_SH","FQ4 2019","FQ4 2019","Currency=USD","Period=FQ","BEST_FPERIOD_OVERRIDE=FQ","FILING_STATUS=MR","FA_ADJUSTED=GAAP","Sort=A","Dates=H","DateFormat=P","Fill=—","Direction=H","UseDPDF=Y")</f>
        <v>0.57530000000000003</v>
      </c>
      <c r="F12" s="14">
        <f>_xll.BDH("NBIX US Equity","EBITDA_PER_SH","FQ1 2020","FQ1 2020","Currency=USD","Period=FQ","BEST_FPERIOD_OVERRIDE=FQ","FILING_STATUS=MR","FA_ADJUSTED=GAAP","Sort=A","Dates=H","DateFormat=P","Fill=—","Direction=H","UseDPDF=Y")</f>
        <v>0.68569999999999998</v>
      </c>
      <c r="G12" s="14">
        <f>_xll.BDH("NBIX US Equity","EBITDA_PER_SH","FQ2 2020","FQ2 2020","Currency=USD","Period=FQ","BEST_FPERIOD_OVERRIDE=FQ","FILING_STATUS=MR","FA_ADJUSTED=GAAP","Sort=A","Dates=H","DateFormat=P","Fill=—","Direction=H","UseDPDF=Y")</f>
        <v>0.87309999999999999</v>
      </c>
      <c r="H12" s="14">
        <f>_xll.BDH("NBIX US Equity","EBITDA_PER_SH","FQ3 2020","FQ3 2020","Currency=USD","Period=FQ","BEST_FPERIOD_OVERRIDE=FQ","FILING_STATUS=MR","FA_ADJUSTED=GAAP","Sort=A","Dates=H","DateFormat=P","Fill=—","Direction=H","UseDPDF=Y")</f>
        <v>-0.42549999999999999</v>
      </c>
      <c r="I12" s="14">
        <f>_xll.BDH("NBIX US Equity","EBITDA_PER_SH","FQ4 2020","FQ4 2020","Currency=USD","Period=FQ","BEST_FPERIOD_OVERRIDE=FQ","FILING_STATUS=MR","FA_ADJUSTED=GAAP","Sort=A","Dates=H","DateFormat=P","Fill=—","Direction=H","UseDPDF=Y")</f>
        <v>0.82030000000000003</v>
      </c>
      <c r="J12" s="14">
        <f>_xll.BDH("NBIX US Equity","EBITDA_PER_SH","FQ1 2021","FQ1 2021","Currency=USD","Period=FQ","BEST_FPERIOD_OVERRIDE=FQ","FILING_STATUS=MR","FA_ADJUSTED=GAAP","Sort=A","Dates=H","DateFormat=P","Fill=—","Direction=H","UseDPDF=Y")</f>
        <v>0.39700000000000002</v>
      </c>
      <c r="K12" s="14">
        <f>_xll.BDH("NBIX US Equity","EBITDA_PER_SH","FQ2 2021","FQ2 2021","Currency=USD","Period=FQ","BEST_FPERIOD_OVERRIDE=FQ","FILING_STATUS=MR","FA_ADJUSTED=GAAP","Sort=A","Dates=H","DateFormat=P","Fill=—","Direction=H","UseDPDF=Y")</f>
        <v>0.73260000000000003</v>
      </c>
      <c r="L12" s="14">
        <f>_xll.BDH("NBIX US Equity","EBITDA_PER_SH","FQ3 2021","FQ3 2021","Currency=USD","Period=FQ","BEST_FPERIOD_OVERRIDE=FQ","FILING_STATUS=MR","FA_ADJUSTED=GAAP","Sort=A","Dates=H","DateFormat=P","Fill=—","Direction=H","UseDPDF=Y")</f>
        <v>0.54069999999999996</v>
      </c>
      <c r="M12" s="14">
        <f>_xll.BDH("NBIX US Equity","EBITDA_PER_SH","FQ4 2021","FQ4 2021","Currency=USD","Period=FQ","BEST_FPERIOD_OVERRIDE=FQ","FILING_STATUS=MR","FA_ADJUSTED=GAAP","Sort=A","Dates=H","DateFormat=P","Fill=—","Direction=H","UseDPDF=Y")</f>
        <v>-0.30769999999999997</v>
      </c>
      <c r="N12" s="14">
        <f>_xll.BDH("NBIX US Equity","EBITDA_PER_SH","FQ1 2022","FQ1 2022","Currency=USD","Period=FQ","BEST_FPERIOD_OVERRIDE=FQ","FILING_STATUS=MR","FA_ADJUSTED=GAAP","Sort=A","Dates=H","DateFormat=P","Fill=—","Direction=H","UseDPDF=Y")</f>
        <v>0.11020000000000001</v>
      </c>
      <c r="O12" s="14">
        <f>_xll.BDH("NBIX US Equity","EBITDA_PER_SH","FQ2 2022","FQ2 2022","Currency=USD","Period=FQ","BEST_FPERIOD_OVERRIDE=FQ","FILING_STATUS=MR","FA_ADJUSTED=GAAP","Sort=A","Dates=H","DateFormat=P","Fill=—","Direction=H","UseDPDF=Y")</f>
        <v>0.65590000000000004</v>
      </c>
      <c r="P12" s="14">
        <f>_xll.BDH("NBIX US Equity","EBITDA_PER_SH","FQ3 2022","FQ3 2022","Currency=USD","Period=FQ","BEST_FPERIOD_OVERRIDE=FQ","FILING_STATUS=MR","FA_ADJUSTED=GAAP","Sort=A","Dates=H","DateFormat=P","Fill=—","Direction=H","UseDPDF=Y")</f>
        <v>1.0031000000000001</v>
      </c>
      <c r="Q12" s="14">
        <f>_xll.BDH("NBIX US Equity","EBITDA_PER_SH","FQ4 2022","FQ4 2022","Currency=USD","Period=FQ","BEST_FPERIOD_OVERRIDE=FQ","FILING_STATUS=MR","FA_ADJUSTED=GAAP","Sort=A","Dates=H","DateFormat=P","Fill=—","Direction=H","UseDPDF=Y")</f>
        <v>1.1589</v>
      </c>
      <c r="R12" s="14">
        <f>_xll.BDH("NBIX US Equity","EBITDA_PER_SH","FQ1 2023","FQ1 2023","Currency=USD","Period=FQ","BEST_FPERIOD_OVERRIDE=FQ","FILING_STATUS=MR","FA_ADJUSTED=GAAP","Sort=A","Dates=H","DateFormat=P","Fill=—","Direction=H","UseDPDF=Y")</f>
        <v>-1.0824</v>
      </c>
      <c r="S12" s="14">
        <f>_xll.BDH("NBIX US Equity","EBITDA_PER_SH","FQ2 2023","FQ2 2023","Currency=USD","Period=FQ","BEST_FPERIOD_OVERRIDE=FQ","FILING_STATUS=MR","FA_ADJUSTED=GAAP","Sort=A","Dates=H","DateFormat=P","Fill=—","Direction=H","UseDPDF=Y")</f>
        <v>0.84840000000000004</v>
      </c>
      <c r="T12" s="14">
        <f>_xll.BDH("NBIX US Equity","EBITDA_PER_SH","FQ3 2023","FQ3 2023","Currency=USD","Period=FQ","BEST_FPERIOD_OVERRIDE=FQ","FILING_STATUS=MR","FA_ADJUSTED=GAAP","Sort=A","Dates=H","DateFormat=P","Fill=—","Direction=H","UseDPDF=Y")</f>
        <v>1.5373000000000001</v>
      </c>
      <c r="U12" s="14">
        <f>_xll.BDH("NBIX US Equity","EBITDA_PER_SH","FQ4 2023","FQ4 2023","Currency=USD","Period=FQ","BEST_FPERIOD_OVERRIDE=FQ","FILING_STATUS=MR","FA_ADJUSTED=GAAP","Sort=A","Dates=H","DateFormat=P","Fill=—","Direction=H","UseDPDF=Y")</f>
        <v>1.6301000000000001</v>
      </c>
      <c r="V12" s="14">
        <f>_xll.BDH("NBIX US Equity","EBITDA_PER_SH","FQ1 2024","FQ1 2024","Currency=USD","Period=FQ","BEST_FPERIOD_OVERRIDE=FQ","FILING_STATUS=MR","FA_ADJUSTED=GAAP","Sort=A","Dates=H","DateFormat=P","Fill=—","Direction=H","UseDPDF=Y")</f>
        <v>1.1473</v>
      </c>
      <c r="W12" s="14">
        <f>_xll.BDH("NBIX US Equity","EBITDA_PER_SH","FQ2 2024","FQ2 2024","Currency=USD","Period=FQ","BEST_FPERIOD_OVERRIDE=FQ","FILING_STATUS=MR","FA_ADJUSTED=GAAP","Sort=A","Dates=H","DateFormat=P","Fill=—","Direction=H","UseDPDF=Y")</f>
        <v>1.6062000000000001</v>
      </c>
      <c r="X12" s="14">
        <f>_xll.BDH("NBIX US Equity","EBITDA_PER_SH","FQ3 2024","FQ3 2024","Currency=USD","Period=FQ","BEST_FPERIOD_OVERRIDE=FQ","FILING_STATUS=MR","FA_ADJUSTED=GAAP","Sort=A","Dates=H","DateFormat=P","Fill=—","Direction=H","UseDPDF=Y")</f>
        <v>1.9693000000000001</v>
      </c>
      <c r="Y12" s="14">
        <f>_xll.BDH("NBIX US Equity","EBITDA_PER_SH","FQ4 2024","FQ4 2024","Currency=USD","Period=FQ","BEST_FPERIOD_OVERRIDE=FQ","FILING_STATUS=MR","FA_ADJUSTED=GAAP","Sort=A","Dates=H","DateFormat=P","Fill=—","Direction=H","UseDPDF=Y")</f>
        <v>1.641</v>
      </c>
      <c r="Z12" s="14"/>
      <c r="AA12" s="14"/>
    </row>
    <row r="13" spans="1:27" x14ac:dyDescent="0.25">
      <c r="A13" s="10" t="s">
        <v>98</v>
      </c>
      <c r="B13" s="10" t="s">
        <v>263</v>
      </c>
      <c r="C13" s="14">
        <f>_xll.BDH("NBIX US Equity","OPER_INC_PER_SH","FQ2 2019","FQ2 2019","Currency=USD","Period=FQ","BEST_FPERIOD_OVERRIDE=FQ","FILING_STATUS=MR","FA_ADJUSTED=GAAP","Sort=A","Dates=H","DateFormat=P","Fill=—","Direction=H","UseDPDF=Y")</f>
        <v>0.37709999999999999</v>
      </c>
      <c r="D13" s="14">
        <f>_xll.BDH("NBIX US Equity","OPER_INC_PER_SH","FQ3 2019","FQ3 2019","Currency=USD","Period=FQ","BEST_FPERIOD_OVERRIDE=FQ","FILING_STATUS=MR","FA_ADJUSTED=GAAP","Sort=A","Dates=H","DateFormat=P","Fill=—","Direction=H","UseDPDF=Y")</f>
        <v>0.98080000000000001</v>
      </c>
      <c r="E13" s="14">
        <f>_xll.BDH("NBIX US Equity","OPER_INC_PER_SH","FQ4 2019","FQ4 2019","Currency=USD","Period=FQ","BEST_FPERIOD_OVERRIDE=FQ","FILING_STATUS=MR","FA_ADJUSTED=GAAP","Sort=A","Dates=H","DateFormat=P","Fill=—","Direction=H","UseDPDF=Y")</f>
        <v>0.52929999999999999</v>
      </c>
      <c r="F13" s="14">
        <f>_xll.BDH("NBIX US Equity","OPER_INC_PER_SH","FQ1 2020","FQ1 2020","Currency=USD","Period=FQ","BEST_FPERIOD_OVERRIDE=FQ","FILING_STATUS=MR","FA_ADJUSTED=GAAP","Sort=A","Dates=H","DateFormat=P","Fill=—","Direction=H","UseDPDF=Y")</f>
        <v>0.6361</v>
      </c>
      <c r="G13" s="14">
        <f>_xll.BDH("NBIX US Equity","OPER_INC_PER_SH","FQ2 2020","FQ2 2020","Currency=USD","Period=FQ","BEST_FPERIOD_OVERRIDE=FQ","FILING_STATUS=MR","FA_ADJUSTED=GAAP","Sort=A","Dates=H","DateFormat=P","Fill=—","Direction=H","UseDPDF=Y")</f>
        <v>0.82369999999999999</v>
      </c>
      <c r="H13" s="14">
        <f>_xll.BDH("NBIX US Equity","OPER_INC_PER_SH","FQ3 2020","FQ3 2020","Currency=USD","Period=FQ","BEST_FPERIOD_OVERRIDE=FQ","FILING_STATUS=MR","FA_ADJUSTED=GAAP","Sort=A","Dates=H","DateFormat=P","Fill=—","Direction=H","UseDPDF=Y")</f>
        <v>-0.4748</v>
      </c>
      <c r="I13" s="14">
        <f>_xll.BDH("NBIX US Equity","OPER_INC_PER_SH","FQ4 2020","FQ4 2020","Currency=USD","Period=FQ","BEST_FPERIOD_OVERRIDE=FQ","FILING_STATUS=MR","FA_ADJUSTED=GAAP","Sort=A","Dates=H","DateFormat=P","Fill=—","Direction=H","UseDPDF=Y")</f>
        <v>0.76790000000000003</v>
      </c>
      <c r="J13" s="14">
        <f>_xll.BDH("NBIX US Equity","OPER_INC_PER_SH","FQ1 2021","FQ1 2021","Currency=USD","Period=FQ","BEST_FPERIOD_OVERRIDE=FQ","FILING_STATUS=MR","FA_ADJUSTED=GAAP","Sort=A","Dates=H","DateFormat=P","Fill=—","Direction=H","UseDPDF=Y")</f>
        <v>0.33439999999999998</v>
      </c>
      <c r="K13" s="14">
        <f>_xll.BDH("NBIX US Equity","OPER_INC_PER_SH","FQ2 2021","FQ2 2021","Currency=USD","Period=FQ","BEST_FPERIOD_OVERRIDE=FQ","FILING_STATUS=MR","FA_ADJUSTED=GAAP","Sort=A","Dates=H","DateFormat=P","Fill=—","Direction=H","UseDPDF=Y")</f>
        <v>0.66379999999999995</v>
      </c>
      <c r="L13" s="14">
        <f>_xll.BDH("NBIX US Equity","OPER_INC_PER_SH","FQ3 2021","FQ3 2021","Currency=USD","Period=FQ","BEST_FPERIOD_OVERRIDE=FQ","FILING_STATUS=MR","FA_ADJUSTED=GAAP","Sort=A","Dates=H","DateFormat=P","Fill=—","Direction=H","UseDPDF=Y")</f>
        <v>0.46989999999999998</v>
      </c>
      <c r="M13" s="14">
        <f>_xll.BDH("NBIX US Equity","OPER_INC_PER_SH","FQ4 2021","FQ4 2021","Currency=USD","Period=FQ","BEST_FPERIOD_OVERRIDE=FQ","FILING_STATUS=MR","FA_ADJUSTED=GAAP","Sort=A","Dates=H","DateFormat=P","Fill=—","Direction=H","UseDPDF=Y")</f>
        <v>-0.38250000000000001</v>
      </c>
      <c r="N13" s="14">
        <f>_xll.BDH("NBIX US Equity","OPER_INC_PER_SH","FQ1 2022","FQ1 2022","Currency=USD","Period=FQ","BEST_FPERIOD_OVERRIDE=FQ","FILING_STATUS=MR","FA_ADJUSTED=GAAP","Sort=A","Dates=H","DateFormat=P","Fill=—","Direction=H","UseDPDF=Y")</f>
        <v>3.2500000000000001E-2</v>
      </c>
      <c r="O13" s="14">
        <f>_xll.BDH("NBIX US Equity","OPER_INC_PER_SH","FQ2 2022","FQ2 2022","Currency=USD","Period=FQ","BEST_FPERIOD_OVERRIDE=FQ","FILING_STATUS=MR","FA_ADJUSTED=GAAP","Sort=A","Dates=H","DateFormat=P","Fill=—","Direction=H","UseDPDF=Y")</f>
        <v>0.57220000000000004</v>
      </c>
      <c r="P13" s="14">
        <f>_xll.BDH("NBIX US Equity","OPER_INC_PER_SH","FQ3 2022","FQ3 2022","Currency=USD","Period=FQ","BEST_FPERIOD_OVERRIDE=FQ","FILING_STATUS=MR","FA_ADJUSTED=GAAP","Sort=A","Dates=H","DateFormat=P","Fill=—","Direction=H","UseDPDF=Y")</f>
        <v>0.91649999999999998</v>
      </c>
      <c r="Q13" s="14">
        <f>_xll.BDH("NBIX US Equity","OPER_INC_PER_SH","FQ4 2022","FQ4 2022","Currency=USD","Period=FQ","BEST_FPERIOD_OVERRIDE=FQ","FILING_STATUS=MR","FA_ADJUSTED=GAAP","Sort=A","Dates=H","DateFormat=P","Fill=—","Direction=H","UseDPDF=Y")</f>
        <v>1.0737000000000001</v>
      </c>
      <c r="R13" s="14">
        <f>_xll.BDH("NBIX US Equity","OPER_INC_PER_SH","FQ1 2023","FQ1 2023","Currency=USD","Period=FQ","BEST_FPERIOD_OVERRIDE=FQ","FILING_STATUS=MR","FA_ADJUSTED=GAAP","Sort=A","Dates=H","DateFormat=P","Fill=—","Direction=H","UseDPDF=Y")</f>
        <v>-1.1760999999999999</v>
      </c>
      <c r="S13" s="14">
        <f>_xll.BDH("NBIX US Equity","OPER_INC_PER_SH","FQ2 2023","FQ2 2023","Currency=USD","Period=FQ","BEST_FPERIOD_OVERRIDE=FQ","FILING_STATUS=MR","FA_ADJUSTED=GAAP","Sort=A","Dates=H","DateFormat=P","Fill=—","Direction=H","UseDPDF=Y")</f>
        <v>0.75409999999999999</v>
      </c>
      <c r="T13" s="14">
        <f>_xll.BDH("NBIX US Equity","OPER_INC_PER_SH","FQ3 2023","FQ3 2023","Currency=USD","Period=FQ","BEST_FPERIOD_OVERRIDE=FQ","FILING_STATUS=MR","FA_ADJUSTED=GAAP","Sort=A","Dates=H","DateFormat=P","Fill=—","Direction=H","UseDPDF=Y")</f>
        <v>1.4422999999999999</v>
      </c>
      <c r="U13" s="14">
        <f>_xll.BDH("NBIX US Equity","OPER_INC_PER_SH","FQ4 2023","FQ4 2023","Currency=USD","Period=FQ","BEST_FPERIOD_OVERRIDE=FQ","FILING_STATUS=MR","FA_ADJUSTED=GAAP","Sort=A","Dates=H","DateFormat=P","Fill=—","Direction=H","UseDPDF=Y")</f>
        <v>1.5274000000000001</v>
      </c>
      <c r="V13" s="14">
        <f>_xll.BDH("NBIX US Equity","OPER_INC_PER_SH","FQ1 2024","FQ1 2024","Currency=USD","Period=FQ","BEST_FPERIOD_OVERRIDE=FQ","FILING_STATUS=MR","FA_ADJUSTED=GAAP","Sort=A","Dates=H","DateFormat=P","Fill=—","Direction=H","UseDPDF=Y")</f>
        <v>0.995</v>
      </c>
      <c r="W13" s="14">
        <f>_xll.BDH("NBIX US Equity","OPER_INC_PER_SH","FQ2 2024","FQ2 2024","Currency=USD","Period=FQ","BEST_FPERIOD_OVERRIDE=FQ","FILING_STATUS=MR","FA_ADJUSTED=GAAP","Sort=A","Dates=H","DateFormat=P","Fill=—","Direction=H","UseDPDF=Y")</f>
        <v>1.4424999999999999</v>
      </c>
      <c r="X13" s="14">
        <f>_xll.BDH("NBIX US Equity","OPER_INC_PER_SH","FQ3 2024","FQ3 2024","Currency=USD","Period=FQ","BEST_FPERIOD_OVERRIDE=FQ","FILING_STATUS=MR","FA_ADJUSTED=GAAP","Sort=A","Dates=H","DateFormat=P","Fill=—","Direction=H","UseDPDF=Y")</f>
        <v>1.8180000000000001</v>
      </c>
      <c r="Y13" s="14">
        <f>_xll.BDH("NBIX US Equity","OPER_INC_PER_SH","FQ4 2024","FQ4 2024","Currency=USD","Period=FQ","BEST_FPERIOD_OVERRIDE=FQ","FILING_STATUS=MR","FA_ADJUSTED=GAAP","Sort=A","Dates=H","DateFormat=P","Fill=—","Direction=H","UseDPDF=Y")</f>
        <v>1.42</v>
      </c>
      <c r="Z13" s="14"/>
      <c r="AA13" s="14"/>
    </row>
    <row r="14" spans="1:27" x14ac:dyDescent="0.25">
      <c r="A14" s="10" t="s">
        <v>264</v>
      </c>
      <c r="B14" s="10" t="s">
        <v>102</v>
      </c>
      <c r="C14" s="14">
        <f>_xll.BDH("NBIX US Equity","IS_EPS","FQ2 2019","FQ2 2019","Currency=USD","Period=FQ","BEST_FPERIOD_OVERRIDE=FQ","FILING_STATUS=MR","FA_ADJUSTED=GAAP","Sort=A","Dates=H","DateFormat=P","Fill=—","Direction=H","UseDPDF=Y")</f>
        <v>0.56000000000000005</v>
      </c>
      <c r="D14" s="14">
        <f>_xll.BDH("NBIX US Equity","IS_EPS","FQ3 2019","FQ3 2019","Currency=USD","Period=FQ","BEST_FPERIOD_OVERRIDE=FQ","FILING_STATUS=MR","FA_ADJUSTED=GAAP","Sort=A","Dates=H","DateFormat=P","Fill=—","Direction=H","UseDPDF=Y")</f>
        <v>0.59</v>
      </c>
      <c r="E14" s="14">
        <f>_xll.BDH("NBIX US Equity","IS_EPS","FQ4 2019","FQ4 2019","Currency=USD","Period=FQ","BEST_FPERIOD_OVERRIDE=FQ","FILING_STATUS=MR","FA_ADJUSTED=GAAP","Sort=A","Dates=H","DateFormat=P","Fill=—","Direction=H","UseDPDF=Y")</f>
        <v>0.37</v>
      </c>
      <c r="F14" s="14">
        <f>_xll.BDH("NBIX US Equity","IS_EPS","FQ1 2020","FQ1 2020","Currency=USD","Period=FQ","BEST_FPERIOD_OVERRIDE=FQ","FILING_STATUS=MR","FA_ADJUSTED=GAAP","Sort=A","Dates=H","DateFormat=P","Fill=—","Direction=H","UseDPDF=Y")</f>
        <v>0.4</v>
      </c>
      <c r="G14" s="14">
        <f>_xll.BDH("NBIX US Equity","IS_EPS","FQ2 2020","FQ2 2020","Currency=USD","Period=FQ","BEST_FPERIOD_OVERRIDE=FQ","FILING_STATUS=MR","FA_ADJUSTED=GAAP","Sort=A","Dates=H","DateFormat=P","Fill=—","Direction=H","UseDPDF=Y")</f>
        <v>0.86</v>
      </c>
      <c r="H14" s="14">
        <f>_xll.BDH("NBIX US Equity","IS_EPS","FQ3 2020","FQ3 2020","Currency=USD","Period=FQ","BEST_FPERIOD_OVERRIDE=FQ","FILING_STATUS=MR","FA_ADJUSTED=GAAP","Sort=A","Dates=H","DateFormat=P","Fill=—","Direction=H","UseDPDF=Y")</f>
        <v>-0.62</v>
      </c>
      <c r="I14" s="14">
        <f>_xll.BDH("NBIX US Equity","IS_EPS","FQ4 2020","FQ4 2020","Currency=USD","Period=FQ","BEST_FPERIOD_OVERRIDE=FQ","FILING_STATUS=MR","FA_ADJUSTED=GAAP","Sort=A","Dates=H","DateFormat=P","Fill=—","Direction=H","UseDPDF=Y")</f>
        <v>3.72</v>
      </c>
      <c r="J14" s="14">
        <f>_xll.BDH("NBIX US Equity","IS_EPS","FQ1 2021","FQ1 2021","Currency=USD","Period=FQ","BEST_FPERIOD_OVERRIDE=FQ","FILING_STATUS=MR","FA_ADJUSTED=GAAP","Sort=A","Dates=H","DateFormat=P","Fill=—","Direction=H","UseDPDF=Y")</f>
        <v>0.34</v>
      </c>
      <c r="K14" s="14">
        <f>_xll.BDH("NBIX US Equity","IS_EPS","FQ2 2021","FQ2 2021","Currency=USD","Period=FQ","BEST_FPERIOD_OVERRIDE=FQ","FILING_STATUS=MR","FA_ADJUSTED=GAAP","Sort=A","Dates=H","DateFormat=P","Fill=—","Direction=H","UseDPDF=Y")</f>
        <v>0.45</v>
      </c>
      <c r="L14" s="14">
        <f>_xll.BDH("NBIX US Equity","IS_EPS","FQ3 2021","FQ3 2021","Currency=USD","Period=FQ","BEST_FPERIOD_OVERRIDE=FQ","FILING_STATUS=MR","FA_ADJUSTED=GAAP","Sort=A","Dates=H","DateFormat=P","Fill=—","Direction=H","UseDPDF=Y")</f>
        <v>0.24</v>
      </c>
      <c r="M14" s="14">
        <f>_xll.BDH("NBIX US Equity","IS_EPS","FQ4 2021","FQ4 2021","Currency=USD","Period=FQ","BEST_FPERIOD_OVERRIDE=FQ","FILING_STATUS=MR","FA_ADJUSTED=GAAP","Sort=A","Dates=H","DateFormat=P","Fill=—","Direction=H","UseDPDF=Y")</f>
        <v>-0.08</v>
      </c>
      <c r="N14" s="14">
        <f>_xll.BDH("NBIX US Equity","IS_EPS","FQ1 2022","FQ1 2022","Currency=USD","Period=FQ","BEST_FPERIOD_OVERRIDE=FQ","FILING_STATUS=MR","FA_ADJUSTED=GAAP","Sort=A","Dates=H","DateFormat=P","Fill=—","Direction=H","UseDPDF=Y")</f>
        <v>0.15</v>
      </c>
      <c r="O14" s="14">
        <f>_xll.BDH("NBIX US Equity","IS_EPS","FQ2 2022","FQ2 2022","Currency=USD","Period=FQ","BEST_FPERIOD_OVERRIDE=FQ","FILING_STATUS=MR","FA_ADJUSTED=GAAP","Sort=A","Dates=H","DateFormat=P","Fill=—","Direction=H","UseDPDF=Y")</f>
        <v>-0.18</v>
      </c>
      <c r="P14" s="14">
        <f>_xll.BDH("NBIX US Equity","IS_EPS","FQ3 2022","FQ3 2022","Currency=USD","Period=FQ","BEST_FPERIOD_OVERRIDE=FQ","FILING_STATUS=MR","FA_ADJUSTED=GAAP","Sort=A","Dates=H","DateFormat=P","Fill=—","Direction=H","UseDPDF=Y")</f>
        <v>0.72</v>
      </c>
      <c r="Q14" s="14">
        <f>_xll.BDH("NBIX US Equity","IS_EPS","FQ4 2022","FQ4 2022","Currency=USD","Period=FQ","BEST_FPERIOD_OVERRIDE=FQ","FILING_STATUS=MR","FA_ADJUSTED=GAAP","Sort=A","Dates=H","DateFormat=P","Fill=—","Direction=H","UseDPDF=Y")</f>
        <v>0.92</v>
      </c>
      <c r="R14" s="14">
        <f>_xll.BDH("NBIX US Equity","IS_EPS","FQ1 2023","FQ1 2023","Currency=USD","Period=FQ","BEST_FPERIOD_OVERRIDE=FQ","FILING_STATUS=MR","FA_ADJUSTED=GAAP","Sort=A","Dates=H","DateFormat=P","Fill=—","Direction=H","UseDPDF=Y")</f>
        <v>-0.79</v>
      </c>
      <c r="S14" s="14">
        <f>_xll.BDH("NBIX US Equity","IS_EPS","FQ2 2023","FQ2 2023","Currency=USD","Period=FQ","BEST_FPERIOD_OVERRIDE=FQ","FILING_STATUS=MR","FA_ADJUSTED=GAAP","Sort=A","Dates=H","DateFormat=P","Fill=—","Direction=H","UseDPDF=Y")</f>
        <v>0.98</v>
      </c>
      <c r="T14" s="14">
        <f>_xll.BDH("NBIX US Equity","IS_EPS","FQ3 2023","FQ3 2023","Currency=USD","Period=FQ","BEST_FPERIOD_OVERRIDE=FQ","FILING_STATUS=MR","FA_ADJUSTED=GAAP","Sort=A","Dates=H","DateFormat=P","Fill=—","Direction=H","UseDPDF=Y")</f>
        <v>0.85</v>
      </c>
      <c r="U14" s="14">
        <f>_xll.BDH("NBIX US Equity","IS_EPS","FQ4 2023","FQ4 2023","Currency=USD","Period=FQ","BEST_FPERIOD_OVERRIDE=FQ","FILING_STATUS=MR","FA_ADJUSTED=GAAP","Sort=A","Dates=H","DateFormat=P","Fill=—","Direction=H","UseDPDF=Y")</f>
        <v>1.5</v>
      </c>
      <c r="V14" s="14">
        <f>_xll.BDH("NBIX US Equity","IS_EPS","FQ1 2024","FQ1 2024","Currency=USD","Period=FQ","BEST_FPERIOD_OVERRIDE=FQ","FILING_STATUS=MR","FA_ADJUSTED=GAAP","Sort=A","Dates=H","DateFormat=P","Fill=—","Direction=H","UseDPDF=Y")</f>
        <v>0.43</v>
      </c>
      <c r="W14" s="14">
        <f>_xll.BDH("NBIX US Equity","IS_EPS","FQ2 2024","FQ2 2024","Currency=USD","Period=FQ","BEST_FPERIOD_OVERRIDE=FQ","FILING_STATUS=MR","FA_ADJUSTED=GAAP","Sort=A","Dates=H","DateFormat=P","Fill=—","Direction=H","UseDPDF=Y")</f>
        <v>0.64</v>
      </c>
      <c r="X14" s="14">
        <f>_xll.BDH("NBIX US Equity","IS_EPS","FQ3 2024","FQ3 2024","Currency=USD","Period=FQ","BEST_FPERIOD_OVERRIDE=FQ","FILING_STATUS=MR","FA_ADJUSTED=GAAP","Sort=A","Dates=H","DateFormat=P","Fill=—","Direction=H","UseDPDF=Y")</f>
        <v>1.28</v>
      </c>
      <c r="Y14" s="14">
        <f>_xll.BDH("NBIX US Equity","IS_EPS","FQ4 2024","FQ4 2024","Currency=USD","Period=FQ","BEST_FPERIOD_OVERRIDE=FQ","FILING_STATUS=MR","FA_ADJUSTED=GAAP","Sort=A","Dates=H","DateFormat=P","Fill=—","Direction=H","UseDPDF=Y")</f>
        <v>1.03</v>
      </c>
      <c r="Z14" s="14">
        <v>0.81399999999999995</v>
      </c>
      <c r="AA14" s="14">
        <v>0.97199999999999998</v>
      </c>
    </row>
    <row r="15" spans="1:27" x14ac:dyDescent="0.25">
      <c r="A15" s="10" t="s">
        <v>265</v>
      </c>
      <c r="B15" s="10" t="s">
        <v>266</v>
      </c>
      <c r="C15" s="14">
        <f>_xll.BDH("NBIX US Equity","IS_EARN_BEF_XO_ITEMS_PER_SH","FQ2 2019","FQ2 2019","Currency=USD","Period=FQ","BEST_FPERIOD_OVERRIDE=FQ","FILING_STATUS=MR","Sort=A","Dates=H","DateFormat=P","Fill=—","Direction=H","UseDPDF=Y")</f>
        <v>0.56000000000000005</v>
      </c>
      <c r="D15" s="14">
        <f>_xll.BDH("NBIX US Equity","IS_EARN_BEF_XO_ITEMS_PER_SH","FQ3 2019","FQ3 2019","Currency=USD","Period=FQ","BEST_FPERIOD_OVERRIDE=FQ","FILING_STATUS=MR","Sort=A","Dates=H","DateFormat=P","Fill=—","Direction=H","UseDPDF=Y")</f>
        <v>0.59</v>
      </c>
      <c r="E15" s="14">
        <f>_xll.BDH("NBIX US Equity","IS_EARN_BEF_XO_ITEMS_PER_SH","FQ4 2019","FQ4 2019","Currency=USD","Period=FQ","BEST_FPERIOD_OVERRIDE=FQ","FILING_STATUS=MR","Sort=A","Dates=H","DateFormat=P","Fill=—","Direction=H","UseDPDF=Y")</f>
        <v>0.37</v>
      </c>
      <c r="F15" s="14">
        <f>_xll.BDH("NBIX US Equity","IS_EARN_BEF_XO_ITEMS_PER_SH","FQ1 2020","FQ1 2020","Currency=USD","Period=FQ","BEST_FPERIOD_OVERRIDE=FQ","FILING_STATUS=MR","Sort=A","Dates=H","DateFormat=P","Fill=—","Direction=H","UseDPDF=Y")</f>
        <v>0.4</v>
      </c>
      <c r="G15" s="14">
        <f>_xll.BDH("NBIX US Equity","IS_EARN_BEF_XO_ITEMS_PER_SH","FQ2 2020","FQ2 2020","Currency=USD","Period=FQ","BEST_FPERIOD_OVERRIDE=FQ","FILING_STATUS=MR","Sort=A","Dates=H","DateFormat=P","Fill=—","Direction=H","UseDPDF=Y")</f>
        <v>0.86</v>
      </c>
      <c r="H15" s="14">
        <f>_xll.BDH("NBIX US Equity","IS_EARN_BEF_XO_ITEMS_PER_SH","FQ3 2020","FQ3 2020","Currency=USD","Period=FQ","BEST_FPERIOD_OVERRIDE=FQ","FILING_STATUS=MR","Sort=A","Dates=H","DateFormat=P","Fill=—","Direction=H","UseDPDF=Y")</f>
        <v>-0.62</v>
      </c>
      <c r="I15" s="14">
        <f>_xll.BDH("NBIX US Equity","IS_EARN_BEF_XO_ITEMS_PER_SH","FQ4 2020","FQ4 2020","Currency=USD","Period=FQ","BEST_FPERIOD_OVERRIDE=FQ","FILING_STATUS=MR","Sort=A","Dates=H","DateFormat=P","Fill=—","Direction=H","UseDPDF=Y")</f>
        <v>3.72</v>
      </c>
      <c r="J15" s="14">
        <f>_xll.BDH("NBIX US Equity","IS_EARN_BEF_XO_ITEMS_PER_SH","FQ1 2021","FQ1 2021","Currency=USD","Period=FQ","BEST_FPERIOD_OVERRIDE=FQ","FILING_STATUS=MR","Sort=A","Dates=H","DateFormat=P","Fill=—","Direction=H","UseDPDF=Y")</f>
        <v>0.34</v>
      </c>
      <c r="K15" s="14">
        <f>_xll.BDH("NBIX US Equity","IS_EARN_BEF_XO_ITEMS_PER_SH","FQ2 2021","FQ2 2021","Currency=USD","Period=FQ","BEST_FPERIOD_OVERRIDE=FQ","FILING_STATUS=MR","Sort=A","Dates=H","DateFormat=P","Fill=—","Direction=H","UseDPDF=Y")</f>
        <v>0.45</v>
      </c>
      <c r="L15" s="14">
        <f>_xll.BDH("NBIX US Equity","IS_EARN_BEF_XO_ITEMS_PER_SH","FQ3 2021","FQ3 2021","Currency=USD","Period=FQ","BEST_FPERIOD_OVERRIDE=FQ","FILING_STATUS=MR","Sort=A","Dates=H","DateFormat=P","Fill=—","Direction=H","UseDPDF=Y")</f>
        <v>0.24</v>
      </c>
      <c r="M15" s="14">
        <f>_xll.BDH("NBIX US Equity","IS_EARN_BEF_XO_ITEMS_PER_SH","FQ4 2021","FQ4 2021","Currency=USD","Period=FQ","BEST_FPERIOD_OVERRIDE=FQ","FILING_STATUS=MR","Sort=A","Dates=H","DateFormat=P","Fill=—","Direction=H","UseDPDF=Y")</f>
        <v>-0.08</v>
      </c>
      <c r="N15" s="14">
        <f>_xll.BDH("NBIX US Equity","IS_EARN_BEF_XO_ITEMS_PER_SH","FQ1 2022","FQ1 2022","Currency=USD","Period=FQ","BEST_FPERIOD_OVERRIDE=FQ","FILING_STATUS=MR","Sort=A","Dates=H","DateFormat=P","Fill=—","Direction=H","UseDPDF=Y")</f>
        <v>0.15</v>
      </c>
      <c r="O15" s="14">
        <f>_xll.BDH("NBIX US Equity","IS_EARN_BEF_XO_ITEMS_PER_SH","FQ2 2022","FQ2 2022","Currency=USD","Period=FQ","BEST_FPERIOD_OVERRIDE=FQ","FILING_STATUS=MR","Sort=A","Dates=H","DateFormat=P","Fill=—","Direction=H","UseDPDF=Y")</f>
        <v>-0.18</v>
      </c>
      <c r="P15" s="14">
        <f>_xll.BDH("NBIX US Equity","IS_EARN_BEF_XO_ITEMS_PER_SH","FQ3 2022","FQ3 2022","Currency=USD","Period=FQ","BEST_FPERIOD_OVERRIDE=FQ","FILING_STATUS=MR","Sort=A","Dates=H","DateFormat=P","Fill=—","Direction=H","UseDPDF=Y")</f>
        <v>0.72</v>
      </c>
      <c r="Q15" s="14">
        <f>_xll.BDH("NBIX US Equity","IS_EARN_BEF_XO_ITEMS_PER_SH","FQ4 2022","FQ4 2022","Currency=USD","Period=FQ","BEST_FPERIOD_OVERRIDE=FQ","FILING_STATUS=MR","Sort=A","Dates=H","DateFormat=P","Fill=—","Direction=H","UseDPDF=Y")</f>
        <v>0.92</v>
      </c>
      <c r="R15" s="14">
        <f>_xll.BDH("NBIX US Equity","IS_EARN_BEF_XO_ITEMS_PER_SH","FQ1 2023","FQ1 2023","Currency=USD","Period=FQ","BEST_FPERIOD_OVERRIDE=FQ","FILING_STATUS=MR","Sort=A","Dates=H","DateFormat=P","Fill=—","Direction=H","UseDPDF=Y")</f>
        <v>-0.79</v>
      </c>
      <c r="S15" s="14">
        <f>_xll.BDH("NBIX US Equity","IS_EARN_BEF_XO_ITEMS_PER_SH","FQ2 2023","FQ2 2023","Currency=USD","Period=FQ","BEST_FPERIOD_OVERRIDE=FQ","FILING_STATUS=MR","Sort=A","Dates=H","DateFormat=P","Fill=—","Direction=H","UseDPDF=Y")</f>
        <v>0.98</v>
      </c>
      <c r="T15" s="14">
        <f>_xll.BDH("NBIX US Equity","IS_EARN_BEF_XO_ITEMS_PER_SH","FQ3 2023","FQ3 2023","Currency=USD","Period=FQ","BEST_FPERIOD_OVERRIDE=FQ","FILING_STATUS=MR","Sort=A","Dates=H","DateFormat=P","Fill=—","Direction=H","UseDPDF=Y")</f>
        <v>0.85</v>
      </c>
      <c r="U15" s="14">
        <f>_xll.BDH("NBIX US Equity","IS_EARN_BEF_XO_ITEMS_PER_SH","FQ4 2023","FQ4 2023","Currency=USD","Period=FQ","BEST_FPERIOD_OVERRIDE=FQ","FILING_STATUS=MR","Sort=A","Dates=H","DateFormat=P","Fill=—","Direction=H","UseDPDF=Y")</f>
        <v>1.5</v>
      </c>
      <c r="V15" s="14">
        <f>_xll.BDH("NBIX US Equity","IS_EARN_BEF_XO_ITEMS_PER_SH","FQ1 2024","FQ1 2024","Currency=USD","Period=FQ","BEST_FPERIOD_OVERRIDE=FQ","FILING_STATUS=MR","Sort=A","Dates=H","DateFormat=P","Fill=—","Direction=H","UseDPDF=Y")</f>
        <v>0.43</v>
      </c>
      <c r="W15" s="14">
        <f>_xll.BDH("NBIX US Equity","IS_EARN_BEF_XO_ITEMS_PER_SH","FQ2 2024","FQ2 2024","Currency=USD","Period=FQ","BEST_FPERIOD_OVERRIDE=FQ","FILING_STATUS=MR","Sort=A","Dates=H","DateFormat=P","Fill=—","Direction=H","UseDPDF=Y")</f>
        <v>0.64</v>
      </c>
      <c r="X15" s="14">
        <f>_xll.BDH("NBIX US Equity","IS_EARN_BEF_XO_ITEMS_PER_SH","FQ3 2024","FQ3 2024","Currency=USD","Period=FQ","BEST_FPERIOD_OVERRIDE=FQ","FILING_STATUS=MR","Sort=A","Dates=H","DateFormat=P","Fill=—","Direction=H","UseDPDF=Y")</f>
        <v>1.28</v>
      </c>
      <c r="Y15" s="14">
        <f>_xll.BDH("NBIX US Equity","IS_EARN_BEF_XO_ITEMS_PER_SH","FQ4 2024","FQ4 2024","Currency=USD","Period=FQ","BEST_FPERIOD_OVERRIDE=FQ","FILING_STATUS=MR","Sort=A","Dates=H","DateFormat=P","Fill=—","Direction=H","UseDPDF=Y")</f>
        <v>1.03</v>
      </c>
      <c r="Z15" s="14">
        <v>0.81399999999999995</v>
      </c>
      <c r="AA15" s="14">
        <v>0.97199999999999998</v>
      </c>
    </row>
    <row r="16" spans="1:27" x14ac:dyDescent="0.25">
      <c r="A16" s="10" t="s">
        <v>267</v>
      </c>
      <c r="B16" s="10" t="s">
        <v>268</v>
      </c>
      <c r="C16" s="14">
        <f>_xll.BDH("NBIX US Equity","IS_BASIC_EPS_CONT_OPS","FQ2 2019","FQ2 2019","Currency=USD","Period=FQ","BEST_FPERIOD_OVERRIDE=FQ","FILING_STATUS=MR","Sort=A","Dates=H","DateFormat=P","Fill=—","Direction=H","UseDPDF=Y")</f>
        <v>0.42370000000000002</v>
      </c>
      <c r="D16" s="14">
        <f>_xll.BDH("NBIX US Equity","IS_BASIC_EPS_CONT_OPS","FQ3 2019","FQ3 2019","Currency=USD","Period=FQ","BEST_FPERIOD_OVERRIDE=FQ","FILING_STATUS=MR","Sort=A","Dates=H","DateFormat=P","Fill=—","Direction=H","UseDPDF=Y")</f>
        <v>0.83020000000000005</v>
      </c>
      <c r="E16" s="14">
        <f>_xll.BDH("NBIX US Equity","IS_BASIC_EPS_CONT_OPS","FQ4 2019","FQ4 2019","Currency=USD","Period=FQ","BEST_FPERIOD_OVERRIDE=FQ","FILING_STATUS=MR","Sort=A","Dates=H","DateFormat=P","Fill=—","Direction=H","UseDPDF=Y")</f>
        <v>0.83399999999999996</v>
      </c>
      <c r="F16" s="14">
        <f>_xll.BDH("NBIX US Equity","IS_BASIC_EPS_CONT_OPS","FQ1 2020","FQ1 2020","Currency=USD","Period=FQ","BEST_FPERIOD_OVERRIDE=FQ","FILING_STATUS=MR","Sort=A","Dates=H","DateFormat=P","Fill=—","Direction=H","UseDPDF=Y")</f>
        <v>0.57550000000000001</v>
      </c>
      <c r="G16" s="14">
        <f>_xll.BDH("NBIX US Equity","IS_BASIC_EPS_CONT_OPS","FQ2 2020","FQ2 2020","Currency=USD","Period=FQ","BEST_FPERIOD_OVERRIDE=FQ","FILING_STATUS=MR","Sort=A","Dates=H","DateFormat=P","Fill=—","Direction=H","UseDPDF=Y")</f>
        <v>1.2283999999999999</v>
      </c>
      <c r="H16" s="14">
        <f>_xll.BDH("NBIX US Equity","IS_BASIC_EPS_CONT_OPS","FQ3 2020","FQ3 2020","Currency=USD","Period=FQ","BEST_FPERIOD_OVERRIDE=FQ","FILING_STATUS=MR","Sort=A","Dates=H","DateFormat=P","Fill=—","Direction=H","UseDPDF=Y")</f>
        <v>0.69699999999999995</v>
      </c>
      <c r="I16" s="14">
        <f>_xll.BDH("NBIX US Equity","IS_BASIC_EPS_CONT_OPS","FQ4 2020","FQ4 2020","Currency=USD","Period=FQ","BEST_FPERIOD_OVERRIDE=FQ","FILING_STATUS=MR","Sort=A","Dates=H","DateFormat=P","Fill=—","Direction=H","UseDPDF=Y")</f>
        <v>2.3711000000000002</v>
      </c>
      <c r="J16" s="14">
        <f>_xll.BDH("NBIX US Equity","IS_BASIC_EPS_CONT_OPS","FQ1 2021","FQ1 2021","Currency=USD","Period=FQ","BEST_FPERIOD_OVERRIDE=FQ","FILING_STATUS=MR","Sort=A","Dates=H","DateFormat=P","Fill=—","Direction=H","UseDPDF=Y")</f>
        <v>0.33739999999999998</v>
      </c>
      <c r="K16" s="14">
        <f>_xll.BDH("NBIX US Equity","IS_BASIC_EPS_CONT_OPS","FQ2 2021","FQ2 2021","Currency=USD","Period=FQ","BEST_FPERIOD_OVERRIDE=FQ","FILING_STATUS=MR","Sort=A","Dates=H","DateFormat=P","Fill=—","Direction=H","UseDPDF=Y")</f>
        <v>0.49359999999999998</v>
      </c>
      <c r="L16" s="14">
        <f>_xll.BDH("NBIX US Equity","IS_BASIC_EPS_CONT_OPS","FQ3 2021","FQ3 2021","Currency=USD","Period=FQ","BEST_FPERIOD_OVERRIDE=FQ","FILING_STATUS=MR","Sort=A","Dates=H","DateFormat=P","Fill=—","Direction=H","UseDPDF=Y")</f>
        <v>0.31630000000000003</v>
      </c>
      <c r="M16" s="14">
        <f>_xll.BDH("NBIX US Equity","IS_BASIC_EPS_CONT_OPS","FQ4 2021","FQ4 2021","Currency=USD","Period=FQ","BEST_FPERIOD_OVERRIDE=FQ","FILING_STATUS=MR","Sort=A","Dates=H","DateFormat=P","Fill=—","Direction=H","UseDPDF=Y")</f>
        <v>0.52159999999999995</v>
      </c>
      <c r="N16" s="14">
        <f>_xll.BDH("NBIX US Equity","IS_BASIC_EPS_CONT_OPS","FQ1 2022","FQ1 2022","Currency=USD","Period=FQ","BEST_FPERIOD_OVERRIDE=FQ","FILING_STATUS=MR","Sort=A","Dates=H","DateFormat=P","Fill=—","Direction=H","UseDPDF=Y")</f>
        <v>-4.2700000000000002E-2</v>
      </c>
      <c r="O16" s="14">
        <f>_xll.BDH("NBIX US Equity","IS_BASIC_EPS_CONT_OPS","FQ2 2022","FQ2 2022","Currency=USD","Period=FQ","BEST_FPERIOD_OVERRIDE=FQ","FILING_STATUS=MR","Sort=A","Dates=H","DateFormat=P","Fill=—","Direction=H","UseDPDF=Y")</f>
        <v>-0.11559999999999999</v>
      </c>
      <c r="P16" s="14">
        <f>_xll.BDH("NBIX US Equity","IS_BASIC_EPS_CONT_OPS","FQ3 2022","FQ3 2022","Currency=USD","Period=FQ","BEST_FPERIOD_OVERRIDE=FQ","FILING_STATUS=MR","Sort=A","Dates=H","DateFormat=P","Fill=—","Direction=H","UseDPDF=Y")</f>
        <v>0.82240000000000002</v>
      </c>
      <c r="Q16" s="14">
        <f>_xll.BDH("NBIX US Equity","IS_BASIC_EPS_CONT_OPS","FQ4 2022","FQ4 2022","Currency=USD","Period=FQ","BEST_FPERIOD_OVERRIDE=FQ","FILING_STATUS=MR","Sort=A","Dates=H","DateFormat=P","Fill=—","Direction=H","UseDPDF=Y")</f>
        <v>0.93489999999999995</v>
      </c>
      <c r="R16" s="14">
        <f>_xll.BDH("NBIX US Equity","IS_BASIC_EPS_CONT_OPS","FQ1 2023","FQ1 2023","Currency=USD","Period=FQ","BEST_FPERIOD_OVERRIDE=FQ","FILING_STATUS=MR","Sort=A","Dates=H","DateFormat=P","Fill=—","Direction=H","UseDPDF=Y")</f>
        <v>0.36609999999999998</v>
      </c>
      <c r="S16" s="14">
        <f>_xll.BDH("NBIX US Equity","IS_BASIC_EPS_CONT_OPS","FQ2 2023","FQ2 2023","Currency=USD","Period=FQ","BEST_FPERIOD_OVERRIDE=FQ","FILING_STATUS=MR","Sort=A","Dates=H","DateFormat=P","Fill=—","Direction=H","UseDPDF=Y")</f>
        <v>0.67659999999999998</v>
      </c>
      <c r="T16" s="14">
        <f>_xll.BDH("NBIX US Equity","IS_BASIC_EPS_CONT_OPS","FQ3 2023","FQ3 2023","Currency=USD","Period=FQ","BEST_FPERIOD_OVERRIDE=FQ","FILING_STATUS=MR","Sort=A","Dates=H","DateFormat=P","Fill=—","Direction=H","UseDPDF=Y")</f>
        <v>1.4097999999999999</v>
      </c>
      <c r="U16" s="14">
        <f>_xll.BDH("NBIX US Equity","IS_BASIC_EPS_CONT_OPS","FQ4 2023","FQ4 2023","Currency=USD","Period=FQ","BEST_FPERIOD_OVERRIDE=FQ","FILING_STATUS=MR","Sort=A","Dates=H","DateFormat=P","Fill=—","Direction=H","UseDPDF=Y")</f>
        <v>1.2682</v>
      </c>
      <c r="V16" s="14">
        <f>_xll.BDH("NBIX US Equity","IS_BASIC_EPS_CONT_OPS","FQ1 2024","FQ1 2024","Currency=USD","Period=FQ","BEST_FPERIOD_OVERRIDE=FQ","FILING_STATUS=MR","Sort=A","Dates=H","DateFormat=P","Fill=—","Direction=H","UseDPDF=Y")</f>
        <v>0.47249999999999998</v>
      </c>
      <c r="W16" s="14">
        <f>_xll.BDH("NBIX US Equity","IS_BASIC_EPS_CONT_OPS","FQ2 2024","FQ2 2024","Currency=USD","Period=FQ","BEST_FPERIOD_OVERRIDE=FQ","FILING_STATUS=MR","Sort=A","Dates=H","DateFormat=P","Fill=—","Direction=H","UseDPDF=Y")</f>
        <v>1.7286999999999999</v>
      </c>
      <c r="X16" s="14">
        <f>_xll.BDH("NBIX US Equity","IS_BASIC_EPS_CONT_OPS","FQ3 2024","FQ3 2024","Currency=USD","Period=FQ","BEST_FPERIOD_OVERRIDE=FQ","FILING_STATUS=MR","Sort=A","Dates=H","DateFormat=P","Fill=—","Direction=H","UseDPDF=Y")</f>
        <v>1.5556000000000001</v>
      </c>
      <c r="Y16" s="14">
        <f>_xll.BDH("NBIX US Equity","IS_BASIC_EPS_CONT_OPS","FQ4 2024","FQ4 2024","Currency=USD","Period=FQ","BEST_FPERIOD_OVERRIDE=FQ","FILING_STATUS=MR","Sort=A","Dates=H","DateFormat=P","Fill=—","Direction=H","UseDPDF=Y")</f>
        <v>1.0737000000000001</v>
      </c>
      <c r="Z16" s="14">
        <v>1.2450000000000001</v>
      </c>
      <c r="AA16" s="14">
        <v>1.444</v>
      </c>
    </row>
    <row r="17" spans="1:27" x14ac:dyDescent="0.25">
      <c r="A17" s="10" t="s">
        <v>269</v>
      </c>
      <c r="B17" s="10" t="s">
        <v>104</v>
      </c>
      <c r="C17" s="14">
        <f>_xll.BDH("NBIX US Equity","IS_DILUTED_EPS","FQ2 2019","FQ2 2019","Currency=USD","Period=FQ","BEST_FPERIOD_OVERRIDE=FQ","FILING_STATUS=MR","FA_ADJUSTED=GAAP","Sort=A","Dates=H","DateFormat=P","Fill=—","Direction=H","UseDPDF=Y")</f>
        <v>0.54</v>
      </c>
      <c r="D17" s="14">
        <f>_xll.BDH("NBIX US Equity","IS_DILUTED_EPS","FQ3 2019","FQ3 2019","Currency=USD","Period=FQ","BEST_FPERIOD_OVERRIDE=FQ","FILING_STATUS=MR","FA_ADJUSTED=GAAP","Sort=A","Dates=H","DateFormat=P","Fill=—","Direction=H","UseDPDF=Y")</f>
        <v>0.56000000000000005</v>
      </c>
      <c r="E17" s="14">
        <f>_xll.BDH("NBIX US Equity","IS_DILUTED_EPS","FQ4 2019","FQ4 2019","Currency=USD","Period=FQ","BEST_FPERIOD_OVERRIDE=FQ","FILING_STATUS=MR","FA_ADJUSTED=GAAP","Sort=A","Dates=H","DateFormat=P","Fill=—","Direction=H","UseDPDF=Y")</f>
        <v>0.35</v>
      </c>
      <c r="F17" s="14">
        <f>_xll.BDH("NBIX US Equity","IS_DILUTED_EPS","FQ1 2020","FQ1 2020","Currency=USD","Period=FQ","BEST_FPERIOD_OVERRIDE=FQ","FILING_STATUS=MR","FA_ADJUSTED=GAAP","Sort=A","Dates=H","DateFormat=P","Fill=—","Direction=H","UseDPDF=Y")</f>
        <v>0.39</v>
      </c>
      <c r="G17" s="14">
        <f>_xll.BDH("NBIX US Equity","IS_DILUTED_EPS","FQ2 2020","FQ2 2020","Currency=USD","Period=FQ","BEST_FPERIOD_OVERRIDE=FQ","FILING_STATUS=MR","FA_ADJUSTED=GAAP","Sort=A","Dates=H","DateFormat=P","Fill=—","Direction=H","UseDPDF=Y")</f>
        <v>0.81</v>
      </c>
      <c r="H17" s="14">
        <f>_xll.BDH("NBIX US Equity","IS_DILUTED_EPS","FQ3 2020","FQ3 2020","Currency=USD","Period=FQ","BEST_FPERIOD_OVERRIDE=FQ","FILING_STATUS=MR","FA_ADJUSTED=GAAP","Sort=A","Dates=H","DateFormat=P","Fill=—","Direction=H","UseDPDF=Y")</f>
        <v>-0.62</v>
      </c>
      <c r="I17" s="14">
        <f>_xll.BDH("NBIX US Equity","IS_DILUTED_EPS","FQ4 2020","FQ4 2020","Currency=USD","Period=FQ","BEST_FPERIOD_OVERRIDE=FQ","FILING_STATUS=MR","FA_ADJUSTED=GAAP","Sort=A","Dates=H","DateFormat=P","Fill=—","Direction=H","UseDPDF=Y")</f>
        <v>3.58</v>
      </c>
      <c r="J17" s="14">
        <f>_xll.BDH("NBIX US Equity","IS_DILUTED_EPS","FQ1 2021","FQ1 2021","Currency=USD","Period=FQ","BEST_FPERIOD_OVERRIDE=FQ","FILING_STATUS=MR","FA_ADJUSTED=GAAP","Sort=A","Dates=H","DateFormat=P","Fill=—","Direction=H","UseDPDF=Y")</f>
        <v>0.33</v>
      </c>
      <c r="K17" s="14">
        <f>_xll.BDH("NBIX US Equity","IS_DILUTED_EPS","FQ2 2021","FQ2 2021","Currency=USD","Period=FQ","BEST_FPERIOD_OVERRIDE=FQ","FILING_STATUS=MR","FA_ADJUSTED=GAAP","Sort=A","Dates=H","DateFormat=P","Fill=—","Direction=H","UseDPDF=Y")</f>
        <v>0.43</v>
      </c>
      <c r="L17" s="14">
        <f>_xll.BDH("NBIX US Equity","IS_DILUTED_EPS","FQ3 2021","FQ3 2021","Currency=USD","Period=FQ","BEST_FPERIOD_OVERRIDE=FQ","FILING_STATUS=MR","FA_ADJUSTED=GAAP","Sort=A","Dates=H","DateFormat=P","Fill=—","Direction=H","UseDPDF=Y")</f>
        <v>0.23</v>
      </c>
      <c r="M17" s="14">
        <f>_xll.BDH("NBIX US Equity","IS_DILUTED_EPS","FQ4 2021","FQ4 2021","Currency=USD","Period=FQ","BEST_FPERIOD_OVERRIDE=FQ","FILING_STATUS=MR","FA_ADJUSTED=GAAP","Sort=A","Dates=H","DateFormat=P","Fill=—","Direction=H","UseDPDF=Y")</f>
        <v>-0.08</v>
      </c>
      <c r="N17" s="14">
        <f>_xll.BDH("NBIX US Equity","IS_DILUTED_EPS","FQ1 2022","FQ1 2022","Currency=USD","Period=FQ","BEST_FPERIOD_OVERRIDE=FQ","FILING_STATUS=MR","FA_ADJUSTED=GAAP","Sort=A","Dates=H","DateFormat=P","Fill=—","Direction=H","UseDPDF=Y")</f>
        <v>0.14000000000000001</v>
      </c>
      <c r="O17" s="14">
        <f>_xll.BDH("NBIX US Equity","IS_DILUTED_EPS","FQ2 2022","FQ2 2022","Currency=USD","Period=FQ","BEST_FPERIOD_OVERRIDE=FQ","FILING_STATUS=MR","FA_ADJUSTED=GAAP","Sort=A","Dates=H","DateFormat=P","Fill=—","Direction=H","UseDPDF=Y")</f>
        <v>-0.18</v>
      </c>
      <c r="P17" s="14">
        <f>_xll.BDH("NBIX US Equity","IS_DILUTED_EPS","FQ3 2022","FQ3 2022","Currency=USD","Period=FQ","BEST_FPERIOD_OVERRIDE=FQ","FILING_STATUS=MR","FA_ADJUSTED=GAAP","Sort=A","Dates=H","DateFormat=P","Fill=—","Direction=H","UseDPDF=Y")</f>
        <v>0.69</v>
      </c>
      <c r="Q17" s="14">
        <f>_xll.BDH("NBIX US Equity","IS_DILUTED_EPS","FQ4 2022","FQ4 2022","Currency=USD","Period=FQ","BEST_FPERIOD_OVERRIDE=FQ","FILING_STATUS=MR","FA_ADJUSTED=GAAP","Sort=A","Dates=H","DateFormat=P","Fill=—","Direction=H","UseDPDF=Y")</f>
        <v>0.88</v>
      </c>
      <c r="R17" s="14">
        <f>_xll.BDH("NBIX US Equity","IS_DILUTED_EPS","FQ1 2023","FQ1 2023","Currency=USD","Period=FQ","BEST_FPERIOD_OVERRIDE=FQ","FILING_STATUS=MR","FA_ADJUSTED=GAAP","Sort=A","Dates=H","DateFormat=P","Fill=—","Direction=H","UseDPDF=Y")</f>
        <v>-0.79</v>
      </c>
      <c r="S17" s="14">
        <f>_xll.BDH("NBIX US Equity","IS_DILUTED_EPS","FQ2 2023","FQ2 2023","Currency=USD","Period=FQ","BEST_FPERIOD_OVERRIDE=FQ","FILING_STATUS=MR","FA_ADJUSTED=GAAP","Sort=A","Dates=H","DateFormat=P","Fill=—","Direction=H","UseDPDF=Y")</f>
        <v>0.95</v>
      </c>
      <c r="T17" s="14">
        <f>_xll.BDH("NBIX US Equity","IS_DILUTED_EPS","FQ3 2023","FQ3 2023","Currency=USD","Period=FQ","BEST_FPERIOD_OVERRIDE=FQ","FILING_STATUS=MR","FA_ADJUSTED=GAAP","Sort=A","Dates=H","DateFormat=P","Fill=—","Direction=H","UseDPDF=Y")</f>
        <v>0.82</v>
      </c>
      <c r="U17" s="14">
        <f>_xll.BDH("NBIX US Equity","IS_DILUTED_EPS","FQ4 2023","FQ4 2023","Currency=USD","Period=FQ","BEST_FPERIOD_OVERRIDE=FQ","FILING_STATUS=MR","FA_ADJUSTED=GAAP","Sort=A","Dates=H","DateFormat=P","Fill=—","Direction=H","UseDPDF=Y")</f>
        <v>1.44</v>
      </c>
      <c r="V17" s="14">
        <f>_xll.BDH("NBIX US Equity","IS_DILUTED_EPS","FQ1 2024","FQ1 2024","Currency=USD","Period=FQ","BEST_FPERIOD_OVERRIDE=FQ","FILING_STATUS=MR","FA_ADJUSTED=GAAP","Sort=A","Dates=H","DateFormat=P","Fill=—","Direction=H","UseDPDF=Y")</f>
        <v>0.42</v>
      </c>
      <c r="W17" s="14">
        <f>_xll.BDH("NBIX US Equity","IS_DILUTED_EPS","FQ2 2024","FQ2 2024","Currency=USD","Period=FQ","BEST_FPERIOD_OVERRIDE=FQ","FILING_STATUS=MR","FA_ADJUSTED=GAAP","Sort=A","Dates=H","DateFormat=P","Fill=—","Direction=H","UseDPDF=Y")</f>
        <v>0.63</v>
      </c>
      <c r="X17" s="14">
        <f>_xll.BDH("NBIX US Equity","IS_DILUTED_EPS","FQ3 2024","FQ3 2024","Currency=USD","Period=FQ","BEST_FPERIOD_OVERRIDE=FQ","FILING_STATUS=MR","FA_ADJUSTED=GAAP","Sort=A","Dates=H","DateFormat=P","Fill=—","Direction=H","UseDPDF=Y")</f>
        <v>1.24</v>
      </c>
      <c r="Y17" s="14">
        <f>_xll.BDH("NBIX US Equity","IS_DILUTED_EPS","FQ4 2024","FQ4 2024","Currency=USD","Period=FQ","BEST_FPERIOD_OVERRIDE=FQ","FILING_STATUS=MR","FA_ADJUSTED=GAAP","Sort=A","Dates=H","DateFormat=P","Fill=—","Direction=H","UseDPDF=Y")</f>
        <v>1</v>
      </c>
      <c r="Z17" s="14">
        <v>0.81399999999999995</v>
      </c>
      <c r="AA17" s="14">
        <v>0.97199999999999998</v>
      </c>
    </row>
    <row r="18" spans="1:27" x14ac:dyDescent="0.25">
      <c r="A18" s="10" t="s">
        <v>270</v>
      </c>
      <c r="B18" s="10" t="s">
        <v>271</v>
      </c>
      <c r="C18" s="14">
        <f>_xll.BDH("NBIX US Equity","IS_DIL_EPS_BEF_XO","FQ2 2019","FQ2 2019","Currency=USD","Period=FQ","BEST_FPERIOD_OVERRIDE=FQ","FILING_STATUS=MR","Sort=A","Dates=H","DateFormat=P","Fill=—","Direction=H","UseDPDF=Y")</f>
        <v>0.54</v>
      </c>
      <c r="D18" s="14">
        <f>_xll.BDH("NBIX US Equity","IS_DIL_EPS_BEF_XO","FQ3 2019","FQ3 2019","Currency=USD","Period=FQ","BEST_FPERIOD_OVERRIDE=FQ","FILING_STATUS=MR","Sort=A","Dates=H","DateFormat=P","Fill=—","Direction=H","UseDPDF=Y")</f>
        <v>0.56000000000000005</v>
      </c>
      <c r="E18" s="14">
        <f>_xll.BDH("NBIX US Equity","IS_DIL_EPS_BEF_XO","FQ4 2019","FQ4 2019","Currency=USD","Period=FQ","BEST_FPERIOD_OVERRIDE=FQ","FILING_STATUS=MR","Sort=A","Dates=H","DateFormat=P","Fill=—","Direction=H","UseDPDF=Y")</f>
        <v>0.35</v>
      </c>
      <c r="F18" s="14">
        <f>_xll.BDH("NBIX US Equity","IS_DIL_EPS_BEF_XO","FQ1 2020","FQ1 2020","Currency=USD","Period=FQ","BEST_FPERIOD_OVERRIDE=FQ","FILING_STATUS=MR","Sort=A","Dates=H","DateFormat=P","Fill=—","Direction=H","UseDPDF=Y")</f>
        <v>0.39</v>
      </c>
      <c r="G18" s="14">
        <f>_xll.BDH("NBIX US Equity","IS_DIL_EPS_BEF_XO","FQ2 2020","FQ2 2020","Currency=USD","Period=FQ","BEST_FPERIOD_OVERRIDE=FQ","FILING_STATUS=MR","Sort=A","Dates=H","DateFormat=P","Fill=—","Direction=H","UseDPDF=Y")</f>
        <v>0.81</v>
      </c>
      <c r="H18" s="14">
        <f>_xll.BDH("NBIX US Equity","IS_DIL_EPS_BEF_XO","FQ3 2020","FQ3 2020","Currency=USD","Period=FQ","BEST_FPERIOD_OVERRIDE=FQ","FILING_STATUS=MR","Sort=A","Dates=H","DateFormat=P","Fill=—","Direction=H","UseDPDF=Y")</f>
        <v>-0.62</v>
      </c>
      <c r="I18" s="14">
        <f>_xll.BDH("NBIX US Equity","IS_DIL_EPS_BEF_XO","FQ4 2020","FQ4 2020","Currency=USD","Period=FQ","BEST_FPERIOD_OVERRIDE=FQ","FILING_STATUS=MR","Sort=A","Dates=H","DateFormat=P","Fill=—","Direction=H","UseDPDF=Y")</f>
        <v>3.58</v>
      </c>
      <c r="J18" s="14">
        <f>_xll.BDH("NBIX US Equity","IS_DIL_EPS_BEF_XO","FQ1 2021","FQ1 2021","Currency=USD","Period=FQ","BEST_FPERIOD_OVERRIDE=FQ","FILING_STATUS=MR","Sort=A","Dates=H","DateFormat=P","Fill=—","Direction=H","UseDPDF=Y")</f>
        <v>0.33</v>
      </c>
      <c r="K18" s="14">
        <f>_xll.BDH("NBIX US Equity","IS_DIL_EPS_BEF_XO","FQ2 2021","FQ2 2021","Currency=USD","Period=FQ","BEST_FPERIOD_OVERRIDE=FQ","FILING_STATUS=MR","Sort=A","Dates=H","DateFormat=P","Fill=—","Direction=H","UseDPDF=Y")</f>
        <v>0.43</v>
      </c>
      <c r="L18" s="14">
        <f>_xll.BDH("NBIX US Equity","IS_DIL_EPS_BEF_XO","FQ3 2021","FQ3 2021","Currency=USD","Period=FQ","BEST_FPERIOD_OVERRIDE=FQ","FILING_STATUS=MR","Sort=A","Dates=H","DateFormat=P","Fill=—","Direction=H","UseDPDF=Y")</f>
        <v>0.23</v>
      </c>
      <c r="M18" s="14">
        <f>_xll.BDH("NBIX US Equity","IS_DIL_EPS_BEF_XO","FQ4 2021","FQ4 2021","Currency=USD","Period=FQ","BEST_FPERIOD_OVERRIDE=FQ","FILING_STATUS=MR","Sort=A","Dates=H","DateFormat=P","Fill=—","Direction=H","UseDPDF=Y")</f>
        <v>-0.08</v>
      </c>
      <c r="N18" s="14">
        <f>_xll.BDH("NBIX US Equity","IS_DIL_EPS_BEF_XO","FQ1 2022","FQ1 2022","Currency=USD","Period=FQ","BEST_FPERIOD_OVERRIDE=FQ","FILING_STATUS=MR","Sort=A","Dates=H","DateFormat=P","Fill=—","Direction=H","UseDPDF=Y")</f>
        <v>0.14000000000000001</v>
      </c>
      <c r="O18" s="14">
        <f>_xll.BDH("NBIX US Equity","IS_DIL_EPS_BEF_XO","FQ2 2022","FQ2 2022","Currency=USD","Period=FQ","BEST_FPERIOD_OVERRIDE=FQ","FILING_STATUS=MR","Sort=A","Dates=H","DateFormat=P","Fill=—","Direction=H","UseDPDF=Y")</f>
        <v>-0.18</v>
      </c>
      <c r="P18" s="14">
        <f>_xll.BDH("NBIX US Equity","IS_DIL_EPS_BEF_XO","FQ3 2022","FQ3 2022","Currency=USD","Period=FQ","BEST_FPERIOD_OVERRIDE=FQ","FILING_STATUS=MR","Sort=A","Dates=H","DateFormat=P","Fill=—","Direction=H","UseDPDF=Y")</f>
        <v>0.69</v>
      </c>
      <c r="Q18" s="14">
        <f>_xll.BDH("NBIX US Equity","IS_DIL_EPS_BEF_XO","FQ4 2022","FQ4 2022","Currency=USD","Period=FQ","BEST_FPERIOD_OVERRIDE=FQ","FILING_STATUS=MR","Sort=A","Dates=H","DateFormat=P","Fill=—","Direction=H","UseDPDF=Y")</f>
        <v>0.88</v>
      </c>
      <c r="R18" s="14">
        <f>_xll.BDH("NBIX US Equity","IS_DIL_EPS_BEF_XO","FQ1 2023","FQ1 2023","Currency=USD","Period=FQ","BEST_FPERIOD_OVERRIDE=FQ","FILING_STATUS=MR","Sort=A","Dates=H","DateFormat=P","Fill=—","Direction=H","UseDPDF=Y")</f>
        <v>-0.79</v>
      </c>
      <c r="S18" s="14">
        <f>_xll.BDH("NBIX US Equity","IS_DIL_EPS_BEF_XO","FQ2 2023","FQ2 2023","Currency=USD","Period=FQ","BEST_FPERIOD_OVERRIDE=FQ","FILING_STATUS=MR","Sort=A","Dates=H","DateFormat=P","Fill=—","Direction=H","UseDPDF=Y")</f>
        <v>0.95</v>
      </c>
      <c r="T18" s="14">
        <f>_xll.BDH("NBIX US Equity","IS_DIL_EPS_BEF_XO","FQ3 2023","FQ3 2023","Currency=USD","Period=FQ","BEST_FPERIOD_OVERRIDE=FQ","FILING_STATUS=MR","Sort=A","Dates=H","DateFormat=P","Fill=—","Direction=H","UseDPDF=Y")</f>
        <v>0.82</v>
      </c>
      <c r="U18" s="14">
        <f>_xll.BDH("NBIX US Equity","IS_DIL_EPS_BEF_XO","FQ4 2023","FQ4 2023","Currency=USD","Period=FQ","BEST_FPERIOD_OVERRIDE=FQ","FILING_STATUS=MR","Sort=A","Dates=H","DateFormat=P","Fill=—","Direction=H","UseDPDF=Y")</f>
        <v>1.44</v>
      </c>
      <c r="V18" s="14">
        <f>_xll.BDH("NBIX US Equity","IS_DIL_EPS_BEF_XO","FQ1 2024","FQ1 2024","Currency=USD","Period=FQ","BEST_FPERIOD_OVERRIDE=FQ","FILING_STATUS=MR","Sort=A","Dates=H","DateFormat=P","Fill=—","Direction=H","UseDPDF=Y")</f>
        <v>0.42</v>
      </c>
      <c r="W18" s="14">
        <f>_xll.BDH("NBIX US Equity","IS_DIL_EPS_BEF_XO","FQ2 2024","FQ2 2024","Currency=USD","Period=FQ","BEST_FPERIOD_OVERRIDE=FQ","FILING_STATUS=MR","Sort=A","Dates=H","DateFormat=P","Fill=—","Direction=H","UseDPDF=Y")</f>
        <v>0.63</v>
      </c>
      <c r="X18" s="14">
        <f>_xll.BDH("NBIX US Equity","IS_DIL_EPS_BEF_XO","FQ3 2024","FQ3 2024","Currency=USD","Period=FQ","BEST_FPERIOD_OVERRIDE=FQ","FILING_STATUS=MR","Sort=A","Dates=H","DateFormat=P","Fill=—","Direction=H","UseDPDF=Y")</f>
        <v>1.24</v>
      </c>
      <c r="Y18" s="14">
        <f>_xll.BDH("NBIX US Equity","IS_DIL_EPS_BEF_XO","FQ4 2024","FQ4 2024","Currency=USD","Period=FQ","BEST_FPERIOD_OVERRIDE=FQ","FILING_STATUS=MR","Sort=A","Dates=H","DateFormat=P","Fill=—","Direction=H","UseDPDF=Y")</f>
        <v>1</v>
      </c>
      <c r="Z18" s="14">
        <v>0.81399999999999995</v>
      </c>
      <c r="AA18" s="14">
        <v>0.97199999999999998</v>
      </c>
    </row>
    <row r="19" spans="1:27" x14ac:dyDescent="0.25">
      <c r="A19" s="10" t="s">
        <v>272</v>
      </c>
      <c r="B19" s="10" t="s">
        <v>82</v>
      </c>
      <c r="C19" s="14">
        <f>_xll.BDH("NBIX US Equity","IS_DIL_EPS_CONT_OPS","FQ2 2019","FQ2 2019","Currency=USD","Period=FQ","BEST_FPERIOD_OVERRIDE=FQ","FILING_STATUS=MR","Sort=A","Dates=H","DateFormat=P","Fill=—","Direction=H","UseDPDF=Y")</f>
        <v>0.40689999999999998</v>
      </c>
      <c r="D19" s="14">
        <f>_xll.BDH("NBIX US Equity","IS_DIL_EPS_CONT_OPS","FQ3 2019","FQ3 2019","Currency=USD","Period=FQ","BEST_FPERIOD_OVERRIDE=FQ","FILING_STATUS=MR","Sort=A","Dates=H","DateFormat=P","Fill=—","Direction=H","UseDPDF=Y")</f>
        <v>0.79390000000000005</v>
      </c>
      <c r="E19" s="14">
        <f>_xll.BDH("NBIX US Equity","IS_DIL_EPS_CONT_OPS","FQ4 2019","FQ4 2019","Currency=USD","Period=FQ","BEST_FPERIOD_OVERRIDE=FQ","FILING_STATUS=MR","Sort=A","Dates=H","DateFormat=P","Fill=—","Direction=H","UseDPDF=Y")</f>
        <v>0.7913</v>
      </c>
      <c r="F19" s="14">
        <f>_xll.BDH("NBIX US Equity","IS_DIL_EPS_CONT_OPS","FQ1 2020","FQ1 2020","Currency=USD","Period=FQ","BEST_FPERIOD_OVERRIDE=FQ","FILING_STATUS=MR","Sort=A","Dates=H","DateFormat=P","Fill=—","Direction=H","UseDPDF=Y")</f>
        <v>0.55379999999999996</v>
      </c>
      <c r="G19" s="14">
        <f>_xll.BDH("NBIX US Equity","IS_DIL_EPS_CONT_OPS","FQ2 2020","FQ2 2020","Currency=USD","Period=FQ","BEST_FPERIOD_OVERRIDE=FQ","FILING_STATUS=MR","Sort=A","Dates=H","DateFormat=P","Fill=—","Direction=H","UseDPDF=Y")</f>
        <v>1.1628000000000001</v>
      </c>
      <c r="H19" s="14">
        <f>_xll.BDH("NBIX US Equity","IS_DIL_EPS_CONT_OPS","FQ3 2020","FQ3 2020","Currency=USD","Period=FQ","BEST_FPERIOD_OVERRIDE=FQ","FILING_STATUS=MR","Sort=A","Dates=H","DateFormat=P","Fill=—","Direction=H","UseDPDF=Y")</f>
        <v>0.69430000000000003</v>
      </c>
      <c r="I19" s="14">
        <f>_xll.BDH("NBIX US Equity","IS_DIL_EPS_CONT_OPS","FQ4 2020","FQ4 2020","Currency=USD","Period=FQ","BEST_FPERIOD_OVERRIDE=FQ","FILING_STATUS=MR","Sort=A","Dates=H","DateFormat=P","Fill=—","Direction=H","UseDPDF=Y")</f>
        <v>2.2816000000000001</v>
      </c>
      <c r="J19" s="14">
        <f>_xll.BDH("NBIX US Equity","IS_DIL_EPS_CONT_OPS","FQ1 2021","FQ1 2021","Currency=USD","Period=FQ","BEST_FPERIOD_OVERRIDE=FQ","FILING_STATUS=MR","Sort=A","Dates=H","DateFormat=P","Fill=—","Direction=H","UseDPDF=Y")</f>
        <v>0.32679999999999998</v>
      </c>
      <c r="K19" s="14">
        <f>_xll.BDH("NBIX US Equity","IS_DIL_EPS_CONT_OPS","FQ2 2021","FQ2 2021","Currency=USD","Period=FQ","BEST_FPERIOD_OVERRIDE=FQ","FILING_STATUS=MR","Sort=A","Dates=H","DateFormat=P","Fill=—","Direction=H","UseDPDF=Y")</f>
        <v>0.47499999999999998</v>
      </c>
      <c r="L19" s="14">
        <f>_xll.BDH("NBIX US Equity","IS_DIL_EPS_CONT_OPS","FQ3 2021","FQ3 2021","Currency=USD","Period=FQ","BEST_FPERIOD_OVERRIDE=FQ","FILING_STATUS=MR","Sort=A","Dates=H","DateFormat=P","Fill=—","Direction=H","UseDPDF=Y")</f>
        <v>0.30630000000000002</v>
      </c>
      <c r="M19" s="14">
        <f>_xll.BDH("NBIX US Equity","IS_DIL_EPS_CONT_OPS","FQ4 2021","FQ4 2021","Currency=USD","Period=FQ","BEST_FPERIOD_OVERRIDE=FQ","FILING_STATUS=MR","Sort=A","Dates=H","DateFormat=P","Fill=—","Direction=H","UseDPDF=Y")</f>
        <v>0.51849999999999996</v>
      </c>
      <c r="N19" s="14">
        <f>_xll.BDH("NBIX US Equity","IS_DIL_EPS_CONT_OPS","FQ1 2022","FQ1 2022","Currency=USD","Period=FQ","BEST_FPERIOD_OVERRIDE=FQ","FILING_STATUS=MR","Sort=A","Dates=H","DateFormat=P","Fill=—","Direction=H","UseDPDF=Y")</f>
        <v>-4.41E-2</v>
      </c>
      <c r="O19" s="14">
        <f>_xll.BDH("NBIX US Equity","IS_DIL_EPS_CONT_OPS","FQ2 2022","FQ2 2022","Currency=USD","Period=FQ","BEST_FPERIOD_OVERRIDE=FQ","FILING_STATUS=MR","Sort=A","Dates=H","DateFormat=P","Fill=—","Direction=H","UseDPDF=Y")</f>
        <v>-0.1188</v>
      </c>
      <c r="P19" s="14">
        <f>_xll.BDH("NBIX US Equity","IS_DIL_EPS_CONT_OPS","FQ3 2022","FQ3 2022","Currency=USD","Period=FQ","BEST_FPERIOD_OVERRIDE=FQ","FILING_STATUS=MR","Sort=A","Dates=H","DateFormat=P","Fill=—","Direction=H","UseDPDF=Y")</f>
        <v>0.79390000000000005</v>
      </c>
      <c r="Q19" s="14">
        <f>_xll.BDH("NBIX US Equity","IS_DIL_EPS_CONT_OPS","FQ4 2022","FQ4 2022","Currency=USD","Period=FQ","BEST_FPERIOD_OVERRIDE=FQ","FILING_STATUS=MR","Sort=A","Dates=H","DateFormat=P","Fill=—","Direction=H","UseDPDF=Y")</f>
        <v>0.89029999999999998</v>
      </c>
      <c r="R19" s="14">
        <f>_xll.BDH("NBIX US Equity","IS_DIL_EPS_CONT_OPS","FQ1 2023","FQ1 2023","Currency=USD","Period=FQ","BEST_FPERIOD_OVERRIDE=FQ","FILING_STATUS=MR","Sort=A","Dates=H","DateFormat=P","Fill=—","Direction=H","UseDPDF=Y")</f>
        <v>0.3649</v>
      </c>
      <c r="S19" s="14">
        <f>_xll.BDH("NBIX US Equity","IS_DIL_EPS_CONT_OPS","FQ2 2023","FQ2 2023","Currency=USD","Period=FQ","BEST_FPERIOD_OVERRIDE=FQ","FILING_STATUS=MR","Sort=A","Dates=H","DateFormat=P","Fill=—","Direction=H","UseDPDF=Y")</f>
        <v>0.65590000000000004</v>
      </c>
      <c r="T19" s="14">
        <f>_xll.BDH("NBIX US Equity","IS_DIL_EPS_CONT_OPS","FQ3 2023","FQ3 2023","Currency=USD","Period=FQ","BEST_FPERIOD_OVERRIDE=FQ","FILING_STATUS=MR","Sort=A","Dates=H","DateFormat=P","Fill=—","Direction=H","UseDPDF=Y")</f>
        <v>1.3632</v>
      </c>
      <c r="U19" s="14">
        <f>_xll.BDH("NBIX US Equity","IS_DIL_EPS_CONT_OPS","FQ4 2023","FQ4 2023","Currency=USD","Period=FQ","BEST_FPERIOD_OVERRIDE=FQ","FILING_STATUS=MR","Sort=A","Dates=H","DateFormat=P","Fill=—","Direction=H","UseDPDF=Y")</f>
        <v>1.2161</v>
      </c>
      <c r="V19" s="14">
        <f>_xll.BDH("NBIX US Equity","IS_DIL_EPS_CONT_OPS","FQ1 2024","FQ1 2024","Currency=USD","Period=FQ","BEST_FPERIOD_OVERRIDE=FQ","FILING_STATUS=MR","Sort=A","Dates=H","DateFormat=P","Fill=—","Direction=H","UseDPDF=Y")</f>
        <v>0.45629999999999998</v>
      </c>
      <c r="W19" s="14">
        <f>_xll.BDH("NBIX US Equity","IS_DIL_EPS_CONT_OPS","FQ2 2024","FQ2 2024","Currency=USD","Period=FQ","BEST_FPERIOD_OVERRIDE=FQ","FILING_STATUS=MR","Sort=A","Dates=H","DateFormat=P","Fill=—","Direction=H","UseDPDF=Y")</f>
        <v>1.6816</v>
      </c>
      <c r="X19" s="14">
        <f>_xll.BDH("NBIX US Equity","IS_DIL_EPS_CONT_OPS","FQ3 2024","FQ3 2024","Currency=USD","Period=FQ","BEST_FPERIOD_OVERRIDE=FQ","FILING_STATUS=MR","Sort=A","Dates=H","DateFormat=P","Fill=—","Direction=H","UseDPDF=Y")</f>
        <v>1.5034000000000001</v>
      </c>
      <c r="Y19" s="14">
        <f>_xll.BDH("NBIX US Equity","IS_DIL_EPS_CONT_OPS","FQ4 2024","FQ4 2024","Currency=USD","Period=FQ","BEST_FPERIOD_OVERRIDE=FQ","FILING_STATUS=MR","Sort=A","Dates=H","DateFormat=P","Fill=—","Direction=H","UseDPDF=Y")</f>
        <v>1.0415000000000001</v>
      </c>
      <c r="Z19" s="14">
        <v>1.2450000000000001</v>
      </c>
      <c r="AA19" s="14">
        <v>1.444</v>
      </c>
    </row>
    <row r="20" spans="1:27" x14ac:dyDescent="0.25">
      <c r="A20" s="10" t="s">
        <v>273</v>
      </c>
      <c r="B20" s="10" t="s">
        <v>274</v>
      </c>
      <c r="C20" s="14">
        <f>_xll.BDH("NBIX US Equity","EQY_DPS","FQ2 2019","FQ2 2019","Currency=USD","Period=FQ","BEST_FPERIOD_OVERRIDE=FQ","FILING_STATUS=MR","Sort=A","Dates=H","DateFormat=P","Fill=—","Direction=H","UseDPDF=Y")</f>
        <v>0</v>
      </c>
      <c r="D20" s="14">
        <f>_xll.BDH("NBIX US Equity","EQY_DPS","FQ3 2019","FQ3 2019","Currency=USD","Period=FQ","BEST_FPERIOD_OVERRIDE=FQ","FILING_STATUS=MR","Sort=A","Dates=H","DateFormat=P","Fill=—","Direction=H","UseDPDF=Y")</f>
        <v>0</v>
      </c>
      <c r="E20" s="14">
        <f>_xll.BDH("NBIX US Equity","EQY_DPS","FQ4 2019","FQ4 2019","Currency=USD","Period=FQ","BEST_FPERIOD_OVERRIDE=FQ","FILING_STATUS=MR","Sort=A","Dates=H","DateFormat=P","Fill=—","Direction=H","UseDPDF=Y")</f>
        <v>0</v>
      </c>
      <c r="F20" s="14">
        <f>_xll.BDH("NBIX US Equity","EQY_DPS","FQ1 2020","FQ1 2020","Currency=USD","Period=FQ","BEST_FPERIOD_OVERRIDE=FQ","FILING_STATUS=MR","Sort=A","Dates=H","DateFormat=P","Fill=—","Direction=H","UseDPDF=Y")</f>
        <v>0</v>
      </c>
      <c r="G20" s="14">
        <f>_xll.BDH("NBIX US Equity","EQY_DPS","FQ2 2020","FQ2 2020","Currency=USD","Period=FQ","BEST_FPERIOD_OVERRIDE=FQ","FILING_STATUS=MR","Sort=A","Dates=H","DateFormat=P","Fill=—","Direction=H","UseDPDF=Y")</f>
        <v>0</v>
      </c>
      <c r="H20" s="14">
        <f>_xll.BDH("NBIX US Equity","EQY_DPS","FQ3 2020","FQ3 2020","Currency=USD","Period=FQ","BEST_FPERIOD_OVERRIDE=FQ","FILING_STATUS=MR","Sort=A","Dates=H","DateFormat=P","Fill=—","Direction=H","UseDPDF=Y")</f>
        <v>0</v>
      </c>
      <c r="I20" s="14">
        <f>_xll.BDH("NBIX US Equity","EQY_DPS","FQ4 2020","FQ4 2020","Currency=USD","Period=FQ","BEST_FPERIOD_OVERRIDE=FQ","FILING_STATUS=MR","Sort=A","Dates=H","DateFormat=P","Fill=—","Direction=H","UseDPDF=Y")</f>
        <v>0</v>
      </c>
      <c r="J20" s="14">
        <f>_xll.BDH("NBIX US Equity","EQY_DPS","FQ1 2021","FQ1 2021","Currency=USD","Period=FQ","BEST_FPERIOD_OVERRIDE=FQ","FILING_STATUS=MR","Sort=A","Dates=H","DateFormat=P","Fill=—","Direction=H","UseDPDF=Y")</f>
        <v>0</v>
      </c>
      <c r="K20" s="14">
        <f>_xll.BDH("NBIX US Equity","EQY_DPS","FQ2 2021","FQ2 2021","Currency=USD","Period=FQ","BEST_FPERIOD_OVERRIDE=FQ","FILING_STATUS=MR","Sort=A","Dates=H","DateFormat=P","Fill=—","Direction=H","UseDPDF=Y")</f>
        <v>0</v>
      </c>
      <c r="L20" s="14">
        <f>_xll.BDH("NBIX US Equity","EQY_DPS","FQ3 2021","FQ3 2021","Currency=USD","Period=FQ","BEST_FPERIOD_OVERRIDE=FQ","FILING_STATUS=MR","Sort=A","Dates=H","DateFormat=P","Fill=—","Direction=H","UseDPDF=Y")</f>
        <v>0</v>
      </c>
      <c r="M20" s="14">
        <f>_xll.BDH("NBIX US Equity","EQY_DPS","FQ4 2021","FQ4 2021","Currency=USD","Period=FQ","BEST_FPERIOD_OVERRIDE=FQ","FILING_STATUS=MR","Sort=A","Dates=H","DateFormat=P","Fill=—","Direction=H","UseDPDF=Y")</f>
        <v>0</v>
      </c>
      <c r="N20" s="14">
        <f>_xll.BDH("NBIX US Equity","EQY_DPS","FQ1 2022","FQ1 2022","Currency=USD","Period=FQ","BEST_FPERIOD_OVERRIDE=FQ","FILING_STATUS=MR","Sort=A","Dates=H","DateFormat=P","Fill=—","Direction=H","UseDPDF=Y")</f>
        <v>0</v>
      </c>
      <c r="O20" s="14">
        <f>_xll.BDH("NBIX US Equity","EQY_DPS","FQ2 2022","FQ2 2022","Currency=USD","Period=FQ","BEST_FPERIOD_OVERRIDE=FQ","FILING_STATUS=MR","Sort=A","Dates=H","DateFormat=P","Fill=—","Direction=H","UseDPDF=Y")</f>
        <v>0</v>
      </c>
      <c r="P20" s="14">
        <f>_xll.BDH("NBIX US Equity","EQY_DPS","FQ3 2022","FQ3 2022","Currency=USD","Period=FQ","BEST_FPERIOD_OVERRIDE=FQ","FILING_STATUS=MR","Sort=A","Dates=H","DateFormat=P","Fill=—","Direction=H","UseDPDF=Y")</f>
        <v>0</v>
      </c>
      <c r="Q20" s="14">
        <f>_xll.BDH("NBIX US Equity","EQY_DPS","FQ4 2022","FQ4 2022","Currency=USD","Period=FQ","BEST_FPERIOD_OVERRIDE=FQ","FILING_STATUS=MR","Sort=A","Dates=H","DateFormat=P","Fill=—","Direction=H","UseDPDF=Y")</f>
        <v>0</v>
      </c>
      <c r="R20" s="14">
        <f>_xll.BDH("NBIX US Equity","EQY_DPS","FQ1 2023","FQ1 2023","Currency=USD","Period=FQ","BEST_FPERIOD_OVERRIDE=FQ","FILING_STATUS=MR","Sort=A","Dates=H","DateFormat=P","Fill=—","Direction=H","UseDPDF=Y")</f>
        <v>0</v>
      </c>
      <c r="S20" s="14">
        <f>_xll.BDH("NBIX US Equity","EQY_DPS","FQ2 2023","FQ2 2023","Currency=USD","Period=FQ","BEST_FPERIOD_OVERRIDE=FQ","FILING_STATUS=MR","Sort=A","Dates=H","DateFormat=P","Fill=—","Direction=H","UseDPDF=Y")</f>
        <v>0</v>
      </c>
      <c r="T20" s="14">
        <f>_xll.BDH("NBIX US Equity","EQY_DPS","FQ3 2023","FQ3 2023","Currency=USD","Period=FQ","BEST_FPERIOD_OVERRIDE=FQ","FILING_STATUS=MR","Sort=A","Dates=H","DateFormat=P","Fill=—","Direction=H","UseDPDF=Y")</f>
        <v>0</v>
      </c>
      <c r="U20" s="14">
        <f>_xll.BDH("NBIX US Equity","EQY_DPS","FQ4 2023","FQ4 2023","Currency=USD","Period=FQ","BEST_FPERIOD_OVERRIDE=FQ","FILING_STATUS=MR","Sort=A","Dates=H","DateFormat=P","Fill=—","Direction=H","UseDPDF=Y")</f>
        <v>0</v>
      </c>
      <c r="V20" s="14">
        <f>_xll.BDH("NBIX US Equity","EQY_DPS","FQ1 2024","FQ1 2024","Currency=USD","Period=FQ","BEST_FPERIOD_OVERRIDE=FQ","FILING_STATUS=MR","Sort=A","Dates=H","DateFormat=P","Fill=—","Direction=H","UseDPDF=Y")</f>
        <v>0</v>
      </c>
      <c r="W20" s="14">
        <f>_xll.BDH("NBIX US Equity","EQY_DPS","FQ2 2024","FQ2 2024","Currency=USD","Period=FQ","BEST_FPERIOD_OVERRIDE=FQ","FILING_STATUS=MR","Sort=A","Dates=H","DateFormat=P","Fill=—","Direction=H","UseDPDF=Y")</f>
        <v>0</v>
      </c>
      <c r="X20" s="14">
        <f>_xll.BDH("NBIX US Equity","EQY_DPS","FQ3 2024","FQ3 2024","Currency=USD","Period=FQ","BEST_FPERIOD_OVERRIDE=FQ","FILING_STATUS=MR","Sort=A","Dates=H","DateFormat=P","Fill=—","Direction=H","UseDPDF=Y")</f>
        <v>0</v>
      </c>
      <c r="Y20" s="14">
        <f>_xll.BDH("NBIX US Equity","EQY_DPS","FQ4 2024","FQ4 2024","Currency=USD","Period=FQ","BEST_FPERIOD_OVERRIDE=FQ","FILING_STATUS=MR","Sort=A","Dates=H","DateFormat=P","Fill=—","Direction=H","UseDPDF=Y")</f>
        <v>0</v>
      </c>
      <c r="Z20" s="14"/>
      <c r="AA20" s="14"/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275</v>
      </c>
      <c r="B22" s="10" t="s">
        <v>276</v>
      </c>
      <c r="C22" s="14">
        <f>_xll.BDH("NBIX US Equity","CASH_FLOW_PER_SH","FQ2 2019","FQ2 2019","Currency=USD","Period=FQ","BEST_FPERIOD_OVERRIDE=FQ","FILING_STATUS=MR","Sort=A","Dates=H","DateFormat=P","Fill=—","Direction=H","UseDPDF=Y")</f>
        <v>0.70209999999999995</v>
      </c>
      <c r="D22" s="14">
        <f>_xll.BDH("NBIX US Equity","CASH_FLOW_PER_SH","FQ3 2019","FQ3 2019","Currency=USD","Period=FQ","BEST_FPERIOD_OVERRIDE=FQ","FILING_STATUS=MR","Sort=A","Dates=H","DateFormat=P","Fill=—","Direction=H","UseDPDF=Y")</f>
        <v>1.0649999999999999</v>
      </c>
      <c r="E22" s="14">
        <f>_xll.BDH("NBIX US Equity","CASH_FLOW_PER_SH","FQ4 2019","FQ4 2019","Currency=USD","Period=FQ","BEST_FPERIOD_OVERRIDE=FQ","FILING_STATUS=MR","Sort=A","Dates=H","DateFormat=P","Fill=—","Direction=H","UseDPDF=Y")</f>
        <v>1.0575000000000001</v>
      </c>
      <c r="F22" s="14">
        <f>_xll.BDH("NBIX US Equity","CASH_FLOW_PER_SH","FQ1 2020","FQ1 2020","Currency=USD","Period=FQ","BEST_FPERIOD_OVERRIDE=FQ","FILING_STATUS=MR","Sort=A","Dates=H","DateFormat=P","Fill=—","Direction=H","UseDPDF=Y")</f>
        <v>0.38340000000000002</v>
      </c>
      <c r="G22" s="14">
        <f>_xll.BDH("NBIX US Equity","CASH_FLOW_PER_SH","FQ2 2020","FQ2 2020","Currency=USD","Period=FQ","BEST_FPERIOD_OVERRIDE=FQ","FILING_STATUS=MR","Sort=A","Dates=H","DateFormat=P","Fill=—","Direction=H","UseDPDF=Y")</f>
        <v>1.2785</v>
      </c>
      <c r="H22" s="14">
        <f>_xll.BDH("NBIX US Equity","CASH_FLOW_PER_SH","FQ3 2020","FQ3 2020","Currency=USD","Period=FQ","BEST_FPERIOD_OVERRIDE=FQ","FILING_STATUS=MR","Sort=A","Dates=H","DateFormat=P","Fill=—","Direction=H","UseDPDF=Y")</f>
        <v>-0.21859999999999999</v>
      </c>
      <c r="I22" s="14">
        <f>_xll.BDH("NBIX US Equity","CASH_FLOW_PER_SH","FQ4 2020","FQ4 2020","Currency=USD","Period=FQ","BEST_FPERIOD_OVERRIDE=FQ","FILING_STATUS=MR","Sort=A","Dates=H","DateFormat=P","Fill=—","Direction=H","UseDPDF=Y")</f>
        <v>1.0106999999999999</v>
      </c>
      <c r="J22" s="14">
        <f>_xll.BDH("NBIX US Equity","CASH_FLOW_PER_SH","FQ1 2021","FQ1 2021","Currency=USD","Period=FQ","BEST_FPERIOD_OVERRIDE=FQ","FILING_STATUS=MR","Sort=A","Dates=H","DateFormat=P","Fill=—","Direction=H","UseDPDF=Y")</f>
        <v>0.92679999999999996</v>
      </c>
      <c r="K22" s="14">
        <f>_xll.BDH("NBIX US Equity","CASH_FLOW_PER_SH","FQ2 2021","FQ2 2021","Currency=USD","Period=FQ","BEST_FPERIOD_OVERRIDE=FQ","FILING_STATUS=MR","Sort=A","Dates=H","DateFormat=P","Fill=—","Direction=H","UseDPDF=Y")</f>
        <v>1.0909</v>
      </c>
      <c r="L22" s="14">
        <f>_xll.BDH("NBIX US Equity","CASH_FLOW_PER_SH","FQ3 2021","FQ3 2021","Currency=USD","Period=FQ","BEST_FPERIOD_OVERRIDE=FQ","FILING_STATUS=MR","Sort=A","Dates=H","DateFormat=P","Fill=—","Direction=H","UseDPDF=Y")</f>
        <v>0.65259999999999996</v>
      </c>
      <c r="M22" s="14">
        <f>_xll.BDH("NBIX US Equity","CASH_FLOW_PER_SH","FQ4 2021","FQ4 2021","Currency=USD","Period=FQ","BEST_FPERIOD_OVERRIDE=FQ","FILING_STATUS=MR","Sort=A","Dates=H","DateFormat=P","Fill=—","Direction=H","UseDPDF=Y")</f>
        <v>4.4299999999999999E-2</v>
      </c>
      <c r="N22" s="14">
        <f>_xll.BDH("NBIX US Equity","CASH_FLOW_PER_SH","FQ1 2022","FQ1 2022","Currency=USD","Period=FQ","BEST_FPERIOD_OVERRIDE=FQ","FILING_STATUS=MR","Sort=A","Dates=H","DateFormat=P","Fill=—","Direction=H","UseDPDF=Y")</f>
        <v>-0.42499999999999999</v>
      </c>
      <c r="O22" s="14">
        <f>_xll.BDH("NBIX US Equity","CASH_FLOW_PER_SH","FQ2 2022","FQ2 2022","Currency=USD","Period=FQ","BEST_FPERIOD_OVERRIDE=FQ","FILING_STATUS=MR","Sort=A","Dates=H","DateFormat=P","Fill=—","Direction=H","UseDPDF=Y")</f>
        <v>1.4446000000000001</v>
      </c>
      <c r="P22" s="14">
        <f>_xll.BDH("NBIX US Equity","CASH_FLOW_PER_SH","FQ3 2022","FQ3 2022","Currency=USD","Period=FQ","BEST_FPERIOD_OVERRIDE=FQ","FILING_STATUS=MR","Sort=A","Dates=H","DateFormat=P","Fill=—","Direction=H","UseDPDF=Y")</f>
        <v>1.0313000000000001</v>
      </c>
      <c r="Q22" s="14">
        <f>_xll.BDH("NBIX US Equity","CASH_FLOW_PER_SH","FQ4 2022","FQ4 2022","Currency=USD","Period=FQ","BEST_FPERIOD_OVERRIDE=FQ","FILING_STATUS=MR","Sort=A","Dates=H","DateFormat=P","Fill=—","Direction=H","UseDPDF=Y")</f>
        <v>1.4849000000000001</v>
      </c>
      <c r="R22" s="14">
        <f>_xll.BDH("NBIX US Equity","CASH_FLOW_PER_SH","FQ1 2023","FQ1 2023","Currency=USD","Period=FQ","BEST_FPERIOD_OVERRIDE=FQ","FILING_STATUS=MR","Sort=A","Dates=H","DateFormat=P","Fill=—","Direction=H","UseDPDF=Y")</f>
        <v>-1.2894000000000001</v>
      </c>
      <c r="S22" s="14">
        <f>_xll.BDH("NBIX US Equity","CASH_FLOW_PER_SH","FQ2 2023","FQ2 2023","Currency=USD","Period=FQ","BEST_FPERIOD_OVERRIDE=FQ","FILING_STATUS=MR","Sort=A","Dates=H","DateFormat=P","Fill=—","Direction=H","UseDPDF=Y")</f>
        <v>1.8402000000000001</v>
      </c>
      <c r="T22" s="14">
        <f>_xll.BDH("NBIX US Equity","CASH_FLOW_PER_SH","FQ3 2023","FQ3 2023","Currency=USD","Period=FQ","BEST_FPERIOD_OVERRIDE=FQ","FILING_STATUS=MR","Sort=A","Dates=H","DateFormat=P","Fill=—","Direction=H","UseDPDF=Y")</f>
        <v>2.1655000000000002</v>
      </c>
      <c r="U22" s="14">
        <f>_xll.BDH("NBIX US Equity","CASH_FLOW_PER_SH","FQ4 2023","FQ4 2023","Currency=USD","Period=FQ","BEST_FPERIOD_OVERRIDE=FQ","FILING_STATUS=MR","Sort=A","Dates=H","DateFormat=P","Fill=—","Direction=H","UseDPDF=Y")</f>
        <v>1.2551000000000001</v>
      </c>
      <c r="V22" s="14">
        <f>_xll.BDH("NBIX US Equity","CASH_FLOW_PER_SH","FQ1 2024","FQ1 2024","Currency=USD","Period=FQ","BEST_FPERIOD_OVERRIDE=FQ","FILING_STATUS=MR","Sort=A","Dates=H","DateFormat=P","Fill=—","Direction=H","UseDPDF=Y")</f>
        <v>1.3056000000000001</v>
      </c>
      <c r="W22" s="14">
        <f>_xll.BDH("NBIX US Equity","CASH_FLOW_PER_SH","FQ2 2024","FQ2 2024","Currency=USD","Period=FQ","BEST_FPERIOD_OVERRIDE=FQ","FILING_STATUS=MR","Sort=A","Dates=H","DateFormat=P","Fill=—","Direction=H","UseDPDF=Y")</f>
        <v>0.64090000000000003</v>
      </c>
      <c r="X22" s="14">
        <f>_xll.BDH("NBIX US Equity","CASH_FLOW_PER_SH","FQ3 2024","FQ3 2024","Currency=USD","Period=FQ","BEST_FPERIOD_OVERRIDE=FQ","FILING_STATUS=MR","Sort=A","Dates=H","DateFormat=P","Fill=—","Direction=H","UseDPDF=Y")</f>
        <v>1.5628</v>
      </c>
      <c r="Y22" s="14">
        <f>_xll.BDH("NBIX US Equity","CASH_FLOW_PER_SH","FQ4 2024","FQ4 2024","Currency=USD","Period=FQ","BEST_FPERIOD_OVERRIDE=FQ","FILING_STATUS=MR","Sort=A","Dates=H","DateFormat=P","Fill=—","Direction=H","UseDPDF=Y")</f>
        <v>2.4249999999999998</v>
      </c>
      <c r="Z22" s="14">
        <v>1.6279999999999999</v>
      </c>
      <c r="AA22" s="14">
        <v>2.58</v>
      </c>
    </row>
    <row r="23" spans="1:27" x14ac:dyDescent="0.25">
      <c r="A23" s="10" t="s">
        <v>88</v>
      </c>
      <c r="B23" s="10" t="s">
        <v>277</v>
      </c>
      <c r="C23" s="14">
        <f>_xll.BDH("NBIX US Equity","FREE_CASH_FLOW_PER_SH","FQ2 2019","FQ2 2019","Currency=USD","Period=FQ","BEST_FPERIOD_OVERRIDE=FQ","FILING_STATUS=MR","Sort=A","Dates=H","DateFormat=P","Fill=—","Direction=H","UseDPDF=Y")</f>
        <v>0.65339999999999998</v>
      </c>
      <c r="D23" s="14">
        <f>_xll.BDH("NBIX US Equity","FREE_CASH_FLOW_PER_SH","FQ3 2019","FQ3 2019","Currency=USD","Period=FQ","BEST_FPERIOD_OVERRIDE=FQ","FILING_STATUS=MR","Sort=A","Dates=H","DateFormat=P","Fill=—","Direction=H","UseDPDF=Y")</f>
        <v>1.0264</v>
      </c>
      <c r="E23" s="14">
        <f>_xll.BDH("NBIX US Equity","FREE_CASH_FLOW_PER_SH","FQ4 2019","FQ4 2019","Currency=USD","Period=FQ","BEST_FPERIOD_OVERRIDE=FQ","FILING_STATUS=MR","Sort=A","Dates=H","DateFormat=P","Fill=—","Direction=H","UseDPDF=Y")</f>
        <v>1.0274000000000001</v>
      </c>
      <c r="F23" s="14">
        <f>_xll.BDH("NBIX US Equity","FREE_CASH_FLOW_PER_SH","FQ1 2020","FQ1 2020","Currency=USD","Period=FQ","BEST_FPERIOD_OVERRIDE=FQ","FILING_STATUS=MR","Sort=A","Dates=H","DateFormat=P","Fill=—","Direction=H","UseDPDF=Y")</f>
        <v>0.36930000000000002</v>
      </c>
      <c r="G23" s="14">
        <f>_xll.BDH("NBIX US Equity","FREE_CASH_FLOW_PER_SH","FQ2 2020","FQ2 2020","Currency=USD","Period=FQ","BEST_FPERIOD_OVERRIDE=FQ","FILING_STATUS=MR","Sort=A","Dates=H","DateFormat=P","Fill=—","Direction=H","UseDPDF=Y")</f>
        <v>1.228</v>
      </c>
      <c r="H23" s="14">
        <f>_xll.BDH("NBIX US Equity","FREE_CASH_FLOW_PER_SH","FQ3 2020","FQ3 2020","Currency=USD","Period=FQ","BEST_FPERIOD_OVERRIDE=FQ","FILING_STATUS=MR","Sort=A","Dates=H","DateFormat=P","Fill=—","Direction=H","UseDPDF=Y")</f>
        <v>-0.22289999999999999</v>
      </c>
      <c r="I23" s="14">
        <f>_xll.BDH("NBIX US Equity","FREE_CASH_FLOW_PER_SH","FQ4 2020","FQ4 2020","Currency=USD","Period=FQ","BEST_FPERIOD_OVERRIDE=FQ","FILING_STATUS=MR","Sort=A","Dates=H","DateFormat=P","Fill=—","Direction=H","UseDPDF=Y")</f>
        <v>0.96260000000000001</v>
      </c>
      <c r="J23" s="14">
        <f>_xll.BDH("NBIX US Equity","FREE_CASH_FLOW_PER_SH","FQ1 2021","FQ1 2021","Currency=USD","Period=FQ","BEST_FPERIOD_OVERRIDE=FQ","FILING_STATUS=MR","Sort=A","Dates=H","DateFormat=P","Fill=—","Direction=H","UseDPDF=Y")</f>
        <v>0.879</v>
      </c>
      <c r="K23" s="14">
        <f>_xll.BDH("NBIX US Equity","FREE_CASH_FLOW_PER_SH","FQ2 2021","FQ2 2021","Currency=USD","Period=FQ","BEST_FPERIOD_OVERRIDE=FQ","FILING_STATUS=MR","Sort=A","Dates=H","DateFormat=P","Fill=—","Direction=H","UseDPDF=Y")</f>
        <v>1.0455000000000001</v>
      </c>
      <c r="L23" s="14">
        <f>_xll.BDH("NBIX US Equity","FREE_CASH_FLOW_PER_SH","FQ3 2021","FQ3 2021","Currency=USD","Period=FQ","BEST_FPERIOD_OVERRIDE=FQ","FILING_STATUS=MR","Sort=A","Dates=H","DateFormat=P","Fill=—","Direction=H","UseDPDF=Y")</f>
        <v>0.59240000000000004</v>
      </c>
      <c r="M23" s="14">
        <f>_xll.BDH("NBIX US Equity","FREE_CASH_FLOW_PER_SH","FQ4 2021","FQ4 2021","Currency=USD","Period=FQ","BEST_FPERIOD_OVERRIDE=FQ","FILING_STATUS=MR","Sort=A","Dates=H","DateFormat=P","Fill=—","Direction=H","UseDPDF=Y")</f>
        <v>-4.9500000000000002E-2</v>
      </c>
      <c r="N23" s="14">
        <f>_xll.BDH("NBIX US Equity","FREE_CASH_FLOW_PER_SH","FQ1 2022","FQ1 2022","Currency=USD","Period=FQ","BEST_FPERIOD_OVERRIDE=FQ","FILING_STATUS=MR","Sort=A","Dates=H","DateFormat=P","Fill=—","Direction=H","UseDPDF=Y")</f>
        <v>-0.50470000000000004</v>
      </c>
      <c r="O23" s="14">
        <f>_xll.BDH("NBIX US Equity","FREE_CASH_FLOW_PER_SH","FQ2 2022","FQ2 2022","Currency=USD","Period=FQ","BEST_FPERIOD_OVERRIDE=FQ","FILING_STATUS=MR","Sort=A","Dates=H","DateFormat=P","Fill=—","Direction=H","UseDPDF=Y")</f>
        <v>1.3525</v>
      </c>
      <c r="P23" s="14" t="str">
        <f>_xll.BDH("NBIX US Equity","FREE_CASH_FLOW_PER_SH","FQ3 2022","FQ3 2022","Currency=USD","Period=FQ","BEST_FPERIOD_OVERRIDE=FQ","FILING_STATUS=MR","Sort=A","Dates=H","DateFormat=P","Fill=—","Direction=H","UseDPDF=Y")</f>
        <v>—</v>
      </c>
      <c r="Q23" s="14">
        <f>_xll.BDH("NBIX US Equity","FREE_CASH_FLOW_PER_SH","FQ4 2022","FQ4 2022","Currency=USD","Period=FQ","BEST_FPERIOD_OVERRIDE=FQ","FILING_STATUS=MR","Sort=A","Dates=H","DateFormat=P","Fill=—","Direction=H","UseDPDF=Y")</f>
        <v>1.4662999999999999</v>
      </c>
      <c r="R23" s="14">
        <f>_xll.BDH("NBIX US Equity","FREE_CASH_FLOW_PER_SH","FQ1 2023","FQ1 2023","Currency=USD","Period=FQ","BEST_FPERIOD_OVERRIDE=FQ","FILING_STATUS=MR","Sort=A","Dates=H","DateFormat=P","Fill=—","Direction=H","UseDPDF=Y")</f>
        <v>-1.3769</v>
      </c>
      <c r="S23" s="14">
        <f>_xll.BDH("NBIX US Equity","FREE_CASH_FLOW_PER_SH","FQ2 2023","FQ2 2023","Currency=USD","Period=FQ","BEST_FPERIOD_OVERRIDE=FQ","FILING_STATUS=MR","Sort=A","Dates=H","DateFormat=P","Fill=—","Direction=H","UseDPDF=Y")</f>
        <v>1.7705</v>
      </c>
      <c r="T23" s="14">
        <f>_xll.BDH("NBIX US Equity","FREE_CASH_FLOW_PER_SH","FQ3 2023","FQ3 2023","Currency=USD","Period=FQ","BEST_FPERIOD_OVERRIDE=FQ","FILING_STATUS=MR","Sort=A","Dates=H","DateFormat=P","Fill=—","Direction=H","UseDPDF=Y")</f>
        <v>2.0878000000000001</v>
      </c>
      <c r="U23" s="14">
        <f>_xll.BDH("NBIX US Equity","FREE_CASH_FLOW_PER_SH","FQ4 2023","FQ4 2023","Currency=USD","Period=FQ","BEST_FPERIOD_OVERRIDE=FQ","FILING_STATUS=MR","Sort=A","Dates=H","DateFormat=P","Fill=—","Direction=H","UseDPDF=Y")</f>
        <v>1.2001999999999999</v>
      </c>
      <c r="V23" s="14">
        <f>_xll.BDH("NBIX US Equity","FREE_CASH_FLOW_PER_SH","FQ1 2024","FQ1 2024","Currency=USD","Period=FQ","BEST_FPERIOD_OVERRIDE=FQ","FILING_STATUS=MR","Sort=A","Dates=H","DateFormat=P","Fill=—","Direction=H","UseDPDF=Y")</f>
        <v>1.1934</v>
      </c>
      <c r="W23" s="14">
        <f>_xll.BDH("NBIX US Equity","FREE_CASH_FLOW_PER_SH","FQ2 2024","FQ2 2024","Currency=USD","Period=FQ","BEST_FPERIOD_OVERRIDE=FQ","FILING_STATUS=MR","Sort=A","Dates=H","DateFormat=P","Fill=—","Direction=H","UseDPDF=Y")</f>
        <v>0.52580000000000005</v>
      </c>
      <c r="X23" s="14">
        <f>_xll.BDH("NBIX US Equity","FREE_CASH_FLOW_PER_SH","FQ3 2024","FQ3 2024","Currency=USD","Period=FQ","BEST_FPERIOD_OVERRIDE=FQ","FILING_STATUS=MR","Sort=A","Dates=H","DateFormat=P","Fill=—","Direction=H","UseDPDF=Y")</f>
        <v>1.4826999999999999</v>
      </c>
      <c r="Y23" s="14">
        <f>_xll.BDH("NBIX US Equity","FREE_CASH_FLOW_PER_SH","FQ4 2024","FQ4 2024","Currency=USD","Period=FQ","BEST_FPERIOD_OVERRIDE=FQ","FILING_STATUS=MR","Sort=A","Dates=H","DateFormat=P","Fill=—","Direction=H","UseDPDF=Y")</f>
        <v>2.3519999999999999</v>
      </c>
      <c r="Z23" s="14"/>
      <c r="AA23" s="14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3</v>
      </c>
      <c r="B25" s="10" t="s">
        <v>278</v>
      </c>
      <c r="C25" s="14">
        <f>_xll.BDH("NBIX US Equity","CASH_ST_INVESTMENTS_PER_SH","FQ2 2019","FQ2 2019","Currency=USD","Period=FQ","BEST_FPERIOD_OVERRIDE=FQ","FILING_STATUS=MR","Sort=A","Dates=H","DateFormat=P","Fill=—","Direction=H","UseDPDF=Y")</f>
        <v>6.7731000000000003</v>
      </c>
      <c r="D25" s="14">
        <f>_xll.BDH("NBIX US Equity","CASH_ST_INVESTMENTS_PER_SH","FQ3 2019","FQ3 2019","Currency=USD","Period=FQ","BEST_FPERIOD_OVERRIDE=FQ","FILING_STATUS=MR","Sort=A","Dates=H","DateFormat=P","Fill=—","Direction=H","UseDPDF=Y")</f>
        <v>7.2779999999999996</v>
      </c>
      <c r="E25" s="14">
        <f>_xll.BDH("NBIX US Equity","CASH_ST_INVESTMENTS_PER_SH","FQ4 2019","FQ4 2019","Currency=USD","Period=FQ","BEST_FPERIOD_OVERRIDE=FQ","FILING_STATUS=MR","Sort=A","Dates=H","DateFormat=P","Fill=—","Direction=H","UseDPDF=Y")</f>
        <v>7.2644000000000002</v>
      </c>
      <c r="F25" s="14">
        <f>_xll.BDH("NBIX US Equity","CASH_ST_INVESTMENTS_PER_SH","FQ1 2020","FQ1 2020","Currency=USD","Period=FQ","BEST_FPERIOD_OVERRIDE=FQ","FILING_STATUS=MR","Sort=A","Dates=H","DateFormat=P","Fill=—","Direction=H","UseDPDF=Y")</f>
        <v>8.3156999999999996</v>
      </c>
      <c r="G25" s="14">
        <f>_xll.BDH("NBIX US Equity","CASH_ST_INVESTMENTS_PER_SH","FQ2 2020","FQ2 2020","Currency=USD","Period=FQ","BEST_FPERIOD_OVERRIDE=FQ","FILING_STATUS=MR","Sort=A","Dates=H","DateFormat=P","Fill=—","Direction=H","UseDPDF=Y")</f>
        <v>10.174899999999999</v>
      </c>
      <c r="H25" s="14">
        <f>_xll.BDH("NBIX US Equity","CASH_ST_INVESTMENTS_PER_SH","FQ3 2020","FQ3 2020","Currency=USD","Period=FQ","BEST_FPERIOD_OVERRIDE=FQ","FILING_STATUS=MR","Sort=A","Dates=H","DateFormat=P","Fill=—","Direction=H","UseDPDF=Y")</f>
        <v>10.114599999999999</v>
      </c>
      <c r="I25" s="14">
        <f>_xll.BDH("NBIX US Equity","CASH_ST_INVESTMENTS_PER_SH","FQ4 2020","FQ4 2020","Currency=USD","Period=FQ","BEST_FPERIOD_OVERRIDE=FQ","FILING_STATUS=MR","Sort=A","Dates=H","DateFormat=P","Fill=—","Direction=H","UseDPDF=Y")</f>
        <v>8.5668000000000006</v>
      </c>
      <c r="J25" s="14">
        <f>_xll.BDH("NBIX US Equity","CASH_ST_INVESTMENTS_PER_SH","FQ1 2021","FQ1 2021","Currency=USD","Period=FQ","BEST_FPERIOD_OVERRIDE=FQ","FILING_STATUS=MR","Sort=A","Dates=H","DateFormat=P","Fill=—","Direction=H","UseDPDF=Y")</f>
        <v>9.2454999999999998</v>
      </c>
      <c r="K25" s="14">
        <f>_xll.BDH("NBIX US Equity","CASH_ST_INVESTMENTS_PER_SH","FQ2 2021","FQ2 2021","Currency=USD","Period=FQ","BEST_FPERIOD_OVERRIDE=FQ","FILING_STATUS=MR","Sort=A","Dates=H","DateFormat=P","Fill=—","Direction=H","UseDPDF=Y")</f>
        <v>9.3541000000000007</v>
      </c>
      <c r="L25" s="14">
        <f>_xll.BDH("NBIX US Equity","CASH_ST_INVESTMENTS_PER_SH","FQ3 2021","FQ3 2021","Currency=USD","Period=FQ","BEST_FPERIOD_OVERRIDE=FQ","FILING_STATUS=MR","Sort=A","Dates=H","DateFormat=P","Fill=—","Direction=H","UseDPDF=Y")</f>
        <v>8.0791000000000004</v>
      </c>
      <c r="M25" s="14">
        <f>_xll.BDH("NBIX US Equity","CASH_ST_INVESTMENTS_PER_SH","FQ4 2021","FQ4 2021","Currency=USD","Period=FQ","BEST_FPERIOD_OVERRIDE=FQ","FILING_STATUS=MR","Sort=A","Dates=H","DateFormat=P","Fill=—","Direction=H","UseDPDF=Y")</f>
        <v>7.4953000000000003</v>
      </c>
      <c r="N25" s="14">
        <f>_xll.BDH("NBIX US Equity","CASH_ST_INVESTMENTS_PER_SH","FQ1 2022","FQ1 2022","Currency=USD","Period=FQ","BEST_FPERIOD_OVERRIDE=FQ","FILING_STATUS=MR","Sort=A","Dates=H","DateFormat=P","Fill=—","Direction=H","UseDPDF=Y")</f>
        <v>6.9622999999999999</v>
      </c>
      <c r="O25" s="14">
        <f>_xll.BDH("NBIX US Equity","CASH_ST_INVESTMENTS_PER_SH","FQ2 2022","FQ2 2022","Currency=USD","Period=FQ","BEST_FPERIOD_OVERRIDE=FQ","FILING_STATUS=MR","Sort=A","Dates=H","DateFormat=P","Fill=—","Direction=H","UseDPDF=Y")</f>
        <v>6.7813999999999997</v>
      </c>
      <c r="P25" s="14">
        <f>_xll.BDH("NBIX US Equity","CASH_ST_INVESTMENTS_PER_SH","FQ3 2022","FQ3 2022","Currency=USD","Period=FQ","BEST_FPERIOD_OVERRIDE=FQ","FILING_STATUS=MR","Sort=A","Dates=H","DateFormat=P","Fill=—","Direction=H","UseDPDF=Y")</f>
        <v>8.3184000000000005</v>
      </c>
      <c r="Q25" s="14">
        <f>_xll.BDH("NBIX US Equity","CASH_ST_INVESTMENTS_PER_SH","FQ4 2022","FQ4 2022","Currency=USD","Period=FQ","BEST_FPERIOD_OVERRIDE=FQ","FILING_STATUS=MR","Sort=A","Dates=H","DateFormat=P","Fill=—","Direction=H","UseDPDF=Y")</f>
        <v>10.251799999999999</v>
      </c>
      <c r="R25" s="14">
        <f>_xll.BDH("NBIX US Equity","CASH_ST_INVESTMENTS_PER_SH","FQ1 2023","FQ1 2023","Currency=USD","Period=FQ","BEST_FPERIOD_OVERRIDE=FQ","FILING_STATUS=MR","Sort=A","Dates=H","DateFormat=P","Fill=—","Direction=H","UseDPDF=Y")</f>
        <v>9.1753999999999998</v>
      </c>
      <c r="S25" s="14">
        <f>_xll.BDH("NBIX US Equity","CASH_ST_INVESTMENTS_PER_SH","FQ2 2023","FQ2 2023","Currency=USD","Period=FQ","BEST_FPERIOD_OVERRIDE=FQ","FILING_STATUS=MR","Sort=A","Dates=H","DateFormat=P","Fill=—","Direction=H","UseDPDF=Y")</f>
        <v>10.007199999999999</v>
      </c>
      <c r="T25" s="14">
        <f>_xll.BDH("NBIX US Equity","CASH_ST_INVESTMENTS_PER_SH","FQ3 2023","FQ3 2023","Currency=USD","Period=FQ","BEST_FPERIOD_OVERRIDE=FQ","FILING_STATUS=MR","Sort=A","Dates=H","DateFormat=P","Fill=—","Direction=H","UseDPDF=Y")</f>
        <v>11.1517</v>
      </c>
      <c r="U25" s="14">
        <f>_xll.BDH("NBIX US Equity","CASH_ST_INVESTMENTS_PER_SH","FQ4 2023","FQ4 2023","Currency=USD","Period=FQ","BEST_FPERIOD_OVERRIDE=FQ","FILING_STATUS=MR","Sort=A","Dates=H","DateFormat=P","Fill=—","Direction=H","UseDPDF=Y")</f>
        <v>10.4519</v>
      </c>
      <c r="V25" s="14">
        <f>_xll.BDH("NBIX US Equity","CASH_ST_INVESTMENTS_PER_SH","FQ1 2024","FQ1 2024","Currency=USD","Period=FQ","BEST_FPERIOD_OVERRIDE=FQ","FILING_STATUS=MR","Sort=A","Dates=H","DateFormat=P","Fill=—","Direction=H","UseDPDF=Y")</f>
        <v>12.033799999999999</v>
      </c>
      <c r="W25" s="14">
        <f>_xll.BDH("NBIX US Equity","CASH_ST_INVESTMENTS_PER_SH","FQ2 2024","FQ2 2024","Currency=USD","Period=FQ","BEST_FPERIOD_OVERRIDE=FQ","FILING_STATUS=MR","Sort=A","Dates=H","DateFormat=P","Fill=—","Direction=H","UseDPDF=Y")</f>
        <v>10.2963</v>
      </c>
      <c r="X25" s="14">
        <f>_xll.BDH("NBIX US Equity","CASH_ST_INVESTMENTS_PER_SH","FQ3 2024","FQ3 2024","Currency=USD","Period=FQ","BEST_FPERIOD_OVERRIDE=FQ","FILING_STATUS=MR","Sort=A","Dates=H","DateFormat=P","Fill=—","Direction=H","UseDPDF=Y")</f>
        <v>12.134399999999999</v>
      </c>
      <c r="Y25" s="14">
        <f>_xll.BDH("NBIX US Equity","CASH_ST_INVESTMENTS_PER_SH","FQ4 2024","FQ4 2024","Currency=USD","Period=FQ","BEST_FPERIOD_OVERRIDE=FQ","FILING_STATUS=MR","Sort=A","Dates=H","DateFormat=P","Fill=—","Direction=H","UseDPDF=Y")</f>
        <v>10.826000000000001</v>
      </c>
      <c r="Z25" s="14"/>
      <c r="AA25" s="14"/>
    </row>
    <row r="26" spans="1:27" x14ac:dyDescent="0.25">
      <c r="A26" s="10" t="s">
        <v>279</v>
      </c>
      <c r="B26" s="10" t="s">
        <v>280</v>
      </c>
      <c r="C26" s="14">
        <f>_xll.BDH("NBIX US Equity","BOOK_VAL_PER_SH","FQ2 2019","FQ2 2019","Currency=USD","Period=FQ","BEST_FPERIOD_OVERRIDE=FQ","FILING_STATUS=MR","Sort=A","Dates=H","DateFormat=P","Fill=—","Direction=H","UseDPDF=Y")</f>
        <v>5.2843</v>
      </c>
      <c r="D26" s="14">
        <f>_xll.BDH("NBIX US Equity","BOOK_VAL_PER_SH","FQ3 2019","FQ3 2019","Currency=USD","Period=FQ","BEST_FPERIOD_OVERRIDE=FQ","FILING_STATUS=MR","Sort=A","Dates=H","DateFormat=P","Fill=—","Direction=H","UseDPDF=Y")</f>
        <v>6.2393000000000001</v>
      </c>
      <c r="E26" s="14">
        <f>_xll.BDH("NBIX US Equity","BOOK_VAL_PER_SH","FQ4 2019","FQ4 2019","Currency=USD","Period=FQ","BEST_FPERIOD_OVERRIDE=FQ","FILING_STATUS=MR","Sort=A","Dates=H","DateFormat=P","Fill=—","Direction=H","UseDPDF=Y")</f>
        <v>6.9002999999999997</v>
      </c>
      <c r="F26" s="14">
        <f>_xll.BDH("NBIX US Equity","BOOK_VAL_PER_SH","FQ1 2020","FQ1 2020","Currency=USD","Period=FQ","BEST_FPERIOD_OVERRIDE=FQ","FILING_STATUS=MR","Sort=A","Dates=H","DateFormat=P","Fill=—","Direction=H","UseDPDF=Y")</f>
        <v>7.5462999999999996</v>
      </c>
      <c r="G26" s="14">
        <f>_xll.BDH("NBIX US Equity","BOOK_VAL_PER_SH","FQ2 2020","FQ2 2020","Currency=USD","Period=FQ","BEST_FPERIOD_OVERRIDE=FQ","FILING_STATUS=MR","Sort=A","Dates=H","DateFormat=P","Fill=—","Direction=H","UseDPDF=Y")</f>
        <v>8.9184999999999999</v>
      </c>
      <c r="H26" s="14">
        <f>_xll.BDH("NBIX US Equity","BOOK_VAL_PER_SH","FQ3 2020","FQ3 2020","Currency=USD","Period=FQ","BEST_FPERIOD_OVERRIDE=FQ","FILING_STATUS=MR","Sort=A","Dates=H","DateFormat=P","Fill=—","Direction=H","UseDPDF=Y")</f>
        <v>8.6113</v>
      </c>
      <c r="I26" s="14">
        <f>_xll.BDH("NBIX US Equity","BOOK_VAL_PER_SH","FQ4 2020","FQ4 2020","Currency=USD","Period=FQ","BEST_FPERIOD_OVERRIDE=FQ","FILING_STATUS=MR","Sort=A","Dates=H","DateFormat=P","Fill=—","Direction=H","UseDPDF=Y")</f>
        <v>12.0449</v>
      </c>
      <c r="J26" s="14">
        <f>_xll.BDH("NBIX US Equity","BOOK_VAL_PER_SH","FQ1 2021","FQ1 2021","Currency=USD","Period=FQ","BEST_FPERIOD_OVERRIDE=FQ","FILING_STATUS=MR","Sort=A","Dates=H","DateFormat=P","Fill=—","Direction=H","UseDPDF=Y")</f>
        <v>12.7577</v>
      </c>
      <c r="K26" s="14">
        <f>_xll.BDH("NBIX US Equity","BOOK_VAL_PER_SH","FQ2 2021","FQ2 2021","Currency=USD","Period=FQ","BEST_FPERIOD_OVERRIDE=FQ","FILING_STATUS=MR","Sort=A","Dates=H","DateFormat=P","Fill=—","Direction=H","UseDPDF=Y")</f>
        <v>13.5222</v>
      </c>
      <c r="L26" s="14">
        <f>_xll.BDH("NBIX US Equity","BOOK_VAL_PER_SH","FQ3 2021","FQ3 2021","Currency=USD","Period=FQ","BEST_FPERIOD_OVERRIDE=FQ","FILING_STATUS=MR","Sort=A","Dates=H","DateFormat=P","Fill=—","Direction=H","UseDPDF=Y")</f>
        <v>14.1983</v>
      </c>
      <c r="M26" s="14">
        <f>_xll.BDH("NBIX US Equity","BOOK_VAL_PER_SH","FQ4 2021","FQ4 2021","Currency=USD","Period=FQ","BEST_FPERIOD_OVERRIDE=FQ","FILING_STATUS=MR","Sort=A","Dates=H","DateFormat=P","Fill=—","Direction=H","UseDPDF=Y")</f>
        <v>14.478400000000001</v>
      </c>
      <c r="N26" s="14">
        <f>_xll.BDH("NBIX US Equity","BOOK_VAL_PER_SH","FQ1 2022","FQ1 2022","Currency=USD","Period=FQ","BEST_FPERIOD_OVERRIDE=FQ","FILING_STATUS=MR","Sort=A","Dates=H","DateFormat=P","Fill=—","Direction=H","UseDPDF=Y")</f>
        <v>14.5665</v>
      </c>
      <c r="O26" s="14">
        <f>_xll.BDH("NBIX US Equity","BOOK_VAL_PER_SH","FQ2 2022","FQ2 2022","Currency=USD","Period=FQ","BEST_FPERIOD_OVERRIDE=FQ","FILING_STATUS=MR","Sort=A","Dates=H","DateFormat=P","Fill=—","Direction=H","UseDPDF=Y")</f>
        <v>14.889099999999999</v>
      </c>
      <c r="P26" s="14">
        <f>_xll.BDH("NBIX US Equity","BOOK_VAL_PER_SH","FQ3 2022","FQ3 2022","Currency=USD","Period=FQ","BEST_FPERIOD_OVERRIDE=FQ","FILING_STATUS=MR","Sort=A","Dates=H","DateFormat=P","Fill=—","Direction=H","UseDPDF=Y")</f>
        <v>16.072800000000001</v>
      </c>
      <c r="Q26" s="14">
        <f>_xll.BDH("NBIX US Equity","BOOK_VAL_PER_SH","FQ4 2022","FQ4 2022","Currency=USD","Period=FQ","BEST_FPERIOD_OVERRIDE=FQ","FILING_STATUS=MR","Sort=A","Dates=H","DateFormat=P","Fill=—","Direction=H","UseDPDF=Y")</f>
        <v>17.697399999999998</v>
      </c>
      <c r="R26" s="14">
        <f>_xll.BDH("NBIX US Equity","BOOK_VAL_PER_SH","FQ1 2023","FQ1 2023","Currency=USD","Period=FQ","BEST_FPERIOD_OVERRIDE=FQ","FILING_STATUS=MR","Sort=A","Dates=H","DateFormat=P","Fill=—","Direction=H","UseDPDF=Y")</f>
        <v>17.276900000000001</v>
      </c>
      <c r="S26" s="14">
        <f>_xll.BDH("NBIX US Equity","BOOK_VAL_PER_SH","FQ2 2023","FQ2 2023","Currency=USD","Period=FQ","BEST_FPERIOD_OVERRIDE=FQ","FILING_STATUS=MR","Sort=A","Dates=H","DateFormat=P","Fill=—","Direction=H","UseDPDF=Y")</f>
        <v>18.985700000000001</v>
      </c>
      <c r="T26" s="14">
        <f>_xll.BDH("NBIX US Equity","BOOK_VAL_PER_SH","FQ3 2023","FQ3 2023","Currency=USD","Period=FQ","BEST_FPERIOD_OVERRIDE=FQ","FILING_STATUS=MR","Sort=A","Dates=H","DateFormat=P","Fill=—","Direction=H","UseDPDF=Y")</f>
        <v>20.388000000000002</v>
      </c>
      <c r="U26" s="14">
        <f>_xll.BDH("NBIX US Equity","BOOK_VAL_PER_SH","FQ4 2023","FQ4 2023","Currency=USD","Period=FQ","BEST_FPERIOD_OVERRIDE=FQ","FILING_STATUS=MR","Sort=A","Dates=H","DateFormat=P","Fill=—","Direction=H","UseDPDF=Y")</f>
        <v>22.614000000000001</v>
      </c>
      <c r="V26" s="14">
        <f>_xll.BDH("NBIX US Equity","BOOK_VAL_PER_SH","FQ1 2024","FQ1 2024","Currency=USD","Period=FQ","BEST_FPERIOD_OVERRIDE=FQ","FILING_STATUS=MR","Sort=A","Dates=H","DateFormat=P","Fill=—","Direction=H","UseDPDF=Y")</f>
        <v>23.718699999999998</v>
      </c>
      <c r="W26" s="14">
        <f>_xll.BDH("NBIX US Equity","BOOK_VAL_PER_SH","FQ2 2024","FQ2 2024","Currency=USD","Period=FQ","BEST_FPERIOD_OVERRIDE=FQ","FILING_STATUS=MR","Sort=A","Dates=H","DateFormat=P","Fill=—","Direction=H","UseDPDF=Y")</f>
        <v>24.868200000000002</v>
      </c>
      <c r="X26" s="14">
        <f>_xll.BDH("NBIX US Equity","BOOK_VAL_PER_SH","FQ3 2024","FQ3 2024","Currency=USD","Period=FQ","BEST_FPERIOD_OVERRIDE=FQ","FILING_STATUS=MR","Sort=A","Dates=H","DateFormat=P","Fill=—","Direction=H","UseDPDF=Y")</f>
        <v>26.866599999999998</v>
      </c>
      <c r="Y26" s="14">
        <f>_xll.BDH("NBIX US Equity","BOOK_VAL_PER_SH","FQ4 2024","FQ4 2024","Currency=USD","Period=FQ","BEST_FPERIOD_OVERRIDE=FQ","FILING_STATUS=MR","Sort=A","Dates=H","DateFormat=P","Fill=—","Direction=H","UseDPDF=Y")</f>
        <v>26.0533</v>
      </c>
      <c r="Z26" s="14">
        <v>26.704999999999998</v>
      </c>
      <c r="AA26" s="14">
        <v>27.99</v>
      </c>
    </row>
    <row r="27" spans="1:27" x14ac:dyDescent="0.25">
      <c r="A27" s="10" t="s">
        <v>281</v>
      </c>
      <c r="B27" s="10" t="s">
        <v>282</v>
      </c>
      <c r="C27" s="14">
        <f>_xll.BDH("NBIX US Equity","TANG_BOOK_VAL_PER_SH","FQ2 2019","FQ2 2019","Currency=USD","Period=FQ","BEST_FPERIOD_OVERRIDE=FQ","FILING_STATUS=MR","Sort=A","Dates=H","DateFormat=P","Fill=—","Direction=H","UseDPDF=Y")</f>
        <v>5.2843</v>
      </c>
      <c r="D27" s="14">
        <f>_xll.BDH("NBIX US Equity","TANG_BOOK_VAL_PER_SH","FQ3 2019","FQ3 2019","Currency=USD","Period=FQ","BEST_FPERIOD_OVERRIDE=FQ","FILING_STATUS=MR","Sort=A","Dates=H","DateFormat=P","Fill=—","Direction=H","UseDPDF=Y")</f>
        <v>6.2393000000000001</v>
      </c>
      <c r="E27" s="14">
        <f>_xll.BDH("NBIX US Equity","TANG_BOOK_VAL_PER_SH","FQ4 2019","FQ4 2019","Currency=USD","Period=FQ","BEST_FPERIOD_OVERRIDE=FQ","FILING_STATUS=MR","Sort=A","Dates=H","DateFormat=P","Fill=—","Direction=H","UseDPDF=Y")</f>
        <v>6.9002999999999997</v>
      </c>
      <c r="F27" s="14">
        <f>_xll.BDH("NBIX US Equity","TANG_BOOK_VAL_PER_SH","FQ1 2020","FQ1 2020","Currency=USD","Period=FQ","BEST_FPERIOD_OVERRIDE=FQ","FILING_STATUS=MR","Sort=A","Dates=H","DateFormat=P","Fill=—","Direction=H","UseDPDF=Y")</f>
        <v>7.5462999999999996</v>
      </c>
      <c r="G27" s="14" t="str">
        <f>_xll.BDH("NBIX US Equity","TANG_BOOK_VAL_PER_SH","FQ2 2020","FQ2 2020","Currency=USD","Period=FQ","BEST_FPERIOD_OVERRIDE=FQ","FILING_STATUS=MR","Sort=A","Dates=H","DateFormat=P","Fill=—","Direction=H","UseDPDF=Y")</f>
        <v>—</v>
      </c>
      <c r="H27" s="14" t="str">
        <f>_xll.BDH("NBIX US Equity","TANG_BOOK_VAL_PER_SH","FQ3 2020","FQ3 2020","Currency=USD","Period=FQ","BEST_FPERIOD_OVERRIDE=FQ","FILING_STATUS=MR","Sort=A","Dates=H","DateFormat=P","Fill=—","Direction=H","UseDPDF=Y")</f>
        <v>—</v>
      </c>
      <c r="I27" s="14">
        <f>_xll.BDH("NBIX US Equity","TANG_BOOK_VAL_PER_SH","FQ4 2020","FQ4 2020","Currency=USD","Period=FQ","BEST_FPERIOD_OVERRIDE=FQ","FILING_STATUS=MR","Sort=A","Dates=H","DateFormat=P","Fill=—","Direction=H","UseDPDF=Y")</f>
        <v>12.0449</v>
      </c>
      <c r="J27" s="14">
        <f>_xll.BDH("NBIX US Equity","TANG_BOOK_VAL_PER_SH","FQ1 2021","FQ1 2021","Currency=USD","Period=FQ","BEST_FPERIOD_OVERRIDE=FQ","FILING_STATUS=MR","Sort=A","Dates=H","DateFormat=P","Fill=—","Direction=H","UseDPDF=Y")</f>
        <v>12.7577</v>
      </c>
      <c r="K27" s="14" t="str">
        <f>_xll.BDH("NBIX US Equity","TANG_BOOK_VAL_PER_SH","FQ2 2021","FQ2 2021","Currency=USD","Period=FQ","BEST_FPERIOD_OVERRIDE=FQ","FILING_STATUS=MR","Sort=A","Dates=H","DateFormat=P","Fill=—","Direction=H","UseDPDF=Y")</f>
        <v>—</v>
      </c>
      <c r="L27" s="14" t="str">
        <f>_xll.BDH("NBIX US Equity","TANG_BOOK_VAL_PER_SH","FQ3 2021","FQ3 2021","Currency=USD","Period=FQ","BEST_FPERIOD_OVERRIDE=FQ","FILING_STATUS=MR","Sort=A","Dates=H","DateFormat=P","Fill=—","Direction=H","UseDPDF=Y")</f>
        <v>—</v>
      </c>
      <c r="M27" s="14">
        <f>_xll.BDH("NBIX US Equity","TANG_BOOK_VAL_PER_SH","FQ4 2021","FQ4 2021","Currency=USD","Period=FQ","BEST_FPERIOD_OVERRIDE=FQ","FILING_STATUS=MR","Sort=A","Dates=H","DateFormat=P","Fill=—","Direction=H","UseDPDF=Y")</f>
        <v>14.478400000000001</v>
      </c>
      <c r="N27" s="14" t="str">
        <f>_xll.BDH("NBIX US Equity","TANG_BOOK_VAL_PER_SH","FQ1 2022","FQ1 2022","Currency=USD","Period=FQ","BEST_FPERIOD_OVERRIDE=FQ","FILING_STATUS=MR","Sort=A","Dates=H","DateFormat=P","Fill=—","Direction=H","UseDPDF=Y")</f>
        <v>—</v>
      </c>
      <c r="O27" s="14">
        <f>_xll.BDH("NBIX US Equity","TANG_BOOK_VAL_PER_SH","FQ2 2022","FQ2 2022","Currency=USD","Period=FQ","BEST_FPERIOD_OVERRIDE=FQ","FILING_STATUS=MR","Sort=A","Dates=H","DateFormat=P","Fill=—","Direction=H","UseDPDF=Y")</f>
        <v>14.889099999999999</v>
      </c>
      <c r="P27" s="14" t="str">
        <f>_xll.BDH("NBIX US Equity","TANG_BOOK_VAL_PER_SH","FQ3 2022","FQ3 2022","Currency=USD","Period=FQ","BEST_FPERIOD_OVERRIDE=FQ","FILING_STATUS=MR","Sort=A","Dates=H","DateFormat=P","Fill=—","Direction=H","UseDPDF=Y")</f>
        <v>—</v>
      </c>
      <c r="Q27" s="14">
        <f>_xll.BDH("NBIX US Equity","TANG_BOOK_VAL_PER_SH","FQ4 2022","FQ4 2022","Currency=USD","Period=FQ","BEST_FPERIOD_OVERRIDE=FQ","FILING_STATUS=MR","Sort=A","Dates=H","DateFormat=P","Fill=—","Direction=H","UseDPDF=Y")</f>
        <v>17.311900000000001</v>
      </c>
      <c r="R27" s="14">
        <f>_xll.BDH("NBIX US Equity","TANG_BOOK_VAL_PER_SH","FQ1 2023","FQ1 2023","Currency=USD","Period=FQ","BEST_FPERIOD_OVERRIDE=FQ","FILING_STATUS=MR","Sort=A","Dates=H","DateFormat=P","Fill=—","Direction=H","UseDPDF=Y")</f>
        <v>16.895399999999999</v>
      </c>
      <c r="S27" s="14">
        <f>_xll.BDH("NBIX US Equity","TANG_BOOK_VAL_PER_SH","FQ2 2023","FQ2 2023","Currency=USD","Period=FQ","BEST_FPERIOD_OVERRIDE=FQ","FILING_STATUS=MR","Sort=A","Dates=H","DateFormat=P","Fill=—","Direction=H","UseDPDF=Y")</f>
        <v>18.607600000000001</v>
      </c>
      <c r="T27" s="14">
        <f>_xll.BDH("NBIX US Equity","TANG_BOOK_VAL_PER_SH","FQ3 2023","FQ3 2023","Currency=USD","Period=FQ","BEST_FPERIOD_OVERRIDE=FQ","FILING_STATUS=MR","Sort=A","Dates=H","DateFormat=P","Fill=—","Direction=H","UseDPDF=Y")</f>
        <v>20.032599999999999</v>
      </c>
      <c r="U27" s="14">
        <f>_xll.BDH("NBIX US Equity","TANG_BOOK_VAL_PER_SH","FQ4 2023","FQ4 2023","Currency=USD","Period=FQ","BEST_FPERIOD_OVERRIDE=FQ","FILING_STATUS=MR","Sort=A","Dates=H","DateFormat=P","Fill=—","Direction=H","UseDPDF=Y")</f>
        <v>22.254300000000001</v>
      </c>
      <c r="V27" s="14">
        <f>_xll.BDH("NBIX US Equity","TANG_BOOK_VAL_PER_SH","FQ1 2024","FQ1 2024","Currency=USD","Period=FQ","BEST_FPERIOD_OVERRIDE=FQ","FILING_STATUS=MR","Sort=A","Dates=H","DateFormat=P","Fill=—","Direction=H","UseDPDF=Y")</f>
        <v>23.377700000000001</v>
      </c>
      <c r="W27" s="14">
        <f>_xll.BDH("NBIX US Equity","TANG_BOOK_VAL_PER_SH","FQ2 2024","FQ2 2024","Currency=USD","Period=FQ","BEST_FPERIOD_OVERRIDE=FQ","FILING_STATUS=MR","Sort=A","Dates=H","DateFormat=P","Fill=—","Direction=H","UseDPDF=Y")</f>
        <v>24.536200000000001</v>
      </c>
      <c r="X27" s="14">
        <f>_xll.BDH("NBIX US Equity","TANG_BOOK_VAL_PER_SH","FQ3 2024","FQ3 2024","Currency=USD","Period=FQ","BEST_FPERIOD_OVERRIDE=FQ","FILING_STATUS=MR","Sort=A","Dates=H","DateFormat=P","Fill=—","Direction=H","UseDPDF=Y")</f>
        <v>26.525700000000001</v>
      </c>
      <c r="Y27" s="14">
        <f>_xll.BDH("NBIX US Equity","TANG_BOOK_VAL_PER_SH","FQ4 2024","FQ4 2024","Currency=USD","Period=FQ","BEST_FPERIOD_OVERRIDE=FQ","FILING_STATUS=MR","Sort=A","Dates=H","DateFormat=P","Fill=—","Direction=H","UseDPDF=Y")</f>
        <v>25.6861</v>
      </c>
      <c r="Z27" s="14"/>
      <c r="AA27" s="14"/>
    </row>
    <row r="28" spans="1:27" x14ac:dyDescent="0.25">
      <c r="A28" s="7" t="s">
        <v>90</v>
      </c>
      <c r="B28" s="7"/>
      <c r="C28" s="7" t="s">
        <v>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283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94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164</v>
      </c>
    </row>
    <row r="5" spans="1:27" x14ac:dyDescent="0.25">
      <c r="A5" s="9" t="s">
        <v>34</v>
      </c>
      <c r="B5" s="9"/>
      <c r="C5" s="5" t="s">
        <v>96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165</v>
      </c>
    </row>
    <row r="6" spans="1:27" x14ac:dyDescent="0.25">
      <c r="A6" s="6" t="s">
        <v>284</v>
      </c>
      <c r="B6" s="6" t="s">
        <v>250</v>
      </c>
      <c r="C6" s="20">
        <f>_xll.BDH("NBIX US Equity","PX_LAST","FQ1 2019","FQ1 2019","Currency=USD","Period=FQ","BEST_FPERIOD_OVERRIDE=FQ","FILING_STATUS=MR","Sort=A","Dates=H","DateFormat=P","Fill=—","Direction=H","UseDPDF=Y")</f>
        <v>88.1</v>
      </c>
      <c r="D6" s="20">
        <f>_xll.BDH("NBIX US Equity","PX_LAST","FQ2 2019","FQ2 2019","Currency=USD","Period=FQ","BEST_FPERIOD_OVERRIDE=FQ","FILING_STATUS=MR","Sort=A","Dates=H","DateFormat=P","Fill=—","Direction=H","UseDPDF=Y")</f>
        <v>84.43</v>
      </c>
      <c r="E6" s="20">
        <f>_xll.BDH("NBIX US Equity","PX_LAST","FQ3 2019","FQ3 2019","Currency=USD","Period=FQ","BEST_FPERIOD_OVERRIDE=FQ","FILING_STATUS=MR","Sort=A","Dates=H","DateFormat=P","Fill=—","Direction=H","UseDPDF=Y")</f>
        <v>90.11</v>
      </c>
      <c r="F6" s="20">
        <f>_xll.BDH("NBIX US Equity","PX_LAST","FQ4 2019","FQ4 2019","Currency=USD","Period=FQ","BEST_FPERIOD_OVERRIDE=FQ","FILING_STATUS=MR","Sort=A","Dates=H","DateFormat=P","Fill=—","Direction=H","UseDPDF=Y")</f>
        <v>107.49</v>
      </c>
      <c r="G6" s="20">
        <f>_xll.BDH("NBIX US Equity","PX_LAST","FQ1 2020","FQ1 2020","Currency=USD","Period=FQ","BEST_FPERIOD_OVERRIDE=FQ","FILING_STATUS=MR","Sort=A","Dates=H","DateFormat=P","Fill=—","Direction=H","UseDPDF=Y")</f>
        <v>86.55</v>
      </c>
      <c r="H6" s="20">
        <f>_xll.BDH("NBIX US Equity","PX_LAST","FQ2 2020","FQ2 2020","Currency=USD","Period=FQ","BEST_FPERIOD_OVERRIDE=FQ","FILING_STATUS=MR","Sort=A","Dates=H","DateFormat=P","Fill=—","Direction=H","UseDPDF=Y")</f>
        <v>122</v>
      </c>
      <c r="I6" s="20">
        <f>_xll.BDH("NBIX US Equity","PX_LAST","FQ3 2020","FQ3 2020","Currency=USD","Period=FQ","BEST_FPERIOD_OVERRIDE=FQ","FILING_STATUS=MR","Sort=A","Dates=H","DateFormat=P","Fill=—","Direction=H","UseDPDF=Y")</f>
        <v>96.16</v>
      </c>
      <c r="J6" s="20">
        <f>_xll.BDH("NBIX US Equity","PX_LAST","FQ4 2020","FQ4 2020","Currency=USD","Period=FQ","BEST_FPERIOD_OVERRIDE=FQ","FILING_STATUS=MR","Sort=A","Dates=H","DateFormat=P","Fill=—","Direction=H","UseDPDF=Y")</f>
        <v>95.85</v>
      </c>
      <c r="K6" s="20">
        <f>_xll.BDH("NBIX US Equity","PX_LAST","FQ1 2021","FQ1 2021","Currency=USD","Period=FQ","BEST_FPERIOD_OVERRIDE=FQ","FILING_STATUS=MR","Sort=A","Dates=H","DateFormat=P","Fill=—","Direction=H","UseDPDF=Y")</f>
        <v>97.25</v>
      </c>
      <c r="L6" s="20">
        <f>_xll.BDH("NBIX US Equity","PX_LAST","FQ2 2021","FQ2 2021","Currency=USD","Period=FQ","BEST_FPERIOD_OVERRIDE=FQ","FILING_STATUS=MR","Sort=A","Dates=H","DateFormat=P","Fill=—","Direction=H","UseDPDF=Y")</f>
        <v>97.32</v>
      </c>
      <c r="M6" s="20">
        <f>_xll.BDH("NBIX US Equity","PX_LAST","FQ3 2021","FQ3 2021","Currency=USD","Period=FQ","BEST_FPERIOD_OVERRIDE=FQ","FILING_STATUS=MR","Sort=A","Dates=H","DateFormat=P","Fill=—","Direction=H","UseDPDF=Y")</f>
        <v>95.91</v>
      </c>
      <c r="N6" s="20">
        <f>_xll.BDH("NBIX US Equity","PX_LAST","FQ4 2021","FQ4 2021","Currency=USD","Period=FQ","BEST_FPERIOD_OVERRIDE=FQ","FILING_STATUS=MR","Sort=A","Dates=H","DateFormat=P","Fill=—","Direction=H","UseDPDF=Y")</f>
        <v>85.17</v>
      </c>
      <c r="O6" s="20">
        <f>_xll.BDH("NBIX US Equity","PX_LAST","FQ1 2022","FQ1 2022","Currency=USD","Period=FQ","BEST_FPERIOD_OVERRIDE=FQ","FILING_STATUS=MR","Sort=A","Dates=H","DateFormat=P","Fill=—","Direction=H","UseDPDF=Y")</f>
        <v>93.75</v>
      </c>
      <c r="P6" s="20">
        <f>_xll.BDH("NBIX US Equity","PX_LAST","FQ2 2022","FQ2 2022","Currency=USD","Period=FQ","BEST_FPERIOD_OVERRIDE=FQ","FILING_STATUS=MR","Sort=A","Dates=H","DateFormat=P","Fill=—","Direction=H","UseDPDF=Y")</f>
        <v>97.48</v>
      </c>
      <c r="Q6" s="20">
        <f>_xll.BDH("NBIX US Equity","PX_LAST","FQ3 2022","FQ3 2022","Currency=USD","Period=FQ","BEST_FPERIOD_OVERRIDE=FQ","FILING_STATUS=MR","Sort=A","Dates=H","DateFormat=P","Fill=—","Direction=H","UseDPDF=Y")</f>
        <v>106.21</v>
      </c>
      <c r="R6" s="20">
        <f>_xll.BDH("NBIX US Equity","PX_LAST","FQ4 2022","FQ4 2022","Currency=USD","Period=FQ","BEST_FPERIOD_OVERRIDE=FQ","FILING_STATUS=MR","Sort=A","Dates=H","DateFormat=P","Fill=—","Direction=H","UseDPDF=Y")</f>
        <v>119.44</v>
      </c>
      <c r="S6" s="20">
        <f>_xll.BDH("NBIX US Equity","PX_LAST","FQ1 2023","FQ1 2023","Currency=USD","Period=FQ","BEST_FPERIOD_OVERRIDE=FQ","FILING_STATUS=MR","Sort=A","Dates=H","DateFormat=P","Fill=—","Direction=H","UseDPDF=Y")</f>
        <v>101.22</v>
      </c>
      <c r="T6" s="20">
        <f>_xll.BDH("NBIX US Equity","PX_LAST","FQ2 2023","FQ2 2023","Currency=USD","Period=FQ","BEST_FPERIOD_OVERRIDE=FQ","FILING_STATUS=MR","Sort=A","Dates=H","DateFormat=P","Fill=—","Direction=H","UseDPDF=Y")</f>
        <v>94.3</v>
      </c>
      <c r="U6" s="20">
        <f>_xll.BDH("NBIX US Equity","PX_LAST","FQ3 2023","FQ3 2023","Currency=USD","Period=FQ","BEST_FPERIOD_OVERRIDE=FQ","FILING_STATUS=MR","Sort=A","Dates=H","DateFormat=P","Fill=—","Direction=H","UseDPDF=Y")</f>
        <v>112.5</v>
      </c>
      <c r="V6" s="20">
        <f>_xll.BDH("NBIX US Equity","PX_LAST","FQ4 2023","FQ4 2023","Currency=USD","Period=FQ","BEST_FPERIOD_OVERRIDE=FQ","FILING_STATUS=MR","Sort=A","Dates=H","DateFormat=P","Fill=—","Direction=H","UseDPDF=Y")</f>
        <v>131.76</v>
      </c>
      <c r="W6" s="20">
        <f>_xll.BDH("NBIX US Equity","PX_LAST","FQ1 2024","FQ1 2024","Currency=USD","Period=FQ","BEST_FPERIOD_OVERRIDE=FQ","FILING_STATUS=MR","Sort=A","Dates=H","DateFormat=P","Fill=—","Direction=H","UseDPDF=Y")</f>
        <v>137.91999999999999</v>
      </c>
      <c r="X6" s="20">
        <f>_xll.BDH("NBIX US Equity","PX_LAST","FQ2 2024","FQ2 2024","Currency=USD","Period=FQ","BEST_FPERIOD_OVERRIDE=FQ","FILING_STATUS=MR","Sort=A","Dates=H","DateFormat=P","Fill=—","Direction=H","UseDPDF=Y")</f>
        <v>137.66999999999999</v>
      </c>
      <c r="Y6" s="20">
        <f>_xll.BDH("NBIX US Equity","PX_LAST","FQ3 2024","FQ3 2024","Currency=USD","Period=FQ","BEST_FPERIOD_OVERRIDE=FQ","FILING_STATUS=MR","Sort=A","Dates=H","DateFormat=P","Fill=—","Direction=H","UseDPDF=Y")</f>
        <v>115.22</v>
      </c>
      <c r="Z6" s="20">
        <f>_xll.BDH("NBIX US Equity","PX_LAST","FQ4 2024","FQ4 2024","Currency=USD","Period=FQ","BEST_FPERIOD_OVERRIDE=FQ","FILING_STATUS=MR","Sort=A","Dates=H","DateFormat=P","Fill=—","Direction=H","UseDPDF=Y")</f>
        <v>136.5</v>
      </c>
      <c r="AA6" s="23">
        <v>113.05999755859401</v>
      </c>
    </row>
    <row r="7" spans="1:27" x14ac:dyDescent="0.25">
      <c r="A7" s="11" t="s">
        <v>285</v>
      </c>
      <c r="B7" s="11" t="s">
        <v>286</v>
      </c>
      <c r="C7" s="26">
        <f>_xll.BDH("NBIX US Equity","CHG_PCT_PERIOD","FQ1 2019","FQ1 2019","Currency=USD","Period=FQ","BEST_FPERIOD_OVERRIDE=FQ","FILING_STATUS=MR","Sort=A","Dates=H","DateFormat=P","Fill=—","Direction=H","UseDPDF=Y")</f>
        <v>23.3721</v>
      </c>
      <c r="D7" s="26">
        <f>_xll.BDH("NBIX US Equity","CHG_PCT_PERIOD","FQ2 2019","FQ2 2019","Currency=USD","Period=FQ","BEST_FPERIOD_OVERRIDE=FQ","FILING_STATUS=MR","Sort=A","Dates=H","DateFormat=P","Fill=—","Direction=H","UseDPDF=Y")</f>
        <v>-4.1657000000000002</v>
      </c>
      <c r="E7" s="26" t="str">
        <f>_xll.BDH("NBIX US Equity","CHG_PCT_PERIOD","FQ3 2019","FQ3 2019","Currency=USD","Period=FQ","BEST_FPERIOD_OVERRIDE=FQ","FILING_STATUS=MR","Sort=A","Dates=H","DateFormat=P","Fill=—","Direction=H","UseDPDF=Y")</f>
        <v>—</v>
      </c>
      <c r="F7" s="26">
        <f>_xll.BDH("NBIX US Equity","CHG_PCT_PERIOD","FQ4 2019","FQ4 2019","Currency=USD","Period=FQ","BEST_FPERIOD_OVERRIDE=FQ","FILING_STATUS=MR","Sort=A","Dates=H","DateFormat=P","Fill=—","Direction=H","UseDPDF=Y")</f>
        <v>19.287500000000001</v>
      </c>
      <c r="G7" s="26">
        <f>_xll.BDH("NBIX US Equity","CHG_PCT_PERIOD","FQ1 2020","FQ1 2020","Currency=USD","Period=FQ","BEST_FPERIOD_OVERRIDE=FQ","FILING_STATUS=MR","Sort=A","Dates=H","DateFormat=P","Fill=—","Direction=H","UseDPDF=Y")</f>
        <v>-19.480899999999998</v>
      </c>
      <c r="H7" s="26">
        <f>_xll.BDH("NBIX US Equity","CHG_PCT_PERIOD","FQ2 2020","FQ2 2020","Currency=USD","Period=FQ","BEST_FPERIOD_OVERRIDE=FQ","FILING_STATUS=MR","Sort=A","Dates=H","DateFormat=P","Fill=—","Direction=H","UseDPDF=Y")</f>
        <v>40.959000000000003</v>
      </c>
      <c r="I7" s="26">
        <f>_xll.BDH("NBIX US Equity","CHG_PCT_PERIOD","FQ3 2020","FQ3 2020","Currency=USD","Period=FQ","BEST_FPERIOD_OVERRIDE=FQ","FILING_STATUS=MR","Sort=A","Dates=H","DateFormat=P","Fill=—","Direction=H","UseDPDF=Y")</f>
        <v>-21.180299999999999</v>
      </c>
      <c r="J7" s="26">
        <f>_xll.BDH("NBIX US Equity","CHG_PCT_PERIOD","FQ4 2020","FQ4 2020","Currency=USD","Period=FQ","BEST_FPERIOD_OVERRIDE=FQ","FILING_STATUS=MR","Sort=A","Dates=H","DateFormat=P","Fill=—","Direction=H","UseDPDF=Y")</f>
        <v>-0.32240000000000002</v>
      </c>
      <c r="K7" s="26">
        <f>_xll.BDH("NBIX US Equity","CHG_PCT_PERIOD","FQ1 2021","FQ1 2021","Currency=USD","Period=FQ","BEST_FPERIOD_OVERRIDE=FQ","FILING_STATUS=MR","Sort=A","Dates=H","DateFormat=P","Fill=—","Direction=H","UseDPDF=Y")</f>
        <v>1.4605999999999999</v>
      </c>
      <c r="L7" s="26">
        <f>_xll.BDH("NBIX US Equity","CHG_PCT_PERIOD","FQ2 2021","FQ2 2021","Currency=USD","Period=FQ","BEST_FPERIOD_OVERRIDE=FQ","FILING_STATUS=MR","Sort=A","Dates=H","DateFormat=P","Fill=—","Direction=H","UseDPDF=Y")</f>
        <v>7.1999999999999995E-2</v>
      </c>
      <c r="M7" s="26">
        <f>_xll.BDH("NBIX US Equity","CHG_PCT_PERIOD","FQ3 2021","FQ3 2021","Currency=USD","Period=FQ","BEST_FPERIOD_OVERRIDE=FQ","FILING_STATUS=MR","Sort=A","Dates=H","DateFormat=P","Fill=—","Direction=H","UseDPDF=Y")</f>
        <v>-1.4488000000000001</v>
      </c>
      <c r="N7" s="26">
        <f>_xll.BDH("NBIX US Equity","CHG_PCT_PERIOD","FQ4 2021","FQ4 2021","Currency=USD","Period=FQ","BEST_FPERIOD_OVERRIDE=FQ","FILING_STATUS=MR","Sort=A","Dates=H","DateFormat=P","Fill=—","Direction=H","UseDPDF=Y")</f>
        <v>-11.198</v>
      </c>
      <c r="O7" s="26">
        <f>_xll.BDH("NBIX US Equity","CHG_PCT_PERIOD","FQ1 2022","FQ1 2022","Currency=USD","Period=FQ","BEST_FPERIOD_OVERRIDE=FQ","FILING_STATUS=MR","Sort=A","Dates=H","DateFormat=P","Fill=—","Direction=H","UseDPDF=Y")</f>
        <v>10.074</v>
      </c>
      <c r="P7" s="26">
        <f>_xll.BDH("NBIX US Equity","CHG_PCT_PERIOD","FQ2 2022","FQ2 2022","Currency=USD","Period=FQ","BEST_FPERIOD_OVERRIDE=FQ","FILING_STATUS=MR","Sort=A","Dates=H","DateFormat=P","Fill=—","Direction=H","UseDPDF=Y")</f>
        <v>3.9786999999999999</v>
      </c>
      <c r="Q7" s="26">
        <f>_xll.BDH("NBIX US Equity","CHG_PCT_PERIOD","FQ3 2022","FQ3 2022","Currency=USD","Period=FQ","BEST_FPERIOD_OVERRIDE=FQ","FILING_STATUS=MR","Sort=A","Dates=H","DateFormat=P","Fill=—","Direction=H","UseDPDF=Y")</f>
        <v>8.9557000000000002</v>
      </c>
      <c r="R7" s="26">
        <f>_xll.BDH("NBIX US Equity","CHG_PCT_PERIOD","FQ4 2022","FQ4 2022","Currency=USD","Period=FQ","BEST_FPERIOD_OVERRIDE=FQ","FILING_STATUS=MR","Sort=A","Dates=H","DateFormat=P","Fill=—","Direction=H","UseDPDF=Y")</f>
        <v>12.4565</v>
      </c>
      <c r="S7" s="26">
        <f>_xll.BDH("NBIX US Equity","CHG_PCT_PERIOD","FQ1 2023","FQ1 2023","Currency=USD","Period=FQ","BEST_FPERIOD_OVERRIDE=FQ","FILING_STATUS=MR","Sort=A","Dates=H","DateFormat=P","Fill=—","Direction=H","UseDPDF=Y")</f>
        <v>-15.2545</v>
      </c>
      <c r="T7" s="26">
        <f>_xll.BDH("NBIX US Equity","CHG_PCT_PERIOD","FQ2 2023","FQ2 2023","Currency=USD","Period=FQ","BEST_FPERIOD_OVERRIDE=FQ","FILING_STATUS=MR","Sort=A","Dates=H","DateFormat=P","Fill=—","Direction=H","UseDPDF=Y")</f>
        <v>-6.8365999999999998</v>
      </c>
      <c r="U7" s="26">
        <f>_xll.BDH("NBIX US Equity","CHG_PCT_PERIOD","FQ3 2023","FQ3 2023","Currency=USD","Period=FQ","BEST_FPERIOD_OVERRIDE=FQ","FILING_STATUS=MR","Sort=A","Dates=H","DateFormat=P","Fill=—","Direction=H","UseDPDF=Y")</f>
        <v>19.3001</v>
      </c>
      <c r="V7" s="26">
        <f>_xll.BDH("NBIX US Equity","CHG_PCT_PERIOD","FQ4 2023","FQ4 2023","Currency=USD","Period=FQ","BEST_FPERIOD_OVERRIDE=FQ","FILING_STATUS=MR","Sort=A","Dates=H","DateFormat=P","Fill=—","Direction=H","UseDPDF=Y")</f>
        <v>17.12</v>
      </c>
      <c r="W7" s="26">
        <f>_xll.BDH("NBIX US Equity","CHG_PCT_PERIOD","FQ1 2024","FQ1 2024","Currency=USD","Period=FQ","BEST_FPERIOD_OVERRIDE=FQ","FILING_STATUS=MR","Sort=A","Dates=H","DateFormat=P","Fill=—","Direction=H","UseDPDF=Y")</f>
        <v>4.6752000000000002</v>
      </c>
      <c r="X7" s="26" t="str">
        <f>_xll.BDH("NBIX US Equity","CHG_PCT_PERIOD","FQ2 2024","FQ2 2024","Currency=USD","Period=FQ","BEST_FPERIOD_OVERRIDE=FQ","FILING_STATUS=MR","Sort=A","Dates=H","DateFormat=P","Fill=—","Direction=H","UseDPDF=Y")</f>
        <v>—</v>
      </c>
      <c r="Y7" s="26" t="str">
        <f>_xll.BDH("NBIX US Equity","CHG_PCT_PERIOD","FQ3 2024","FQ3 2024","Currency=USD","Period=FQ","BEST_FPERIOD_OVERRIDE=FQ","FILING_STATUS=MR","Sort=A","Dates=H","DateFormat=P","Fill=—","Direction=H","UseDPDF=Y")</f>
        <v>—</v>
      </c>
      <c r="Z7" s="26">
        <f>_xll.BDH("NBIX US Equity","CHG_PCT_PERIOD","FQ4 2024","FQ4 2024","Currency=USD","Period=FQ","BEST_FPERIOD_OVERRIDE=FQ","FILING_STATUS=MR","Sort=A","Dates=H","DateFormat=P","Fill=—","Direction=H","UseDPDF=Y")</f>
        <v>18.469000000000001</v>
      </c>
      <c r="AA7" s="29"/>
    </row>
    <row r="8" spans="1:27" x14ac:dyDescent="0.25">
      <c r="A8" s="10" t="s">
        <v>287</v>
      </c>
      <c r="B8" s="10" t="s">
        <v>288</v>
      </c>
      <c r="C8" s="14">
        <f>_xll.BDH("NBIX US Equity","PX_OPEN","FQ1 2019","FQ1 2019","Currency=USD","Period=FQ","BEST_FPERIOD_OVERRIDE=FQ","FILING_STATUS=MR","Sort=A","Dates=H","DateFormat=P","Fill=—","Direction=H","UseDPDF=Y")</f>
        <v>70.239999999999995</v>
      </c>
      <c r="D8" s="14">
        <f>_xll.BDH("NBIX US Equity","PX_OPEN","FQ2 2019","FQ2 2019","Currency=USD","Period=FQ","BEST_FPERIOD_OVERRIDE=FQ","FILING_STATUS=MR","Sort=A","Dates=H","DateFormat=P","Fill=—","Direction=H","UseDPDF=Y")</f>
        <v>88.83</v>
      </c>
      <c r="E8" s="14">
        <f>_xll.BDH("NBIX US Equity","PX_OPEN","FQ3 2019","FQ3 2019","Currency=USD","Period=FQ","BEST_FPERIOD_OVERRIDE=FQ","FILING_STATUS=MR","Sort=A","Dates=H","DateFormat=P","Fill=—","Direction=H","UseDPDF=Y")</f>
        <v>85.33</v>
      </c>
      <c r="F8" s="14">
        <f>_xll.BDH("NBIX US Equity","PX_OPEN","FQ4 2019","FQ4 2019","Currency=USD","Period=FQ","BEST_FPERIOD_OVERRIDE=FQ","FILING_STATUS=MR","Sort=A","Dates=H","DateFormat=P","Fill=—","Direction=H","UseDPDF=Y")</f>
        <v>90.47</v>
      </c>
      <c r="G8" s="14">
        <f>_xll.BDH("NBIX US Equity","PX_OPEN","FQ1 2020","FQ1 2020","Currency=USD","Period=FQ","BEST_FPERIOD_OVERRIDE=FQ","FILING_STATUS=MR","Sort=A","Dates=H","DateFormat=P","Fill=—","Direction=H","UseDPDF=Y")</f>
        <v>108</v>
      </c>
      <c r="H8" s="14">
        <f>_xll.BDH("NBIX US Equity","PX_OPEN","FQ2 2020","FQ2 2020","Currency=USD","Period=FQ","BEST_FPERIOD_OVERRIDE=FQ","FILING_STATUS=MR","Sort=A","Dates=H","DateFormat=P","Fill=—","Direction=H","UseDPDF=Y")</f>
        <v>83.72</v>
      </c>
      <c r="I8" s="14">
        <f>_xll.BDH("NBIX US Equity","PX_OPEN","FQ3 2020","FQ3 2020","Currency=USD","Period=FQ","BEST_FPERIOD_OVERRIDE=FQ","FILING_STATUS=MR","Sort=A","Dates=H","DateFormat=P","Fill=—","Direction=H","UseDPDF=Y")</f>
        <v>122.87</v>
      </c>
      <c r="J8" s="14">
        <f>_xll.BDH("NBIX US Equity","PX_OPEN","FQ4 2020","FQ4 2020","Currency=USD","Period=FQ","BEST_FPERIOD_OVERRIDE=FQ","FILING_STATUS=MR","Sort=A","Dates=H","DateFormat=P","Fill=—","Direction=H","UseDPDF=Y")</f>
        <v>96.61</v>
      </c>
      <c r="K8" s="14">
        <f>_xll.BDH("NBIX US Equity","PX_OPEN","FQ1 2021","FQ1 2021","Currency=USD","Period=FQ","BEST_FPERIOD_OVERRIDE=FQ","FILING_STATUS=MR","Sort=A","Dates=H","DateFormat=P","Fill=—","Direction=H","UseDPDF=Y")</f>
        <v>95.32</v>
      </c>
      <c r="L8" s="14">
        <f>_xll.BDH("NBIX US Equity","PX_OPEN","FQ2 2021","FQ2 2021","Currency=USD","Period=FQ","BEST_FPERIOD_OVERRIDE=FQ","FILING_STATUS=MR","Sort=A","Dates=H","DateFormat=P","Fill=—","Direction=H","UseDPDF=Y")</f>
        <v>97.94</v>
      </c>
      <c r="M8" s="14">
        <f>_xll.BDH("NBIX US Equity","PX_OPEN","FQ3 2021","FQ3 2021","Currency=USD","Period=FQ","BEST_FPERIOD_OVERRIDE=FQ","FILING_STATUS=MR","Sort=A","Dates=H","DateFormat=P","Fill=—","Direction=H","UseDPDF=Y")</f>
        <v>97.32</v>
      </c>
      <c r="N8" s="14">
        <f>_xll.BDH("NBIX US Equity","PX_OPEN","FQ4 2021","FQ4 2021","Currency=USD","Period=FQ","BEST_FPERIOD_OVERRIDE=FQ","FILING_STATUS=MR","Sort=A","Dates=H","DateFormat=P","Fill=—","Direction=H","UseDPDF=Y")</f>
        <v>95.355000000000004</v>
      </c>
      <c r="O8" s="14">
        <f>_xll.BDH("NBIX US Equity","PX_OPEN","FQ1 2022","FQ1 2022","Currency=USD","Period=FQ","BEST_FPERIOD_OVERRIDE=FQ","FILING_STATUS=MR","Sort=A","Dates=H","DateFormat=P","Fill=—","Direction=H","UseDPDF=Y")</f>
        <v>85.9</v>
      </c>
      <c r="P8" s="14">
        <f>_xll.BDH("NBIX US Equity","PX_OPEN","FQ2 2022","FQ2 2022","Currency=USD","Period=FQ","BEST_FPERIOD_OVERRIDE=FQ","FILING_STATUS=MR","Sort=A","Dates=H","DateFormat=P","Fill=—","Direction=H","UseDPDF=Y")</f>
        <v>93.48</v>
      </c>
      <c r="Q8" s="14">
        <f>_xll.BDH("NBIX US Equity","PX_OPEN","FQ3 2022","FQ3 2022","Currency=USD","Period=FQ","BEST_FPERIOD_OVERRIDE=FQ","FILING_STATUS=MR","Sort=A","Dates=H","DateFormat=P","Fill=—","Direction=H","UseDPDF=Y")</f>
        <v>97.5</v>
      </c>
      <c r="R8" s="14">
        <f>_xll.BDH("NBIX US Equity","PX_OPEN","FQ4 2022","FQ4 2022","Currency=USD","Period=FQ","BEST_FPERIOD_OVERRIDE=FQ","FILING_STATUS=MR","Sort=A","Dates=H","DateFormat=P","Fill=—","Direction=H","UseDPDF=Y")</f>
        <v>106.59</v>
      </c>
      <c r="S8" s="14">
        <f>_xll.BDH("NBIX US Equity","PX_OPEN","FQ1 2023","FQ1 2023","Currency=USD","Period=FQ","BEST_FPERIOD_OVERRIDE=FQ","FILING_STATUS=MR","Sort=A","Dates=H","DateFormat=P","Fill=—","Direction=H","UseDPDF=Y")</f>
        <v>119.27</v>
      </c>
      <c r="T8" s="14">
        <f>_xll.BDH("NBIX US Equity","PX_OPEN","FQ2 2023","FQ2 2023","Currency=USD","Period=FQ","BEST_FPERIOD_OVERRIDE=FQ","FILING_STATUS=MR","Sort=A","Dates=H","DateFormat=P","Fill=—","Direction=H","UseDPDF=Y")</f>
        <v>102.015</v>
      </c>
      <c r="U8" s="14">
        <f>_xll.BDH("NBIX US Equity","PX_OPEN","FQ3 2023","FQ3 2023","Currency=USD","Period=FQ","BEST_FPERIOD_OVERRIDE=FQ","FILING_STATUS=MR","Sort=A","Dates=H","DateFormat=P","Fill=—","Direction=H","UseDPDF=Y")</f>
        <v>94.01</v>
      </c>
      <c r="V8" s="14">
        <f>_xll.BDH("NBIX US Equity","PX_OPEN","FQ4 2023","FQ4 2023","Currency=USD","Period=FQ","BEST_FPERIOD_OVERRIDE=FQ","FILING_STATUS=MR","Sort=A","Dates=H","DateFormat=P","Fill=—","Direction=H","UseDPDF=Y")</f>
        <v>112.68</v>
      </c>
      <c r="W8" s="14">
        <f>_xll.BDH("NBIX US Equity","PX_OPEN","FQ1 2024","FQ1 2024","Currency=USD","Period=FQ","BEST_FPERIOD_OVERRIDE=FQ","FILING_STATUS=MR","Sort=A","Dates=H","DateFormat=P","Fill=—","Direction=H","UseDPDF=Y")</f>
        <v>130.19999999999999</v>
      </c>
      <c r="X8" s="14">
        <f>_xll.BDH("NBIX US Equity","PX_OPEN","FQ2 2024","FQ2 2024","Currency=USD","Period=FQ","BEST_FPERIOD_OVERRIDE=FQ","FILING_STATUS=MR","Sort=A","Dates=H","DateFormat=P","Fill=—","Direction=H","UseDPDF=Y")</f>
        <v>137.30000000000001</v>
      </c>
      <c r="Y8" s="14">
        <f>_xll.BDH("NBIX US Equity","PX_OPEN","FQ3 2024","FQ3 2024","Currency=USD","Period=FQ","BEST_FPERIOD_OVERRIDE=FQ","FILING_STATUS=MR","Sort=A","Dates=H","DateFormat=P","Fill=—","Direction=H","UseDPDF=Y")</f>
        <v>138.11000000000001</v>
      </c>
      <c r="Z8" s="14">
        <f>_xll.BDH("NBIX US Equity","PX_OPEN","FQ4 2024","FQ4 2024","Currency=USD","Period=FQ","BEST_FPERIOD_OVERRIDE=FQ","FILING_STATUS=MR","Sort=A","Dates=H","DateFormat=P","Fill=—","Direction=H","UseDPDF=Y")</f>
        <v>114.94</v>
      </c>
      <c r="AA8" s="17">
        <v>113.360000610352</v>
      </c>
    </row>
    <row r="9" spans="1:27" x14ac:dyDescent="0.25">
      <c r="A9" s="10" t="s">
        <v>289</v>
      </c>
      <c r="B9" s="10" t="s">
        <v>251</v>
      </c>
      <c r="C9" s="14">
        <f>_xll.BDH("NBIX US Equity","PX_HIGH","FQ1 2019","FQ1 2019","Currency=USD","Period=FQ","BEST_FPERIOD_OVERRIDE=FQ","FILING_STATUS=MR","Sort=A","Dates=H","DateFormat=P","Fill=—","Direction=H","UseDPDF=Y")</f>
        <v>92.71</v>
      </c>
      <c r="D9" s="14">
        <f>_xll.BDH("NBIX US Equity","PX_HIGH","FQ2 2019","FQ2 2019","Currency=USD","Period=FQ","BEST_FPERIOD_OVERRIDE=FQ","FILING_STATUS=MR","Sort=A","Dates=H","DateFormat=P","Fill=—","Direction=H","UseDPDF=Y")</f>
        <v>91.98</v>
      </c>
      <c r="E9" s="14">
        <f>_xll.BDH("NBIX US Equity","PX_HIGH","FQ3 2019","FQ3 2019","Currency=USD","Period=FQ","BEST_FPERIOD_OVERRIDE=FQ","FILING_STATUS=MR","Sort=A","Dates=H","DateFormat=P","Fill=—","Direction=H","UseDPDF=Y")</f>
        <v>102.505</v>
      </c>
      <c r="F9" s="14">
        <f>_xll.BDH("NBIX US Equity","PX_HIGH","FQ4 2019","FQ4 2019","Currency=USD","Period=FQ","BEST_FPERIOD_OVERRIDE=FQ","FILING_STATUS=MR","Sort=A","Dates=H","DateFormat=P","Fill=—","Direction=H","UseDPDF=Y")</f>
        <v>119.65</v>
      </c>
      <c r="G9" s="14">
        <f>_xll.BDH("NBIX US Equity","PX_HIGH","FQ1 2020","FQ1 2020","Currency=USD","Period=FQ","BEST_FPERIOD_OVERRIDE=FQ","FILING_STATUS=MR","Sort=A","Dates=H","DateFormat=P","Fill=—","Direction=H","UseDPDF=Y")</f>
        <v>115.235</v>
      </c>
      <c r="H9" s="14">
        <f>_xll.BDH("NBIX US Equity","PX_HIGH","FQ2 2020","FQ2 2020","Currency=USD","Period=FQ","BEST_FPERIOD_OVERRIDE=FQ","FILING_STATUS=MR","Sort=A","Dates=H","DateFormat=P","Fill=—","Direction=H","UseDPDF=Y")</f>
        <v>131</v>
      </c>
      <c r="I9" s="14">
        <f>_xll.BDH("NBIX US Equity","PX_HIGH","FQ3 2020","FQ3 2020","Currency=USD","Period=FQ","BEST_FPERIOD_OVERRIDE=FQ","FILING_STATUS=MR","Sort=A","Dates=H","DateFormat=P","Fill=—","Direction=H","UseDPDF=Y")</f>
        <v>136.26499999999999</v>
      </c>
      <c r="J9" s="14">
        <f>_xll.BDH("NBIX US Equity","PX_HIGH","FQ4 2020","FQ4 2020","Currency=USD","Period=FQ","BEST_FPERIOD_OVERRIDE=FQ","FILING_STATUS=MR","Sort=A","Dates=H","DateFormat=P","Fill=—","Direction=H","UseDPDF=Y")</f>
        <v>108.93</v>
      </c>
      <c r="K9" s="14">
        <f>_xll.BDH("NBIX US Equity","PX_HIGH","FQ1 2021","FQ1 2021","Currency=USD","Period=FQ","BEST_FPERIOD_OVERRIDE=FQ","FILING_STATUS=MR","Sort=A","Dates=H","DateFormat=P","Fill=—","Direction=H","UseDPDF=Y")</f>
        <v>120.27</v>
      </c>
      <c r="L9" s="14">
        <f>_xll.BDH("NBIX US Equity","PX_HIGH","FQ2 2021","FQ2 2021","Currency=USD","Period=FQ","BEST_FPERIOD_OVERRIDE=FQ","FILING_STATUS=MR","Sort=A","Dates=H","DateFormat=P","Fill=—","Direction=H","UseDPDF=Y")</f>
        <v>103.72</v>
      </c>
      <c r="M9" s="14">
        <f>_xll.BDH("NBIX US Equity","PX_HIGH","FQ3 2021","FQ3 2021","Currency=USD","Period=FQ","BEST_FPERIOD_OVERRIDE=FQ","FILING_STATUS=MR","Sort=A","Dates=H","DateFormat=P","Fill=—","Direction=H","UseDPDF=Y")</f>
        <v>101.43</v>
      </c>
      <c r="N9" s="14">
        <f>_xll.BDH("NBIX US Equity","PX_HIGH","FQ4 2021","FQ4 2021","Currency=USD","Period=FQ","BEST_FPERIOD_OVERRIDE=FQ","FILING_STATUS=MR","Sort=A","Dates=H","DateFormat=P","Fill=—","Direction=H","UseDPDF=Y")</f>
        <v>108.015</v>
      </c>
      <c r="O9" s="14">
        <f>_xll.BDH("NBIX US Equity","PX_HIGH","FQ1 2022","FQ1 2022","Currency=USD","Period=FQ","BEST_FPERIOD_OVERRIDE=FQ","FILING_STATUS=MR","Sort=A","Dates=H","DateFormat=P","Fill=—","Direction=H","UseDPDF=Y")</f>
        <v>95.87</v>
      </c>
      <c r="P9" s="14">
        <f>_xll.BDH("NBIX US Equity","PX_HIGH","FQ2 2022","FQ2 2022","Currency=USD","Period=FQ","BEST_FPERIOD_OVERRIDE=FQ","FILING_STATUS=MR","Sort=A","Dates=H","DateFormat=P","Fill=—","Direction=H","UseDPDF=Y")</f>
        <v>100.73</v>
      </c>
      <c r="Q9" s="14">
        <f>_xll.BDH("NBIX US Equity","PX_HIGH","FQ3 2022","FQ3 2022","Currency=USD","Period=FQ","BEST_FPERIOD_OVERRIDE=FQ","FILING_STATUS=MR","Sort=A","Dates=H","DateFormat=P","Fill=—","Direction=H","UseDPDF=Y")</f>
        <v>109.26</v>
      </c>
      <c r="R9" s="14">
        <f>_xll.BDH("NBIX US Equity","PX_HIGH","FQ4 2022","FQ4 2022","Currency=USD","Period=FQ","BEST_FPERIOD_OVERRIDE=FQ","FILING_STATUS=MR","Sort=A","Dates=H","DateFormat=P","Fill=—","Direction=H","UseDPDF=Y")</f>
        <v>129.29</v>
      </c>
      <c r="S9" s="14">
        <f>_xll.BDH("NBIX US Equity","PX_HIGH","FQ1 2023","FQ1 2023","Currency=USD","Period=FQ","BEST_FPERIOD_OVERRIDE=FQ","FILING_STATUS=MR","Sort=A","Dates=H","DateFormat=P","Fill=—","Direction=H","UseDPDF=Y")</f>
        <v>125.015</v>
      </c>
      <c r="T9" s="14">
        <f>_xll.BDH("NBIX US Equity","PX_HIGH","FQ2 2023","FQ2 2023","Currency=USD","Period=FQ","BEST_FPERIOD_OVERRIDE=FQ","FILING_STATUS=MR","Sort=A","Dates=H","DateFormat=P","Fill=—","Direction=H","UseDPDF=Y")</f>
        <v>107.98</v>
      </c>
      <c r="U9" s="14">
        <f>_xll.BDH("NBIX US Equity","PX_HIGH","FQ3 2023","FQ3 2023","Currency=USD","Period=FQ","BEST_FPERIOD_OVERRIDE=FQ","FILING_STATUS=MR","Sort=A","Dates=H","DateFormat=P","Fill=—","Direction=H","UseDPDF=Y")</f>
        <v>119.29</v>
      </c>
      <c r="V9" s="14">
        <f>_xll.BDH("NBIX US Equity","PX_HIGH","FQ4 2023","FQ4 2023","Currency=USD","Period=FQ","BEST_FPERIOD_OVERRIDE=FQ","FILING_STATUS=MR","Sort=A","Dates=H","DateFormat=P","Fill=—","Direction=H","UseDPDF=Y")</f>
        <v>133.63499999999999</v>
      </c>
      <c r="W9" s="14">
        <f>_xll.BDH("NBIX US Equity","PX_HIGH","FQ1 2024","FQ1 2024","Currency=USD","Period=FQ","BEST_FPERIOD_OVERRIDE=FQ","FILING_STATUS=MR","Sort=A","Dates=H","DateFormat=P","Fill=—","Direction=H","UseDPDF=Y")</f>
        <v>148.3699</v>
      </c>
      <c r="X9" s="14">
        <f>_xll.BDH("NBIX US Equity","PX_HIGH","FQ2 2024","FQ2 2024","Currency=USD","Period=FQ","BEST_FPERIOD_OVERRIDE=FQ","FILING_STATUS=MR","Sort=A","Dates=H","DateFormat=P","Fill=—","Direction=H","UseDPDF=Y")</f>
        <v>145.78</v>
      </c>
      <c r="Y9" s="14">
        <f>_xll.BDH("NBIX US Equity","PX_HIGH","FQ3 2024","FQ3 2024","Currency=USD","Period=FQ","BEST_FPERIOD_OVERRIDE=FQ","FILING_STATUS=MR","Sort=A","Dates=H","DateFormat=P","Fill=—","Direction=H","UseDPDF=Y")</f>
        <v>157.97989999999999</v>
      </c>
      <c r="Z9" s="14">
        <f>_xll.BDH("NBIX US Equity","PX_HIGH","FQ4 2024","FQ4 2024","Currency=USD","Period=FQ","BEST_FPERIOD_OVERRIDE=FQ","FILING_STATUS=MR","Sort=A","Dates=H","DateFormat=P","Fill=—","Direction=H","UseDPDF=Y")</f>
        <v>140</v>
      </c>
      <c r="AA9" s="17">
        <v>114.425003051758</v>
      </c>
    </row>
    <row r="10" spans="1:27" x14ac:dyDescent="0.25">
      <c r="A10" s="10" t="s">
        <v>290</v>
      </c>
      <c r="B10" s="10" t="s">
        <v>252</v>
      </c>
      <c r="C10" s="14">
        <f>_xll.BDH("NBIX US Equity","PX_LOW","FQ1 2019","FQ1 2019","Currency=USD","Period=FQ","BEST_FPERIOD_OVERRIDE=FQ","FILING_STATUS=MR","Sort=A","Dates=H","DateFormat=P","Fill=—","Direction=H","UseDPDF=Y")</f>
        <v>67.099999999999994</v>
      </c>
      <c r="D10" s="14">
        <f>_xll.BDH("NBIX US Equity","PX_LOW","FQ2 2019","FQ2 2019","Currency=USD","Period=FQ","BEST_FPERIOD_OVERRIDE=FQ","FILING_STATUS=MR","Sort=A","Dates=H","DateFormat=P","Fill=—","Direction=H","UseDPDF=Y")</f>
        <v>71.849999999999994</v>
      </c>
      <c r="E10" s="14">
        <f>_xll.BDH("NBIX US Equity","PX_LOW","FQ3 2019","FQ3 2019","Currency=USD","Period=FQ","BEST_FPERIOD_OVERRIDE=FQ","FILING_STATUS=MR","Sort=A","Dates=H","DateFormat=P","Fill=—","Direction=H","UseDPDF=Y")</f>
        <v>83.19</v>
      </c>
      <c r="F10" s="14">
        <f>_xll.BDH("NBIX US Equity","PX_LOW","FQ4 2019","FQ4 2019","Currency=USD","Period=FQ","BEST_FPERIOD_OVERRIDE=FQ","FILING_STATUS=MR","Sort=A","Dates=H","DateFormat=P","Fill=—","Direction=H","UseDPDF=Y")</f>
        <v>84.674999999999997</v>
      </c>
      <c r="G10" s="14">
        <f>_xll.BDH("NBIX US Equity","PX_LOW","FQ1 2020","FQ1 2020","Currency=USD","Period=FQ","BEST_FPERIOD_OVERRIDE=FQ","FILING_STATUS=MR","Sort=A","Dates=H","DateFormat=P","Fill=—","Direction=H","UseDPDF=Y")</f>
        <v>72.14</v>
      </c>
      <c r="H10" s="14">
        <f>_xll.BDH("NBIX US Equity","PX_LOW","FQ2 2020","FQ2 2020","Currency=USD","Period=FQ","BEST_FPERIOD_OVERRIDE=FQ","FILING_STATUS=MR","Sort=A","Dates=H","DateFormat=P","Fill=—","Direction=H","UseDPDF=Y")</f>
        <v>82.51</v>
      </c>
      <c r="I10" s="14">
        <f>_xll.BDH("NBIX US Equity","PX_LOW","FQ3 2020","FQ3 2020","Currency=USD","Period=FQ","BEST_FPERIOD_OVERRIDE=FQ","FILING_STATUS=MR","Sort=A","Dates=H","DateFormat=P","Fill=—","Direction=H","UseDPDF=Y")</f>
        <v>95.42</v>
      </c>
      <c r="J10" s="14">
        <f>_xll.BDH("NBIX US Equity","PX_LOW","FQ4 2020","FQ4 2020","Currency=USD","Period=FQ","BEST_FPERIOD_OVERRIDE=FQ","FILING_STATUS=MR","Sort=A","Dates=H","DateFormat=P","Fill=—","Direction=H","UseDPDF=Y")</f>
        <v>86.02</v>
      </c>
      <c r="K10" s="14">
        <f>_xll.BDH("NBIX US Equity","PX_LOW","FQ1 2021","FQ1 2021","Currency=USD","Period=FQ","BEST_FPERIOD_OVERRIDE=FQ","FILING_STATUS=MR","Sort=A","Dates=H","DateFormat=P","Fill=—","Direction=H","UseDPDF=Y")</f>
        <v>87.37</v>
      </c>
      <c r="L10" s="14">
        <f>_xll.BDH("NBIX US Equity","PX_LOW","FQ2 2021","FQ2 2021","Currency=USD","Period=FQ","BEST_FPERIOD_OVERRIDE=FQ","FILING_STATUS=MR","Sort=A","Dates=H","DateFormat=P","Fill=—","Direction=H","UseDPDF=Y")</f>
        <v>87.19</v>
      </c>
      <c r="M10" s="14">
        <f>_xll.BDH("NBIX US Equity","PX_LOW","FQ3 2021","FQ3 2021","Currency=USD","Period=FQ","BEST_FPERIOD_OVERRIDE=FQ","FILING_STATUS=MR","Sort=A","Dates=H","DateFormat=P","Fill=—","Direction=H","UseDPDF=Y")</f>
        <v>84.77</v>
      </c>
      <c r="N10" s="14">
        <f>_xll.BDH("NBIX US Equity","PX_LOW","FQ4 2021","FQ4 2021","Currency=USD","Period=FQ","BEST_FPERIOD_OVERRIDE=FQ","FILING_STATUS=MR","Sort=A","Dates=H","DateFormat=P","Fill=—","Direction=H","UseDPDF=Y")</f>
        <v>78.31</v>
      </c>
      <c r="O10" s="14">
        <f>_xll.BDH("NBIX US Equity","PX_LOW","FQ1 2022","FQ1 2022","Currency=USD","Period=FQ","BEST_FPERIOD_OVERRIDE=FQ","FILING_STATUS=MR","Sort=A","Dates=H","DateFormat=P","Fill=—","Direction=H","UseDPDF=Y")</f>
        <v>71.875</v>
      </c>
      <c r="P10" s="14">
        <f>_xll.BDH("NBIX US Equity","PX_LOW","FQ2 2022","FQ2 2022","Currency=USD","Period=FQ","BEST_FPERIOD_OVERRIDE=FQ","FILING_STATUS=MR","Sort=A","Dates=H","DateFormat=P","Fill=—","Direction=H","UseDPDF=Y")</f>
        <v>75.25</v>
      </c>
      <c r="Q10" s="14">
        <f>_xll.BDH("NBIX US Equity","PX_LOW","FQ3 2022","FQ3 2022","Currency=USD","Period=FQ","BEST_FPERIOD_OVERRIDE=FQ","FILING_STATUS=MR","Sort=A","Dates=H","DateFormat=P","Fill=—","Direction=H","UseDPDF=Y")</f>
        <v>91.53</v>
      </c>
      <c r="R10" s="14">
        <f>_xll.BDH("NBIX US Equity","PX_LOW","FQ4 2022","FQ4 2022","Currency=USD","Period=FQ","BEST_FPERIOD_OVERRIDE=FQ","FILING_STATUS=MR","Sort=A","Dates=H","DateFormat=P","Fill=—","Direction=H","UseDPDF=Y")</f>
        <v>105.14</v>
      </c>
      <c r="S10" s="14">
        <f>_xll.BDH("NBIX US Equity","PX_LOW","FQ1 2023","FQ1 2023","Currency=USD","Period=FQ","BEST_FPERIOD_OVERRIDE=FQ","FILING_STATUS=MR","Sort=A","Dates=H","DateFormat=P","Fill=—","Direction=H","UseDPDF=Y")</f>
        <v>92.89</v>
      </c>
      <c r="T10" s="14">
        <f>_xll.BDH("NBIX US Equity","PX_LOW","FQ2 2023","FQ2 2023","Currency=USD","Period=FQ","BEST_FPERIOD_OVERRIDE=FQ","FILING_STATUS=MR","Sort=A","Dates=H","DateFormat=P","Fill=—","Direction=H","UseDPDF=Y")</f>
        <v>89.04</v>
      </c>
      <c r="U10" s="14">
        <f>_xll.BDH("NBIX US Equity","PX_LOW","FQ3 2023","FQ3 2023","Currency=USD","Period=FQ","BEST_FPERIOD_OVERRIDE=FQ","FILING_STATUS=MR","Sort=A","Dates=H","DateFormat=P","Fill=—","Direction=H","UseDPDF=Y")</f>
        <v>93.28</v>
      </c>
      <c r="V10" s="14">
        <f>_xll.BDH("NBIX US Equity","PX_LOW","FQ4 2023","FQ4 2023","Currency=USD","Period=FQ","BEST_FPERIOD_OVERRIDE=FQ","FILING_STATUS=MR","Sort=A","Dates=H","DateFormat=P","Fill=—","Direction=H","UseDPDF=Y")</f>
        <v>103.63</v>
      </c>
      <c r="W10" s="14">
        <f>_xll.BDH("NBIX US Equity","PX_LOW","FQ1 2024","FQ1 2024","Currency=USD","Period=FQ","BEST_FPERIOD_OVERRIDE=FQ","FILING_STATUS=MR","Sort=A","Dates=H","DateFormat=P","Fill=—","Direction=H","UseDPDF=Y")</f>
        <v>128</v>
      </c>
      <c r="X10" s="14">
        <f>_xll.BDH("NBIX US Equity","PX_LOW","FQ2 2024","FQ2 2024","Currency=USD","Period=FQ","BEST_FPERIOD_OVERRIDE=FQ","FILING_STATUS=MR","Sort=A","Dates=H","DateFormat=P","Fill=—","Direction=H","UseDPDF=Y")</f>
        <v>129.33000000000001</v>
      </c>
      <c r="Y10" s="14">
        <f>_xll.BDH("NBIX US Equity","PX_LOW","FQ3 2024","FQ3 2024","Currency=USD","Period=FQ","BEST_FPERIOD_OVERRIDE=FQ","FILING_STATUS=MR","Sort=A","Dates=H","DateFormat=P","Fill=—","Direction=H","UseDPDF=Y")</f>
        <v>114.08</v>
      </c>
      <c r="Z10" s="14">
        <f>_xll.BDH("NBIX US Equity","PX_LOW","FQ4 2024","FQ4 2024","Currency=USD","Period=FQ","BEST_FPERIOD_OVERRIDE=FQ","FILING_STATUS=MR","Sort=A","Dates=H","DateFormat=P","Fill=—","Direction=H","UseDPDF=Y")</f>
        <v>110.95</v>
      </c>
      <c r="AA10" s="17">
        <v>112.15000152587901</v>
      </c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1"/>
    </row>
    <row r="12" spans="1:27" x14ac:dyDescent="0.25">
      <c r="A12" s="6" t="s">
        <v>60</v>
      </c>
      <c r="B12" s="6" t="s">
        <v>61</v>
      </c>
      <c r="C12" s="19">
        <f>_xll.BDH("NBIX US Equity","HISTORICAL_MARKET_CAP","FQ1 2019","FQ1 2019","Currency=USD","Period=FQ","BEST_FPERIOD_OVERRIDE=FQ","FILING_STATUS=MR","SCALING_FORMAT=MLN","Sort=A","Dates=H","DateFormat=P","Fill=—","Direction=H","UseDPDF=Y")</f>
        <v>8042.1203999999998</v>
      </c>
      <c r="D12" s="19">
        <f>_xll.BDH("NBIX US Equity","HISTORICAL_MARKET_CAP","FQ2 2019","FQ2 2019","Currency=USD","Period=FQ","BEST_FPERIOD_OVERRIDE=FQ","FILING_STATUS=MR","SCALING_FORMAT=MLN","Sort=A","Dates=H","DateFormat=P","Fill=—","Direction=H","UseDPDF=Y")</f>
        <v>7728.3845000000001</v>
      </c>
      <c r="E12" s="19">
        <f>_xll.BDH("NBIX US Equity","HISTORICAL_MARKET_CAP","FQ3 2019","FQ3 2019","Currency=USD","Period=FQ","BEST_FPERIOD_OVERRIDE=FQ","FILING_STATUS=MR","SCALING_FORMAT=MLN","Sort=A","Dates=H","DateFormat=P","Fill=—","Direction=H","UseDPDF=Y")</f>
        <v>8297.3287999999993</v>
      </c>
      <c r="F12" s="19">
        <f>_xll.BDH("NBIX US Equity","HISTORICAL_MARKET_CAP","FQ4 2019","FQ4 2019","Currency=USD","Period=FQ","BEST_FPERIOD_OVERRIDE=FQ","FILING_STATUS=MR","SCALING_FORMAT=MLN","Sort=A","Dates=H","DateFormat=P","Fill=—","Direction=H","UseDPDF=Y")</f>
        <v>9921.3269999999993</v>
      </c>
      <c r="G12" s="19">
        <f>_xll.BDH("NBIX US Equity","HISTORICAL_MARKET_CAP","FQ1 2020","FQ1 2020","Currency=USD","Period=FQ","BEST_FPERIOD_OVERRIDE=FQ","FILING_STATUS=MR","SCALING_FORMAT=MLN","Sort=A","Dates=H","DateFormat=P","Fill=—","Direction=H","UseDPDF=Y")</f>
        <v>8031.84</v>
      </c>
      <c r="H12" s="19">
        <f>_xll.BDH("NBIX US Equity","HISTORICAL_MARKET_CAP","FQ2 2020","FQ2 2020","Currency=USD","Period=FQ","BEST_FPERIOD_OVERRIDE=FQ","FILING_STATUS=MR","SCALING_FORMAT=MLN","Sort=A","Dates=H","DateFormat=P","Fill=—","Direction=H","UseDPDF=Y")</f>
        <v>11370.4</v>
      </c>
      <c r="I12" s="19">
        <f>_xll.BDH("NBIX US Equity","HISTORICAL_MARKET_CAP","FQ3 2020","FQ3 2020","Currency=USD","Period=FQ","BEST_FPERIOD_OVERRIDE=FQ","FILING_STATUS=MR","SCALING_FORMAT=MLN","Sort=A","Dates=H","DateFormat=P","Fill=—","Direction=H","UseDPDF=Y")</f>
        <v>8981.3439999999991</v>
      </c>
      <c r="J12" s="19">
        <f>_xll.BDH("NBIX US Equity","HISTORICAL_MARKET_CAP","FQ4 2020","FQ4 2020","Currency=USD","Period=FQ","BEST_FPERIOD_OVERRIDE=FQ","FILING_STATUS=MR","SCALING_FORMAT=MLN","Sort=A","Dates=H","DateFormat=P","Fill=—","Direction=H","UseDPDF=Y")</f>
        <v>8961.9750000000004</v>
      </c>
      <c r="K12" s="19">
        <f>_xll.BDH("NBIX US Equity","HISTORICAL_MARKET_CAP","FQ1 2021","FQ1 2021","Currency=USD","Period=FQ","BEST_FPERIOD_OVERRIDE=FQ","FILING_STATUS=MR","SCALING_FORMAT=MLN","Sort=A","Dates=H","DateFormat=P","Fill=—","Direction=H","UseDPDF=Y")</f>
        <v>9190.125</v>
      </c>
      <c r="L12" s="19">
        <f>_xll.BDH("NBIX US Equity","HISTORICAL_MARKET_CAP","FQ2 2021","FQ2 2021","Currency=USD","Period=FQ","BEST_FPERIOD_OVERRIDE=FQ","FILING_STATUS=MR","SCALING_FORMAT=MLN","Sort=A","Dates=H","DateFormat=P","Fill=—","Direction=H","UseDPDF=Y")</f>
        <v>9206.4719999999998</v>
      </c>
      <c r="M12" s="19">
        <f>_xll.BDH("NBIX US Equity","HISTORICAL_MARKET_CAP","FQ3 2021","FQ3 2021","Currency=USD","Period=FQ","BEST_FPERIOD_OVERRIDE=FQ","FILING_STATUS=MR","SCALING_FORMAT=MLN","Sort=A","Dates=H","DateFormat=P","Fill=—","Direction=H","UseDPDF=Y")</f>
        <v>9092.268</v>
      </c>
      <c r="N12" s="19">
        <f>_xll.BDH("NBIX US Equity","HISTORICAL_MARKET_CAP","FQ4 2021","FQ4 2021","Currency=USD","Period=FQ","BEST_FPERIOD_OVERRIDE=FQ","FILING_STATUS=MR","SCALING_FORMAT=MLN","Sort=A","Dates=H","DateFormat=P","Fill=—","Direction=H","UseDPDF=Y")</f>
        <v>8082.6329999999998</v>
      </c>
      <c r="O12" s="19">
        <f>_xll.BDH("NBIX US Equity","HISTORICAL_MARKET_CAP","FQ1 2022","FQ1 2022","Currency=USD","Period=FQ","BEST_FPERIOD_OVERRIDE=FQ","FILING_STATUS=MR","SCALING_FORMAT=MLN","Sort=A","Dates=H","DateFormat=P","Fill=—","Direction=H","UseDPDF=Y")</f>
        <v>8953.125</v>
      </c>
      <c r="P12" s="19">
        <f>_xll.BDH("NBIX US Equity","HISTORICAL_MARKET_CAP","FQ2 2022","FQ2 2022","Currency=USD","Period=FQ","BEST_FPERIOD_OVERRIDE=FQ","FILING_STATUS=MR","SCALING_FORMAT=MLN","Sort=A","Dates=H","DateFormat=P","Fill=—","Direction=H","UseDPDF=Y")</f>
        <v>9319.0879999999997</v>
      </c>
      <c r="Q12" s="19">
        <f>_xll.BDH("NBIX US Equity","HISTORICAL_MARKET_CAP","FQ3 2022","FQ3 2022","Currency=USD","Period=FQ","BEST_FPERIOD_OVERRIDE=FQ","FILING_STATUS=MR","SCALING_FORMAT=MLN","Sort=A","Dates=H","DateFormat=P","Fill=—","Direction=H","UseDPDF=Y")</f>
        <v>10206.781000000001</v>
      </c>
      <c r="R12" s="19">
        <f>_xll.BDH("NBIX US Equity","HISTORICAL_MARKET_CAP","FQ4 2022","FQ4 2022","Currency=USD","Period=FQ","BEST_FPERIOD_OVERRIDE=FQ","FILING_STATUS=MR","SCALING_FORMAT=MLN","Sort=A","Dates=H","DateFormat=P","Fill=—","Direction=H","UseDPDF=Y")</f>
        <v>11525.96</v>
      </c>
      <c r="S12" s="19">
        <f>_xll.BDH("NBIX US Equity","HISTORICAL_MARKET_CAP","FQ1 2023","FQ1 2023","Currency=USD","Period=FQ","BEST_FPERIOD_OVERRIDE=FQ","FILING_STATUS=MR","SCALING_FORMAT=MLN","Sort=A","Dates=H","DateFormat=P","Fill=—","Direction=H","UseDPDF=Y")</f>
        <v>9868.9500000000007</v>
      </c>
      <c r="T12" s="19">
        <f>_xll.BDH("NBIX US Equity","HISTORICAL_MARKET_CAP","FQ2 2023","FQ2 2023","Currency=USD","Period=FQ","BEST_FPERIOD_OVERRIDE=FQ","FILING_STATUS=MR","SCALING_FORMAT=MLN","Sort=A","Dates=H","DateFormat=P","Fill=—","Direction=H","UseDPDF=Y")</f>
        <v>9203.68</v>
      </c>
      <c r="U12" s="19">
        <f>_xll.BDH("NBIX US Equity","HISTORICAL_MARKET_CAP","FQ3 2023","FQ3 2023","Currency=USD","Period=FQ","BEST_FPERIOD_OVERRIDE=FQ","FILING_STATUS=MR","SCALING_FORMAT=MLN","Sort=A","Dates=H","DateFormat=P","Fill=—","Direction=H","UseDPDF=Y")</f>
        <v>11047.5</v>
      </c>
      <c r="V12" s="19">
        <f>_xll.BDH("NBIX US Equity","HISTORICAL_MARKET_CAP","FQ4 2023","FQ4 2023","Currency=USD","Period=FQ","BEST_FPERIOD_OVERRIDE=FQ","FILING_STATUS=MR","SCALING_FORMAT=MLN","Sort=A","Dates=H","DateFormat=P","Fill=—","Direction=H","UseDPDF=Y")</f>
        <v>13004.712</v>
      </c>
      <c r="W12" s="19">
        <f>_xll.BDH("NBIX US Equity","HISTORICAL_MARKET_CAP","FQ1 2024","FQ1 2024","Currency=USD","Period=FQ","BEST_FPERIOD_OVERRIDE=FQ","FILING_STATUS=MR","SCALING_FORMAT=MLN","Sort=A","Dates=H","DateFormat=P","Fill=—","Direction=H","UseDPDF=Y")</f>
        <v>13874.752</v>
      </c>
      <c r="X12" s="19">
        <f>_xll.BDH("NBIX US Equity","HISTORICAL_MARKET_CAP","FQ2 2024","FQ2 2024","Currency=USD","Period=FQ","BEST_FPERIOD_OVERRIDE=FQ","FILING_STATUS=MR","SCALING_FORMAT=MLN","Sort=A","Dates=H","DateFormat=P","Fill=—","Direction=H","UseDPDF=Y")</f>
        <v>13890.903</v>
      </c>
      <c r="Y12" s="19">
        <f>_xll.BDH("NBIX US Equity","HISTORICAL_MARKET_CAP","FQ3 2024","FQ3 2024","Currency=USD","Period=FQ","BEST_FPERIOD_OVERRIDE=FQ","FILING_STATUS=MR","SCALING_FORMAT=MLN","Sort=A","Dates=H","DateFormat=P","Fill=—","Direction=H","UseDPDF=Y")</f>
        <v>11660.263999999999</v>
      </c>
      <c r="Z12" s="19">
        <f>_xll.BDH("NBIX US Equity","HISTORICAL_MARKET_CAP","FQ4 2024","FQ4 2024","Currency=USD","Period=FQ","BEST_FPERIOD_OVERRIDE=FQ","FILING_STATUS=MR","SCALING_FORMAT=MLN","Sort=A","Dates=H","DateFormat=P","Fill=—","Direction=H","UseDPDF=Y")</f>
        <v>13568.1</v>
      </c>
      <c r="AA12" s="22">
        <v>11272.48076262</v>
      </c>
    </row>
    <row r="13" spans="1:27" x14ac:dyDescent="0.25">
      <c r="A13" s="10" t="s">
        <v>291</v>
      </c>
      <c r="B13" s="10" t="s">
        <v>292</v>
      </c>
      <c r="C13" s="14">
        <f>_xll.BDH("NBIX US Equity","EQY_SH_OUT","FQ1 2019","FQ1 2019","Currency=USD","Period=FQ","BEST_FPERIOD_OVERRIDE=FQ","FILING_STATUS=MR","Sort=A","Dates=H","DateFormat=P","Fill=—","Direction=H","UseDPDF=Y")</f>
        <v>90.821269999999998</v>
      </c>
      <c r="D13" s="14">
        <f>_xll.BDH("NBIX US Equity","EQY_SH_OUT","FQ2 2019","FQ2 2019","Currency=USD","Period=FQ","BEST_FPERIOD_OVERRIDE=FQ","FILING_STATUS=MR","Sort=A","Dates=H","DateFormat=P","Fill=—","Direction=H","UseDPDF=Y")</f>
        <v>91.286919999999995</v>
      </c>
      <c r="E13" s="14">
        <f>_xll.BDH("NBIX US Equity","EQY_SH_OUT","FQ3 2019","FQ3 2019","Currency=USD","Period=FQ","BEST_FPERIOD_OVERRIDE=FQ","FILING_STATUS=MR","Sort=A","Dates=H","DateFormat=P","Fill=—","Direction=H","UseDPDF=Y")</f>
        <v>91.579400000000007</v>
      </c>
      <c r="F13" s="14">
        <f>_xll.BDH("NBIX US Equity","EQY_SH_OUT","FQ4 2019","FQ4 2019","Currency=USD","Period=FQ","BEST_FPERIOD_OVERRIDE=FQ","FILING_STATUS=MR","Sort=A","Dates=H","DateFormat=P","Fill=—","Direction=H","UseDPDF=Y")</f>
        <v>92.093519999999998</v>
      </c>
      <c r="G13" s="14">
        <f>_xll.BDH("NBIX US Equity","EQY_SH_OUT","FQ1 2020","FQ1 2020","Currency=USD","Period=FQ","BEST_FPERIOD_OVERRIDE=FQ","FILING_STATUS=MR","Sort=A","Dates=H","DateFormat=P","Fill=—","Direction=H","UseDPDF=Y")</f>
        <v>92.292389999999997</v>
      </c>
      <c r="H13" s="14">
        <f>_xll.BDH("NBIX US Equity","EQY_SH_OUT","FQ2 2020","FQ2 2020","Currency=USD","Period=FQ","BEST_FPERIOD_OVERRIDE=FQ","FILING_STATUS=MR","Sort=A","Dates=H","DateFormat=P","Fill=—","Direction=H","UseDPDF=Y")</f>
        <v>92.865120000000005</v>
      </c>
      <c r="I13" s="14">
        <f>_xll.BDH("NBIX US Equity","EQY_SH_OUT","FQ3 2020","FQ3 2020","Currency=USD","Period=FQ","BEST_FPERIOD_OVERRIDE=FQ","FILING_STATUS=MR","Sort=A","Dates=H","DateFormat=P","Fill=—","Direction=H","UseDPDF=Y")</f>
        <v>93.254869999999997</v>
      </c>
      <c r="J13" s="14">
        <f>_xll.BDH("NBIX US Equity","EQY_SH_OUT","FQ4 2020","FQ4 2020","Currency=USD","Period=FQ","BEST_FPERIOD_OVERRIDE=FQ","FILING_STATUS=MR","Sort=A","Dates=H","DateFormat=P","Fill=—","Direction=H","UseDPDF=Y")</f>
        <v>93.429150000000007</v>
      </c>
      <c r="K13" s="14">
        <f>_xll.BDH("NBIX US Equity","EQY_SH_OUT","FQ1 2021","FQ1 2021","Currency=USD","Period=FQ","BEST_FPERIOD_OVERRIDE=FQ","FILING_STATUS=MR","Sort=A","Dates=H","DateFormat=P","Fill=—","Direction=H","UseDPDF=Y")</f>
        <v>93.943650000000005</v>
      </c>
      <c r="L13" s="14">
        <f>_xll.BDH("NBIX US Equity","EQY_SH_OUT","FQ2 2021","FQ2 2021","Currency=USD","Period=FQ","BEST_FPERIOD_OVERRIDE=FQ","FILING_STATUS=MR","Sort=A","Dates=H","DateFormat=P","Fill=—","Direction=H","UseDPDF=Y")</f>
        <v>94.545990000000003</v>
      </c>
      <c r="M13" s="14">
        <f>_xll.BDH("NBIX US Equity","EQY_SH_OUT","FQ3 2021","FQ3 2021","Currency=USD","Period=FQ","BEST_FPERIOD_OVERRIDE=FQ","FILING_STATUS=MR","Sort=A","Dates=H","DateFormat=P","Fill=—","Direction=H","UseDPDF=Y")</f>
        <v>94.646429999999995</v>
      </c>
      <c r="N13" s="14">
        <f>_xll.BDH("NBIX US Equity","EQY_SH_OUT","FQ4 2021","FQ4 2021","Currency=USD","Period=FQ","BEST_FPERIOD_OVERRIDE=FQ","FILING_STATUS=MR","Sort=A","Dates=H","DateFormat=P","Fill=—","Direction=H","UseDPDF=Y")</f>
        <v>94.866690000000006</v>
      </c>
      <c r="O13" s="14">
        <f>_xll.BDH("NBIX US Equity","EQY_SH_OUT","FQ1 2022","FQ1 2022","Currency=USD","Period=FQ","BEST_FPERIOD_OVERRIDE=FQ","FILING_STATUS=MR","Sort=A","Dates=H","DateFormat=P","Fill=—","Direction=H","UseDPDF=Y")</f>
        <v>95.242679999999993</v>
      </c>
      <c r="P13" s="14">
        <f>_xll.BDH("NBIX US Equity","EQY_SH_OUT","FQ2 2022","FQ2 2022","Currency=USD","Period=FQ","BEST_FPERIOD_OVERRIDE=FQ","FILING_STATUS=MR","Sort=A","Dates=H","DateFormat=P","Fill=—","Direction=H","UseDPDF=Y")</f>
        <v>95.576660000000004</v>
      </c>
      <c r="Q13" s="14">
        <f>_xll.BDH("NBIX US Equity","EQY_SH_OUT","FQ3 2022","FQ3 2022","Currency=USD","Period=FQ","BEST_FPERIOD_OVERRIDE=FQ","FILING_STATUS=MR","Sort=A","Dates=H","DateFormat=P","Fill=—","Direction=H","UseDPDF=Y")</f>
        <v>95.639319999999998</v>
      </c>
      <c r="R13" s="14">
        <f>_xll.BDH("NBIX US Equity","EQY_SH_OUT","FQ4 2022","FQ4 2022","Currency=USD","Period=FQ","BEST_FPERIOD_OVERRIDE=FQ","FILING_STATUS=MR","Sort=A","Dates=H","DateFormat=P","Fill=—","Direction=H","UseDPDF=Y")</f>
        <v>96.134389999999996</v>
      </c>
      <c r="S13" s="14">
        <f>_xll.BDH("NBIX US Equity","EQY_SH_OUT","FQ1 2023","FQ1 2023","Currency=USD","Period=FQ","BEST_FPERIOD_OVERRIDE=FQ","FILING_STATUS=MR","Sort=A","Dates=H","DateFormat=P","Fill=—","Direction=H","UseDPDF=Y")</f>
        <v>96.587909999999994</v>
      </c>
      <c r="T13" s="14">
        <f>_xll.BDH("NBIX US Equity","EQY_SH_OUT","FQ2 2023","FQ2 2023","Currency=USD","Period=FQ","BEST_FPERIOD_OVERRIDE=FQ","FILING_STATUS=MR","Sort=A","Dates=H","DateFormat=P","Fill=—","Direction=H","UseDPDF=Y")</f>
        <v>97.574839999999995</v>
      </c>
      <c r="U13" s="14">
        <f>_xll.BDH("NBIX US Equity","EQY_SH_OUT","FQ3 2023","FQ3 2023","Currency=USD","Period=FQ","BEST_FPERIOD_OVERRIDE=FQ","FILING_STATUS=MR","Sort=A","Dates=H","DateFormat=P","Fill=—","Direction=H","UseDPDF=Y")</f>
        <v>97.652450000000002</v>
      </c>
      <c r="V13" s="14">
        <f>_xll.BDH("NBIX US Equity","EQY_SH_OUT","FQ4 2023","FQ4 2023","Currency=USD","Period=FQ","BEST_FPERIOD_OVERRIDE=FQ","FILING_STATUS=MR","Sort=A","Dates=H","DateFormat=P","Fill=—","Direction=H","UseDPDF=Y")</f>
        <v>98.251919999999998</v>
      </c>
      <c r="W13" s="14">
        <f>_xll.BDH("NBIX US Equity","EQY_SH_OUT","FQ1 2024","FQ1 2024","Currency=USD","Period=FQ","BEST_FPERIOD_OVERRIDE=FQ","FILING_STATUS=MR","Sort=A","Dates=H","DateFormat=P","Fill=—","Direction=H","UseDPDF=Y")</f>
        <v>99.507490000000004</v>
      </c>
      <c r="X13" s="14">
        <f>_xll.BDH("NBIX US Equity","EQY_SH_OUT","FQ2 2024","FQ2 2024","Currency=USD","Period=FQ","BEST_FPERIOD_OVERRIDE=FQ","FILING_STATUS=MR","Sort=A","Dates=H","DateFormat=P","Fill=—","Direction=H","UseDPDF=Y")</f>
        <v>100.63723</v>
      </c>
      <c r="Y13" s="14">
        <f>_xll.BDH("NBIX US Equity","EQY_SH_OUT","FQ3 2024","FQ3 2024","Currency=USD","Period=FQ","BEST_FPERIOD_OVERRIDE=FQ","FILING_STATUS=MR","Sort=A","Dates=H","DateFormat=P","Fill=—","Direction=H","UseDPDF=Y")</f>
        <v>100.97624999999999</v>
      </c>
      <c r="Z13" s="14">
        <f>_xll.BDH("NBIX US Equity","EQY_SH_OUT","FQ4 2024","FQ4 2024","Currency=USD","Period=FQ","BEST_FPERIOD_OVERRIDE=FQ","FILING_STATUS=MR","Sort=A","Dates=H","DateFormat=P","Fill=—","Direction=H","UseDPDF=Y")</f>
        <v>101.24691</v>
      </c>
      <c r="AA13" s="17">
        <v>99.703530000000001</v>
      </c>
    </row>
    <row r="14" spans="1:27" x14ac:dyDescent="0.25">
      <c r="A14" s="10" t="s">
        <v>293</v>
      </c>
      <c r="B14" s="10" t="s">
        <v>294</v>
      </c>
      <c r="C14" s="14">
        <f>_xll.BDH("NBIX US Equity","EQY_FLOAT","FQ1 2019","FQ1 2019","Currency=USD","Period=FQ","BEST_FPERIOD_OVERRIDE=FQ","FILING_STATUS=MR","Sort=A","Dates=H","DateFormat=P","Fill=—","Direction=H","UseDPDF=Y")</f>
        <v>89.497</v>
      </c>
      <c r="D14" s="14">
        <f>_xll.BDH("NBIX US Equity","EQY_FLOAT","FQ2 2019","FQ2 2019","Currency=USD","Period=FQ","BEST_FPERIOD_OVERRIDE=FQ","FILING_STATUS=MR","Sort=A","Dates=H","DateFormat=P","Fill=—","Direction=H","UseDPDF=Y")</f>
        <v>89.962000000000003</v>
      </c>
      <c r="E14" s="14">
        <f>_xll.BDH("NBIX US Equity","EQY_FLOAT","FQ3 2019","FQ3 2019","Currency=USD","Period=FQ","BEST_FPERIOD_OVERRIDE=FQ","FILING_STATUS=MR","Sort=A","Dates=H","DateFormat=P","Fill=—","Direction=H","UseDPDF=Y")</f>
        <v>90.381</v>
      </c>
      <c r="F14" s="14">
        <f>_xll.BDH("NBIX US Equity","EQY_FLOAT","FQ4 2019","FQ4 2019","Currency=USD","Period=FQ","BEST_FPERIOD_OVERRIDE=FQ","FILING_STATUS=MR","Sort=A","Dates=H","DateFormat=P","Fill=—","Direction=H","UseDPDF=Y")</f>
        <v>90.944000000000003</v>
      </c>
      <c r="G14" s="14">
        <f>_xll.BDH("NBIX US Equity","EQY_FLOAT","FQ1 2020","FQ1 2020","Currency=USD","Period=FQ","BEST_FPERIOD_OVERRIDE=FQ","FILING_STATUS=MR","Sort=A","Dates=H","DateFormat=P","Fill=—","Direction=H","UseDPDF=Y")</f>
        <v>91.096999999999994</v>
      </c>
      <c r="H14" s="14">
        <f>_xll.BDH("NBIX US Equity","EQY_FLOAT","FQ2 2020","FQ2 2020","Currency=USD","Period=FQ","BEST_FPERIOD_OVERRIDE=FQ","FILING_STATUS=MR","Sort=A","Dates=H","DateFormat=P","Fill=—","Direction=H","UseDPDF=Y")</f>
        <v>91.713999999999999</v>
      </c>
      <c r="I14" s="14">
        <f>_xll.BDH("NBIX US Equity","EQY_FLOAT","FQ3 2020","FQ3 2020","Currency=USD","Period=FQ","BEST_FPERIOD_OVERRIDE=FQ","FILING_STATUS=MR","Sort=A","Dates=H","DateFormat=P","Fill=—","Direction=H","UseDPDF=Y")</f>
        <v>92.081999999999994</v>
      </c>
      <c r="J14" s="14">
        <f>_xll.BDH("NBIX US Equity","EQY_FLOAT","FQ4 2020","FQ4 2020","Currency=USD","Period=FQ","BEST_FPERIOD_OVERRIDE=FQ","FILING_STATUS=MR","Sort=A","Dates=H","DateFormat=P","Fill=—","Direction=H","UseDPDF=Y")</f>
        <v>92.236000000000004</v>
      </c>
      <c r="K14" s="14">
        <f>_xll.BDH("NBIX US Equity","EQY_FLOAT","FQ1 2021","FQ1 2021","Currency=USD","Period=FQ","BEST_FPERIOD_OVERRIDE=FQ","FILING_STATUS=MR","Sort=A","Dates=H","DateFormat=P","Fill=—","Direction=H","UseDPDF=Y")</f>
        <v>92.703000000000003</v>
      </c>
      <c r="L14" s="14">
        <f>_xll.BDH("NBIX US Equity","EQY_FLOAT","FQ2 2021","FQ2 2021","Currency=USD","Period=FQ","BEST_FPERIOD_OVERRIDE=FQ","FILING_STATUS=MR","Sort=A","Dates=H","DateFormat=P","Fill=—","Direction=H","UseDPDF=Y")</f>
        <v>93.314999999999998</v>
      </c>
      <c r="M14" s="14">
        <f>_xll.BDH("NBIX US Equity","EQY_FLOAT","FQ3 2021","FQ3 2021","Currency=USD","Period=FQ","BEST_FPERIOD_OVERRIDE=FQ","FILING_STATUS=MR","Sort=A","Dates=H","DateFormat=P","Fill=—","Direction=H","UseDPDF=Y")</f>
        <v>93.438000000000002</v>
      </c>
      <c r="N14" s="14">
        <f>_xll.BDH("NBIX US Equity","EQY_FLOAT","FQ4 2021","FQ4 2021","Currency=USD","Period=FQ","BEST_FPERIOD_OVERRIDE=FQ","FILING_STATUS=MR","Sort=A","Dates=H","DateFormat=P","Fill=—","Direction=H","UseDPDF=Y")</f>
        <v>93.665000000000006</v>
      </c>
      <c r="O14" s="14">
        <f>_xll.BDH("NBIX US Equity","EQY_FLOAT","FQ1 2022","FQ1 2022","Currency=USD","Period=FQ","BEST_FPERIOD_OVERRIDE=FQ","FILING_STATUS=MR","Sort=A","Dates=H","DateFormat=P","Fill=—","Direction=H","UseDPDF=Y")</f>
        <v>94.012</v>
      </c>
      <c r="P14" s="14">
        <f>_xll.BDH("NBIX US Equity","EQY_FLOAT","FQ2 2022","FQ2 2022","Currency=USD","Period=FQ","BEST_FPERIOD_OVERRIDE=FQ","FILING_STATUS=MR","Sort=A","Dates=H","DateFormat=P","Fill=—","Direction=H","UseDPDF=Y")</f>
        <v>94.331999999999994</v>
      </c>
      <c r="Q14" s="14">
        <f>_xll.BDH("NBIX US Equity","EQY_FLOAT","FQ3 2022","FQ3 2022","Currency=USD","Period=FQ","BEST_FPERIOD_OVERRIDE=FQ","FILING_STATUS=MR","Sort=A","Dates=H","DateFormat=P","Fill=—","Direction=H","UseDPDF=Y")</f>
        <v>94.546000000000006</v>
      </c>
      <c r="R14" s="14">
        <f>_xll.BDH("NBIX US Equity","EQY_FLOAT","FQ4 2022","FQ4 2022","Currency=USD","Period=FQ","BEST_FPERIOD_OVERRIDE=FQ","FILING_STATUS=MR","Sort=A","Dates=H","DateFormat=P","Fill=—","Direction=H","UseDPDF=Y")</f>
        <v>95.049000000000007</v>
      </c>
      <c r="S14" s="14">
        <f>_xll.BDH("NBIX US Equity","EQY_FLOAT","FQ1 2023","FQ1 2023","Currency=USD","Period=FQ","BEST_FPERIOD_OVERRIDE=FQ","FILING_STATUS=MR","Sort=A","Dates=H","DateFormat=P","Fill=—","Direction=H","UseDPDF=Y")</f>
        <v>95.364000000000004</v>
      </c>
      <c r="T14" s="14">
        <f>_xll.BDH("NBIX US Equity","EQY_FLOAT","FQ2 2023","FQ2 2023","Currency=USD","Period=FQ","BEST_FPERIOD_OVERRIDE=FQ","FILING_STATUS=MR","Sort=A","Dates=H","DateFormat=P","Fill=—","Direction=H","UseDPDF=Y")</f>
        <v>96.367999999999995</v>
      </c>
      <c r="U14" s="14">
        <f>_xll.BDH("NBIX US Equity","EQY_FLOAT","FQ3 2023","FQ3 2023","Currency=USD","Period=FQ","BEST_FPERIOD_OVERRIDE=FQ","FILING_STATUS=MR","Sort=A","Dates=H","DateFormat=P","Fill=—","Direction=H","UseDPDF=Y")</f>
        <v>96.417000000000002</v>
      </c>
      <c r="V14" s="14">
        <f>_xll.BDH("NBIX US Equity","EQY_FLOAT","FQ4 2023","FQ4 2023","Currency=USD","Period=FQ","BEST_FPERIOD_OVERRIDE=FQ","FILING_STATUS=MR","Sort=A","Dates=H","DateFormat=P","Fill=—","Direction=H","UseDPDF=Y")</f>
        <v>96.852999999999994</v>
      </c>
      <c r="W14" s="14">
        <f>_xll.BDH("NBIX US Equity","EQY_FLOAT","FQ1 2024","FQ1 2024","Currency=USD","Period=FQ","BEST_FPERIOD_OVERRIDE=FQ","FILING_STATUS=MR","Sort=A","Dates=H","DateFormat=P","Fill=—","Direction=H","UseDPDF=Y")</f>
        <v>98.009</v>
      </c>
      <c r="X14" s="14">
        <f>_xll.BDH("NBIX US Equity","EQY_FLOAT","FQ2 2024","FQ2 2024","Currency=USD","Period=FQ","BEST_FPERIOD_OVERRIDE=FQ","FILING_STATUS=MR","Sort=A","Dates=H","DateFormat=P","Fill=—","Direction=H","UseDPDF=Y")</f>
        <v>99.412000000000006</v>
      </c>
      <c r="Y14" s="14">
        <f>_xll.BDH("NBIX US Equity","EQY_FLOAT","FQ3 2024","FQ3 2024","Currency=USD","Period=FQ","BEST_FPERIOD_OVERRIDE=FQ","FILING_STATUS=MR","Sort=A","Dates=H","DateFormat=P","Fill=—","Direction=H","UseDPDF=Y")</f>
        <v>99.695999999999998</v>
      </c>
      <c r="Z14" s="14">
        <f>_xll.BDH("NBIX US Equity","EQY_FLOAT","FQ4 2024","FQ4 2024","Currency=USD","Period=FQ","BEST_FPERIOD_OVERRIDE=FQ","FILING_STATUS=MR","Sort=A","Dates=H","DateFormat=P","Fill=—","Direction=H","UseDPDF=Y")</f>
        <v>99.954999999999998</v>
      </c>
      <c r="AA14" s="17">
        <v>98.373670000000004</v>
      </c>
    </row>
    <row r="15" spans="1:27" x14ac:dyDescent="0.25">
      <c r="A15" s="7" t="s">
        <v>90</v>
      </c>
      <c r="B15" s="7"/>
      <c r="C15" s="7" t="s">
        <v>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295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10" t="s">
        <v>60</v>
      </c>
      <c r="B6" s="10" t="s">
        <v>61</v>
      </c>
      <c r="C6" s="13">
        <f>_xll.BDH("NBIX US Equity","HISTORICAL_MARKET_CAP","FQ3 2019","FQ3 2019","Currency=USD","Period=FQ","BEST_FPERIOD_OVERRIDE=FQ","FILING_STATUS=MR","SCALING_FORMAT=MLN","Sort=A","Dates=H","DateFormat=P","Fill=—","Direction=H","UseDPDF=Y")</f>
        <v>8297.3287999999993</v>
      </c>
      <c r="D6" s="13">
        <f>_xll.BDH("NBIX US Equity","HISTORICAL_MARKET_CAP","FQ4 2019","FQ4 2019","Currency=USD","Period=FQ","BEST_FPERIOD_OVERRIDE=FQ","FILING_STATUS=MR","SCALING_FORMAT=MLN","Sort=A","Dates=H","DateFormat=P","Fill=—","Direction=H","UseDPDF=Y")</f>
        <v>9921.3269999999993</v>
      </c>
      <c r="E6" s="13">
        <f>_xll.BDH("NBIX US Equity","HISTORICAL_MARKET_CAP","FQ1 2020","FQ1 2020","Currency=USD","Period=FQ","BEST_FPERIOD_OVERRIDE=FQ","FILING_STATUS=MR","SCALING_FORMAT=MLN","Sort=A","Dates=H","DateFormat=P","Fill=—","Direction=H","UseDPDF=Y")</f>
        <v>8031.84</v>
      </c>
      <c r="F6" s="13">
        <f>_xll.BDH("NBIX US Equity","HISTORICAL_MARKET_CAP","FQ2 2020","FQ2 2020","Currency=USD","Period=FQ","BEST_FPERIOD_OVERRIDE=FQ","FILING_STATUS=MR","SCALING_FORMAT=MLN","Sort=A","Dates=H","DateFormat=P","Fill=—","Direction=H","UseDPDF=Y")</f>
        <v>11370.4</v>
      </c>
      <c r="G6" s="13">
        <f>_xll.BDH("NBIX US Equity","HISTORICAL_MARKET_CAP","FQ3 2020","FQ3 2020","Currency=USD","Period=FQ","BEST_FPERIOD_OVERRIDE=FQ","FILING_STATUS=MR","SCALING_FORMAT=MLN","Sort=A","Dates=H","DateFormat=P","Fill=—","Direction=H","UseDPDF=Y")</f>
        <v>8981.3439999999991</v>
      </c>
      <c r="H6" s="13">
        <f>_xll.BDH("NBIX US Equity","HISTORICAL_MARKET_CAP","FQ4 2020","FQ4 2020","Currency=USD","Period=FQ","BEST_FPERIOD_OVERRIDE=FQ","FILING_STATUS=MR","SCALING_FORMAT=MLN","Sort=A","Dates=H","DateFormat=P","Fill=—","Direction=H","UseDPDF=Y")</f>
        <v>8961.9750000000004</v>
      </c>
      <c r="I6" s="13">
        <f>_xll.BDH("NBIX US Equity","HISTORICAL_MARKET_CAP","FQ1 2021","FQ1 2021","Currency=USD","Period=FQ","BEST_FPERIOD_OVERRIDE=FQ","FILING_STATUS=MR","SCALING_FORMAT=MLN","Sort=A","Dates=H","DateFormat=P","Fill=—","Direction=H","UseDPDF=Y")</f>
        <v>9190.125</v>
      </c>
      <c r="J6" s="13">
        <f>_xll.BDH("NBIX US Equity","HISTORICAL_MARKET_CAP","FQ2 2021","FQ2 2021","Currency=USD","Period=FQ","BEST_FPERIOD_OVERRIDE=FQ","FILING_STATUS=MR","SCALING_FORMAT=MLN","Sort=A","Dates=H","DateFormat=P","Fill=—","Direction=H","UseDPDF=Y")</f>
        <v>9206.4719999999998</v>
      </c>
      <c r="K6" s="13">
        <f>_xll.BDH("NBIX US Equity","HISTORICAL_MARKET_CAP","FQ3 2021","FQ3 2021","Currency=USD","Period=FQ","BEST_FPERIOD_OVERRIDE=FQ","FILING_STATUS=MR","SCALING_FORMAT=MLN","Sort=A","Dates=H","DateFormat=P","Fill=—","Direction=H","UseDPDF=Y")</f>
        <v>9092.268</v>
      </c>
      <c r="L6" s="13">
        <f>_xll.BDH("NBIX US Equity","HISTORICAL_MARKET_CAP","FQ4 2021","FQ4 2021","Currency=USD","Period=FQ","BEST_FPERIOD_OVERRIDE=FQ","FILING_STATUS=MR","SCALING_FORMAT=MLN","Sort=A","Dates=H","DateFormat=P","Fill=—","Direction=H","UseDPDF=Y")</f>
        <v>8082.6329999999998</v>
      </c>
      <c r="M6" s="13">
        <f>_xll.BDH("NBIX US Equity","HISTORICAL_MARKET_CAP","FQ1 2022","FQ1 2022","Currency=USD","Period=FQ","BEST_FPERIOD_OVERRIDE=FQ","FILING_STATUS=MR","SCALING_FORMAT=MLN","Sort=A","Dates=H","DateFormat=P","Fill=—","Direction=H","UseDPDF=Y")</f>
        <v>8953.125</v>
      </c>
      <c r="N6" s="13">
        <f>_xll.BDH("NBIX US Equity","HISTORICAL_MARKET_CAP","FQ2 2022","FQ2 2022","Currency=USD","Period=FQ","BEST_FPERIOD_OVERRIDE=FQ","FILING_STATUS=MR","SCALING_FORMAT=MLN","Sort=A","Dates=H","DateFormat=P","Fill=—","Direction=H","UseDPDF=Y")</f>
        <v>9319.0879999999997</v>
      </c>
      <c r="O6" s="13">
        <f>_xll.BDH("NBIX US Equity","HISTORICAL_MARKET_CAP","FQ3 2022","FQ3 2022","Currency=USD","Period=FQ","BEST_FPERIOD_OVERRIDE=FQ","FILING_STATUS=MR","SCALING_FORMAT=MLN","Sort=A","Dates=H","DateFormat=P","Fill=—","Direction=H","UseDPDF=Y")</f>
        <v>10206.781000000001</v>
      </c>
      <c r="P6" s="13">
        <f>_xll.BDH("NBIX US Equity","HISTORICAL_MARKET_CAP","FQ4 2022","FQ4 2022","Currency=USD","Period=FQ","BEST_FPERIOD_OVERRIDE=FQ","FILING_STATUS=MR","SCALING_FORMAT=MLN","Sort=A","Dates=H","DateFormat=P","Fill=—","Direction=H","UseDPDF=Y")</f>
        <v>11525.96</v>
      </c>
      <c r="Q6" s="13">
        <f>_xll.BDH("NBIX US Equity","HISTORICAL_MARKET_CAP","FQ1 2023","FQ1 2023","Currency=USD","Period=FQ","BEST_FPERIOD_OVERRIDE=FQ","FILING_STATUS=MR","SCALING_FORMAT=MLN","Sort=A","Dates=H","DateFormat=P","Fill=—","Direction=H","UseDPDF=Y")</f>
        <v>9868.9500000000007</v>
      </c>
      <c r="R6" s="13">
        <f>_xll.BDH("NBIX US Equity","HISTORICAL_MARKET_CAP","FQ2 2023","FQ2 2023","Currency=USD","Period=FQ","BEST_FPERIOD_OVERRIDE=FQ","FILING_STATUS=MR","SCALING_FORMAT=MLN","Sort=A","Dates=H","DateFormat=P","Fill=—","Direction=H","UseDPDF=Y")</f>
        <v>9203.68</v>
      </c>
      <c r="S6" s="13">
        <f>_xll.BDH("NBIX US Equity","HISTORICAL_MARKET_CAP","FQ3 2023","FQ3 2023","Currency=USD","Period=FQ","BEST_FPERIOD_OVERRIDE=FQ","FILING_STATUS=MR","SCALING_FORMAT=MLN","Sort=A","Dates=H","DateFormat=P","Fill=—","Direction=H","UseDPDF=Y")</f>
        <v>11047.5</v>
      </c>
      <c r="T6" s="13">
        <f>_xll.BDH("NBIX US Equity","HISTORICAL_MARKET_CAP","FQ4 2023","FQ4 2023","Currency=USD","Period=FQ","BEST_FPERIOD_OVERRIDE=FQ","FILING_STATUS=MR","SCALING_FORMAT=MLN","Sort=A","Dates=H","DateFormat=P","Fill=—","Direction=H","UseDPDF=Y")</f>
        <v>13004.712</v>
      </c>
      <c r="U6" s="13">
        <f>_xll.BDH("NBIX US Equity","HISTORICAL_MARKET_CAP","FQ1 2024","FQ1 2024","Currency=USD","Period=FQ","BEST_FPERIOD_OVERRIDE=FQ","FILING_STATUS=MR","SCALING_FORMAT=MLN","Sort=A","Dates=H","DateFormat=P","Fill=—","Direction=H","UseDPDF=Y")</f>
        <v>13874.752</v>
      </c>
      <c r="V6" s="13">
        <f>_xll.BDH("NBIX US Equity","HISTORICAL_MARKET_CAP","FQ2 2024","FQ2 2024","Currency=USD","Period=FQ","BEST_FPERIOD_OVERRIDE=FQ","FILING_STATUS=MR","SCALING_FORMAT=MLN","Sort=A","Dates=H","DateFormat=P","Fill=—","Direction=H","UseDPDF=Y")</f>
        <v>13890.903</v>
      </c>
      <c r="W6" s="13">
        <f>_xll.BDH("NBIX US Equity","HISTORICAL_MARKET_CAP","FQ3 2024","FQ3 2024","Currency=USD","Period=FQ","BEST_FPERIOD_OVERRIDE=FQ","FILING_STATUS=MR","SCALING_FORMAT=MLN","Sort=A","Dates=H","DateFormat=P","Fill=—","Direction=H","UseDPDF=Y")</f>
        <v>11660.263999999999</v>
      </c>
      <c r="X6" s="13">
        <f>_xll.BDH("NBIX US Equity","HISTORICAL_MARKET_CAP","FQ4 2024","FQ4 2024","Currency=USD","Period=FQ","BEST_FPERIOD_OVERRIDE=FQ","FILING_STATUS=MR","SCALING_FORMAT=MLN","Sort=A","Dates=H","DateFormat=P","Fill=—","Direction=H","UseDPDF=Y")</f>
        <v>13568.1</v>
      </c>
      <c r="Y6" s="16">
        <v>11272.48076262</v>
      </c>
      <c r="Z6" s="13"/>
      <c r="AA6" s="13"/>
    </row>
    <row r="7" spans="1:27" x14ac:dyDescent="0.25">
      <c r="A7" s="10" t="s">
        <v>166</v>
      </c>
      <c r="B7" s="10" t="s">
        <v>63</v>
      </c>
      <c r="C7" s="13">
        <f>_xll.BDH("NBIX US Equity","CASH_AND_MARKETABLE_SECURITIES","FQ3 2019","FQ3 2019","Currency=USD","Period=FQ","BEST_FPERIOD_OVERRIDE=FQ","FILING_STATUS=MR","SCALING_FORMAT=MLN","Sort=A","Dates=H","DateFormat=P","Fill=—","Direction=H","UseDPDF=Y")</f>
        <v>670.16200000000003</v>
      </c>
      <c r="D7" s="13">
        <f>_xll.BDH("NBIX US Equity","CASH_AND_MARKETABLE_SECURITIES","FQ4 2019","FQ4 2019","Currency=USD","Period=FQ","BEST_FPERIOD_OVERRIDE=FQ","FILING_STATUS=MR","SCALING_FORMAT=MLN","Sort=A","Dates=H","DateFormat=P","Fill=—","Direction=H","UseDPDF=Y")</f>
        <v>670.5</v>
      </c>
      <c r="E7" s="13">
        <f>_xll.BDH("NBIX US Equity","CASH_AND_MARKETABLE_SECURITIES","FQ1 2020","FQ1 2020","Currency=USD","Period=FQ","BEST_FPERIOD_OVERRIDE=FQ","FILING_STATUS=MR","SCALING_FORMAT=MLN","Sort=A","Dates=H","DateFormat=P","Fill=—","Direction=H","UseDPDF=Y")</f>
        <v>771.7</v>
      </c>
      <c r="F7" s="13">
        <f>_xll.BDH("NBIX US Equity","CASH_AND_MARKETABLE_SECURITIES","FQ2 2020","FQ2 2020","Currency=USD","Period=FQ","BEST_FPERIOD_OVERRIDE=FQ","FILING_STATUS=MR","SCALING_FORMAT=MLN","Sort=A","Dates=H","DateFormat=P","Fill=—","Direction=H","UseDPDF=Y")</f>
        <v>948.3</v>
      </c>
      <c r="G7" s="13">
        <f>_xll.BDH("NBIX US Equity","CASH_AND_MARKETABLE_SECURITIES","FQ3 2020","FQ3 2020","Currency=USD","Period=FQ","BEST_FPERIOD_OVERRIDE=FQ","FILING_STATUS=MR","SCALING_FORMAT=MLN","Sort=A","Dates=H","DateFormat=P","Fill=—","Direction=H","UseDPDF=Y")</f>
        <v>944.7</v>
      </c>
      <c r="H7" s="13">
        <f>_xll.BDH("NBIX US Equity","CASH_AND_MARKETABLE_SECURITIES","FQ4 2020","FQ4 2020","Currency=USD","Period=FQ","BEST_FPERIOD_OVERRIDE=FQ","FILING_STATUS=MR","SCALING_FORMAT=MLN","Sort=A","Dates=H","DateFormat=P","Fill=—","Direction=H","UseDPDF=Y")</f>
        <v>801</v>
      </c>
      <c r="I7" s="13">
        <f>_xll.BDH("NBIX US Equity","CASH_AND_MARKETABLE_SECURITIES","FQ1 2021","FQ1 2021","Currency=USD","Period=FQ","BEST_FPERIOD_OVERRIDE=FQ","FILING_STATUS=MR","SCALING_FORMAT=MLN","Sort=A","Dates=H","DateFormat=P","Fill=—","Direction=H","UseDPDF=Y")</f>
        <v>873.7</v>
      </c>
      <c r="J7" s="13">
        <f>_xll.BDH("NBIX US Equity","CASH_AND_MARKETABLE_SECURITIES","FQ2 2021","FQ2 2021","Currency=USD","Period=FQ","BEST_FPERIOD_OVERRIDE=FQ","FILING_STATUS=MR","SCALING_FORMAT=MLN","Sort=A","Dates=H","DateFormat=P","Fill=—","Direction=H","UseDPDF=Y")</f>
        <v>884.9</v>
      </c>
      <c r="K7" s="13">
        <f>_xll.BDH("NBIX US Equity","CASH_AND_MARKETABLE_SECURITIES","FQ3 2021","FQ3 2021","Currency=USD","Period=FQ","BEST_FPERIOD_OVERRIDE=FQ","FILING_STATUS=MR","SCALING_FORMAT=MLN","Sort=A","Dates=H","DateFormat=P","Fill=—","Direction=H","UseDPDF=Y")</f>
        <v>765.9</v>
      </c>
      <c r="L7" s="13">
        <f>_xll.BDH("NBIX US Equity","CASH_AND_MARKETABLE_SECURITIES","FQ4 2021","FQ4 2021","Currency=USD","Period=FQ","BEST_FPERIOD_OVERRIDE=FQ","FILING_STATUS=MR","SCALING_FORMAT=MLN","Sort=A","Dates=H","DateFormat=P","Fill=—","Direction=H","UseDPDF=Y")</f>
        <v>711.3</v>
      </c>
      <c r="M7" s="13">
        <f>_xll.BDH("NBIX US Equity","CASH_AND_MARKETABLE_SECURITIES","FQ1 2022","FQ1 2022","Currency=USD","Period=FQ","BEST_FPERIOD_OVERRIDE=FQ","FILING_STATUS=MR","SCALING_FORMAT=MLN","Sort=A","Dates=H","DateFormat=P","Fill=—","Direction=H","UseDPDF=Y")</f>
        <v>664.9</v>
      </c>
      <c r="N7" s="13">
        <f>_xll.BDH("NBIX US Equity","CASH_AND_MARKETABLE_SECURITIES","FQ2 2022","FQ2 2022","Currency=USD","Period=FQ","BEST_FPERIOD_OVERRIDE=FQ","FILING_STATUS=MR","SCALING_FORMAT=MLN","Sort=A","Dates=H","DateFormat=P","Fill=—","Direction=H","UseDPDF=Y")</f>
        <v>648.29999999999995</v>
      </c>
      <c r="O7" s="13">
        <f>_xll.BDH("NBIX US Equity","CASH_AND_MARKETABLE_SECURITIES","FQ3 2022","FQ3 2022","Currency=USD","Period=FQ","BEST_FPERIOD_OVERRIDE=FQ","FILING_STATUS=MR","SCALING_FORMAT=MLN","Sort=A","Dates=H","DateFormat=P","Fill=—","Direction=H","UseDPDF=Y")</f>
        <v>799.4</v>
      </c>
      <c r="P7" s="13">
        <f>_xll.BDH("NBIX US Equity","CASH_AND_MARKETABLE_SECURITIES","FQ4 2022","FQ4 2022","Currency=USD","Period=FQ","BEST_FPERIOD_OVERRIDE=FQ","FILING_STATUS=MR","SCALING_FORMAT=MLN","Sort=A","Dates=H","DateFormat=P","Fill=—","Direction=H","UseDPDF=Y")</f>
        <v>989.3</v>
      </c>
      <c r="Q7" s="13">
        <f>_xll.BDH("NBIX US Equity","CASH_AND_MARKETABLE_SECURITIES","FQ1 2023","FQ1 2023","Currency=USD","Period=FQ","BEST_FPERIOD_OVERRIDE=FQ","FILING_STATUS=MR","SCALING_FORMAT=MLN","Sort=A","Dates=H","DateFormat=P","Fill=—","Direction=H","UseDPDF=Y")</f>
        <v>894.6</v>
      </c>
      <c r="R7" s="13">
        <f>_xll.BDH("NBIX US Equity","CASH_AND_MARKETABLE_SECURITIES","FQ2 2023","FQ2 2023","Currency=USD","Period=FQ","BEST_FPERIOD_OVERRIDE=FQ","FILING_STATUS=MR","SCALING_FORMAT=MLN","Sort=A","Dates=H","DateFormat=P","Fill=—","Direction=H","UseDPDF=Y")</f>
        <v>976.7</v>
      </c>
      <c r="S7" s="13">
        <f>_xll.BDH("NBIX US Equity","CASH_AND_MARKETABLE_SECURITIES","FQ3 2023","FQ3 2023","Currency=USD","Period=FQ","BEST_FPERIOD_OVERRIDE=FQ","FILING_STATUS=MR","SCALING_FORMAT=MLN","Sort=A","Dates=H","DateFormat=P","Fill=—","Direction=H","UseDPDF=Y")</f>
        <v>1095.0999999999999</v>
      </c>
      <c r="T7" s="13">
        <f>_xll.BDH("NBIX US Equity","CASH_AND_MARKETABLE_SECURITIES","FQ4 2023","FQ4 2023","Currency=USD","Period=FQ","BEST_FPERIOD_OVERRIDE=FQ","FILING_STATUS=MR","SCALING_FORMAT=MLN","Sort=A","Dates=H","DateFormat=P","Fill=—","Direction=H","UseDPDF=Y")</f>
        <v>1031.5999999999999</v>
      </c>
      <c r="U7" s="13">
        <f>_xll.BDH("NBIX US Equity","CASH_AND_MARKETABLE_SECURITIES","FQ1 2024","FQ1 2024","Currency=USD","Period=FQ","BEST_FPERIOD_OVERRIDE=FQ","FILING_STATUS=MR","SCALING_FORMAT=MLN","Sort=A","Dates=H","DateFormat=P","Fill=—","Direction=H","UseDPDF=Y")</f>
        <v>1210.5999999999999</v>
      </c>
      <c r="V7" s="13">
        <f>_xll.BDH("NBIX US Equity","CASH_AND_MARKETABLE_SECURITIES","FQ2 2024","FQ2 2024","Currency=USD","Period=FQ","BEST_FPERIOD_OVERRIDE=FQ","FILING_STATUS=MR","SCALING_FORMAT=MLN","Sort=A","Dates=H","DateFormat=P","Fill=—","Direction=H","UseDPDF=Y")</f>
        <v>1038.9000000000001</v>
      </c>
      <c r="W7" s="13">
        <f>_xll.BDH("NBIX US Equity","CASH_AND_MARKETABLE_SECURITIES","FQ3 2024","FQ3 2024","Currency=USD","Period=FQ","BEST_FPERIOD_OVERRIDE=FQ","FILING_STATUS=MR","SCALING_FORMAT=MLN","Sort=A","Dates=H","DateFormat=P","Fill=—","Direction=H","UseDPDF=Y")</f>
        <v>1228</v>
      </c>
      <c r="X7" s="13">
        <f>_xll.BDH("NBIX US Equity","CASH_AND_MARKETABLE_SECURITIES","FQ4 2024","FQ4 2024","Currency=USD","Period=FQ","BEST_FPERIOD_OVERRIDE=FQ","FILING_STATUS=MR","SCALING_FORMAT=MLN","Sort=A","Dates=H","DateFormat=P","Fill=—","Direction=H","UseDPDF=Y")</f>
        <v>1076.0999999999999</v>
      </c>
      <c r="Y7" s="16">
        <v>1076.0999999999999</v>
      </c>
      <c r="Z7" s="13"/>
      <c r="AA7" s="13"/>
    </row>
    <row r="8" spans="1:27" x14ac:dyDescent="0.25">
      <c r="A8" s="10" t="s">
        <v>167</v>
      </c>
      <c r="B8" s="10" t="s">
        <v>168</v>
      </c>
      <c r="C8" s="13">
        <f>_xll.BDH("NBIX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_xll.BDH("NBIX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_xll.BDH("NBIX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_xll.BDH("NBIX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_xll.BDH("NBIX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_xll.BDH("NBIX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_xll.BDH("NBIX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_xll.BDH("NBIX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_xll.BDH("NBIX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_xll.BDH("NBIX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_xll.BDH("NBIX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_xll.BDH("NBIX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_xll.BDH("NBIX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_xll.BDH("NBIX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_xll.BDH("NBIX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_xll.BDH("NBIX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_xll.BDH("NBIX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_xll.BDH("NBIX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_xll.BDH("NBIX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_xll.BDH("NBIX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_xll.BDH("NBIX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_xll.BDH("NBIX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169</v>
      </c>
      <c r="B9" s="10" t="s">
        <v>170</v>
      </c>
      <c r="C9" s="13">
        <f>_xll.BDH("NBIX US Equity","MINORITY_NONCONTROLLING_INTEREST","FQ3 2019","FQ3 2019","Currency=USD","Period=FQ","BEST_FPERIOD_OVERRIDE=FQ","FILING_STATUS=MR","SCALING_FORMAT=MLN","Sort=A","Dates=H","DateFormat=P","Fill=—","Direction=H","UseDPDF=Y")</f>
        <v>0</v>
      </c>
      <c r="D9" s="13">
        <f>_xll.BDH("NBIX US Equity","MINORITY_NONCONTROLLING_INTEREST","FQ4 2019","FQ4 2019","Currency=USD","Period=FQ","BEST_FPERIOD_OVERRIDE=FQ","FILING_STATUS=MR","SCALING_FORMAT=MLN","Sort=A","Dates=H","DateFormat=P","Fill=—","Direction=H","UseDPDF=Y")</f>
        <v>0</v>
      </c>
      <c r="E9" s="13">
        <f>_xll.BDH("NBIX US Equity","MINORITY_NONCONTROLLING_INTEREST","FQ1 2020","FQ1 2020","Currency=USD","Period=FQ","BEST_FPERIOD_OVERRIDE=FQ","FILING_STATUS=MR","SCALING_FORMAT=MLN","Sort=A","Dates=H","DateFormat=P","Fill=—","Direction=H","UseDPDF=Y")</f>
        <v>0</v>
      </c>
      <c r="F9" s="13">
        <f>_xll.BDH("NBIX US Equity","MINORITY_NONCONTROLLING_INTEREST","FQ2 2020","FQ2 2020","Currency=USD","Period=FQ","BEST_FPERIOD_OVERRIDE=FQ","FILING_STATUS=MR","SCALING_FORMAT=MLN","Sort=A","Dates=H","DateFormat=P","Fill=—","Direction=H","UseDPDF=Y")</f>
        <v>0</v>
      </c>
      <c r="G9" s="13">
        <f>_xll.BDH("NBIX US Equity","MINORITY_NONCONTROLLING_INTEREST","FQ3 2020","FQ3 2020","Currency=USD","Period=FQ","BEST_FPERIOD_OVERRIDE=FQ","FILING_STATUS=MR","SCALING_FORMAT=MLN","Sort=A","Dates=H","DateFormat=P","Fill=—","Direction=H","UseDPDF=Y")</f>
        <v>0</v>
      </c>
      <c r="H9" s="13">
        <f>_xll.BDH("NBIX US Equity","MINORITY_NONCONTROLLING_INTEREST","FQ4 2020","FQ4 2020","Currency=USD","Period=FQ","BEST_FPERIOD_OVERRIDE=FQ","FILING_STATUS=MR","SCALING_FORMAT=MLN","Sort=A","Dates=H","DateFormat=P","Fill=—","Direction=H","UseDPDF=Y")</f>
        <v>0</v>
      </c>
      <c r="I9" s="13">
        <f>_xll.BDH("NBIX US Equity","MINORITY_NONCONTROLLING_INTEREST","FQ1 2021","FQ1 2021","Currency=USD","Period=FQ","BEST_FPERIOD_OVERRIDE=FQ","FILING_STATUS=MR","SCALING_FORMAT=MLN","Sort=A","Dates=H","DateFormat=P","Fill=—","Direction=H","UseDPDF=Y")</f>
        <v>0</v>
      </c>
      <c r="J9" s="13">
        <f>_xll.BDH("NBIX US Equity","MINORITY_NONCONTROLLING_INTEREST","FQ2 2021","FQ2 2021","Currency=USD","Period=FQ","BEST_FPERIOD_OVERRIDE=FQ","FILING_STATUS=MR","SCALING_FORMAT=MLN","Sort=A","Dates=H","DateFormat=P","Fill=—","Direction=H","UseDPDF=Y")</f>
        <v>0</v>
      </c>
      <c r="K9" s="13">
        <f>_xll.BDH("NBIX US Equity","MINORITY_NONCONTROLLING_INTEREST","FQ3 2021","FQ3 2021","Currency=USD","Period=FQ","BEST_FPERIOD_OVERRIDE=FQ","FILING_STATUS=MR","SCALING_FORMAT=MLN","Sort=A","Dates=H","DateFormat=P","Fill=—","Direction=H","UseDPDF=Y")</f>
        <v>0</v>
      </c>
      <c r="L9" s="13">
        <f>_xll.BDH("NBIX US Equity","MINORITY_NONCONTROLLING_INTEREST","FQ4 2021","FQ4 2021","Currency=USD","Period=FQ","BEST_FPERIOD_OVERRIDE=FQ","FILING_STATUS=MR","SCALING_FORMAT=MLN","Sort=A","Dates=H","DateFormat=P","Fill=—","Direction=H","UseDPDF=Y")</f>
        <v>0</v>
      </c>
      <c r="M9" s="13">
        <f>_xll.BDH("NBIX US Equity","MINORITY_NONCONTROLLING_INTEREST","FQ1 2022","FQ1 2022","Currency=USD","Period=FQ","BEST_FPERIOD_OVERRIDE=FQ","FILING_STATUS=MR","SCALING_FORMAT=MLN","Sort=A","Dates=H","DateFormat=P","Fill=—","Direction=H","UseDPDF=Y")</f>
        <v>0</v>
      </c>
      <c r="N9" s="13">
        <f>_xll.BDH("NBIX US Equity","MINORITY_NONCONTROLLING_INTEREST","FQ2 2022","FQ2 2022","Currency=USD","Period=FQ","BEST_FPERIOD_OVERRIDE=FQ","FILING_STATUS=MR","SCALING_FORMAT=MLN","Sort=A","Dates=H","DateFormat=P","Fill=—","Direction=H","UseDPDF=Y")</f>
        <v>0</v>
      </c>
      <c r="O9" s="13">
        <f>_xll.BDH("NBIX US Equity","MINORITY_NONCONTROLLING_INTEREST","FQ3 2022","FQ3 2022","Currency=USD","Period=FQ","BEST_FPERIOD_OVERRIDE=FQ","FILING_STATUS=MR","SCALING_FORMAT=MLN","Sort=A","Dates=H","DateFormat=P","Fill=—","Direction=H","UseDPDF=Y")</f>
        <v>0</v>
      </c>
      <c r="P9" s="13">
        <f>_xll.BDH("NBIX US Equity","MINORITY_NONCONTROLLING_INTEREST","FQ4 2022","FQ4 2022","Currency=USD","Period=FQ","BEST_FPERIOD_OVERRIDE=FQ","FILING_STATUS=MR","SCALING_FORMAT=MLN","Sort=A","Dates=H","DateFormat=P","Fill=—","Direction=H","UseDPDF=Y")</f>
        <v>0</v>
      </c>
      <c r="Q9" s="13">
        <f>_xll.BDH("NBIX US Equity","MINORITY_NONCONTROLLING_INTEREST","FQ1 2023","FQ1 2023","Currency=USD","Period=FQ","BEST_FPERIOD_OVERRIDE=FQ","FILING_STATUS=MR","SCALING_FORMAT=MLN","Sort=A","Dates=H","DateFormat=P","Fill=—","Direction=H","UseDPDF=Y")</f>
        <v>0</v>
      </c>
      <c r="R9" s="13">
        <f>_xll.BDH("NBIX US Equity","MINORITY_NONCONTROLLING_INTEREST","FQ2 2023","FQ2 2023","Currency=USD","Period=FQ","BEST_FPERIOD_OVERRIDE=FQ","FILING_STATUS=MR","SCALING_FORMAT=MLN","Sort=A","Dates=H","DateFormat=P","Fill=—","Direction=H","UseDPDF=Y")</f>
        <v>0</v>
      </c>
      <c r="S9" s="13">
        <f>_xll.BDH("NBIX US Equity","MINORITY_NONCONTROLLING_INTEREST","FQ3 2023","FQ3 2023","Currency=USD","Period=FQ","BEST_FPERIOD_OVERRIDE=FQ","FILING_STATUS=MR","SCALING_FORMAT=MLN","Sort=A","Dates=H","DateFormat=P","Fill=—","Direction=H","UseDPDF=Y")</f>
        <v>0</v>
      </c>
      <c r="T9" s="13">
        <f>_xll.BDH("NBIX US Equity","MINORITY_NONCONTROLLING_INTEREST","FQ4 2023","FQ4 2023","Currency=USD","Period=FQ","BEST_FPERIOD_OVERRIDE=FQ","FILING_STATUS=MR","SCALING_FORMAT=MLN","Sort=A","Dates=H","DateFormat=P","Fill=—","Direction=H","UseDPDF=Y")</f>
        <v>0</v>
      </c>
      <c r="U9" s="13">
        <f>_xll.BDH("NBIX US Equity","MINORITY_NONCONTROLLING_INTEREST","FQ1 2024","FQ1 2024","Currency=USD","Period=FQ","BEST_FPERIOD_OVERRIDE=FQ","FILING_STATUS=MR","SCALING_FORMAT=MLN","Sort=A","Dates=H","DateFormat=P","Fill=—","Direction=H","UseDPDF=Y")</f>
        <v>0</v>
      </c>
      <c r="V9" s="13">
        <f>_xll.BDH("NBIX US Equity","MINORITY_NONCONTROLLING_INTEREST","FQ2 2024","FQ2 2024","Currency=USD","Period=FQ","BEST_FPERIOD_OVERRIDE=FQ","FILING_STATUS=MR","SCALING_FORMAT=MLN","Sort=A","Dates=H","DateFormat=P","Fill=—","Direction=H","UseDPDF=Y")</f>
        <v>0</v>
      </c>
      <c r="W9" s="13">
        <f>_xll.BDH("NBIX US Equity","MINORITY_NONCONTROLLING_INTEREST","FQ3 2024","FQ3 2024","Currency=USD","Period=FQ","BEST_FPERIOD_OVERRIDE=FQ","FILING_STATUS=MR","SCALING_FORMAT=MLN","Sort=A","Dates=H","DateFormat=P","Fill=—","Direction=H","UseDPDF=Y")</f>
        <v>0</v>
      </c>
      <c r="X9" s="13">
        <f>_xll.BDH("NBIX US Equity","MINORITY_NONCONTROLLING_INTEREST","FQ4 2024","FQ4 2024","Currency=USD","Period=FQ","BEST_FPERIOD_OVERRIDE=FQ","FILING_STATUS=MR","SCALING_FORMAT=MLN","Sort=A","Dates=H","DateFormat=P","Fill=—","Direction=H","UseDPDF=Y")</f>
        <v>0</v>
      </c>
      <c r="Y9" s="16">
        <v>0</v>
      </c>
      <c r="Z9" s="13"/>
      <c r="AA9" s="13"/>
    </row>
    <row r="10" spans="1:27" x14ac:dyDescent="0.25">
      <c r="A10" s="10" t="s">
        <v>171</v>
      </c>
      <c r="B10" s="10" t="s">
        <v>296</v>
      </c>
      <c r="C10" s="13">
        <f>_xll.BDH("NBIX US Equity","TOT_DEBT_EX_OPERATING_LEA_LIABS","FQ3 2019","FQ3 2019","Currency=USD","Period=FQ","BEST_FPERIOD_OVERRIDE=FQ","FILING_STATUS=MR","SCALING_FORMAT=MLN","Sort=A","Dates=H","DateFormat=P","Fill=—","Direction=H","UseDPDF=Y")</f>
        <v>403.589</v>
      </c>
      <c r="D10" s="13">
        <f>_xll.BDH("NBIX US Equity","TOT_DEBT_EX_OPERATING_LEA_LIABS","FQ4 2019","FQ4 2019","Currency=USD","Period=FQ","BEST_FPERIOD_OVERRIDE=FQ","FILING_STATUS=MR","SCALING_FORMAT=MLN","Sort=A","Dates=H","DateFormat=P","Fill=—","Direction=H","UseDPDF=Y")</f>
        <v>408.8</v>
      </c>
      <c r="E10" s="13">
        <f>_xll.BDH("NBIX US Equity","TOT_DEBT_EX_OPERATING_LEA_LIABS","FQ1 2020","FQ1 2020","Currency=USD","Period=FQ","BEST_FPERIOD_OVERRIDE=FQ","FILING_STATUS=MR","SCALING_FORMAT=MLN","Sort=A","Dates=H","DateFormat=P","Fill=—","Direction=H","UseDPDF=Y")</f>
        <v>414.1</v>
      </c>
      <c r="F10" s="13">
        <f>_xll.BDH("NBIX US Equity","TOT_DEBT_EX_OPERATING_LEA_LIABS","FQ2 2020","FQ2 2020","Currency=USD","Period=FQ","BEST_FPERIOD_OVERRIDE=FQ","FILING_STATUS=MR","SCALING_FORMAT=MLN","Sort=A","Dates=H","DateFormat=P","Fill=—","Direction=H","UseDPDF=Y")</f>
        <v>419.5</v>
      </c>
      <c r="G10" s="13">
        <f>_xll.BDH("NBIX US Equity","TOT_DEBT_EX_OPERATING_LEA_LIABS","FQ3 2020","FQ3 2020","Currency=USD","Period=FQ","BEST_FPERIOD_OVERRIDE=FQ","FILING_STATUS=MR","SCALING_FORMAT=MLN","Sort=A","Dates=H","DateFormat=P","Fill=—","Direction=H","UseDPDF=Y")</f>
        <v>425</v>
      </c>
      <c r="H10" s="13">
        <f>_xll.BDH("NBIX US Equity","TOT_DEBT_EX_OPERATING_LEA_LIABS","FQ4 2020","FQ4 2020","Currency=USD","Period=FQ","BEST_FPERIOD_OVERRIDE=FQ","FILING_STATUS=MR","SCALING_FORMAT=MLN","Sort=A","Dates=H","DateFormat=P","Fill=—","Direction=H","UseDPDF=Y")</f>
        <v>317.89999999999998</v>
      </c>
      <c r="I10" s="13">
        <f>_xll.BDH("NBIX US Equity","TOT_DEBT_EX_OPERATING_LEA_LIABS","FQ1 2021","FQ1 2021","Currency=USD","Period=FQ","BEST_FPERIOD_OVERRIDE=FQ","FILING_STATUS=MR","SCALING_FORMAT=MLN","Sort=A","Dates=H","DateFormat=P","Fill=—","Direction=H","UseDPDF=Y")</f>
        <v>322</v>
      </c>
      <c r="J10" s="13">
        <f>_xll.BDH("NBIX US Equity","TOT_DEBT_EX_OPERATING_LEA_LIABS","FQ2 2021","FQ2 2021","Currency=USD","Period=FQ","BEST_FPERIOD_OVERRIDE=FQ","FILING_STATUS=MR","SCALING_FORMAT=MLN","Sort=A","Dates=H","DateFormat=P","Fill=—","Direction=H","UseDPDF=Y")</f>
        <v>326.3</v>
      </c>
      <c r="K10" s="13">
        <f>_xll.BDH("NBIX US Equity","TOT_DEBT_EX_OPERATING_LEA_LIABS","FQ3 2021","FQ3 2021","Currency=USD","Period=FQ","BEST_FPERIOD_OVERRIDE=FQ","FILING_STATUS=MR","SCALING_FORMAT=MLN","Sort=A","Dates=H","DateFormat=P","Fill=—","Direction=H","UseDPDF=Y")</f>
        <v>330.7</v>
      </c>
      <c r="L10" s="13">
        <f>_xll.BDH("NBIX US Equity","TOT_DEBT_EX_OPERATING_LEA_LIABS","FQ4 2021","FQ4 2021","Currency=USD","Period=FQ","BEST_FPERIOD_OVERRIDE=FQ","FILING_STATUS=MR","SCALING_FORMAT=MLN","Sort=A","Dates=H","DateFormat=P","Fill=—","Direction=H","UseDPDF=Y")</f>
        <v>335.1</v>
      </c>
      <c r="M10" s="13">
        <f>_xll.BDH("NBIX US Equity","TOT_DEBT_EX_OPERATING_LEA_LIABS","FQ1 2022","FQ1 2022","Currency=USD","Period=FQ","BEST_FPERIOD_OVERRIDE=FQ","FILING_STATUS=MR","SCALING_FORMAT=MLN","Sort=A","Dates=H","DateFormat=P","Fill=—","Direction=H","UseDPDF=Y")</f>
        <v>377.7</v>
      </c>
      <c r="N10" s="13">
        <f>_xll.BDH("NBIX US Equity","TOT_DEBT_EX_OPERATING_LEA_LIABS","FQ2 2022","FQ2 2022","Currency=USD","Period=FQ","BEST_FPERIOD_OVERRIDE=FQ","FILING_STATUS=MR","SCALING_FORMAT=MLN","Sort=A","Dates=H","DateFormat=P","Fill=—","Direction=H","UseDPDF=Y")</f>
        <v>169</v>
      </c>
      <c r="O10" s="13">
        <f>_xll.BDH("NBIX US Equity","TOT_DEBT_EX_OPERATING_LEA_LIABS","FQ3 2022","FQ3 2022","Currency=USD","Period=FQ","BEST_FPERIOD_OVERRIDE=FQ","FILING_STATUS=MR","SCALING_FORMAT=MLN","Sort=A","Dates=H","DateFormat=P","Fill=—","Direction=H","UseDPDF=Y")</f>
        <v>169.2</v>
      </c>
      <c r="P10" s="13">
        <f>_xll.BDH("NBIX US Equity","TOT_DEBT_EX_OPERATING_LEA_LIABS","FQ4 2022","FQ4 2022","Currency=USD","Period=FQ","BEST_FPERIOD_OVERRIDE=FQ","FILING_STATUS=MR","SCALING_FORMAT=MLN","Sort=A","Dates=H","DateFormat=P","Fill=—","Direction=H","UseDPDF=Y")</f>
        <v>169.4</v>
      </c>
      <c r="Q10" s="13">
        <f>_xll.BDH("NBIX US Equity","TOT_DEBT_EX_OPERATING_LEA_LIABS","FQ1 2023","FQ1 2023","Currency=USD","Period=FQ","BEST_FPERIOD_OVERRIDE=FQ","FILING_STATUS=MR","SCALING_FORMAT=MLN","Sort=A","Dates=H","DateFormat=P","Fill=—","Direction=H","UseDPDF=Y")</f>
        <v>169.5</v>
      </c>
      <c r="R10" s="13">
        <f>_xll.BDH("NBIX US Equity","TOT_DEBT_EX_OPERATING_LEA_LIABS","FQ2 2023","FQ2 2023","Currency=USD","Period=FQ","BEST_FPERIOD_OVERRIDE=FQ","FILING_STATUS=MR","SCALING_FORMAT=MLN","Sort=A","Dates=H","DateFormat=P","Fill=—","Direction=H","UseDPDF=Y")</f>
        <v>169.7</v>
      </c>
      <c r="S10" s="13">
        <f>_xll.BDH("NBIX US Equity","TOT_DEBT_EX_OPERATING_LEA_LIABS","FQ3 2023","FQ3 2023","Currency=USD","Period=FQ","BEST_FPERIOD_OVERRIDE=FQ","FILING_STATUS=MR","SCALING_FORMAT=MLN","Sort=A","Dates=H","DateFormat=P","Fill=—","Direction=H","UseDPDF=Y")</f>
        <v>169.9</v>
      </c>
      <c r="T10" s="13">
        <f>_xll.BDH("NBIX US Equity","TOT_DEBT_EX_OPERATING_LEA_LIABS","FQ4 2023","FQ4 2023","Currency=USD","Period=FQ","BEST_FPERIOD_OVERRIDE=FQ","FILING_STATUS=MR","SCALING_FORMAT=MLN","Sort=A","Dates=H","DateFormat=P","Fill=—","Direction=H","UseDPDF=Y")</f>
        <v>170.1</v>
      </c>
      <c r="U10" s="13">
        <f>_xll.BDH("NBIX US Equity","TOT_DEBT_EX_OPERATING_LEA_LIABS","FQ1 2024","FQ1 2024","Currency=USD","Period=FQ","BEST_FPERIOD_OVERRIDE=FQ","FILING_STATUS=MR","SCALING_FORMAT=MLN","Sort=A","Dates=H","DateFormat=P","Fill=—","Direction=H","UseDPDF=Y")</f>
        <v>122.8</v>
      </c>
      <c r="V10" s="13">
        <f>_xll.BDH("NBIX US Equity","TOT_DEBT_EX_OPERATING_LEA_LIABS","FQ2 2024","FQ2 2024","Currency=USD","Period=FQ","BEST_FPERIOD_OVERRIDE=FQ","FILING_STATUS=MR","SCALING_FORMAT=MLN","Sort=A","Dates=H","DateFormat=P","Fill=—","Direction=H","UseDPDF=Y")</f>
        <v>0</v>
      </c>
      <c r="W10" s="13">
        <f>_xll.BDH("NBIX US Equity","TOT_DEBT_EX_OPERATING_LEA_LIABS","FQ3 2024","FQ3 2024","Currency=USD","Period=FQ","BEST_FPERIOD_OVERRIDE=FQ","FILING_STATUS=MR","SCALING_FORMAT=MLN","Sort=A","Dates=H","DateFormat=P","Fill=—","Direction=H","UseDPDF=Y")</f>
        <v>0</v>
      </c>
      <c r="X10" s="13">
        <f>_xll.BDH("NBIX US Equity","TOT_DEBT_EX_OPERATING_LEA_LIABS","FQ4 2024","FQ4 2024","Currency=USD","Period=FQ","BEST_FPERIOD_OVERRIDE=FQ","FILING_STATUS=MR","SCALING_FORMAT=MLN","Sort=A","Dates=H","DateFormat=P","Fill=—","Direction=H","UseDPDF=Y")</f>
        <v>0</v>
      </c>
      <c r="Y10" s="16">
        <v>0</v>
      </c>
      <c r="Z10" s="13"/>
      <c r="AA10" s="13"/>
    </row>
    <row r="11" spans="1:27" x14ac:dyDescent="0.25">
      <c r="A11" s="10" t="s">
        <v>68</v>
      </c>
      <c r="B11" s="10" t="s">
        <v>297</v>
      </c>
      <c r="C11" s="13">
        <f>_xll.BDH("NBIX US Equity","EV_EX_OPERATING_LEASE_LIABS","FQ3 2019","FQ3 2019","Currency=USD","Period=FQ","BEST_FPERIOD_OVERRIDE=FQ","FILING_STATUS=MR","SCALING_FORMAT=MLN","Sort=A","Dates=H","DateFormat=P","Fill=—","Direction=H","UseDPDF=Y")</f>
        <v>8030.7557999999999</v>
      </c>
      <c r="D11" s="13">
        <f>_xll.BDH("NBIX US Equity","EV_EX_OPERATING_LEASE_LIABS","FQ4 2019","FQ4 2019","Currency=USD","Period=FQ","BEST_FPERIOD_OVERRIDE=FQ","FILING_STATUS=MR","SCALING_FORMAT=MLN","Sort=A","Dates=H","DateFormat=P","Fill=—","Direction=H","UseDPDF=Y")</f>
        <v>9659.6270000000004</v>
      </c>
      <c r="E11" s="13">
        <f>_xll.BDH("NBIX US Equity","EV_EX_OPERATING_LEASE_LIABS","FQ1 2020","FQ1 2020","Currency=USD","Period=FQ","BEST_FPERIOD_OVERRIDE=FQ","FILING_STATUS=MR","SCALING_FORMAT=MLN","Sort=A","Dates=H","DateFormat=P","Fill=—","Direction=H","UseDPDF=Y")</f>
        <v>7674.24</v>
      </c>
      <c r="F11" s="13">
        <f>_xll.BDH("NBIX US Equity","EV_EX_OPERATING_LEASE_LIABS","FQ2 2020","FQ2 2020","Currency=USD","Period=FQ","BEST_FPERIOD_OVERRIDE=FQ","FILING_STATUS=MR","SCALING_FORMAT=MLN","Sort=A","Dates=H","DateFormat=P","Fill=—","Direction=H","UseDPDF=Y")</f>
        <v>10841.6</v>
      </c>
      <c r="G11" s="13">
        <f>_xll.BDH("NBIX US Equity","EV_EX_OPERATING_LEASE_LIABS","FQ3 2020","FQ3 2020","Currency=USD","Period=FQ","BEST_FPERIOD_OVERRIDE=FQ","FILING_STATUS=MR","SCALING_FORMAT=MLN","Sort=A","Dates=H","DateFormat=P","Fill=—","Direction=H","UseDPDF=Y")</f>
        <v>8461.6440000000002</v>
      </c>
      <c r="H11" s="13">
        <f>_xll.BDH("NBIX US Equity","EV_EX_OPERATING_LEASE_LIABS","FQ4 2020","FQ4 2020","Currency=USD","Period=FQ","BEST_FPERIOD_OVERRIDE=FQ","FILING_STATUS=MR","SCALING_FORMAT=MLN","Sort=A","Dates=H","DateFormat=P","Fill=—","Direction=H","UseDPDF=Y")</f>
        <v>8478.875</v>
      </c>
      <c r="I11" s="13">
        <f>_xll.BDH("NBIX US Equity","EV_EX_OPERATING_LEASE_LIABS","FQ1 2021","FQ1 2021","Currency=USD","Period=FQ","BEST_FPERIOD_OVERRIDE=FQ","FILING_STATUS=MR","SCALING_FORMAT=MLN","Sort=A","Dates=H","DateFormat=P","Fill=—","Direction=H","UseDPDF=Y")</f>
        <v>8638.4249999999993</v>
      </c>
      <c r="J11" s="13">
        <f>_xll.BDH("NBIX US Equity","EV_EX_OPERATING_LEASE_LIABS","FQ2 2021","FQ2 2021","Currency=USD","Period=FQ","BEST_FPERIOD_OVERRIDE=FQ","FILING_STATUS=MR","SCALING_FORMAT=MLN","Sort=A","Dates=H","DateFormat=P","Fill=—","Direction=H","UseDPDF=Y")</f>
        <v>8647.8719999999994</v>
      </c>
      <c r="K11" s="13">
        <f>_xll.BDH("NBIX US Equity","EV_EX_OPERATING_LEASE_LIABS","FQ3 2021","FQ3 2021","Currency=USD","Period=FQ","BEST_FPERIOD_OVERRIDE=FQ","FILING_STATUS=MR","SCALING_FORMAT=MLN","Sort=A","Dates=H","DateFormat=P","Fill=—","Direction=H","UseDPDF=Y")</f>
        <v>8657.0679999999993</v>
      </c>
      <c r="L11" s="13">
        <f>_xll.BDH("NBIX US Equity","EV_EX_OPERATING_LEASE_LIABS","FQ4 2021","FQ4 2021","Currency=USD","Period=FQ","BEST_FPERIOD_OVERRIDE=FQ","FILING_STATUS=MR","SCALING_FORMAT=MLN","Sort=A","Dates=H","DateFormat=P","Fill=—","Direction=H","UseDPDF=Y")</f>
        <v>7706.433</v>
      </c>
      <c r="M11" s="13">
        <f>_xll.BDH("NBIX US Equity","EV_EX_OPERATING_LEASE_LIABS","FQ1 2022","FQ1 2022","Currency=USD","Period=FQ","BEST_FPERIOD_OVERRIDE=FQ","FILING_STATUS=MR","SCALING_FORMAT=MLN","Sort=A","Dates=H","DateFormat=P","Fill=—","Direction=H","UseDPDF=Y")</f>
        <v>8665.9249999999993</v>
      </c>
      <c r="N11" s="13">
        <f>_xll.BDH("NBIX US Equity","EV_EX_OPERATING_LEASE_LIABS","FQ2 2022","FQ2 2022","Currency=USD","Period=FQ","BEST_FPERIOD_OVERRIDE=FQ","FILING_STATUS=MR","SCALING_FORMAT=MLN","Sort=A","Dates=H","DateFormat=P","Fill=—","Direction=H","UseDPDF=Y")</f>
        <v>8839.7880000000005</v>
      </c>
      <c r="O11" s="13">
        <f>_xll.BDH("NBIX US Equity","EV_EX_OPERATING_LEASE_LIABS","FQ3 2022","FQ3 2022","Currency=USD","Period=FQ","BEST_FPERIOD_OVERRIDE=FQ","FILING_STATUS=MR","SCALING_FORMAT=MLN","Sort=A","Dates=H","DateFormat=P","Fill=—","Direction=H","UseDPDF=Y")</f>
        <v>9576.5810000000001</v>
      </c>
      <c r="P11" s="13">
        <f>_xll.BDH("NBIX US Equity","EV_EX_OPERATING_LEASE_LIABS","FQ4 2022","FQ4 2022","Currency=USD","Period=FQ","BEST_FPERIOD_OVERRIDE=FQ","FILING_STATUS=MR","SCALING_FORMAT=MLN","Sort=A","Dates=H","DateFormat=P","Fill=—","Direction=H","UseDPDF=Y")</f>
        <v>10706.06</v>
      </c>
      <c r="Q11" s="13">
        <f>_xll.BDH("NBIX US Equity","EV_EX_OPERATING_LEASE_LIABS","FQ1 2023","FQ1 2023","Currency=USD","Period=FQ","BEST_FPERIOD_OVERRIDE=FQ","FILING_STATUS=MR","SCALING_FORMAT=MLN","Sort=A","Dates=H","DateFormat=P","Fill=—","Direction=H","UseDPDF=Y")</f>
        <v>9143.85</v>
      </c>
      <c r="R11" s="13">
        <f>_xll.BDH("NBIX US Equity","EV_EX_OPERATING_LEASE_LIABS","FQ2 2023","FQ2 2023","Currency=USD","Period=FQ","BEST_FPERIOD_OVERRIDE=FQ","FILING_STATUS=MR","SCALING_FORMAT=MLN","Sort=A","Dates=H","DateFormat=P","Fill=—","Direction=H","UseDPDF=Y")</f>
        <v>8396.68</v>
      </c>
      <c r="S11" s="13">
        <f>_xll.BDH("NBIX US Equity","EV_EX_OPERATING_LEASE_LIABS","FQ3 2023","FQ3 2023","Currency=USD","Period=FQ","BEST_FPERIOD_OVERRIDE=FQ","FILING_STATUS=MR","SCALING_FORMAT=MLN","Sort=A","Dates=H","DateFormat=P","Fill=—","Direction=H","UseDPDF=Y")</f>
        <v>10122.299999999999</v>
      </c>
      <c r="T11" s="13">
        <f>_xll.BDH("NBIX US Equity","EV_EX_OPERATING_LEASE_LIABS","FQ4 2023","FQ4 2023","Currency=USD","Period=FQ","BEST_FPERIOD_OVERRIDE=FQ","FILING_STATUS=MR","SCALING_FORMAT=MLN","Sort=A","Dates=H","DateFormat=P","Fill=—","Direction=H","UseDPDF=Y")</f>
        <v>12143.212</v>
      </c>
      <c r="U11" s="13">
        <f>_xll.BDH("NBIX US Equity","EV_EX_OPERATING_LEASE_LIABS","FQ1 2024","FQ1 2024","Currency=USD","Period=FQ","BEST_FPERIOD_OVERRIDE=FQ","FILING_STATUS=MR","SCALING_FORMAT=MLN","Sort=A","Dates=H","DateFormat=P","Fill=—","Direction=H","UseDPDF=Y")</f>
        <v>12786.951999999999</v>
      </c>
      <c r="V11" s="13">
        <f>_xll.BDH("NBIX US Equity","EV_EX_OPERATING_LEASE_LIABS","FQ2 2024","FQ2 2024","Currency=USD","Period=FQ","BEST_FPERIOD_OVERRIDE=FQ","FILING_STATUS=MR","SCALING_FORMAT=MLN","Sort=A","Dates=H","DateFormat=P","Fill=—","Direction=H","UseDPDF=Y")</f>
        <v>12852.003000000001</v>
      </c>
      <c r="W11" s="13">
        <f>_xll.BDH("NBIX US Equity","EV_EX_OPERATING_LEASE_LIABS","FQ3 2024","FQ3 2024","Currency=USD","Period=FQ","BEST_FPERIOD_OVERRIDE=FQ","FILING_STATUS=MR","SCALING_FORMAT=MLN","Sort=A","Dates=H","DateFormat=P","Fill=—","Direction=H","UseDPDF=Y")</f>
        <v>10432.263999999999</v>
      </c>
      <c r="X11" s="13">
        <f>_xll.BDH("NBIX US Equity","EV_EX_OPERATING_LEASE_LIABS","FQ4 2024","FQ4 2024","Currency=USD","Period=FQ","BEST_FPERIOD_OVERRIDE=FQ","FILING_STATUS=MR","SCALING_FORMAT=MLN","Sort=A","Dates=H","DateFormat=P","Fill=—","Direction=H","UseDPDF=Y")</f>
        <v>12492</v>
      </c>
      <c r="Y11" s="16">
        <v>10196.38076262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5"/>
      <c r="Z12" s="12"/>
      <c r="AA12" s="12"/>
    </row>
    <row r="13" spans="1:27" x14ac:dyDescent="0.25">
      <c r="A13" s="10" t="s">
        <v>172</v>
      </c>
      <c r="B13" s="10" t="s">
        <v>298</v>
      </c>
      <c r="C13" s="13">
        <f>_xll.BDH("NBIX US Equity","TOT_CPTL_EX_OPERATING_LEA_LIABS","FQ3 2019","FQ3 2019","Currency=USD","Period=FQ","BEST_FPERIOD_OVERRIDE=FQ","FILING_STATUS=MR","SCALING_FORMAT=MLN","Sort=A","Dates=H","DateFormat=P","Fill=—","Direction=H","UseDPDF=Y")</f>
        <v>978.10400000000004</v>
      </c>
      <c r="D13" s="13">
        <f>_xll.BDH("NBIX US Equity","TOT_CPTL_EX_OPERATING_LEA_LIABS","FQ4 2019","FQ4 2019","Currency=USD","Period=FQ","BEST_FPERIOD_OVERRIDE=FQ","FILING_STATUS=MR","SCALING_FORMAT=MLN","Sort=A","Dates=H","DateFormat=P","Fill=—","Direction=H","UseDPDF=Y")</f>
        <v>1045.7</v>
      </c>
      <c r="E13" s="13">
        <f>_xll.BDH("NBIX US Equity","TOT_CPTL_EX_OPERATING_LEA_LIABS","FQ1 2020","FQ1 2020","Currency=USD","Period=FQ","BEST_FPERIOD_OVERRIDE=FQ","FILING_STATUS=MR","SCALING_FORMAT=MLN","Sort=A","Dates=H","DateFormat=P","Fill=—","Direction=H","UseDPDF=Y")</f>
        <v>1114.4000000000001</v>
      </c>
      <c r="F13" s="13">
        <f>_xll.BDH("NBIX US Equity","TOT_CPTL_EX_OPERATING_LEA_LIABS","FQ2 2020","FQ2 2020","Currency=USD","Period=FQ","BEST_FPERIOD_OVERRIDE=FQ","FILING_STATUS=MR","SCALING_FORMAT=MLN","Sort=A","Dates=H","DateFormat=P","Fill=—","Direction=H","UseDPDF=Y")</f>
        <v>1250.7</v>
      </c>
      <c r="G13" s="13">
        <f>_xll.BDH("NBIX US Equity","TOT_CPTL_EX_OPERATING_LEA_LIABS","FQ3 2020","FQ3 2020","Currency=USD","Period=FQ","BEST_FPERIOD_OVERRIDE=FQ","FILING_STATUS=MR","SCALING_FORMAT=MLN","Sort=A","Dates=H","DateFormat=P","Fill=—","Direction=H","UseDPDF=Y")</f>
        <v>1229.3</v>
      </c>
      <c r="H13" s="13">
        <f>_xll.BDH("NBIX US Equity","TOT_CPTL_EX_OPERATING_LEA_LIABS","FQ4 2020","FQ4 2020","Currency=USD","Period=FQ","BEST_FPERIOD_OVERRIDE=FQ","FILING_STATUS=MR","SCALING_FORMAT=MLN","Sort=A","Dates=H","DateFormat=P","Fill=—","Direction=H","UseDPDF=Y")</f>
        <v>1444.1</v>
      </c>
      <c r="I13" s="13">
        <f>_xll.BDH("NBIX US Equity","TOT_CPTL_EX_OPERATING_LEA_LIABS","FQ1 2021","FQ1 2021","Currency=USD","Period=FQ","BEST_FPERIOD_OVERRIDE=FQ","FILING_STATUS=MR","SCALING_FORMAT=MLN","Sort=A","Dates=H","DateFormat=P","Fill=—","Direction=H","UseDPDF=Y")</f>
        <v>1527.6</v>
      </c>
      <c r="J13" s="13">
        <f>_xll.BDH("NBIX US Equity","TOT_CPTL_EX_OPERATING_LEA_LIABS","FQ2 2021","FQ2 2021","Currency=USD","Period=FQ","BEST_FPERIOD_OVERRIDE=FQ","FILING_STATUS=MR","SCALING_FORMAT=MLN","Sort=A","Dates=H","DateFormat=P","Fill=—","Direction=H","UseDPDF=Y")</f>
        <v>1605.5</v>
      </c>
      <c r="K13" s="13">
        <f>_xll.BDH("NBIX US Equity","TOT_CPTL_EX_OPERATING_LEA_LIABS","FQ3 2021","FQ3 2021","Currency=USD","Period=FQ","BEST_FPERIOD_OVERRIDE=FQ","FILING_STATUS=MR","SCALING_FORMAT=MLN","Sort=A","Dates=H","DateFormat=P","Fill=—","Direction=H","UseDPDF=Y")</f>
        <v>1676.7</v>
      </c>
      <c r="L13" s="13">
        <f>_xll.BDH("NBIX US Equity","TOT_CPTL_EX_OPERATING_LEA_LIABS","FQ4 2021","FQ4 2021","Currency=USD","Period=FQ","BEST_FPERIOD_OVERRIDE=FQ","FILING_STATUS=MR","SCALING_FORMAT=MLN","Sort=A","Dates=H","DateFormat=P","Fill=—","Direction=H","UseDPDF=Y")</f>
        <v>1709.1</v>
      </c>
      <c r="M13" s="13">
        <f>_xll.BDH("NBIX US Equity","TOT_CPTL_EX_OPERATING_LEA_LIABS","FQ1 2022","FQ1 2022","Currency=USD","Period=FQ","BEST_FPERIOD_OVERRIDE=FQ","FILING_STATUS=MR","SCALING_FORMAT=MLN","Sort=A","Dates=H","DateFormat=P","Fill=—","Direction=H","UseDPDF=Y")</f>
        <v>1768.8</v>
      </c>
      <c r="N13" s="13">
        <f>_xll.BDH("NBIX US Equity","TOT_CPTL_EX_OPERATING_LEA_LIABS","FQ2 2022","FQ2 2022","Currency=USD","Period=FQ","BEST_FPERIOD_OVERRIDE=FQ","FILING_STATUS=MR","SCALING_FORMAT=MLN","Sort=A","Dates=H","DateFormat=P","Fill=—","Direction=H","UseDPDF=Y")</f>
        <v>1592.4</v>
      </c>
      <c r="O13" s="13">
        <f>_xll.BDH("NBIX US Equity","TOT_CPTL_EX_OPERATING_LEA_LIABS","FQ3 2022","FQ3 2022","Currency=USD","Period=FQ","BEST_FPERIOD_OVERRIDE=FQ","FILING_STATUS=MR","SCALING_FORMAT=MLN","Sort=A","Dates=H","DateFormat=P","Fill=—","Direction=H","UseDPDF=Y")</f>
        <v>1713.8</v>
      </c>
      <c r="P13" s="13">
        <f>_xll.BDH("NBIX US Equity","TOT_CPTL_EX_OPERATING_LEA_LIABS","FQ4 2022","FQ4 2022","Currency=USD","Period=FQ","BEST_FPERIOD_OVERRIDE=FQ","FILING_STATUS=MR","SCALING_FORMAT=MLN","Sort=A","Dates=H","DateFormat=P","Fill=—","Direction=H","UseDPDF=Y")</f>
        <v>1877.2</v>
      </c>
      <c r="Q13" s="13">
        <f>_xll.BDH("NBIX US Equity","TOT_CPTL_EX_OPERATING_LEA_LIABS","FQ1 2023","FQ1 2023","Currency=USD","Period=FQ","BEST_FPERIOD_OVERRIDE=FQ","FILING_STATUS=MR","SCALING_FORMAT=MLN","Sort=A","Dates=H","DateFormat=P","Fill=—","Direction=H","UseDPDF=Y")</f>
        <v>1854</v>
      </c>
      <c r="R13" s="13">
        <f>_xll.BDH("NBIX US Equity","TOT_CPTL_EX_OPERATING_LEA_LIABS","FQ2 2023","FQ2 2023","Currency=USD","Period=FQ","BEST_FPERIOD_OVERRIDE=FQ","FILING_STATUS=MR","SCALING_FORMAT=MLN","Sort=A","Dates=H","DateFormat=P","Fill=—","Direction=H","UseDPDF=Y")</f>
        <v>2022.7</v>
      </c>
      <c r="S13" s="13">
        <f>_xll.BDH("NBIX US Equity","TOT_CPTL_EX_OPERATING_LEA_LIABS","FQ3 2023","FQ3 2023","Currency=USD","Period=FQ","BEST_FPERIOD_OVERRIDE=FQ","FILING_STATUS=MR","SCALING_FORMAT=MLN","Sort=A","Dates=H","DateFormat=P","Fill=—","Direction=H","UseDPDF=Y")</f>
        <v>2172</v>
      </c>
      <c r="T13" s="13">
        <f>_xll.BDH("NBIX US Equity","TOT_CPTL_EX_OPERATING_LEA_LIABS","FQ4 2023","FQ4 2023","Currency=USD","Period=FQ","BEST_FPERIOD_OVERRIDE=FQ","FILING_STATUS=MR","SCALING_FORMAT=MLN","Sort=A","Dates=H","DateFormat=P","Fill=—","Direction=H","UseDPDF=Y")</f>
        <v>2402.1</v>
      </c>
      <c r="U13" s="13">
        <f>_xll.BDH("NBIX US Equity","TOT_CPTL_EX_OPERATING_LEA_LIABS","FQ1 2024","FQ1 2024","Currency=USD","Period=FQ","BEST_FPERIOD_OVERRIDE=FQ","FILING_STATUS=MR","SCALING_FORMAT=MLN","Sort=A","Dates=H","DateFormat=P","Fill=—","Direction=H","UseDPDF=Y")</f>
        <v>2508.9</v>
      </c>
      <c r="V13" s="13">
        <f>_xll.BDH("NBIX US Equity","TOT_CPTL_EX_OPERATING_LEA_LIABS","FQ2 2024","FQ2 2024","Currency=USD","Period=FQ","BEST_FPERIOD_OVERRIDE=FQ","FILING_STATUS=MR","SCALING_FORMAT=MLN","Sort=A","Dates=H","DateFormat=P","Fill=—","Direction=H","UseDPDF=Y")</f>
        <v>2509.1999999999998</v>
      </c>
      <c r="W13" s="13">
        <f>_xll.BDH("NBIX US Equity","TOT_CPTL_EX_OPERATING_LEA_LIABS","FQ3 2024","FQ3 2024","Currency=USD","Period=FQ","BEST_FPERIOD_OVERRIDE=FQ","FILING_STATUS=MR","SCALING_FORMAT=MLN","Sort=A","Dates=H","DateFormat=P","Fill=—","Direction=H","UseDPDF=Y")</f>
        <v>2718.9</v>
      </c>
      <c r="X13" s="13">
        <f>_xll.BDH("NBIX US Equity","TOT_CPTL_EX_OPERATING_LEA_LIABS","FQ4 2024","FQ4 2024","Currency=USD","Period=FQ","BEST_FPERIOD_OVERRIDE=FQ","FILING_STATUS=MR","SCALING_FORMAT=MLN","Sort=A","Dates=H","DateFormat=P","Fill=—","Direction=H","UseDPDF=Y")</f>
        <v>2589.6999999999998</v>
      </c>
      <c r="Y13" s="16">
        <v>2589.6999999999998</v>
      </c>
      <c r="Z13" s="13"/>
      <c r="AA13" s="13"/>
    </row>
    <row r="14" spans="1:27" x14ac:dyDescent="0.25">
      <c r="A14" s="10" t="s">
        <v>174</v>
      </c>
      <c r="B14" s="10" t="s">
        <v>299</v>
      </c>
      <c r="C14" s="14">
        <f>_xll.BDH("NBIX US Equity","TOT_DBT_TO_CPTL_EX_OP_LEA_LIABS","FQ3 2019","FQ3 2019","Currency=USD","Period=FQ","BEST_FPERIOD_OVERRIDE=FQ","FILING_STATUS=MR","Sort=A","Dates=H","DateFormat=P","Fill=—","Direction=H","UseDPDF=Y")</f>
        <v>41.2624</v>
      </c>
      <c r="D14" s="14">
        <f>_xll.BDH("NBIX US Equity","TOT_DBT_TO_CPTL_EX_OP_LEA_LIABS","FQ4 2019","FQ4 2019","Currency=USD","Period=FQ","BEST_FPERIOD_OVERRIDE=FQ","FILING_STATUS=MR","Sort=A","Dates=H","DateFormat=P","Fill=—","Direction=H","UseDPDF=Y")</f>
        <v>39.093400000000003</v>
      </c>
      <c r="E14" s="14">
        <f>_xll.BDH("NBIX US Equity","TOT_DBT_TO_CPTL_EX_OP_LEA_LIABS","FQ1 2020","FQ1 2020","Currency=USD","Period=FQ","BEST_FPERIOD_OVERRIDE=FQ","FILING_STATUS=MR","Sort=A","Dates=H","DateFormat=P","Fill=—","Direction=H","UseDPDF=Y")</f>
        <v>37.158999999999999</v>
      </c>
      <c r="F14" s="14">
        <f>_xll.BDH("NBIX US Equity","TOT_DBT_TO_CPTL_EX_OP_LEA_LIABS","FQ2 2020","FQ2 2020","Currency=USD","Period=FQ","BEST_FPERIOD_OVERRIDE=FQ","FILING_STATUS=MR","Sort=A","Dates=H","DateFormat=P","Fill=—","Direction=H","UseDPDF=Y")</f>
        <v>33.541200000000003</v>
      </c>
      <c r="G14" s="14">
        <f>_xll.BDH("NBIX US Equity","TOT_DBT_TO_CPTL_EX_OP_LEA_LIABS","FQ3 2020","FQ3 2020","Currency=USD","Period=FQ","BEST_FPERIOD_OVERRIDE=FQ","FILING_STATUS=MR","Sort=A","Dates=H","DateFormat=P","Fill=—","Direction=H","UseDPDF=Y")</f>
        <v>34.572499999999998</v>
      </c>
      <c r="H14" s="14">
        <f>_xll.BDH("NBIX US Equity","TOT_DBT_TO_CPTL_EX_OP_LEA_LIABS","FQ4 2020","FQ4 2020","Currency=USD","Period=FQ","BEST_FPERIOD_OVERRIDE=FQ","FILING_STATUS=MR","Sort=A","Dates=H","DateFormat=P","Fill=—","Direction=H","UseDPDF=Y")</f>
        <v>22.0137</v>
      </c>
      <c r="I14" s="14">
        <f>_xll.BDH("NBIX US Equity","TOT_DBT_TO_CPTL_EX_OP_LEA_LIABS","FQ1 2021","FQ1 2021","Currency=USD","Period=FQ","BEST_FPERIOD_OVERRIDE=FQ","FILING_STATUS=MR","Sort=A","Dates=H","DateFormat=P","Fill=—","Direction=H","UseDPDF=Y")</f>
        <v>21.078800000000001</v>
      </c>
      <c r="J14" s="14">
        <f>_xll.BDH("NBIX US Equity","TOT_DBT_TO_CPTL_EX_OP_LEA_LIABS","FQ2 2021","FQ2 2021","Currency=USD","Period=FQ","BEST_FPERIOD_OVERRIDE=FQ","FILING_STATUS=MR","Sort=A","Dates=H","DateFormat=P","Fill=—","Direction=H","UseDPDF=Y")</f>
        <v>20.323899999999998</v>
      </c>
      <c r="K14" s="14">
        <f>_xll.BDH("NBIX US Equity","TOT_DBT_TO_CPTL_EX_OP_LEA_LIABS","FQ3 2021","FQ3 2021","Currency=USD","Period=FQ","BEST_FPERIOD_OVERRIDE=FQ","FILING_STATUS=MR","Sort=A","Dates=H","DateFormat=P","Fill=—","Direction=H","UseDPDF=Y")</f>
        <v>19.723299999999998</v>
      </c>
      <c r="L14" s="14">
        <f>_xll.BDH("NBIX US Equity","TOT_DBT_TO_CPTL_EX_OP_LEA_LIABS","FQ4 2021","FQ4 2021","Currency=USD","Period=FQ","BEST_FPERIOD_OVERRIDE=FQ","FILING_STATUS=MR","Sort=A","Dates=H","DateFormat=P","Fill=—","Direction=H","UseDPDF=Y")</f>
        <v>19.6068</v>
      </c>
      <c r="M14" s="14">
        <f>_xll.BDH("NBIX US Equity","TOT_DBT_TO_CPTL_EX_OP_LEA_LIABS","FQ1 2022","FQ1 2022","Currency=USD","Period=FQ","BEST_FPERIOD_OVERRIDE=FQ","FILING_STATUS=MR","Sort=A","Dates=H","DateFormat=P","Fill=—","Direction=H","UseDPDF=Y")</f>
        <v>21.3535</v>
      </c>
      <c r="N14" s="14">
        <f>_xll.BDH("NBIX US Equity","TOT_DBT_TO_CPTL_EX_OP_LEA_LIABS","FQ2 2022","FQ2 2022","Currency=USD","Period=FQ","BEST_FPERIOD_OVERRIDE=FQ","FILING_STATUS=MR","Sort=A","Dates=H","DateFormat=P","Fill=—","Direction=H","UseDPDF=Y")</f>
        <v>10.6129</v>
      </c>
      <c r="O14" s="14">
        <f>_xll.BDH("NBIX US Equity","TOT_DBT_TO_CPTL_EX_OP_LEA_LIABS","FQ3 2022","FQ3 2022","Currency=USD","Period=FQ","BEST_FPERIOD_OVERRIDE=FQ","FILING_STATUS=MR","Sort=A","Dates=H","DateFormat=P","Fill=—","Direction=H","UseDPDF=Y")</f>
        <v>9.8727999999999998</v>
      </c>
      <c r="P14" s="14">
        <f>_xll.BDH("NBIX US Equity","TOT_DBT_TO_CPTL_EX_OP_LEA_LIABS","FQ4 2022","FQ4 2022","Currency=USD","Period=FQ","BEST_FPERIOD_OVERRIDE=FQ","FILING_STATUS=MR","Sort=A","Dates=H","DateFormat=P","Fill=—","Direction=H","UseDPDF=Y")</f>
        <v>9.0241000000000007</v>
      </c>
      <c r="Q14" s="14">
        <f>_xll.BDH("NBIX US Equity","TOT_DBT_TO_CPTL_EX_OP_LEA_LIABS","FQ1 2023","FQ1 2023","Currency=USD","Period=FQ","BEST_FPERIOD_OVERRIDE=FQ","FILING_STATUS=MR","Sort=A","Dates=H","DateFormat=P","Fill=—","Direction=H","UseDPDF=Y")</f>
        <v>9.1424000000000003</v>
      </c>
      <c r="R14" s="14">
        <f>_xll.BDH("NBIX US Equity","TOT_DBT_TO_CPTL_EX_OP_LEA_LIABS","FQ2 2023","FQ2 2023","Currency=USD","Period=FQ","BEST_FPERIOD_OVERRIDE=FQ","FILING_STATUS=MR","Sort=A","Dates=H","DateFormat=P","Fill=—","Direction=H","UseDPDF=Y")</f>
        <v>8.3897999999999993</v>
      </c>
      <c r="S14" s="14">
        <f>_xll.BDH("NBIX US Equity","TOT_DBT_TO_CPTL_EX_OP_LEA_LIABS","FQ3 2023","FQ3 2023","Currency=USD","Period=FQ","BEST_FPERIOD_OVERRIDE=FQ","FILING_STATUS=MR","Sort=A","Dates=H","DateFormat=P","Fill=—","Direction=H","UseDPDF=Y")</f>
        <v>7.8223000000000003</v>
      </c>
      <c r="T14" s="14">
        <f>_xll.BDH("NBIX US Equity","TOT_DBT_TO_CPTL_EX_OP_LEA_LIABS","FQ4 2023","FQ4 2023","Currency=USD","Period=FQ","BEST_FPERIOD_OVERRIDE=FQ","FILING_STATUS=MR","Sort=A","Dates=H","DateFormat=P","Fill=—","Direction=H","UseDPDF=Y")</f>
        <v>7.0812999999999997</v>
      </c>
      <c r="U14" s="14">
        <f>_xll.BDH("NBIX US Equity","TOT_DBT_TO_CPTL_EX_OP_LEA_LIABS","FQ1 2024","FQ1 2024","Currency=USD","Period=FQ","BEST_FPERIOD_OVERRIDE=FQ","FILING_STATUS=MR","Sort=A","Dates=H","DateFormat=P","Fill=—","Direction=H","UseDPDF=Y")</f>
        <v>4.8945999999999996</v>
      </c>
      <c r="V14" s="14">
        <f>_xll.BDH("NBIX US Equity","TOT_DBT_TO_CPTL_EX_OP_LEA_LIABS","FQ2 2024","FQ2 2024","Currency=USD","Period=FQ","BEST_FPERIOD_OVERRIDE=FQ","FILING_STATUS=MR","Sort=A","Dates=H","DateFormat=P","Fill=—","Direction=H","UseDPDF=Y")</f>
        <v>0</v>
      </c>
      <c r="W14" s="14">
        <f>_xll.BDH("NBIX US Equity","TOT_DBT_TO_CPTL_EX_OP_LEA_LIABS","FQ3 2024","FQ3 2024","Currency=USD","Period=FQ","BEST_FPERIOD_OVERRIDE=FQ","FILING_STATUS=MR","Sort=A","Dates=H","DateFormat=P","Fill=—","Direction=H","UseDPDF=Y")</f>
        <v>0</v>
      </c>
      <c r="X14" s="14">
        <f>_xll.BDH("NBIX US Equity","TOT_DBT_TO_CPTL_EX_OP_LEA_LIABS","FQ4 2024","FQ4 2024","Currency=USD","Period=FQ","BEST_FPERIOD_OVERRIDE=FQ","FILING_STATUS=MR","Sort=A","Dates=H","DateFormat=P","Fill=—","Direction=H","UseDPDF=Y")</f>
        <v>0</v>
      </c>
      <c r="Y14" s="17">
        <v>0</v>
      </c>
      <c r="Z14" s="14"/>
      <c r="AA14" s="14"/>
    </row>
    <row r="15" spans="1:27" x14ac:dyDescent="0.25">
      <c r="A15" s="10" t="s">
        <v>176</v>
      </c>
      <c r="B15" s="10" t="s">
        <v>300</v>
      </c>
      <c r="C15" s="14">
        <f>_xll.BDH("NBIX US Equity","TOT_DEBT_TO_EV_EX_OPER_LEA_LIABS","FQ3 2019","FQ3 2019","Currency=USD","Period=FQ","BEST_FPERIOD_OVERRIDE=FQ","FILING_STATUS=MR","Sort=A","Dates=H","DateFormat=P","Fill=—","Direction=H","UseDPDF=Y")</f>
        <v>5.0299999999999997E-2</v>
      </c>
      <c r="D15" s="14">
        <f>_xll.BDH("NBIX US Equity","TOT_DEBT_TO_EV_EX_OPER_LEA_LIABS","FQ4 2019","FQ4 2019","Currency=USD","Period=FQ","BEST_FPERIOD_OVERRIDE=FQ","FILING_STATUS=MR","Sort=A","Dates=H","DateFormat=P","Fill=—","Direction=H","UseDPDF=Y")</f>
        <v>4.2299999999999997E-2</v>
      </c>
      <c r="E15" s="14">
        <f>_xll.BDH("NBIX US Equity","TOT_DEBT_TO_EV_EX_OPER_LEA_LIABS","FQ1 2020","FQ1 2020","Currency=USD","Period=FQ","BEST_FPERIOD_OVERRIDE=FQ","FILING_STATUS=MR","Sort=A","Dates=H","DateFormat=P","Fill=—","Direction=H","UseDPDF=Y")</f>
        <v>5.3999999999999999E-2</v>
      </c>
      <c r="F15" s="14">
        <f>_xll.BDH("NBIX US Equity","TOT_DEBT_TO_EV_EX_OPER_LEA_LIABS","FQ2 2020","FQ2 2020","Currency=USD","Period=FQ","BEST_FPERIOD_OVERRIDE=FQ","FILING_STATUS=MR","Sort=A","Dates=H","DateFormat=P","Fill=—","Direction=H","UseDPDF=Y")</f>
        <v>3.8699999999999998E-2</v>
      </c>
      <c r="G15" s="14">
        <f>_xll.BDH("NBIX US Equity","TOT_DEBT_TO_EV_EX_OPER_LEA_LIABS","FQ3 2020","FQ3 2020","Currency=USD","Period=FQ","BEST_FPERIOD_OVERRIDE=FQ","FILING_STATUS=MR","Sort=A","Dates=H","DateFormat=P","Fill=—","Direction=H","UseDPDF=Y")</f>
        <v>5.0200000000000002E-2</v>
      </c>
      <c r="H15" s="14">
        <f>_xll.BDH("NBIX US Equity","TOT_DEBT_TO_EV_EX_OPER_LEA_LIABS","FQ4 2020","FQ4 2020","Currency=USD","Period=FQ","BEST_FPERIOD_OVERRIDE=FQ","FILING_STATUS=MR","Sort=A","Dates=H","DateFormat=P","Fill=—","Direction=H","UseDPDF=Y")</f>
        <v>3.7499999999999999E-2</v>
      </c>
      <c r="I15" s="14">
        <f>_xll.BDH("NBIX US Equity","TOT_DEBT_TO_EV_EX_OPER_LEA_LIABS","FQ1 2021","FQ1 2021","Currency=USD","Period=FQ","BEST_FPERIOD_OVERRIDE=FQ","FILING_STATUS=MR","Sort=A","Dates=H","DateFormat=P","Fill=—","Direction=H","UseDPDF=Y")</f>
        <v>3.73E-2</v>
      </c>
      <c r="J15" s="14">
        <f>_xll.BDH("NBIX US Equity","TOT_DEBT_TO_EV_EX_OPER_LEA_LIABS","FQ2 2021","FQ2 2021","Currency=USD","Period=FQ","BEST_FPERIOD_OVERRIDE=FQ","FILING_STATUS=MR","Sort=A","Dates=H","DateFormat=P","Fill=—","Direction=H","UseDPDF=Y")</f>
        <v>3.7699999999999997E-2</v>
      </c>
      <c r="K15" s="14">
        <f>_xll.BDH("NBIX US Equity","TOT_DEBT_TO_EV_EX_OPER_LEA_LIABS","FQ3 2021","FQ3 2021","Currency=USD","Period=FQ","BEST_FPERIOD_OVERRIDE=FQ","FILING_STATUS=MR","Sort=A","Dates=H","DateFormat=P","Fill=—","Direction=H","UseDPDF=Y")</f>
        <v>3.8199999999999998E-2</v>
      </c>
      <c r="L15" s="14">
        <f>_xll.BDH("NBIX US Equity","TOT_DEBT_TO_EV_EX_OPER_LEA_LIABS","FQ4 2021","FQ4 2021","Currency=USD","Period=FQ","BEST_FPERIOD_OVERRIDE=FQ","FILING_STATUS=MR","Sort=A","Dates=H","DateFormat=P","Fill=—","Direction=H","UseDPDF=Y")</f>
        <v>4.3499999999999997E-2</v>
      </c>
      <c r="M15" s="14">
        <f>_xll.BDH("NBIX US Equity","TOT_DEBT_TO_EV_EX_OPER_LEA_LIABS","FQ1 2022","FQ1 2022","Currency=USD","Period=FQ","BEST_FPERIOD_OVERRIDE=FQ","FILING_STATUS=MR","Sort=A","Dates=H","DateFormat=P","Fill=—","Direction=H","UseDPDF=Y")</f>
        <v>4.36E-2</v>
      </c>
      <c r="N15" s="14">
        <f>_xll.BDH("NBIX US Equity","TOT_DEBT_TO_EV_EX_OPER_LEA_LIABS","FQ2 2022","FQ2 2022","Currency=USD","Period=FQ","BEST_FPERIOD_OVERRIDE=FQ","FILING_STATUS=MR","Sort=A","Dates=H","DateFormat=P","Fill=—","Direction=H","UseDPDF=Y")</f>
        <v>1.9099999999999999E-2</v>
      </c>
      <c r="O15" s="14">
        <f>_xll.BDH("NBIX US Equity","TOT_DEBT_TO_EV_EX_OPER_LEA_LIABS","FQ3 2022","FQ3 2022","Currency=USD","Period=FQ","BEST_FPERIOD_OVERRIDE=FQ","FILING_STATUS=MR","Sort=A","Dates=H","DateFormat=P","Fill=—","Direction=H","UseDPDF=Y")</f>
        <v>1.77E-2</v>
      </c>
      <c r="P15" s="14">
        <f>_xll.BDH("NBIX US Equity","TOT_DEBT_TO_EV_EX_OPER_LEA_LIABS","FQ4 2022","FQ4 2022","Currency=USD","Period=FQ","BEST_FPERIOD_OVERRIDE=FQ","FILING_STATUS=MR","Sort=A","Dates=H","DateFormat=P","Fill=—","Direction=H","UseDPDF=Y")</f>
        <v>1.5800000000000002E-2</v>
      </c>
      <c r="Q15" s="14">
        <f>_xll.BDH("NBIX US Equity","TOT_DEBT_TO_EV_EX_OPER_LEA_LIABS","FQ1 2023","FQ1 2023","Currency=USD","Period=FQ","BEST_FPERIOD_OVERRIDE=FQ","FILING_STATUS=MR","Sort=A","Dates=H","DateFormat=P","Fill=—","Direction=H","UseDPDF=Y")</f>
        <v>1.8499999999999999E-2</v>
      </c>
      <c r="R15" s="14">
        <f>_xll.BDH("NBIX US Equity","TOT_DEBT_TO_EV_EX_OPER_LEA_LIABS","FQ2 2023","FQ2 2023","Currency=USD","Period=FQ","BEST_FPERIOD_OVERRIDE=FQ","FILING_STATUS=MR","Sort=A","Dates=H","DateFormat=P","Fill=—","Direction=H","UseDPDF=Y")</f>
        <v>2.0199999999999999E-2</v>
      </c>
      <c r="S15" s="14">
        <f>_xll.BDH("NBIX US Equity","TOT_DEBT_TO_EV_EX_OPER_LEA_LIABS","FQ3 2023","FQ3 2023","Currency=USD","Period=FQ","BEST_FPERIOD_OVERRIDE=FQ","FILING_STATUS=MR","Sort=A","Dates=H","DateFormat=P","Fill=—","Direction=H","UseDPDF=Y")</f>
        <v>1.6799999999999999E-2</v>
      </c>
      <c r="T15" s="14">
        <f>_xll.BDH("NBIX US Equity","TOT_DEBT_TO_EV_EX_OPER_LEA_LIABS","FQ4 2023","FQ4 2023","Currency=USD","Period=FQ","BEST_FPERIOD_OVERRIDE=FQ","FILING_STATUS=MR","Sort=A","Dates=H","DateFormat=P","Fill=—","Direction=H","UseDPDF=Y")</f>
        <v>1.4E-2</v>
      </c>
      <c r="U15" s="14">
        <f>_xll.BDH("NBIX US Equity","TOT_DEBT_TO_EV_EX_OPER_LEA_LIABS","FQ1 2024","FQ1 2024","Currency=USD","Period=FQ","BEST_FPERIOD_OVERRIDE=FQ","FILING_STATUS=MR","Sort=A","Dates=H","DateFormat=P","Fill=—","Direction=H","UseDPDF=Y")</f>
        <v>9.5999999999999992E-3</v>
      </c>
      <c r="V15" s="14">
        <f>_xll.BDH("NBIX US Equity","TOT_DEBT_TO_EV_EX_OPER_LEA_LIABS","FQ2 2024","FQ2 2024","Currency=USD","Period=FQ","BEST_FPERIOD_OVERRIDE=FQ","FILING_STATUS=MR","Sort=A","Dates=H","DateFormat=P","Fill=—","Direction=H","UseDPDF=Y")</f>
        <v>0</v>
      </c>
      <c r="W15" s="14">
        <f>_xll.BDH("NBIX US Equity","TOT_DEBT_TO_EV_EX_OPER_LEA_LIABS","FQ3 2024","FQ3 2024","Currency=USD","Period=FQ","BEST_FPERIOD_OVERRIDE=FQ","FILING_STATUS=MR","Sort=A","Dates=H","DateFormat=P","Fill=—","Direction=H","UseDPDF=Y")</f>
        <v>0</v>
      </c>
      <c r="X15" s="14">
        <f>_xll.BDH("NBIX US Equity","TOT_DEBT_TO_EV_EX_OPER_LEA_LIABS","FQ4 2024","FQ4 2024","Currency=USD","Period=FQ","BEST_FPERIOD_OVERRIDE=FQ","FILING_STATUS=MR","Sort=A","Dates=H","DateFormat=P","Fill=—","Direction=H","UseDPDF=Y")</f>
        <v>0</v>
      </c>
      <c r="Y15" s="17">
        <v>0</v>
      </c>
      <c r="Z15" s="14"/>
      <c r="AA15" s="14"/>
    </row>
    <row r="16" spans="1:27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5"/>
      <c r="Z16" s="12"/>
      <c r="AA16" s="12"/>
    </row>
    <row r="17" spans="1:27" x14ac:dyDescent="0.25">
      <c r="A17" s="10" t="s">
        <v>178</v>
      </c>
      <c r="B17" s="10" t="s">
        <v>301</v>
      </c>
      <c r="C17" s="14">
        <f>_xll.BDH("NBIX US Equity","EV_EX_OPER_LEA_LIABS_TO_SALES","FQ3 2019","FQ3 2019","Currency=USD","Period=FQ","BEST_FPERIOD_OVERRIDE=FQ","FILING_STATUS=MR","FA_ADJUSTED=GAAP","Sort=A","Dates=H","DateFormat=P","Fill=—","Direction=H","UseDPDF=Y")</f>
        <v>11.8874</v>
      </c>
      <c r="D17" s="14">
        <f>_xll.BDH("NBIX US Equity","EV_EX_OPER_LEA_LIABS_TO_SALES","FQ4 2019","FQ4 2019","Currency=USD","Period=FQ","BEST_FPERIOD_OVERRIDE=FQ","FILING_STATUS=MR","FA_ADJUSTED=GAAP","Sort=A","Dates=H","DateFormat=P","Fill=—","Direction=H","UseDPDF=Y")</f>
        <v>12.255699999999999</v>
      </c>
      <c r="E17" s="14">
        <f>_xll.BDH("NBIX US Equity","EV_EX_OPER_LEA_LIABS_TO_SALES","FQ1 2020","FQ1 2020","Currency=USD","Period=FQ","BEST_FPERIOD_OVERRIDE=FQ","FILING_STATUS=MR","FA_ADJUSTED=GAAP","Sort=A","Dates=H","DateFormat=P","Fill=—","Direction=H","UseDPDF=Y")</f>
        <v>8.6531000000000002</v>
      </c>
      <c r="F17" s="14">
        <f>_xll.BDH("NBIX US Equity","EV_EX_OPER_LEA_LIABS_TO_SALES","FQ2 2020","FQ2 2020","Currency=USD","Period=FQ","BEST_FPERIOD_OVERRIDE=FQ","FILING_STATUS=MR","FA_ADJUSTED=GAAP","Sort=A","Dates=H","DateFormat=P","Fill=—","Direction=H","UseDPDF=Y")</f>
        <v>10.780200000000001</v>
      </c>
      <c r="G17" s="14">
        <f>_xll.BDH("NBIX US Equity","EV_EX_OPER_LEA_LIABS_TO_SALES","FQ3 2020","FQ3 2020","Currency=USD","Period=FQ","BEST_FPERIOD_OVERRIDE=FQ","FILING_STATUS=MR","FA_ADJUSTED=GAAP","Sort=A","Dates=H","DateFormat=P","Fill=—","Direction=H","UseDPDF=Y")</f>
        <v>8.1197999999999997</v>
      </c>
      <c r="H17" s="14">
        <f>_xll.BDH("NBIX US Equity","EV_EX_OPER_LEA_LIABS_TO_SALES","FQ4 2020","FQ4 2020","Currency=USD","Period=FQ","BEST_FPERIOD_OVERRIDE=FQ","FILING_STATUS=MR","FA_ADJUSTED=GAAP","Sort=A","Dates=H","DateFormat=P","Fill=—","Direction=H","UseDPDF=Y")</f>
        <v>8.1067999999999998</v>
      </c>
      <c r="I17" s="14">
        <f>_xll.BDH("NBIX US Equity","EV_EX_OPER_LEA_LIABS_TO_SALES","FQ1 2021","FQ1 2021","Currency=USD","Period=FQ","BEST_FPERIOD_OVERRIDE=FQ","FILING_STATUS=MR","FA_ADJUSTED=GAAP","Sort=A","Dates=H","DateFormat=P","Fill=—","Direction=H","UseDPDF=Y")</f>
        <v>8.2632999999999992</v>
      </c>
      <c r="J17" s="14">
        <f>_xll.BDH("NBIX US Equity","EV_EX_OPER_LEA_LIABS_TO_SALES","FQ2 2021","FQ2 2021","Currency=USD","Period=FQ","BEST_FPERIOD_OVERRIDE=FQ","FILING_STATUS=MR","FA_ADJUSTED=GAAP","Sort=A","Dates=H","DateFormat=P","Fill=—","Direction=H","UseDPDF=Y")</f>
        <v>8.3804999999999996</v>
      </c>
      <c r="K17" s="14">
        <f>_xll.BDH("NBIX US Equity","EV_EX_OPER_LEA_LIABS_TO_SALES","FQ3 2021","FQ3 2021","Currency=USD","Period=FQ","BEST_FPERIOD_OVERRIDE=FQ","FILING_STATUS=MR","FA_ADJUSTED=GAAP","Sort=A","Dates=H","DateFormat=P","Fill=—","Direction=H","UseDPDF=Y")</f>
        <v>8.0952999999999999</v>
      </c>
      <c r="L17" s="14">
        <f>_xll.BDH("NBIX US Equity","EV_EX_OPER_LEA_LIABS_TO_SALES","FQ4 2021","FQ4 2021","Currency=USD","Period=FQ","BEST_FPERIOD_OVERRIDE=FQ","FILING_STATUS=MR","FA_ADJUSTED=GAAP","Sort=A","Dates=H","DateFormat=P","Fill=—","Direction=H","UseDPDF=Y")</f>
        <v>6.7988</v>
      </c>
      <c r="M17" s="14">
        <f>_xll.BDH("NBIX US Equity","EV_EX_OPER_LEA_LIABS_TO_SALES","FQ1 2022","FQ1 2022","Currency=USD","Period=FQ","BEST_FPERIOD_OVERRIDE=FQ","FILING_STATUS=MR","FA_ADJUSTED=GAAP","Sort=A","Dates=H","DateFormat=P","Fill=—","Direction=H","UseDPDF=Y")</f>
        <v>7.1767000000000003</v>
      </c>
      <c r="N17" s="14">
        <f>_xll.BDH("NBIX US Equity","EV_EX_OPER_LEA_LIABS_TO_SALES","FQ2 2022","FQ2 2022","Currency=USD","Period=FQ","BEST_FPERIOD_OVERRIDE=FQ","FILING_STATUS=MR","FA_ADJUSTED=GAAP","Sort=A","Dates=H","DateFormat=P","Fill=—","Direction=H","UseDPDF=Y")</f>
        <v>6.8166000000000002</v>
      </c>
      <c r="O17" s="14">
        <f>_xll.BDH("NBIX US Equity","EV_EX_OPER_LEA_LIABS_TO_SALES","FQ3 2022","FQ3 2022","Currency=USD","Period=FQ","BEST_FPERIOD_OVERRIDE=FQ","FILING_STATUS=MR","FA_ADJUSTED=GAAP","Sort=A","Dates=H","DateFormat=P","Fill=—","Direction=H","UseDPDF=Y")</f>
        <v>6.8960999999999997</v>
      </c>
      <c r="P17" s="14">
        <f>_xll.BDH("NBIX US Equity","EV_EX_OPER_LEA_LIABS_TO_SALES","FQ4 2022","FQ4 2022","Currency=USD","Period=FQ","BEST_FPERIOD_OVERRIDE=FQ","FILING_STATUS=MR","FA_ADJUSTED=GAAP","Sort=A","Dates=H","DateFormat=P","Fill=—","Direction=H","UseDPDF=Y")</f>
        <v>7.1914999999999996</v>
      </c>
      <c r="Q17" s="14">
        <f>_xll.BDH("NBIX US Equity","EV_EX_OPER_LEA_LIABS_TO_SALES","FQ1 2023","FQ1 2023","Currency=USD","Period=FQ","BEST_FPERIOD_OVERRIDE=FQ","FILING_STATUS=MR","FA_ADJUSTED=GAAP","Sort=A","Dates=H","DateFormat=P","Fill=—","Direction=H","UseDPDF=Y")</f>
        <v>5.7202999999999999</v>
      </c>
      <c r="R17" s="14">
        <f>_xll.BDH("NBIX US Equity","EV_EX_OPER_LEA_LIABS_TO_SALES","FQ2 2023","FQ2 2023","Currency=USD","Period=FQ","BEST_FPERIOD_OVERRIDE=FQ","FILING_STATUS=MR","FA_ADJUSTED=GAAP","Sort=A","Dates=H","DateFormat=P","Fill=—","Direction=H","UseDPDF=Y")</f>
        <v>5.0189000000000004</v>
      </c>
      <c r="S17" s="14">
        <f>_xll.BDH("NBIX US Equity","EV_EX_OPER_LEA_LIABS_TO_SALES","FQ3 2023","FQ3 2023","Currency=USD","Period=FQ","BEST_FPERIOD_OVERRIDE=FQ","FILING_STATUS=MR","FA_ADJUSTED=GAAP","Sort=A","Dates=H","DateFormat=P","Fill=—","Direction=H","UseDPDF=Y")</f>
        <v>5.6742999999999997</v>
      </c>
      <c r="T17" s="14">
        <f>_xll.BDH("NBIX US Equity","EV_EX_OPER_LEA_LIABS_TO_SALES","FQ4 2023","FQ4 2023","Currency=USD","Period=FQ","BEST_FPERIOD_OVERRIDE=FQ","FILING_STATUS=MR","FA_ADJUSTED=GAAP","Sort=A","Dates=H","DateFormat=P","Fill=—","Direction=H","UseDPDF=Y")</f>
        <v>6.4348999999999998</v>
      </c>
      <c r="U17" s="14">
        <f>_xll.BDH("NBIX US Equity","EV_EX_OPER_LEA_LIABS_TO_SALES","FQ1 2024","FQ1 2024","Currency=USD","Period=FQ","BEST_FPERIOD_OVERRIDE=FQ","FILING_STATUS=MR","FA_ADJUSTED=GAAP","Sort=A","Dates=H","DateFormat=P","Fill=—","Direction=H","UseDPDF=Y")</f>
        <v>6.4515000000000002</v>
      </c>
      <c r="V17" s="14">
        <f>_xll.BDH("NBIX US Equity","EV_EX_OPER_LEA_LIABS_TO_SALES","FQ2 2024","FQ2 2024","Currency=USD","Period=FQ","BEST_FPERIOD_OVERRIDE=FQ","FILING_STATUS=MR","FA_ADJUSTED=GAAP","Sort=A","Dates=H","DateFormat=P","Fill=—","Direction=H","UseDPDF=Y")</f>
        <v>6.0636999999999999</v>
      </c>
      <c r="W17" s="14">
        <f>_xll.BDH("NBIX US Equity","EV_EX_OPER_LEA_LIABS_TO_SALES","FQ3 2024","FQ3 2024","Currency=USD","Period=FQ","BEST_FPERIOD_OVERRIDE=FQ","FILING_STATUS=MR","FA_ADJUSTED=GAAP","Sort=A","Dates=H","DateFormat=P","Fill=—","Direction=H","UseDPDF=Y")</f>
        <v>4.6513999999999998</v>
      </c>
      <c r="X17" s="14">
        <f>_xll.BDH("NBIX US Equity","EV_EX_OPER_LEA_LIABS_TO_SALES","FQ4 2024","FQ4 2024","Currency=USD","Period=FQ","BEST_FPERIOD_OVERRIDE=FQ","FILING_STATUS=MR","FA_ADJUSTED=GAAP","Sort=A","Dates=H","DateFormat=P","Fill=—","Direction=H","UseDPDF=Y")</f>
        <v>5.3037999999999998</v>
      </c>
      <c r="Y17" s="17">
        <v>4.32912187942937</v>
      </c>
      <c r="Z17" s="14">
        <v>3.8242733130449902</v>
      </c>
      <c r="AA17" s="14">
        <v>3.6218346140187001</v>
      </c>
    </row>
    <row r="18" spans="1:27" x14ac:dyDescent="0.25">
      <c r="A18" s="10" t="s">
        <v>180</v>
      </c>
      <c r="B18" s="10" t="s">
        <v>302</v>
      </c>
      <c r="C18" s="14">
        <f>_xll.BDH("NBIX US Equity","EV_TO_EBITDA_EX_OPERATING_LEASE","FQ3 2019","FQ3 2019","Currency=USD","Period=FQ","BEST_FPERIOD_OVERRIDE=FQ","FILING_STATUS=MR","FA_ADJUSTED=GAAP","Sort=A","Dates=H","DateFormat=P","Fill=—","Direction=H","UseDPDF=Y")</f>
        <v>154.233</v>
      </c>
      <c r="D18" s="14">
        <f>_xll.BDH("NBIX US Equity","EV_TO_EBITDA_EX_OPERATING_LEASE","FQ4 2019","FQ4 2019","Currency=USD","Period=FQ","BEST_FPERIOD_OVERRIDE=FQ","FILING_STATUS=MR","FA_ADJUSTED=GAAP","Sort=A","Dates=H","DateFormat=P","Fill=—","Direction=H","UseDPDF=Y")</f>
        <v>121.1056</v>
      </c>
      <c r="E18" s="14">
        <f>_xll.BDH("NBIX US Equity","EV_TO_EBITDA_EX_OPERATING_LEASE","FQ1 2020","FQ1 2020","Currency=USD","Period=FQ","BEST_FPERIOD_OVERRIDE=FQ","FILING_STATUS=MR","FA_ADJUSTED=GAAP","Sort=A","Dates=H","DateFormat=P","Fill=—","Direction=H","UseDPDF=Y")</f>
        <v>31.950299999999999</v>
      </c>
      <c r="F18" s="14">
        <f>_xll.BDH("NBIX US Equity","EV_TO_EBITDA_EX_OPERATING_LEASE","FQ2 2020","FQ2 2020","Currency=USD","Period=FQ","BEST_FPERIOD_OVERRIDE=FQ","FILING_STATUS=MR","FA_ADJUSTED=GAAP","Sort=A","Dates=H","DateFormat=P","Fill=—","Direction=H","UseDPDF=Y")</f>
        <v>38.357500000000002</v>
      </c>
      <c r="G18" s="14">
        <f>_xll.BDH("NBIX US Equity","EV_TO_EBITDA_EX_OPERATING_LEASE","FQ3 2020","FQ3 2020","Currency=USD","Period=FQ","BEST_FPERIOD_OVERRIDE=FQ","FILING_STATUS=MR","FA_ADJUSTED=GAAP","Sort=A","Dates=H","DateFormat=P","Fill=—","Direction=H","UseDPDF=Y")</f>
        <v>57.004199999999997</v>
      </c>
      <c r="H18" s="14">
        <f>_xll.BDH("NBIX US Equity","EV_TO_EBITDA_EX_OPERATING_LEASE","FQ4 2020","FQ4 2020","Currency=USD","Period=FQ","BEST_FPERIOD_OVERRIDE=FQ","FILING_STATUS=MR","FA_ADJUSTED=GAAP","Sort=A","Dates=H","DateFormat=P","Fill=—","Direction=H","UseDPDF=Y")</f>
        <v>49.410699999999999</v>
      </c>
      <c r="I18" s="14">
        <f>_xll.BDH("NBIX US Equity","EV_TO_EBITDA_EX_OPERATING_LEASE","FQ1 2021","FQ1 2021","Currency=USD","Period=FQ","BEST_FPERIOD_OVERRIDE=FQ","FILING_STATUS=MR","FA_ADJUSTED=GAAP","Sort=A","Dates=H","DateFormat=P","Fill=—","Direction=H","UseDPDF=Y")</f>
        <v>59.740099999999998</v>
      </c>
      <c r="J18" s="14">
        <f>_xll.BDH("NBIX US Equity","EV_TO_EBITDA_EX_OPERATING_LEASE","FQ2 2021","FQ2 2021","Currency=USD","Period=FQ","BEST_FPERIOD_OVERRIDE=FQ","FILING_STATUS=MR","FA_ADJUSTED=GAAP","Sort=A","Dates=H","DateFormat=P","Fill=—","Direction=H","UseDPDF=Y")</f>
        <v>65.863500000000002</v>
      </c>
      <c r="K18" s="14">
        <f>_xll.BDH("NBIX US Equity","EV_TO_EBITDA_EX_OPERATING_LEASE","FQ3 2021","FQ3 2021","Currency=USD","Period=FQ","BEST_FPERIOD_OVERRIDE=FQ","FILING_STATUS=MR","FA_ADJUSTED=GAAP","Sort=A","Dates=H","DateFormat=P","Fill=—","Direction=H","UseDPDF=Y")</f>
        <v>39.225499999999997</v>
      </c>
      <c r="L18" s="14">
        <f>_xll.BDH("NBIX US Equity","EV_TO_EBITDA_EX_OPERATING_LEASE","FQ4 2021","FQ4 2021","Currency=USD","Period=FQ","BEST_FPERIOD_OVERRIDE=FQ","FILING_STATUS=MR","FA_ADJUSTED=GAAP","Sort=A","Dates=H","DateFormat=P","Fill=—","Direction=H","UseDPDF=Y")</f>
        <v>67.957999999999998</v>
      </c>
      <c r="M18" s="14">
        <f>_xll.BDH("NBIX US Equity","EV_TO_EBITDA_EX_OPERATING_LEASE","FQ1 2022","FQ1 2022","Currency=USD","Period=FQ","BEST_FPERIOD_OVERRIDE=FQ","FILING_STATUS=MR","FA_ADJUSTED=GAAP","Sort=A","Dates=H","DateFormat=P","Fill=—","Direction=H","UseDPDF=Y")</f>
        <v>101.00149999999999</v>
      </c>
      <c r="N18" s="14">
        <f>_xll.BDH("NBIX US Equity","EV_TO_EBITDA_EX_OPERATING_LEASE","FQ2 2022","FQ2 2022","Currency=USD","Period=FQ","BEST_FPERIOD_OVERRIDE=FQ","FILING_STATUS=MR","FA_ADJUSTED=GAAP","Sort=A","Dates=H","DateFormat=P","Fill=—","Direction=H","UseDPDF=Y")</f>
        <v>111.8961</v>
      </c>
      <c r="O18" s="14">
        <f>_xll.BDH("NBIX US Equity","EV_TO_EBITDA_EX_OPERATING_LEASE","FQ3 2022","FQ3 2022","Currency=USD","Period=FQ","BEST_FPERIOD_OVERRIDE=FQ","FILING_STATUS=MR","FA_ADJUSTED=GAAP","Sort=A","Dates=H","DateFormat=P","Fill=—","Direction=H","UseDPDF=Y")</f>
        <v>77.543199999999999</v>
      </c>
      <c r="P18" s="14">
        <f>_xll.BDH("NBIX US Equity","EV_TO_EBITDA_EX_OPERATING_LEASE","FQ4 2022","FQ4 2022","Currency=USD","Period=FQ","BEST_FPERIOD_OVERRIDE=FQ","FILING_STATUS=MR","FA_ADJUSTED=GAAP","Sort=A","Dates=H","DateFormat=P","Fill=—","Direction=H","UseDPDF=Y")</f>
        <v>40.461300000000001</v>
      </c>
      <c r="Q18" s="14">
        <f>_xll.BDH("NBIX US Equity","EV_TO_EBITDA_EX_OPERATING_LEASE","FQ1 2023","FQ1 2023","Currency=USD","Period=FQ","BEST_FPERIOD_OVERRIDE=FQ","FILING_STATUS=MR","FA_ADJUSTED=GAAP","Sort=A","Dates=H","DateFormat=P","Fill=—","Direction=H","UseDPDF=Y")</f>
        <v>61.368099999999998</v>
      </c>
      <c r="R18" s="14">
        <f>_xll.BDH("NBIX US Equity","EV_TO_EBITDA_EX_OPERATING_LEASE","FQ2 2023","FQ2 2023","Currency=USD","Period=FQ","BEST_FPERIOD_OVERRIDE=FQ","FILING_STATUS=MR","FA_ADJUSTED=GAAP","Sort=A","Dates=H","DateFormat=P","Fill=—","Direction=H","UseDPDF=Y")</f>
        <v>49.655099999999997</v>
      </c>
      <c r="S18" s="14">
        <f>_xll.BDH("NBIX US Equity","EV_TO_EBITDA_EX_OPERATING_LEASE","FQ3 2023","FQ3 2023","Currency=USD","Period=FQ","BEST_FPERIOD_OVERRIDE=FQ","FILING_STATUS=MR","FA_ADJUSTED=GAAP","Sort=A","Dates=H","DateFormat=P","Fill=—","Direction=H","UseDPDF=Y")</f>
        <v>45.188800000000001</v>
      </c>
      <c r="T18" s="14">
        <f>_xll.BDH("NBIX US Equity","EV_TO_EBITDA_EX_OPERATING_LEASE","FQ4 2023","FQ4 2023","Currency=USD","Period=FQ","BEST_FPERIOD_OVERRIDE=FQ","FILING_STATUS=MR","FA_ADJUSTED=GAAP","Sort=A","Dates=H","DateFormat=P","Fill=—","Direction=H","UseDPDF=Y")</f>
        <v>44.611400000000003</v>
      </c>
      <c r="U18" s="14">
        <f>_xll.BDH("NBIX US Equity","EV_TO_EBITDA_EX_OPERATING_LEASE","FQ1 2024","FQ1 2024","Currency=USD","Period=FQ","BEST_FPERIOD_OVERRIDE=FQ","FILING_STATUS=MR","FA_ADJUSTED=GAAP","Sort=A","Dates=H","DateFormat=P","Fill=—","Direction=H","UseDPDF=Y")</f>
        <v>26.262</v>
      </c>
      <c r="V18" s="14">
        <f>_xll.BDH("NBIX US Equity","EV_TO_EBITDA_EX_OPERATING_LEASE","FQ2 2024","FQ2 2024","Currency=USD","Period=FQ","BEST_FPERIOD_OVERRIDE=FQ","FILING_STATUS=MR","FA_ADJUSTED=GAAP","Sort=A","Dates=H","DateFormat=P","Fill=—","Direction=H","UseDPDF=Y")</f>
        <v>22.9132</v>
      </c>
      <c r="W18" s="14">
        <f>_xll.BDH("NBIX US Equity","EV_TO_EBITDA_EX_OPERATING_LEASE","FQ3 2024","FQ3 2024","Currency=USD","Period=FQ","BEST_FPERIOD_OVERRIDE=FQ","FILING_STATUS=MR","FA_ADJUSTED=GAAP","Sort=A","Dates=H","DateFormat=P","Fill=—","Direction=H","UseDPDF=Y")</f>
        <v>17.2577</v>
      </c>
      <c r="X18" s="14">
        <f>_xll.BDH("NBIX US Equity","EV_TO_EBITDA_EX_OPERATING_LEASE","FQ4 2024","FQ4 2024","Currency=USD","Period=FQ","BEST_FPERIOD_OVERRIDE=FQ","FILING_STATUS=MR","FA_ADJUSTED=GAAP","Sort=A","Dates=H","DateFormat=P","Fill=—","Direction=H","UseDPDF=Y")</f>
        <v>20.903600000000001</v>
      </c>
      <c r="Y18" s="17">
        <v>17.0622168049197</v>
      </c>
      <c r="Z18" s="14">
        <v>14.858265603612701</v>
      </c>
      <c r="AA18" s="14">
        <v>11.6184830932315</v>
      </c>
    </row>
    <row r="19" spans="1:27" x14ac:dyDescent="0.25">
      <c r="A19" s="10" t="s">
        <v>182</v>
      </c>
      <c r="B19" s="10" t="s">
        <v>303</v>
      </c>
      <c r="C19" s="14">
        <f>_xll.BDH("NBIX US Equity","EV_TO_EBIT_EX_OPERATING_LEASE","FQ3 2019","FQ3 2019","Currency=USD","Period=FQ","BEST_FPERIOD_OVERRIDE=FQ","FILING_STATUS=MR","FA_ADJUSTED=GAAP","Sort=A","Dates=H","DateFormat=P","Fill=—","Direction=H","UseDPDF=Y")</f>
        <v>176.7604</v>
      </c>
      <c r="D19" s="14">
        <f>_xll.BDH("NBIX US Equity","EV_TO_EBIT_EX_OPERATING_LEASE","FQ4 2019","FQ4 2019","Currency=USD","Period=FQ","BEST_FPERIOD_OVERRIDE=FQ","FILING_STATUS=MR","FA_ADJUSTED=GAAP","Sort=A","Dates=H","DateFormat=P","Fill=—","Direction=H","UseDPDF=Y")</f>
        <v>133.49029999999999</v>
      </c>
      <c r="E19" s="14">
        <f>_xll.BDH("NBIX US Equity","EV_TO_EBIT_EX_OPERATING_LEASE","FQ1 2020","FQ1 2020","Currency=USD","Period=FQ","BEST_FPERIOD_OVERRIDE=FQ","FILING_STATUS=MR","FA_ADJUSTED=GAAP","Sort=A","Dates=H","DateFormat=P","Fill=—","Direction=H","UseDPDF=Y")</f>
        <v>33.041699999999999</v>
      </c>
      <c r="F19" s="14">
        <f>_xll.BDH("NBIX US Equity","EV_TO_EBIT_EX_OPERATING_LEASE","FQ2 2020","FQ2 2020","Currency=USD","Period=FQ","BEST_FPERIOD_OVERRIDE=FQ","FILING_STATUS=MR","FA_ADJUSTED=GAAP","Sort=A","Dates=H","DateFormat=P","Fill=—","Direction=H","UseDPDF=Y")</f>
        <v>39.5105</v>
      </c>
      <c r="G19" s="14">
        <f>_xll.BDH("NBIX US Equity","EV_TO_EBIT_EX_OPERATING_LEASE","FQ3 2020","FQ3 2020","Currency=USD","Period=FQ","BEST_FPERIOD_OVERRIDE=FQ","FILING_STATUS=MR","FA_ADJUSTED=GAAP","Sort=A","Dates=H","DateFormat=P","Fill=—","Direction=H","UseDPDF=Y")</f>
        <v>60.440300000000001</v>
      </c>
      <c r="H19" s="14">
        <f>_xll.BDH("NBIX US Equity","EV_TO_EBIT_EX_OPERATING_LEASE","FQ4 2020","FQ4 2020","Currency=USD","Period=FQ","BEST_FPERIOD_OVERRIDE=FQ","FILING_STATUS=MR","FA_ADJUSTED=GAAP","Sort=A","Dates=H","DateFormat=P","Fill=—","Direction=H","UseDPDF=Y")</f>
        <v>52.017600000000002</v>
      </c>
      <c r="I19" s="14">
        <f>_xll.BDH("NBIX US Equity","EV_TO_EBIT_EX_OPERATING_LEASE","FQ1 2021","FQ1 2021","Currency=USD","Period=FQ","BEST_FPERIOD_OVERRIDE=FQ","FILING_STATUS=MR","FA_ADJUSTED=GAAP","Sort=A","Dates=H","DateFormat=P","Fill=—","Direction=H","UseDPDF=Y")</f>
        <v>63.705199999999998</v>
      </c>
      <c r="J19" s="14">
        <f>_xll.BDH("NBIX US Equity","EV_TO_EBIT_EX_OPERATING_LEASE","FQ2 2021","FQ2 2021","Currency=USD","Period=FQ","BEST_FPERIOD_OVERRIDE=FQ","FILING_STATUS=MR","FA_ADJUSTED=GAAP","Sort=A","Dates=H","DateFormat=P","Fill=—","Direction=H","UseDPDF=Y")</f>
        <v>71.000600000000006</v>
      </c>
      <c r="K19" s="14">
        <f>_xll.BDH("NBIX US Equity","EV_TO_EBIT_EX_OPERATING_LEASE","FQ3 2021","FQ3 2021","Currency=USD","Period=FQ","BEST_FPERIOD_OVERRIDE=FQ","FILING_STATUS=MR","FA_ADJUSTED=GAAP","Sort=A","Dates=H","DateFormat=P","Fill=—","Direction=H","UseDPDF=Y")</f>
        <v>41.106699999999996</v>
      </c>
      <c r="L19" s="14">
        <f>_xll.BDH("NBIX US Equity","EV_TO_EBIT_EX_OPERATING_LEASE","FQ4 2021","FQ4 2021","Currency=USD","Period=FQ","BEST_FPERIOD_OVERRIDE=FQ","FILING_STATUS=MR","FA_ADJUSTED=GAAP","Sort=A","Dates=H","DateFormat=P","Fill=—","Direction=H","UseDPDF=Y")</f>
        <v>75.184700000000007</v>
      </c>
      <c r="M19" s="14">
        <f>_xll.BDH("NBIX US Equity","EV_TO_EBIT_EX_OPERATING_LEASE","FQ1 2022","FQ1 2022","Currency=USD","Period=FQ","BEST_FPERIOD_OVERRIDE=FQ","FILING_STATUS=MR","FA_ADJUSTED=GAAP","Sort=A","Dates=H","DateFormat=P","Fill=—","Direction=H","UseDPDF=Y")</f>
        <v>116.9491</v>
      </c>
      <c r="N19" s="14">
        <f>_xll.BDH("NBIX US Equity","EV_TO_EBIT_EX_OPERATING_LEASE","FQ2 2022","FQ2 2022","Currency=USD","Period=FQ","BEST_FPERIOD_OVERRIDE=FQ","FILING_STATUS=MR","FA_ADJUSTED=GAAP","Sort=A","Dates=H","DateFormat=P","Fill=—","Direction=H","UseDPDF=Y")</f>
        <v>133.93620000000001</v>
      </c>
      <c r="O19" s="14">
        <f>_xll.BDH("NBIX US Equity","EV_TO_EBIT_EX_OPERATING_LEASE","FQ3 2022","FQ3 2022","Currency=USD","Period=FQ","BEST_FPERIOD_OVERRIDE=FQ","FILING_STATUS=MR","FA_ADJUSTED=GAAP","Sort=A","Dates=H","DateFormat=P","Fill=—","Direction=H","UseDPDF=Y")</f>
        <v>87.617400000000004</v>
      </c>
      <c r="P19" s="14">
        <f>_xll.BDH("NBIX US Equity","EV_TO_EBIT_EX_OPERATING_LEASE","FQ4 2022","FQ4 2022","Currency=USD","Period=FQ","BEST_FPERIOD_OVERRIDE=FQ","FILING_STATUS=MR","FA_ADJUSTED=GAAP","Sort=A","Dates=H","DateFormat=P","Fill=—","Direction=H","UseDPDF=Y")</f>
        <v>42.996200000000002</v>
      </c>
      <c r="Q19" s="14">
        <f>_xll.BDH("NBIX US Equity","EV_TO_EBIT_EX_OPERATING_LEASE","FQ1 2023","FQ1 2023","Currency=USD","Period=FQ","BEST_FPERIOD_OVERRIDE=FQ","FILING_STATUS=MR","FA_ADJUSTED=GAAP","Sort=A","Dates=H","DateFormat=P","Fill=—","Direction=H","UseDPDF=Y")</f>
        <v>69.429400000000001</v>
      </c>
      <c r="R19" s="14">
        <f>_xll.BDH("NBIX US Equity","EV_TO_EBIT_EX_OPERATING_LEASE","FQ2 2023","FQ2 2023","Currency=USD","Period=FQ","BEST_FPERIOD_OVERRIDE=FQ","FILING_STATUS=MR","FA_ADJUSTED=GAAP","Sort=A","Dates=H","DateFormat=P","Fill=—","Direction=H","UseDPDF=Y")</f>
        <v>55.754800000000003</v>
      </c>
      <c r="S19" s="14">
        <f>_xll.BDH("NBIX US Equity","EV_TO_EBIT_EX_OPERATING_LEASE","FQ3 2023","FQ3 2023","Currency=USD","Period=FQ","BEST_FPERIOD_OVERRIDE=FQ","FILING_STATUS=MR","FA_ADJUSTED=GAAP","Sort=A","Dates=H","DateFormat=P","Fill=—","Direction=H","UseDPDF=Y")</f>
        <v>49.619100000000003</v>
      </c>
      <c r="T19" s="14">
        <f>_xll.BDH("NBIX US Equity","EV_TO_EBIT_EX_OPERATING_LEASE","FQ4 2023","FQ4 2023","Currency=USD","Period=FQ","BEST_FPERIOD_OVERRIDE=FQ","FILING_STATUS=MR","FA_ADJUSTED=GAAP","Sort=A","Dates=H","DateFormat=P","Fill=—","Direction=H","UseDPDF=Y")</f>
        <v>48.398600000000002</v>
      </c>
      <c r="U19" s="14">
        <f>_xll.BDH("NBIX US Equity","EV_TO_EBIT_EX_OPERATING_LEASE","FQ1 2024","FQ1 2024","Currency=USD","Period=FQ","BEST_FPERIOD_OVERRIDE=FQ","FILING_STATUS=MR","FA_ADJUSTED=GAAP","Sort=A","Dates=H","DateFormat=P","Fill=—","Direction=H","UseDPDF=Y")</f>
        <v>27.534300000000002</v>
      </c>
      <c r="V19" s="14">
        <f>_xll.BDH("NBIX US Equity","EV_TO_EBIT_EX_OPERATING_LEASE","FQ2 2024","FQ2 2024","Currency=USD","Period=FQ","BEST_FPERIOD_OVERRIDE=FQ","FILING_STATUS=MR","FA_ADJUSTED=GAAP","Sort=A","Dates=H","DateFormat=P","Fill=—","Direction=H","UseDPDF=Y")</f>
        <v>23.968699999999998</v>
      </c>
      <c r="W19" s="14">
        <f>_xll.BDH("NBIX US Equity","EV_TO_EBIT_EX_OPERATING_LEASE","FQ3 2024","FQ3 2024","Currency=USD","Period=FQ","BEST_FPERIOD_OVERRIDE=FQ","FILING_STATUS=MR","FA_ADJUSTED=GAAP","Sort=A","Dates=H","DateFormat=P","Fill=—","Direction=H","UseDPDF=Y")</f>
        <v>18.024000000000001</v>
      </c>
      <c r="X19" s="14">
        <f>_xll.BDH("NBIX US Equity","EV_TO_EBIT_EX_OPERATING_LEASE","FQ4 2024","FQ4 2024","Currency=USD","Period=FQ","BEST_FPERIOD_OVERRIDE=FQ","FILING_STATUS=MR","FA_ADJUSTED=GAAP","Sort=A","Dates=H","DateFormat=P","Fill=—","Direction=H","UseDPDF=Y")</f>
        <v>21.896599999999999</v>
      </c>
      <c r="Y19" s="17">
        <v>17.872709487502199</v>
      </c>
      <c r="Z19" s="14">
        <v>18.267518430979798</v>
      </c>
      <c r="AA19" s="14">
        <v>15.782087724792699</v>
      </c>
    </row>
    <row r="20" spans="1:27" x14ac:dyDescent="0.25">
      <c r="A20" s="10" t="s">
        <v>184</v>
      </c>
      <c r="B20" s="10" t="s">
        <v>304</v>
      </c>
      <c r="C20" s="14">
        <f>_xll.BDH("NBIX US Equity","EV_EX_OP_LEA_LIABS_TO_CF_TO_FIRM","FQ3 2019","FQ3 2019","Currency=USD","Period=FQ","BEST_FPERIOD_OVERRIDE=FQ","FILING_STATUS=MR","FA_ADJUSTED=GAAP","Sort=A","Dates=H","DateFormat=P","Fill=—","Direction=H","UseDPDF=Y")</f>
        <v>64.296899999999994</v>
      </c>
      <c r="D20" s="14">
        <f>_xll.BDH("NBIX US Equity","EV_EX_OP_LEA_LIABS_TO_CF_TO_FIRM","FQ4 2019","FQ4 2019","Currency=USD","Period=FQ","BEST_FPERIOD_OVERRIDE=FQ","FILING_STATUS=MR","FA_ADJUSTED=GAAP","Sort=A","Dates=H","DateFormat=P","Fill=—","Direction=H","UseDPDF=Y")</f>
        <v>55.999600000000001</v>
      </c>
      <c r="E20" s="14">
        <f>_xll.BDH("NBIX US Equity","EV_EX_OP_LEA_LIABS_TO_CF_TO_FIRM","FQ1 2020","FQ1 2020","Currency=USD","Period=FQ","BEST_FPERIOD_OVERRIDE=FQ","FILING_STATUS=MR","FA_ADJUSTED=GAAP","Sort=A","Dates=H","DateFormat=P","Fill=—","Direction=H","UseDPDF=Y")</f>
        <v>23.584399999999999</v>
      </c>
      <c r="F20" s="14">
        <f>_xll.BDH("NBIX US Equity","EV_EX_OP_LEA_LIABS_TO_CF_TO_FIRM","FQ2 2020","FQ2 2020","Currency=USD","Period=FQ","BEST_FPERIOD_OVERRIDE=FQ","FILING_STATUS=MR","FA_ADJUSTED=GAAP","Sort=A","Dates=H","DateFormat=P","Fill=—","Direction=H","UseDPDF=Y")</f>
        <v>28.5062</v>
      </c>
      <c r="G20" s="14">
        <f>_xll.BDH("NBIX US Equity","EV_EX_OP_LEA_LIABS_TO_CF_TO_FIRM","FQ3 2020","FQ3 2020","Currency=USD","Period=FQ","BEST_FPERIOD_OVERRIDE=FQ","FILING_STATUS=MR","FA_ADJUSTED=GAAP","Sort=A","Dates=H","DateFormat=P","Fill=—","Direction=H","UseDPDF=Y")</f>
        <v>32.366700000000002</v>
      </c>
      <c r="H20" s="14" t="str">
        <f>_xll.BDH("NBIX US Equity","EV_EX_OP_LEA_LIABS_TO_CF_TO_FIRM","FQ4 2020","FQ4 2020","Currency=USD","Period=FQ","BEST_FPERIOD_OVERRIDE=FQ","FILING_STATUS=MR","FA_ADJUSTED=GAAP","Sort=A","Dates=H","DateFormat=P","Fill=—","Direction=H","UseDPDF=Y")</f>
        <v>—</v>
      </c>
      <c r="I20" s="14" t="str">
        <f>_xll.BDH("NBIX US Equity","EV_EX_OP_LEA_LIABS_TO_CF_TO_FIRM","FQ1 2021","FQ1 2021","Currency=USD","Period=FQ","BEST_FPERIOD_OVERRIDE=FQ","FILING_STATUS=MR","FA_ADJUSTED=GAAP","Sort=A","Dates=H","DateFormat=P","Fill=—","Direction=H","UseDPDF=Y")</f>
        <v>—</v>
      </c>
      <c r="J20" s="14" t="str">
        <f>_xll.BDH("NBIX US Equity","EV_EX_OP_LEA_LIABS_TO_CF_TO_FIRM","FQ2 2021","FQ2 2021","Currency=USD","Period=FQ","BEST_FPERIOD_OVERRIDE=FQ","FILING_STATUS=MR","FA_ADJUSTED=GAAP","Sort=A","Dates=H","DateFormat=P","Fill=—","Direction=H","UseDPDF=Y")</f>
        <v>—</v>
      </c>
      <c r="K20" s="14" t="str">
        <f>_xll.BDH("NBIX US Equity","EV_EX_OP_LEA_LIABS_TO_CF_TO_FIRM","FQ3 2021","FQ3 2021","Currency=USD","Period=FQ","BEST_FPERIOD_OVERRIDE=FQ","FILING_STATUS=MR","FA_ADJUSTED=GAAP","Sort=A","Dates=H","DateFormat=P","Fill=—","Direction=H","UseDPDF=Y")</f>
        <v>—</v>
      </c>
      <c r="L20" s="14">
        <f>_xll.BDH("NBIX US Equity","EV_EX_OP_LEA_LIABS_TO_CF_TO_FIRM","FQ4 2021","FQ4 2021","Currency=USD","Period=FQ","BEST_FPERIOD_OVERRIDE=FQ","FILING_STATUS=MR","FA_ADJUSTED=GAAP","Sort=A","Dates=H","DateFormat=P","Fill=—","Direction=H","UseDPDF=Y")</f>
        <v>27.592199999999998</v>
      </c>
      <c r="M20" s="14">
        <f>_xll.BDH("NBIX US Equity","EV_EX_OP_LEA_LIABS_TO_CF_TO_FIRM","FQ1 2022","FQ1 2022","Currency=USD","Period=FQ","BEST_FPERIOD_OVERRIDE=FQ","FILING_STATUS=MR","FA_ADJUSTED=GAAP","Sort=A","Dates=H","DateFormat=P","Fill=—","Direction=H","UseDPDF=Y")</f>
        <v>59.711100000000002</v>
      </c>
      <c r="N20" s="14">
        <f>_xll.BDH("NBIX US Equity","EV_EX_OP_LEA_LIABS_TO_CF_TO_FIRM","FQ2 2022","FQ2 2022","Currency=USD","Period=FQ","BEST_FPERIOD_OVERRIDE=FQ","FILING_STATUS=MR","FA_ADJUSTED=GAAP","Sort=A","Dates=H","DateFormat=P","Fill=—","Direction=H","UseDPDF=Y")</f>
        <v>49.539900000000003</v>
      </c>
      <c r="O20" s="14">
        <f>_xll.BDH("NBIX US Equity","EV_EX_OP_LEA_LIABS_TO_CF_TO_FIRM","FQ3 2022","FQ3 2022","Currency=USD","Period=FQ","BEST_FPERIOD_OVERRIDE=FQ","FILING_STATUS=MR","FA_ADJUSTED=GAAP","Sort=A","Dates=H","DateFormat=P","Fill=—","Direction=H","UseDPDF=Y")</f>
        <v>45.707000000000001</v>
      </c>
      <c r="P20" s="14">
        <f>_xll.BDH("NBIX US Equity","EV_EX_OP_LEA_LIABS_TO_CF_TO_FIRM","FQ4 2022","FQ4 2022","Currency=USD","Period=FQ","BEST_FPERIOD_OVERRIDE=FQ","FILING_STATUS=MR","FA_ADJUSTED=GAAP","Sort=A","Dates=H","DateFormat=P","Fill=—","Direction=H","UseDPDF=Y")</f>
        <v>31.0745</v>
      </c>
      <c r="Q20" s="14">
        <f>_xll.BDH("NBIX US Equity","EV_EX_OP_LEA_LIABS_TO_CF_TO_FIRM","FQ1 2023","FQ1 2023","Currency=USD","Period=FQ","BEST_FPERIOD_OVERRIDE=FQ","FILING_STATUS=MR","FA_ADJUSTED=GAAP","Sort=A","Dates=H","DateFormat=P","Fill=—","Direction=H","UseDPDF=Y")</f>
        <v>35.3429</v>
      </c>
      <c r="R20" s="14">
        <f>_xll.BDH("NBIX US Equity","EV_EX_OP_LEA_LIABS_TO_CF_TO_FIRM","FQ2 2023","FQ2 2023","Currency=USD","Period=FQ","BEST_FPERIOD_OVERRIDE=FQ","FILING_STATUS=MR","FA_ADJUSTED=GAAP","Sort=A","Dates=H","DateFormat=P","Fill=—","Direction=H","UseDPDF=Y")</f>
        <v>28.013100000000001</v>
      </c>
      <c r="S20" s="14">
        <f>_xll.BDH("NBIX US Equity","EV_EX_OP_LEA_LIABS_TO_CF_TO_FIRM","FQ3 2023","FQ3 2023","Currency=USD","Period=FQ","BEST_FPERIOD_OVERRIDE=FQ","FILING_STATUS=MR","FA_ADJUSTED=GAAP","Sort=A","Dates=H","DateFormat=P","Fill=—","Direction=H","UseDPDF=Y")</f>
        <v>24.515799999999999</v>
      </c>
      <c r="T20" s="14">
        <f>_xll.BDH("NBIX US Equity","EV_EX_OP_LEA_LIABS_TO_CF_TO_FIRM","FQ4 2023","FQ4 2023","Currency=USD","Period=FQ","BEST_FPERIOD_OVERRIDE=FQ","FILING_STATUS=MR","FA_ADJUSTED=GAAP","Sort=A","Dates=H","DateFormat=P","Fill=—","Direction=H","UseDPDF=Y")</f>
        <v>30.8706</v>
      </c>
      <c r="U20" s="14">
        <f>_xll.BDH("NBIX US Equity","EV_EX_OP_LEA_LIABS_TO_CF_TO_FIRM","FQ1 2024","FQ1 2024","Currency=USD","Period=FQ","BEST_FPERIOD_OVERRIDE=FQ","FILING_STATUS=MR","FA_ADJUSTED=GAAP","Sort=A","Dates=H","DateFormat=P","Fill=—","Direction=H","UseDPDF=Y")</f>
        <v>19.702000000000002</v>
      </c>
      <c r="V20" s="14" t="str">
        <f>_xll.BDH("NBIX US Equity","EV_EX_OP_LEA_LIABS_TO_CF_TO_FIRM","FQ2 2024","FQ2 2024","Currency=USD","Period=FQ","BEST_FPERIOD_OVERRIDE=FQ","FILING_STATUS=MR","FA_ADJUSTED=GAAP","Sort=A","Dates=H","DateFormat=P","Fill=—","Direction=H","UseDPDF=Y")</f>
        <v>—</v>
      </c>
      <c r="W20" s="14" t="str">
        <f>_xll.BDH("NBIX US Equity","EV_EX_OP_LEA_LIABS_TO_CF_TO_FIRM","FQ3 2024","FQ3 2024","Currency=USD","Period=FQ","BEST_FPERIOD_OVERRIDE=FQ","FILING_STATUS=MR","FA_ADJUSTED=GAAP","Sort=A","Dates=H","DateFormat=P","Fill=—","Direction=H","UseDPDF=Y")</f>
        <v>—</v>
      </c>
      <c r="X20" s="14" t="str">
        <f>_xll.BDH("NBIX US Equity","EV_EX_OP_LEA_LIABS_TO_CF_TO_FIRM","FQ4 2024","FQ4 2024","Currency=USD","Period=FQ","BEST_FPERIOD_OVERRIDE=FQ","FILING_STATUS=MR","FA_ADJUSTED=GAAP","Sort=A","Dates=H","DateFormat=P","Fill=—","Direction=H","UseDPDF=Y")</f>
        <v>—</v>
      </c>
      <c r="Y20" s="17"/>
      <c r="Z20" s="14"/>
      <c r="AA20" s="14"/>
    </row>
    <row r="21" spans="1:27" x14ac:dyDescent="0.25">
      <c r="A21" s="10" t="s">
        <v>186</v>
      </c>
      <c r="B21" s="10" t="s">
        <v>305</v>
      </c>
      <c r="C21" s="14">
        <f>_xll.BDH("NBIX US Equity","EV_EX_OP_LEA_LIAB_TO_FCF_TO_FIRM","FQ3 2019","FQ3 2019","Currency=USD","Period=FQ","BEST_FPERIOD_OVERRIDE=FQ","FILING_STATUS=MR","FA_ADJUSTED=GAAP","Sort=A","Dates=H","DateFormat=P","Fill=—","Direction=H","UseDPDF=Y")</f>
        <v>75.085300000000004</v>
      </c>
      <c r="D21" s="14">
        <f>_xll.BDH("NBIX US Equity","EV_EX_OP_LEA_LIAB_TO_FCF_TO_FIRM","FQ4 2019","FQ4 2019","Currency=USD","Period=FQ","BEST_FPERIOD_OVERRIDE=FQ","FILING_STATUS=MR","FA_ADJUSTED=GAAP","Sort=A","Dates=H","DateFormat=P","Fill=—","Direction=H","UseDPDF=Y")</f>
        <v>61.219499999999996</v>
      </c>
      <c r="E21" s="14">
        <f>_xll.BDH("NBIX US Equity","EV_EX_OP_LEA_LIAB_TO_FCF_TO_FIRM","FQ1 2020","FQ1 2020","Currency=USD","Period=FQ","BEST_FPERIOD_OVERRIDE=FQ","FILING_STATUS=MR","FA_ADJUSTED=GAAP","Sort=A","Dates=H","DateFormat=P","Fill=—","Direction=H","UseDPDF=Y")</f>
        <v>24.492799999999999</v>
      </c>
      <c r="F21" s="14">
        <f>_xll.BDH("NBIX US Equity","EV_EX_OP_LEA_LIAB_TO_FCF_TO_FIRM","FQ2 2020","FQ2 2020","Currency=USD","Period=FQ","BEST_FPERIOD_OVERRIDE=FQ","FILING_STATUS=MR","FA_ADJUSTED=GAAP","Sort=A","Dates=H","DateFormat=P","Fill=—","Direction=H","UseDPDF=Y")</f>
        <v>29.4603</v>
      </c>
      <c r="G21" s="14">
        <f>_xll.BDH("NBIX US Equity","EV_EX_OP_LEA_LIAB_TO_FCF_TO_FIRM","FQ3 2020","FQ3 2020","Currency=USD","Period=FQ","BEST_FPERIOD_OVERRIDE=FQ","FILING_STATUS=MR","FA_ADJUSTED=GAAP","Sort=A","Dates=H","DateFormat=P","Fill=—","Direction=H","UseDPDF=Y")</f>
        <v>33.543599999999998</v>
      </c>
      <c r="H21" s="14" t="str">
        <f>_xll.BDH("NBIX US Equity","EV_EX_OP_LEA_LIAB_TO_FCF_TO_FIRM","FQ4 2020","FQ4 2020","Currency=USD","Period=FQ","BEST_FPERIOD_OVERRIDE=FQ","FILING_STATUS=MR","FA_ADJUSTED=GAAP","Sort=A","Dates=H","DateFormat=P","Fill=—","Direction=H","UseDPDF=Y")</f>
        <v>—</v>
      </c>
      <c r="I21" s="14" t="str">
        <f>_xll.BDH("NBIX US Equity","EV_EX_OP_LEA_LIAB_TO_FCF_TO_FIRM","FQ1 2021","FQ1 2021","Currency=USD","Period=FQ","BEST_FPERIOD_OVERRIDE=FQ","FILING_STATUS=MR","FA_ADJUSTED=GAAP","Sort=A","Dates=H","DateFormat=P","Fill=—","Direction=H","UseDPDF=Y")</f>
        <v>—</v>
      </c>
      <c r="J21" s="14" t="str">
        <f>_xll.BDH("NBIX US Equity","EV_EX_OP_LEA_LIAB_TO_FCF_TO_FIRM","FQ2 2021","FQ2 2021","Currency=USD","Period=FQ","BEST_FPERIOD_OVERRIDE=FQ","FILING_STATUS=MR","FA_ADJUSTED=GAAP","Sort=A","Dates=H","DateFormat=P","Fill=—","Direction=H","UseDPDF=Y")</f>
        <v>—</v>
      </c>
      <c r="K21" s="14" t="str">
        <f>_xll.BDH("NBIX US Equity","EV_EX_OP_LEA_LIAB_TO_FCF_TO_FIRM","FQ3 2021","FQ3 2021","Currency=USD","Period=FQ","BEST_FPERIOD_OVERRIDE=FQ","FILING_STATUS=MR","FA_ADJUSTED=GAAP","Sort=A","Dates=H","DateFormat=P","Fill=—","Direction=H","UseDPDF=Y")</f>
        <v>—</v>
      </c>
      <c r="L21" s="14">
        <f>_xll.BDH("NBIX US Equity","EV_EX_OP_LEA_LIAB_TO_FCF_TO_FIRM","FQ4 2021","FQ4 2021","Currency=USD","Period=FQ","BEST_FPERIOD_OVERRIDE=FQ","FILING_STATUS=MR","FA_ADJUSTED=GAAP","Sort=A","Dates=H","DateFormat=P","Fill=—","Direction=H","UseDPDF=Y")</f>
        <v>30.115300000000001</v>
      </c>
      <c r="M21" s="14">
        <f>_xll.BDH("NBIX US Equity","EV_EX_OP_LEA_LIAB_TO_FCF_TO_FIRM","FQ1 2022","FQ1 2022","Currency=USD","Period=FQ","BEST_FPERIOD_OVERRIDE=FQ","FILING_STATUS=MR","FA_ADJUSTED=GAAP","Sort=A","Dates=H","DateFormat=P","Fill=—","Direction=H","UseDPDF=Y")</f>
        <v>73.049400000000006</v>
      </c>
      <c r="N21" s="14">
        <f>_xll.BDH("NBIX US Equity","EV_EX_OP_LEA_LIAB_TO_FCF_TO_FIRM","FQ2 2022","FQ2 2022","Currency=USD","Period=FQ","BEST_FPERIOD_OVERRIDE=FQ","FILING_STATUS=MR","FA_ADJUSTED=GAAP","Sort=A","Dates=H","DateFormat=P","Fill=—","Direction=H","UseDPDF=Y")</f>
        <v>59.956000000000003</v>
      </c>
      <c r="O21" s="14" t="str">
        <f>_xll.BDH("NBIX US Equity","EV_EX_OP_LEA_LIAB_TO_FCF_TO_FIRM","FQ3 2022","FQ3 2022","Currency=USD","Period=FQ","BEST_FPERIOD_OVERRIDE=FQ","FILING_STATUS=MR","FA_ADJUSTED=GAAP","Sort=A","Dates=H","DateFormat=P","Fill=—","Direction=H","UseDPDF=Y")</f>
        <v>—</v>
      </c>
      <c r="P21" s="14" t="str">
        <f>_xll.BDH("NBIX US Equity","EV_EX_OP_LEA_LIAB_TO_FCF_TO_FIRM","FQ4 2022","FQ4 2022","Currency=USD","Period=FQ","BEST_FPERIOD_OVERRIDE=FQ","FILING_STATUS=MR","FA_ADJUSTED=GAAP","Sort=A","Dates=H","DateFormat=P","Fill=—","Direction=H","UseDPDF=Y")</f>
        <v>—</v>
      </c>
      <c r="Q21" s="14" t="str">
        <f>_xll.BDH("NBIX US Equity","EV_EX_OP_LEA_LIAB_TO_FCF_TO_FIRM","FQ1 2023","FQ1 2023","Currency=USD","Period=FQ","BEST_FPERIOD_OVERRIDE=FQ","FILING_STATUS=MR","FA_ADJUSTED=GAAP","Sort=A","Dates=H","DateFormat=P","Fill=—","Direction=H","UseDPDF=Y")</f>
        <v>—</v>
      </c>
      <c r="R21" s="14" t="str">
        <f>_xll.BDH("NBIX US Equity","EV_EX_OP_LEA_LIAB_TO_FCF_TO_FIRM","FQ2 2023","FQ2 2023","Currency=USD","Period=FQ","BEST_FPERIOD_OVERRIDE=FQ","FILING_STATUS=MR","FA_ADJUSTED=GAAP","Sort=A","Dates=H","DateFormat=P","Fill=—","Direction=H","UseDPDF=Y")</f>
        <v>—</v>
      </c>
      <c r="S21" s="14">
        <f>_xll.BDH("NBIX US Equity","EV_EX_OP_LEA_LIAB_TO_FCF_TO_FIRM","FQ3 2023","FQ3 2023","Currency=USD","Period=FQ","BEST_FPERIOD_OVERRIDE=FQ","FILING_STATUS=MR","FA_ADJUSTED=GAAP","Sort=A","Dates=H","DateFormat=P","Fill=—","Direction=H","UseDPDF=Y")</f>
        <v>26.075700000000001</v>
      </c>
      <c r="T21" s="14">
        <f>_xll.BDH("NBIX US Equity","EV_EX_OP_LEA_LIAB_TO_FCF_TO_FIRM","FQ4 2023","FQ4 2023","Currency=USD","Period=FQ","BEST_FPERIOD_OVERRIDE=FQ","FILING_STATUS=MR","FA_ADJUSTED=GAAP","Sort=A","Dates=H","DateFormat=P","Fill=—","Direction=H","UseDPDF=Y")</f>
        <v>33.2637</v>
      </c>
      <c r="U21" s="14">
        <f>_xll.BDH("NBIX US Equity","EV_EX_OP_LEA_LIAB_TO_FCF_TO_FIRM","FQ1 2024","FQ1 2024","Currency=USD","Period=FQ","BEST_FPERIOD_OVERRIDE=FQ","FILING_STATUS=MR","FA_ADJUSTED=GAAP","Sort=A","Dates=H","DateFormat=P","Fill=—","Direction=H","UseDPDF=Y")</f>
        <v>20.690200000000001</v>
      </c>
      <c r="V21" s="14" t="str">
        <f>_xll.BDH("NBIX US Equity","EV_EX_OP_LEA_LIAB_TO_FCF_TO_FIRM","FQ2 2024","FQ2 2024","Currency=USD","Period=FQ","BEST_FPERIOD_OVERRIDE=FQ","FILING_STATUS=MR","FA_ADJUSTED=GAAP","Sort=A","Dates=H","DateFormat=P","Fill=—","Direction=H","UseDPDF=Y")</f>
        <v>—</v>
      </c>
      <c r="W21" s="14" t="str">
        <f>_xll.BDH("NBIX US Equity","EV_EX_OP_LEA_LIAB_TO_FCF_TO_FIRM","FQ3 2024","FQ3 2024","Currency=USD","Period=FQ","BEST_FPERIOD_OVERRIDE=FQ","FILING_STATUS=MR","FA_ADJUSTED=GAAP","Sort=A","Dates=H","DateFormat=P","Fill=—","Direction=H","UseDPDF=Y")</f>
        <v>—</v>
      </c>
      <c r="X21" s="14" t="str">
        <f>_xll.BDH("NBIX US Equity","EV_EX_OP_LEA_LIAB_TO_FCF_TO_FIRM","FQ4 2024","FQ4 2024","Currency=USD","Period=FQ","BEST_FPERIOD_OVERRIDE=FQ","FILING_STATUS=MR","FA_ADJUSTED=GAAP","Sort=A","Dates=H","DateFormat=P","Fill=—","Direction=H","UseDPDF=Y")</f>
        <v>—</v>
      </c>
      <c r="Y21" s="17"/>
      <c r="Z21" s="14"/>
      <c r="AA21" s="14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5"/>
      <c r="Z22" s="12"/>
      <c r="AA22" s="12"/>
    </row>
    <row r="23" spans="1:27" x14ac:dyDescent="0.25">
      <c r="A23" s="10" t="s">
        <v>188</v>
      </c>
      <c r="B23" s="10" t="s">
        <v>189</v>
      </c>
      <c r="C23" s="13">
        <f>_xll.BDH("NBIX US Equity","DILUTED_MKT_CAP","FQ3 2019","FQ3 2019","Currency=USD","Period=FQ","BEST_FPERIOD_OVERRIDE=FQ","FILING_STATUS=MR","SCALING_FORMAT=MLN","Sort=A","Dates=H","DateFormat=P","Fill=—","Direction=H","UseDPDF=Y")</f>
        <v>8657.2281000000003</v>
      </c>
      <c r="D23" s="13">
        <f>_xll.BDH("NBIX US Equity","DILUTED_MKT_CAP","FQ4 2019","FQ4 2019","Currency=USD","Period=FQ","BEST_FPERIOD_OVERRIDE=FQ","FILING_STATUS=MR","SCALING_FORMAT=MLN","Sort=A","Dates=H","DateFormat=P","Fill=—","Direction=H","UseDPDF=Y")</f>
        <v>10448.028</v>
      </c>
      <c r="E23" s="13">
        <f>_xll.BDH("NBIX US Equity","DILUTED_MKT_CAP","FQ1 2020","FQ1 2020","Currency=USD","Period=FQ","BEST_FPERIOD_OVERRIDE=FQ","FILING_STATUS=MR","SCALING_FORMAT=MLN","Sort=A","Dates=H","DateFormat=P","Fill=—","Direction=H","UseDPDF=Y")</f>
        <v>8395.35</v>
      </c>
      <c r="F23" s="13">
        <f>_xll.BDH("NBIX US Equity","DILUTED_MKT_CAP","FQ2 2020","FQ2 2020","Currency=USD","Period=FQ","BEST_FPERIOD_OVERRIDE=FQ","FILING_STATUS=MR","SCALING_FORMAT=MLN","Sort=A","Dates=H","DateFormat=P","Fill=—","Direction=H","UseDPDF=Y")</f>
        <v>11980.4</v>
      </c>
      <c r="G23" s="13">
        <f>_xll.BDH("NBIX US Equity","DILUTED_MKT_CAP","FQ3 2020","FQ3 2020","Currency=USD","Period=FQ","BEST_FPERIOD_OVERRIDE=FQ","FILING_STATUS=MR","SCALING_FORMAT=MLN","Sort=A","Dates=H","DateFormat=P","Fill=—","Direction=H","UseDPDF=Y")</f>
        <v>8971.7279999999992</v>
      </c>
      <c r="H23" s="13">
        <f>_xll.BDH("NBIX US Equity","DILUTED_MKT_CAP","FQ4 2020","FQ4 2020","Currency=USD","Period=FQ","BEST_FPERIOD_OVERRIDE=FQ","FILING_STATUS=MR","SCALING_FORMAT=MLN","Sort=A","Dates=H","DateFormat=P","Fill=—","Direction=H","UseDPDF=Y")</f>
        <v>9316.6200000000008</v>
      </c>
      <c r="I23" s="13">
        <f>_xll.BDH("NBIX US Equity","DILUTED_MKT_CAP","FQ1 2021","FQ1 2021","Currency=USD","Period=FQ","BEST_FPERIOD_OVERRIDE=FQ","FILING_STATUS=MR","SCALING_FORMAT=MLN","Sort=A","Dates=H","DateFormat=P","Fill=—","Direction=H","UseDPDF=Y")</f>
        <v>9549.9500000000007</v>
      </c>
      <c r="J23" s="13">
        <f>_xll.BDH("NBIX US Equity","DILUTED_MKT_CAP","FQ2 2021","FQ2 2021","Currency=USD","Period=FQ","BEST_FPERIOD_OVERRIDE=FQ","FILING_STATUS=MR","SCALING_FORMAT=MLN","Sort=A","Dates=H","DateFormat=P","Fill=—","Direction=H","UseDPDF=Y")</f>
        <v>9508.1640000000007</v>
      </c>
      <c r="K23" s="13">
        <f>_xll.BDH("NBIX US Equity","DILUTED_MKT_CAP","FQ3 2021","FQ3 2021","Currency=USD","Period=FQ","BEST_FPERIOD_OVERRIDE=FQ","FILING_STATUS=MR","SCALING_FORMAT=MLN","Sort=A","Dates=H","DateFormat=P","Fill=—","Direction=H","UseDPDF=Y")</f>
        <v>9370.4069999999992</v>
      </c>
      <c r="L23" s="13">
        <f>_xll.BDH("NBIX US Equity","DILUTED_MKT_CAP","FQ4 2021","FQ4 2021","Currency=USD","Period=FQ","BEST_FPERIOD_OVERRIDE=FQ","FILING_STATUS=MR","SCALING_FORMAT=MLN","Sort=A","Dates=H","DateFormat=P","Fill=—","Direction=H","UseDPDF=Y")</f>
        <v>8082.6329999999998</v>
      </c>
      <c r="M23" s="13">
        <f>_xll.BDH("NBIX US Equity","DILUTED_MKT_CAP","FQ1 2022","FQ1 2022","Currency=USD","Period=FQ","BEST_FPERIOD_OVERRIDE=FQ","FILING_STATUS=MR","SCALING_FORMAT=MLN","Sort=A","Dates=H","DateFormat=P","Fill=—","Direction=H","UseDPDF=Y")</f>
        <v>9150</v>
      </c>
      <c r="N23" s="13">
        <f>_xll.BDH("NBIX US Equity","DILUTED_MKT_CAP","FQ2 2022","FQ2 2022","Currency=USD","Period=FQ","BEST_FPERIOD_OVERRIDE=FQ","FILING_STATUS=MR","SCALING_FORMAT=MLN","Sort=A","Dates=H","DateFormat=P","Fill=—","Direction=H","UseDPDF=Y")</f>
        <v>9319.0879999999997</v>
      </c>
      <c r="O23" s="13">
        <f>_xll.BDH("NBIX US Equity","DILUTED_MKT_CAP","FQ3 2022","FQ3 2022","Currency=USD","Period=FQ","BEST_FPERIOD_OVERRIDE=FQ","FILING_STATUS=MR","SCALING_FORMAT=MLN","Sort=A","Dates=H","DateFormat=P","Fill=—","Direction=H","UseDPDF=Y")</f>
        <v>10514.79</v>
      </c>
      <c r="P23" s="13">
        <f>_xll.BDH("NBIX US Equity","DILUTED_MKT_CAP","FQ4 2022","FQ4 2022","Currency=USD","Period=FQ","BEST_FPERIOD_OVERRIDE=FQ","FILING_STATUS=MR","SCALING_FORMAT=MLN","Sort=A","Dates=H","DateFormat=P","Fill=—","Direction=H","UseDPDF=Y")</f>
        <v>12039.552</v>
      </c>
      <c r="Q23" s="13">
        <f>_xll.BDH("NBIX US Equity","DILUTED_MKT_CAP","FQ1 2023","FQ1 2023","Currency=USD","Period=FQ","BEST_FPERIOD_OVERRIDE=FQ","FILING_STATUS=MR","SCALING_FORMAT=MLN","Sort=A","Dates=H","DateFormat=P","Fill=—","Direction=H","UseDPDF=Y")</f>
        <v>9828.4619999999995</v>
      </c>
      <c r="R23" s="13">
        <f>_xll.BDH("NBIX US Equity","DILUTED_MKT_CAP","FQ2 2023","FQ2 2023","Currency=USD","Period=FQ","BEST_FPERIOD_OVERRIDE=FQ","FILING_STATUS=MR","SCALING_FORMAT=MLN","Sort=A","Dates=H","DateFormat=P","Fill=—","Direction=H","UseDPDF=Y")</f>
        <v>9448.86</v>
      </c>
      <c r="S23" s="13">
        <f>_xll.BDH("NBIX US Equity","DILUTED_MKT_CAP","FQ3 2023","FQ3 2023","Currency=USD","Period=FQ","BEST_FPERIOD_OVERRIDE=FQ","FILING_STATUS=MR","SCALING_FORMAT=MLN","Sort=A","Dates=H","DateFormat=P","Fill=—","Direction=H","UseDPDF=Y")</f>
        <v>11373.75</v>
      </c>
      <c r="T23" s="13">
        <f>_xll.BDH("NBIX US Equity","DILUTED_MKT_CAP","FQ4 2023","FQ4 2023","Currency=USD","Period=FQ","BEST_FPERIOD_OVERRIDE=FQ","FILING_STATUS=MR","SCALING_FORMAT=MLN","Sort=A","Dates=H","DateFormat=P","Fill=—","Direction=H","UseDPDF=Y")</f>
        <v>13479.048000000001</v>
      </c>
      <c r="U23" s="13">
        <f>_xll.BDH("NBIX US Equity","DILUTED_MKT_CAP","FQ1 2024","FQ1 2024","Currency=USD","Period=FQ","BEST_FPERIOD_OVERRIDE=FQ","FILING_STATUS=MR","SCALING_FORMAT=MLN","Sort=A","Dates=H","DateFormat=P","Fill=—","Direction=H","UseDPDF=Y")</f>
        <v>14288.512000000001</v>
      </c>
      <c r="V23" s="13">
        <f>_xll.BDH("NBIX US Equity","DILUTED_MKT_CAP","FQ2 2024","FQ2 2024","Currency=USD","Period=FQ","BEST_FPERIOD_OVERRIDE=FQ","FILING_STATUS=MR","SCALING_FORMAT=MLN","Sort=A","Dates=H","DateFormat=P","Fill=—","Direction=H","UseDPDF=Y")</f>
        <v>14303.913</v>
      </c>
      <c r="W23" s="13">
        <f>_xll.BDH("NBIX US Equity","DILUTED_MKT_CAP","FQ3 2024","FQ3 2024","Currency=USD","Period=FQ","BEST_FPERIOD_OVERRIDE=FQ","FILING_STATUS=MR","SCALING_FORMAT=MLN","Sort=A","Dates=H","DateFormat=P","Fill=—","Direction=H","UseDPDF=Y")</f>
        <v>12017.446</v>
      </c>
      <c r="X23" s="13">
        <f>_xll.BDH("NBIX US Equity","DILUTED_MKT_CAP","FQ4 2024","FQ4 2024","Currency=USD","Period=FQ","BEST_FPERIOD_OVERRIDE=FQ","FILING_STATUS=MR","SCALING_FORMAT=MLN","Sort=A","Dates=H","DateFormat=P","Fill=—","Direction=H","UseDPDF=Y")</f>
        <v>14045.85</v>
      </c>
      <c r="Y23" s="16">
        <v>11633.873748779301</v>
      </c>
      <c r="Z23" s="13"/>
      <c r="AA23" s="13"/>
    </row>
    <row r="24" spans="1:27" x14ac:dyDescent="0.25">
      <c r="A24" s="10" t="s">
        <v>190</v>
      </c>
      <c r="B24" s="10" t="s">
        <v>306</v>
      </c>
      <c r="C24" s="13">
        <f>_xll.BDH("NBIX US Equity","DILUTED_EV_EX_OPERATING_LEASE","FQ3 2019","FQ3 2019","Currency=USD","Period=FQ","BEST_FPERIOD_OVERRIDE=FQ","FILING_STATUS=MR","SCALING_FORMAT=MLN","Sort=A","Dates=H","DateFormat=P","Fill=—","Direction=H","UseDPDF=Y")</f>
        <v>8411.4832000000006</v>
      </c>
      <c r="D24" s="13">
        <f>_xll.BDH("NBIX US Equity","DILUTED_EV_EX_OPERATING_LEASE","FQ4 2019","FQ4 2019","Currency=USD","Period=FQ","BEST_FPERIOD_OVERRIDE=FQ","FILING_STATUS=MR","SCALING_FORMAT=MLN","Sort=A","Dates=H","DateFormat=P","Fill=—","Direction=H","UseDPDF=Y")</f>
        <v>10197.659900000001</v>
      </c>
      <c r="E24" s="13">
        <f>_xll.BDH("NBIX US Equity","DILUTED_EV_EX_OPERATING_LEASE","FQ1 2020","FQ1 2020","Currency=USD","Period=FQ","BEST_FPERIOD_OVERRIDE=FQ","FILING_STATUS=MR","SCALING_FORMAT=MLN","Sort=A","Dates=H","DateFormat=P","Fill=—","Direction=H","UseDPDF=Y")</f>
        <v>8055.8824999999997</v>
      </c>
      <c r="F24" s="13">
        <f>_xll.BDH("NBIX US Equity","DILUTED_EV_EX_OPERATING_LEASE","FQ2 2020","FQ2 2020","Currency=USD","Period=FQ","BEST_FPERIOD_OVERRIDE=FQ","FILING_STATUS=MR","SCALING_FORMAT=MLN","Sort=A","Dates=H","DateFormat=P","Fill=—","Direction=H","UseDPDF=Y")</f>
        <v>11477.364299999999</v>
      </c>
      <c r="G24" s="13">
        <f>_xll.BDH("NBIX US Equity","DILUTED_EV_EX_OPERATING_LEASE","FQ3 2020","FQ3 2020","Currency=USD","Period=FQ","BEST_FPERIOD_OVERRIDE=FQ","FILING_STATUS=MR","SCALING_FORMAT=MLN","Sort=A","Dates=H","DateFormat=P","Fill=—","Direction=H","UseDPDF=Y")</f>
        <v>8461.6440000000002</v>
      </c>
      <c r="H24" s="13">
        <f>_xll.BDH("NBIX US Equity","DILUTED_EV_EX_OPERATING_LEASE","FQ4 2020","FQ4 2020","Currency=USD","Period=FQ","BEST_FPERIOD_OVERRIDE=FQ","FILING_STATUS=MR","SCALING_FORMAT=MLN","Sort=A","Dates=H","DateFormat=P","Fill=—","Direction=H","UseDPDF=Y")</f>
        <v>8833.52</v>
      </c>
      <c r="I24" s="13">
        <f>_xll.BDH("NBIX US Equity","DILUTED_EV_EX_OPERATING_LEASE","FQ1 2021","FQ1 2021","Currency=USD","Period=FQ","BEST_FPERIOD_OVERRIDE=FQ","FILING_STATUS=MR","SCALING_FORMAT=MLN","Sort=A","Dates=H","DateFormat=P","Fill=—","Direction=H","UseDPDF=Y")</f>
        <v>9028.6638999999996</v>
      </c>
      <c r="J24" s="13">
        <f>_xll.BDH("NBIX US Equity","DILUTED_EV_EX_OPERATING_LEASE","FQ2 2021","FQ2 2021","Currency=USD","Period=FQ","BEST_FPERIOD_OVERRIDE=FQ","FILING_STATUS=MR","SCALING_FORMAT=MLN","Sort=A","Dates=H","DateFormat=P","Fill=—","Direction=H","UseDPDF=Y")</f>
        <v>8949.5640000000003</v>
      </c>
      <c r="K24" s="13">
        <f>_xll.BDH("NBIX US Equity","DILUTED_EV_EX_OPERATING_LEASE","FQ3 2021","FQ3 2021","Currency=USD","Period=FQ","BEST_FPERIOD_OVERRIDE=FQ","FILING_STATUS=MR","SCALING_FORMAT=MLN","Sort=A","Dates=H","DateFormat=P","Fill=—","Direction=H","UseDPDF=Y")</f>
        <v>8945.1018000000004</v>
      </c>
      <c r="L24" s="13">
        <f>_xll.BDH("NBIX US Equity","DILUTED_EV_EX_OPERATING_LEASE","FQ4 2021","FQ4 2021","Currency=USD","Period=FQ","BEST_FPERIOD_OVERRIDE=FQ","FILING_STATUS=MR","SCALING_FORMAT=MLN","Sort=A","Dates=H","DateFormat=P","Fill=—","Direction=H","UseDPDF=Y")</f>
        <v>7706.433</v>
      </c>
      <c r="M24" s="13">
        <f>_xll.BDH("NBIX US Equity","DILUTED_EV_EX_OPERATING_LEASE","FQ1 2022","FQ1 2022","Currency=USD","Period=FQ","BEST_FPERIOD_OVERRIDE=FQ","FILING_STATUS=MR","SCALING_FORMAT=MLN","Sort=A","Dates=H","DateFormat=P","Fill=—","Direction=H","UseDPDF=Y")</f>
        <v>8882.0025000000005</v>
      </c>
      <c r="N24" s="13">
        <f>_xll.BDH("NBIX US Equity","DILUTED_EV_EX_OPERATING_LEASE","FQ2 2022","FQ2 2022","Currency=USD","Period=FQ","BEST_FPERIOD_OVERRIDE=FQ","FILING_STATUS=MR","SCALING_FORMAT=MLN","Sort=A","Dates=H","DateFormat=P","Fill=—","Direction=H","UseDPDF=Y")</f>
        <v>8839.7880000000005</v>
      </c>
      <c r="O24" s="13">
        <f>_xll.BDH("NBIX US Equity","DILUTED_EV_EX_OPERATING_LEASE","FQ3 2022","FQ3 2022","Currency=USD","Period=FQ","BEST_FPERIOD_OVERRIDE=FQ","FILING_STATUS=MR","SCALING_FORMAT=MLN","Sort=A","Dates=H","DateFormat=P","Fill=—","Direction=H","UseDPDF=Y")</f>
        <v>9917.5172999999995</v>
      </c>
      <c r="P24" s="13">
        <f>_xll.BDH("NBIX US Equity","DILUTED_EV_EX_OPERATING_LEASE","FQ4 2022","FQ4 2022","Currency=USD","Period=FQ","BEST_FPERIOD_OVERRIDE=FQ","FILING_STATUS=MR","SCALING_FORMAT=MLN","Sort=A","Dates=H","DateFormat=P","Fill=—","Direction=H","UseDPDF=Y")</f>
        <v>11244.656300000001</v>
      </c>
      <c r="Q24" s="13">
        <f>_xll.BDH("NBIX US Equity","DILUTED_EV_EX_OPERATING_LEASE","FQ1 2023","FQ1 2023","Currency=USD","Period=FQ","BEST_FPERIOD_OVERRIDE=FQ","FILING_STATUS=MR","SCALING_FORMAT=MLN","Sort=A","Dates=H","DateFormat=P","Fill=—","Direction=H","UseDPDF=Y")</f>
        <v>9143.85</v>
      </c>
      <c r="R24" s="13">
        <f>_xll.BDH("NBIX US Equity","DILUTED_EV_EX_OPERATING_LEASE","FQ2 2023","FQ2 2023","Currency=USD","Period=FQ","BEST_FPERIOD_OVERRIDE=FQ","FILING_STATUS=MR","SCALING_FORMAT=MLN","Sort=A","Dates=H","DateFormat=P","Fill=—","Direction=H","UseDPDF=Y")</f>
        <v>8641.86</v>
      </c>
      <c r="S24" s="13">
        <f>_xll.BDH("NBIX US Equity","DILUTED_EV_EX_OPERATING_LEASE","FQ3 2023","FQ3 2023","Currency=USD","Period=FQ","BEST_FPERIOD_OVERRIDE=FQ","FILING_STATUS=MR","SCALING_FORMAT=MLN","Sort=A","Dates=H","DateFormat=P","Fill=—","Direction=H","UseDPDF=Y")</f>
        <v>10483.403200000001</v>
      </c>
      <c r="T24" s="13">
        <f>_xll.BDH("NBIX US Equity","DILUTED_EV_EX_OPERATING_LEASE","FQ4 2023","FQ4 2023","Currency=USD","Period=FQ","BEST_FPERIOD_OVERRIDE=FQ","FILING_STATUS=MR","SCALING_FORMAT=MLN","Sort=A","Dates=H","DateFormat=P","Fill=—","Direction=H","UseDPDF=Y")</f>
        <v>12658.6427</v>
      </c>
      <c r="U24" s="13">
        <f>_xll.BDH("NBIX US Equity","DILUTED_EV_EX_OPERATING_LEASE","FQ1 2024","FQ1 2024","Currency=USD","Period=FQ","BEST_FPERIOD_OVERRIDE=FQ","FILING_STATUS=MR","SCALING_FORMAT=MLN","Sort=A","Dates=H","DateFormat=P","Fill=—","Direction=H","UseDPDF=Y")</f>
        <v>13315.2492</v>
      </c>
      <c r="V24" s="13">
        <f>_xll.BDH("NBIX US Equity","DILUTED_EV_EX_OPERATING_LEASE","FQ2 2024","FQ2 2024","Currency=USD","Period=FQ","BEST_FPERIOD_OVERRIDE=FQ","FILING_STATUS=MR","SCALING_FORMAT=MLN","Sort=A","Dates=H","DateFormat=P","Fill=—","Direction=H","UseDPDF=Y")</f>
        <v>13279.2034</v>
      </c>
      <c r="W24" s="13">
        <f>_xll.BDH("NBIX US Equity","DILUTED_EV_EX_OPERATING_LEASE","FQ3 2024","FQ3 2024","Currency=USD","Period=FQ","BEST_FPERIOD_OVERRIDE=FQ","FILING_STATUS=MR","SCALING_FORMAT=MLN","Sort=A","Dates=H","DateFormat=P","Fill=—","Direction=H","UseDPDF=Y")</f>
        <v>10801.332700000001</v>
      </c>
      <c r="X24" s="13">
        <f>_xll.BDH("NBIX US Equity","DILUTED_EV_EX_OPERATING_LEASE","FQ4 2024","FQ4 2024","Currency=USD","Period=FQ","BEST_FPERIOD_OVERRIDE=FQ","FILING_STATUS=MR","SCALING_FORMAT=MLN","Sort=A","Dates=H","DateFormat=P","Fill=—","Direction=H","UseDPDF=Y")</f>
        <v>12885.474899999999</v>
      </c>
      <c r="Y24" s="16">
        <v>12885.474899999999</v>
      </c>
      <c r="Z24" s="13"/>
      <c r="AA24" s="13"/>
    </row>
    <row r="25" spans="1:27" x14ac:dyDescent="0.25">
      <c r="A25" s="10" t="s">
        <v>192</v>
      </c>
      <c r="B25" s="10" t="s">
        <v>307</v>
      </c>
      <c r="C25" s="14">
        <f>_xll.BDH("NBIX US Equity","EV_EX_OP_LEA_LIAB_TO_SHS_OUTSTDG","FQ3 2019","FQ3 2019","Currency=USD","Period=FQ","BEST_FPERIOD_OVERRIDE=FQ","FILING_STATUS=MR","Sort=A","Dates=H","DateFormat=P","Fill=—","Direction=H","UseDPDF=Y")</f>
        <v>87.215000000000003</v>
      </c>
      <c r="D25" s="14">
        <f>_xll.BDH("NBIX US Equity","EV_EX_OP_LEA_LIAB_TO_SHS_OUTSTDG","FQ4 2019","FQ4 2019","Currency=USD","Period=FQ","BEST_FPERIOD_OVERRIDE=FQ","FILING_STATUS=MR","Sort=A","Dates=H","DateFormat=P","Fill=—","Direction=H","UseDPDF=Y")</f>
        <v>104.65470000000001</v>
      </c>
      <c r="E25" s="14">
        <f>_xll.BDH("NBIX US Equity","EV_EX_OP_LEA_LIAB_TO_SHS_OUTSTDG","FQ1 2020","FQ1 2020","Currency=USD","Period=FQ","BEST_FPERIOD_OVERRIDE=FQ","FILING_STATUS=MR","Sort=A","Dates=H","DateFormat=P","Fill=—","Direction=H","UseDPDF=Y")</f>
        <v>82.696600000000004</v>
      </c>
      <c r="F25" s="14">
        <f>_xll.BDH("NBIX US Equity","EV_EX_OP_LEA_LIAB_TO_SHS_OUTSTDG","FQ2 2020","FQ2 2020","Currency=USD","Period=FQ","BEST_FPERIOD_OVERRIDE=FQ","FILING_STATUS=MR","Sort=A","Dates=H","DateFormat=P","Fill=—","Direction=H","UseDPDF=Y")</f>
        <v>116.3262</v>
      </c>
      <c r="G25" s="14">
        <f>_xll.BDH("NBIX US Equity","EV_EX_OP_LEA_LIAB_TO_SHS_OUTSTDG","FQ3 2020","FQ3 2020","Currency=USD","Period=FQ","BEST_FPERIOD_OVERRIDE=FQ","FILING_STATUS=MR","Sort=A","Dates=H","DateFormat=P","Fill=—","Direction=H","UseDPDF=Y")</f>
        <v>90.595799999999997</v>
      </c>
      <c r="H25" s="14">
        <f>_xll.BDH("NBIX US Equity","EV_EX_OP_LEA_LIAB_TO_SHS_OUTSTDG","FQ4 2020","FQ4 2020","Currency=USD","Period=FQ","BEST_FPERIOD_OVERRIDE=FQ","FILING_STATUS=MR","Sort=A","Dates=H","DateFormat=P","Fill=—","Direction=H","UseDPDF=Y")</f>
        <v>90.683199999999999</v>
      </c>
      <c r="I25" s="14">
        <f>_xll.BDH("NBIX US Equity","EV_EX_OP_LEA_LIAB_TO_SHS_OUTSTDG","FQ1 2021","FQ1 2021","Currency=USD","Period=FQ","BEST_FPERIOD_OVERRIDE=FQ","FILING_STATUS=MR","Sort=A","Dates=H","DateFormat=P","Fill=—","Direction=H","UseDPDF=Y")</f>
        <v>91.411900000000003</v>
      </c>
      <c r="J25" s="14">
        <f>_xll.BDH("NBIX US Equity","EV_EX_OP_LEA_LIAB_TO_SHS_OUTSTDG","FQ2 2021","FQ2 2021","Currency=USD","Period=FQ","BEST_FPERIOD_OVERRIDE=FQ","FILING_STATUS=MR","Sort=A","Dates=H","DateFormat=P","Fill=—","Direction=H","UseDPDF=Y")</f>
        <v>91.415099999999995</v>
      </c>
      <c r="K25" s="14">
        <f>_xll.BDH("NBIX US Equity","EV_EX_OP_LEA_LIAB_TO_SHS_OUTSTDG","FQ3 2021","FQ3 2021","Currency=USD","Period=FQ","BEST_FPERIOD_OVERRIDE=FQ","FILING_STATUS=MR","Sort=A","Dates=H","DateFormat=P","Fill=—","Direction=H","UseDPDF=Y")</f>
        <v>91.319299999999998</v>
      </c>
      <c r="L25" s="14">
        <f>_xll.BDH("NBIX US Equity","EV_EX_OP_LEA_LIAB_TO_SHS_OUTSTDG","FQ4 2021","FQ4 2021","Currency=USD","Period=FQ","BEST_FPERIOD_OVERRIDE=FQ","FILING_STATUS=MR","Sort=A","Dates=H","DateFormat=P","Fill=—","Direction=H","UseDPDF=Y")</f>
        <v>81.205799999999996</v>
      </c>
      <c r="M25" s="14">
        <f>_xll.BDH("NBIX US Equity","EV_EX_OP_LEA_LIAB_TO_SHS_OUTSTDG","FQ1 2022","FQ1 2022","Currency=USD","Period=FQ","BEST_FPERIOD_OVERRIDE=FQ","FILING_STATUS=MR","Sort=A","Dates=H","DateFormat=P","Fill=—","Direction=H","UseDPDF=Y")</f>
        <v>90.742699999999999</v>
      </c>
      <c r="N25" s="14">
        <f>_xll.BDH("NBIX US Equity","EV_EX_OP_LEA_LIAB_TO_SHS_OUTSTDG","FQ2 2022","FQ2 2022","Currency=USD","Period=FQ","BEST_FPERIOD_OVERRIDE=FQ","FILING_STATUS=MR","Sort=A","Dates=H","DateFormat=P","Fill=—","Direction=H","UseDPDF=Y")</f>
        <v>92.466399999999993</v>
      </c>
      <c r="O25" s="14">
        <f>_xll.BDH("NBIX US Equity","EV_EX_OP_LEA_LIAB_TO_SHS_OUTSTDG","FQ3 2022","FQ3 2022","Currency=USD","Period=FQ","BEST_FPERIOD_OVERRIDE=FQ","FILING_STATUS=MR","Sort=A","Dates=H","DateFormat=P","Fill=—","Direction=H","UseDPDF=Y")</f>
        <v>99.652199999999993</v>
      </c>
      <c r="P25" s="14">
        <f>_xll.BDH("NBIX US Equity","EV_EX_OP_LEA_LIAB_TO_SHS_OUTSTDG","FQ4 2022","FQ4 2022","Currency=USD","Period=FQ","BEST_FPERIOD_OVERRIDE=FQ","FILING_STATUS=MR","Sort=A","Dates=H","DateFormat=P","Fill=—","Direction=H","UseDPDF=Y")</f>
        <v>110.9436</v>
      </c>
      <c r="Q25" s="14">
        <f>_xll.BDH("NBIX US Equity","EV_EX_OP_LEA_LIAB_TO_SHS_OUTSTDG","FQ1 2023","FQ1 2023","Currency=USD","Period=FQ","BEST_FPERIOD_OVERRIDE=FQ","FILING_STATUS=MR","Sort=A","Dates=H","DateFormat=P","Fill=—","Direction=H","UseDPDF=Y")</f>
        <v>93.783100000000005</v>
      </c>
      <c r="R25" s="14">
        <f>_xll.BDH("NBIX US Equity","EV_EX_OP_LEA_LIAB_TO_SHS_OUTSTDG","FQ2 2023","FQ2 2023","Currency=USD","Period=FQ","BEST_FPERIOD_OVERRIDE=FQ","FILING_STATUS=MR","Sort=A","Dates=H","DateFormat=P","Fill=—","Direction=H","UseDPDF=Y")</f>
        <v>86.031599999999997</v>
      </c>
      <c r="S25" s="14">
        <f>_xll.BDH("NBIX US Equity","EV_EX_OP_LEA_LIAB_TO_SHS_OUTSTDG","FQ3 2023","FQ3 2023","Currency=USD","Period=FQ","BEST_FPERIOD_OVERRIDE=FQ","FILING_STATUS=MR","Sort=A","Dates=H","DateFormat=P","Fill=—","Direction=H","UseDPDF=Y")</f>
        <v>103.0784</v>
      </c>
      <c r="T25" s="14">
        <f>_xll.BDH("NBIX US Equity","EV_EX_OP_LEA_LIAB_TO_SHS_OUTSTDG","FQ4 2023","FQ4 2023","Currency=USD","Period=FQ","BEST_FPERIOD_OVERRIDE=FQ","FILING_STATUS=MR","Sort=A","Dates=H","DateFormat=P","Fill=—","Direction=H","UseDPDF=Y")</f>
        <v>123.03149999999999</v>
      </c>
      <c r="U25" s="14">
        <f>_xll.BDH("NBIX US Equity","EV_EX_OP_LEA_LIAB_TO_SHS_OUTSTDG","FQ1 2024","FQ1 2024","Currency=USD","Period=FQ","BEST_FPERIOD_OVERRIDE=FQ","FILING_STATUS=MR","Sort=A","Dates=H","DateFormat=P","Fill=—","Direction=H","UseDPDF=Y")</f>
        <v>127.1069</v>
      </c>
      <c r="V25" s="14">
        <f>_xll.BDH("NBIX US Equity","EV_EX_OP_LEA_LIAB_TO_SHS_OUTSTDG","FQ2 2024","FQ2 2024","Currency=USD","Period=FQ","BEST_FPERIOD_OVERRIDE=FQ","FILING_STATUS=MR","Sort=A","Dates=H","DateFormat=P","Fill=—","Direction=H","UseDPDF=Y")</f>
        <v>127.3737</v>
      </c>
      <c r="W25" s="14">
        <f>_xll.BDH("NBIX US Equity","EV_EX_OP_LEA_LIAB_TO_SHS_OUTSTDG","FQ3 2024","FQ3 2024","Currency=USD","Period=FQ","BEST_FPERIOD_OVERRIDE=FQ","FILING_STATUS=MR","Sort=A","Dates=H","DateFormat=P","Fill=—","Direction=H","UseDPDF=Y")</f>
        <v>103.0856</v>
      </c>
      <c r="X25" s="14">
        <f>_xll.BDH("NBIX US Equity","EV_EX_OP_LEA_LIAB_TO_SHS_OUTSTDG","FQ4 2024","FQ4 2024","Currency=USD","Period=FQ","BEST_FPERIOD_OVERRIDE=FQ","FILING_STATUS=MR","Sort=A","Dates=H","DateFormat=P","Fill=—","Direction=H","UseDPDF=Y")</f>
        <v>125.67400000000001</v>
      </c>
      <c r="Y25" s="17">
        <v>102.579283326157</v>
      </c>
      <c r="Z25" s="14"/>
      <c r="AA25" s="14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5"/>
      <c r="Z26" s="12"/>
      <c r="AA26" s="12"/>
    </row>
    <row r="27" spans="1:27" x14ac:dyDescent="0.25">
      <c r="A27" s="10" t="s">
        <v>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5"/>
      <c r="Z27" s="12"/>
      <c r="AA27" s="12"/>
    </row>
    <row r="28" spans="1:27" x14ac:dyDescent="0.25">
      <c r="A28" s="11" t="s">
        <v>194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7"/>
      <c r="Z28" s="24"/>
      <c r="AA28" s="24"/>
    </row>
    <row r="29" spans="1:27" x14ac:dyDescent="0.25">
      <c r="A29" s="10" t="s">
        <v>195</v>
      </c>
      <c r="B29" s="10" t="s">
        <v>196</v>
      </c>
      <c r="C29" s="12" t="s">
        <v>197</v>
      </c>
      <c r="D29" s="12" t="s">
        <v>197</v>
      </c>
      <c r="E29" s="12" t="s">
        <v>197</v>
      </c>
      <c r="F29" s="12" t="s">
        <v>197</v>
      </c>
      <c r="G29" s="12" t="s">
        <v>197</v>
      </c>
      <c r="H29" s="12" t="s">
        <v>197</v>
      </c>
      <c r="I29" s="12" t="s">
        <v>197</v>
      </c>
      <c r="J29" s="12" t="s">
        <v>197</v>
      </c>
      <c r="K29" s="12" t="s">
        <v>197</v>
      </c>
      <c r="L29" s="12" t="s">
        <v>197</v>
      </c>
      <c r="M29" s="12" t="s">
        <v>197</v>
      </c>
      <c r="N29" s="12" t="s">
        <v>197</v>
      </c>
      <c r="O29" s="12" t="s">
        <v>197</v>
      </c>
      <c r="P29" s="12" t="s">
        <v>197</v>
      </c>
      <c r="Q29" s="12" t="s">
        <v>197</v>
      </c>
      <c r="R29" s="12" t="s">
        <v>197</v>
      </c>
      <c r="S29" s="12" t="s">
        <v>197</v>
      </c>
      <c r="T29" s="12" t="s">
        <v>197</v>
      </c>
      <c r="U29" s="12" t="s">
        <v>197</v>
      </c>
      <c r="V29" s="12" t="s">
        <v>197</v>
      </c>
      <c r="W29" s="12" t="s">
        <v>197</v>
      </c>
      <c r="X29" s="12" t="s">
        <v>197</v>
      </c>
      <c r="Y29" s="15" t="s">
        <v>197</v>
      </c>
      <c r="Z29" s="12"/>
      <c r="AA29" s="12"/>
    </row>
    <row r="30" spans="1:27" x14ac:dyDescent="0.25">
      <c r="A30" s="10" t="s">
        <v>198</v>
      </c>
      <c r="B30" s="10" t="s">
        <v>199</v>
      </c>
      <c r="C30" s="13">
        <f>_xll.BDH("NBIX US Equity","TRAIL_12M_NET_SALES","FQ3 2019","FQ3 2019","Currency=USD","Period=FQ","BEST_FPERIOD_OVERRIDE=FQ","FILING_STATUS=MR","SCALING_FORMAT=MLN","FA_ADJUSTED=GAAP","Sort=A","Dates=H","DateFormat=P","Fill=—","Direction=H","UseDPDF=Y")</f>
        <v>675.56899999999996</v>
      </c>
      <c r="D30" s="13">
        <f>_xll.BDH("NBIX US Equity","TRAIL_12M_NET_SALES","FQ4 2019","FQ4 2019","Currency=USD","Period=FQ","BEST_FPERIOD_OVERRIDE=FQ","FILING_STATUS=MR","SCALING_FORMAT=MLN","FA_ADJUSTED=GAAP","Sort=A","Dates=H","DateFormat=P","Fill=—","Direction=H","UseDPDF=Y")</f>
        <v>788.17700000000002</v>
      </c>
      <c r="E30" s="13">
        <f>_xll.BDH("NBIX US Equity","TRAIL_12M_NET_SALES","FQ1 2020","FQ1 2020","Currency=USD","Period=FQ","BEST_FPERIOD_OVERRIDE=FQ","FILING_STATUS=MR","SCALING_FORMAT=MLN","FA_ADJUSTED=GAAP","Sort=A","Dates=H","DateFormat=P","Fill=—","Direction=H","UseDPDF=Y")</f>
        <v>886.87400000000002</v>
      </c>
      <c r="F30" s="13">
        <f>_xll.BDH("NBIX US Equity","TRAIL_12M_NET_SALES","FQ2 2020","FQ2 2020","Currency=USD","Period=FQ","BEST_FPERIOD_OVERRIDE=FQ","FILING_STATUS=MR","SCALING_FORMAT=MLN","FA_ADJUSTED=GAAP","Sort=A","Dates=H","DateFormat=P","Fill=—","Direction=H","UseDPDF=Y")</f>
        <v>1005.694</v>
      </c>
      <c r="G30" s="13">
        <f>_xll.BDH("NBIX US Equity","TRAIL_12M_NET_SALES","FQ3 2020","FQ3 2020","Currency=USD","Period=FQ","BEST_FPERIOD_OVERRIDE=FQ","FILING_STATUS=MR","SCALING_FORMAT=MLN","FA_ADJUSTED=GAAP","Sort=A","Dates=H","DateFormat=P","Fill=—","Direction=H","UseDPDF=Y")</f>
        <v>1042.0999999999999</v>
      </c>
      <c r="H30" s="13">
        <f>_xll.BDH("NBIX US Equity","TRAIL_12M_NET_SALES","FQ4 2020","FQ4 2020","Currency=USD","Period=FQ","BEST_FPERIOD_OVERRIDE=FQ","FILING_STATUS=MR","SCALING_FORMAT=MLN","FA_ADJUSTED=GAAP","Sort=A","Dates=H","DateFormat=P","Fill=—","Direction=H","UseDPDF=Y")</f>
        <v>1045.9000000000001</v>
      </c>
      <c r="I30" s="13">
        <f>_xll.BDH("NBIX US Equity","TRAIL_12M_NET_SALES","FQ1 2021","FQ1 2021","Currency=USD","Period=FQ","BEST_FPERIOD_OVERRIDE=FQ","FILING_STATUS=MR","SCALING_FORMAT=MLN","FA_ADJUSTED=GAAP","Sort=A","Dates=H","DateFormat=P","Fill=—","Direction=H","UseDPDF=Y")</f>
        <v>1045.4000000000001</v>
      </c>
      <c r="J30" s="13">
        <f>_xll.BDH("NBIX US Equity","TRAIL_12M_NET_SALES","FQ2 2021","FQ2 2021","Currency=USD","Period=FQ","BEST_FPERIOD_OVERRIDE=FQ","FILING_STATUS=MR","SCALING_FORMAT=MLN","FA_ADJUSTED=GAAP","Sort=A","Dates=H","DateFormat=P","Fill=—","Direction=H","UseDPDF=Y")</f>
        <v>1031.9000000000001</v>
      </c>
      <c r="K30" s="13">
        <f>_xll.BDH("NBIX US Equity","TRAIL_12M_NET_SALES","FQ3 2021","FQ3 2021","Currency=USD","Period=FQ","BEST_FPERIOD_OVERRIDE=FQ","FILING_STATUS=MR","SCALING_FORMAT=MLN","FA_ADJUSTED=GAAP","Sort=A","Dates=H","DateFormat=P","Fill=—","Direction=H","UseDPDF=Y")</f>
        <v>1069.4000000000001</v>
      </c>
      <c r="L30" s="13">
        <f>_xll.BDH("NBIX US Equity","TRAIL_12M_NET_SALES","FQ4 2021","FQ4 2021","Currency=USD","Period=FQ","BEST_FPERIOD_OVERRIDE=FQ","FILING_STATUS=MR","SCALING_FORMAT=MLN","FA_ADJUSTED=GAAP","Sort=A","Dates=H","DateFormat=P","Fill=—","Direction=H","UseDPDF=Y")</f>
        <v>1133.5</v>
      </c>
      <c r="M30" s="13">
        <f>_xll.BDH("NBIX US Equity","TRAIL_12M_NET_SALES","FQ1 2022","FQ1 2022","Currency=USD","Period=FQ","BEST_FPERIOD_OVERRIDE=FQ","FILING_STATUS=MR","SCALING_FORMAT=MLN","FA_ADJUSTED=GAAP","Sort=A","Dates=H","DateFormat=P","Fill=—","Direction=H","UseDPDF=Y")</f>
        <v>1207.5</v>
      </c>
      <c r="N30" s="13">
        <f>_xll.BDH("NBIX US Equity","TRAIL_12M_NET_SALES","FQ2 2022","FQ2 2022","Currency=USD","Period=FQ","BEST_FPERIOD_OVERRIDE=FQ","FILING_STATUS=MR","SCALING_FORMAT=MLN","FA_ADJUSTED=GAAP","Sort=A","Dates=H","DateFormat=P","Fill=—","Direction=H","UseDPDF=Y")</f>
        <v>1296.8</v>
      </c>
      <c r="O30" s="13">
        <f>_xll.BDH("NBIX US Equity","TRAIL_12M_NET_SALES","FQ3 2022","FQ3 2022","Currency=USD","Period=FQ","BEST_FPERIOD_OVERRIDE=FQ","FILING_STATUS=MR","SCALING_FORMAT=MLN","FA_ADJUSTED=GAAP","Sort=A","Dates=H","DateFormat=P","Fill=—","Direction=H","UseDPDF=Y")</f>
        <v>1388.7</v>
      </c>
      <c r="P30" s="13">
        <f>_xll.BDH("NBIX US Equity","TRAIL_12M_NET_SALES","FQ4 2022","FQ4 2022","Currency=USD","Period=FQ","BEST_FPERIOD_OVERRIDE=FQ","FILING_STATUS=MR","SCALING_FORMAT=MLN","FA_ADJUSTED=GAAP","Sort=A","Dates=H","DateFormat=P","Fill=—","Direction=H","UseDPDF=Y")</f>
        <v>1488.7</v>
      </c>
      <c r="Q30" s="13">
        <f>_xll.BDH("NBIX US Equity","TRAIL_12M_NET_SALES","FQ1 2023","FQ1 2023","Currency=USD","Period=FQ","BEST_FPERIOD_OVERRIDE=FQ","FILING_STATUS=MR","SCALING_FORMAT=MLN","FA_ADJUSTED=GAAP","Sort=A","Dates=H","DateFormat=P","Fill=—","Direction=H","UseDPDF=Y")</f>
        <v>1598.5</v>
      </c>
      <c r="R30" s="13">
        <f>_xll.BDH("NBIX US Equity","TRAIL_12M_NET_SALES","FQ2 2023","FQ2 2023","Currency=USD","Period=FQ","BEST_FPERIOD_OVERRIDE=FQ","FILING_STATUS=MR","SCALING_FORMAT=MLN","FA_ADJUSTED=GAAP","Sort=A","Dates=H","DateFormat=P","Fill=—","Direction=H","UseDPDF=Y")</f>
        <v>1673</v>
      </c>
      <c r="S30" s="13">
        <f>_xll.BDH("NBIX US Equity","TRAIL_12M_NET_SALES","FQ3 2023","FQ3 2023","Currency=USD","Period=FQ","BEST_FPERIOD_OVERRIDE=FQ","FILING_STATUS=MR","SCALING_FORMAT=MLN","FA_ADJUSTED=GAAP","Sort=A","Dates=H","DateFormat=P","Fill=—","Direction=H","UseDPDF=Y")</f>
        <v>1783.9</v>
      </c>
      <c r="T30" s="13">
        <f>_xll.BDH("NBIX US Equity","TRAIL_12M_NET_SALES","FQ4 2023","FQ4 2023","Currency=USD","Period=FQ","BEST_FPERIOD_OVERRIDE=FQ","FILING_STATUS=MR","SCALING_FORMAT=MLN","FA_ADJUSTED=GAAP","Sort=A","Dates=H","DateFormat=P","Fill=—","Direction=H","UseDPDF=Y")</f>
        <v>1887.1</v>
      </c>
      <c r="U30" s="13">
        <f>_xll.BDH("NBIX US Equity","TRAIL_12M_NET_SALES","FQ1 2024","FQ1 2024","Currency=USD","Period=FQ","BEST_FPERIOD_OVERRIDE=FQ","FILING_STATUS=MR","SCALING_FORMAT=MLN","FA_ADJUSTED=GAAP","Sort=A","Dates=H","DateFormat=P","Fill=—","Direction=H","UseDPDF=Y")</f>
        <v>1982</v>
      </c>
      <c r="V30" s="13">
        <f>_xll.BDH("NBIX US Equity","TRAIL_12M_NET_SALES","FQ2 2024","FQ2 2024","Currency=USD","Period=FQ","BEST_FPERIOD_OVERRIDE=FQ","FILING_STATUS=MR","SCALING_FORMAT=MLN","FA_ADJUSTED=GAAP","Sort=A","Dates=H","DateFormat=P","Fill=—","Direction=H","UseDPDF=Y")</f>
        <v>2119.5</v>
      </c>
      <c r="W30" s="13">
        <f>_xll.BDH("NBIX US Equity","TRAIL_12M_NET_SALES","FQ3 2024","FQ3 2024","Currency=USD","Period=FQ","BEST_FPERIOD_OVERRIDE=FQ","FILING_STATUS=MR","SCALING_FORMAT=MLN","FA_ADJUSTED=GAAP","Sort=A","Dates=H","DateFormat=P","Fill=—","Direction=H","UseDPDF=Y")</f>
        <v>2242.8000000000002</v>
      </c>
      <c r="X30" s="13">
        <f>_xll.BDH("NBIX US Equity","TRAIL_12M_NET_SALES","FQ4 2024","FQ4 2024","Currency=USD","Period=FQ","BEST_FPERIOD_OVERRIDE=FQ","FILING_STATUS=MR","SCALING_FORMAT=MLN","FA_ADJUSTED=GAAP","Sort=A","Dates=H","DateFormat=P","Fill=—","Direction=H","UseDPDF=Y")</f>
        <v>2355.3000000000002</v>
      </c>
      <c r="Y30" s="16">
        <v>2355.3000000000002</v>
      </c>
      <c r="Z30" s="13">
        <v>2666.2269999999999</v>
      </c>
      <c r="AA30" s="13">
        <v>2815.2530000000002</v>
      </c>
    </row>
    <row r="31" spans="1:27" x14ac:dyDescent="0.25">
      <c r="A31" s="10" t="s">
        <v>78</v>
      </c>
      <c r="B31" s="10" t="s">
        <v>308</v>
      </c>
      <c r="C31" s="13">
        <f>_xll.BDH("NBIX US Equity","T12M_EBITDA_AFTER_OPER_LEA_EXPN","FQ3 2019","FQ3 2019","Currency=USD","Period=FQ","BEST_FPERIOD_OVERRIDE=FQ","FILING_STATUS=MR","SCALING_FORMAT=MLN","FA_ADJUSTED=GAAP","Sort=A","Dates=H","DateFormat=P","Fill=—","Direction=H","UseDPDF=Y")</f>
        <v>52.069000000000003</v>
      </c>
      <c r="D31" s="13">
        <f>_xll.BDH("NBIX US Equity","T12M_EBITDA_AFTER_OPER_LEA_EXPN","FQ4 2019","FQ4 2019","Currency=USD","Period=FQ","BEST_FPERIOD_OVERRIDE=FQ","FILING_STATUS=MR","SCALING_FORMAT=MLN","FA_ADJUSTED=GAAP","Sort=A","Dates=H","DateFormat=P","Fill=—","Direction=H","UseDPDF=Y")</f>
        <v>79.762</v>
      </c>
      <c r="E31" s="13">
        <f>_xll.BDH("NBIX US Equity","T12M_EBITDA_AFTER_OPER_LEA_EXPN","FQ1 2020","FQ1 2020","Currency=USD","Period=FQ","BEST_FPERIOD_OVERRIDE=FQ","FILING_STATUS=MR","SCALING_FORMAT=MLN","FA_ADJUSTED=GAAP","Sort=A","Dates=H","DateFormat=P","Fill=—","Direction=H","UseDPDF=Y")</f>
        <v>240.19300000000001</v>
      </c>
      <c r="F31" s="13">
        <f>_xll.BDH("NBIX US Equity","T12M_EBITDA_AFTER_OPER_LEA_EXPN","FQ2 2020","FQ2 2020","Currency=USD","Period=FQ","BEST_FPERIOD_OVERRIDE=FQ","FILING_STATUS=MR","SCALING_FORMAT=MLN","FA_ADJUSTED=GAAP","Sort=A","Dates=H","DateFormat=P","Fill=—","Direction=H","UseDPDF=Y")</f>
        <v>282.64600000000002</v>
      </c>
      <c r="G31" s="13">
        <f>_xll.BDH("NBIX US Equity","T12M_EBITDA_AFTER_OPER_LEA_EXPN","FQ3 2020","FQ3 2020","Currency=USD","Period=FQ","BEST_FPERIOD_OVERRIDE=FQ","FILING_STATUS=MR","SCALING_FORMAT=MLN","FA_ADJUSTED=GAAP","Sort=A","Dates=H","DateFormat=P","Fill=—","Direction=H","UseDPDF=Y")</f>
        <v>148.43899999999999</v>
      </c>
      <c r="H31" s="13">
        <f>_xll.BDH("NBIX US Equity","T12M_EBITDA_AFTER_OPER_LEA_EXPN","FQ4 2020","FQ4 2020","Currency=USD","Period=FQ","BEST_FPERIOD_OVERRIDE=FQ","FILING_STATUS=MR","SCALING_FORMAT=MLN","FA_ADJUSTED=GAAP","Sort=A","Dates=H","DateFormat=P","Fill=—","Direction=H","UseDPDF=Y")</f>
        <v>171.6</v>
      </c>
      <c r="I31" s="13">
        <f>_xll.BDH("NBIX US Equity","T12M_EBITDA_AFTER_OPER_LEA_EXPN","FQ1 2021","FQ1 2021","Currency=USD","Period=FQ","BEST_FPERIOD_OVERRIDE=FQ","FILING_STATUS=MR","SCALING_FORMAT=MLN","FA_ADJUSTED=GAAP","Sort=A","Dates=H","DateFormat=P","Fill=—","Direction=H","UseDPDF=Y")</f>
        <v>144.6</v>
      </c>
      <c r="J31" s="13">
        <f>_xll.BDH("NBIX US Equity","T12M_EBITDA_AFTER_OPER_LEA_EXPN","FQ2 2021","FQ2 2021","Currency=USD","Period=FQ","BEST_FPERIOD_OVERRIDE=FQ","FILING_STATUS=MR","SCALING_FORMAT=MLN","FA_ADJUSTED=GAAP","Sort=A","Dates=H","DateFormat=P","Fill=—","Direction=H","UseDPDF=Y")</f>
        <v>131.30000000000001</v>
      </c>
      <c r="K31" s="13">
        <f>_xll.BDH("NBIX US Equity","T12M_EBITDA_AFTER_OPER_LEA_EXPN","FQ3 2021","FQ3 2021","Currency=USD","Period=FQ","BEST_FPERIOD_OVERRIDE=FQ","FILING_STATUS=MR","SCALING_FORMAT=MLN","FA_ADJUSTED=GAAP","Sort=A","Dates=H","DateFormat=P","Fill=—","Direction=H","UseDPDF=Y")</f>
        <v>220.7</v>
      </c>
      <c r="L31" s="13">
        <f>_xll.BDH("NBIX US Equity","T12M_EBITDA_AFTER_OPER_LEA_EXPN","FQ4 2021","FQ4 2021","Currency=USD","Period=FQ","BEST_FPERIOD_OVERRIDE=FQ","FILING_STATUS=MR","SCALING_FORMAT=MLN","FA_ADJUSTED=GAAP","Sort=A","Dates=H","DateFormat=P","Fill=—","Direction=H","UseDPDF=Y")</f>
        <v>113.4</v>
      </c>
      <c r="M31" s="13">
        <f>_xll.BDH("NBIX US Equity","T12M_EBITDA_AFTER_OPER_LEA_EXPN","FQ1 2022","FQ1 2022","Currency=USD","Period=FQ","BEST_FPERIOD_OVERRIDE=FQ","FILING_STATUS=MR","SCALING_FORMAT=MLN","FA_ADJUSTED=GAAP","Sort=A","Dates=H","DateFormat=P","Fill=—","Direction=H","UseDPDF=Y")</f>
        <v>85.8</v>
      </c>
      <c r="N31" s="13">
        <f>_xll.BDH("NBIX US Equity","T12M_EBITDA_AFTER_OPER_LEA_EXPN","FQ2 2022","FQ2 2022","Currency=USD","Period=FQ","BEST_FPERIOD_OVERRIDE=FQ","FILING_STATUS=MR","SCALING_FORMAT=MLN","FA_ADJUSTED=GAAP","Sort=A","Dates=H","DateFormat=P","Fill=—","Direction=H","UseDPDF=Y")</f>
        <v>79</v>
      </c>
      <c r="O31" s="13">
        <f>_xll.BDH("NBIX US Equity","T12M_EBITDA_AFTER_OPER_LEA_EXPN","FQ3 2022","FQ3 2022","Currency=USD","Period=FQ","BEST_FPERIOD_OVERRIDE=FQ","FILING_STATUS=MR","SCALING_FORMAT=MLN","FA_ADJUSTED=GAAP","Sort=A","Dates=H","DateFormat=P","Fill=—","Direction=H","UseDPDF=Y")</f>
        <v>123.5</v>
      </c>
      <c r="P31" s="13">
        <f>_xll.BDH("NBIX US Equity","T12M_EBITDA_AFTER_OPER_LEA_EXPN","FQ4 2022","FQ4 2022","Currency=USD","Period=FQ","BEST_FPERIOD_OVERRIDE=FQ","FILING_STATUS=MR","SCALING_FORMAT=MLN","FA_ADJUSTED=GAAP","Sort=A","Dates=H","DateFormat=P","Fill=—","Direction=H","UseDPDF=Y")</f>
        <v>264.60000000000002</v>
      </c>
      <c r="Q31" s="13">
        <f>_xll.BDH("NBIX US Equity","T12M_EBITDA_AFTER_OPER_LEA_EXPN","FQ1 2023","FQ1 2023","Currency=USD","Period=FQ","BEST_FPERIOD_OVERRIDE=FQ","FILING_STATUS=MR","SCALING_FORMAT=MLN","FA_ADJUSTED=GAAP","Sort=A","Dates=H","DateFormat=P","Fill=—","Direction=H","UseDPDF=Y")</f>
        <v>149</v>
      </c>
      <c r="R31" s="13">
        <f>_xll.BDH("NBIX US Equity","T12M_EBITDA_AFTER_OPER_LEA_EXPN","FQ2 2023","FQ2 2023","Currency=USD","Period=FQ","BEST_FPERIOD_OVERRIDE=FQ","FILING_STATUS=MR","SCALING_FORMAT=MLN","FA_ADJUSTED=GAAP","Sort=A","Dates=H","DateFormat=P","Fill=—","Direction=H","UseDPDF=Y")</f>
        <v>169.1</v>
      </c>
      <c r="S31" s="13">
        <f>_xll.BDH("NBIX US Equity","T12M_EBITDA_AFTER_OPER_LEA_EXPN","FQ3 2023","FQ3 2023","Currency=USD","Period=FQ","BEST_FPERIOD_OVERRIDE=FQ","FILING_STATUS=MR","SCALING_FORMAT=MLN","FA_ADJUSTED=GAAP","Sort=A","Dates=H","DateFormat=P","Fill=—","Direction=H","UseDPDF=Y")</f>
        <v>224</v>
      </c>
      <c r="T31" s="13">
        <f>_xll.BDH("NBIX US Equity","T12M_EBITDA_AFTER_OPER_LEA_EXPN","FQ4 2023","FQ4 2023","Currency=USD","Period=FQ","BEST_FPERIOD_OVERRIDE=FQ","FILING_STATUS=MR","SCALING_FORMAT=MLN","FA_ADJUSTED=GAAP","Sort=A","Dates=H","DateFormat=P","Fill=—","Direction=H","UseDPDF=Y")</f>
        <v>272.2</v>
      </c>
      <c r="U31" s="13">
        <f>_xll.BDH("NBIX US Equity","T12M_EBITDA_AFTER_OPER_LEA_EXPN","FQ1 2024","FQ1 2024","Currency=USD","Period=FQ","BEST_FPERIOD_OVERRIDE=FQ","FILING_STATUS=MR","SCALING_FORMAT=MLN","FA_ADJUSTED=GAAP","Sort=A","Dates=H","DateFormat=P","Fill=—","Direction=H","UseDPDF=Y")</f>
        <v>486.9</v>
      </c>
      <c r="V31" s="13">
        <f>_xll.BDH("NBIX US Equity","T12M_EBITDA_AFTER_OPER_LEA_EXPN","FQ2 2024","FQ2 2024","Currency=USD","Period=FQ","BEST_FPERIOD_OVERRIDE=FQ","FILING_STATUS=MR","SCALING_FORMAT=MLN","FA_ADJUSTED=GAAP","Sort=A","Dates=H","DateFormat=P","Fill=—","Direction=H","UseDPDF=Y")</f>
        <v>560.9</v>
      </c>
      <c r="W31" s="13">
        <f>_xll.BDH("NBIX US Equity","T12M_EBITDA_AFTER_OPER_LEA_EXPN","FQ3 2024","FQ3 2024","Currency=USD","Period=FQ","BEST_FPERIOD_OVERRIDE=FQ","FILING_STATUS=MR","SCALING_FORMAT=MLN","FA_ADJUSTED=GAAP","Sort=A","Dates=H","DateFormat=P","Fill=—","Direction=H","UseDPDF=Y")</f>
        <v>604.5</v>
      </c>
      <c r="X31" s="13">
        <f>_xll.BDH("NBIX US Equity","T12M_EBITDA_AFTER_OPER_LEA_EXPN","FQ4 2024","FQ4 2024","Currency=USD","Period=FQ","BEST_FPERIOD_OVERRIDE=FQ","FILING_STATUS=MR","SCALING_FORMAT=MLN","FA_ADJUSTED=GAAP","Sort=A","Dates=H","DateFormat=P","Fill=—","Direction=H","UseDPDF=Y")</f>
        <v>597.6</v>
      </c>
      <c r="Y31" s="16">
        <v>597.6</v>
      </c>
      <c r="Z31" s="13">
        <v>686.24300000000005</v>
      </c>
      <c r="AA31" s="13">
        <v>877.6</v>
      </c>
    </row>
    <row r="32" spans="1:27" x14ac:dyDescent="0.25">
      <c r="A32" s="10" t="s">
        <v>142</v>
      </c>
      <c r="B32" s="10" t="s">
        <v>309</v>
      </c>
      <c r="C32" s="13">
        <f>_xll.BDH("NBIX US Equity","T12_EBIT_AFT_OPER_LEASE_EXPN","FQ3 2019","FQ3 2019","Currency=USD","Period=FQ","BEST_FPERIOD_OVERRIDE=FQ","FILING_STATUS=MR","SCALING_FORMAT=MLN","FA_ADJUSTED=GAAP","Sort=A","Dates=H","DateFormat=P","Fill=—","Direction=H","UseDPDF=Y")</f>
        <v>45.433</v>
      </c>
      <c r="D32" s="13">
        <f>_xll.BDH("NBIX US Equity","T12_EBIT_AFT_OPER_LEASE_EXPN","FQ4 2019","FQ4 2019","Currency=USD","Period=FQ","BEST_FPERIOD_OVERRIDE=FQ","FILING_STATUS=MR","SCALING_FORMAT=MLN","FA_ADJUSTED=GAAP","Sort=A","Dates=H","DateFormat=P","Fill=—","Direction=H","UseDPDF=Y")</f>
        <v>72.361999999999995</v>
      </c>
      <c r="E32" s="13">
        <f>_xll.BDH("NBIX US Equity","T12_EBIT_AFT_OPER_LEASE_EXPN","FQ1 2020","FQ1 2020","Currency=USD","Period=FQ","BEST_FPERIOD_OVERRIDE=FQ","FILING_STATUS=MR","SCALING_FORMAT=MLN","FA_ADJUSTED=GAAP","Sort=A","Dates=H","DateFormat=P","Fill=—","Direction=H","UseDPDF=Y")</f>
        <v>232.25899999999999</v>
      </c>
      <c r="F32" s="13">
        <f>_xll.BDH("NBIX US Equity","T12_EBIT_AFT_OPER_LEASE_EXPN","FQ2 2020","FQ2 2020","Currency=USD","Period=FQ","BEST_FPERIOD_OVERRIDE=FQ","FILING_STATUS=MR","SCALING_FORMAT=MLN","FA_ADJUSTED=GAAP","Sort=A","Dates=H","DateFormat=P","Fill=—","Direction=H","UseDPDF=Y")</f>
        <v>274.39800000000002</v>
      </c>
      <c r="G32" s="13">
        <f>_xll.BDH("NBIX US Equity","T12_EBIT_AFT_OPER_LEASE_EXPN","FQ3 2020","FQ3 2020","Currency=USD","Period=FQ","BEST_FPERIOD_OVERRIDE=FQ","FILING_STATUS=MR","SCALING_FORMAT=MLN","FA_ADJUSTED=GAAP","Sort=A","Dates=H","DateFormat=P","Fill=—","Direction=H","UseDPDF=Y")</f>
        <v>140</v>
      </c>
      <c r="H32" s="13">
        <f>_xll.BDH("NBIX US Equity","T12_EBIT_AFT_OPER_LEASE_EXPN","FQ4 2020","FQ4 2020","Currency=USD","Period=FQ","BEST_FPERIOD_OVERRIDE=FQ","FILING_STATUS=MR","SCALING_FORMAT=MLN","FA_ADJUSTED=GAAP","Sort=A","Dates=H","DateFormat=P","Fill=—","Direction=H","UseDPDF=Y")</f>
        <v>163</v>
      </c>
      <c r="I32" s="13">
        <f>_xll.BDH("NBIX US Equity","T12_EBIT_AFT_OPER_LEASE_EXPN","FQ1 2021","FQ1 2021","Currency=USD","Period=FQ","BEST_FPERIOD_OVERRIDE=FQ","FILING_STATUS=MR","SCALING_FORMAT=MLN","FA_ADJUSTED=GAAP","Sort=A","Dates=H","DateFormat=P","Fill=—","Direction=H","UseDPDF=Y")</f>
        <v>135.6</v>
      </c>
      <c r="J32" s="13">
        <f>_xll.BDH("NBIX US Equity","T12_EBIT_AFT_OPER_LEASE_EXPN","FQ2 2021","FQ2 2021","Currency=USD","Period=FQ","BEST_FPERIOD_OVERRIDE=FQ","FILING_STATUS=MR","SCALING_FORMAT=MLN","FA_ADJUSTED=GAAP","Sort=A","Dates=H","DateFormat=P","Fill=—","Direction=H","UseDPDF=Y")</f>
        <v>121.8</v>
      </c>
      <c r="K32" s="13">
        <f>_xll.BDH("NBIX US Equity","T12_EBIT_AFT_OPER_LEASE_EXPN","FQ3 2021","FQ3 2021","Currency=USD","Period=FQ","BEST_FPERIOD_OVERRIDE=FQ","FILING_STATUS=MR","SCALING_FORMAT=MLN","FA_ADJUSTED=GAAP","Sort=A","Dates=H","DateFormat=P","Fill=—","Direction=H","UseDPDF=Y")</f>
        <v>210.6</v>
      </c>
      <c r="L32" s="13">
        <f>_xll.BDH("NBIX US Equity","T12_EBIT_AFT_OPER_LEASE_EXPN","FQ4 2021","FQ4 2021","Currency=USD","Period=FQ","BEST_FPERIOD_OVERRIDE=FQ","FILING_STATUS=MR","SCALING_FORMAT=MLN","FA_ADJUSTED=GAAP","Sort=A","Dates=H","DateFormat=P","Fill=—","Direction=H","UseDPDF=Y")</f>
        <v>102.5</v>
      </c>
      <c r="M32" s="13">
        <f>_xll.BDH("NBIX US Equity","T12_EBIT_AFT_OPER_LEASE_EXPN","FQ1 2022","FQ1 2022","Currency=USD","Period=FQ","BEST_FPERIOD_OVERRIDE=FQ","FILING_STATUS=MR","SCALING_FORMAT=MLN","FA_ADJUSTED=GAAP","Sort=A","Dates=H","DateFormat=P","Fill=—","Direction=H","UseDPDF=Y")</f>
        <v>74.099999999999994</v>
      </c>
      <c r="N32" s="13">
        <f>_xll.BDH("NBIX US Equity","T12_EBIT_AFT_OPER_LEASE_EXPN","FQ2 2022","FQ2 2022","Currency=USD","Period=FQ","BEST_FPERIOD_OVERRIDE=FQ","FILING_STATUS=MR","SCALING_FORMAT=MLN","FA_ADJUSTED=GAAP","Sort=A","Dates=H","DateFormat=P","Fill=—","Direction=H","UseDPDF=Y")</f>
        <v>66</v>
      </c>
      <c r="O32" s="13">
        <f>_xll.BDH("NBIX US Equity","T12_EBIT_AFT_OPER_LEASE_EXPN","FQ3 2022","FQ3 2022","Currency=USD","Period=FQ","BEST_FPERIOD_OVERRIDE=FQ","FILING_STATUS=MR","SCALING_FORMAT=MLN","FA_ADJUSTED=GAAP","Sort=A","Dates=H","DateFormat=P","Fill=—","Direction=H","UseDPDF=Y")</f>
        <v>109.3</v>
      </c>
      <c r="P32" s="13">
        <f>_xll.BDH("NBIX US Equity","T12_EBIT_AFT_OPER_LEASE_EXPN","FQ4 2022","FQ4 2022","Currency=USD","Period=FQ","BEST_FPERIOD_OVERRIDE=FQ","FILING_STATUS=MR","SCALING_FORMAT=MLN","FA_ADJUSTED=GAAP","Sort=A","Dates=H","DateFormat=P","Fill=—","Direction=H","UseDPDF=Y")</f>
        <v>249</v>
      </c>
      <c r="Q32" s="13">
        <f>_xll.BDH("NBIX US Equity","T12_EBIT_AFT_OPER_LEASE_EXPN","FQ1 2023","FQ1 2023","Currency=USD","Period=FQ","BEST_FPERIOD_OVERRIDE=FQ","FILING_STATUS=MR","SCALING_FORMAT=MLN","FA_ADJUSTED=GAAP","Sort=A","Dates=H","DateFormat=P","Fill=—","Direction=H","UseDPDF=Y")</f>
        <v>131.69999999999999</v>
      </c>
      <c r="R32" s="13">
        <f>_xll.BDH("NBIX US Equity","T12_EBIT_AFT_OPER_LEASE_EXPN","FQ2 2023","FQ2 2023","Currency=USD","Period=FQ","BEST_FPERIOD_OVERRIDE=FQ","FILING_STATUS=MR","SCALING_FORMAT=MLN","FA_ADJUSTED=GAAP","Sort=A","Dates=H","DateFormat=P","Fill=—","Direction=H","UseDPDF=Y")</f>
        <v>150.6</v>
      </c>
      <c r="S32" s="13">
        <f>_xll.BDH("NBIX US Equity","T12_EBIT_AFT_OPER_LEASE_EXPN","FQ3 2023","FQ3 2023","Currency=USD","Period=FQ","BEST_FPERIOD_OVERRIDE=FQ","FILING_STATUS=MR","SCALING_FORMAT=MLN","FA_ADJUSTED=GAAP","Sort=A","Dates=H","DateFormat=P","Fill=—","Direction=H","UseDPDF=Y")</f>
        <v>204</v>
      </c>
      <c r="T32" s="13">
        <f>_xll.BDH("NBIX US Equity","T12_EBIT_AFT_OPER_LEASE_EXPN","FQ4 2023","FQ4 2023","Currency=USD","Period=FQ","BEST_FPERIOD_OVERRIDE=FQ","FILING_STATUS=MR","SCALING_FORMAT=MLN","FA_ADJUSTED=GAAP","Sort=A","Dates=H","DateFormat=P","Fill=—","Direction=H","UseDPDF=Y")</f>
        <v>250.9</v>
      </c>
      <c r="U32" s="13">
        <f>_xll.BDH("NBIX US Equity","T12_EBIT_AFT_OPER_LEASE_EXPN","FQ1 2024","FQ1 2024","Currency=USD","Period=FQ","BEST_FPERIOD_OVERRIDE=FQ","FILING_STATUS=MR","SCALING_FORMAT=MLN","FA_ADJUSTED=GAAP","Sort=A","Dates=H","DateFormat=P","Fill=—","Direction=H","UseDPDF=Y")</f>
        <v>464.4</v>
      </c>
      <c r="V32" s="13">
        <f>_xll.BDH("NBIX US Equity","T12_EBIT_AFT_OPER_LEASE_EXPN","FQ2 2024","FQ2 2024","Currency=USD","Period=FQ","BEST_FPERIOD_OVERRIDE=FQ","FILING_STATUS=MR","SCALING_FORMAT=MLN","FA_ADJUSTED=GAAP","Sort=A","Dates=H","DateFormat=P","Fill=—","Direction=H","UseDPDF=Y")</f>
        <v>536.20000000000005</v>
      </c>
      <c r="W32" s="13">
        <f>_xll.BDH("NBIX US Equity","T12_EBIT_AFT_OPER_LEASE_EXPN","FQ3 2024","FQ3 2024","Currency=USD","Period=FQ","BEST_FPERIOD_OVERRIDE=FQ","FILING_STATUS=MR","SCALING_FORMAT=MLN","FA_ADJUSTED=GAAP","Sort=A","Dates=H","DateFormat=P","Fill=—","Direction=H","UseDPDF=Y")</f>
        <v>578.79999999999995</v>
      </c>
      <c r="X32" s="13">
        <f>_xll.BDH("NBIX US Equity","T12_EBIT_AFT_OPER_LEASE_EXPN","FQ4 2024","FQ4 2024","Currency=USD","Period=FQ","BEST_FPERIOD_OVERRIDE=FQ","FILING_STATUS=MR","SCALING_FORMAT=MLN","FA_ADJUSTED=GAAP","Sort=A","Dates=H","DateFormat=P","Fill=—","Direction=H","UseDPDF=Y")</f>
        <v>570.5</v>
      </c>
      <c r="Y32" s="16">
        <v>570.5</v>
      </c>
      <c r="Z32" s="13">
        <v>558.16999999999996</v>
      </c>
      <c r="AA32" s="13">
        <v>646.07299999999998</v>
      </c>
    </row>
    <row r="33" spans="1:27" x14ac:dyDescent="0.25">
      <c r="A33" s="10" t="s">
        <v>202</v>
      </c>
      <c r="B33" s="10" t="s">
        <v>310</v>
      </c>
      <c r="C33" s="13">
        <f>_xll.BDH("NBIX US Equity","T12_CF_TO_FIRM_AFT_OP_LEA_PYMTS","FQ3 2019","FQ3 2019","Currency=USD","Period=FQ","BEST_FPERIOD_OVERRIDE=FQ","FILING_STATUS=MR","SCALING_FORMAT=MLN","FA_ADJUSTED=GAAP","Sort=A","Dates=H","DateFormat=P","Fill=—","Direction=H","UseDPDF=Y")</f>
        <v>124.9011</v>
      </c>
      <c r="D33" s="13">
        <f>_xll.BDH("NBIX US Equity","T12_CF_TO_FIRM_AFT_OP_LEA_PYMTS","FQ4 2019","FQ4 2019","Currency=USD","Period=FQ","BEST_FPERIOD_OVERRIDE=FQ","FILING_STATUS=MR","SCALING_FORMAT=MLN","FA_ADJUSTED=GAAP","Sort=A","Dates=H","DateFormat=P","Fill=—","Direction=H","UseDPDF=Y")</f>
        <v>172.49469999999999</v>
      </c>
      <c r="E33" s="13">
        <f>_xll.BDH("NBIX US Equity","T12_CF_TO_FIRM_AFT_OP_LEA_PYMTS","FQ1 2020","FQ1 2020","Currency=USD","Period=FQ","BEST_FPERIOD_OVERRIDE=FQ","FILING_STATUS=MR","SCALING_FORMAT=MLN","FA_ADJUSTED=GAAP","Sort=A","Dates=H","DateFormat=P","Fill=—","Direction=H","UseDPDF=Y")</f>
        <v>325.39530000000002</v>
      </c>
      <c r="F33" s="13">
        <f>_xll.BDH("NBIX US Equity","T12_CF_TO_FIRM_AFT_OP_LEA_PYMTS","FQ2 2020","FQ2 2020","Currency=USD","Period=FQ","BEST_FPERIOD_OVERRIDE=FQ","FILING_STATUS=MR","SCALING_FORMAT=MLN","FA_ADJUSTED=GAAP","Sort=A","Dates=H","DateFormat=P","Fill=—","Direction=H","UseDPDF=Y")</f>
        <v>380.32369999999997</v>
      </c>
      <c r="G33" s="13">
        <f>_xll.BDH("NBIX US Equity","T12_CF_TO_FIRM_AFT_OP_LEA_PYMTS","FQ3 2020","FQ3 2020","Currency=USD","Period=FQ","BEST_FPERIOD_OVERRIDE=FQ","FILING_STATUS=MR","SCALING_FORMAT=MLN","FA_ADJUSTED=GAAP","Sort=A","Dates=H","DateFormat=P","Fill=—","Direction=H","UseDPDF=Y")</f>
        <v>261.43029999999999</v>
      </c>
      <c r="H33" s="13" t="str">
        <f>_xll.BDH("NBIX US Equity","T12_CF_TO_FIRM_AFT_OP_LEA_PYMTS","FQ4 2020","FQ4 2020","Currency=USD","Period=FQ","BEST_FPERIOD_OVERRIDE=FQ","FILING_STATUS=MR","SCALING_FORMAT=MLN","FA_ADJUSTED=GAAP","Sort=A","Dates=H","DateFormat=P","Fill=—","Direction=H","UseDPDF=Y")</f>
        <v>—</v>
      </c>
      <c r="I33" s="13" t="str">
        <f>_xll.BDH("NBIX US Equity","T12_CF_TO_FIRM_AFT_OP_LEA_PYMTS","FQ1 2021","FQ1 2021","Currency=USD","Period=FQ","BEST_FPERIOD_OVERRIDE=FQ","FILING_STATUS=MR","SCALING_FORMAT=MLN","FA_ADJUSTED=GAAP","Sort=A","Dates=H","DateFormat=P","Fill=—","Direction=H","UseDPDF=Y")</f>
        <v>—</v>
      </c>
      <c r="J33" s="13" t="str">
        <f>_xll.BDH("NBIX US Equity","T12_CF_TO_FIRM_AFT_OP_LEA_PYMTS","FQ2 2021","FQ2 2021","Currency=USD","Period=FQ","BEST_FPERIOD_OVERRIDE=FQ","FILING_STATUS=MR","SCALING_FORMAT=MLN","FA_ADJUSTED=GAAP","Sort=A","Dates=H","DateFormat=P","Fill=—","Direction=H","UseDPDF=Y")</f>
        <v>—</v>
      </c>
      <c r="K33" s="13" t="str">
        <f>_xll.BDH("NBIX US Equity","T12_CF_TO_FIRM_AFT_OP_LEA_PYMTS","FQ3 2021","FQ3 2021","Currency=USD","Period=FQ","BEST_FPERIOD_OVERRIDE=FQ","FILING_STATUS=MR","SCALING_FORMAT=MLN","FA_ADJUSTED=GAAP","Sort=A","Dates=H","DateFormat=P","Fill=—","Direction=H","UseDPDF=Y")</f>
        <v>—</v>
      </c>
      <c r="L33" s="13">
        <f>_xll.BDH("NBIX US Equity","T12_CF_TO_FIRM_AFT_OP_LEA_PYMTS","FQ4 2021","FQ4 2021","Currency=USD","Period=FQ","BEST_FPERIOD_OVERRIDE=FQ","FILING_STATUS=MR","SCALING_FORMAT=MLN","FA_ADJUSTED=GAAP","Sort=A","Dates=H","DateFormat=P","Fill=—","Direction=H","UseDPDF=Y")</f>
        <v>279.29759999999999</v>
      </c>
      <c r="M33" s="13">
        <f>_xll.BDH("NBIX US Equity","T12_CF_TO_FIRM_AFT_OP_LEA_PYMTS","FQ1 2022","FQ1 2022","Currency=USD","Period=FQ","BEST_FPERIOD_OVERRIDE=FQ","FILING_STATUS=MR","SCALING_FORMAT=MLN","FA_ADJUSTED=GAAP","Sort=A","Dates=H","DateFormat=P","Fill=—","Direction=H","UseDPDF=Y")</f>
        <v>145.131</v>
      </c>
      <c r="N33" s="13">
        <f>_xll.BDH("NBIX US Equity","T12_CF_TO_FIRM_AFT_OP_LEA_PYMTS","FQ2 2022","FQ2 2022","Currency=USD","Period=FQ","BEST_FPERIOD_OVERRIDE=FQ","FILING_STATUS=MR","SCALING_FORMAT=MLN","FA_ADJUSTED=GAAP","Sort=A","Dates=H","DateFormat=P","Fill=—","Direction=H","UseDPDF=Y")</f>
        <v>178.43780000000001</v>
      </c>
      <c r="O33" s="13">
        <f>_xll.BDH("NBIX US Equity","T12_CF_TO_FIRM_AFT_OP_LEA_PYMTS","FQ3 2022","FQ3 2022","Currency=USD","Period=FQ","BEST_FPERIOD_OVERRIDE=FQ","FILING_STATUS=MR","SCALING_FORMAT=MLN","FA_ADJUSTED=GAAP","Sort=A","Dates=H","DateFormat=P","Fill=—","Direction=H","UseDPDF=Y")</f>
        <v>209.52119999999999</v>
      </c>
      <c r="P33" s="13">
        <f>_xll.BDH("NBIX US Equity","T12_CF_TO_FIRM_AFT_OP_LEA_PYMTS","FQ4 2022","FQ4 2022","Currency=USD","Period=FQ","BEST_FPERIOD_OVERRIDE=FQ","FILING_STATUS=MR","SCALING_FORMAT=MLN","FA_ADJUSTED=GAAP","Sort=A","Dates=H","DateFormat=P","Fill=—","Direction=H","UseDPDF=Y")</f>
        <v>344.5283</v>
      </c>
      <c r="Q33" s="13">
        <f>_xll.BDH("NBIX US Equity","T12_CF_TO_FIRM_AFT_OP_LEA_PYMTS","FQ1 2023","FQ1 2023","Currency=USD","Period=FQ","BEST_FPERIOD_OVERRIDE=FQ","FILING_STATUS=MR","SCALING_FORMAT=MLN","FA_ADJUSTED=GAAP","Sort=A","Dates=H","DateFormat=P","Fill=—","Direction=H","UseDPDF=Y")</f>
        <v>258.71789999999999</v>
      </c>
      <c r="R33" s="13">
        <f>_xll.BDH("NBIX US Equity","T12_CF_TO_FIRM_AFT_OP_LEA_PYMTS","FQ2 2023","FQ2 2023","Currency=USD","Period=FQ","BEST_FPERIOD_OVERRIDE=FQ","FILING_STATUS=MR","SCALING_FORMAT=MLN","FA_ADJUSTED=GAAP","Sort=A","Dates=H","DateFormat=P","Fill=—","Direction=H","UseDPDF=Y")</f>
        <v>299.74160000000001</v>
      </c>
      <c r="S33" s="13">
        <f>_xll.BDH("NBIX US Equity","T12_CF_TO_FIRM_AFT_OP_LEA_PYMTS","FQ3 2023","FQ3 2023","Currency=USD","Period=FQ","BEST_FPERIOD_OVERRIDE=FQ","FILING_STATUS=MR","SCALING_FORMAT=MLN","FA_ADJUSTED=GAAP","Sort=A","Dates=H","DateFormat=P","Fill=—","Direction=H","UseDPDF=Y")</f>
        <v>412.88929999999999</v>
      </c>
      <c r="T33" s="13">
        <f>_xll.BDH("NBIX US Equity","T12_CF_TO_FIRM_AFT_OP_LEA_PYMTS","FQ4 2023","FQ4 2023","Currency=USD","Period=FQ","BEST_FPERIOD_OVERRIDE=FQ","FILING_STATUS=MR","SCALING_FORMAT=MLN","FA_ADJUSTED=GAAP","Sort=A","Dates=H","DateFormat=P","Fill=—","Direction=H","UseDPDF=Y")</f>
        <v>393.3587</v>
      </c>
      <c r="U33" s="13">
        <f>_xll.BDH("NBIX US Equity","T12_CF_TO_FIRM_AFT_OP_LEA_PYMTS","FQ1 2024","FQ1 2024","Currency=USD","Period=FQ","BEST_FPERIOD_OVERRIDE=FQ","FILING_STATUS=MR","SCALING_FORMAT=MLN","FA_ADJUSTED=GAAP","Sort=A","Dates=H","DateFormat=P","Fill=—","Direction=H","UseDPDF=Y")</f>
        <v>649.01909999999998</v>
      </c>
      <c r="V33" s="13" t="str">
        <f>_xll.BDH("NBIX US Equity","T12_CF_TO_FIRM_AFT_OP_LEA_PYMTS","FQ2 2024","FQ2 2024","Currency=USD","Period=FQ","BEST_FPERIOD_OVERRIDE=FQ","FILING_STATUS=MR","SCALING_FORMAT=MLN","FA_ADJUSTED=GAAP","Sort=A","Dates=H","DateFormat=P","Fill=—","Direction=H","UseDPDF=Y")</f>
        <v>—</v>
      </c>
      <c r="W33" s="13" t="str">
        <f>_xll.BDH("NBIX US Equity","T12_CF_TO_FIRM_AFT_OP_LEA_PYMTS","FQ3 2024","FQ3 2024","Currency=USD","Period=FQ","BEST_FPERIOD_OVERRIDE=FQ","FILING_STATUS=MR","SCALING_FORMAT=MLN","FA_ADJUSTED=GAAP","Sort=A","Dates=H","DateFormat=P","Fill=—","Direction=H","UseDPDF=Y")</f>
        <v>—</v>
      </c>
      <c r="X33" s="13" t="str">
        <f>_xll.BDH("NBIX US Equity","T12_CF_TO_FIRM_AFT_OP_LEA_PYMTS","FQ4 2024","FQ4 2024","Currency=USD","Period=FQ","BEST_FPERIOD_OVERRIDE=FQ","FILING_STATUS=MR","SCALING_FORMAT=MLN","FA_ADJUSTED=GAAP","Sort=A","Dates=H","DateFormat=P","Fill=—","Direction=H","UseDPDF=Y")</f>
        <v>—</v>
      </c>
      <c r="Y33" s="16"/>
      <c r="Z33" s="13"/>
      <c r="AA33" s="13"/>
    </row>
    <row r="34" spans="1:27" x14ac:dyDescent="0.25">
      <c r="A34" s="10" t="s">
        <v>204</v>
      </c>
      <c r="B34" s="10" t="s">
        <v>311</v>
      </c>
      <c r="C34" s="13">
        <f>_xll.BDH("NBIX US Equity","T12_FCF_TO_FIRM_AFT_OP_LEA_PYMTS","FQ3 2019","FQ3 2019","Currency=USD","Period=FQ","BEST_FPERIOD_OVERRIDE=FQ","FILING_STATUS=MR","SCALING_FORMAT=MLN","FA_ADJUSTED=GAAP","Sort=A","Dates=H","DateFormat=P","Fill=—","Direction=H","UseDPDF=Y")</f>
        <v>106.9551</v>
      </c>
      <c r="D34" s="13">
        <f>_xll.BDH("NBIX US Equity","T12_FCF_TO_FIRM_AFT_OP_LEA_PYMTS","FQ4 2019","FQ4 2019","Currency=USD","Period=FQ","BEST_FPERIOD_OVERRIDE=FQ","FILING_STATUS=MR","SCALING_FORMAT=MLN","FA_ADJUSTED=GAAP","Sort=A","Dates=H","DateFormat=P","Fill=—","Direction=H","UseDPDF=Y")</f>
        <v>157.7867</v>
      </c>
      <c r="E34" s="13">
        <f>_xll.BDH("NBIX US Equity","T12_FCF_TO_FIRM_AFT_OP_LEA_PYMTS","FQ1 2020","FQ1 2020","Currency=USD","Period=FQ","BEST_FPERIOD_OVERRIDE=FQ","FILING_STATUS=MR","SCALING_FORMAT=MLN","FA_ADJUSTED=GAAP","Sort=A","Dates=H","DateFormat=P","Fill=—","Direction=H","UseDPDF=Y")</f>
        <v>313.3263</v>
      </c>
      <c r="F34" s="13">
        <f>_xll.BDH("NBIX US Equity","T12_FCF_TO_FIRM_AFT_OP_LEA_PYMTS","FQ2 2020","FQ2 2020","Currency=USD","Period=FQ","BEST_FPERIOD_OVERRIDE=FQ","FILING_STATUS=MR","SCALING_FORMAT=MLN","FA_ADJUSTED=GAAP","Sort=A","Dates=H","DateFormat=P","Fill=—","Direction=H","UseDPDF=Y")</f>
        <v>368.0077</v>
      </c>
      <c r="G34" s="13">
        <f>_xll.BDH("NBIX US Equity","T12_FCF_TO_FIRM_AFT_OP_LEA_PYMTS","FQ3 2020","FQ3 2020","Currency=USD","Period=FQ","BEST_FPERIOD_OVERRIDE=FQ","FILING_STATUS=MR","SCALING_FORMAT=MLN","FA_ADJUSTED=GAAP","Sort=A","Dates=H","DateFormat=P","Fill=—","Direction=H","UseDPDF=Y")</f>
        <v>252.25829999999999</v>
      </c>
      <c r="H34" s="13" t="str">
        <f>_xll.BDH("NBIX US Equity","T12_FCF_TO_FIRM_AFT_OP_LEA_PYMTS","FQ4 2020","FQ4 2020","Currency=USD","Period=FQ","BEST_FPERIOD_OVERRIDE=FQ","FILING_STATUS=MR","SCALING_FORMAT=MLN","FA_ADJUSTED=GAAP","Sort=A","Dates=H","DateFormat=P","Fill=—","Direction=H","UseDPDF=Y")</f>
        <v>—</v>
      </c>
      <c r="I34" s="13" t="str">
        <f>_xll.BDH("NBIX US Equity","T12_FCF_TO_FIRM_AFT_OP_LEA_PYMTS","FQ1 2021","FQ1 2021","Currency=USD","Period=FQ","BEST_FPERIOD_OVERRIDE=FQ","FILING_STATUS=MR","SCALING_FORMAT=MLN","FA_ADJUSTED=GAAP","Sort=A","Dates=H","DateFormat=P","Fill=—","Direction=H","UseDPDF=Y")</f>
        <v>—</v>
      </c>
      <c r="J34" s="13" t="str">
        <f>_xll.BDH("NBIX US Equity","T12_FCF_TO_FIRM_AFT_OP_LEA_PYMTS","FQ2 2021","FQ2 2021","Currency=USD","Period=FQ","BEST_FPERIOD_OVERRIDE=FQ","FILING_STATUS=MR","SCALING_FORMAT=MLN","FA_ADJUSTED=GAAP","Sort=A","Dates=H","DateFormat=P","Fill=—","Direction=H","UseDPDF=Y")</f>
        <v>—</v>
      </c>
      <c r="K34" s="13" t="str">
        <f>_xll.BDH("NBIX US Equity","T12_FCF_TO_FIRM_AFT_OP_LEA_PYMTS","FQ3 2021","FQ3 2021","Currency=USD","Period=FQ","BEST_FPERIOD_OVERRIDE=FQ","FILING_STATUS=MR","SCALING_FORMAT=MLN","FA_ADJUSTED=GAAP","Sort=A","Dates=H","DateFormat=P","Fill=—","Direction=H","UseDPDF=Y")</f>
        <v>—</v>
      </c>
      <c r="L34" s="13">
        <f>_xll.BDH("NBIX US Equity","T12_FCF_TO_FIRM_AFT_OP_LEA_PYMTS","FQ4 2021","FQ4 2021","Currency=USD","Period=FQ","BEST_FPERIOD_OVERRIDE=FQ","FILING_STATUS=MR","SCALING_FORMAT=MLN","FA_ADJUSTED=GAAP","Sort=A","Dates=H","DateFormat=P","Fill=—","Direction=H","UseDPDF=Y")</f>
        <v>255.89760000000001</v>
      </c>
      <c r="M34" s="13">
        <f>_xll.BDH("NBIX US Equity","T12_FCF_TO_FIRM_AFT_OP_LEA_PYMTS","FQ1 2022","FQ1 2022","Currency=USD","Period=FQ","BEST_FPERIOD_OVERRIDE=FQ","FILING_STATUS=MR","SCALING_FORMAT=MLN","FA_ADJUSTED=GAAP","Sort=A","Dates=H","DateFormat=P","Fill=—","Direction=H","UseDPDF=Y")</f>
        <v>118.631</v>
      </c>
      <c r="N34" s="13">
        <f>_xll.BDH("NBIX US Equity","T12_FCF_TO_FIRM_AFT_OP_LEA_PYMTS","FQ2 2022","FQ2 2022","Currency=USD","Period=FQ","BEST_FPERIOD_OVERRIDE=FQ","FILING_STATUS=MR","SCALING_FORMAT=MLN","FA_ADJUSTED=GAAP","Sort=A","Dates=H","DateFormat=P","Fill=—","Direction=H","UseDPDF=Y")</f>
        <v>147.43780000000001</v>
      </c>
      <c r="O34" s="13" t="str">
        <f>_xll.BDH("NBIX US Equity","T12_FCF_TO_FIRM_AFT_OP_LEA_PYMTS","FQ3 2022","FQ3 2022","Currency=USD","Period=FQ","BEST_FPERIOD_OVERRIDE=FQ","FILING_STATUS=MR","SCALING_FORMAT=MLN","FA_ADJUSTED=GAAP","Sort=A","Dates=H","DateFormat=P","Fill=—","Direction=H","UseDPDF=Y")</f>
        <v>—</v>
      </c>
      <c r="P34" s="13" t="str">
        <f>_xll.BDH("NBIX US Equity","T12_FCF_TO_FIRM_AFT_OP_LEA_PYMTS","FQ4 2022","FQ4 2022","Currency=USD","Period=FQ","BEST_FPERIOD_OVERRIDE=FQ","FILING_STATUS=MR","SCALING_FORMAT=MLN","FA_ADJUSTED=GAAP","Sort=A","Dates=H","DateFormat=P","Fill=—","Direction=H","UseDPDF=Y")</f>
        <v>—</v>
      </c>
      <c r="Q34" s="13" t="str">
        <f>_xll.BDH("NBIX US Equity","T12_FCF_TO_FIRM_AFT_OP_LEA_PYMTS","FQ1 2023","FQ1 2023","Currency=USD","Period=FQ","BEST_FPERIOD_OVERRIDE=FQ","FILING_STATUS=MR","SCALING_FORMAT=MLN","FA_ADJUSTED=GAAP","Sort=A","Dates=H","DateFormat=P","Fill=—","Direction=H","UseDPDF=Y")</f>
        <v>—</v>
      </c>
      <c r="R34" s="13" t="str">
        <f>_xll.BDH("NBIX US Equity","T12_FCF_TO_FIRM_AFT_OP_LEA_PYMTS","FQ2 2023","FQ2 2023","Currency=USD","Period=FQ","BEST_FPERIOD_OVERRIDE=FQ","FILING_STATUS=MR","SCALING_FORMAT=MLN","FA_ADJUSTED=GAAP","Sort=A","Dates=H","DateFormat=P","Fill=—","Direction=H","UseDPDF=Y")</f>
        <v>—</v>
      </c>
      <c r="S34" s="13">
        <f>_xll.BDH("NBIX US Equity","T12_FCF_TO_FIRM_AFT_OP_LEA_PYMTS","FQ3 2023","FQ3 2023","Currency=USD","Period=FQ","BEST_FPERIOD_OVERRIDE=FQ","FILING_STATUS=MR","SCALING_FORMAT=MLN","FA_ADJUSTED=GAAP","Sort=A","Dates=H","DateFormat=P","Fill=—","Direction=H","UseDPDF=Y")</f>
        <v>388.1893</v>
      </c>
      <c r="T34" s="13">
        <f>_xll.BDH("NBIX US Equity","T12_FCF_TO_FIRM_AFT_OP_LEA_PYMTS","FQ4 2023","FQ4 2023","Currency=USD","Period=FQ","BEST_FPERIOD_OVERRIDE=FQ","FILING_STATUS=MR","SCALING_FORMAT=MLN","FA_ADJUSTED=GAAP","Sort=A","Dates=H","DateFormat=P","Fill=—","Direction=H","UseDPDF=Y")</f>
        <v>365.05869999999999</v>
      </c>
      <c r="U34" s="13">
        <f>_xll.BDH("NBIX US Equity","T12_FCF_TO_FIRM_AFT_OP_LEA_PYMTS","FQ1 2024","FQ1 2024","Currency=USD","Period=FQ","BEST_FPERIOD_OVERRIDE=FQ","FILING_STATUS=MR","SCALING_FORMAT=MLN","FA_ADJUSTED=GAAP","Sort=A","Dates=H","DateFormat=P","Fill=—","Direction=H","UseDPDF=Y")</f>
        <v>618.01909999999998</v>
      </c>
      <c r="V34" s="13" t="str">
        <f>_xll.BDH("NBIX US Equity","T12_FCF_TO_FIRM_AFT_OP_LEA_PYMTS","FQ2 2024","FQ2 2024","Currency=USD","Period=FQ","BEST_FPERIOD_OVERRIDE=FQ","FILING_STATUS=MR","SCALING_FORMAT=MLN","FA_ADJUSTED=GAAP","Sort=A","Dates=H","DateFormat=P","Fill=—","Direction=H","UseDPDF=Y")</f>
        <v>—</v>
      </c>
      <c r="W34" s="13" t="str">
        <f>_xll.BDH("NBIX US Equity","T12_FCF_TO_FIRM_AFT_OP_LEA_PYMTS","FQ3 2024","FQ3 2024","Currency=USD","Period=FQ","BEST_FPERIOD_OVERRIDE=FQ","FILING_STATUS=MR","SCALING_FORMAT=MLN","FA_ADJUSTED=GAAP","Sort=A","Dates=H","DateFormat=P","Fill=—","Direction=H","UseDPDF=Y")</f>
        <v>—</v>
      </c>
      <c r="X34" s="13" t="str">
        <f>_xll.BDH("NBIX US Equity","T12_FCF_TO_FIRM_AFT_OP_LEA_PYMTS","FQ4 2024","FQ4 2024","Currency=USD","Period=FQ","BEST_FPERIOD_OVERRIDE=FQ","FILING_STATUS=MR","SCALING_FORMAT=MLN","FA_ADJUSTED=GAAP","Sort=A","Dates=H","DateFormat=P","Fill=—","Direction=H","UseDPDF=Y")</f>
        <v>—</v>
      </c>
      <c r="Y34" s="16"/>
      <c r="Z34" s="13"/>
      <c r="AA34" s="13"/>
    </row>
    <row r="35" spans="1:27" x14ac:dyDescent="0.25">
      <c r="A35" s="7" t="s">
        <v>90</v>
      </c>
      <c r="B35" s="7"/>
      <c r="C35" s="7" t="s">
        <v>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_xll.BDH("NBIX US Equity","SALES_REV_TURN","FQ2 2019","FQ2 2019","Currency=USD","Period=FQ","BEST_FPERIOD_OVERRIDE=FQ","FILING_STATUS=MR","SCALING_FORMAT=MLN","FA_ADJUSTED=Adjusted","Sort=A","Dates=H","DateFormat=P","Fill=—","Direction=H","UseDPDF=Y")</f>
        <v>183.58</v>
      </c>
      <c r="D6" s="19">
        <f>_xll.BDH("NBIX US Equity","SALES_REV_TURN","FQ3 2019","FQ3 2019","Currency=USD","Period=FQ","BEST_FPERIOD_OVERRIDE=FQ","FILING_STATUS=MR","SCALING_FORMAT=MLN","FA_ADJUSTED=Adjusted","Sort=A","Dates=H","DateFormat=P","Fill=—","Direction=H","UseDPDF=Y")</f>
        <v>222.09399999999999</v>
      </c>
      <c r="E6" s="19">
        <f>_xll.BDH("NBIX US Equity","SALES_REV_TURN","FQ4 2019","FQ4 2019","Currency=USD","Period=FQ","BEST_FPERIOD_OVERRIDE=FQ","FILING_STATUS=MR","SCALING_FORMAT=MLN","FA_ADJUSTED=Adjusted","Sort=A","Dates=H","DateFormat=P","Fill=—","Direction=H","UseDPDF=Y")</f>
        <v>244.1</v>
      </c>
      <c r="F6" s="19">
        <f>_xll.BDH("NBIX US Equity","SALES_REV_TURN","FQ1 2020","FQ1 2020","Currency=USD","Period=FQ","BEST_FPERIOD_OVERRIDE=FQ","FILING_STATUS=MR","SCALING_FORMAT=MLN","FA_ADJUSTED=Adjusted","Sort=A","Dates=H","DateFormat=P","Fill=—","Direction=H","UseDPDF=Y")</f>
        <v>237.1</v>
      </c>
      <c r="G6" s="19">
        <f>_xll.BDH("NBIX US Equity","SALES_REV_TURN","FQ2 2020","FQ2 2020","Currency=USD","Period=FQ","BEST_FPERIOD_OVERRIDE=FQ","FILING_STATUS=MR","SCALING_FORMAT=MLN","FA_ADJUSTED=Adjusted","Sort=A","Dates=H","DateFormat=P","Fill=—","Direction=H","UseDPDF=Y")</f>
        <v>302.39999999999998</v>
      </c>
      <c r="H6" s="19">
        <f>_xll.BDH("NBIX US Equity","SALES_REV_TURN","FQ3 2020","FQ3 2020","Currency=USD","Period=FQ","BEST_FPERIOD_OVERRIDE=FQ","FILING_STATUS=MR","SCALING_FORMAT=MLN","FA_ADJUSTED=Adjusted","Sort=A","Dates=H","DateFormat=P","Fill=—","Direction=H","UseDPDF=Y")</f>
        <v>258.5</v>
      </c>
      <c r="I6" s="19">
        <f>_xll.BDH("NBIX US Equity","SALES_REV_TURN","FQ4 2020","FQ4 2020","Currency=USD","Period=FQ","BEST_FPERIOD_OVERRIDE=FQ","FILING_STATUS=MR","SCALING_FORMAT=MLN","FA_ADJUSTED=Adjusted","Sort=A","Dates=H","DateFormat=P","Fill=—","Direction=H","UseDPDF=Y")</f>
        <v>247.9</v>
      </c>
      <c r="J6" s="19">
        <f>_xll.BDH("NBIX US Equity","SALES_REV_TURN","FQ1 2021","FQ1 2021","Currency=USD","Period=FQ","BEST_FPERIOD_OVERRIDE=FQ","FILING_STATUS=MR","SCALING_FORMAT=MLN","FA_ADJUSTED=Adjusted","Sort=A","Dates=H","DateFormat=P","Fill=—","Direction=H","UseDPDF=Y")</f>
        <v>236.6</v>
      </c>
      <c r="K6" s="19">
        <f>_xll.BDH("NBIX US Equity","SALES_REV_TURN","FQ2 2021","FQ2 2021","Currency=USD","Period=FQ","BEST_FPERIOD_OVERRIDE=FQ","FILING_STATUS=MR","SCALING_FORMAT=MLN","FA_ADJUSTED=Adjusted","Sort=A","Dates=H","DateFormat=P","Fill=—","Direction=H","UseDPDF=Y")</f>
        <v>288.89999999999998</v>
      </c>
      <c r="L6" s="19">
        <f>_xll.BDH("NBIX US Equity","SALES_REV_TURN","FQ3 2021","FQ3 2021","Currency=USD","Period=FQ","BEST_FPERIOD_OVERRIDE=FQ","FILING_STATUS=MR","SCALING_FORMAT=MLN","FA_ADJUSTED=Adjusted","Sort=A","Dates=H","DateFormat=P","Fill=—","Direction=H","UseDPDF=Y")</f>
        <v>296</v>
      </c>
      <c r="M6" s="19">
        <f>_xll.BDH("NBIX US Equity","SALES_REV_TURN","FQ4 2021","FQ4 2021","Currency=USD","Period=FQ","BEST_FPERIOD_OVERRIDE=FQ","FILING_STATUS=MR","SCALING_FORMAT=MLN","FA_ADJUSTED=Adjusted","Sort=A","Dates=H","DateFormat=P","Fill=—","Direction=H","UseDPDF=Y")</f>
        <v>312</v>
      </c>
      <c r="N6" s="19">
        <f>_xll.BDH("NBIX US Equity","SALES_REV_TURN","FQ1 2022","FQ1 2022","Currency=USD","Period=FQ","BEST_FPERIOD_OVERRIDE=FQ","FILING_STATUS=MR","SCALING_FORMAT=MLN","FA_ADJUSTED=Adjusted","Sort=A","Dates=H","DateFormat=P","Fill=—","Direction=H","UseDPDF=Y")</f>
        <v>310.60000000000002</v>
      </c>
      <c r="O6" s="19">
        <f>_xll.BDH("NBIX US Equity","SALES_REV_TURN","FQ2 2022","FQ2 2022","Currency=USD","Period=FQ","BEST_FPERIOD_OVERRIDE=FQ","FILING_STATUS=MR","SCALING_FORMAT=MLN","FA_ADJUSTED=Adjusted","Sort=A","Dates=H","DateFormat=P","Fill=—","Direction=H","UseDPDF=Y")</f>
        <v>378.2</v>
      </c>
      <c r="P6" s="19">
        <f>_xll.BDH("NBIX US Equity","SALES_REV_TURN","FQ3 2022","FQ3 2022","Currency=USD","Period=FQ","BEST_FPERIOD_OVERRIDE=FQ","FILING_STATUS=MR","SCALING_FORMAT=MLN","FA_ADJUSTED=Adjusted","Sort=A","Dates=H","DateFormat=P","Fill=—","Direction=H","UseDPDF=Y")</f>
        <v>387.9</v>
      </c>
      <c r="Q6" s="19">
        <f>_xll.BDH("NBIX US Equity","SALES_REV_TURN","FQ4 2022","FQ4 2022","Currency=USD","Period=FQ","BEST_FPERIOD_OVERRIDE=FQ","FILING_STATUS=MR","SCALING_FORMAT=MLN","FA_ADJUSTED=Adjusted","Sort=A","Dates=H","DateFormat=P","Fill=—","Direction=H","UseDPDF=Y")</f>
        <v>412</v>
      </c>
      <c r="R6" s="19">
        <f>_xll.BDH("NBIX US Equity","SALES_REV_TURN","FQ1 2023","FQ1 2023","Currency=USD","Period=FQ","BEST_FPERIOD_OVERRIDE=FQ","FILING_STATUS=MR","SCALING_FORMAT=MLN","FA_ADJUSTED=Adjusted","Sort=A","Dates=H","DateFormat=P","Fill=—","Direction=H","UseDPDF=Y")</f>
        <v>420.4</v>
      </c>
      <c r="S6" s="19">
        <f>_xll.BDH("NBIX US Equity","SALES_REV_TURN","FQ2 2023","FQ2 2023","Currency=USD","Period=FQ","BEST_FPERIOD_OVERRIDE=FQ","FILING_STATUS=MR","SCALING_FORMAT=MLN","FA_ADJUSTED=Adjusted","Sort=A","Dates=H","DateFormat=P","Fill=—","Direction=H","UseDPDF=Y")</f>
        <v>452.7</v>
      </c>
      <c r="T6" s="19">
        <f>_xll.BDH("NBIX US Equity","SALES_REV_TURN","FQ3 2023","FQ3 2023","Currency=USD","Period=FQ","BEST_FPERIOD_OVERRIDE=FQ","FILING_STATUS=MR","SCALING_FORMAT=MLN","FA_ADJUSTED=Adjusted","Sort=A","Dates=H","DateFormat=P","Fill=—","Direction=H","UseDPDF=Y")</f>
        <v>498.8</v>
      </c>
      <c r="U6" s="19">
        <f>_xll.BDH("NBIX US Equity","SALES_REV_TURN","FQ4 2023","FQ4 2023","Currency=USD","Period=FQ","BEST_FPERIOD_OVERRIDE=FQ","FILING_STATUS=MR","SCALING_FORMAT=MLN","FA_ADJUSTED=Adjusted","Sort=A","Dates=H","DateFormat=P","Fill=—","Direction=H","UseDPDF=Y")</f>
        <v>515.20000000000005</v>
      </c>
      <c r="V6" s="19">
        <f>_xll.BDH("NBIX US Equity","SALES_REV_TURN","FQ1 2024","FQ1 2024","Currency=USD","Period=FQ","BEST_FPERIOD_OVERRIDE=FQ","FILING_STATUS=MR","SCALING_FORMAT=MLN","FA_ADJUSTED=Adjusted","Sort=A","Dates=H","DateFormat=P","Fill=—","Direction=H","UseDPDF=Y")</f>
        <v>515.29999999999995</v>
      </c>
      <c r="W6" s="19">
        <f>_xll.BDH("NBIX US Equity","SALES_REV_TURN","FQ2 2024","FQ2 2024","Currency=USD","Period=FQ","BEST_FPERIOD_OVERRIDE=FQ","FILING_STATUS=MR","SCALING_FORMAT=MLN","FA_ADJUSTED=Adjusted","Sort=A","Dates=H","DateFormat=P","Fill=—","Direction=H","UseDPDF=Y")</f>
        <v>590.20000000000005</v>
      </c>
      <c r="X6" s="19">
        <f>_xll.BDH("NBIX US Equity","SALES_REV_TURN","FQ3 2024","FQ3 2024","Currency=USD","Period=FQ","BEST_FPERIOD_OVERRIDE=FQ","FILING_STATUS=MR","SCALING_FORMAT=MLN","FA_ADJUSTED=Adjusted","Sort=A","Dates=H","DateFormat=P","Fill=—","Direction=H","UseDPDF=Y")</f>
        <v>622.1</v>
      </c>
      <c r="Y6" s="19">
        <f>_xll.BDH("NBIX US Equity","SALES_REV_TURN","FQ4 2024","FQ4 2024","Currency=USD","Period=FQ","BEST_FPERIOD_OVERRIDE=FQ","FILING_STATUS=MR","SCALING_FORMAT=MLN","FA_ADJUSTED=Adjusted","Sort=A","Dates=H","DateFormat=P","Fill=—","Direction=H","UseDPDF=Y")</f>
        <v>627.70000000000005</v>
      </c>
      <c r="Z6" s="19">
        <v>595.54499999999996</v>
      </c>
      <c r="AA6" s="19">
        <v>648</v>
      </c>
    </row>
    <row r="7" spans="1:27" x14ac:dyDescent="0.25">
      <c r="A7" s="10" t="s">
        <v>313</v>
      </c>
      <c r="B7" s="10" t="s">
        <v>314</v>
      </c>
      <c r="C7" s="13">
        <f>_xll.BDH("NBIX US Equity","IS_SALES_AND_SERVICES_REVENUES","FQ2 2019","FQ2 2019","Currency=USD","Period=FQ","BEST_FPERIOD_OVERRIDE=FQ","FILING_STATUS=MR","SCALING_FORMAT=MLN","FA_ADJUSTED=Adjusted","Sort=A","Dates=H","DateFormat=P","Fill=—","Direction=H","UseDPDF=Y")</f>
        <v>180.54400000000001</v>
      </c>
      <c r="D7" s="13">
        <f>_xll.BDH("NBIX US Equity","IS_SALES_AND_SERVICES_REVENUES","FQ3 2019","FQ3 2019","Currency=USD","Period=FQ","BEST_FPERIOD_OVERRIDE=FQ","FILING_STATUS=MR","SCALING_FORMAT=MLN","FA_ADJUSTED=Adjusted","Sort=A","Dates=H","DateFormat=P","Fill=—","Direction=H","UseDPDF=Y")</f>
        <v>198.09399999999999</v>
      </c>
      <c r="E7" s="13">
        <f>_xll.BDH("NBIX US Equity","IS_SALES_AND_SERVICES_REVENUES","FQ4 2019","FQ4 2019","Currency=USD","Period=FQ","BEST_FPERIOD_OVERRIDE=FQ","FILING_STATUS=MR","SCALING_FORMAT=MLN","FA_ADJUSTED=Adjusted","Sort=A","Dates=H","DateFormat=P","Fill=—","Direction=H","UseDPDF=Y")</f>
        <v>237.9</v>
      </c>
      <c r="F7" s="13">
        <f>_xll.BDH("NBIX US Equity","IS_SALES_AND_SERVICES_REVENUES","FQ1 2020","FQ1 2020","Currency=USD","Period=FQ","BEST_FPERIOD_OVERRIDE=FQ","FILING_STATUS=MR","SCALING_FORMAT=MLN","FA_ADJUSTED=Adjusted","Sort=A","Dates=H","DateFormat=P","Fill=—","Direction=H","UseDPDF=Y")</f>
        <v>231.1</v>
      </c>
      <c r="G7" s="13">
        <f>_xll.BDH("NBIX US Equity","IS_SALES_AND_SERVICES_REVENUES","FQ2 2020","FQ2 2020","Currency=USD","Period=FQ","BEST_FPERIOD_OVERRIDE=FQ","FILING_STATUS=MR","SCALING_FORMAT=MLN","FA_ADJUSTED=Adjusted","Sort=A","Dates=H","DateFormat=P","Fill=—","Direction=H","UseDPDF=Y")</f>
        <v>267.60000000000002</v>
      </c>
      <c r="H7" s="13">
        <f>_xll.BDH("NBIX US Equity","IS_SALES_AND_SERVICES_REVENUES","FQ3 2020","FQ3 2020","Currency=USD","Period=FQ","BEST_FPERIOD_OVERRIDE=FQ","FILING_STATUS=MR","SCALING_FORMAT=MLN","FA_ADJUSTED=Adjusted","Sort=A","Dates=H","DateFormat=P","Fill=—","Direction=H","UseDPDF=Y")</f>
        <v>254.1</v>
      </c>
      <c r="I7" s="13">
        <f>_xll.BDH("NBIX US Equity","IS_SALES_AND_SERVICES_REVENUES","FQ4 2020","FQ4 2020","Currency=USD","Period=FQ","BEST_FPERIOD_OVERRIDE=FQ","FILING_STATUS=MR","SCALING_FORMAT=MLN","FA_ADJUSTED=Adjusted","Sort=A","Dates=H","DateFormat=P","Fill=—","Direction=H","UseDPDF=Y")</f>
        <v>241.3</v>
      </c>
      <c r="J7" s="13">
        <f>_xll.BDH("NBIX US Equity","IS_SALES_AND_SERVICES_REVENUES","FQ1 2021","FQ1 2021","Currency=USD","Period=FQ","BEST_FPERIOD_OVERRIDE=FQ","FILING_STATUS=MR","SCALING_FORMAT=MLN","FA_ADJUSTED=Adjusted","Sort=A","Dates=H","DateFormat=P","Fill=—","Direction=H","UseDPDF=Y")</f>
        <v>231</v>
      </c>
      <c r="K7" s="13">
        <f>_xll.BDH("NBIX US Equity","IS_SALES_AND_SERVICES_REVENUES","FQ2 2021","FQ2 2021","Currency=USD","Period=FQ","BEST_FPERIOD_OVERRIDE=FQ","FILING_STATUS=MR","SCALING_FORMAT=MLN","FA_ADJUSTED=Adjusted","Sort=A","Dates=H","DateFormat=P","Fill=—","Direction=H","UseDPDF=Y")</f>
        <v>266.8</v>
      </c>
      <c r="L7" s="13">
        <f>_xll.BDH("NBIX US Equity","IS_SALES_AND_SERVICES_REVENUES","FQ3 2021","FQ3 2021","Currency=USD","Period=FQ","BEST_FPERIOD_OVERRIDE=FQ","FILING_STATUS=MR","SCALING_FORMAT=MLN","FA_ADJUSTED=Adjusted","Sort=A","Dates=H","DateFormat=P","Fill=—","Direction=H","UseDPDF=Y")</f>
        <v>288.8</v>
      </c>
      <c r="M7" s="13">
        <f>_xll.BDH("NBIX US Equity","IS_SALES_AND_SERVICES_REVENUES","FQ4 2021","FQ4 2021","Currency=USD","Period=FQ","BEST_FPERIOD_OVERRIDE=FQ","FILING_STATUS=MR","SCALING_FORMAT=MLN","FA_ADJUSTED=Adjusted","Sort=A","Dates=H","DateFormat=P","Fill=—","Direction=H","UseDPDF=Y")</f>
        <v>303.5</v>
      </c>
      <c r="N7" s="13">
        <f>_xll.BDH("NBIX US Equity","IS_SALES_AND_SERVICES_REVENUES","FQ1 2022","FQ1 2022","Currency=USD","Period=FQ","BEST_FPERIOD_OVERRIDE=FQ","FILING_STATUS=MR","SCALING_FORMAT=MLN","FA_ADJUSTED=Adjusted","Sort=A","Dates=H","DateFormat=P","Fill=—","Direction=H","UseDPDF=Y")</f>
        <v>305</v>
      </c>
      <c r="O7" s="13">
        <f>_xll.BDH("NBIX US Equity","IS_SALES_AND_SERVICES_REVENUES","FQ2 2022","FQ2 2022","Currency=USD","Period=FQ","BEST_FPERIOD_OVERRIDE=FQ","FILING_STATUS=MR","SCALING_FORMAT=MLN","FA_ADJUSTED=Adjusted","Sort=A","Dates=H","DateFormat=P","Fill=—","Direction=H","UseDPDF=Y")</f>
        <v>352</v>
      </c>
      <c r="P7" s="13">
        <f>_xll.BDH("NBIX US Equity","IS_SALES_AND_SERVICES_REVENUES","FQ3 2022","FQ3 2022","Currency=USD","Period=FQ","BEST_FPERIOD_OVERRIDE=FQ","FILING_STATUS=MR","SCALING_FORMAT=MLN","FA_ADJUSTED=Adjusted","Sort=A","Dates=H","DateFormat=P","Fill=—","Direction=H","UseDPDF=Y")</f>
        <v>379.3</v>
      </c>
      <c r="Q7" s="13">
        <f>_xll.BDH("NBIX US Equity","IS_SALES_AND_SERVICES_REVENUES","FQ4 2022","FQ4 2022","Currency=USD","Period=FQ","BEST_FPERIOD_OVERRIDE=FQ","FILING_STATUS=MR","SCALING_FORMAT=MLN","FA_ADJUSTED=Adjusted","Sort=A","Dates=H","DateFormat=P","Fill=—","Direction=H","UseDPDF=Y")</f>
        <v>404.6</v>
      </c>
      <c r="R7" s="13">
        <f>_xll.BDH("NBIX US Equity","IS_SALES_AND_SERVICES_REVENUES","FQ1 2023","FQ1 2023","Currency=USD","Period=FQ","BEST_FPERIOD_OVERRIDE=FQ","FILING_STATUS=MR","SCALING_FORMAT=MLN","FA_ADJUSTED=Adjusted","Sort=A","Dates=H","DateFormat=P","Fill=—","Direction=H","UseDPDF=Y")</f>
        <v>415.3</v>
      </c>
      <c r="S7" s="13">
        <f>_xll.BDH("NBIX US Equity","IS_SALES_AND_SERVICES_REVENUES","FQ2 2023","FQ2 2023","Currency=USD","Period=FQ","BEST_FPERIOD_OVERRIDE=FQ","FILING_STATUS=MR","SCALING_FORMAT=MLN","FA_ADJUSTED=Adjusted","Sort=A","Dates=H","DateFormat=P","Fill=—","Direction=H","UseDPDF=Y")</f>
        <v>446.3</v>
      </c>
      <c r="T7" s="13">
        <f>_xll.BDH("NBIX US Equity","IS_SALES_AND_SERVICES_REVENUES","FQ3 2023","FQ3 2023","Currency=USD","Period=FQ","BEST_FPERIOD_OVERRIDE=FQ","FILING_STATUS=MR","SCALING_FORMAT=MLN","FA_ADJUSTED=Adjusted","Sort=A","Dates=H","DateFormat=P","Fill=—","Direction=H","UseDPDF=Y")</f>
        <v>491.8</v>
      </c>
      <c r="U7" s="13">
        <f>_xll.BDH("NBIX US Equity","IS_SALES_AND_SERVICES_REVENUES","FQ4 2023","FQ4 2023","Currency=USD","Period=FQ","BEST_FPERIOD_OVERRIDE=FQ","FILING_STATUS=MR","SCALING_FORMAT=MLN","FA_ADJUSTED=Adjusted","Sort=A","Dates=H","DateFormat=P","Fill=—","Direction=H","UseDPDF=Y")</f>
        <v>507.2</v>
      </c>
      <c r="V7" s="13">
        <f>_xll.BDH("NBIX US Equity","IS_SALES_AND_SERVICES_REVENUES","FQ1 2024","FQ1 2024","Currency=USD","Period=FQ","BEST_FPERIOD_OVERRIDE=FQ","FILING_STATUS=MR","SCALING_FORMAT=MLN","FA_ADJUSTED=Adjusted","Sort=A","Dates=H","DateFormat=P","Fill=—","Direction=H","UseDPDF=Y")</f>
        <v>509</v>
      </c>
      <c r="W7" s="13">
        <f>_xll.BDH("NBIX US Equity","IS_SALES_AND_SERVICES_REVENUES","FQ2 2024","FQ2 2024","Currency=USD","Period=FQ","BEST_FPERIOD_OVERRIDE=FQ","FILING_STATUS=MR","SCALING_FORMAT=MLN","FA_ADJUSTED=Adjusted","Sort=A","Dates=H","DateFormat=P","Fill=—","Direction=H","UseDPDF=Y")</f>
        <v>583.79999999999995</v>
      </c>
      <c r="X7" s="13">
        <f>_xll.BDH("NBIX US Equity","IS_SALES_AND_SERVICES_REVENUES","FQ3 2024","FQ3 2024","Currency=USD","Period=FQ","BEST_FPERIOD_OVERRIDE=FQ","FILING_STATUS=MR","SCALING_FORMAT=MLN","FA_ADJUSTED=Adjusted","Sort=A","Dates=H","DateFormat=P","Fill=—","Direction=H","UseDPDF=Y")</f>
        <v>616.6</v>
      </c>
      <c r="Y7" s="13">
        <f>_xll.BDH("NBIX US Equity","IS_SALES_AND_SERVICES_REVENUES","FQ4 2024","FQ4 2024","Currency=USD","Period=FQ","BEST_FPERIOD_OVERRIDE=FQ","FILING_STATUS=MR","SCALING_FORMAT=MLN","FA_ADJUSTED=Adjusted","Sort=A","Dates=H","DateFormat=P","Fill=—","Direction=H","UseDPDF=Y")</f>
        <v>621.20000000000005</v>
      </c>
      <c r="Z7" s="13"/>
      <c r="AA7" s="13"/>
    </row>
    <row r="8" spans="1:27" x14ac:dyDescent="0.25">
      <c r="A8" s="10" t="s">
        <v>315</v>
      </c>
      <c r="B8" s="10" t="s">
        <v>316</v>
      </c>
      <c r="C8" s="13">
        <f>_xll.BDH("NBIX US Equity","IS_OTHER_REVENUE","FQ2 2019","FQ2 2019","Currency=USD","Period=FQ","BEST_FPERIOD_OVERRIDE=FQ","FILING_STATUS=MR","SCALING_FORMAT=MLN","FA_ADJUSTED=Adjusted","Sort=A","Dates=H","DateFormat=P","Fill=—","Direction=H","UseDPDF=Y")</f>
        <v>3.036</v>
      </c>
      <c r="D8" s="13">
        <f>_xll.BDH("NBIX US Equity","IS_OTHER_REVENUE","FQ3 2019","FQ3 2019","Currency=USD","Period=FQ","BEST_FPERIOD_OVERRIDE=FQ","FILING_STATUS=MR","SCALING_FORMAT=MLN","FA_ADJUSTED=Adjusted","Sort=A","Dates=H","DateFormat=P","Fill=—","Direction=H","UseDPDF=Y")</f>
        <v>24</v>
      </c>
      <c r="E8" s="13">
        <f>_xll.BDH("NBIX US Equity","IS_OTHER_REVENUE","FQ4 2019","FQ4 2019","Currency=USD","Period=FQ","BEST_FPERIOD_OVERRIDE=FQ","FILING_STATUS=MR","SCALING_FORMAT=MLN","FA_ADJUSTED=Adjusted","Sort=A","Dates=H","DateFormat=P","Fill=—","Direction=H","UseDPDF=Y")</f>
        <v>6.2</v>
      </c>
      <c r="F8" s="13">
        <f>_xll.BDH("NBIX US Equity","IS_OTHER_REVENUE","FQ1 2020","FQ1 2020","Currency=USD","Period=FQ","BEST_FPERIOD_OVERRIDE=FQ","FILING_STATUS=MR","SCALING_FORMAT=MLN","FA_ADJUSTED=Adjusted","Sort=A","Dates=H","DateFormat=P","Fill=—","Direction=H","UseDPDF=Y")</f>
        <v>6</v>
      </c>
      <c r="G8" s="13">
        <f>_xll.BDH("NBIX US Equity","IS_OTHER_REVENUE","FQ2 2020","FQ2 2020","Currency=USD","Period=FQ","BEST_FPERIOD_OVERRIDE=FQ","FILING_STATUS=MR","SCALING_FORMAT=MLN","FA_ADJUSTED=Adjusted","Sort=A","Dates=H","DateFormat=P","Fill=—","Direction=H","UseDPDF=Y")</f>
        <v>34.799999999999997</v>
      </c>
      <c r="H8" s="13">
        <f>_xll.BDH("NBIX US Equity","IS_OTHER_REVENUE","FQ3 2020","FQ3 2020","Currency=USD","Period=FQ","BEST_FPERIOD_OVERRIDE=FQ","FILING_STATUS=MR","SCALING_FORMAT=MLN","FA_ADJUSTED=Adjusted","Sort=A","Dates=H","DateFormat=P","Fill=—","Direction=H","UseDPDF=Y")</f>
        <v>4.4000000000000004</v>
      </c>
      <c r="I8" s="13">
        <f>_xll.BDH("NBIX US Equity","IS_OTHER_REVENUE","FQ4 2020","FQ4 2020","Currency=USD","Period=FQ","BEST_FPERIOD_OVERRIDE=FQ","FILING_STATUS=MR","SCALING_FORMAT=MLN","FA_ADJUSTED=Adjusted","Sort=A","Dates=H","DateFormat=P","Fill=—","Direction=H","UseDPDF=Y")</f>
        <v>6.6</v>
      </c>
      <c r="J8" s="13">
        <f>_xll.BDH("NBIX US Equity","IS_OTHER_REVENUE","FQ1 2021","FQ1 2021","Currency=USD","Period=FQ","BEST_FPERIOD_OVERRIDE=FQ","FILING_STATUS=MR","SCALING_FORMAT=MLN","FA_ADJUSTED=Adjusted","Sort=A","Dates=H","DateFormat=P","Fill=—","Direction=H","UseDPDF=Y")</f>
        <v>5.6</v>
      </c>
      <c r="K8" s="13">
        <f>_xll.BDH("NBIX US Equity","IS_OTHER_REVENUE","FQ2 2021","FQ2 2021","Currency=USD","Period=FQ","BEST_FPERIOD_OVERRIDE=FQ","FILING_STATUS=MR","SCALING_FORMAT=MLN","FA_ADJUSTED=Adjusted","Sort=A","Dates=H","DateFormat=P","Fill=—","Direction=H","UseDPDF=Y")</f>
        <v>22.1</v>
      </c>
      <c r="L8" s="13">
        <f>_xll.BDH("NBIX US Equity","IS_OTHER_REVENUE","FQ3 2021","FQ3 2021","Currency=USD","Period=FQ","BEST_FPERIOD_OVERRIDE=FQ","FILING_STATUS=MR","SCALING_FORMAT=MLN","FA_ADJUSTED=Adjusted","Sort=A","Dates=H","DateFormat=P","Fill=—","Direction=H","UseDPDF=Y")</f>
        <v>7.2</v>
      </c>
      <c r="M8" s="13">
        <f>_xll.BDH("NBIX US Equity","IS_OTHER_REVENUE","FQ4 2021","FQ4 2021","Currency=USD","Period=FQ","BEST_FPERIOD_OVERRIDE=FQ","FILING_STATUS=MR","SCALING_FORMAT=MLN","FA_ADJUSTED=Adjusted","Sort=A","Dates=H","DateFormat=P","Fill=—","Direction=H","UseDPDF=Y")</f>
        <v>8.5</v>
      </c>
      <c r="N8" s="13">
        <f>_xll.BDH("NBIX US Equity","IS_OTHER_REVENUE","FQ1 2022","FQ1 2022","Currency=USD","Period=FQ","BEST_FPERIOD_OVERRIDE=FQ","FILING_STATUS=MR","SCALING_FORMAT=MLN","FA_ADJUSTED=Adjusted","Sort=A","Dates=H","DateFormat=P","Fill=—","Direction=H","UseDPDF=Y")</f>
        <v>5.6</v>
      </c>
      <c r="O8" s="13">
        <f>_xll.BDH("NBIX US Equity","IS_OTHER_REVENUE","FQ2 2022","FQ2 2022","Currency=USD","Period=FQ","BEST_FPERIOD_OVERRIDE=FQ","FILING_STATUS=MR","SCALING_FORMAT=MLN","FA_ADJUSTED=Adjusted","Sort=A","Dates=H","DateFormat=P","Fill=—","Direction=H","UseDPDF=Y")</f>
        <v>26.2</v>
      </c>
      <c r="P8" s="13">
        <f>_xll.BDH("NBIX US Equity","IS_OTHER_REVENUE","FQ3 2022","FQ3 2022","Currency=USD","Period=FQ","BEST_FPERIOD_OVERRIDE=FQ","FILING_STATUS=MR","SCALING_FORMAT=MLN","FA_ADJUSTED=Adjusted","Sort=A","Dates=H","DateFormat=P","Fill=—","Direction=H","UseDPDF=Y")</f>
        <v>8.6</v>
      </c>
      <c r="Q8" s="13">
        <f>_xll.BDH("NBIX US Equity","IS_OTHER_REVENUE","FQ4 2022","FQ4 2022","Currency=USD","Period=FQ","BEST_FPERIOD_OVERRIDE=FQ","FILING_STATUS=MR","SCALING_FORMAT=MLN","FA_ADJUSTED=Adjusted","Sort=A","Dates=H","DateFormat=P","Fill=—","Direction=H","UseDPDF=Y")</f>
        <v>7.4</v>
      </c>
      <c r="R8" s="13">
        <f>_xll.BDH("NBIX US Equity","IS_OTHER_REVENUE","FQ1 2023","FQ1 2023","Currency=USD","Period=FQ","BEST_FPERIOD_OVERRIDE=FQ","FILING_STATUS=MR","SCALING_FORMAT=MLN","FA_ADJUSTED=Adjusted","Sort=A","Dates=H","DateFormat=P","Fill=—","Direction=H","UseDPDF=Y")</f>
        <v>5.0999999999999996</v>
      </c>
      <c r="S8" s="13">
        <f>_xll.BDH("NBIX US Equity","IS_OTHER_REVENUE","FQ2 2023","FQ2 2023","Currency=USD","Period=FQ","BEST_FPERIOD_OVERRIDE=FQ","FILING_STATUS=MR","SCALING_FORMAT=MLN","FA_ADJUSTED=Adjusted","Sort=A","Dates=H","DateFormat=P","Fill=—","Direction=H","UseDPDF=Y")</f>
        <v>6.4</v>
      </c>
      <c r="T8" s="13">
        <f>_xll.BDH("NBIX US Equity","IS_OTHER_REVENUE","FQ3 2023","FQ3 2023","Currency=USD","Period=FQ","BEST_FPERIOD_OVERRIDE=FQ","FILING_STATUS=MR","SCALING_FORMAT=MLN","FA_ADJUSTED=Adjusted","Sort=A","Dates=H","DateFormat=P","Fill=—","Direction=H","UseDPDF=Y")</f>
        <v>7</v>
      </c>
      <c r="U8" s="13">
        <f>_xll.BDH("NBIX US Equity","IS_OTHER_REVENUE","FQ4 2023","FQ4 2023","Currency=USD","Period=FQ","BEST_FPERIOD_OVERRIDE=FQ","FILING_STATUS=MR","SCALING_FORMAT=MLN","FA_ADJUSTED=Adjusted","Sort=A","Dates=H","DateFormat=P","Fill=—","Direction=H","UseDPDF=Y")</f>
        <v>8</v>
      </c>
      <c r="V8" s="13">
        <f>_xll.BDH("NBIX US Equity","IS_OTHER_REVENUE","FQ1 2024","FQ1 2024","Currency=USD","Period=FQ","BEST_FPERIOD_OVERRIDE=FQ","FILING_STATUS=MR","SCALING_FORMAT=MLN","FA_ADJUSTED=Adjusted","Sort=A","Dates=H","DateFormat=P","Fill=—","Direction=H","UseDPDF=Y")</f>
        <v>6.3</v>
      </c>
      <c r="W8" s="13">
        <f>_xll.BDH("NBIX US Equity","IS_OTHER_REVENUE","FQ2 2024","FQ2 2024","Currency=USD","Period=FQ","BEST_FPERIOD_OVERRIDE=FQ","FILING_STATUS=MR","SCALING_FORMAT=MLN","FA_ADJUSTED=Adjusted","Sort=A","Dates=H","DateFormat=P","Fill=—","Direction=H","UseDPDF=Y")</f>
        <v>6.4</v>
      </c>
      <c r="X8" s="13">
        <f>_xll.BDH("NBIX US Equity","IS_OTHER_REVENUE","FQ3 2024","FQ3 2024","Currency=USD","Period=FQ","BEST_FPERIOD_OVERRIDE=FQ","FILING_STATUS=MR","SCALING_FORMAT=MLN","FA_ADJUSTED=Adjusted","Sort=A","Dates=H","DateFormat=P","Fill=—","Direction=H","UseDPDF=Y")</f>
        <v>5.5</v>
      </c>
      <c r="Y8" s="13">
        <f>_xll.BDH("NBIX US Equity","IS_OTHER_REVENUE","FQ4 2024","FQ4 2024","Currency=USD","Period=FQ","BEST_FPERIOD_OVERRIDE=FQ","FILING_STATUS=MR","SCALING_FORMAT=MLN","FA_ADJUSTED=Adjusted","Sort=A","Dates=H","DateFormat=P","Fill=—","Direction=H","UseDPDF=Y")</f>
        <v>6.5</v>
      </c>
      <c r="Z8" s="13"/>
      <c r="AA8" s="13"/>
    </row>
    <row r="9" spans="1:27" x14ac:dyDescent="0.25">
      <c r="A9" s="10" t="s">
        <v>317</v>
      </c>
      <c r="B9" s="10" t="s">
        <v>318</v>
      </c>
      <c r="C9" s="13">
        <f>_xll.BDH("NBIX US Equity","IS_COGS_TO_FE_AND_PP_AND_G","FQ2 2019","FQ2 2019","Currency=USD","Period=FQ","BEST_FPERIOD_OVERRIDE=FQ","FILING_STATUS=MR","SCALING_FORMAT=MLN","FA_ADJUSTED=Adjusted","Sort=A","Dates=H","DateFormat=P","Fill=—","Direction=H","UseDPDF=Y")</f>
        <v>1.6080000000000001</v>
      </c>
      <c r="D9" s="13">
        <f>_xll.BDH("NBIX US Equity","IS_COGS_TO_FE_AND_PP_AND_G","FQ3 2019","FQ3 2019","Currency=USD","Period=FQ","BEST_FPERIOD_OVERRIDE=FQ","FILING_STATUS=MR","SCALING_FORMAT=MLN","FA_ADJUSTED=Adjusted","Sort=A","Dates=H","DateFormat=P","Fill=—","Direction=H","UseDPDF=Y")</f>
        <v>2.2290000000000001</v>
      </c>
      <c r="E9" s="13">
        <f>_xll.BDH("NBIX US Equity","IS_COGS_TO_FE_AND_PP_AND_G","FQ4 2019","FQ4 2019","Currency=USD","Period=FQ","BEST_FPERIOD_OVERRIDE=FQ","FILING_STATUS=MR","SCALING_FORMAT=MLN","FA_ADJUSTED=Adjusted","Sort=A","Dates=H","DateFormat=P","Fill=—","Direction=H","UseDPDF=Y")</f>
        <v>2.5</v>
      </c>
      <c r="F9" s="13">
        <f>_xll.BDH("NBIX US Equity","IS_COGS_TO_FE_AND_PP_AND_G","FQ1 2020","FQ1 2020","Currency=USD","Period=FQ","BEST_FPERIOD_OVERRIDE=FQ","FILING_STATUS=MR","SCALING_FORMAT=MLN","FA_ADJUSTED=Adjusted","Sort=A","Dates=H","DateFormat=P","Fill=—","Direction=H","UseDPDF=Y")</f>
        <v>2.1</v>
      </c>
      <c r="G9" s="13">
        <f>_xll.BDH("NBIX US Equity","IS_COGS_TO_FE_AND_PP_AND_G","FQ2 2020","FQ2 2020","Currency=USD","Period=FQ","BEST_FPERIOD_OVERRIDE=FQ","FILING_STATUS=MR","SCALING_FORMAT=MLN","FA_ADJUSTED=Adjusted","Sort=A","Dates=H","DateFormat=P","Fill=—","Direction=H","UseDPDF=Y")</f>
        <v>2.4</v>
      </c>
      <c r="H9" s="13">
        <f>_xll.BDH("NBIX US Equity","IS_COGS_TO_FE_AND_PP_AND_G","FQ3 2020","FQ3 2020","Currency=USD","Period=FQ","BEST_FPERIOD_OVERRIDE=FQ","FILING_STATUS=MR","SCALING_FORMAT=MLN","FA_ADJUSTED=Adjusted","Sort=A","Dates=H","DateFormat=P","Fill=—","Direction=H","UseDPDF=Y")</f>
        <v>2.7</v>
      </c>
      <c r="I9" s="13">
        <f>_xll.BDH("NBIX US Equity","IS_COGS_TO_FE_AND_PP_AND_G","FQ4 2020","FQ4 2020","Currency=USD","Period=FQ","BEST_FPERIOD_OVERRIDE=FQ","FILING_STATUS=MR","SCALING_FORMAT=MLN","FA_ADJUSTED=Adjusted","Sort=A","Dates=H","DateFormat=P","Fill=—","Direction=H","UseDPDF=Y")</f>
        <v>2.9</v>
      </c>
      <c r="J9" s="13">
        <f>_xll.BDH("NBIX US Equity","IS_COGS_TO_FE_AND_PP_AND_G","FQ1 2021","FQ1 2021","Currency=USD","Period=FQ","BEST_FPERIOD_OVERRIDE=FQ","FILING_STATUS=MR","SCALING_FORMAT=MLN","FA_ADJUSTED=Adjusted","Sort=A","Dates=H","DateFormat=P","Fill=—","Direction=H","UseDPDF=Y")</f>
        <v>2.9</v>
      </c>
      <c r="K9" s="13">
        <f>_xll.BDH("NBIX US Equity","IS_COGS_TO_FE_AND_PP_AND_G","FQ2 2021","FQ2 2021","Currency=USD","Period=FQ","BEST_FPERIOD_OVERRIDE=FQ","FILING_STATUS=MR","SCALING_FORMAT=MLN","FA_ADJUSTED=Adjusted","Sort=A","Dates=H","DateFormat=P","Fill=—","Direction=H","UseDPDF=Y")</f>
        <v>3.1</v>
      </c>
      <c r="L9" s="13">
        <f>_xll.BDH("NBIX US Equity","IS_COGS_TO_FE_AND_PP_AND_G","FQ3 2021","FQ3 2021","Currency=USD","Period=FQ","BEST_FPERIOD_OVERRIDE=FQ","FILING_STATUS=MR","SCALING_FORMAT=MLN","FA_ADJUSTED=Adjusted","Sort=A","Dates=H","DateFormat=P","Fill=—","Direction=H","UseDPDF=Y")</f>
        <v>4.2</v>
      </c>
      <c r="M9" s="13">
        <f>_xll.BDH("NBIX US Equity","IS_COGS_TO_FE_AND_PP_AND_G","FQ4 2021","FQ4 2021","Currency=USD","Period=FQ","BEST_FPERIOD_OVERRIDE=FQ","FILING_STATUS=MR","SCALING_FORMAT=MLN","FA_ADJUSTED=Adjusted","Sort=A","Dates=H","DateFormat=P","Fill=—","Direction=H","UseDPDF=Y")</f>
        <v>4.0999999999999996</v>
      </c>
      <c r="N9" s="13">
        <f>_xll.BDH("NBIX US Equity","IS_COGS_TO_FE_AND_PP_AND_G","FQ1 2022","FQ1 2022","Currency=USD","Period=FQ","BEST_FPERIOD_OVERRIDE=FQ","FILING_STATUS=MR","SCALING_FORMAT=MLN","FA_ADJUSTED=Adjusted","Sort=A","Dates=H","DateFormat=P","Fill=—","Direction=H","UseDPDF=Y")</f>
        <v>4.5999999999999996</v>
      </c>
      <c r="O9" s="13">
        <f>_xll.BDH("NBIX US Equity","IS_COGS_TO_FE_AND_PP_AND_G","FQ2 2022","FQ2 2022","Currency=USD","Period=FQ","BEST_FPERIOD_OVERRIDE=FQ","FILING_STATUS=MR","SCALING_FORMAT=MLN","FA_ADJUSTED=Adjusted","Sort=A","Dates=H","DateFormat=P","Fill=—","Direction=H","UseDPDF=Y")</f>
        <v>4.8</v>
      </c>
      <c r="P9" s="13">
        <f>_xll.BDH("NBIX US Equity","IS_COGS_TO_FE_AND_PP_AND_G","FQ3 2022","FQ3 2022","Currency=USD","Period=FQ","BEST_FPERIOD_OVERRIDE=FQ","FILING_STATUS=MR","SCALING_FORMAT=MLN","FA_ADJUSTED=Adjusted","Sort=A","Dates=H","DateFormat=P","Fill=—","Direction=H","UseDPDF=Y")</f>
        <v>6.1</v>
      </c>
      <c r="Q9" s="13">
        <f>_xll.BDH("NBIX US Equity","IS_COGS_TO_FE_AND_PP_AND_G","FQ4 2022","FQ4 2022","Currency=USD","Period=FQ","BEST_FPERIOD_OVERRIDE=FQ","FILING_STATUS=MR","SCALING_FORMAT=MLN","FA_ADJUSTED=Adjusted","Sort=A","Dates=H","DateFormat=P","Fill=—","Direction=H","UseDPDF=Y")</f>
        <v>7.7</v>
      </c>
      <c r="R9" s="13">
        <f>_xll.BDH("NBIX US Equity","IS_COGS_TO_FE_AND_PP_AND_G","FQ1 2023","FQ1 2023","Currency=USD","Period=FQ","BEST_FPERIOD_OVERRIDE=FQ","FILING_STATUS=MR","SCALING_FORMAT=MLN","FA_ADJUSTED=Adjusted","Sort=A","Dates=H","DateFormat=P","Fill=—","Direction=H","UseDPDF=Y")</f>
        <v>8.5</v>
      </c>
      <c r="S9" s="13">
        <f>_xll.BDH("NBIX US Equity","IS_COGS_TO_FE_AND_PP_AND_G","FQ2 2023","FQ2 2023","Currency=USD","Period=FQ","BEST_FPERIOD_OVERRIDE=FQ","FILING_STATUS=MR","SCALING_FORMAT=MLN","FA_ADJUSTED=Adjusted","Sort=A","Dates=H","DateFormat=P","Fill=—","Direction=H","UseDPDF=Y")</f>
        <v>11.5</v>
      </c>
      <c r="T9" s="13">
        <f>_xll.BDH("NBIX US Equity","IS_COGS_TO_FE_AND_PP_AND_G","FQ3 2023","FQ3 2023","Currency=USD","Period=FQ","BEST_FPERIOD_OVERRIDE=FQ","FILING_STATUS=MR","SCALING_FORMAT=MLN","FA_ADJUSTED=Adjusted","Sort=A","Dates=H","DateFormat=P","Fill=—","Direction=H","UseDPDF=Y")</f>
        <v>11.2</v>
      </c>
      <c r="U9" s="13">
        <f>_xll.BDH("NBIX US Equity","IS_COGS_TO_FE_AND_PP_AND_G","FQ4 2023","FQ4 2023","Currency=USD","Period=FQ","BEST_FPERIOD_OVERRIDE=FQ","FILING_STATUS=MR","SCALING_FORMAT=MLN","FA_ADJUSTED=Adjusted","Sort=A","Dates=H","DateFormat=P","Fill=—","Direction=H","UseDPDF=Y")</f>
        <v>8.5</v>
      </c>
      <c r="V9" s="13">
        <f>_xll.BDH("NBIX US Equity","IS_COGS_TO_FE_AND_PP_AND_G","FQ1 2024","FQ1 2024","Currency=USD","Period=FQ","BEST_FPERIOD_OVERRIDE=FQ","FILING_STATUS=MR","SCALING_FORMAT=MLN","FA_ADJUSTED=Adjusted","Sort=A","Dates=H","DateFormat=P","Fill=—","Direction=H","UseDPDF=Y")</f>
        <v>7.5</v>
      </c>
      <c r="W9" s="13">
        <f>_xll.BDH("NBIX US Equity","IS_COGS_TO_FE_AND_PP_AND_G","FQ2 2024","FQ2 2024","Currency=USD","Period=FQ","BEST_FPERIOD_OVERRIDE=FQ","FILING_STATUS=MR","SCALING_FORMAT=MLN","FA_ADJUSTED=Adjusted","Sort=A","Dates=H","DateFormat=P","Fill=—","Direction=H","UseDPDF=Y")</f>
        <v>9.1999999999999993</v>
      </c>
      <c r="X9" s="13">
        <f>_xll.BDH("NBIX US Equity","IS_COGS_TO_FE_AND_PP_AND_G","FQ3 2024","FQ3 2024","Currency=USD","Period=FQ","BEST_FPERIOD_OVERRIDE=FQ","FILING_STATUS=MR","SCALING_FORMAT=MLN","FA_ADJUSTED=Adjusted","Sort=A","Dates=H","DateFormat=P","Fill=—","Direction=H","UseDPDF=Y")</f>
        <v>8</v>
      </c>
      <c r="Y9" s="13">
        <f>_xll.BDH("NBIX US Equity","IS_COGS_TO_FE_AND_PP_AND_G","FQ4 2024","FQ4 2024","Currency=USD","Period=FQ","BEST_FPERIOD_OVERRIDE=FQ","FILING_STATUS=MR","SCALING_FORMAT=MLN","FA_ADJUSTED=Adjusted","Sort=A","Dates=H","DateFormat=P","Fill=—","Direction=H","UseDPDF=Y")</f>
        <v>9.3000000000000007</v>
      </c>
      <c r="Z9" s="13"/>
      <c r="AA9" s="13"/>
    </row>
    <row r="10" spans="1:27" x14ac:dyDescent="0.25">
      <c r="A10" s="10" t="s">
        <v>319</v>
      </c>
      <c r="B10" s="10" t="s">
        <v>320</v>
      </c>
      <c r="C10" s="13">
        <f>_xll.BDH("NBIX US Equity","IS_COG_AND_SERVICES_SOLD","FQ2 2019","FQ2 2019","Currency=USD","Period=FQ","BEST_FPERIOD_OVERRIDE=FQ","FILING_STATUS=MR","SCALING_FORMAT=MLN","FA_ADJUSTED=Adjusted","Sort=A","Dates=H","DateFormat=P","Fill=—","Direction=H","UseDPDF=Y")</f>
        <v>1.6080000000000001</v>
      </c>
      <c r="D10" s="13">
        <f>_xll.BDH("NBIX US Equity","IS_COG_AND_SERVICES_SOLD","FQ3 2019","FQ3 2019","Currency=USD","Period=FQ","BEST_FPERIOD_OVERRIDE=FQ","FILING_STATUS=MR","SCALING_FORMAT=MLN","FA_ADJUSTED=Adjusted","Sort=A","Dates=H","DateFormat=P","Fill=—","Direction=H","UseDPDF=Y")</f>
        <v>2.2290000000000001</v>
      </c>
      <c r="E10" s="13">
        <f>_xll.BDH("NBIX US Equity","IS_COG_AND_SERVICES_SOLD","FQ4 2019","FQ4 2019","Currency=USD","Period=FQ","BEST_FPERIOD_OVERRIDE=FQ","FILING_STATUS=MR","SCALING_FORMAT=MLN","FA_ADJUSTED=Adjusted","Sort=A","Dates=H","DateFormat=P","Fill=—","Direction=H","UseDPDF=Y")</f>
        <v>2.5</v>
      </c>
      <c r="F10" s="13">
        <f>_xll.BDH("NBIX US Equity","IS_COG_AND_SERVICES_SOLD","FQ1 2020","FQ1 2020","Currency=USD","Period=FQ","BEST_FPERIOD_OVERRIDE=FQ","FILING_STATUS=MR","SCALING_FORMAT=MLN","FA_ADJUSTED=Adjusted","Sort=A","Dates=H","DateFormat=P","Fill=—","Direction=H","UseDPDF=Y")</f>
        <v>2.1</v>
      </c>
      <c r="G10" s="13">
        <f>_xll.BDH("NBIX US Equity","IS_COG_AND_SERVICES_SOLD","FQ2 2020","FQ2 2020","Currency=USD","Period=FQ","BEST_FPERIOD_OVERRIDE=FQ","FILING_STATUS=MR","SCALING_FORMAT=MLN","FA_ADJUSTED=Adjusted","Sort=A","Dates=H","DateFormat=P","Fill=—","Direction=H","UseDPDF=Y")</f>
        <v>2.4</v>
      </c>
      <c r="H10" s="13">
        <f>_xll.BDH("NBIX US Equity","IS_COG_AND_SERVICES_SOLD","FQ3 2020","FQ3 2020","Currency=USD","Period=FQ","BEST_FPERIOD_OVERRIDE=FQ","FILING_STATUS=MR","SCALING_FORMAT=MLN","FA_ADJUSTED=Adjusted","Sort=A","Dates=H","DateFormat=P","Fill=—","Direction=H","UseDPDF=Y")</f>
        <v>2.7</v>
      </c>
      <c r="I10" s="13">
        <f>_xll.BDH("NBIX US Equity","IS_COG_AND_SERVICES_SOLD","FQ4 2020","FQ4 2020","Currency=USD","Period=FQ","BEST_FPERIOD_OVERRIDE=FQ","FILING_STATUS=MR","SCALING_FORMAT=MLN","FA_ADJUSTED=Adjusted","Sort=A","Dates=H","DateFormat=P","Fill=—","Direction=H","UseDPDF=Y")</f>
        <v>2.9</v>
      </c>
      <c r="J10" s="13">
        <f>_xll.BDH("NBIX US Equity","IS_COG_AND_SERVICES_SOLD","FQ1 2021","FQ1 2021","Currency=USD","Period=FQ","BEST_FPERIOD_OVERRIDE=FQ","FILING_STATUS=MR","SCALING_FORMAT=MLN","FA_ADJUSTED=Adjusted","Sort=A","Dates=H","DateFormat=P","Fill=—","Direction=H","UseDPDF=Y")</f>
        <v>2.9</v>
      </c>
      <c r="K10" s="13">
        <f>_xll.BDH("NBIX US Equity","IS_COG_AND_SERVICES_SOLD","FQ2 2021","FQ2 2021","Currency=USD","Period=FQ","BEST_FPERIOD_OVERRIDE=FQ","FILING_STATUS=MR","SCALING_FORMAT=MLN","FA_ADJUSTED=Adjusted","Sort=A","Dates=H","DateFormat=P","Fill=—","Direction=H","UseDPDF=Y")</f>
        <v>3.1</v>
      </c>
      <c r="L10" s="13">
        <f>_xll.BDH("NBIX US Equity","IS_COG_AND_SERVICES_SOLD","FQ3 2021","FQ3 2021","Currency=USD","Period=FQ","BEST_FPERIOD_OVERRIDE=FQ","FILING_STATUS=MR","SCALING_FORMAT=MLN","FA_ADJUSTED=Adjusted","Sort=A","Dates=H","DateFormat=P","Fill=—","Direction=H","UseDPDF=Y")</f>
        <v>4.2</v>
      </c>
      <c r="M10" s="13">
        <f>_xll.BDH("NBIX US Equity","IS_COG_AND_SERVICES_SOLD","FQ4 2021","FQ4 2021","Currency=USD","Period=FQ","BEST_FPERIOD_OVERRIDE=FQ","FILING_STATUS=MR","SCALING_FORMAT=MLN","FA_ADJUSTED=Adjusted","Sort=A","Dates=H","DateFormat=P","Fill=—","Direction=H","UseDPDF=Y")</f>
        <v>4.0999999999999996</v>
      </c>
      <c r="N10" s="13">
        <f>_xll.BDH("NBIX US Equity","IS_COG_AND_SERVICES_SOLD","FQ1 2022","FQ1 2022","Currency=USD","Period=FQ","BEST_FPERIOD_OVERRIDE=FQ","FILING_STATUS=MR","SCALING_FORMAT=MLN","FA_ADJUSTED=Adjusted","Sort=A","Dates=H","DateFormat=P","Fill=—","Direction=H","UseDPDF=Y")</f>
        <v>4.5999999999999996</v>
      </c>
      <c r="O10" s="13">
        <f>_xll.BDH("NBIX US Equity","IS_COG_AND_SERVICES_SOLD","FQ2 2022","FQ2 2022","Currency=USD","Period=FQ","BEST_FPERIOD_OVERRIDE=FQ","FILING_STATUS=MR","SCALING_FORMAT=MLN","FA_ADJUSTED=Adjusted","Sort=A","Dates=H","DateFormat=P","Fill=—","Direction=H","UseDPDF=Y")</f>
        <v>4.8</v>
      </c>
      <c r="P10" s="13">
        <f>_xll.BDH("NBIX US Equity","IS_COG_AND_SERVICES_SOLD","FQ3 2022","FQ3 2022","Currency=USD","Period=FQ","BEST_FPERIOD_OVERRIDE=FQ","FILING_STATUS=MR","SCALING_FORMAT=MLN","FA_ADJUSTED=Adjusted","Sort=A","Dates=H","DateFormat=P","Fill=—","Direction=H","UseDPDF=Y")</f>
        <v>6.1</v>
      </c>
      <c r="Q10" s="13">
        <f>_xll.BDH("NBIX US Equity","IS_COG_AND_SERVICES_SOLD","FQ4 2022","FQ4 2022","Currency=USD","Period=FQ","BEST_FPERIOD_OVERRIDE=FQ","FILING_STATUS=MR","SCALING_FORMAT=MLN","FA_ADJUSTED=Adjusted","Sort=A","Dates=H","DateFormat=P","Fill=—","Direction=H","UseDPDF=Y")</f>
        <v>7.7</v>
      </c>
      <c r="R10" s="13">
        <f>_xll.BDH("NBIX US Equity","IS_COG_AND_SERVICES_SOLD","FQ1 2023","FQ1 2023","Currency=USD","Period=FQ","BEST_FPERIOD_OVERRIDE=FQ","FILING_STATUS=MR","SCALING_FORMAT=MLN","FA_ADJUSTED=Adjusted","Sort=A","Dates=H","DateFormat=P","Fill=—","Direction=H","UseDPDF=Y")</f>
        <v>8.5</v>
      </c>
      <c r="S10" s="13">
        <f>_xll.BDH("NBIX US Equity","IS_COG_AND_SERVICES_SOLD","FQ2 2023","FQ2 2023","Currency=USD","Period=FQ","BEST_FPERIOD_OVERRIDE=FQ","FILING_STATUS=MR","SCALING_FORMAT=MLN","FA_ADJUSTED=Adjusted","Sort=A","Dates=H","DateFormat=P","Fill=—","Direction=H","UseDPDF=Y")</f>
        <v>11.5</v>
      </c>
      <c r="T10" s="13">
        <f>_xll.BDH("NBIX US Equity","IS_COG_AND_SERVICES_SOLD","FQ3 2023","FQ3 2023","Currency=USD","Period=FQ","BEST_FPERIOD_OVERRIDE=FQ","FILING_STATUS=MR","SCALING_FORMAT=MLN","FA_ADJUSTED=Adjusted","Sort=A","Dates=H","DateFormat=P","Fill=—","Direction=H","UseDPDF=Y")</f>
        <v>11.2</v>
      </c>
      <c r="U10" s="13">
        <f>_xll.BDH("NBIX US Equity","IS_COG_AND_SERVICES_SOLD","FQ4 2023","FQ4 2023","Currency=USD","Period=FQ","BEST_FPERIOD_OVERRIDE=FQ","FILING_STATUS=MR","SCALING_FORMAT=MLN","FA_ADJUSTED=Adjusted","Sort=A","Dates=H","DateFormat=P","Fill=—","Direction=H","UseDPDF=Y")</f>
        <v>8.5</v>
      </c>
      <c r="V10" s="13">
        <f>_xll.BDH("NBIX US Equity","IS_COG_AND_SERVICES_SOLD","FQ1 2024","FQ1 2024","Currency=USD","Period=FQ","BEST_FPERIOD_OVERRIDE=FQ","FILING_STATUS=MR","SCALING_FORMAT=MLN","FA_ADJUSTED=Adjusted","Sort=A","Dates=H","DateFormat=P","Fill=—","Direction=H","UseDPDF=Y")</f>
        <v>7.5</v>
      </c>
      <c r="W10" s="13">
        <f>_xll.BDH("NBIX US Equity","IS_COG_AND_SERVICES_SOLD","FQ2 2024","FQ2 2024","Currency=USD","Period=FQ","BEST_FPERIOD_OVERRIDE=FQ","FILING_STATUS=MR","SCALING_FORMAT=MLN","FA_ADJUSTED=Adjusted","Sort=A","Dates=H","DateFormat=P","Fill=—","Direction=H","UseDPDF=Y")</f>
        <v>9.1999999999999993</v>
      </c>
      <c r="X10" s="13">
        <f>_xll.BDH("NBIX US Equity","IS_COG_AND_SERVICES_SOLD","FQ3 2024","FQ3 2024","Currency=USD","Period=FQ","BEST_FPERIOD_OVERRIDE=FQ","FILING_STATUS=MR","SCALING_FORMAT=MLN","FA_ADJUSTED=Adjusted","Sort=A","Dates=H","DateFormat=P","Fill=—","Direction=H","UseDPDF=Y")</f>
        <v>8</v>
      </c>
      <c r="Y10" s="13">
        <f>_xll.BDH("NBIX US Equity","IS_COG_AND_SERVICES_SOLD","FQ4 2024","FQ4 2024","Currency=USD","Period=FQ","BEST_FPERIOD_OVERRIDE=FQ","FILING_STATUS=MR","SCALING_FORMAT=MLN","FA_ADJUSTED=Adjusted","Sort=A","Dates=H","DateFormat=P","Fill=—","Direction=H","UseDPDF=Y")</f>
        <v>9.3000000000000007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f>_xll.BDH("NBIX US Equity","GROSS_PROFIT","FQ2 2019","FQ2 2019","Currency=USD","Period=FQ","BEST_FPERIOD_OVERRIDE=FQ","FILING_STATUS=MR","SCALING_FORMAT=MLN","FA_ADJUSTED=Adjusted","Sort=A","Dates=H","DateFormat=P","Fill=—","Direction=H","UseDPDF=Y")</f>
        <v>181.97200000000001</v>
      </c>
      <c r="D11" s="19">
        <f>_xll.BDH("NBIX US Equity","GROSS_PROFIT","FQ3 2019","FQ3 2019","Currency=USD","Period=FQ","BEST_FPERIOD_OVERRIDE=FQ","FILING_STATUS=MR","SCALING_FORMAT=MLN","FA_ADJUSTED=Adjusted","Sort=A","Dates=H","DateFormat=P","Fill=—","Direction=H","UseDPDF=Y")</f>
        <v>219.86500000000001</v>
      </c>
      <c r="E11" s="19">
        <f>_xll.BDH("NBIX US Equity","GROSS_PROFIT","FQ4 2019","FQ4 2019","Currency=USD","Period=FQ","BEST_FPERIOD_OVERRIDE=FQ","FILING_STATUS=MR","SCALING_FORMAT=MLN","FA_ADJUSTED=Adjusted","Sort=A","Dates=H","DateFormat=P","Fill=—","Direction=H","UseDPDF=Y")</f>
        <v>241.6</v>
      </c>
      <c r="F11" s="19">
        <f>_xll.BDH("NBIX US Equity","GROSS_PROFIT","FQ1 2020","FQ1 2020","Currency=USD","Period=FQ","BEST_FPERIOD_OVERRIDE=FQ","FILING_STATUS=MR","SCALING_FORMAT=MLN","FA_ADJUSTED=Adjusted","Sort=A","Dates=H","DateFormat=P","Fill=—","Direction=H","UseDPDF=Y")</f>
        <v>235</v>
      </c>
      <c r="G11" s="19">
        <f>_xll.BDH("NBIX US Equity","GROSS_PROFIT","FQ2 2020","FQ2 2020","Currency=USD","Period=FQ","BEST_FPERIOD_OVERRIDE=FQ","FILING_STATUS=MR","SCALING_FORMAT=MLN","FA_ADJUSTED=Adjusted","Sort=A","Dates=H","DateFormat=P","Fill=—","Direction=H","UseDPDF=Y")</f>
        <v>300</v>
      </c>
      <c r="H11" s="19">
        <f>_xll.BDH("NBIX US Equity","GROSS_PROFIT","FQ3 2020","FQ3 2020","Currency=USD","Period=FQ","BEST_FPERIOD_OVERRIDE=FQ","FILING_STATUS=MR","SCALING_FORMAT=MLN","FA_ADJUSTED=Adjusted","Sort=A","Dates=H","DateFormat=P","Fill=—","Direction=H","UseDPDF=Y")</f>
        <v>255.8</v>
      </c>
      <c r="I11" s="19">
        <f>_xll.BDH("NBIX US Equity","GROSS_PROFIT","FQ4 2020","FQ4 2020","Currency=USD","Period=FQ","BEST_FPERIOD_OVERRIDE=FQ","FILING_STATUS=MR","SCALING_FORMAT=MLN","FA_ADJUSTED=Adjusted","Sort=A","Dates=H","DateFormat=P","Fill=—","Direction=H","UseDPDF=Y")</f>
        <v>245</v>
      </c>
      <c r="J11" s="19">
        <f>_xll.BDH("NBIX US Equity","GROSS_PROFIT","FQ1 2021","FQ1 2021","Currency=USD","Period=FQ","BEST_FPERIOD_OVERRIDE=FQ","FILING_STATUS=MR","SCALING_FORMAT=MLN","FA_ADJUSTED=Adjusted","Sort=A","Dates=H","DateFormat=P","Fill=—","Direction=H","UseDPDF=Y")</f>
        <v>233.7</v>
      </c>
      <c r="K11" s="19">
        <f>_xll.BDH("NBIX US Equity","GROSS_PROFIT","FQ2 2021","FQ2 2021","Currency=USD","Period=FQ","BEST_FPERIOD_OVERRIDE=FQ","FILING_STATUS=MR","SCALING_FORMAT=MLN","FA_ADJUSTED=Adjusted","Sort=A","Dates=H","DateFormat=P","Fill=—","Direction=H","UseDPDF=Y")</f>
        <v>285.8</v>
      </c>
      <c r="L11" s="19">
        <f>_xll.BDH("NBIX US Equity","GROSS_PROFIT","FQ3 2021","FQ3 2021","Currency=USD","Period=FQ","BEST_FPERIOD_OVERRIDE=FQ","FILING_STATUS=MR","SCALING_FORMAT=MLN","FA_ADJUSTED=Adjusted","Sort=A","Dates=H","DateFormat=P","Fill=—","Direction=H","UseDPDF=Y")</f>
        <v>291.8</v>
      </c>
      <c r="M11" s="19">
        <f>_xll.BDH("NBIX US Equity","GROSS_PROFIT","FQ4 2021","FQ4 2021","Currency=USD","Period=FQ","BEST_FPERIOD_OVERRIDE=FQ","FILING_STATUS=MR","SCALING_FORMAT=MLN","FA_ADJUSTED=Adjusted","Sort=A","Dates=H","DateFormat=P","Fill=—","Direction=H","UseDPDF=Y")</f>
        <v>307.89999999999998</v>
      </c>
      <c r="N11" s="19">
        <f>_xll.BDH("NBIX US Equity","GROSS_PROFIT","FQ1 2022","FQ1 2022","Currency=USD","Period=FQ","BEST_FPERIOD_OVERRIDE=FQ","FILING_STATUS=MR","SCALING_FORMAT=MLN","FA_ADJUSTED=Adjusted","Sort=A","Dates=H","DateFormat=P","Fill=—","Direction=H","UseDPDF=Y")</f>
        <v>306</v>
      </c>
      <c r="O11" s="19">
        <f>_xll.BDH("NBIX US Equity","GROSS_PROFIT","FQ2 2022","FQ2 2022","Currency=USD","Period=FQ","BEST_FPERIOD_OVERRIDE=FQ","FILING_STATUS=MR","SCALING_FORMAT=MLN","FA_ADJUSTED=Adjusted","Sort=A","Dates=H","DateFormat=P","Fill=—","Direction=H","UseDPDF=Y")</f>
        <v>373.4</v>
      </c>
      <c r="P11" s="19">
        <f>_xll.BDH("NBIX US Equity","GROSS_PROFIT","FQ3 2022","FQ3 2022","Currency=USD","Period=FQ","BEST_FPERIOD_OVERRIDE=FQ","FILING_STATUS=MR","SCALING_FORMAT=MLN","FA_ADJUSTED=Adjusted","Sort=A","Dates=H","DateFormat=P","Fill=—","Direction=H","UseDPDF=Y")</f>
        <v>381.8</v>
      </c>
      <c r="Q11" s="19">
        <f>_xll.BDH("NBIX US Equity","GROSS_PROFIT","FQ4 2022","FQ4 2022","Currency=USD","Period=FQ","BEST_FPERIOD_OVERRIDE=FQ","FILING_STATUS=MR","SCALING_FORMAT=MLN","FA_ADJUSTED=Adjusted","Sort=A","Dates=H","DateFormat=P","Fill=—","Direction=H","UseDPDF=Y")</f>
        <v>404.3</v>
      </c>
      <c r="R11" s="19">
        <f>_xll.BDH("NBIX US Equity","GROSS_PROFIT","FQ1 2023","FQ1 2023","Currency=USD","Period=FQ","BEST_FPERIOD_OVERRIDE=FQ","FILING_STATUS=MR","SCALING_FORMAT=MLN","FA_ADJUSTED=Adjusted","Sort=A","Dates=H","DateFormat=P","Fill=—","Direction=H","UseDPDF=Y")</f>
        <v>411.9</v>
      </c>
      <c r="S11" s="19">
        <f>_xll.BDH("NBIX US Equity","GROSS_PROFIT","FQ2 2023","FQ2 2023","Currency=USD","Period=FQ","BEST_FPERIOD_OVERRIDE=FQ","FILING_STATUS=MR","SCALING_FORMAT=MLN","FA_ADJUSTED=Adjusted","Sort=A","Dates=H","DateFormat=P","Fill=—","Direction=H","UseDPDF=Y")</f>
        <v>441.2</v>
      </c>
      <c r="T11" s="19">
        <f>_xll.BDH("NBIX US Equity","GROSS_PROFIT","FQ3 2023","FQ3 2023","Currency=USD","Period=FQ","BEST_FPERIOD_OVERRIDE=FQ","FILING_STATUS=MR","SCALING_FORMAT=MLN","FA_ADJUSTED=Adjusted","Sort=A","Dates=H","DateFormat=P","Fill=—","Direction=H","UseDPDF=Y")</f>
        <v>487.6</v>
      </c>
      <c r="U11" s="19">
        <f>_xll.BDH("NBIX US Equity","GROSS_PROFIT","FQ4 2023","FQ4 2023","Currency=USD","Period=FQ","BEST_FPERIOD_OVERRIDE=FQ","FILING_STATUS=MR","SCALING_FORMAT=MLN","FA_ADJUSTED=Adjusted","Sort=A","Dates=H","DateFormat=P","Fill=—","Direction=H","UseDPDF=Y")</f>
        <v>506.7</v>
      </c>
      <c r="V11" s="19">
        <f>_xll.BDH("NBIX US Equity","GROSS_PROFIT","FQ1 2024","FQ1 2024","Currency=USD","Period=FQ","BEST_FPERIOD_OVERRIDE=FQ","FILING_STATUS=MR","SCALING_FORMAT=MLN","FA_ADJUSTED=Adjusted","Sort=A","Dates=H","DateFormat=P","Fill=—","Direction=H","UseDPDF=Y")</f>
        <v>507.8</v>
      </c>
      <c r="W11" s="19">
        <f>_xll.BDH("NBIX US Equity","GROSS_PROFIT","FQ2 2024","FQ2 2024","Currency=USD","Period=FQ","BEST_FPERIOD_OVERRIDE=FQ","FILING_STATUS=MR","SCALING_FORMAT=MLN","FA_ADJUSTED=Adjusted","Sort=A","Dates=H","DateFormat=P","Fill=—","Direction=H","UseDPDF=Y")</f>
        <v>581</v>
      </c>
      <c r="X11" s="19">
        <f>_xll.BDH("NBIX US Equity","GROSS_PROFIT","FQ3 2024","FQ3 2024","Currency=USD","Period=FQ","BEST_FPERIOD_OVERRIDE=FQ","FILING_STATUS=MR","SCALING_FORMAT=MLN","FA_ADJUSTED=Adjusted","Sort=A","Dates=H","DateFormat=P","Fill=—","Direction=H","UseDPDF=Y")</f>
        <v>614.1</v>
      </c>
      <c r="Y11" s="19">
        <f>_xll.BDH("NBIX US Equity","GROSS_PROFIT","FQ4 2024","FQ4 2024","Currency=USD","Period=FQ","BEST_FPERIOD_OVERRIDE=FQ","FILING_STATUS=MR","SCALING_FORMAT=MLN","FA_ADJUSTED=Adjusted","Sort=A","Dates=H","DateFormat=P","Fill=—","Direction=H","UseDPDF=Y")</f>
        <v>618.4</v>
      </c>
      <c r="Z11" s="19">
        <v>585.28971509999997</v>
      </c>
      <c r="AA11" s="19">
        <v>637.37279999999998</v>
      </c>
    </row>
    <row r="12" spans="1:27" x14ac:dyDescent="0.25">
      <c r="A12" s="10" t="s">
        <v>321</v>
      </c>
      <c r="B12" s="10" t="s">
        <v>322</v>
      </c>
      <c r="C12" s="13">
        <f>_xll.BDH("NBIX US Equity","IS_OTHER_OPER_INC","FQ2 2019","FQ2 2019","Currency=USD","Period=FQ","BEST_FPERIOD_OVERRIDE=FQ","FILING_STATUS=MR","SCALING_FORMAT=MLN","FA_ADJUSTED=Adjusted","Sort=A","Dates=H","DateFormat=P","Fill=—","Direction=H","UseDPDF=Y")</f>
        <v>0</v>
      </c>
      <c r="D12" s="13">
        <f>_xll.BDH("NBIX US Equity","IS_OTHER_OPER_INC","FQ3 2019","FQ3 2019","Currency=USD","Period=FQ","BEST_FPERIOD_OVERRIDE=FQ","FILING_STATUS=MR","SCALING_FORMAT=MLN","FA_ADJUSTED=Adjusted","Sort=A","Dates=H","DateFormat=P","Fill=—","Direction=H","UseDPDF=Y")</f>
        <v>0</v>
      </c>
      <c r="E12" s="13">
        <f>_xll.BDH("NBIX US Equity","IS_OTHER_OPER_INC","FQ4 2019","FQ4 2019","Currency=USD","Period=FQ","BEST_FPERIOD_OVERRIDE=FQ","FILING_STATUS=MR","SCALING_FORMAT=MLN","FA_ADJUSTED=Adjusted","Sort=A","Dates=H","DateFormat=P","Fill=—","Direction=H","UseDPDF=Y")</f>
        <v>0</v>
      </c>
      <c r="F12" s="13">
        <f>_xll.BDH("NBIX US Equity","IS_OTHER_OPER_INC","FQ1 2020","FQ1 2020","Currency=USD","Period=FQ","BEST_FPERIOD_OVERRIDE=FQ","FILING_STATUS=MR","SCALING_FORMAT=MLN","FA_ADJUSTED=Adjusted","Sort=A","Dates=H","DateFormat=P","Fill=—","Direction=H","UseDPDF=Y")</f>
        <v>0</v>
      </c>
      <c r="G12" s="13">
        <f>_xll.BDH("NBIX US Equity","IS_OTHER_OPER_INC","FQ2 2020","FQ2 2020","Currency=USD","Period=FQ","BEST_FPERIOD_OVERRIDE=FQ","FILING_STATUS=MR","SCALING_FORMAT=MLN","FA_ADJUSTED=Adjusted","Sort=A","Dates=H","DateFormat=P","Fill=—","Direction=H","UseDPDF=Y")</f>
        <v>0</v>
      </c>
      <c r="H12" s="13">
        <f>_xll.BDH("NBIX US Equity","IS_OTHER_OPER_INC","FQ3 2020","FQ3 2020","Currency=USD","Period=FQ","BEST_FPERIOD_OVERRIDE=FQ","FILING_STATUS=MR","SCALING_FORMAT=MLN","FA_ADJUSTED=Adjusted","Sort=A","Dates=H","DateFormat=P","Fill=—","Direction=H","UseDPDF=Y")</f>
        <v>0</v>
      </c>
      <c r="I12" s="13">
        <f>_xll.BDH("NBIX US Equity","IS_OTHER_OPER_INC","FQ4 2020","FQ4 2020","Currency=USD","Period=FQ","BEST_FPERIOD_OVERRIDE=FQ","FILING_STATUS=MR","SCALING_FORMAT=MLN","FA_ADJUSTED=Adjusted","Sort=A","Dates=H","DateFormat=P","Fill=—","Direction=H","UseDPDF=Y")</f>
        <v>0</v>
      </c>
      <c r="J12" s="13">
        <f>_xll.BDH("NBIX US Equity","IS_OTHER_OPER_INC","FQ1 2021","FQ1 2021","Currency=USD","Period=FQ","BEST_FPERIOD_OVERRIDE=FQ","FILING_STATUS=MR","SCALING_FORMAT=MLN","FA_ADJUSTED=Adjusted","Sort=A","Dates=H","DateFormat=P","Fill=—","Direction=H","UseDPDF=Y")</f>
        <v>0</v>
      </c>
      <c r="K12" s="13">
        <f>_xll.BDH("NBIX US Equity","IS_OTHER_OPER_INC","FQ2 2021","FQ2 2021","Currency=USD","Period=FQ","BEST_FPERIOD_OVERRIDE=FQ","FILING_STATUS=MR","SCALING_FORMAT=MLN","FA_ADJUSTED=Adjusted","Sort=A","Dates=H","DateFormat=P","Fill=—","Direction=H","UseDPDF=Y")</f>
        <v>0</v>
      </c>
      <c r="L12" s="13">
        <f>_xll.BDH("NBIX US Equity","IS_OTHER_OPER_INC","FQ3 2021","FQ3 2021","Currency=USD","Period=FQ","BEST_FPERIOD_OVERRIDE=FQ","FILING_STATUS=MR","SCALING_FORMAT=MLN","FA_ADJUSTED=Adjusted","Sort=A","Dates=H","DateFormat=P","Fill=—","Direction=H","UseDPDF=Y")</f>
        <v>0</v>
      </c>
      <c r="M12" s="13">
        <f>_xll.BDH("NBIX US Equity","IS_OTHER_OPER_INC","FQ4 2021","FQ4 2021","Currency=USD","Period=FQ","BEST_FPERIOD_OVERRIDE=FQ","FILING_STATUS=MR","SCALING_FORMAT=MLN","FA_ADJUSTED=Adjusted","Sort=A","Dates=H","DateFormat=P","Fill=—","Direction=H","UseDPDF=Y")</f>
        <v>0</v>
      </c>
      <c r="N12" s="13">
        <f>_xll.BDH("NBIX US Equity","IS_OTHER_OPER_INC","FQ1 2022","FQ1 2022","Currency=USD","Period=FQ","BEST_FPERIOD_OVERRIDE=FQ","FILING_STATUS=MR","SCALING_FORMAT=MLN","FA_ADJUSTED=Adjusted","Sort=A","Dates=H","DateFormat=P","Fill=—","Direction=H","UseDPDF=Y")</f>
        <v>0</v>
      </c>
      <c r="O12" s="13">
        <f>_xll.BDH("NBIX US Equity","IS_OTHER_OPER_INC","FQ2 2022","FQ2 2022","Currency=USD","Period=FQ","BEST_FPERIOD_OVERRIDE=FQ","FILING_STATUS=MR","SCALING_FORMAT=MLN","FA_ADJUSTED=Adjusted","Sort=A","Dates=H","DateFormat=P","Fill=—","Direction=H","UseDPDF=Y")</f>
        <v>0</v>
      </c>
      <c r="P12" s="13">
        <f>_xll.BDH("NBIX US Equity","IS_OTHER_OPER_INC","FQ3 2022","FQ3 2022","Currency=USD","Period=FQ","BEST_FPERIOD_OVERRIDE=FQ","FILING_STATUS=MR","SCALING_FORMAT=MLN","FA_ADJUSTED=Adjusted","Sort=A","Dates=H","DateFormat=P","Fill=—","Direction=H","UseDPDF=Y")</f>
        <v>0</v>
      </c>
      <c r="Q12" s="13">
        <f>_xll.BDH("NBIX US Equity","IS_OTHER_OPER_INC","FQ4 2022","FQ4 2022","Currency=USD","Period=FQ","BEST_FPERIOD_OVERRIDE=FQ","FILING_STATUS=MR","SCALING_FORMAT=MLN","FA_ADJUSTED=Adjusted","Sort=A","Dates=H","DateFormat=P","Fill=—","Direction=H","UseDPDF=Y")</f>
        <v>0</v>
      </c>
      <c r="R12" s="13">
        <f>_xll.BDH("NBIX US Equity","IS_OTHER_OPER_INC","FQ1 2023","FQ1 2023","Currency=USD","Period=FQ","BEST_FPERIOD_OVERRIDE=FQ","FILING_STATUS=MR","SCALING_FORMAT=MLN","FA_ADJUSTED=Adjusted","Sort=A","Dates=H","DateFormat=P","Fill=—","Direction=H","UseDPDF=Y")</f>
        <v>0</v>
      </c>
      <c r="S12" s="13">
        <f>_xll.BDH("NBIX US Equity","IS_OTHER_OPER_INC","FQ2 2023","FQ2 2023","Currency=USD","Period=FQ","BEST_FPERIOD_OVERRIDE=FQ","FILING_STATUS=MR","SCALING_FORMAT=MLN","FA_ADJUSTED=Adjusted","Sort=A","Dates=H","DateFormat=P","Fill=—","Direction=H","UseDPDF=Y")</f>
        <v>0</v>
      </c>
      <c r="T12" s="13">
        <f>_xll.BDH("NBIX US Equity","IS_OTHER_OPER_INC","FQ3 2023","FQ3 2023","Currency=USD","Period=FQ","BEST_FPERIOD_OVERRIDE=FQ","FILING_STATUS=MR","SCALING_FORMAT=MLN","FA_ADJUSTED=Adjusted","Sort=A","Dates=H","DateFormat=P","Fill=—","Direction=H","UseDPDF=Y")</f>
        <v>0</v>
      </c>
      <c r="U12" s="13">
        <f>_xll.BDH("NBIX US Equity","IS_OTHER_OPER_INC","FQ4 2023","FQ4 2023","Currency=USD","Period=FQ","BEST_FPERIOD_OVERRIDE=FQ","FILING_STATUS=MR","SCALING_FORMAT=MLN","FA_ADJUSTED=Adjusted","Sort=A","Dates=H","DateFormat=P","Fill=—","Direction=H","UseDPDF=Y")</f>
        <v>0</v>
      </c>
      <c r="V12" s="13">
        <f>_xll.BDH("NBIX US Equity","IS_OTHER_OPER_INC","FQ1 2024","FQ1 2024","Currency=USD","Period=FQ","BEST_FPERIOD_OVERRIDE=FQ","FILING_STATUS=MR","SCALING_FORMAT=MLN","FA_ADJUSTED=Adjusted","Sort=A","Dates=H","DateFormat=P","Fill=—","Direction=H","UseDPDF=Y")</f>
        <v>0</v>
      </c>
      <c r="W12" s="13">
        <f>_xll.BDH("NBIX US Equity","IS_OTHER_OPER_INC","FQ2 2024","FQ2 2024","Currency=USD","Period=FQ","BEST_FPERIOD_OVERRIDE=FQ","FILING_STATUS=MR","SCALING_FORMAT=MLN","FA_ADJUSTED=Adjusted","Sort=A","Dates=H","DateFormat=P","Fill=—","Direction=H","UseDPDF=Y")</f>
        <v>0</v>
      </c>
      <c r="X12" s="13">
        <f>_xll.BDH("NBIX US Equity","IS_OTHER_OPER_INC","FQ3 2024","FQ3 2024","Currency=USD","Period=FQ","BEST_FPERIOD_OVERRIDE=FQ","FILING_STATUS=MR","SCALING_FORMAT=MLN","FA_ADJUSTED=Adjusted","Sort=A","Dates=H","DateFormat=P","Fill=—","Direction=H","UseDPDF=Y")</f>
        <v>0</v>
      </c>
      <c r="Y12" s="13">
        <f>_xll.BDH("NBIX US Equity","IS_OTHER_OPER_INC","FQ4 2024","FQ4 2024","Currency=USD","Period=FQ","BEST_FPERIOD_OVERRIDE=FQ","FILING_STATUS=MR","SCALING_FORMAT=MLN","FA_ADJUSTED=Adjusted","Sort=A","Dates=H","DateFormat=P","Fill=—","Direction=H","UseDPDF=Y")</f>
        <v>0</v>
      </c>
      <c r="Z12" s="13"/>
      <c r="AA12" s="13"/>
    </row>
    <row r="13" spans="1:27" x14ac:dyDescent="0.25">
      <c r="A13" s="10" t="s">
        <v>323</v>
      </c>
      <c r="B13" s="10" t="s">
        <v>324</v>
      </c>
      <c r="C13" s="13">
        <f>_xll.BDH("NBIX US Equity","IS_OPERATING_EXPN","FQ2 2019","FQ2 2019","Currency=USD","Period=FQ","BEST_FPERIOD_OVERRIDE=FQ","FILING_STATUS=MR","SCALING_FORMAT=MLN","FA_ADJUSTED=Adjusted","Sort=A","Dates=H","DateFormat=P","Fill=—","Direction=H","UseDPDF=Y")</f>
        <v>142.511</v>
      </c>
      <c r="D13" s="13">
        <f>_xll.BDH("NBIX US Equity","IS_OPERATING_EXPN","FQ3 2019","FQ3 2019","Currency=USD","Period=FQ","BEST_FPERIOD_OVERRIDE=FQ","FILING_STATUS=MR","SCALING_FORMAT=MLN","FA_ADJUSTED=Adjusted","Sort=A","Dates=H","DateFormat=P","Fill=—","Direction=H","UseDPDF=Y")</f>
        <v>129.767</v>
      </c>
      <c r="E13" s="13">
        <f>_xll.BDH("NBIX US Equity","IS_OPERATING_EXPN","FQ4 2019","FQ4 2019","Currency=USD","Period=FQ","BEST_FPERIOD_OVERRIDE=FQ","FILING_STATUS=MR","SCALING_FORMAT=MLN","FA_ADJUSTED=Adjusted","Sort=A","Dates=H","DateFormat=P","Fill=—","Direction=H","UseDPDF=Y")</f>
        <v>156.6</v>
      </c>
      <c r="F13" s="13">
        <f>_xll.BDH("NBIX US Equity","IS_OPERATING_EXPN","FQ1 2020","FQ1 2020","Currency=USD","Period=FQ","BEST_FPERIOD_OVERRIDE=FQ","FILING_STATUS=MR","SCALING_FORMAT=MLN","FA_ADJUSTED=Adjusted","Sort=A","Dates=H","DateFormat=P","Fill=—","Direction=H","UseDPDF=Y")</f>
        <v>176.1</v>
      </c>
      <c r="G13" s="13">
        <f>_xll.BDH("NBIX US Equity","IS_OPERATING_EXPN","FQ2 2020","FQ2 2020","Currency=USD","Period=FQ","BEST_FPERIOD_OVERRIDE=FQ","FILING_STATUS=MR","SCALING_FORMAT=MLN","FA_ADJUSTED=Adjusted","Sort=A","Dates=H","DateFormat=P","Fill=—","Direction=H","UseDPDF=Y")</f>
        <v>177.4</v>
      </c>
      <c r="H13" s="13">
        <f>_xll.BDH("NBIX US Equity","IS_OPERATING_EXPN","FQ3 2020","FQ3 2020","Currency=USD","Period=FQ","BEST_FPERIOD_OVERRIDE=FQ","FILING_STATUS=MR","SCALING_FORMAT=MLN","FA_ADJUSTED=Adjusted","Sort=A","Dates=H","DateFormat=P","Fill=—","Direction=H","UseDPDF=Y")</f>
        <v>181.6</v>
      </c>
      <c r="I13" s="13">
        <f>_xll.BDH("NBIX US Equity","IS_OPERATING_EXPN","FQ4 2020","FQ4 2020","Currency=USD","Period=FQ","BEST_FPERIOD_OVERRIDE=FQ","FILING_STATUS=MR","SCALING_FORMAT=MLN","FA_ADJUSTED=Adjusted","Sort=A","Dates=H","DateFormat=P","Fill=—","Direction=H","UseDPDF=Y")</f>
        <v>173.2</v>
      </c>
      <c r="J13" s="13">
        <f>_xll.BDH("NBIX US Equity","IS_OPERATING_EXPN","FQ1 2021","FQ1 2021","Currency=USD","Period=FQ","BEST_FPERIOD_OVERRIDE=FQ","FILING_STATUS=MR","SCALING_FORMAT=MLN","FA_ADJUSTED=Adjusted","Sort=A","Dates=H","DateFormat=P","Fill=—","Direction=H","UseDPDF=Y")</f>
        <v>202.2</v>
      </c>
      <c r="K13" s="13">
        <f>_xll.BDH("NBIX US Equity","IS_OPERATING_EXPN","FQ2 2021","FQ2 2021","Currency=USD","Period=FQ","BEST_FPERIOD_OVERRIDE=FQ","FILING_STATUS=MR","SCALING_FORMAT=MLN","FA_ADJUSTED=Adjusted","Sort=A","Dates=H","DateFormat=P","Fill=—","Direction=H","UseDPDF=Y")</f>
        <v>218</v>
      </c>
      <c r="L13" s="13">
        <f>_xll.BDH("NBIX US Equity","IS_OPERATING_EXPN","FQ3 2021","FQ3 2021","Currency=USD","Period=FQ","BEST_FPERIOD_OVERRIDE=FQ","FILING_STATUS=MR","SCALING_FORMAT=MLN","FA_ADJUSTED=Adjusted","Sort=A","Dates=H","DateFormat=P","Fill=—","Direction=H","UseDPDF=Y")</f>
        <v>247.3</v>
      </c>
      <c r="M13" s="13">
        <f>_xll.BDH("NBIX US Equity","IS_OPERATING_EXPN","FQ4 2021","FQ4 2021","Currency=USD","Period=FQ","BEST_FPERIOD_OVERRIDE=FQ","FILING_STATUS=MR","SCALING_FORMAT=MLN","FA_ADJUSTED=Adjusted","Sort=A","Dates=H","DateFormat=P","Fill=—","Direction=H","UseDPDF=Y")</f>
        <v>243.9</v>
      </c>
      <c r="N13" s="13">
        <f>_xll.BDH("NBIX US Equity","IS_OPERATING_EXPN","FQ1 2022","FQ1 2022","Currency=USD","Period=FQ","BEST_FPERIOD_OVERRIDE=FQ","FILING_STATUS=MR","SCALING_FORMAT=MLN","FA_ADJUSTED=Adjusted","Sort=A","Dates=H","DateFormat=P","Fill=—","Direction=H","UseDPDF=Y")</f>
        <v>302.89999999999998</v>
      </c>
      <c r="O13" s="13">
        <f>_xll.BDH("NBIX US Equity","IS_OPERATING_EXPN","FQ2 2022","FQ2 2022","Currency=USD","Period=FQ","BEST_FPERIOD_OVERRIDE=FQ","FILING_STATUS=MR","SCALING_FORMAT=MLN","FA_ADJUSTED=Adjusted","Sort=A","Dates=H","DateFormat=P","Fill=—","Direction=H","UseDPDF=Y")</f>
        <v>318.7</v>
      </c>
      <c r="P13" s="13">
        <f>_xll.BDH("NBIX US Equity","IS_OPERATING_EXPN","FQ3 2022","FQ3 2022","Currency=USD","Period=FQ","BEST_FPERIOD_OVERRIDE=FQ","FILING_STATUS=MR","SCALING_FORMAT=MLN","FA_ADJUSTED=Adjusted","Sort=A","Dates=H","DateFormat=P","Fill=—","Direction=H","UseDPDF=Y")</f>
        <v>294</v>
      </c>
      <c r="Q13" s="13">
        <f>_xll.BDH("NBIX US Equity","IS_OPERATING_EXPN","FQ4 2022","FQ4 2022","Currency=USD","Period=FQ","BEST_FPERIOD_OVERRIDE=FQ","FILING_STATUS=MR","SCALING_FORMAT=MLN","FA_ADJUSTED=Adjusted","Sort=A","Dates=H","DateFormat=P","Fill=—","Direction=H","UseDPDF=Y")</f>
        <v>299.2</v>
      </c>
      <c r="R13" s="13">
        <f>_xll.BDH("NBIX US Equity","IS_OPERATING_EXPN","FQ1 2023","FQ1 2023","Currency=USD","Period=FQ","BEST_FPERIOD_OVERRIDE=FQ","FILING_STATUS=MR","SCALING_FORMAT=MLN","FA_ADJUSTED=Adjusted","Sort=A","Dates=H","DateFormat=P","Fill=—","Direction=H","UseDPDF=Y")</f>
        <v>382.2</v>
      </c>
      <c r="S13" s="13">
        <f>_xll.BDH("NBIX US Equity","IS_OPERATING_EXPN","FQ2 2023","FQ2 2023","Currency=USD","Period=FQ","BEST_FPERIOD_OVERRIDE=FQ","FILING_STATUS=MR","SCALING_FORMAT=MLN","FA_ADJUSTED=Adjusted","Sort=A","Dates=H","DateFormat=P","Fill=—","Direction=H","UseDPDF=Y")</f>
        <v>367.6</v>
      </c>
      <c r="T13" s="13">
        <f>_xll.BDH("NBIX US Equity","IS_OPERATING_EXPN","FQ3 2023","FQ3 2023","Currency=USD","Period=FQ","BEST_FPERIOD_OVERRIDE=FQ","FILING_STATUS=MR","SCALING_FORMAT=MLN","FA_ADJUSTED=Adjusted","Sort=A","Dates=H","DateFormat=P","Fill=—","Direction=H","UseDPDF=Y")</f>
        <v>342.5</v>
      </c>
      <c r="U13" s="13">
        <f>_xll.BDH("NBIX US Equity","IS_OPERATING_EXPN","FQ4 2023","FQ4 2023","Currency=USD","Period=FQ","BEST_FPERIOD_OVERRIDE=FQ","FILING_STATUS=MR","SCALING_FORMAT=MLN","FA_ADJUSTED=Adjusted","Sort=A","Dates=H","DateFormat=P","Fill=—","Direction=H","UseDPDF=Y")</f>
        <v>356.4</v>
      </c>
      <c r="V13" s="13">
        <f>_xll.BDH("NBIX US Equity","IS_OPERATING_EXPN","FQ1 2024","FQ1 2024","Currency=USD","Period=FQ","BEST_FPERIOD_OVERRIDE=FQ","FILING_STATUS=MR","SCALING_FORMAT=MLN","FA_ADJUSTED=Adjusted","Sort=A","Dates=H","DateFormat=P","Fill=—","Direction=H","UseDPDF=Y")</f>
        <v>402.5</v>
      </c>
      <c r="W13" s="13">
        <f>_xll.BDH("NBIX US Equity","IS_OPERATING_EXPN","FQ2 2024","FQ2 2024","Currency=USD","Period=FQ","BEST_FPERIOD_OVERRIDE=FQ","FILING_STATUS=MR","SCALING_FORMAT=MLN","FA_ADJUSTED=Adjusted","Sort=A","Dates=H","DateFormat=P","Fill=—","Direction=H","UseDPDF=Y")</f>
        <v>369.4</v>
      </c>
      <c r="X13" s="13">
        <f>_xll.BDH("NBIX US Equity","IS_OPERATING_EXPN","FQ3 2024","FQ3 2024","Currency=USD","Period=FQ","BEST_FPERIOD_OVERRIDE=FQ","FILING_STATUS=MR","SCALING_FORMAT=MLN","FA_ADJUSTED=Adjusted","Sort=A","Dates=H","DateFormat=P","Fill=—","Direction=H","UseDPDF=Y")</f>
        <v>429.3</v>
      </c>
      <c r="Y13" s="13">
        <f>_xll.BDH("NBIX US Equity","IS_OPERATING_EXPN","FQ4 2024","FQ4 2024","Currency=USD","Period=FQ","BEST_FPERIOD_OVERRIDE=FQ","FILING_STATUS=MR","SCALING_FORMAT=MLN","FA_ADJUSTED=Adjusted","Sort=A","Dates=H","DateFormat=P","Fill=—","Direction=H","UseDPDF=Y")</f>
        <v>473.4</v>
      </c>
      <c r="Z13" s="13"/>
      <c r="AA13" s="13"/>
    </row>
    <row r="14" spans="1:27" x14ac:dyDescent="0.25">
      <c r="A14" s="10" t="s">
        <v>325</v>
      </c>
      <c r="B14" s="10" t="s">
        <v>326</v>
      </c>
      <c r="C14" s="13">
        <f>_xll.BDH("NBIX US Equity","IS_SGA_EXPENSE","FQ2 2019","FQ2 2019","Currency=USD","Period=FQ","BEST_FPERIOD_OVERRIDE=FQ","FILING_STATUS=MR","SCALING_FORMAT=MLN","FA_ADJUSTED=Adjusted","Sort=A","Dates=H","DateFormat=P","Fill=—","Direction=H","UseDPDF=Y")</f>
        <v>80.823999999999998</v>
      </c>
      <c r="D14" s="13">
        <f>_xll.BDH("NBIX US Equity","IS_SGA_EXPENSE","FQ3 2019","FQ3 2019","Currency=USD","Period=FQ","BEST_FPERIOD_OVERRIDE=FQ","FILING_STATUS=MR","SCALING_FORMAT=MLN","FA_ADJUSTED=Adjusted","Sort=A","Dates=H","DateFormat=P","Fill=—","Direction=H","UseDPDF=Y")</f>
        <v>84.489000000000004</v>
      </c>
      <c r="E14" s="13">
        <f>_xll.BDH("NBIX US Equity","IS_SGA_EXPENSE","FQ4 2019","FQ4 2019","Currency=USD","Period=FQ","BEST_FPERIOD_OVERRIDE=FQ","FILING_STATUS=MR","SCALING_FORMAT=MLN","FA_ADJUSTED=Adjusted","Sort=A","Dates=H","DateFormat=P","Fill=—","Direction=H","UseDPDF=Y")</f>
        <v>101.3</v>
      </c>
      <c r="F14" s="13">
        <f>_xll.BDH("NBIX US Equity","IS_SGA_EXPENSE","FQ1 2020","FQ1 2020","Currency=USD","Period=FQ","BEST_FPERIOD_OVERRIDE=FQ","FILING_STATUS=MR","SCALING_FORMAT=MLN","FA_ADJUSTED=Adjusted","Sort=A","Dates=H","DateFormat=P","Fill=—","Direction=H","UseDPDF=Y")</f>
        <v>117.8</v>
      </c>
      <c r="G14" s="13">
        <f>_xll.BDH("NBIX US Equity","IS_SGA_EXPENSE","FQ2 2020","FQ2 2020","Currency=USD","Period=FQ","BEST_FPERIOD_OVERRIDE=FQ","FILING_STATUS=MR","SCALING_FORMAT=MLN","FA_ADJUSTED=Adjusted","Sort=A","Dates=H","DateFormat=P","Fill=—","Direction=H","UseDPDF=Y")</f>
        <v>96.5</v>
      </c>
      <c r="H14" s="13">
        <f>_xll.BDH("NBIX US Equity","IS_SGA_EXPENSE","FQ3 2020","FQ3 2020","Currency=USD","Period=FQ","BEST_FPERIOD_OVERRIDE=FQ","FILING_STATUS=MR","SCALING_FORMAT=MLN","FA_ADJUSTED=Adjusted","Sort=A","Dates=H","DateFormat=P","Fill=—","Direction=H","UseDPDF=Y")</f>
        <v>112.5</v>
      </c>
      <c r="I14" s="13">
        <f>_xll.BDH("NBIX US Equity","IS_SGA_EXPENSE","FQ4 2020","FQ4 2020","Currency=USD","Period=FQ","BEST_FPERIOD_OVERRIDE=FQ","FILING_STATUS=MR","SCALING_FORMAT=MLN","FA_ADJUSTED=Adjusted","Sort=A","Dates=H","DateFormat=P","Fill=—","Direction=H","UseDPDF=Y")</f>
        <v>106.5</v>
      </c>
      <c r="J14" s="13">
        <f>_xll.BDH("NBIX US Equity","IS_SGA_EXPENSE","FQ1 2021","FQ1 2021","Currency=USD","Period=FQ","BEST_FPERIOD_OVERRIDE=FQ","FILING_STATUS=MR","SCALING_FORMAT=MLN","FA_ADJUSTED=Adjusted","Sort=A","Dates=H","DateFormat=P","Fill=—","Direction=H","UseDPDF=Y")</f>
        <v>129</v>
      </c>
      <c r="K14" s="13">
        <f>_xll.BDH("NBIX US Equity","IS_SGA_EXPENSE","FQ2 2021","FQ2 2021","Currency=USD","Period=FQ","BEST_FPERIOD_OVERRIDE=FQ","FILING_STATUS=MR","SCALING_FORMAT=MLN","FA_ADJUSTED=Adjusted","Sort=A","Dates=H","DateFormat=P","Fill=—","Direction=H","UseDPDF=Y")</f>
        <v>143.19999999999999</v>
      </c>
      <c r="L14" s="13">
        <f>_xll.BDH("NBIX US Equity","IS_SGA_EXPENSE","FQ3 2021","FQ3 2021","Currency=USD","Period=FQ","BEST_FPERIOD_OVERRIDE=FQ","FILING_STATUS=MR","SCALING_FORMAT=MLN","FA_ADJUSTED=Adjusted","Sort=A","Dates=H","DateFormat=P","Fill=—","Direction=H","UseDPDF=Y")</f>
        <v>154.6</v>
      </c>
      <c r="M14" s="13">
        <f>_xll.BDH("NBIX US Equity","IS_SGA_EXPENSE","FQ4 2021","FQ4 2021","Currency=USD","Period=FQ","BEST_FPERIOD_OVERRIDE=FQ","FILING_STATUS=MR","SCALING_FORMAT=MLN","FA_ADJUSTED=Adjusted","Sort=A","Dates=H","DateFormat=P","Fill=—","Direction=H","UseDPDF=Y")</f>
        <v>156.5</v>
      </c>
      <c r="N14" s="13">
        <f>_xll.BDH("NBIX US Equity","IS_SGA_EXPENSE","FQ1 2022","FQ1 2022","Currency=USD","Period=FQ","BEST_FPERIOD_OVERRIDE=FQ","FILING_STATUS=MR","SCALING_FORMAT=MLN","FA_ADJUSTED=Adjusted","Sort=A","Dates=H","DateFormat=P","Fill=—","Direction=H","UseDPDF=Y")</f>
        <v>200.7</v>
      </c>
      <c r="O14" s="13">
        <f>_xll.BDH("NBIX US Equity","IS_SGA_EXPENSE","FQ2 2022","FQ2 2022","Currency=USD","Period=FQ","BEST_FPERIOD_OVERRIDE=FQ","FILING_STATUS=MR","SCALING_FORMAT=MLN","FA_ADJUSTED=Adjusted","Sort=A","Dates=H","DateFormat=P","Fill=—","Direction=H","UseDPDF=Y")</f>
        <v>182.8</v>
      </c>
      <c r="P14" s="13">
        <f>_xll.BDH("NBIX US Equity","IS_SGA_EXPENSE","FQ3 2022","FQ3 2022","Currency=USD","Period=FQ","BEST_FPERIOD_OVERRIDE=FQ","FILING_STATUS=MR","SCALING_FORMAT=MLN","FA_ADJUSTED=Adjusted","Sort=A","Dates=H","DateFormat=P","Fill=—","Direction=H","UseDPDF=Y")</f>
        <v>186.3</v>
      </c>
      <c r="Q14" s="13">
        <f>_xll.BDH("NBIX US Equity","IS_SGA_EXPENSE","FQ4 2022","FQ4 2022","Currency=USD","Period=FQ","BEST_FPERIOD_OVERRIDE=FQ","FILING_STATUS=MR","SCALING_FORMAT=MLN","FA_ADJUSTED=Adjusted","Sort=A","Dates=H","DateFormat=P","Fill=—","Direction=H","UseDPDF=Y")</f>
        <v>182.9</v>
      </c>
      <c r="R14" s="13">
        <f>_xll.BDH("NBIX US Equity","IS_SGA_EXPENSE","FQ1 2023","FQ1 2023","Currency=USD","Period=FQ","BEST_FPERIOD_OVERRIDE=FQ","FILING_STATUS=MR","SCALING_FORMAT=MLN","FA_ADJUSTED=Adjusted","Sort=A","Dates=H","DateFormat=P","Fill=—","Direction=H","UseDPDF=Y")</f>
        <v>242.7</v>
      </c>
      <c r="S14" s="13">
        <f>_xll.BDH("NBIX US Equity","IS_SGA_EXPENSE","FQ2 2023","FQ2 2023","Currency=USD","Period=FQ","BEST_FPERIOD_OVERRIDE=FQ","FILING_STATUS=MR","SCALING_FORMAT=MLN","FA_ADJUSTED=Adjusted","Sort=A","Dates=H","DateFormat=P","Fill=—","Direction=H","UseDPDF=Y")</f>
        <v>221.8</v>
      </c>
      <c r="T14" s="13">
        <f>_xll.BDH("NBIX US Equity","IS_SGA_EXPENSE","FQ3 2023","FQ3 2023","Currency=USD","Period=FQ","BEST_FPERIOD_OVERRIDE=FQ","FILING_STATUS=MR","SCALING_FORMAT=MLN","FA_ADJUSTED=Adjusted","Sort=A","Dates=H","DateFormat=P","Fill=—","Direction=H","UseDPDF=Y")</f>
        <v>204.2</v>
      </c>
      <c r="U14" s="13">
        <f>_xll.BDH("NBIX US Equity","IS_SGA_EXPENSE","FQ4 2023","FQ4 2023","Currency=USD","Period=FQ","BEST_FPERIOD_OVERRIDE=FQ","FILING_STATUS=MR","SCALING_FORMAT=MLN","FA_ADJUSTED=Adjusted","Sort=A","Dates=H","DateFormat=P","Fill=—","Direction=H","UseDPDF=Y")</f>
        <v>218.9</v>
      </c>
      <c r="V14" s="13">
        <f>_xll.BDH("NBIX US Equity","IS_SGA_EXPENSE","FQ1 2024","FQ1 2024","Currency=USD","Period=FQ","BEST_FPERIOD_OVERRIDE=FQ","FILING_STATUS=MR","SCALING_FORMAT=MLN","FA_ADJUSTED=Adjusted","Sort=A","Dates=H","DateFormat=P","Fill=—","Direction=H","UseDPDF=Y")</f>
        <v>243.1</v>
      </c>
      <c r="W14" s="13">
        <f>_xll.BDH("NBIX US Equity","IS_SGA_EXPENSE","FQ2 2024","FQ2 2024","Currency=USD","Period=FQ","BEST_FPERIOD_OVERRIDE=FQ","FILING_STATUS=MR","SCALING_FORMAT=MLN","FA_ADJUSTED=Adjusted","Sort=A","Dates=H","DateFormat=P","Fill=—","Direction=H","UseDPDF=Y")</f>
        <v>242</v>
      </c>
      <c r="X14" s="13">
        <f>_xll.BDH("NBIX US Equity","IS_SGA_EXPENSE","FQ3 2024","FQ3 2024","Currency=USD","Period=FQ","BEST_FPERIOD_OVERRIDE=FQ","FILING_STATUS=MR","SCALING_FORMAT=MLN","FA_ADJUSTED=Adjusted","Sort=A","Dates=H","DateFormat=P","Fill=—","Direction=H","UseDPDF=Y")</f>
        <v>234.3</v>
      </c>
      <c r="Y14" s="13">
        <f>_xll.BDH("NBIX US Equity","IS_SGA_EXPENSE","FQ4 2024","FQ4 2024","Currency=USD","Period=FQ","BEST_FPERIOD_OVERRIDE=FQ","FILING_STATUS=MR","SCALING_FORMAT=MLN","FA_ADJUSTED=Adjusted","Sort=A","Dates=H","DateFormat=P","Fill=—","Direction=H","UseDPDF=Y")</f>
        <v>287.8</v>
      </c>
      <c r="Z14" s="13"/>
      <c r="AA14" s="13"/>
    </row>
    <row r="15" spans="1:27" x14ac:dyDescent="0.25">
      <c r="A15" s="11" t="s">
        <v>327</v>
      </c>
      <c r="B15" s="11" t="s">
        <v>328</v>
      </c>
      <c r="C15" s="25">
        <f>_xll.BDH("NBIX US Equity","IS_GENERAL_AND_ADMINISTRATIVE","FQ2 2019","FQ2 2019","Currency=USD","Period=FQ","BEST_FPERIOD_OVERRIDE=FQ","FILING_STATUS=MR","SCALING_FORMAT=MLN","FA_ADJUSTED=Adjusted","Sort=A","Dates=H","DateFormat=P","Fill=—","Direction=H","UseDPDF=Y")</f>
        <v>80.823999999999998</v>
      </c>
      <c r="D15" s="25">
        <f>_xll.BDH("NBIX US Equity","IS_GENERAL_AND_ADMINISTRATIVE","FQ3 2019","FQ3 2019","Currency=USD","Period=FQ","BEST_FPERIOD_OVERRIDE=FQ","FILING_STATUS=MR","SCALING_FORMAT=MLN","FA_ADJUSTED=Adjusted","Sort=A","Dates=H","DateFormat=P","Fill=—","Direction=H","UseDPDF=Y")</f>
        <v>84.489000000000004</v>
      </c>
      <c r="E15" s="25">
        <f>_xll.BDH("NBIX US Equity","IS_GENERAL_AND_ADMINISTRATIVE","FQ4 2019","FQ4 2019","Currency=USD","Period=FQ","BEST_FPERIOD_OVERRIDE=FQ","FILING_STATUS=MR","SCALING_FORMAT=MLN","FA_ADJUSTED=Adjusted","Sort=A","Dates=H","DateFormat=P","Fill=—","Direction=H","UseDPDF=Y")</f>
        <v>101.3</v>
      </c>
      <c r="F15" s="25">
        <f>_xll.BDH("NBIX US Equity","IS_GENERAL_AND_ADMINISTRATIVE","FQ1 2020","FQ1 2020","Currency=USD","Period=FQ","BEST_FPERIOD_OVERRIDE=FQ","FILING_STATUS=MR","SCALING_FORMAT=MLN","FA_ADJUSTED=Adjusted","Sort=A","Dates=H","DateFormat=P","Fill=—","Direction=H","UseDPDF=Y")</f>
        <v>117.8</v>
      </c>
      <c r="G15" s="25">
        <f>_xll.BDH("NBIX US Equity","IS_GENERAL_AND_ADMINISTRATIVE","FQ2 2020","FQ2 2020","Currency=USD","Period=FQ","BEST_FPERIOD_OVERRIDE=FQ","FILING_STATUS=MR","SCALING_FORMAT=MLN","FA_ADJUSTED=Adjusted","Sort=A","Dates=H","DateFormat=P","Fill=—","Direction=H","UseDPDF=Y")</f>
        <v>96.5</v>
      </c>
      <c r="H15" s="25">
        <f>_xll.BDH("NBIX US Equity","IS_GENERAL_AND_ADMINISTRATIVE","FQ3 2020","FQ3 2020","Currency=USD","Period=FQ","BEST_FPERIOD_OVERRIDE=FQ","FILING_STATUS=MR","SCALING_FORMAT=MLN","FA_ADJUSTED=Adjusted","Sort=A","Dates=H","DateFormat=P","Fill=—","Direction=H","UseDPDF=Y")</f>
        <v>112.5</v>
      </c>
      <c r="I15" s="25">
        <f>_xll.BDH("NBIX US Equity","IS_GENERAL_AND_ADMINISTRATIVE","FQ4 2020","FQ4 2020","Currency=USD","Period=FQ","BEST_FPERIOD_OVERRIDE=FQ","FILING_STATUS=MR","SCALING_FORMAT=MLN","FA_ADJUSTED=Adjusted","Sort=A","Dates=H","DateFormat=P","Fill=—","Direction=H","UseDPDF=Y")</f>
        <v>106.5</v>
      </c>
      <c r="J15" s="25">
        <f>_xll.BDH("NBIX US Equity","IS_GENERAL_AND_ADMINISTRATIVE","FQ1 2021","FQ1 2021","Currency=USD","Period=FQ","BEST_FPERIOD_OVERRIDE=FQ","FILING_STATUS=MR","SCALING_FORMAT=MLN","FA_ADJUSTED=Adjusted","Sort=A","Dates=H","DateFormat=P","Fill=—","Direction=H","UseDPDF=Y")</f>
        <v>129</v>
      </c>
      <c r="K15" s="25">
        <f>_xll.BDH("NBIX US Equity","IS_GENERAL_AND_ADMINISTRATIVE","FQ2 2021","FQ2 2021","Currency=USD","Period=FQ","BEST_FPERIOD_OVERRIDE=FQ","FILING_STATUS=MR","SCALING_FORMAT=MLN","FA_ADJUSTED=Adjusted","Sort=A","Dates=H","DateFormat=P","Fill=—","Direction=H","UseDPDF=Y")</f>
        <v>143.19999999999999</v>
      </c>
      <c r="L15" s="25">
        <f>_xll.BDH("NBIX US Equity","IS_GENERAL_AND_ADMINISTRATIVE","FQ3 2021","FQ3 2021","Currency=USD","Period=FQ","BEST_FPERIOD_OVERRIDE=FQ","FILING_STATUS=MR","SCALING_FORMAT=MLN","FA_ADJUSTED=Adjusted","Sort=A","Dates=H","DateFormat=P","Fill=—","Direction=H","UseDPDF=Y")</f>
        <v>154.6</v>
      </c>
      <c r="M15" s="25">
        <f>_xll.BDH("NBIX US Equity","IS_GENERAL_AND_ADMINISTRATIVE","FQ4 2021","FQ4 2021","Currency=USD","Period=FQ","BEST_FPERIOD_OVERRIDE=FQ","FILING_STATUS=MR","SCALING_FORMAT=MLN","FA_ADJUSTED=Adjusted","Sort=A","Dates=H","DateFormat=P","Fill=—","Direction=H","UseDPDF=Y")</f>
        <v>156.5</v>
      </c>
      <c r="N15" s="25">
        <f>_xll.BDH("NBIX US Equity","IS_GENERAL_AND_ADMINISTRATIVE","FQ1 2022","FQ1 2022","Currency=USD","Period=FQ","BEST_FPERIOD_OVERRIDE=FQ","FILING_STATUS=MR","SCALING_FORMAT=MLN","FA_ADJUSTED=Adjusted","Sort=A","Dates=H","DateFormat=P","Fill=—","Direction=H","UseDPDF=Y")</f>
        <v>200.7</v>
      </c>
      <c r="O15" s="25">
        <f>_xll.BDH("NBIX US Equity","IS_GENERAL_AND_ADMINISTRATIVE","FQ2 2022","FQ2 2022","Currency=USD","Period=FQ","BEST_FPERIOD_OVERRIDE=FQ","FILING_STATUS=MR","SCALING_FORMAT=MLN","FA_ADJUSTED=Adjusted","Sort=A","Dates=H","DateFormat=P","Fill=—","Direction=H","UseDPDF=Y")</f>
        <v>182.8</v>
      </c>
      <c r="P15" s="25">
        <f>_xll.BDH("NBIX US Equity","IS_GENERAL_AND_ADMINISTRATIVE","FQ3 2022","FQ3 2022","Currency=USD","Period=FQ","BEST_FPERIOD_OVERRIDE=FQ","FILING_STATUS=MR","SCALING_FORMAT=MLN","FA_ADJUSTED=Adjusted","Sort=A","Dates=H","DateFormat=P","Fill=—","Direction=H","UseDPDF=Y")</f>
        <v>186.3</v>
      </c>
      <c r="Q15" s="25">
        <f>_xll.BDH("NBIX US Equity","IS_GENERAL_AND_ADMINISTRATIVE","FQ4 2022","FQ4 2022","Currency=USD","Period=FQ","BEST_FPERIOD_OVERRIDE=FQ","FILING_STATUS=MR","SCALING_FORMAT=MLN","FA_ADJUSTED=Adjusted","Sort=A","Dates=H","DateFormat=P","Fill=—","Direction=H","UseDPDF=Y")</f>
        <v>182.9</v>
      </c>
      <c r="R15" s="25">
        <f>_xll.BDH("NBIX US Equity","IS_GENERAL_AND_ADMINISTRATIVE","FQ1 2023","FQ1 2023","Currency=USD","Period=FQ","BEST_FPERIOD_OVERRIDE=FQ","FILING_STATUS=MR","SCALING_FORMAT=MLN","FA_ADJUSTED=Adjusted","Sort=A","Dates=H","DateFormat=P","Fill=—","Direction=H","UseDPDF=Y")</f>
        <v>242.7</v>
      </c>
      <c r="S15" s="25">
        <f>_xll.BDH("NBIX US Equity","IS_GENERAL_AND_ADMINISTRATIVE","FQ2 2023","FQ2 2023","Currency=USD","Period=FQ","BEST_FPERIOD_OVERRIDE=FQ","FILING_STATUS=MR","SCALING_FORMAT=MLN","FA_ADJUSTED=Adjusted","Sort=A","Dates=H","DateFormat=P","Fill=—","Direction=H","UseDPDF=Y")</f>
        <v>221.8</v>
      </c>
      <c r="T15" s="25">
        <f>_xll.BDH("NBIX US Equity","IS_GENERAL_AND_ADMINISTRATIVE","FQ3 2023","FQ3 2023","Currency=USD","Period=FQ","BEST_FPERIOD_OVERRIDE=FQ","FILING_STATUS=MR","SCALING_FORMAT=MLN","FA_ADJUSTED=Adjusted","Sort=A","Dates=H","DateFormat=P","Fill=—","Direction=H","UseDPDF=Y")</f>
        <v>204.2</v>
      </c>
      <c r="U15" s="25">
        <f>_xll.BDH("NBIX US Equity","IS_GENERAL_AND_ADMINISTRATIVE","FQ4 2023","FQ4 2023","Currency=USD","Period=FQ","BEST_FPERIOD_OVERRIDE=FQ","FILING_STATUS=MR","SCALING_FORMAT=MLN","FA_ADJUSTED=Adjusted","Sort=A","Dates=H","DateFormat=P","Fill=—","Direction=H","UseDPDF=Y")</f>
        <v>218.9</v>
      </c>
      <c r="V15" s="25">
        <f>_xll.BDH("NBIX US Equity","IS_GENERAL_AND_ADMINISTRATIVE","FQ1 2024","FQ1 2024","Currency=USD","Period=FQ","BEST_FPERIOD_OVERRIDE=FQ","FILING_STATUS=MR","SCALING_FORMAT=MLN","FA_ADJUSTED=Adjusted","Sort=A","Dates=H","DateFormat=P","Fill=—","Direction=H","UseDPDF=Y")</f>
        <v>243.1</v>
      </c>
      <c r="W15" s="25">
        <f>_xll.BDH("NBIX US Equity","IS_GENERAL_AND_ADMINISTRATIVE","FQ2 2024","FQ2 2024","Currency=USD","Period=FQ","BEST_FPERIOD_OVERRIDE=FQ","FILING_STATUS=MR","SCALING_FORMAT=MLN","FA_ADJUSTED=Adjusted","Sort=A","Dates=H","DateFormat=P","Fill=—","Direction=H","UseDPDF=Y")</f>
        <v>242</v>
      </c>
      <c r="X15" s="25">
        <f>_xll.BDH("NBIX US Equity","IS_GENERAL_AND_ADMINISTRATIVE","FQ3 2024","FQ3 2024","Currency=USD","Period=FQ","BEST_FPERIOD_OVERRIDE=FQ","FILING_STATUS=MR","SCALING_FORMAT=MLN","FA_ADJUSTED=Adjusted","Sort=A","Dates=H","DateFormat=P","Fill=—","Direction=H","UseDPDF=Y")</f>
        <v>234.3</v>
      </c>
      <c r="Y15" s="25">
        <f>_xll.BDH("NBIX US Equity","IS_GENERAL_AND_ADMINISTRATIVE","FQ4 2024","FQ4 2024","Currency=USD","Period=FQ","BEST_FPERIOD_OVERRIDE=FQ","FILING_STATUS=MR","SCALING_FORMAT=MLN","FA_ADJUSTED=Adjusted","Sort=A","Dates=H","DateFormat=P","Fill=—","Direction=H","UseDPDF=Y")</f>
        <v>287.8</v>
      </c>
      <c r="Z15" s="25"/>
      <c r="AA15" s="25"/>
    </row>
    <row r="16" spans="1:27" x14ac:dyDescent="0.25">
      <c r="A16" s="10" t="s">
        <v>329</v>
      </c>
      <c r="B16" s="10" t="s">
        <v>330</v>
      </c>
      <c r="C16" s="13">
        <f>_xll.BDH("NBIX US Equity","IS_OPERATING_EXPENSES_RD","FQ2 2019","FQ2 2019","Currency=USD","Period=FQ","BEST_FPERIOD_OVERRIDE=FQ","FILING_STATUS=MR","SCALING_FORMAT=MLN","Sort=A","Dates=H","DateFormat=P","Fill=—","Direction=H","UseDPDF=Y")</f>
        <v>61.686999999999998</v>
      </c>
      <c r="D16" s="13">
        <f>_xll.BDH("NBIX US Equity","IS_OPERATING_EXPENSES_RD","FQ3 2019","FQ3 2019","Currency=USD","Period=FQ","BEST_FPERIOD_OVERRIDE=FQ","FILING_STATUS=MR","SCALING_FORMAT=MLN","Sort=A","Dates=H","DateFormat=P","Fill=—","Direction=H","UseDPDF=Y")</f>
        <v>45.277999999999999</v>
      </c>
      <c r="E16" s="13">
        <f>_xll.BDH("NBIX US Equity","IS_OPERATING_EXPENSES_RD","FQ4 2019","FQ4 2019","Currency=USD","Period=FQ","BEST_FPERIOD_OVERRIDE=FQ","FILING_STATUS=MR","SCALING_FORMAT=MLN","Sort=A","Dates=H","DateFormat=P","Fill=—","Direction=H","UseDPDF=Y")</f>
        <v>55.3</v>
      </c>
      <c r="F16" s="13">
        <f>_xll.BDH("NBIX US Equity","IS_OPERATING_EXPENSES_RD","FQ1 2020","FQ1 2020","Currency=USD","Period=FQ","BEST_FPERIOD_OVERRIDE=FQ","FILING_STATUS=MR","SCALING_FORMAT=MLN","Sort=A","Dates=H","DateFormat=P","Fill=—","Direction=H","UseDPDF=Y")</f>
        <v>58.3</v>
      </c>
      <c r="G16" s="13">
        <f>_xll.BDH("NBIX US Equity","IS_OPERATING_EXPENSES_RD","FQ2 2020","FQ2 2020","Currency=USD","Period=FQ","BEST_FPERIOD_OVERRIDE=FQ","FILING_STATUS=MR","SCALING_FORMAT=MLN","Sort=A","Dates=H","DateFormat=P","Fill=—","Direction=H","UseDPDF=Y")</f>
        <v>80.900000000000006</v>
      </c>
      <c r="H16" s="13">
        <f>_xll.BDH("NBIX US Equity","IS_OPERATING_EXPENSES_RD","FQ3 2020","FQ3 2020","Currency=USD","Period=FQ","BEST_FPERIOD_OVERRIDE=FQ","FILING_STATUS=MR","SCALING_FORMAT=MLN","Sort=A","Dates=H","DateFormat=P","Fill=—","Direction=H","UseDPDF=Y")</f>
        <v>69.099999999999994</v>
      </c>
      <c r="I16" s="13">
        <f>_xll.BDH("NBIX US Equity","IS_OPERATING_EXPENSES_RD","FQ4 2020","FQ4 2020","Currency=USD","Period=FQ","BEST_FPERIOD_OVERRIDE=FQ","FILING_STATUS=MR","SCALING_FORMAT=MLN","Sort=A","Dates=H","DateFormat=P","Fill=—","Direction=H","UseDPDF=Y")</f>
        <v>66.7</v>
      </c>
      <c r="J16" s="13">
        <f>_xll.BDH("NBIX US Equity","IS_OPERATING_EXPENSES_RD","FQ1 2021","FQ1 2021","Currency=USD","Period=FQ","BEST_FPERIOD_OVERRIDE=FQ","FILING_STATUS=MR","SCALING_FORMAT=MLN","Sort=A","Dates=H","DateFormat=P","Fill=—","Direction=H","UseDPDF=Y")</f>
        <v>73.2</v>
      </c>
      <c r="K16" s="13">
        <f>_xll.BDH("NBIX US Equity","IS_OPERATING_EXPENSES_RD","FQ2 2021","FQ2 2021","Currency=USD","Period=FQ","BEST_FPERIOD_OVERRIDE=FQ","FILING_STATUS=MR","SCALING_FORMAT=MLN","Sort=A","Dates=H","DateFormat=P","Fill=—","Direction=H","UseDPDF=Y")</f>
        <v>74.8</v>
      </c>
      <c r="L16" s="13">
        <f>_xll.BDH("NBIX US Equity","IS_OPERATING_EXPENSES_RD","FQ3 2021","FQ3 2021","Currency=USD","Period=FQ","BEST_FPERIOD_OVERRIDE=FQ","FILING_STATUS=MR","SCALING_FORMAT=MLN","Sort=A","Dates=H","DateFormat=P","Fill=—","Direction=H","UseDPDF=Y")</f>
        <v>92.7</v>
      </c>
      <c r="M16" s="13">
        <f>_xll.BDH("NBIX US Equity","IS_OPERATING_EXPENSES_RD","FQ4 2021","FQ4 2021","Currency=USD","Period=FQ","BEST_FPERIOD_OVERRIDE=FQ","FILING_STATUS=MR","SCALING_FORMAT=MLN","Sort=A","Dates=H","DateFormat=P","Fill=—","Direction=H","UseDPDF=Y")</f>
        <v>87.4</v>
      </c>
      <c r="N16" s="13">
        <f>_xll.BDH("NBIX US Equity","IS_OPERATING_EXPENSES_RD","FQ1 2022","FQ1 2022","Currency=USD","Period=FQ","BEST_FPERIOD_OVERRIDE=FQ","FILING_STATUS=MR","SCALING_FORMAT=MLN","Sort=A","Dates=H","DateFormat=P","Fill=—","Direction=H","UseDPDF=Y")</f>
        <v>102.2</v>
      </c>
      <c r="O16" s="13">
        <f>_xll.BDH("NBIX US Equity","IS_OPERATING_EXPENSES_RD","FQ2 2022","FQ2 2022","Currency=USD","Period=FQ","BEST_FPERIOD_OVERRIDE=FQ","FILING_STATUS=MR","SCALING_FORMAT=MLN","Sort=A","Dates=H","DateFormat=P","Fill=—","Direction=H","UseDPDF=Y")</f>
        <v>135.9</v>
      </c>
      <c r="P16" s="13">
        <f>_xll.BDH("NBIX US Equity","IS_OPERATING_EXPENSES_RD","FQ3 2022","FQ3 2022","Currency=USD","Period=FQ","BEST_FPERIOD_OVERRIDE=FQ","FILING_STATUS=MR","SCALING_FORMAT=MLN","Sort=A","Dates=H","DateFormat=P","Fill=—","Direction=H","UseDPDF=Y")</f>
        <v>107.7</v>
      </c>
      <c r="Q16" s="13">
        <f>_xll.BDH("NBIX US Equity","IS_OPERATING_EXPENSES_RD","FQ4 2022","FQ4 2022","Currency=USD","Period=FQ","BEST_FPERIOD_OVERRIDE=FQ","FILING_STATUS=MR","SCALING_FORMAT=MLN","Sort=A","Dates=H","DateFormat=P","Fill=—","Direction=H","UseDPDF=Y")</f>
        <v>118</v>
      </c>
      <c r="R16" s="13">
        <f>_xll.BDH("NBIX US Equity","IS_OPERATING_EXPENSES_RD","FQ1 2023","FQ1 2023","Currency=USD","Period=FQ","BEST_FPERIOD_OVERRIDE=FQ","FILING_STATUS=MR","SCALING_FORMAT=MLN","Sort=A","Dates=H","DateFormat=P","Fill=—","Direction=H","UseDPDF=Y")</f>
        <v>139.5</v>
      </c>
      <c r="S16" s="13">
        <f>_xll.BDH("NBIX US Equity","IS_OPERATING_EXPENSES_RD","FQ2 2023","FQ2 2023","Currency=USD","Period=FQ","BEST_FPERIOD_OVERRIDE=FQ","FILING_STATUS=MR","SCALING_FORMAT=MLN","Sort=A","Dates=H","DateFormat=P","Fill=—","Direction=H","UseDPDF=Y")</f>
        <v>145.80000000000001</v>
      </c>
      <c r="T16" s="13">
        <f>_xll.BDH("NBIX US Equity","IS_OPERATING_EXPENSES_RD","FQ3 2023","FQ3 2023","Currency=USD","Period=FQ","BEST_FPERIOD_OVERRIDE=FQ","FILING_STATUS=MR","SCALING_FORMAT=MLN","Sort=A","Dates=H","DateFormat=P","Fill=—","Direction=H","UseDPDF=Y")</f>
        <v>142.19999999999999</v>
      </c>
      <c r="U16" s="13">
        <f>_xll.BDH("NBIX US Equity","IS_OPERATING_EXPENSES_RD","FQ4 2023","FQ4 2023","Currency=USD","Period=FQ","BEST_FPERIOD_OVERRIDE=FQ","FILING_STATUS=MR","SCALING_FORMAT=MLN","Sort=A","Dates=H","DateFormat=P","Fill=—","Direction=H","UseDPDF=Y")</f>
        <v>137.5</v>
      </c>
      <c r="V16" s="13">
        <f>_xll.BDH("NBIX US Equity","IS_OPERATING_EXPENSES_RD","FQ1 2024","FQ1 2024","Currency=USD","Period=FQ","BEST_FPERIOD_OVERRIDE=FQ","FILING_STATUS=MR","SCALING_FORMAT=MLN","Sort=A","Dates=H","DateFormat=P","Fill=—","Direction=H","UseDPDF=Y")</f>
        <v>159.4</v>
      </c>
      <c r="W16" s="13">
        <f>_xll.BDH("NBIX US Equity","IS_OPERATING_EXPENSES_RD","FQ2 2024","FQ2 2024","Currency=USD","Period=FQ","BEST_FPERIOD_OVERRIDE=FQ","FILING_STATUS=MR","SCALING_FORMAT=MLN","Sort=A","Dates=H","DateFormat=P","Fill=—","Direction=H","UseDPDF=Y")</f>
        <v>191.1</v>
      </c>
      <c r="X16" s="13">
        <f>_xll.BDH("NBIX US Equity","IS_OPERATING_EXPENSES_RD","FQ3 2024","FQ3 2024","Currency=USD","Period=FQ","BEST_FPERIOD_OVERRIDE=FQ","FILING_STATUS=MR","SCALING_FORMAT=MLN","Sort=A","Dates=H","DateFormat=P","Fill=—","Direction=H","UseDPDF=Y")</f>
        <v>195</v>
      </c>
      <c r="Y16" s="13">
        <f>_xll.BDH("NBIX US Equity","IS_OPERATING_EXPENSES_RD","FQ4 2024","FQ4 2024","Currency=USD","Period=FQ","BEST_FPERIOD_OVERRIDE=FQ","FILING_STATUS=MR","SCALING_FORMAT=MLN","Sort=A","Dates=H","DateFormat=P","Fill=—","Direction=H","UseDPDF=Y")</f>
        <v>185.6</v>
      </c>
      <c r="Z16" s="13"/>
      <c r="AA16" s="13"/>
    </row>
    <row r="17" spans="1:27" x14ac:dyDescent="0.25">
      <c r="A17" s="10" t="s">
        <v>331</v>
      </c>
      <c r="B17" s="10" t="s">
        <v>332</v>
      </c>
      <c r="C17" s="13">
        <f>_xll.BDH("NBIX US Equity","IS_OTHER_OPERATING_EXPENSES","FQ2 2019","FQ2 2019","Currency=USD","Period=FQ","BEST_FPERIOD_OVERRIDE=FQ","FILING_STATUS=MR","SCALING_FORMAT=MLN","FA_ADJUSTED=Adjusted","Sort=A","Dates=H","DateFormat=P","Fill=—","Direction=H","UseDPDF=Y")</f>
        <v>0</v>
      </c>
      <c r="D17" s="13">
        <f>_xll.BDH("NBIX US Equity","IS_OTHER_OPERATING_EXPENSES","FQ3 2019","FQ3 2019","Currency=USD","Period=FQ","BEST_FPERIOD_OVERRIDE=FQ","FILING_STATUS=MR","SCALING_FORMAT=MLN","FA_ADJUSTED=Adjusted","Sort=A","Dates=H","DateFormat=P","Fill=—","Direction=H","UseDPDF=Y")</f>
        <v>0</v>
      </c>
      <c r="E17" s="13">
        <f>_xll.BDH("NBIX US Equity","IS_OTHER_OPERATING_EXPENSES","FQ4 2019","FQ4 2019","Currency=USD","Period=FQ","BEST_FPERIOD_OVERRIDE=FQ","FILING_STATUS=MR","SCALING_FORMAT=MLN","FA_ADJUSTED=Adjusted","Sort=A","Dates=H","DateFormat=P","Fill=—","Direction=H","UseDPDF=Y")</f>
        <v>0</v>
      </c>
      <c r="F17" s="13">
        <f>_xll.BDH("NBIX US Equity","IS_OTHER_OPERATING_EXPENSES","FQ1 2020","FQ1 2020","Currency=USD","Period=FQ","BEST_FPERIOD_OVERRIDE=FQ","FILING_STATUS=MR","SCALING_FORMAT=MLN","FA_ADJUSTED=Adjusted","Sort=A","Dates=H","DateFormat=P","Fill=—","Direction=H","UseDPDF=Y")</f>
        <v>0</v>
      </c>
      <c r="G17" s="13">
        <f>_xll.BDH("NBIX US Equity","IS_OTHER_OPERATING_EXPENSES","FQ2 2020","FQ2 2020","Currency=USD","Period=FQ","BEST_FPERIOD_OVERRIDE=FQ","FILING_STATUS=MR","SCALING_FORMAT=MLN","FA_ADJUSTED=Adjusted","Sort=A","Dates=H","DateFormat=P","Fill=—","Direction=H","UseDPDF=Y")</f>
        <v>0</v>
      </c>
      <c r="H17" s="13">
        <f>_xll.BDH("NBIX US Equity","IS_OTHER_OPERATING_EXPENSES","FQ3 2020","FQ3 2020","Currency=USD","Period=FQ","BEST_FPERIOD_OVERRIDE=FQ","FILING_STATUS=MR","SCALING_FORMAT=MLN","FA_ADJUSTED=Adjusted","Sort=A","Dates=H","DateFormat=P","Fill=—","Direction=H","UseDPDF=Y")</f>
        <v>0</v>
      </c>
      <c r="I17" s="13">
        <f>_xll.BDH("NBIX US Equity","IS_OTHER_OPERATING_EXPENSES","FQ4 2020","FQ4 2020","Currency=USD","Period=FQ","BEST_FPERIOD_OVERRIDE=FQ","FILING_STATUS=MR","SCALING_FORMAT=MLN","FA_ADJUSTED=Adjusted","Sort=A","Dates=H","DateFormat=P","Fill=—","Direction=H","UseDPDF=Y")</f>
        <v>0</v>
      </c>
      <c r="J17" s="13">
        <f>_xll.BDH("NBIX US Equity","IS_OTHER_OPERATING_EXPENSES","FQ1 2021","FQ1 2021","Currency=USD","Period=FQ","BEST_FPERIOD_OVERRIDE=FQ","FILING_STATUS=MR","SCALING_FORMAT=MLN","FA_ADJUSTED=Adjusted","Sort=A","Dates=H","DateFormat=P","Fill=—","Direction=H","UseDPDF=Y")</f>
        <v>0</v>
      </c>
      <c r="K17" s="13">
        <f>_xll.BDH("NBIX US Equity","IS_OTHER_OPERATING_EXPENSES","FQ2 2021","FQ2 2021","Currency=USD","Period=FQ","BEST_FPERIOD_OVERRIDE=FQ","FILING_STATUS=MR","SCALING_FORMAT=MLN","FA_ADJUSTED=Adjusted","Sort=A","Dates=H","DateFormat=P","Fill=—","Direction=H","UseDPDF=Y")</f>
        <v>0</v>
      </c>
      <c r="L17" s="13">
        <f>_xll.BDH("NBIX US Equity","IS_OTHER_OPERATING_EXPENSES","FQ3 2021","FQ3 2021","Currency=USD","Period=FQ","BEST_FPERIOD_OVERRIDE=FQ","FILING_STATUS=MR","SCALING_FORMAT=MLN","FA_ADJUSTED=Adjusted","Sort=A","Dates=H","DateFormat=P","Fill=—","Direction=H","UseDPDF=Y")</f>
        <v>0</v>
      </c>
      <c r="M17" s="13">
        <f>_xll.BDH("NBIX US Equity","IS_OTHER_OPERATING_EXPENSES","FQ4 2021","FQ4 2021","Currency=USD","Period=FQ","BEST_FPERIOD_OVERRIDE=FQ","FILING_STATUS=MR","SCALING_FORMAT=MLN","FA_ADJUSTED=Adjusted","Sort=A","Dates=H","DateFormat=P","Fill=—","Direction=H","UseDPDF=Y")</f>
        <v>0</v>
      </c>
      <c r="N17" s="13">
        <f>_xll.BDH("NBIX US Equity","IS_OTHER_OPERATING_EXPENSES","FQ1 2022","FQ1 2022","Currency=USD","Period=FQ","BEST_FPERIOD_OVERRIDE=FQ","FILING_STATUS=MR","SCALING_FORMAT=MLN","FA_ADJUSTED=Adjusted","Sort=A","Dates=H","DateFormat=P","Fill=—","Direction=H","UseDPDF=Y")</f>
        <v>0</v>
      </c>
      <c r="O17" s="13">
        <f>_xll.BDH("NBIX US Equity","IS_OTHER_OPERATING_EXPENSES","FQ2 2022","FQ2 2022","Currency=USD","Period=FQ","BEST_FPERIOD_OVERRIDE=FQ","FILING_STATUS=MR","SCALING_FORMAT=MLN","FA_ADJUSTED=Adjusted","Sort=A","Dates=H","DateFormat=P","Fill=—","Direction=H","UseDPDF=Y")</f>
        <v>0</v>
      </c>
      <c r="P17" s="13">
        <f>_xll.BDH("NBIX US Equity","IS_OTHER_OPERATING_EXPENSES","FQ3 2022","FQ3 2022","Currency=USD","Period=FQ","BEST_FPERIOD_OVERRIDE=FQ","FILING_STATUS=MR","SCALING_FORMAT=MLN","FA_ADJUSTED=Adjusted","Sort=A","Dates=H","DateFormat=P","Fill=—","Direction=H","UseDPDF=Y")</f>
        <v>0</v>
      </c>
      <c r="Q17" s="13">
        <f>_xll.BDH("NBIX US Equity","IS_OTHER_OPERATING_EXPENSES","FQ4 2022","FQ4 2022","Currency=USD","Period=FQ","BEST_FPERIOD_OVERRIDE=FQ","FILING_STATUS=MR","SCALING_FORMAT=MLN","FA_ADJUSTED=Adjusted","Sort=A","Dates=H","DateFormat=P","Fill=—","Direction=H","UseDPDF=Y")</f>
        <v>-1.7</v>
      </c>
      <c r="R17" s="13">
        <f>_xll.BDH("NBIX US Equity","IS_OTHER_OPERATING_EXPENSES","FQ1 2023","FQ1 2023","Currency=USD","Period=FQ","BEST_FPERIOD_OVERRIDE=FQ","FILING_STATUS=MR","SCALING_FORMAT=MLN","FA_ADJUSTED=Adjusted","Sort=A","Dates=H","DateFormat=P","Fill=—","Direction=H","UseDPDF=Y")</f>
        <v>0</v>
      </c>
      <c r="S17" s="13">
        <f>_xll.BDH("NBIX US Equity","IS_OTHER_OPERATING_EXPENSES","FQ2 2023","FQ2 2023","Currency=USD","Period=FQ","BEST_FPERIOD_OVERRIDE=FQ","FILING_STATUS=MR","SCALING_FORMAT=MLN","FA_ADJUSTED=Adjusted","Sort=A","Dates=H","DateFormat=P","Fill=—","Direction=H","UseDPDF=Y")</f>
        <v>0</v>
      </c>
      <c r="T17" s="13">
        <f>_xll.BDH("NBIX US Equity","IS_OTHER_OPERATING_EXPENSES","FQ3 2023","FQ3 2023","Currency=USD","Period=FQ","BEST_FPERIOD_OVERRIDE=FQ","FILING_STATUS=MR","SCALING_FORMAT=MLN","FA_ADJUSTED=Adjusted","Sort=A","Dates=H","DateFormat=P","Fill=—","Direction=H","UseDPDF=Y")</f>
        <v>-3.9</v>
      </c>
      <c r="U17" s="13">
        <f>_xll.BDH("NBIX US Equity","IS_OTHER_OPERATING_EXPENSES","FQ4 2023","FQ4 2023","Currency=USD","Period=FQ","BEST_FPERIOD_OVERRIDE=FQ","FILING_STATUS=MR","SCALING_FORMAT=MLN","FA_ADJUSTED=Adjusted","Sort=A","Dates=H","DateFormat=P","Fill=—","Direction=H","UseDPDF=Y")</f>
        <v>0</v>
      </c>
      <c r="V17" s="13">
        <f>_xll.BDH("NBIX US Equity","IS_OTHER_OPERATING_EXPENSES","FQ1 2024","FQ1 2024","Currency=USD","Period=FQ","BEST_FPERIOD_OVERRIDE=FQ","FILING_STATUS=MR","SCALING_FORMAT=MLN","FA_ADJUSTED=Adjusted","Sort=A","Dates=H","DateFormat=P","Fill=—","Direction=H","UseDPDF=Y")</f>
        <v>0</v>
      </c>
      <c r="W17" s="13">
        <f>_xll.BDH("NBIX US Equity","IS_OTHER_OPERATING_EXPENSES","FQ2 2024","FQ2 2024","Currency=USD","Period=FQ","BEST_FPERIOD_OVERRIDE=FQ","FILING_STATUS=MR","SCALING_FORMAT=MLN","FA_ADJUSTED=Adjusted","Sort=A","Dates=H","DateFormat=P","Fill=—","Direction=H","UseDPDF=Y")</f>
        <v>-63.7</v>
      </c>
      <c r="X17" s="13">
        <f>_xll.BDH("NBIX US Equity","IS_OTHER_OPERATING_EXPENSES","FQ3 2024","FQ3 2024","Currency=USD","Period=FQ","BEST_FPERIOD_OVERRIDE=FQ","FILING_STATUS=MR","SCALING_FORMAT=MLN","FA_ADJUSTED=Adjusted","Sort=A","Dates=H","DateFormat=P","Fill=—","Direction=H","UseDPDF=Y")</f>
        <v>0</v>
      </c>
      <c r="Y17" s="13">
        <f>_xll.BDH("NBIX US Equity","IS_OTHER_OPERATING_EXPENSES","FQ4 2024","FQ4 2024","Currency=USD","Period=FQ","BEST_FPERIOD_OVERRIDE=FQ","FILING_STATUS=MR","SCALING_FORMAT=MLN","FA_ADJUSTED=Adjusted","Sort=A","Dates=H","DateFormat=P","Fill=—","Direction=H","UseDPDF=Y")</f>
        <v>0</v>
      </c>
      <c r="Z17" s="13"/>
      <c r="AA17" s="13"/>
    </row>
    <row r="18" spans="1:27" x14ac:dyDescent="0.25">
      <c r="A18" s="6" t="s">
        <v>333</v>
      </c>
      <c r="B18" s="6" t="s">
        <v>99</v>
      </c>
      <c r="C18" s="19">
        <f>_xll.BDH("NBIX US Equity","IS_OPER_INC","FQ2 2019","FQ2 2019","Currency=USD","Period=FQ","BEST_FPERIOD_OVERRIDE=FQ","FILING_STATUS=MR","SCALING_FORMAT=MLN","FA_ADJUSTED=Adjusted","Sort=A","Dates=H","DateFormat=P","Fill=—","Direction=H","UseDPDF=Y")</f>
        <v>39.460999999999999</v>
      </c>
      <c r="D18" s="19">
        <f>_xll.BDH("NBIX US Equity","IS_OPER_INC","FQ3 2019","FQ3 2019","Currency=USD","Period=FQ","BEST_FPERIOD_OVERRIDE=FQ","FILING_STATUS=MR","SCALING_FORMAT=MLN","FA_ADJUSTED=Adjusted","Sort=A","Dates=H","DateFormat=P","Fill=—","Direction=H","UseDPDF=Y")</f>
        <v>90.097999999999999</v>
      </c>
      <c r="E18" s="19">
        <f>_xll.BDH("NBIX US Equity","IS_OPER_INC","FQ4 2019","FQ4 2019","Currency=USD","Period=FQ","BEST_FPERIOD_OVERRIDE=FQ","FILING_STATUS=MR","SCALING_FORMAT=MLN","FA_ADJUSTED=Adjusted","Sort=A","Dates=H","DateFormat=P","Fill=—","Direction=H","UseDPDF=Y")</f>
        <v>85</v>
      </c>
      <c r="F18" s="19">
        <f>_xll.BDH("NBIX US Equity","IS_OPER_INC","FQ1 2020","FQ1 2020","Currency=USD","Period=FQ","BEST_FPERIOD_OVERRIDE=FQ","FILING_STATUS=MR","SCALING_FORMAT=MLN","FA_ADJUSTED=Adjusted","Sort=A","Dates=H","DateFormat=P","Fill=—","Direction=H","UseDPDF=Y")</f>
        <v>58.9</v>
      </c>
      <c r="G18" s="19">
        <f>_xll.BDH("NBIX US Equity","IS_OPER_INC","FQ2 2020","FQ2 2020","Currency=USD","Period=FQ","BEST_FPERIOD_OVERRIDE=FQ","FILING_STATUS=MR","SCALING_FORMAT=MLN","FA_ADJUSTED=Adjusted","Sort=A","Dates=H","DateFormat=P","Fill=—","Direction=H","UseDPDF=Y")</f>
        <v>122.6</v>
      </c>
      <c r="H18" s="19">
        <f>_xll.BDH("NBIX US Equity","IS_OPER_INC","FQ3 2020","FQ3 2020","Currency=USD","Period=FQ","BEST_FPERIOD_OVERRIDE=FQ","FILING_STATUS=MR","SCALING_FORMAT=MLN","FA_ADJUSTED=Adjusted","Sort=A","Dates=H","DateFormat=P","Fill=—","Direction=H","UseDPDF=Y")</f>
        <v>74.2</v>
      </c>
      <c r="I18" s="19">
        <f>_xll.BDH("NBIX US Equity","IS_OPER_INC","FQ4 2020","FQ4 2020","Currency=USD","Period=FQ","BEST_FPERIOD_OVERRIDE=FQ","FILING_STATUS=MR","SCALING_FORMAT=MLN","FA_ADJUSTED=Adjusted","Sort=A","Dates=H","DateFormat=P","Fill=—","Direction=H","UseDPDF=Y")</f>
        <v>71.8</v>
      </c>
      <c r="J18" s="19">
        <f>_xll.BDH("NBIX US Equity","IS_OPER_INC","FQ1 2021","FQ1 2021","Currency=USD","Period=FQ","BEST_FPERIOD_OVERRIDE=FQ","FILING_STATUS=MR","SCALING_FORMAT=MLN","FA_ADJUSTED=Adjusted","Sort=A","Dates=H","DateFormat=P","Fill=—","Direction=H","UseDPDF=Y")</f>
        <v>31.5</v>
      </c>
      <c r="K18" s="19">
        <f>_xll.BDH("NBIX US Equity","IS_OPER_INC","FQ2 2021","FQ2 2021","Currency=USD","Period=FQ","BEST_FPERIOD_OVERRIDE=FQ","FILING_STATUS=MR","SCALING_FORMAT=MLN","FA_ADJUSTED=Adjusted","Sort=A","Dates=H","DateFormat=P","Fill=—","Direction=H","UseDPDF=Y")</f>
        <v>67.8</v>
      </c>
      <c r="L18" s="19">
        <f>_xll.BDH("NBIX US Equity","IS_OPER_INC","FQ3 2021","FQ3 2021","Currency=USD","Period=FQ","BEST_FPERIOD_OVERRIDE=FQ","FILING_STATUS=MR","SCALING_FORMAT=MLN","FA_ADJUSTED=Adjusted","Sort=A","Dates=H","DateFormat=P","Fill=—","Direction=H","UseDPDF=Y")</f>
        <v>44.5</v>
      </c>
      <c r="M18" s="19">
        <f>_xll.BDH("NBIX US Equity","IS_OPER_INC","FQ4 2021","FQ4 2021","Currency=USD","Period=FQ","BEST_FPERIOD_OVERRIDE=FQ","FILING_STATUS=MR","SCALING_FORMAT=MLN","FA_ADJUSTED=Adjusted","Sort=A","Dates=H","DateFormat=P","Fill=—","Direction=H","UseDPDF=Y")</f>
        <v>64</v>
      </c>
      <c r="N18" s="19">
        <f>_xll.BDH("NBIX US Equity","IS_OPER_INC","FQ1 2022","FQ1 2022","Currency=USD","Period=FQ","BEST_FPERIOD_OVERRIDE=FQ","FILING_STATUS=MR","SCALING_FORMAT=MLN","FA_ADJUSTED=Adjusted","Sort=A","Dates=H","DateFormat=P","Fill=—","Direction=H","UseDPDF=Y")</f>
        <v>3.1</v>
      </c>
      <c r="O18" s="19">
        <f>_xll.BDH("NBIX US Equity","IS_OPER_INC","FQ2 2022","FQ2 2022","Currency=USD","Period=FQ","BEST_FPERIOD_OVERRIDE=FQ","FILING_STATUS=MR","SCALING_FORMAT=MLN","FA_ADJUSTED=Adjusted","Sort=A","Dates=H","DateFormat=P","Fill=—","Direction=H","UseDPDF=Y")</f>
        <v>54.7</v>
      </c>
      <c r="P18" s="19">
        <f>_xll.BDH("NBIX US Equity","IS_OPER_INC","FQ3 2022","FQ3 2022","Currency=USD","Period=FQ","BEST_FPERIOD_OVERRIDE=FQ","FILING_STATUS=MR","SCALING_FORMAT=MLN","FA_ADJUSTED=Adjusted","Sort=A","Dates=H","DateFormat=P","Fill=—","Direction=H","UseDPDF=Y")</f>
        <v>87.8</v>
      </c>
      <c r="Q18" s="19">
        <f>_xll.BDH("NBIX US Equity","IS_OPER_INC","FQ4 2022","FQ4 2022","Currency=USD","Period=FQ","BEST_FPERIOD_OVERRIDE=FQ","FILING_STATUS=MR","SCALING_FORMAT=MLN","FA_ADJUSTED=Adjusted","Sort=A","Dates=H","DateFormat=P","Fill=—","Direction=H","UseDPDF=Y")</f>
        <v>105.1</v>
      </c>
      <c r="R18" s="19">
        <f>_xll.BDH("NBIX US Equity","IS_OPER_INC","FQ1 2023","FQ1 2023","Currency=USD","Period=FQ","BEST_FPERIOD_OVERRIDE=FQ","FILING_STATUS=MR","SCALING_FORMAT=MLN","FA_ADJUSTED=Adjusted","Sort=A","Dates=H","DateFormat=P","Fill=—","Direction=H","UseDPDF=Y")</f>
        <v>29.7</v>
      </c>
      <c r="S18" s="19">
        <f>_xll.BDH("NBIX US Equity","IS_OPER_INC","FQ2 2023","FQ2 2023","Currency=USD","Period=FQ","BEST_FPERIOD_OVERRIDE=FQ","FILING_STATUS=MR","SCALING_FORMAT=MLN","FA_ADJUSTED=Adjusted","Sort=A","Dates=H","DateFormat=P","Fill=—","Direction=H","UseDPDF=Y")</f>
        <v>73.599999999999994</v>
      </c>
      <c r="T18" s="19">
        <f>_xll.BDH("NBIX US Equity","IS_OPER_INC","FQ3 2023","FQ3 2023","Currency=USD","Period=FQ","BEST_FPERIOD_OVERRIDE=FQ","FILING_STATUS=MR","SCALING_FORMAT=MLN","FA_ADJUSTED=Adjusted","Sort=A","Dates=H","DateFormat=P","Fill=—","Direction=H","UseDPDF=Y")</f>
        <v>145.1</v>
      </c>
      <c r="U18" s="19">
        <f>_xll.BDH("NBIX US Equity","IS_OPER_INC","FQ4 2023","FQ4 2023","Currency=USD","Period=FQ","BEST_FPERIOD_OVERRIDE=FQ","FILING_STATUS=MR","SCALING_FORMAT=MLN","FA_ADJUSTED=Adjusted","Sort=A","Dates=H","DateFormat=P","Fill=—","Direction=H","UseDPDF=Y")</f>
        <v>150.30000000000001</v>
      </c>
      <c r="V18" s="19">
        <f>_xll.BDH("NBIX US Equity","IS_OPER_INC","FQ1 2024","FQ1 2024","Currency=USD","Period=FQ","BEST_FPERIOD_OVERRIDE=FQ","FILING_STATUS=MR","SCALING_FORMAT=MLN","FA_ADJUSTED=Adjusted","Sort=A","Dates=H","DateFormat=P","Fill=—","Direction=H","UseDPDF=Y")</f>
        <v>105.3</v>
      </c>
      <c r="W18" s="19">
        <f>_xll.BDH("NBIX US Equity","IS_OPER_INC","FQ2 2024","FQ2 2024","Currency=USD","Period=FQ","BEST_FPERIOD_OVERRIDE=FQ","FILING_STATUS=MR","SCALING_FORMAT=MLN","FA_ADJUSTED=Adjusted","Sort=A","Dates=H","DateFormat=P","Fill=—","Direction=H","UseDPDF=Y")</f>
        <v>211.6</v>
      </c>
      <c r="X18" s="19">
        <f>_xll.BDH("NBIX US Equity","IS_OPER_INC","FQ3 2024","FQ3 2024","Currency=USD","Period=FQ","BEST_FPERIOD_OVERRIDE=FQ","FILING_STATUS=MR","SCALING_FORMAT=MLN","FA_ADJUSTED=Adjusted","Sort=A","Dates=H","DateFormat=P","Fill=—","Direction=H","UseDPDF=Y")</f>
        <v>184.8</v>
      </c>
      <c r="Y18" s="19">
        <f>_xll.BDH("NBIX US Equity","IS_OPER_INC","FQ4 2024","FQ4 2024","Currency=USD","Period=FQ","BEST_FPERIOD_OVERRIDE=FQ","FILING_STATUS=MR","SCALING_FORMAT=MLN","FA_ADJUSTED=Adjusted","Sort=A","Dates=H","DateFormat=P","Fill=—","Direction=H","UseDPDF=Y")</f>
        <v>145</v>
      </c>
      <c r="Z18" s="19">
        <v>106.59699999999999</v>
      </c>
      <c r="AA18" s="19">
        <v>133.08600000000001</v>
      </c>
    </row>
    <row r="19" spans="1:27" x14ac:dyDescent="0.25">
      <c r="A19" s="10" t="s">
        <v>334</v>
      </c>
      <c r="B19" s="10" t="s">
        <v>335</v>
      </c>
      <c r="C19" s="13">
        <f>_xll.BDH("NBIX US Equity","IS_NONOP_INCOME_LOSS","FQ2 2019","FQ2 2019","Currency=USD","Period=FQ","BEST_FPERIOD_OVERRIDE=FQ","FILING_STATUS=MR","SCALING_FORMAT=MLN","FA_ADJUSTED=Adjusted","Sort=A","Dates=H","DateFormat=P","Fill=—","Direction=H","UseDPDF=Y")</f>
        <v>3.335</v>
      </c>
      <c r="D19" s="13">
        <f>_xll.BDH("NBIX US Equity","IS_NONOP_INCOME_LOSS","FQ3 2019","FQ3 2019","Currency=USD","Period=FQ","BEST_FPERIOD_OVERRIDE=FQ","FILING_STATUS=MR","SCALING_FORMAT=MLN","FA_ADJUSTED=Adjusted","Sort=A","Dates=H","DateFormat=P","Fill=—","Direction=H","UseDPDF=Y")</f>
        <v>3.2410000000000001</v>
      </c>
      <c r="E19" s="13">
        <f>_xll.BDH("NBIX US Equity","IS_NONOP_INCOME_LOSS","FQ4 2019","FQ4 2019","Currency=USD","Period=FQ","BEST_FPERIOD_OVERRIDE=FQ","FILING_STATUS=MR","SCALING_FORMAT=MLN","FA_ADJUSTED=Adjusted","Sort=A","Dates=H","DateFormat=P","Fill=—","Direction=H","UseDPDF=Y")</f>
        <v>3</v>
      </c>
      <c r="F19" s="13">
        <f>_xll.BDH("NBIX US Equity","IS_NONOP_INCOME_LOSS","FQ1 2020","FQ1 2020","Currency=USD","Period=FQ","BEST_FPERIOD_OVERRIDE=FQ","FILING_STATUS=MR","SCALING_FORMAT=MLN","FA_ADJUSTED=Adjusted","Sort=A","Dates=H","DateFormat=P","Fill=—","Direction=H","UseDPDF=Y")</f>
        <v>3.5</v>
      </c>
      <c r="G19" s="13">
        <f>_xll.BDH("NBIX US Equity","IS_NONOP_INCOME_LOSS","FQ2 2020","FQ2 2020","Currency=USD","Period=FQ","BEST_FPERIOD_OVERRIDE=FQ","FILING_STATUS=MR","SCALING_FORMAT=MLN","FA_ADJUSTED=Adjusted","Sort=A","Dates=H","DateFormat=P","Fill=—","Direction=H","UseDPDF=Y")</f>
        <v>4.7</v>
      </c>
      <c r="H19" s="13">
        <f>_xll.BDH("NBIX US Equity","IS_NONOP_INCOME_LOSS","FQ3 2020","FQ3 2020","Currency=USD","Period=FQ","BEST_FPERIOD_OVERRIDE=FQ","FILING_STATUS=MR","SCALING_FORMAT=MLN","FA_ADJUSTED=Adjusted","Sort=A","Dates=H","DateFormat=P","Fill=—","Direction=H","UseDPDF=Y")</f>
        <v>5.8</v>
      </c>
      <c r="I19" s="13">
        <f>_xll.BDH("NBIX US Equity","IS_NONOP_INCOME_LOSS","FQ4 2020","FQ4 2020","Currency=USD","Period=FQ","BEST_FPERIOD_OVERRIDE=FQ","FILING_STATUS=MR","SCALING_FORMAT=MLN","FA_ADJUSTED=Adjusted","Sort=A","Dates=H","DateFormat=P","Fill=—","Direction=H","UseDPDF=Y")</f>
        <v>6.2</v>
      </c>
      <c r="J19" s="13">
        <f>_xll.BDH("NBIX US Equity","IS_NONOP_INCOME_LOSS","FQ1 2021","FQ1 2021","Currency=USD","Period=FQ","BEST_FPERIOD_OVERRIDE=FQ","FILING_STATUS=MR","SCALING_FORMAT=MLN","FA_ADJUSTED=Adjusted","Sort=A","Dates=H","DateFormat=P","Fill=—","Direction=H","UseDPDF=Y")</f>
        <v>5</v>
      </c>
      <c r="K19" s="13">
        <f>_xll.BDH("NBIX US Equity","IS_NONOP_INCOME_LOSS","FQ2 2021","FQ2 2021","Currency=USD","Period=FQ","BEST_FPERIOD_OVERRIDE=FQ","FILING_STATUS=MR","SCALING_FORMAT=MLN","FA_ADJUSTED=Adjusted","Sort=A","Dates=H","DateFormat=P","Fill=—","Direction=H","UseDPDF=Y")</f>
        <v>5.3</v>
      </c>
      <c r="L19" s="13">
        <f>_xll.BDH("NBIX US Equity","IS_NONOP_INCOME_LOSS","FQ3 2021","FQ3 2021","Currency=USD","Period=FQ","BEST_FPERIOD_OVERRIDE=FQ","FILING_STATUS=MR","SCALING_FORMAT=MLN","FA_ADJUSTED=Adjusted","Sort=A","Dates=H","DateFormat=P","Fill=—","Direction=H","UseDPDF=Y")</f>
        <v>5.8</v>
      </c>
      <c r="M19" s="13">
        <f>_xll.BDH("NBIX US Equity","IS_NONOP_INCOME_LOSS","FQ4 2021","FQ4 2021","Currency=USD","Period=FQ","BEST_FPERIOD_OVERRIDE=FQ","FILING_STATUS=MR","SCALING_FORMAT=MLN","FA_ADJUSTED=Adjusted","Sort=A","Dates=H","DateFormat=P","Fill=—","Direction=H","UseDPDF=Y")</f>
        <v>5.9</v>
      </c>
      <c r="N19" s="13">
        <f>_xll.BDH("NBIX US Equity","IS_NONOP_INCOME_LOSS","FQ1 2022","FQ1 2022","Currency=USD","Period=FQ","BEST_FPERIOD_OVERRIDE=FQ","FILING_STATUS=MR","SCALING_FORMAT=MLN","FA_ADJUSTED=Adjusted","Sort=A","Dates=H","DateFormat=P","Fill=—","Direction=H","UseDPDF=Y")</f>
        <v>1.6</v>
      </c>
      <c r="O19" s="13">
        <f>_xll.BDH("NBIX US Equity","IS_NONOP_INCOME_LOSS","FQ2 2022","FQ2 2022","Currency=USD","Period=FQ","BEST_FPERIOD_OVERRIDE=FQ","FILING_STATUS=MR","SCALING_FORMAT=MLN","FA_ADJUSTED=Adjusted","Sort=A","Dates=H","DateFormat=P","Fill=—","Direction=H","UseDPDF=Y")</f>
        <v>70.599999999999994</v>
      </c>
      <c r="P19" s="13">
        <f>_xll.BDH("NBIX US Equity","IS_NONOP_INCOME_LOSS","FQ3 2022","FQ3 2022","Currency=USD","Period=FQ","BEST_FPERIOD_OVERRIDE=FQ","FILING_STATUS=MR","SCALING_FORMAT=MLN","FA_ADJUSTED=Adjusted","Sort=A","Dates=H","DateFormat=P","Fill=—","Direction=H","UseDPDF=Y")</f>
        <v>-21.2</v>
      </c>
      <c r="Q19" s="13">
        <f>_xll.BDH("NBIX US Equity","IS_NONOP_INCOME_LOSS","FQ4 2022","FQ4 2022","Currency=USD","Period=FQ","BEST_FPERIOD_OVERRIDE=FQ","FILING_STATUS=MR","SCALING_FORMAT=MLN","FA_ADJUSTED=Adjusted","Sort=A","Dates=H","DateFormat=P","Fill=—","Direction=H","UseDPDF=Y")</f>
        <v>-7.3</v>
      </c>
      <c r="R19" s="13">
        <f>_xll.BDH("NBIX US Equity","IS_NONOP_INCOME_LOSS","FQ1 2023","FQ1 2023","Currency=USD","Period=FQ","BEST_FPERIOD_OVERRIDE=FQ","FILING_STATUS=MR","SCALING_FORMAT=MLN","FA_ADJUSTED=Adjusted","Sort=A","Dates=H","DateFormat=P","Fill=—","Direction=H","UseDPDF=Y")</f>
        <v>-8.6999999999999993</v>
      </c>
      <c r="S19" s="13">
        <f>_xll.BDH("NBIX US Equity","IS_NONOP_INCOME_LOSS","FQ2 2023","FQ2 2023","Currency=USD","Period=FQ","BEST_FPERIOD_OVERRIDE=FQ","FILING_STATUS=MR","SCALING_FORMAT=MLN","FA_ADJUSTED=Adjusted","Sort=A","Dates=H","DateFormat=P","Fill=—","Direction=H","UseDPDF=Y")</f>
        <v>-10.7</v>
      </c>
      <c r="T19" s="13">
        <f>_xll.BDH("NBIX US Equity","IS_NONOP_INCOME_LOSS","FQ3 2023","FQ3 2023","Currency=USD","Period=FQ","BEST_FPERIOD_OVERRIDE=FQ","FILING_STATUS=MR","SCALING_FORMAT=MLN","FA_ADJUSTED=Adjusted","Sort=A","Dates=H","DateFormat=P","Fill=—","Direction=H","UseDPDF=Y")</f>
        <v>-14.5</v>
      </c>
      <c r="U19" s="13">
        <f>_xll.BDH("NBIX US Equity","IS_NONOP_INCOME_LOSS","FQ4 2023","FQ4 2023","Currency=USD","Period=FQ","BEST_FPERIOD_OVERRIDE=FQ","FILING_STATUS=MR","SCALING_FORMAT=MLN","FA_ADJUSTED=Adjusted","Sort=A","Dates=H","DateFormat=P","Fill=—","Direction=H","UseDPDF=Y")</f>
        <v>-18.899999999999999</v>
      </c>
      <c r="V19" s="13">
        <f>_xll.BDH("NBIX US Equity","IS_NONOP_INCOME_LOSS","FQ1 2024","FQ1 2024","Currency=USD","Period=FQ","BEST_FPERIOD_OVERRIDE=FQ","FILING_STATUS=MR","SCALING_FORMAT=MLN","FA_ADJUSTED=Adjusted","Sort=A","Dates=H","DateFormat=P","Fill=—","Direction=H","UseDPDF=Y")</f>
        <v>66.400000000000006</v>
      </c>
      <c r="W19" s="13">
        <f>_xll.BDH("NBIX US Equity","IS_NONOP_INCOME_LOSS","FQ2 2024","FQ2 2024","Currency=USD","Period=FQ","BEST_FPERIOD_OVERRIDE=FQ","FILING_STATUS=MR","SCALING_FORMAT=MLN","FA_ADJUSTED=Adjusted","Sort=A","Dates=H","DateFormat=P","Fill=—","Direction=H","UseDPDF=Y")</f>
        <v>-22.8</v>
      </c>
      <c r="X19" s="13">
        <f>_xll.BDH("NBIX US Equity","IS_NONOP_INCOME_LOSS","FQ3 2024","FQ3 2024","Currency=USD","Period=FQ","BEST_FPERIOD_OVERRIDE=FQ","FILING_STATUS=MR","SCALING_FORMAT=MLN","FA_ADJUSTED=Adjusted","Sort=A","Dates=H","DateFormat=P","Fill=—","Direction=H","UseDPDF=Y")</f>
        <v>-23.4</v>
      </c>
      <c r="Y19" s="13">
        <f>_xll.BDH("NBIX US Equity","IS_NONOP_INCOME_LOSS","FQ4 2024","FQ4 2024","Currency=USD","Period=FQ","BEST_FPERIOD_OVERRIDE=FQ","FILING_STATUS=MR","SCALING_FORMAT=MLN","FA_ADJUSTED=Adjusted","Sort=A","Dates=H","DateFormat=P","Fill=—","Direction=H","UseDPDF=Y")</f>
        <v>-22.5</v>
      </c>
      <c r="Z19" s="13"/>
      <c r="AA19" s="13"/>
    </row>
    <row r="20" spans="1:27" x14ac:dyDescent="0.25">
      <c r="A20" s="11" t="s">
        <v>336</v>
      </c>
      <c r="B20" s="11" t="s">
        <v>337</v>
      </c>
      <c r="C20" s="25">
        <f>_xll.BDH("NBIX US Equity","IS_INT_EXPENSE","FQ2 2019","FQ2 2019","Currency=USD","Period=FQ","BEST_FPERIOD_OVERRIDE=FQ","FILING_STATUS=MR","SCALING_FORMAT=MLN","FA_ADJUSTED=Adjusted","Sort=A","Dates=H","DateFormat=P","Fill=—","Direction=H","UseDPDF=Y")</f>
        <v>7.9420000000000002</v>
      </c>
      <c r="D20" s="25">
        <f>_xll.BDH("NBIX US Equity","IS_INT_EXPENSE","FQ3 2019","FQ3 2019","Currency=USD","Period=FQ","BEST_FPERIOD_OVERRIDE=FQ","FILING_STATUS=MR","SCALING_FORMAT=MLN","FA_ADJUSTED=Adjusted","Sort=A","Dates=H","DateFormat=P","Fill=—","Direction=H","UseDPDF=Y")</f>
        <v>8.0380000000000003</v>
      </c>
      <c r="E20" s="25">
        <f>_xll.BDH("NBIX US Equity","IS_INT_EXPENSE","FQ4 2019","FQ4 2019","Currency=USD","Period=FQ","BEST_FPERIOD_OVERRIDE=FQ","FILING_STATUS=MR","SCALING_FORMAT=MLN","FA_ADJUSTED=Adjusted","Sort=A","Dates=H","DateFormat=P","Fill=—","Direction=H","UseDPDF=Y")</f>
        <v>8.1999999999999993</v>
      </c>
      <c r="F20" s="25">
        <f>_xll.BDH("NBIX US Equity","IS_INT_EXPENSE","FQ1 2020","FQ1 2020","Currency=USD","Period=FQ","BEST_FPERIOD_OVERRIDE=FQ","FILING_STATUS=MR","SCALING_FORMAT=MLN","FA_ADJUSTED=Adjusted","Sort=A","Dates=H","DateFormat=P","Fill=—","Direction=H","UseDPDF=Y")</f>
        <v>8.1999999999999993</v>
      </c>
      <c r="G20" s="25">
        <f>_xll.BDH("NBIX US Equity","IS_INT_EXPENSE","FQ2 2020","FQ2 2020","Currency=USD","Period=FQ","BEST_FPERIOD_OVERRIDE=FQ","FILING_STATUS=MR","SCALING_FORMAT=MLN","FA_ADJUSTED=Adjusted","Sort=A","Dates=H","DateFormat=P","Fill=—","Direction=H","UseDPDF=Y")</f>
        <v>8.3000000000000007</v>
      </c>
      <c r="H20" s="25">
        <f>_xll.BDH("NBIX US Equity","IS_INT_EXPENSE","FQ3 2020","FQ3 2020","Currency=USD","Period=FQ","BEST_FPERIOD_OVERRIDE=FQ","FILING_STATUS=MR","SCALING_FORMAT=MLN","FA_ADJUSTED=Adjusted","Sort=A","Dates=H","DateFormat=P","Fill=—","Direction=H","UseDPDF=Y")</f>
        <v>8.5</v>
      </c>
      <c r="I20" s="25">
        <f>_xll.BDH("NBIX US Equity","IS_INT_EXPENSE","FQ4 2020","FQ4 2020","Currency=USD","Period=FQ","BEST_FPERIOD_OVERRIDE=FQ","FILING_STATUS=MR","SCALING_FORMAT=MLN","FA_ADJUSTED=Adjusted","Sort=A","Dates=H","DateFormat=P","Fill=—","Direction=H","UseDPDF=Y")</f>
        <v>7.8</v>
      </c>
      <c r="J20" s="25">
        <f>_xll.BDH("NBIX US Equity","IS_INT_EXPENSE","FQ1 2021","FQ1 2021","Currency=USD","Period=FQ","BEST_FPERIOD_OVERRIDE=FQ","FILING_STATUS=MR","SCALING_FORMAT=MLN","FA_ADJUSTED=Adjusted","Sort=A","Dates=H","DateFormat=P","Fill=—","Direction=H","UseDPDF=Y")</f>
        <v>6.4</v>
      </c>
      <c r="K20" s="25">
        <f>_xll.BDH("NBIX US Equity","IS_INT_EXPENSE","FQ2 2021","FQ2 2021","Currency=USD","Period=FQ","BEST_FPERIOD_OVERRIDE=FQ","FILING_STATUS=MR","SCALING_FORMAT=MLN","FA_ADJUSTED=Adjusted","Sort=A","Dates=H","DateFormat=P","Fill=—","Direction=H","UseDPDF=Y")</f>
        <v>6.2</v>
      </c>
      <c r="L20" s="25">
        <f>_xll.BDH("NBIX US Equity","IS_INT_EXPENSE","FQ3 2021","FQ3 2021","Currency=USD","Period=FQ","BEST_FPERIOD_OVERRIDE=FQ","FILING_STATUS=MR","SCALING_FORMAT=MLN","FA_ADJUSTED=Adjusted","Sort=A","Dates=H","DateFormat=P","Fill=—","Direction=H","UseDPDF=Y")</f>
        <v>6.6</v>
      </c>
      <c r="M20" s="25">
        <f>_xll.BDH("NBIX US Equity","IS_INT_EXPENSE","FQ4 2021","FQ4 2021","Currency=USD","Period=FQ","BEST_FPERIOD_OVERRIDE=FQ","FILING_STATUS=MR","SCALING_FORMAT=MLN","FA_ADJUSTED=Adjusted","Sort=A","Dates=H","DateFormat=P","Fill=—","Direction=H","UseDPDF=Y")</f>
        <v>6.6</v>
      </c>
      <c r="N20" s="25">
        <f>_xll.BDH("NBIX US Equity","IS_INT_EXPENSE","FQ1 2022","FQ1 2022","Currency=USD","Period=FQ","BEST_FPERIOD_OVERRIDE=FQ","FILING_STATUS=MR","SCALING_FORMAT=MLN","FA_ADJUSTED=Adjusted","Sort=A","Dates=H","DateFormat=P","Fill=—","Direction=H","UseDPDF=Y")</f>
        <v>2.6</v>
      </c>
      <c r="O20" s="25">
        <f>_xll.BDH("NBIX US Equity","IS_INT_EXPENSE","FQ2 2022","FQ2 2022","Currency=USD","Period=FQ","BEST_FPERIOD_OVERRIDE=FQ","FILING_STATUS=MR","SCALING_FORMAT=MLN","FA_ADJUSTED=Adjusted","Sort=A","Dates=H","DateFormat=P","Fill=—","Direction=H","UseDPDF=Y")</f>
        <v>2.2000000000000002</v>
      </c>
      <c r="P20" s="25">
        <f>_xll.BDH("NBIX US Equity","IS_INT_EXPENSE","FQ3 2022","FQ3 2022","Currency=USD","Period=FQ","BEST_FPERIOD_OVERRIDE=FQ","FILING_STATUS=MR","SCALING_FORMAT=MLN","FA_ADJUSTED=Adjusted","Sort=A","Dates=H","DateFormat=P","Fill=—","Direction=H","UseDPDF=Y")</f>
        <v>1.2</v>
      </c>
      <c r="Q20" s="25">
        <f>_xll.BDH("NBIX US Equity","IS_INT_EXPENSE","FQ4 2022","FQ4 2022","Currency=USD","Period=FQ","BEST_FPERIOD_OVERRIDE=FQ","FILING_STATUS=MR","SCALING_FORMAT=MLN","FA_ADJUSTED=Adjusted","Sort=A","Dates=H","DateFormat=P","Fill=—","Direction=H","UseDPDF=Y")</f>
        <v>1.1000000000000001</v>
      </c>
      <c r="R20" s="25">
        <f>_xll.BDH("NBIX US Equity","IS_INT_EXPENSE","FQ1 2023","FQ1 2023","Currency=USD","Period=FQ","BEST_FPERIOD_OVERRIDE=FQ","FILING_STATUS=MR","SCALING_FORMAT=MLN","FA_ADJUSTED=Adjusted","Sort=A","Dates=H","DateFormat=P","Fill=—","Direction=H","UseDPDF=Y")</f>
        <v>1.1000000000000001</v>
      </c>
      <c r="S20" s="25">
        <f>_xll.BDH("NBIX US Equity","IS_INT_EXPENSE","FQ2 2023","FQ2 2023","Currency=USD","Period=FQ","BEST_FPERIOD_OVERRIDE=FQ","FILING_STATUS=MR","SCALING_FORMAT=MLN","FA_ADJUSTED=Adjusted","Sort=A","Dates=H","DateFormat=P","Fill=—","Direction=H","UseDPDF=Y")</f>
        <v>1.3</v>
      </c>
      <c r="T20" s="25">
        <f>_xll.BDH("NBIX US Equity","IS_INT_EXPENSE","FQ3 2023","FQ3 2023","Currency=USD","Period=FQ","BEST_FPERIOD_OVERRIDE=FQ","FILING_STATUS=MR","SCALING_FORMAT=MLN","FA_ADJUSTED=Adjusted","Sort=A","Dates=H","DateFormat=P","Fill=—","Direction=H","UseDPDF=Y")</f>
        <v>1.1000000000000001</v>
      </c>
      <c r="U20" s="25">
        <f>_xll.BDH("NBIX US Equity","IS_INT_EXPENSE","FQ4 2023","FQ4 2023","Currency=USD","Period=FQ","BEST_FPERIOD_OVERRIDE=FQ","FILING_STATUS=MR","SCALING_FORMAT=MLN","FA_ADJUSTED=Adjusted","Sort=A","Dates=H","DateFormat=P","Fill=—","Direction=H","UseDPDF=Y")</f>
        <v>1.1000000000000001</v>
      </c>
      <c r="V20" s="25">
        <f>_xll.BDH("NBIX US Equity","IS_INT_EXPENSE","FQ1 2024","FQ1 2024","Currency=USD","Period=FQ","BEST_FPERIOD_OVERRIDE=FQ","FILING_STATUS=MR","SCALING_FORMAT=MLN","FA_ADJUSTED=Adjusted","Sort=A","Dates=H","DateFormat=P","Fill=—","Direction=H","UseDPDF=Y")</f>
        <v>1.1000000000000001</v>
      </c>
      <c r="W20" s="25" t="str">
        <f>_xll.BDH("NBIX US Equity","IS_INT_EXPENSE","FQ2 2024","FQ2 2024","Currency=USD","Period=FQ","BEST_FPERIOD_OVERRIDE=FQ","FILING_STATUS=MR","SCALING_FORMAT=MLN","FA_ADJUSTED=Adjusted","Sort=A","Dates=H","DateFormat=P","Fill=—","Direction=H","UseDPDF=Y")</f>
        <v>—</v>
      </c>
      <c r="X20" s="25" t="str">
        <f>_xll.BDH("NBIX US Equity","IS_INT_EXPENSE","FQ3 2024","FQ3 2024","Currency=USD","Period=FQ","BEST_FPERIOD_OVERRIDE=FQ","FILING_STATUS=MR","SCALING_FORMAT=MLN","FA_ADJUSTED=Adjusted","Sort=A","Dates=H","DateFormat=P","Fill=—","Direction=H","UseDPDF=Y")</f>
        <v>—</v>
      </c>
      <c r="Y20" s="25" t="str">
        <f>_xll.BDH("NBIX US Equity","IS_INT_EXPENSE","FQ4 2024","FQ4 2024","Currency=USD","Period=FQ","BEST_FPERIOD_OVERRIDE=FQ","FILING_STATUS=MR","SCALING_FORMAT=MLN","FA_ADJUSTED=Adjusted","Sort=A","Dates=H","DateFormat=P","Fill=—","Direction=H","UseDPDF=Y")</f>
        <v>—</v>
      </c>
      <c r="Z20" s="25"/>
      <c r="AA20" s="25"/>
    </row>
    <row r="21" spans="1:27" x14ac:dyDescent="0.25">
      <c r="A21" s="10" t="s">
        <v>338</v>
      </c>
      <c r="B21" s="10" t="s">
        <v>339</v>
      </c>
      <c r="C21" s="13">
        <f>_xll.BDH("NBIX US Equity","IS_OTHER_INVESTMENT_INCOME_LOSS","FQ2 2019","FQ2 2019","Currency=USD","Period=FQ","BEST_FPERIOD_OVERRIDE=FQ","FILING_STATUS=MR","SCALING_FORMAT=MLN","FA_ADJUSTED=Adjusted","Sort=A","Dates=H","DateFormat=P","Fill=—","Direction=H","UseDPDF=Y")</f>
        <v>-4.6070000000000002</v>
      </c>
      <c r="D21" s="13">
        <f>_xll.BDH("NBIX US Equity","IS_OTHER_INVESTMENT_INCOME_LOSS","FQ3 2019","FQ3 2019","Currency=USD","Period=FQ","BEST_FPERIOD_OVERRIDE=FQ","FILING_STATUS=MR","SCALING_FORMAT=MLN","FA_ADJUSTED=Adjusted","Sort=A","Dates=H","DateFormat=P","Fill=—","Direction=H","UseDPDF=Y")</f>
        <v>-4.7969999999999997</v>
      </c>
      <c r="E21" s="13">
        <f>_xll.BDH("NBIX US Equity","IS_OTHER_INVESTMENT_INCOME_LOSS","FQ4 2019","FQ4 2019","Currency=USD","Period=FQ","BEST_FPERIOD_OVERRIDE=FQ","FILING_STATUS=MR","SCALING_FORMAT=MLN","FA_ADJUSTED=Adjusted","Sort=A","Dates=H","DateFormat=P","Fill=—","Direction=H","UseDPDF=Y")</f>
        <v>-5.2</v>
      </c>
      <c r="F21" s="13">
        <f>_xll.BDH("NBIX US Equity","IS_OTHER_INVESTMENT_INCOME_LOSS","FQ1 2020","FQ1 2020","Currency=USD","Period=FQ","BEST_FPERIOD_OVERRIDE=FQ","FILING_STATUS=MR","SCALING_FORMAT=MLN","FA_ADJUSTED=Adjusted","Sort=A","Dates=H","DateFormat=P","Fill=—","Direction=H","UseDPDF=Y")</f>
        <v>-4.7</v>
      </c>
      <c r="G21" s="13">
        <f>_xll.BDH("NBIX US Equity","IS_OTHER_INVESTMENT_INCOME_LOSS","FQ2 2020","FQ2 2020","Currency=USD","Period=FQ","BEST_FPERIOD_OVERRIDE=FQ","FILING_STATUS=MR","SCALING_FORMAT=MLN","FA_ADJUSTED=Adjusted","Sort=A","Dates=H","DateFormat=P","Fill=—","Direction=H","UseDPDF=Y")</f>
        <v>-3.6</v>
      </c>
      <c r="H21" s="13">
        <f>_xll.BDH("NBIX US Equity","IS_OTHER_INVESTMENT_INCOME_LOSS","FQ3 2020","FQ3 2020","Currency=USD","Period=FQ","BEST_FPERIOD_OVERRIDE=FQ","FILING_STATUS=MR","SCALING_FORMAT=MLN","FA_ADJUSTED=Adjusted","Sort=A","Dates=H","DateFormat=P","Fill=—","Direction=H","UseDPDF=Y")</f>
        <v>-2.7</v>
      </c>
      <c r="I21" s="13">
        <f>_xll.BDH("NBIX US Equity","IS_OTHER_INVESTMENT_INCOME_LOSS","FQ4 2020","FQ4 2020","Currency=USD","Period=FQ","BEST_FPERIOD_OVERRIDE=FQ","FILING_STATUS=MR","SCALING_FORMAT=MLN","FA_ADJUSTED=Adjusted","Sort=A","Dates=H","DateFormat=P","Fill=—","Direction=H","UseDPDF=Y")</f>
        <v>-1.6</v>
      </c>
      <c r="J21" s="13">
        <f>_xll.BDH("NBIX US Equity","IS_OTHER_INVESTMENT_INCOME_LOSS","FQ1 2021","FQ1 2021","Currency=USD","Period=FQ","BEST_FPERIOD_OVERRIDE=FQ","FILING_STATUS=MR","SCALING_FORMAT=MLN","FA_ADJUSTED=Adjusted","Sort=A","Dates=H","DateFormat=P","Fill=—","Direction=H","UseDPDF=Y")</f>
        <v>-1.4</v>
      </c>
      <c r="K21" s="13">
        <f>_xll.BDH("NBIX US Equity","IS_OTHER_INVESTMENT_INCOME_LOSS","FQ2 2021","FQ2 2021","Currency=USD","Period=FQ","BEST_FPERIOD_OVERRIDE=FQ","FILING_STATUS=MR","SCALING_FORMAT=MLN","FA_ADJUSTED=Adjusted","Sort=A","Dates=H","DateFormat=P","Fill=—","Direction=H","UseDPDF=Y")</f>
        <v>-0.9</v>
      </c>
      <c r="L21" s="13">
        <f>_xll.BDH("NBIX US Equity","IS_OTHER_INVESTMENT_INCOME_LOSS","FQ3 2021","FQ3 2021","Currency=USD","Period=FQ","BEST_FPERIOD_OVERRIDE=FQ","FILING_STATUS=MR","SCALING_FORMAT=MLN","FA_ADJUSTED=Adjusted","Sort=A","Dates=H","DateFormat=P","Fill=—","Direction=H","UseDPDF=Y")</f>
        <v>-0.8</v>
      </c>
      <c r="M21" s="13">
        <f>_xll.BDH("NBIX US Equity","IS_OTHER_INVESTMENT_INCOME_LOSS","FQ4 2021","FQ4 2021","Currency=USD","Period=FQ","BEST_FPERIOD_OVERRIDE=FQ","FILING_STATUS=MR","SCALING_FORMAT=MLN","FA_ADJUSTED=Adjusted","Sort=A","Dates=H","DateFormat=P","Fill=—","Direction=H","UseDPDF=Y")</f>
        <v>-0.7</v>
      </c>
      <c r="N21" s="13">
        <f>_xll.BDH("NBIX US Equity","IS_OTHER_INVESTMENT_INCOME_LOSS","FQ1 2022","FQ1 2022","Currency=USD","Period=FQ","BEST_FPERIOD_OVERRIDE=FQ","FILING_STATUS=MR","SCALING_FORMAT=MLN","FA_ADJUSTED=Adjusted","Sort=A","Dates=H","DateFormat=P","Fill=—","Direction=H","UseDPDF=Y")</f>
        <v>-1</v>
      </c>
      <c r="O21" s="13">
        <f>_xll.BDH("NBIX US Equity","IS_OTHER_INVESTMENT_INCOME_LOSS","FQ2 2022","FQ2 2022","Currency=USD","Period=FQ","BEST_FPERIOD_OVERRIDE=FQ","FILING_STATUS=MR","SCALING_FORMAT=MLN","FA_ADJUSTED=Adjusted","Sort=A","Dates=H","DateFormat=P","Fill=—","Direction=H","UseDPDF=Y")</f>
        <v>-1.6</v>
      </c>
      <c r="P21" s="13">
        <f>_xll.BDH("NBIX US Equity","IS_OTHER_INVESTMENT_INCOME_LOSS","FQ3 2022","FQ3 2022","Currency=USD","Period=FQ","BEST_FPERIOD_OVERRIDE=FQ","FILING_STATUS=MR","SCALING_FORMAT=MLN","FA_ADJUSTED=Adjusted","Sort=A","Dates=H","DateFormat=P","Fill=—","Direction=H","UseDPDF=Y")</f>
        <v>-0.2</v>
      </c>
      <c r="Q21" s="13">
        <f>_xll.BDH("NBIX US Equity","IS_OTHER_INVESTMENT_INCOME_LOSS","FQ4 2022","FQ4 2022","Currency=USD","Period=FQ","BEST_FPERIOD_OVERRIDE=FQ","FILING_STATUS=MR","SCALING_FORMAT=MLN","FA_ADJUSTED=Adjusted","Sort=A","Dates=H","DateFormat=P","Fill=—","Direction=H","UseDPDF=Y")</f>
        <v>-8.4</v>
      </c>
      <c r="R21" s="13">
        <f>_xll.BDH("NBIX US Equity","IS_OTHER_INVESTMENT_INCOME_LOSS","FQ1 2023","FQ1 2023","Currency=USD","Period=FQ","BEST_FPERIOD_OVERRIDE=FQ","FILING_STATUS=MR","SCALING_FORMAT=MLN","FA_ADJUSTED=Adjusted","Sort=A","Dates=H","DateFormat=P","Fill=—","Direction=H","UseDPDF=Y")</f>
        <v>-9.8000000000000007</v>
      </c>
      <c r="S21" s="13">
        <f>_xll.BDH("NBIX US Equity","IS_OTHER_INVESTMENT_INCOME_LOSS","FQ2 2023","FQ2 2023","Currency=USD","Period=FQ","BEST_FPERIOD_OVERRIDE=FQ","FILING_STATUS=MR","SCALING_FORMAT=MLN","FA_ADJUSTED=Adjusted","Sort=A","Dates=H","DateFormat=P","Fill=—","Direction=H","UseDPDF=Y")</f>
        <v>-12</v>
      </c>
      <c r="T21" s="13">
        <f>_xll.BDH("NBIX US Equity","IS_OTHER_INVESTMENT_INCOME_LOSS","FQ3 2023","FQ3 2023","Currency=USD","Period=FQ","BEST_FPERIOD_OVERRIDE=FQ","FILING_STATUS=MR","SCALING_FORMAT=MLN","FA_ADJUSTED=Adjusted","Sort=A","Dates=H","DateFormat=P","Fill=—","Direction=H","UseDPDF=Y")</f>
        <v>-15.6</v>
      </c>
      <c r="U21" s="13">
        <f>_xll.BDH("NBIX US Equity","IS_OTHER_INVESTMENT_INCOME_LOSS","FQ4 2023","FQ4 2023","Currency=USD","Period=FQ","BEST_FPERIOD_OVERRIDE=FQ","FILING_STATUS=MR","SCALING_FORMAT=MLN","FA_ADJUSTED=Adjusted","Sort=A","Dates=H","DateFormat=P","Fill=—","Direction=H","UseDPDF=Y")</f>
        <v>-20</v>
      </c>
      <c r="V21" s="13">
        <f>_xll.BDH("NBIX US Equity","IS_OTHER_INVESTMENT_INCOME_LOSS","FQ1 2024","FQ1 2024","Currency=USD","Period=FQ","BEST_FPERIOD_OVERRIDE=FQ","FILING_STATUS=MR","SCALING_FORMAT=MLN","FA_ADJUSTED=Adjusted","Sort=A","Dates=H","DateFormat=P","Fill=—","Direction=H","UseDPDF=Y")</f>
        <v>-23.4</v>
      </c>
      <c r="W21" s="13">
        <f>_xll.BDH("NBIX US Equity","IS_OTHER_INVESTMENT_INCOME_LOSS","FQ2 2024","FQ2 2024","Currency=USD","Period=FQ","BEST_FPERIOD_OVERRIDE=FQ","FILING_STATUS=MR","SCALING_FORMAT=MLN","FA_ADJUSTED=Adjusted","Sort=A","Dates=H","DateFormat=P","Fill=—","Direction=H","UseDPDF=Y")</f>
        <v>-22.8</v>
      </c>
      <c r="X21" s="13">
        <f>_xll.BDH("NBIX US Equity","IS_OTHER_INVESTMENT_INCOME_LOSS","FQ3 2024","FQ3 2024","Currency=USD","Period=FQ","BEST_FPERIOD_OVERRIDE=FQ","FILING_STATUS=MR","SCALING_FORMAT=MLN","FA_ADJUSTED=Adjusted","Sort=A","Dates=H","DateFormat=P","Fill=—","Direction=H","UseDPDF=Y")</f>
        <v>-23.4</v>
      </c>
      <c r="Y21" s="13">
        <f>_xll.BDH("NBIX US Equity","IS_OTHER_INVESTMENT_INCOME_LOSS","FQ4 2024","FQ4 2024","Currency=USD","Period=FQ","BEST_FPERIOD_OVERRIDE=FQ","FILING_STATUS=MR","SCALING_FORMAT=MLN","FA_ADJUSTED=Adjusted","Sort=A","Dates=H","DateFormat=P","Fill=—","Direction=H","UseDPDF=Y")</f>
        <v>-22.5</v>
      </c>
      <c r="Z21" s="13"/>
      <c r="AA21" s="13"/>
    </row>
    <row r="22" spans="1:27" x14ac:dyDescent="0.25">
      <c r="A22" s="10" t="s">
        <v>340</v>
      </c>
      <c r="B22" s="10" t="s">
        <v>341</v>
      </c>
      <c r="C22" s="13">
        <f>_xll.BDH("NBIX US Equity","IS_OTHER_NON_OPERATING_INC_LOSS","FQ2 2019","FQ2 2019","Currency=USD","Period=FQ","BEST_FPERIOD_OVERRIDE=FQ","FILING_STATUS=MR","SCALING_FORMAT=MLN","FA_ADJUSTED=Adjusted","Sort=A","Dates=H","DateFormat=P","Fill=—","Direction=H","UseDPDF=Y")</f>
        <v>0</v>
      </c>
      <c r="D22" s="13">
        <f>_xll.BDH("NBIX US Equity","IS_OTHER_NON_OPERATING_INC_LOSS","FQ3 2019","FQ3 2019","Currency=USD","Period=FQ","BEST_FPERIOD_OVERRIDE=FQ","FILING_STATUS=MR","SCALING_FORMAT=MLN","FA_ADJUSTED=Adjusted","Sort=A","Dates=H","DateFormat=P","Fill=—","Direction=H","UseDPDF=Y")</f>
        <v>0</v>
      </c>
      <c r="E22" s="13">
        <f>_xll.BDH("NBIX US Equity","IS_OTHER_NON_OPERATING_INC_LOSS","FQ4 2019","FQ4 2019","Currency=USD","Period=FQ","BEST_FPERIOD_OVERRIDE=FQ","FILING_STATUS=MR","SCALING_FORMAT=MLN","FA_ADJUSTED=Adjusted","Sort=A","Dates=H","DateFormat=P","Fill=—","Direction=H","UseDPDF=Y")</f>
        <v>0</v>
      </c>
      <c r="F22" s="13">
        <f>_xll.BDH("NBIX US Equity","IS_OTHER_NON_OPERATING_INC_LOSS","FQ1 2020","FQ1 2020","Currency=USD","Period=FQ","BEST_FPERIOD_OVERRIDE=FQ","FILING_STATUS=MR","SCALING_FORMAT=MLN","FA_ADJUSTED=Adjusted","Sort=A","Dates=H","DateFormat=P","Fill=—","Direction=H","UseDPDF=Y")</f>
        <v>0</v>
      </c>
      <c r="G22" s="13">
        <f>_xll.BDH("NBIX US Equity","IS_OTHER_NON_OPERATING_INC_LOSS","FQ2 2020","FQ2 2020","Currency=USD","Period=FQ","BEST_FPERIOD_OVERRIDE=FQ","FILING_STATUS=MR","SCALING_FORMAT=MLN","FA_ADJUSTED=Adjusted","Sort=A","Dates=H","DateFormat=P","Fill=—","Direction=H","UseDPDF=Y")</f>
        <v>0</v>
      </c>
      <c r="H22" s="13">
        <f>_xll.BDH("NBIX US Equity","IS_OTHER_NON_OPERATING_INC_LOSS","FQ3 2020","FQ3 2020","Currency=USD","Period=FQ","BEST_FPERIOD_OVERRIDE=FQ","FILING_STATUS=MR","SCALING_FORMAT=MLN","FA_ADJUSTED=Adjusted","Sort=A","Dates=H","DateFormat=P","Fill=—","Direction=H","UseDPDF=Y")</f>
        <v>0</v>
      </c>
      <c r="I22" s="13">
        <f>_xll.BDH("NBIX US Equity","IS_OTHER_NON_OPERATING_INC_LOSS","FQ4 2020","FQ4 2020","Currency=USD","Period=FQ","BEST_FPERIOD_OVERRIDE=FQ","FILING_STATUS=MR","SCALING_FORMAT=MLN","FA_ADJUSTED=Adjusted","Sort=A","Dates=H","DateFormat=P","Fill=—","Direction=H","UseDPDF=Y")</f>
        <v>0</v>
      </c>
      <c r="J22" s="13">
        <f>_xll.BDH("NBIX US Equity","IS_OTHER_NON_OPERATING_INC_LOSS","FQ1 2021","FQ1 2021","Currency=USD","Period=FQ","BEST_FPERIOD_OVERRIDE=FQ","FILING_STATUS=MR","SCALING_FORMAT=MLN","FA_ADJUSTED=Adjusted","Sort=A","Dates=H","DateFormat=P","Fill=—","Direction=H","UseDPDF=Y")</f>
        <v>0</v>
      </c>
      <c r="K22" s="13">
        <f>_xll.BDH("NBIX US Equity","IS_OTHER_NON_OPERATING_INC_LOSS","FQ2 2021","FQ2 2021","Currency=USD","Period=FQ","BEST_FPERIOD_OVERRIDE=FQ","FILING_STATUS=MR","SCALING_FORMAT=MLN","FA_ADJUSTED=Adjusted","Sort=A","Dates=H","DateFormat=P","Fill=—","Direction=H","UseDPDF=Y")</f>
        <v>0</v>
      </c>
      <c r="L22" s="13">
        <f>_xll.BDH("NBIX US Equity","IS_OTHER_NON_OPERATING_INC_LOSS","FQ3 2021","FQ3 2021","Currency=USD","Period=FQ","BEST_FPERIOD_OVERRIDE=FQ","FILING_STATUS=MR","SCALING_FORMAT=MLN","FA_ADJUSTED=Adjusted","Sort=A","Dates=H","DateFormat=P","Fill=—","Direction=H","UseDPDF=Y")</f>
        <v>0</v>
      </c>
      <c r="M22" s="13">
        <f>_xll.BDH("NBIX US Equity","IS_OTHER_NON_OPERATING_INC_LOSS","FQ4 2021","FQ4 2021","Currency=USD","Period=FQ","BEST_FPERIOD_OVERRIDE=FQ","FILING_STATUS=MR","SCALING_FORMAT=MLN","FA_ADJUSTED=Adjusted","Sort=A","Dates=H","DateFormat=P","Fill=—","Direction=H","UseDPDF=Y")</f>
        <v>0</v>
      </c>
      <c r="N22" s="13">
        <f>_xll.BDH("NBIX US Equity","IS_OTHER_NON_OPERATING_INC_LOSS","FQ1 2022","FQ1 2022","Currency=USD","Period=FQ","BEST_FPERIOD_OVERRIDE=FQ","FILING_STATUS=MR","SCALING_FORMAT=MLN","FA_ADJUSTED=Adjusted","Sort=A","Dates=H","DateFormat=P","Fill=—","Direction=H","UseDPDF=Y")</f>
        <v>0</v>
      </c>
      <c r="O22" s="13">
        <f>_xll.BDH("NBIX US Equity","IS_OTHER_NON_OPERATING_INC_LOSS","FQ2 2022","FQ2 2022","Currency=USD","Period=FQ","BEST_FPERIOD_OVERRIDE=FQ","FILING_STATUS=MR","SCALING_FORMAT=MLN","FA_ADJUSTED=Adjusted","Sort=A","Dates=H","DateFormat=P","Fill=—","Direction=H","UseDPDF=Y")</f>
        <v>70</v>
      </c>
      <c r="P22" s="13">
        <f>_xll.BDH("NBIX US Equity","IS_OTHER_NON_OPERATING_INC_LOSS","FQ3 2022","FQ3 2022","Currency=USD","Period=FQ","BEST_FPERIOD_OVERRIDE=FQ","FILING_STATUS=MR","SCALING_FORMAT=MLN","FA_ADJUSTED=Adjusted","Sort=A","Dates=H","DateFormat=P","Fill=—","Direction=H","UseDPDF=Y")</f>
        <v>-22.2</v>
      </c>
      <c r="Q22" s="13">
        <f>_xll.BDH("NBIX US Equity","IS_OTHER_NON_OPERATING_INC_LOSS","FQ4 2022","FQ4 2022","Currency=USD","Period=FQ","BEST_FPERIOD_OVERRIDE=FQ","FILING_STATUS=MR","SCALING_FORMAT=MLN","FA_ADJUSTED=Adjusted","Sort=A","Dates=H","DateFormat=P","Fill=—","Direction=H","UseDPDF=Y")</f>
        <v>0</v>
      </c>
      <c r="R22" s="13">
        <f>_xll.BDH("NBIX US Equity","IS_OTHER_NON_OPERATING_INC_LOSS","FQ1 2023","FQ1 2023","Currency=USD","Period=FQ","BEST_FPERIOD_OVERRIDE=FQ","FILING_STATUS=MR","SCALING_FORMAT=MLN","FA_ADJUSTED=Adjusted","Sort=A","Dates=H","DateFormat=P","Fill=—","Direction=H","UseDPDF=Y")</f>
        <v>0</v>
      </c>
      <c r="S22" s="13">
        <f>_xll.BDH("NBIX US Equity","IS_OTHER_NON_OPERATING_INC_LOSS","FQ2 2023","FQ2 2023","Currency=USD","Period=FQ","BEST_FPERIOD_OVERRIDE=FQ","FILING_STATUS=MR","SCALING_FORMAT=MLN","FA_ADJUSTED=Adjusted","Sort=A","Dates=H","DateFormat=P","Fill=—","Direction=H","UseDPDF=Y")</f>
        <v>0</v>
      </c>
      <c r="T22" s="13">
        <f>_xll.BDH("NBIX US Equity","IS_OTHER_NON_OPERATING_INC_LOSS","FQ3 2023","FQ3 2023","Currency=USD","Period=FQ","BEST_FPERIOD_OVERRIDE=FQ","FILING_STATUS=MR","SCALING_FORMAT=MLN","FA_ADJUSTED=Adjusted","Sort=A","Dates=H","DateFormat=P","Fill=—","Direction=H","UseDPDF=Y")</f>
        <v>0</v>
      </c>
      <c r="U22" s="13">
        <f>_xll.BDH("NBIX US Equity","IS_OTHER_NON_OPERATING_INC_LOSS","FQ4 2023","FQ4 2023","Currency=USD","Period=FQ","BEST_FPERIOD_OVERRIDE=FQ","FILING_STATUS=MR","SCALING_FORMAT=MLN","FA_ADJUSTED=Adjusted","Sort=A","Dates=H","DateFormat=P","Fill=—","Direction=H","UseDPDF=Y")</f>
        <v>0</v>
      </c>
      <c r="V22" s="13">
        <f>_xll.BDH("NBIX US Equity","IS_OTHER_NON_OPERATING_INC_LOSS","FQ1 2024","FQ1 2024","Currency=USD","Period=FQ","BEST_FPERIOD_OVERRIDE=FQ","FILING_STATUS=MR","SCALING_FORMAT=MLN","FA_ADJUSTED=Adjusted","Sort=A","Dates=H","DateFormat=P","Fill=—","Direction=H","UseDPDF=Y")</f>
        <v>88.7</v>
      </c>
      <c r="W22" s="13">
        <f>_xll.BDH("NBIX US Equity","IS_OTHER_NON_OPERATING_INC_LOSS","FQ2 2024","FQ2 2024","Currency=USD","Period=FQ","BEST_FPERIOD_OVERRIDE=FQ","FILING_STATUS=MR","SCALING_FORMAT=MLN","FA_ADJUSTED=Adjusted","Sort=A","Dates=H","DateFormat=P","Fill=—","Direction=H","UseDPDF=Y")</f>
        <v>0</v>
      </c>
      <c r="X22" s="13">
        <f>_xll.BDH("NBIX US Equity","IS_OTHER_NON_OPERATING_INC_LOSS","FQ3 2024","FQ3 2024","Currency=USD","Period=FQ","BEST_FPERIOD_OVERRIDE=FQ","FILING_STATUS=MR","SCALING_FORMAT=MLN","FA_ADJUSTED=Adjusted","Sort=A","Dates=H","DateFormat=P","Fill=—","Direction=H","UseDPDF=Y")</f>
        <v>0</v>
      </c>
      <c r="Y22" s="13">
        <f>_xll.BDH("NBIX US Equity","IS_OTHER_NON_OPERATING_INC_LOSS","FQ4 2024","FQ4 2024","Currency=USD","Period=FQ","BEST_FPERIOD_OVERRIDE=FQ","FILING_STATUS=MR","SCALING_FORMAT=MLN","FA_ADJUSTED=Adjusted","Sort=A","Dates=H","DateFormat=P","Fill=—","Direction=H","UseDPDF=Y")</f>
        <v>0</v>
      </c>
      <c r="Z22" s="13"/>
      <c r="AA22" s="13"/>
    </row>
    <row r="23" spans="1:27" x14ac:dyDescent="0.25">
      <c r="A23" s="6" t="s">
        <v>342</v>
      </c>
      <c r="B23" s="6" t="s">
        <v>158</v>
      </c>
      <c r="C23" s="19">
        <f>_xll.BDH("NBIX US Equity","PRETAX_INC","FQ2 2019","FQ2 2019","Currency=USD","Period=FQ","BEST_FPERIOD_OVERRIDE=FQ","FILING_STATUS=MR","SCALING_FORMAT=MLN","FA_ADJUSTED=Adjusted","Sort=A","Dates=H","DateFormat=P","Fill=—","Direction=H","UseDPDF=Y")</f>
        <v>36.125999999999998</v>
      </c>
      <c r="D23" s="19">
        <f>_xll.BDH("NBIX US Equity","PRETAX_INC","FQ3 2019","FQ3 2019","Currency=USD","Period=FQ","BEST_FPERIOD_OVERRIDE=FQ","FILING_STATUS=MR","SCALING_FORMAT=MLN","FA_ADJUSTED=Adjusted","Sort=A","Dates=H","DateFormat=P","Fill=—","Direction=H","UseDPDF=Y")</f>
        <v>86.856999999999999</v>
      </c>
      <c r="E23" s="19">
        <f>_xll.BDH("NBIX US Equity","PRETAX_INC","FQ4 2019","FQ4 2019","Currency=USD","Period=FQ","BEST_FPERIOD_OVERRIDE=FQ","FILING_STATUS=MR","SCALING_FORMAT=MLN","FA_ADJUSTED=Adjusted","Sort=A","Dates=H","DateFormat=P","Fill=—","Direction=H","UseDPDF=Y")</f>
        <v>82</v>
      </c>
      <c r="F23" s="19">
        <f>_xll.BDH("NBIX US Equity","PRETAX_INC","FQ1 2020","FQ1 2020","Currency=USD","Period=FQ","BEST_FPERIOD_OVERRIDE=FQ","FILING_STATUS=MR","SCALING_FORMAT=MLN","FA_ADJUSTED=Adjusted","Sort=A","Dates=H","DateFormat=P","Fill=—","Direction=H","UseDPDF=Y")</f>
        <v>55.4</v>
      </c>
      <c r="G23" s="19">
        <f>_xll.BDH("NBIX US Equity","PRETAX_INC","FQ2 2020","FQ2 2020","Currency=USD","Period=FQ","BEST_FPERIOD_OVERRIDE=FQ","FILING_STATUS=MR","SCALING_FORMAT=MLN","FA_ADJUSTED=Adjusted","Sort=A","Dates=H","DateFormat=P","Fill=—","Direction=H","UseDPDF=Y")</f>
        <v>117.9</v>
      </c>
      <c r="H23" s="19">
        <f>_xll.BDH("NBIX US Equity","PRETAX_INC","FQ3 2020","FQ3 2020","Currency=USD","Period=FQ","BEST_FPERIOD_OVERRIDE=FQ","FILING_STATUS=MR","SCALING_FORMAT=MLN","FA_ADJUSTED=Adjusted","Sort=A","Dates=H","DateFormat=P","Fill=—","Direction=H","UseDPDF=Y")</f>
        <v>68.400000000000006</v>
      </c>
      <c r="I23" s="19">
        <f>_xll.BDH("NBIX US Equity","PRETAX_INC","FQ4 2020","FQ4 2020","Currency=USD","Period=FQ","BEST_FPERIOD_OVERRIDE=FQ","FILING_STATUS=MR","SCALING_FORMAT=MLN","FA_ADJUSTED=Adjusted","Sort=A","Dates=H","DateFormat=P","Fill=—","Direction=H","UseDPDF=Y")</f>
        <v>65.599999999999994</v>
      </c>
      <c r="J23" s="19">
        <f>_xll.BDH("NBIX US Equity","PRETAX_INC","FQ1 2021","FQ1 2021","Currency=USD","Period=FQ","BEST_FPERIOD_OVERRIDE=FQ","FILING_STATUS=MR","SCALING_FORMAT=MLN","FA_ADJUSTED=Adjusted","Sort=A","Dates=H","DateFormat=P","Fill=—","Direction=H","UseDPDF=Y")</f>
        <v>26.5</v>
      </c>
      <c r="K23" s="19">
        <f>_xll.BDH("NBIX US Equity","PRETAX_INC","FQ2 2021","FQ2 2021","Currency=USD","Period=FQ","BEST_FPERIOD_OVERRIDE=FQ","FILING_STATUS=MR","SCALING_FORMAT=MLN","FA_ADJUSTED=Adjusted","Sort=A","Dates=H","DateFormat=P","Fill=—","Direction=H","UseDPDF=Y")</f>
        <v>62.5</v>
      </c>
      <c r="L23" s="19">
        <f>_xll.BDH("NBIX US Equity","PRETAX_INC","FQ3 2021","FQ3 2021","Currency=USD","Period=FQ","BEST_FPERIOD_OVERRIDE=FQ","FILING_STATUS=MR","SCALING_FORMAT=MLN","FA_ADJUSTED=Adjusted","Sort=A","Dates=H","DateFormat=P","Fill=—","Direction=H","UseDPDF=Y")</f>
        <v>38.700000000000003</v>
      </c>
      <c r="M23" s="19">
        <f>_xll.BDH("NBIX US Equity","PRETAX_INC","FQ4 2021","FQ4 2021","Currency=USD","Period=FQ","BEST_FPERIOD_OVERRIDE=FQ","FILING_STATUS=MR","SCALING_FORMAT=MLN","FA_ADJUSTED=Adjusted","Sort=A","Dates=H","DateFormat=P","Fill=—","Direction=H","UseDPDF=Y")</f>
        <v>58.1</v>
      </c>
      <c r="N23" s="19">
        <f>_xll.BDH("NBIX US Equity","PRETAX_INC","FQ1 2022","FQ1 2022","Currency=USD","Period=FQ","BEST_FPERIOD_OVERRIDE=FQ","FILING_STATUS=MR","SCALING_FORMAT=MLN","FA_ADJUSTED=Adjusted","Sort=A","Dates=H","DateFormat=P","Fill=—","Direction=H","UseDPDF=Y")</f>
        <v>1.5</v>
      </c>
      <c r="O23" s="19">
        <f>_xll.BDH("NBIX US Equity","PRETAX_INC","FQ2 2022","FQ2 2022","Currency=USD","Period=FQ","BEST_FPERIOD_OVERRIDE=FQ","FILING_STATUS=MR","SCALING_FORMAT=MLN","FA_ADJUSTED=Adjusted","Sort=A","Dates=H","DateFormat=P","Fill=—","Direction=H","UseDPDF=Y")</f>
        <v>-15.9</v>
      </c>
      <c r="P23" s="19">
        <f>_xll.BDH("NBIX US Equity","PRETAX_INC","FQ3 2022","FQ3 2022","Currency=USD","Period=FQ","BEST_FPERIOD_OVERRIDE=FQ","FILING_STATUS=MR","SCALING_FORMAT=MLN","FA_ADJUSTED=Adjusted","Sort=A","Dates=H","DateFormat=P","Fill=—","Direction=H","UseDPDF=Y")</f>
        <v>109</v>
      </c>
      <c r="Q23" s="19">
        <f>_xll.BDH("NBIX US Equity","PRETAX_INC","FQ4 2022","FQ4 2022","Currency=USD","Period=FQ","BEST_FPERIOD_OVERRIDE=FQ","FILING_STATUS=MR","SCALING_FORMAT=MLN","FA_ADJUSTED=Adjusted","Sort=A","Dates=H","DateFormat=P","Fill=—","Direction=H","UseDPDF=Y")</f>
        <v>112.4</v>
      </c>
      <c r="R23" s="19">
        <f>_xll.BDH("NBIX US Equity","PRETAX_INC","FQ1 2023","FQ1 2023","Currency=USD","Period=FQ","BEST_FPERIOD_OVERRIDE=FQ","FILING_STATUS=MR","SCALING_FORMAT=MLN","FA_ADJUSTED=Adjusted","Sort=A","Dates=H","DateFormat=P","Fill=—","Direction=H","UseDPDF=Y")</f>
        <v>38.4</v>
      </c>
      <c r="S23" s="19">
        <f>_xll.BDH("NBIX US Equity","PRETAX_INC","FQ2 2023","FQ2 2023","Currency=USD","Period=FQ","BEST_FPERIOD_OVERRIDE=FQ","FILING_STATUS=MR","SCALING_FORMAT=MLN","FA_ADJUSTED=Adjusted","Sort=A","Dates=H","DateFormat=P","Fill=—","Direction=H","UseDPDF=Y")</f>
        <v>84.3</v>
      </c>
      <c r="T23" s="19">
        <f>_xll.BDH("NBIX US Equity","PRETAX_INC","FQ3 2023","FQ3 2023","Currency=USD","Period=FQ","BEST_FPERIOD_OVERRIDE=FQ","FILING_STATUS=MR","SCALING_FORMAT=MLN","FA_ADJUSTED=Adjusted","Sort=A","Dates=H","DateFormat=P","Fill=—","Direction=H","UseDPDF=Y")</f>
        <v>159.6</v>
      </c>
      <c r="U23" s="19">
        <f>_xll.BDH("NBIX US Equity","PRETAX_INC","FQ4 2023","FQ4 2023","Currency=USD","Period=FQ","BEST_FPERIOD_OVERRIDE=FQ","FILING_STATUS=MR","SCALING_FORMAT=MLN","FA_ADJUSTED=Adjusted","Sort=A","Dates=H","DateFormat=P","Fill=—","Direction=H","UseDPDF=Y")</f>
        <v>169.2</v>
      </c>
      <c r="V23" s="19">
        <f>_xll.BDH("NBIX US Equity","PRETAX_INC","FQ1 2024","FQ1 2024","Currency=USD","Period=FQ","BEST_FPERIOD_OVERRIDE=FQ","FILING_STATUS=MR","SCALING_FORMAT=MLN","FA_ADJUSTED=Adjusted","Sort=A","Dates=H","DateFormat=P","Fill=—","Direction=H","UseDPDF=Y")</f>
        <v>38.9</v>
      </c>
      <c r="W23" s="19">
        <f>_xll.BDH("NBIX US Equity","PRETAX_INC","FQ2 2024","FQ2 2024","Currency=USD","Period=FQ","BEST_FPERIOD_OVERRIDE=FQ","FILING_STATUS=MR","SCALING_FORMAT=MLN","FA_ADJUSTED=Adjusted","Sort=A","Dates=H","DateFormat=P","Fill=—","Direction=H","UseDPDF=Y")</f>
        <v>234.4</v>
      </c>
      <c r="X23" s="19">
        <f>_xll.BDH("NBIX US Equity","PRETAX_INC","FQ3 2024","FQ3 2024","Currency=USD","Period=FQ","BEST_FPERIOD_OVERRIDE=FQ","FILING_STATUS=MR","SCALING_FORMAT=MLN","FA_ADJUSTED=Adjusted","Sort=A","Dates=H","DateFormat=P","Fill=—","Direction=H","UseDPDF=Y")</f>
        <v>208.2</v>
      </c>
      <c r="Y23" s="19">
        <f>_xll.BDH("NBIX US Equity","PRETAX_INC","FQ4 2024","FQ4 2024","Currency=USD","Period=FQ","BEST_FPERIOD_OVERRIDE=FQ","FILING_STATUS=MR","SCALING_FORMAT=MLN","FA_ADJUSTED=Adjusted","Sort=A","Dates=H","DateFormat=P","Fill=—","Direction=H","UseDPDF=Y")</f>
        <v>167.5</v>
      </c>
      <c r="Z23" s="19">
        <v>112.71899999999999</v>
      </c>
      <c r="AA23" s="19">
        <v>130.94399999999999</v>
      </c>
    </row>
    <row r="24" spans="1:27" x14ac:dyDescent="0.25">
      <c r="A24" s="10" t="s">
        <v>343</v>
      </c>
      <c r="B24" s="10" t="s">
        <v>344</v>
      </c>
      <c r="C24" s="13">
        <f>_xll.BDH("NBIX US Equity","IS_ABNORMAL_ITEM","FQ2 2019","FQ2 2019","Currency=USD","Period=FQ","BEST_FPERIOD_OVERRIDE=FQ","FILING_STATUS=MR","SCALING_FORMAT=MLN","Sort=A","Dates=H","DateFormat=P","Fill=—","Direction=H","UseDPDF=Y")</f>
        <v>-15.965</v>
      </c>
      <c r="D24" s="13">
        <f>_xll.BDH("NBIX US Equity","IS_ABNORMAL_ITEM","FQ3 2019","FQ3 2019","Currency=USD","Period=FQ","BEST_FPERIOD_OVERRIDE=FQ","FILING_STATUS=MR","SCALING_FORMAT=MLN","Sort=A","Dates=H","DateFormat=P","Fill=—","Direction=H","UseDPDF=Y")</f>
        <v>28.45</v>
      </c>
      <c r="E24" s="13">
        <f>_xll.BDH("NBIX US Equity","IS_ABNORMAL_ITEM","FQ4 2019","FQ4 2019","Currency=USD","Period=FQ","BEST_FPERIOD_OVERRIDE=FQ","FILING_STATUS=MR","SCALING_FORMAT=MLN","Sort=A","Dates=H","DateFormat=P","Fill=—","Direction=H","UseDPDF=Y")</f>
        <v>43.4</v>
      </c>
      <c r="F24" s="13">
        <f>_xll.BDH("NBIX US Equity","IS_ABNORMAL_ITEM","FQ1 2020","FQ1 2020","Currency=USD","Period=FQ","BEST_FPERIOD_OVERRIDE=FQ","FILING_STATUS=MR","SCALING_FORMAT=MLN","Sort=A","Dates=H","DateFormat=P","Fill=—","Direction=H","UseDPDF=Y")</f>
        <v>16.5</v>
      </c>
      <c r="G24" s="13">
        <f>_xll.BDH("NBIX US Equity","IS_ABNORMAL_ITEM","FQ2 2020","FQ2 2020","Currency=USD","Period=FQ","BEST_FPERIOD_OVERRIDE=FQ","FILING_STATUS=MR","SCALING_FORMAT=MLN","Sort=A","Dates=H","DateFormat=P","Fill=—","Direction=H","UseDPDF=Y")</f>
        <v>34.700000000000003</v>
      </c>
      <c r="H24" s="13">
        <f>_xll.BDH("NBIX US Equity","IS_ABNORMAL_ITEM","FQ3 2020","FQ3 2020","Currency=USD","Period=FQ","BEST_FPERIOD_OVERRIDE=FQ","FILING_STATUS=MR","SCALING_FORMAT=MLN","Sort=A","Dates=H","DateFormat=P","Fill=—","Direction=H","UseDPDF=Y")</f>
        <v>125.5</v>
      </c>
      <c r="I24" s="13">
        <f>_xll.BDH("NBIX US Equity","IS_ABNORMAL_ITEM","FQ4 2020","FQ4 2020","Currency=USD","Period=FQ","BEST_FPERIOD_OVERRIDE=FQ","FILING_STATUS=MR","SCALING_FORMAT=MLN","Sort=A","Dates=H","DateFormat=P","Fill=—","Direction=H","UseDPDF=Y")</f>
        <v>23.9</v>
      </c>
      <c r="J24" s="13">
        <f>_xll.BDH("NBIX US Equity","IS_ABNORMAL_ITEM","FQ1 2021","FQ1 2021","Currency=USD","Period=FQ","BEST_FPERIOD_OVERRIDE=FQ","FILING_STATUS=MR","SCALING_FORMAT=MLN","Sort=A","Dates=H","DateFormat=P","Fill=—","Direction=H","UseDPDF=Y")</f>
        <v>-0.7</v>
      </c>
      <c r="K24" s="13">
        <f>_xll.BDH("NBIX US Equity","IS_ABNORMAL_ITEM","FQ2 2021","FQ2 2021","Currency=USD","Period=FQ","BEST_FPERIOD_OVERRIDE=FQ","FILING_STATUS=MR","SCALING_FORMAT=MLN","Sort=A","Dates=H","DateFormat=P","Fill=—","Direction=H","UseDPDF=Y")</f>
        <v>5</v>
      </c>
      <c r="L24" s="13">
        <f>_xll.BDH("NBIX US Equity","IS_ABNORMAL_ITEM","FQ3 2021","FQ3 2021","Currency=USD","Period=FQ","BEST_FPERIOD_OVERRIDE=FQ","FILING_STATUS=MR","SCALING_FORMAT=MLN","Sort=A","Dates=H","DateFormat=P","Fill=—","Direction=H","UseDPDF=Y")</f>
        <v>8.1999999999999993</v>
      </c>
      <c r="M24" s="13">
        <f>_xll.BDH("NBIX US Equity","IS_ABNORMAL_ITEM","FQ4 2021","FQ4 2021","Currency=USD","Period=FQ","BEST_FPERIOD_OVERRIDE=FQ","FILING_STATUS=MR","SCALING_FORMAT=MLN","Sort=A","Dates=H","DateFormat=P","Fill=—","Direction=H","UseDPDF=Y")</f>
        <v>71.900000000000006</v>
      </c>
      <c r="N24" s="13">
        <f>_xll.BDH("NBIX US Equity","IS_ABNORMAL_ITEM","FQ1 2022","FQ1 2022","Currency=USD","Period=FQ","BEST_FPERIOD_OVERRIDE=FQ","FILING_STATUS=MR","SCALING_FORMAT=MLN","Sort=A","Dates=H","DateFormat=P","Fill=—","Direction=H","UseDPDF=Y")</f>
        <v>-19.899999999999999</v>
      </c>
      <c r="O24" s="13">
        <f>_xll.BDH("NBIX US Equity","IS_ABNORMAL_ITEM","FQ2 2022","FQ2 2022","Currency=USD","Period=FQ","BEST_FPERIOD_OVERRIDE=FQ","FILING_STATUS=MR","SCALING_FORMAT=MLN","Sort=A","Dates=H","DateFormat=P","Fill=—","Direction=H","UseDPDF=Y")</f>
        <v>7.4</v>
      </c>
      <c r="P24" s="13">
        <f>_xll.BDH("NBIX US Equity","IS_ABNORMAL_ITEM","FQ3 2022","FQ3 2022","Currency=USD","Period=FQ","BEST_FPERIOD_OVERRIDE=FQ","FILING_STATUS=MR","SCALING_FORMAT=MLN","Sort=A","Dates=H","DateFormat=P","Fill=—","Direction=H","UseDPDF=Y")</f>
        <v>11.1</v>
      </c>
      <c r="Q24" s="13">
        <f>_xll.BDH("NBIX US Equity","IS_ABNORMAL_ITEM","FQ4 2022","FQ4 2022","Currency=USD","Period=FQ","BEST_FPERIOD_OVERRIDE=FQ","FILING_STATUS=MR","SCALING_FORMAT=MLN","Sort=A","Dates=H","DateFormat=P","Fill=—","Direction=H","UseDPDF=Y")</f>
        <v>-5.5</v>
      </c>
      <c r="R24" s="13">
        <f>_xll.BDH("NBIX US Equity","IS_ABNORMAL_ITEM","FQ1 2023","FQ1 2023","Currency=USD","Period=FQ","BEST_FPERIOD_OVERRIDE=FQ","FILING_STATUS=MR","SCALING_FORMAT=MLN","Sort=A","Dates=H","DateFormat=P","Fill=—","Direction=H","UseDPDF=Y")</f>
        <v>141.69999999999999</v>
      </c>
      <c r="S24" s="13">
        <f>_xll.BDH("NBIX US Equity","IS_ABNORMAL_ITEM","FQ2 2023","FQ2 2023","Currency=USD","Period=FQ","BEST_FPERIOD_OVERRIDE=FQ","FILING_STATUS=MR","SCALING_FORMAT=MLN","Sort=A","Dates=H","DateFormat=P","Fill=—","Direction=H","UseDPDF=Y")</f>
        <v>-37.299999999999997</v>
      </c>
      <c r="T24" s="13">
        <f>_xll.BDH("NBIX US Equity","IS_ABNORMAL_ITEM","FQ3 2023","FQ3 2023","Currency=USD","Period=FQ","BEST_FPERIOD_OVERRIDE=FQ","FILING_STATUS=MR","SCALING_FORMAT=MLN","Sort=A","Dates=H","DateFormat=P","Fill=—","Direction=H","UseDPDF=Y")</f>
        <v>44</v>
      </c>
      <c r="U24" s="13">
        <f>_xll.BDH("NBIX US Equity","IS_ABNORMAL_ITEM","FQ4 2023","FQ4 2023","Currency=USD","Period=FQ","BEST_FPERIOD_OVERRIDE=FQ","FILING_STATUS=MR","SCALING_FORMAT=MLN","Sort=A","Dates=H","DateFormat=P","Fill=—","Direction=H","UseDPDF=Y")</f>
        <v>-29</v>
      </c>
      <c r="V24" s="13">
        <f>_xll.BDH("NBIX US Equity","IS_ABNORMAL_ITEM","FQ1 2024","FQ1 2024","Currency=USD","Period=FQ","BEST_FPERIOD_OVERRIDE=FQ","FILING_STATUS=MR","SCALING_FORMAT=MLN","Sort=A","Dates=H","DateFormat=P","Fill=—","Direction=H","UseDPDF=Y")</f>
        <v>4.4000000000000004</v>
      </c>
      <c r="W24" s="13">
        <f>_xll.BDH("NBIX US Equity","IS_ABNORMAL_ITEM","FQ2 2024","FQ2 2024","Currency=USD","Period=FQ","BEST_FPERIOD_OVERRIDE=FQ","FILING_STATUS=MR","SCALING_FORMAT=MLN","Sort=A","Dates=H","DateFormat=P","Fill=—","Direction=H","UseDPDF=Y")</f>
        <v>135.80000000000001</v>
      </c>
      <c r="X24" s="13">
        <f>_xll.BDH("NBIX US Equity","IS_ABNORMAL_ITEM","FQ3 2024","FQ3 2024","Currency=USD","Period=FQ","BEST_FPERIOD_OVERRIDE=FQ","FILING_STATUS=MR","SCALING_FORMAT=MLN","Sort=A","Dates=H","DateFormat=P","Fill=—","Direction=H","UseDPDF=Y")</f>
        <v>17.899999999999999</v>
      </c>
      <c r="Y24" s="13">
        <f>_xll.BDH("NBIX US Equity","IS_ABNORMAL_ITEM","FQ4 2024","FQ4 2024","Currency=USD","Period=FQ","BEST_FPERIOD_OVERRIDE=FQ","FILING_STATUS=MR","SCALING_FORMAT=MLN","Sort=A","Dates=H","DateFormat=P","Fill=—","Direction=H","UseDPDF=Y")</f>
        <v>4.9000000000000004</v>
      </c>
      <c r="Z24" s="13"/>
      <c r="AA24" s="13"/>
    </row>
    <row r="25" spans="1:27" x14ac:dyDescent="0.25">
      <c r="A25" s="10" t="s">
        <v>345</v>
      </c>
      <c r="B25" s="10" t="s">
        <v>346</v>
      </c>
      <c r="C25" s="13">
        <f>_xll.BDH("NBIX US Equity","IS_ACQUIRED_PROCESS_RD","FQ2 2019","FQ2 2019","Currency=USD","Period=FQ","BEST_FPERIOD_OVERRIDE=FQ","FILING_STATUS=MR","SCALING_FORMAT=MLN","Sort=A","Dates=H","DateFormat=P","Fill=—","Direction=H","UseDPDF=Y")</f>
        <v>5</v>
      </c>
      <c r="D25" s="13" t="str">
        <f>_xll.BDH("NBIX US Equity","IS_ACQUIRED_PROCESS_RD","FQ3 2019","FQ3 2019","Currency=USD","Period=FQ","BEST_FPERIOD_OVERRIDE=FQ","FILING_STATUS=MR","SCALING_FORMAT=MLN","Sort=A","Dates=H","DateFormat=P","Fill=—","Direction=H","UseDPDF=Y")</f>
        <v>—</v>
      </c>
      <c r="E25" s="13">
        <f>_xll.BDH("NBIX US Equity","IS_ACQUIRED_PROCESS_RD","FQ4 2019","FQ4 2019","Currency=USD","Period=FQ","BEST_FPERIOD_OVERRIDE=FQ","FILING_STATUS=MR","SCALING_FORMAT=MLN","Sort=A","Dates=H","DateFormat=P","Fill=—","Direction=H","UseDPDF=Y")</f>
        <v>36.200000000000003</v>
      </c>
      <c r="F25" s="13" t="str">
        <f>_xll.BDH("NBIX US Equity","IS_ACQUIRED_PROCESS_RD","FQ1 2020","FQ1 2020","Currency=USD","Period=FQ","BEST_FPERIOD_OVERRIDE=FQ","FILING_STATUS=MR","SCALING_FORMAT=MLN","Sort=A","Dates=H","DateFormat=P","Fill=—","Direction=H","UseDPDF=Y")</f>
        <v>—</v>
      </c>
      <c r="G25" s="13">
        <f>_xll.BDH("NBIX US Equity","IS_ACQUIRED_PROCESS_RD","FQ2 2020","FQ2 2020","Currency=USD","Period=FQ","BEST_FPERIOD_OVERRIDE=FQ","FILING_STATUS=MR","SCALING_FORMAT=MLN","Sort=A","Dates=H","DateFormat=P","Fill=—","Direction=H","UseDPDF=Y")</f>
        <v>46</v>
      </c>
      <c r="H25" s="13">
        <f>_xll.BDH("NBIX US Equity","IS_ACQUIRED_PROCESS_RD","FQ3 2020","FQ3 2020","Currency=USD","Period=FQ","BEST_FPERIOD_OVERRIDE=FQ","FILING_STATUS=MR","SCALING_FORMAT=MLN","Sort=A","Dates=H","DateFormat=P","Fill=—","Direction=H","UseDPDF=Y")</f>
        <v>118.5</v>
      </c>
      <c r="I25" s="13" t="str">
        <f>_xll.BDH("NBIX US Equity","IS_ACQUIRED_PROCESS_RD","FQ4 2020","FQ4 2020","Currency=USD","Period=FQ","BEST_FPERIOD_OVERRIDE=FQ","FILING_STATUS=MR","SCALING_FORMAT=MLN","Sort=A","Dates=H","DateFormat=P","Fill=—","Direction=H","UseDPDF=Y")</f>
        <v>—</v>
      </c>
      <c r="J25" s="13" t="str">
        <f>_xll.BDH("NBIX US Equity","IS_ACQUIRED_PROCESS_RD","FQ1 2021","FQ1 2021","Currency=USD","Period=FQ","BEST_FPERIOD_OVERRIDE=FQ","FILING_STATUS=MR","SCALING_FORMAT=MLN","Sort=A","Dates=H","DateFormat=P","Fill=—","Direction=H","UseDPDF=Y")</f>
        <v>—</v>
      </c>
      <c r="K25" s="13">
        <f>_xll.BDH("NBIX US Equity","IS_ACQUIRED_PROCESS_RD","FQ2 2021","FQ2 2021","Currency=USD","Period=FQ","BEST_FPERIOD_OVERRIDE=FQ","FILING_STATUS=MR","SCALING_FORMAT=MLN","Sort=A","Dates=H","DateFormat=P","Fill=—","Direction=H","UseDPDF=Y")</f>
        <v>5</v>
      </c>
      <c r="L25" s="13" t="str">
        <f>_xll.BDH("NBIX US Equity","IS_ACQUIRED_PROCESS_RD","FQ3 2021","FQ3 2021","Currency=USD","Period=FQ","BEST_FPERIOD_OVERRIDE=FQ","FILING_STATUS=MR","SCALING_FORMAT=MLN","Sort=A","Dates=H","DateFormat=P","Fill=—","Direction=H","UseDPDF=Y")</f>
        <v>—</v>
      </c>
      <c r="M25" s="13">
        <f>_xll.BDH("NBIX US Equity","IS_ACQUIRED_PROCESS_RD","FQ4 2021","FQ4 2021","Currency=USD","Period=FQ","BEST_FPERIOD_OVERRIDE=FQ","FILING_STATUS=MR","SCALING_FORMAT=MLN","Sort=A","Dates=H","DateFormat=P","Fill=—","Direction=H","UseDPDF=Y")</f>
        <v>100.3</v>
      </c>
      <c r="N25" s="13" t="str">
        <f>_xll.BDH("NBIX US Equity","IS_ACQUIRED_PROCESS_RD","FQ1 2022","FQ1 2022","Currency=USD","Period=FQ","BEST_FPERIOD_OVERRIDE=FQ","FILING_STATUS=MR","SCALING_FORMAT=MLN","Sort=A","Dates=H","DateFormat=P","Fill=—","Direction=H","UseDPDF=Y")</f>
        <v>—</v>
      </c>
      <c r="O25" s="13" t="str">
        <f>_xll.BDH("NBIX US Equity","IS_ACQUIRED_PROCESS_RD","FQ2 2022","FQ2 2022","Currency=USD","Period=FQ","BEST_FPERIOD_OVERRIDE=FQ","FILING_STATUS=MR","SCALING_FORMAT=MLN","Sort=A","Dates=H","DateFormat=P","Fill=—","Direction=H","UseDPDF=Y")</f>
        <v>—</v>
      </c>
      <c r="P25" s="13" t="str">
        <f>_xll.BDH("NBIX US Equity","IS_ACQUIRED_PROCESS_RD","FQ3 2022","FQ3 2022","Currency=USD","Period=FQ","BEST_FPERIOD_OVERRIDE=FQ","FILING_STATUS=MR","SCALING_FORMAT=MLN","Sort=A","Dates=H","DateFormat=P","Fill=—","Direction=H","UseDPDF=Y")</f>
        <v>—</v>
      </c>
      <c r="Q25" s="13" t="str">
        <f>_xll.BDH("NBIX US Equity","IS_ACQUIRED_PROCESS_RD","FQ4 2022","FQ4 2022","Currency=USD","Period=FQ","BEST_FPERIOD_OVERRIDE=FQ","FILING_STATUS=MR","SCALING_FORMAT=MLN","Sort=A","Dates=H","DateFormat=P","Fill=—","Direction=H","UseDPDF=Y")</f>
        <v>—</v>
      </c>
      <c r="R25" s="13">
        <f>_xll.BDH("NBIX US Equity","IS_ACQUIRED_PROCESS_RD","FQ1 2023","FQ1 2023","Currency=USD","Period=FQ","BEST_FPERIOD_OVERRIDE=FQ","FILING_STATUS=MR","SCALING_FORMAT=MLN","Sort=A","Dates=H","DateFormat=P","Fill=—","Direction=H","UseDPDF=Y")</f>
        <v>143.9</v>
      </c>
      <c r="S25" s="13" t="str">
        <f>_xll.BDH("NBIX US Equity","IS_ACQUIRED_PROCESS_RD","FQ2 2023","FQ2 2023","Currency=USD","Period=FQ","BEST_FPERIOD_OVERRIDE=FQ","FILING_STATUS=MR","SCALING_FORMAT=MLN","Sort=A","Dates=H","DateFormat=P","Fill=—","Direction=H","UseDPDF=Y")</f>
        <v>—</v>
      </c>
      <c r="T25" s="13" t="str">
        <f>_xll.BDH("NBIX US Equity","IS_ACQUIRED_PROCESS_RD","FQ3 2023","FQ3 2023","Currency=USD","Period=FQ","BEST_FPERIOD_OVERRIDE=FQ","FILING_STATUS=MR","SCALING_FORMAT=MLN","Sort=A","Dates=H","DateFormat=P","Fill=—","Direction=H","UseDPDF=Y")</f>
        <v>—</v>
      </c>
      <c r="U25" s="13" t="str">
        <f>_xll.BDH("NBIX US Equity","IS_ACQUIRED_PROCESS_RD","FQ4 2023","FQ4 2023","Currency=USD","Period=FQ","BEST_FPERIOD_OVERRIDE=FQ","FILING_STATUS=MR","SCALING_FORMAT=MLN","Sort=A","Dates=H","DateFormat=P","Fill=—","Direction=H","UseDPDF=Y")</f>
        <v>—</v>
      </c>
      <c r="V25" s="13">
        <f>_xll.BDH("NBIX US Equity","IS_ACQUIRED_PROCESS_RD","FQ1 2024","FQ1 2024","Currency=USD","Period=FQ","BEST_FPERIOD_OVERRIDE=FQ","FILING_STATUS=MR","SCALING_FORMAT=MLN","Sort=A","Dates=H","DateFormat=P","Fill=—","Direction=H","UseDPDF=Y")</f>
        <v>6</v>
      </c>
      <c r="W25" s="13">
        <f>_xll.BDH("NBIX US Equity","IS_ACQUIRED_PROCESS_RD","FQ2 2024","FQ2 2024","Currency=USD","Period=FQ","BEST_FPERIOD_OVERRIDE=FQ","FILING_STATUS=MR","SCALING_FORMAT=MLN","Sort=A","Dates=H","DateFormat=P","Fill=—","Direction=H","UseDPDF=Y")</f>
        <v>2.5</v>
      </c>
      <c r="X25" s="13">
        <f>_xll.BDH("NBIX US Equity","IS_ACQUIRED_PROCESS_RD","FQ3 2024","FQ3 2024","Currency=USD","Period=FQ","BEST_FPERIOD_OVERRIDE=FQ","FILING_STATUS=MR","SCALING_FORMAT=MLN","Sort=A","Dates=H","DateFormat=P","Fill=—","Direction=H","UseDPDF=Y")</f>
        <v>1</v>
      </c>
      <c r="Y25" s="13">
        <f>_xll.BDH("NBIX US Equity","IS_ACQUIRED_PROCESS_RD","FQ4 2024","FQ4 2024","Currency=USD","Period=FQ","BEST_FPERIOD_OVERRIDE=FQ","FILING_STATUS=MR","SCALING_FORMAT=MLN","Sort=A","Dates=H","DateFormat=P","Fill=—","Direction=H","UseDPDF=Y")</f>
        <v>3</v>
      </c>
      <c r="Z25" s="13"/>
      <c r="AA25" s="13"/>
    </row>
    <row r="26" spans="1:27" x14ac:dyDescent="0.25">
      <c r="A26" s="10" t="s">
        <v>347</v>
      </c>
      <c r="B26" s="10" t="s">
        <v>348</v>
      </c>
      <c r="C26" s="13" t="str">
        <f>_xll.BDH("NBIX US Equity","IS_MERGER_ACQUISITION_EXPENSE","FQ2 2019","FQ2 2019","Currency=USD","Period=FQ","BEST_FPERIOD_OVERRIDE=FQ","FILING_STATUS=MR","SCALING_FORMAT=MLN","Sort=A","Dates=H","DateFormat=P","Fill=—","Direction=H","UseDPDF=Y")</f>
        <v>—</v>
      </c>
      <c r="D26" s="13" t="str">
        <f>_xll.BDH("NBIX US Equity","IS_MERGER_ACQUISITION_EXPENSE","FQ3 2019","FQ3 2019","Currency=USD","Period=FQ","BEST_FPERIOD_OVERRIDE=FQ","FILING_STATUS=MR","SCALING_FORMAT=MLN","Sort=A","Dates=H","DateFormat=P","Fill=—","Direction=H","UseDPDF=Y")</f>
        <v>—</v>
      </c>
      <c r="E26" s="13" t="str">
        <f>_xll.BDH("NBIX US Equity","IS_MERGER_ACQUISITION_EXPENSE","FQ4 2019","FQ4 2019","Currency=USD","Period=FQ","BEST_FPERIOD_OVERRIDE=FQ","FILING_STATUS=MR","SCALING_FORMAT=MLN","Sort=A","Dates=H","DateFormat=P","Fill=—","Direction=H","UseDPDF=Y")</f>
        <v>—</v>
      </c>
      <c r="F26" s="13" t="str">
        <f>_xll.BDH("NBIX US Equity","IS_MERGER_ACQUISITION_EXPENSE","FQ1 2020","FQ1 2020","Currency=USD","Period=FQ","BEST_FPERIOD_OVERRIDE=FQ","FILING_STATUS=MR","SCALING_FORMAT=MLN","Sort=A","Dates=H","DateFormat=P","Fill=—","Direction=H","UseDPDF=Y")</f>
        <v>—</v>
      </c>
      <c r="G26" s="13" t="str">
        <f>_xll.BDH("NBIX US Equity","IS_MERGER_ACQUISITION_EXPENSE","FQ2 2020","FQ2 2020","Currency=USD","Period=FQ","BEST_FPERIOD_OVERRIDE=FQ","FILING_STATUS=MR","SCALING_FORMAT=MLN","Sort=A","Dates=H","DateFormat=P","Fill=—","Direction=H","UseDPDF=Y")</f>
        <v>—</v>
      </c>
      <c r="H26" s="13" t="str">
        <f>_xll.BDH("NBIX US Equity","IS_MERGER_ACQUISITION_EXPENSE","FQ3 2020","FQ3 2020","Currency=USD","Period=FQ","BEST_FPERIOD_OVERRIDE=FQ","FILING_STATUS=MR","SCALING_FORMAT=MLN","Sort=A","Dates=H","DateFormat=P","Fill=—","Direction=H","UseDPDF=Y")</f>
        <v>—</v>
      </c>
      <c r="I26" s="13" t="str">
        <f>_xll.BDH("NBIX US Equity","IS_MERGER_ACQUISITION_EXPENSE","FQ4 2020","FQ4 2020","Currency=USD","Period=FQ","BEST_FPERIOD_OVERRIDE=FQ","FILING_STATUS=MR","SCALING_FORMAT=MLN","Sort=A","Dates=H","DateFormat=P","Fill=—","Direction=H","UseDPDF=Y")</f>
        <v>—</v>
      </c>
      <c r="J26" s="13" t="str">
        <f>_xll.BDH("NBIX US Equity","IS_MERGER_ACQUISITION_EXPENSE","FQ1 2021","FQ1 2021","Currency=USD","Period=FQ","BEST_FPERIOD_OVERRIDE=FQ","FILING_STATUS=MR","SCALING_FORMAT=MLN","Sort=A","Dates=H","DateFormat=P","Fill=—","Direction=H","UseDPDF=Y")</f>
        <v>—</v>
      </c>
      <c r="K26" s="13" t="str">
        <f>_xll.BDH("NBIX US Equity","IS_MERGER_ACQUISITION_EXPENSE","FQ2 2021","FQ2 2021","Currency=USD","Period=FQ","BEST_FPERIOD_OVERRIDE=FQ","FILING_STATUS=MR","SCALING_FORMAT=MLN","Sort=A","Dates=H","DateFormat=P","Fill=—","Direction=H","UseDPDF=Y")</f>
        <v>—</v>
      </c>
      <c r="L26" s="13" t="str">
        <f>_xll.BDH("NBIX US Equity","IS_MERGER_ACQUISITION_EXPENSE","FQ3 2021","FQ3 2021","Currency=USD","Period=FQ","BEST_FPERIOD_OVERRIDE=FQ","FILING_STATUS=MR","SCALING_FORMAT=MLN","Sort=A","Dates=H","DateFormat=P","Fill=—","Direction=H","UseDPDF=Y")</f>
        <v>—</v>
      </c>
      <c r="M26" s="13" t="str">
        <f>_xll.BDH("NBIX US Equity","IS_MERGER_ACQUISITION_EXPENSE","FQ4 2021","FQ4 2021","Currency=USD","Period=FQ","BEST_FPERIOD_OVERRIDE=FQ","FILING_STATUS=MR","SCALING_FORMAT=MLN","Sort=A","Dates=H","DateFormat=P","Fill=—","Direction=H","UseDPDF=Y")</f>
        <v>—</v>
      </c>
      <c r="N26" s="13" t="str">
        <f>_xll.BDH("NBIX US Equity","IS_MERGER_ACQUISITION_EXPENSE","FQ1 2022","FQ1 2022","Currency=USD","Period=FQ","BEST_FPERIOD_OVERRIDE=FQ","FILING_STATUS=MR","SCALING_FORMAT=MLN","Sort=A","Dates=H","DateFormat=P","Fill=—","Direction=H","UseDPDF=Y")</f>
        <v>—</v>
      </c>
      <c r="O26" s="13" t="str">
        <f>_xll.BDH("NBIX US Equity","IS_MERGER_ACQUISITION_EXPENSE","FQ2 2022","FQ2 2022","Currency=USD","Period=FQ","BEST_FPERIOD_OVERRIDE=FQ","FILING_STATUS=MR","SCALING_FORMAT=MLN","Sort=A","Dates=H","DateFormat=P","Fill=—","Direction=H","UseDPDF=Y")</f>
        <v>—</v>
      </c>
      <c r="P26" s="13" t="str">
        <f>_xll.BDH("NBIX US Equity","IS_MERGER_ACQUISITION_EXPENSE","FQ3 2022","FQ3 2022","Currency=USD","Period=FQ","BEST_FPERIOD_OVERRIDE=FQ","FILING_STATUS=MR","SCALING_FORMAT=MLN","Sort=A","Dates=H","DateFormat=P","Fill=—","Direction=H","UseDPDF=Y")</f>
        <v>—</v>
      </c>
      <c r="Q26" s="13">
        <f>_xll.BDH("NBIX US Equity","IS_MERGER_ACQUISITION_EXPENSE","FQ4 2022","FQ4 2022","Currency=USD","Period=FQ","BEST_FPERIOD_OVERRIDE=FQ","FILING_STATUS=MR","SCALING_FORMAT=MLN","Sort=A","Dates=H","DateFormat=P","Fill=—","Direction=H","UseDPDF=Y")</f>
        <v>1.7</v>
      </c>
      <c r="R26" s="13" t="str">
        <f>_xll.BDH("NBIX US Equity","IS_MERGER_ACQUISITION_EXPENSE","FQ1 2023","FQ1 2023","Currency=USD","Period=FQ","BEST_FPERIOD_OVERRIDE=FQ","FILING_STATUS=MR","SCALING_FORMAT=MLN","Sort=A","Dates=H","DateFormat=P","Fill=—","Direction=H","UseDPDF=Y")</f>
        <v>—</v>
      </c>
      <c r="S26" s="13" t="str">
        <f>_xll.BDH("NBIX US Equity","IS_MERGER_ACQUISITION_EXPENSE","FQ2 2023","FQ2 2023","Currency=USD","Period=FQ","BEST_FPERIOD_OVERRIDE=FQ","FILING_STATUS=MR","SCALING_FORMAT=MLN","Sort=A","Dates=H","DateFormat=P","Fill=—","Direction=H","UseDPDF=Y")</f>
        <v>—</v>
      </c>
      <c r="T26" s="13">
        <f>_xll.BDH("NBIX US Equity","IS_MERGER_ACQUISITION_EXPENSE","FQ3 2023","FQ3 2023","Currency=USD","Period=FQ","BEST_FPERIOD_OVERRIDE=FQ","FILING_STATUS=MR","SCALING_FORMAT=MLN","Sort=A","Dates=H","DateFormat=P","Fill=—","Direction=H","UseDPDF=Y")</f>
        <v>3.9</v>
      </c>
      <c r="U26" s="13" t="str">
        <f>_xll.BDH("NBIX US Equity","IS_MERGER_ACQUISITION_EXPENSE","FQ4 2023","FQ4 2023","Currency=USD","Period=FQ","BEST_FPERIOD_OVERRIDE=FQ","FILING_STATUS=MR","SCALING_FORMAT=MLN","Sort=A","Dates=H","DateFormat=P","Fill=—","Direction=H","UseDPDF=Y")</f>
        <v>—</v>
      </c>
      <c r="V26" s="13" t="str">
        <f>_xll.BDH("NBIX US Equity","IS_MERGER_ACQUISITION_EXPENSE","FQ1 2024","FQ1 2024","Currency=USD","Period=FQ","BEST_FPERIOD_OVERRIDE=FQ","FILING_STATUS=MR","SCALING_FORMAT=MLN","Sort=A","Dates=H","DateFormat=P","Fill=—","Direction=H","UseDPDF=Y")</f>
        <v>—</v>
      </c>
      <c r="W26" s="13" t="str">
        <f>_xll.BDH("NBIX US Equity","IS_MERGER_ACQUISITION_EXPENSE","FQ2 2024","FQ2 2024","Currency=USD","Period=FQ","BEST_FPERIOD_OVERRIDE=FQ","FILING_STATUS=MR","SCALING_FORMAT=MLN","Sort=A","Dates=H","DateFormat=P","Fill=—","Direction=H","UseDPDF=Y")</f>
        <v>—</v>
      </c>
      <c r="X26" s="13" t="str">
        <f>_xll.BDH("NBIX US Equity","IS_MERGER_ACQUISITION_EXPENSE","FQ3 2024","FQ3 2024","Currency=USD","Period=FQ","BEST_FPERIOD_OVERRIDE=FQ","FILING_STATUS=MR","SCALING_FORMAT=MLN","Sort=A","Dates=H","DateFormat=P","Fill=—","Direction=H","UseDPDF=Y")</f>
        <v>—</v>
      </c>
      <c r="Y26" s="13" t="str">
        <f>_xll.BDH("NBIX US Equity","IS_MERGER_ACQUISITION_EXPENSE","FQ4 2024","FQ4 2024","Currency=USD","Period=FQ","BEST_FPERIOD_OVERRIDE=FQ","FILING_STATUS=MR","SCALING_FORMAT=MLN","Sort=A","Dates=H","DateFormat=P","Fill=—","Direction=H","UseDPDF=Y")</f>
        <v>—</v>
      </c>
      <c r="Z26" s="13"/>
      <c r="AA26" s="13"/>
    </row>
    <row r="27" spans="1:27" x14ac:dyDescent="0.25">
      <c r="A27" s="10" t="s">
        <v>349</v>
      </c>
      <c r="B27" s="10" t="s">
        <v>350</v>
      </c>
      <c r="C27" s="13" t="str">
        <f>_xll.BDH("NBIX US Equity","IS_G_L_ON_EXT_DBT_OR_SETTLE_DBT","FQ2 2019","FQ2 2019","Currency=USD","Period=FQ","BEST_FPERIOD_OVERRIDE=FQ","FILING_STATUS=MR","SCALING_FORMAT=MLN","Sort=A","Dates=H","DateFormat=P","Fill=—","Direction=H","UseDPDF=Y")</f>
        <v>—</v>
      </c>
      <c r="D27" s="13" t="str">
        <f>_xll.BDH("NBIX US Equity","IS_G_L_ON_EXT_DBT_OR_SETTLE_DBT","FQ3 2019","FQ3 2019","Currency=USD","Period=FQ","BEST_FPERIOD_OVERRIDE=FQ","FILING_STATUS=MR","SCALING_FORMAT=MLN","Sort=A","Dates=H","DateFormat=P","Fill=—","Direction=H","UseDPDF=Y")</f>
        <v>—</v>
      </c>
      <c r="E27" s="13" t="str">
        <f>_xll.BDH("NBIX US Equity","IS_G_L_ON_EXT_DBT_OR_SETTLE_DBT","FQ4 2019","FQ4 2019","Currency=USD","Period=FQ","BEST_FPERIOD_OVERRIDE=FQ","FILING_STATUS=MR","SCALING_FORMAT=MLN","Sort=A","Dates=H","DateFormat=P","Fill=—","Direction=H","UseDPDF=Y")</f>
        <v>—</v>
      </c>
      <c r="F27" s="13" t="str">
        <f>_xll.BDH("NBIX US Equity","IS_G_L_ON_EXT_DBT_OR_SETTLE_DBT","FQ1 2020","FQ1 2020","Currency=USD","Period=FQ","BEST_FPERIOD_OVERRIDE=FQ","FILING_STATUS=MR","SCALING_FORMAT=MLN","Sort=A","Dates=H","DateFormat=P","Fill=—","Direction=H","UseDPDF=Y")</f>
        <v>—</v>
      </c>
      <c r="G27" s="13" t="str">
        <f>_xll.BDH("NBIX US Equity","IS_G_L_ON_EXT_DBT_OR_SETTLE_DBT","FQ2 2020","FQ2 2020","Currency=USD","Period=FQ","BEST_FPERIOD_OVERRIDE=FQ","FILING_STATUS=MR","SCALING_FORMAT=MLN","Sort=A","Dates=H","DateFormat=P","Fill=—","Direction=H","UseDPDF=Y")</f>
        <v>—</v>
      </c>
      <c r="H27" s="13" t="str">
        <f>_xll.BDH("NBIX US Equity","IS_G_L_ON_EXT_DBT_OR_SETTLE_DBT","FQ3 2020","FQ3 2020","Currency=USD","Period=FQ","BEST_FPERIOD_OVERRIDE=FQ","FILING_STATUS=MR","SCALING_FORMAT=MLN","Sort=A","Dates=H","DateFormat=P","Fill=—","Direction=H","UseDPDF=Y")</f>
        <v>—</v>
      </c>
      <c r="I27" s="13">
        <f>_xll.BDH("NBIX US Equity","IS_G_L_ON_EXT_DBT_OR_SETTLE_DBT","FQ4 2020","FQ4 2020","Currency=USD","Period=FQ","BEST_FPERIOD_OVERRIDE=FQ","FILING_STATUS=MR","SCALING_FORMAT=MLN","Sort=A","Dates=H","DateFormat=P","Fill=—","Direction=H","UseDPDF=Y")</f>
        <v>18.399999999999999</v>
      </c>
      <c r="J27" s="13" t="str">
        <f>_xll.BDH("NBIX US Equity","IS_G_L_ON_EXT_DBT_OR_SETTLE_DBT","FQ1 2021","FQ1 2021","Currency=USD","Period=FQ","BEST_FPERIOD_OVERRIDE=FQ","FILING_STATUS=MR","SCALING_FORMAT=MLN","Sort=A","Dates=H","DateFormat=P","Fill=—","Direction=H","UseDPDF=Y")</f>
        <v>—</v>
      </c>
      <c r="K27" s="13" t="str">
        <f>_xll.BDH("NBIX US Equity","IS_G_L_ON_EXT_DBT_OR_SETTLE_DBT","FQ2 2021","FQ2 2021","Currency=USD","Period=FQ","BEST_FPERIOD_OVERRIDE=FQ","FILING_STATUS=MR","SCALING_FORMAT=MLN","Sort=A","Dates=H","DateFormat=P","Fill=—","Direction=H","UseDPDF=Y")</f>
        <v>—</v>
      </c>
      <c r="L27" s="13" t="str">
        <f>_xll.BDH("NBIX US Equity","IS_G_L_ON_EXT_DBT_OR_SETTLE_DBT","FQ3 2021","FQ3 2021","Currency=USD","Period=FQ","BEST_FPERIOD_OVERRIDE=FQ","FILING_STATUS=MR","SCALING_FORMAT=MLN","Sort=A","Dates=H","DateFormat=P","Fill=—","Direction=H","UseDPDF=Y")</f>
        <v>—</v>
      </c>
      <c r="M27" s="13" t="str">
        <f>_xll.BDH("NBIX US Equity","IS_G_L_ON_EXT_DBT_OR_SETTLE_DBT","FQ4 2021","FQ4 2021","Currency=USD","Period=FQ","BEST_FPERIOD_OVERRIDE=FQ","FILING_STATUS=MR","SCALING_FORMAT=MLN","Sort=A","Dates=H","DateFormat=P","Fill=—","Direction=H","UseDPDF=Y")</f>
        <v>—</v>
      </c>
      <c r="N27" s="13" t="str">
        <f>_xll.BDH("NBIX US Equity","IS_G_L_ON_EXT_DBT_OR_SETTLE_DBT","FQ1 2022","FQ1 2022","Currency=USD","Period=FQ","BEST_FPERIOD_OVERRIDE=FQ","FILING_STATUS=MR","SCALING_FORMAT=MLN","Sort=A","Dates=H","DateFormat=P","Fill=—","Direction=H","UseDPDF=Y")</f>
        <v>—</v>
      </c>
      <c r="O27" s="13" t="str">
        <f>_xll.BDH("NBIX US Equity","IS_G_L_ON_EXT_DBT_OR_SETTLE_DBT","FQ2 2022","FQ2 2022","Currency=USD","Period=FQ","BEST_FPERIOD_OVERRIDE=FQ","FILING_STATUS=MR","SCALING_FORMAT=MLN","Sort=A","Dates=H","DateFormat=P","Fill=—","Direction=H","UseDPDF=Y")</f>
        <v>—</v>
      </c>
      <c r="P27" s="13" t="str">
        <f>_xll.BDH("NBIX US Equity","IS_G_L_ON_EXT_DBT_OR_SETTLE_DBT","FQ3 2022","FQ3 2022","Currency=USD","Period=FQ","BEST_FPERIOD_OVERRIDE=FQ","FILING_STATUS=MR","SCALING_FORMAT=MLN","Sort=A","Dates=H","DateFormat=P","Fill=—","Direction=H","UseDPDF=Y")</f>
        <v>—</v>
      </c>
      <c r="Q27" s="13" t="str">
        <f>_xll.BDH("NBIX US Equity","IS_G_L_ON_EXT_DBT_OR_SETTLE_DBT","FQ4 2022","FQ4 2022","Currency=USD","Period=FQ","BEST_FPERIOD_OVERRIDE=FQ","FILING_STATUS=MR","SCALING_FORMAT=MLN","Sort=A","Dates=H","DateFormat=P","Fill=—","Direction=H","UseDPDF=Y")</f>
        <v>—</v>
      </c>
      <c r="R27" s="13" t="str">
        <f>_xll.BDH("NBIX US Equity","IS_G_L_ON_EXT_DBT_OR_SETTLE_DBT","FQ1 2023","FQ1 2023","Currency=USD","Period=FQ","BEST_FPERIOD_OVERRIDE=FQ","FILING_STATUS=MR","SCALING_FORMAT=MLN","Sort=A","Dates=H","DateFormat=P","Fill=—","Direction=H","UseDPDF=Y")</f>
        <v>—</v>
      </c>
      <c r="S27" s="13" t="str">
        <f>_xll.BDH("NBIX US Equity","IS_G_L_ON_EXT_DBT_OR_SETTLE_DBT","FQ2 2023","FQ2 2023","Currency=USD","Period=FQ","BEST_FPERIOD_OVERRIDE=FQ","FILING_STATUS=MR","SCALING_FORMAT=MLN","Sort=A","Dates=H","DateFormat=P","Fill=—","Direction=H","UseDPDF=Y")</f>
        <v>—</v>
      </c>
      <c r="T27" s="13" t="str">
        <f>_xll.BDH("NBIX US Equity","IS_G_L_ON_EXT_DBT_OR_SETTLE_DBT","FQ3 2023","FQ3 2023","Currency=USD","Period=FQ","BEST_FPERIOD_OVERRIDE=FQ","FILING_STATUS=MR","SCALING_FORMAT=MLN","Sort=A","Dates=H","DateFormat=P","Fill=—","Direction=H","UseDPDF=Y")</f>
        <v>—</v>
      </c>
      <c r="U27" s="13" t="str">
        <f>_xll.BDH("NBIX US Equity","IS_G_L_ON_EXT_DBT_OR_SETTLE_DBT","FQ4 2023","FQ4 2023","Currency=USD","Period=FQ","BEST_FPERIOD_OVERRIDE=FQ","FILING_STATUS=MR","SCALING_FORMAT=MLN","Sort=A","Dates=H","DateFormat=P","Fill=—","Direction=H","UseDPDF=Y")</f>
        <v>—</v>
      </c>
      <c r="V27" s="13" t="str">
        <f>_xll.BDH("NBIX US Equity","IS_G_L_ON_EXT_DBT_OR_SETTLE_DBT","FQ1 2024","FQ1 2024","Currency=USD","Period=FQ","BEST_FPERIOD_OVERRIDE=FQ","FILING_STATUS=MR","SCALING_FORMAT=MLN","Sort=A","Dates=H","DateFormat=P","Fill=—","Direction=H","UseDPDF=Y")</f>
        <v>—</v>
      </c>
      <c r="W27" s="13" t="str">
        <f>_xll.BDH("NBIX US Equity","IS_G_L_ON_EXT_DBT_OR_SETTLE_DBT","FQ2 2024","FQ2 2024","Currency=USD","Period=FQ","BEST_FPERIOD_OVERRIDE=FQ","FILING_STATUS=MR","SCALING_FORMAT=MLN","Sort=A","Dates=H","DateFormat=P","Fill=—","Direction=H","UseDPDF=Y")</f>
        <v>—</v>
      </c>
      <c r="X27" s="13" t="str">
        <f>_xll.BDH("NBIX US Equity","IS_G_L_ON_EXT_DBT_OR_SETTLE_DBT","FQ3 2024","FQ3 2024","Currency=USD","Period=FQ","BEST_FPERIOD_OVERRIDE=FQ","FILING_STATUS=MR","SCALING_FORMAT=MLN","Sort=A","Dates=H","DateFormat=P","Fill=—","Direction=H","UseDPDF=Y")</f>
        <v>—</v>
      </c>
      <c r="Y27" s="13" t="str">
        <f>_xll.BDH("NBIX US Equity","IS_G_L_ON_EXT_DBT_OR_SETTLE_DBT","FQ4 2024","FQ4 2024","Currency=USD","Period=FQ","BEST_FPERIOD_OVERRIDE=FQ","FILING_STATUS=MR","SCALING_FORMAT=MLN","Sort=A","Dates=H","DateFormat=P","Fill=—","Direction=H","UseDPDF=Y")</f>
        <v>—</v>
      </c>
      <c r="Z27" s="13"/>
      <c r="AA27" s="13"/>
    </row>
    <row r="28" spans="1:27" x14ac:dyDescent="0.25">
      <c r="A28" s="10" t="s">
        <v>351</v>
      </c>
      <c r="B28" s="10" t="s">
        <v>352</v>
      </c>
      <c r="C28" s="13" t="str">
        <f>_xll.BDH("NBIX US Equity","IS_IMPAIR_OF_INTANG_ASSETS","FQ2 2019","FQ2 2019","Currency=USD","Period=FQ","BEST_FPERIOD_OVERRIDE=FQ","FILING_STATUS=MR","SCALING_FORMAT=MLN","Sort=A","Dates=H","DateFormat=P","Fill=—","Direction=H","UseDPDF=Y")</f>
        <v>—</v>
      </c>
      <c r="D28" s="13" t="str">
        <f>_xll.BDH("NBIX US Equity","IS_IMPAIR_OF_INTANG_ASSETS","FQ3 2019","FQ3 2019","Currency=USD","Period=FQ","BEST_FPERIOD_OVERRIDE=FQ","FILING_STATUS=MR","SCALING_FORMAT=MLN","Sort=A","Dates=H","DateFormat=P","Fill=—","Direction=H","UseDPDF=Y")</f>
        <v>—</v>
      </c>
      <c r="E28" s="13" t="str">
        <f>_xll.BDH("NBIX US Equity","IS_IMPAIR_OF_INTANG_ASSETS","FQ4 2019","FQ4 2019","Currency=USD","Period=FQ","BEST_FPERIOD_OVERRIDE=FQ","FILING_STATUS=MR","SCALING_FORMAT=MLN","Sort=A","Dates=H","DateFormat=P","Fill=—","Direction=H","UseDPDF=Y")</f>
        <v>—</v>
      </c>
      <c r="F28" s="13" t="str">
        <f>_xll.BDH("NBIX US Equity","IS_IMPAIR_OF_INTANG_ASSETS","FQ1 2020","FQ1 2020","Currency=USD","Period=FQ","BEST_FPERIOD_OVERRIDE=FQ","FILING_STATUS=MR","SCALING_FORMAT=MLN","Sort=A","Dates=H","DateFormat=P","Fill=—","Direction=H","UseDPDF=Y")</f>
        <v>—</v>
      </c>
      <c r="G28" s="13" t="str">
        <f>_xll.BDH("NBIX US Equity","IS_IMPAIR_OF_INTANG_ASSETS","FQ2 2020","FQ2 2020","Currency=USD","Period=FQ","BEST_FPERIOD_OVERRIDE=FQ","FILING_STATUS=MR","SCALING_FORMAT=MLN","Sort=A","Dates=H","DateFormat=P","Fill=—","Direction=H","UseDPDF=Y")</f>
        <v>—</v>
      </c>
      <c r="H28" s="13" t="str">
        <f>_xll.BDH("NBIX US Equity","IS_IMPAIR_OF_INTANG_ASSETS","FQ3 2020","FQ3 2020","Currency=USD","Period=FQ","BEST_FPERIOD_OVERRIDE=FQ","FILING_STATUS=MR","SCALING_FORMAT=MLN","Sort=A","Dates=H","DateFormat=P","Fill=—","Direction=H","UseDPDF=Y")</f>
        <v>—</v>
      </c>
      <c r="I28" s="13" t="str">
        <f>_xll.BDH("NBIX US Equity","IS_IMPAIR_OF_INTANG_ASSETS","FQ4 2020","FQ4 2020","Currency=USD","Period=FQ","BEST_FPERIOD_OVERRIDE=FQ","FILING_STATUS=MR","SCALING_FORMAT=MLN","Sort=A","Dates=H","DateFormat=P","Fill=—","Direction=H","UseDPDF=Y")</f>
        <v>—</v>
      </c>
      <c r="J28" s="13" t="str">
        <f>_xll.BDH("NBIX US Equity","IS_IMPAIR_OF_INTANG_ASSETS","FQ1 2021","FQ1 2021","Currency=USD","Period=FQ","BEST_FPERIOD_OVERRIDE=FQ","FILING_STATUS=MR","SCALING_FORMAT=MLN","Sort=A","Dates=H","DateFormat=P","Fill=—","Direction=H","UseDPDF=Y")</f>
        <v>—</v>
      </c>
      <c r="K28" s="13" t="str">
        <f>_xll.BDH("NBIX US Equity","IS_IMPAIR_OF_INTANG_ASSETS","FQ2 2021","FQ2 2021","Currency=USD","Period=FQ","BEST_FPERIOD_OVERRIDE=FQ","FILING_STATUS=MR","SCALING_FORMAT=MLN","Sort=A","Dates=H","DateFormat=P","Fill=—","Direction=H","UseDPDF=Y")</f>
        <v>—</v>
      </c>
      <c r="L28" s="13" t="str">
        <f>_xll.BDH("NBIX US Equity","IS_IMPAIR_OF_INTANG_ASSETS","FQ3 2021","FQ3 2021","Currency=USD","Period=FQ","BEST_FPERIOD_OVERRIDE=FQ","FILING_STATUS=MR","SCALING_FORMAT=MLN","Sort=A","Dates=H","DateFormat=P","Fill=—","Direction=H","UseDPDF=Y")</f>
        <v>—</v>
      </c>
      <c r="M28" s="13" t="str">
        <f>_xll.BDH("NBIX US Equity","IS_IMPAIR_OF_INTANG_ASSETS","FQ4 2021","FQ4 2021","Currency=USD","Period=FQ","BEST_FPERIOD_OVERRIDE=FQ","FILING_STATUS=MR","SCALING_FORMAT=MLN","Sort=A","Dates=H","DateFormat=P","Fill=—","Direction=H","UseDPDF=Y")</f>
        <v>—</v>
      </c>
      <c r="N28" s="13" t="str">
        <f>_xll.BDH("NBIX US Equity","IS_IMPAIR_OF_INTANG_ASSETS","FQ1 2022","FQ1 2022","Currency=USD","Period=FQ","BEST_FPERIOD_OVERRIDE=FQ","FILING_STATUS=MR","SCALING_FORMAT=MLN","Sort=A","Dates=H","DateFormat=P","Fill=—","Direction=H","UseDPDF=Y")</f>
        <v>—</v>
      </c>
      <c r="O28" s="13" t="str">
        <f>_xll.BDH("NBIX US Equity","IS_IMPAIR_OF_INTANG_ASSETS","FQ2 2022","FQ2 2022","Currency=USD","Period=FQ","BEST_FPERIOD_OVERRIDE=FQ","FILING_STATUS=MR","SCALING_FORMAT=MLN","Sort=A","Dates=H","DateFormat=P","Fill=—","Direction=H","UseDPDF=Y")</f>
        <v>—</v>
      </c>
      <c r="P28" s="13" t="str">
        <f>_xll.BDH("NBIX US Equity","IS_IMPAIR_OF_INTANG_ASSETS","FQ3 2022","FQ3 2022","Currency=USD","Period=FQ","BEST_FPERIOD_OVERRIDE=FQ","FILING_STATUS=MR","SCALING_FORMAT=MLN","Sort=A","Dates=H","DateFormat=P","Fill=—","Direction=H","UseDPDF=Y")</f>
        <v>—</v>
      </c>
      <c r="Q28" s="13" t="str">
        <f>_xll.BDH("NBIX US Equity","IS_IMPAIR_OF_INTANG_ASSETS","FQ4 2022","FQ4 2022","Currency=USD","Period=FQ","BEST_FPERIOD_OVERRIDE=FQ","FILING_STATUS=MR","SCALING_FORMAT=MLN","Sort=A","Dates=H","DateFormat=P","Fill=—","Direction=H","UseDPDF=Y")</f>
        <v>—</v>
      </c>
      <c r="R28" s="13" t="str">
        <f>_xll.BDH("NBIX US Equity","IS_IMPAIR_OF_INTANG_ASSETS","FQ1 2023","FQ1 2023","Currency=USD","Period=FQ","BEST_FPERIOD_OVERRIDE=FQ","FILING_STATUS=MR","SCALING_FORMAT=MLN","Sort=A","Dates=H","DateFormat=P","Fill=—","Direction=H","UseDPDF=Y")</f>
        <v>—</v>
      </c>
      <c r="S28" s="13" t="str">
        <f>_xll.BDH("NBIX US Equity","IS_IMPAIR_OF_INTANG_ASSETS","FQ2 2023","FQ2 2023","Currency=USD","Period=FQ","BEST_FPERIOD_OVERRIDE=FQ","FILING_STATUS=MR","SCALING_FORMAT=MLN","Sort=A","Dates=H","DateFormat=P","Fill=—","Direction=H","UseDPDF=Y")</f>
        <v>—</v>
      </c>
      <c r="T28" s="13" t="str">
        <f>_xll.BDH("NBIX US Equity","IS_IMPAIR_OF_INTANG_ASSETS","FQ3 2023","FQ3 2023","Currency=USD","Period=FQ","BEST_FPERIOD_OVERRIDE=FQ","FILING_STATUS=MR","SCALING_FORMAT=MLN","Sort=A","Dates=H","DateFormat=P","Fill=—","Direction=H","UseDPDF=Y")</f>
        <v>—</v>
      </c>
      <c r="U28" s="13" t="str">
        <f>_xll.BDH("NBIX US Equity","IS_IMPAIR_OF_INTANG_ASSETS","FQ4 2023","FQ4 2023","Currency=USD","Period=FQ","BEST_FPERIOD_OVERRIDE=FQ","FILING_STATUS=MR","SCALING_FORMAT=MLN","Sort=A","Dates=H","DateFormat=P","Fill=—","Direction=H","UseDPDF=Y")</f>
        <v>—</v>
      </c>
      <c r="V28" s="13" t="str">
        <f>_xll.BDH("NBIX US Equity","IS_IMPAIR_OF_INTANG_ASSETS","FQ1 2024","FQ1 2024","Currency=USD","Period=FQ","BEST_FPERIOD_OVERRIDE=FQ","FILING_STATUS=MR","SCALING_FORMAT=MLN","Sort=A","Dates=H","DateFormat=P","Fill=—","Direction=H","UseDPDF=Y")</f>
        <v>—</v>
      </c>
      <c r="W28" s="13">
        <f>_xll.BDH("NBIX US Equity","IS_IMPAIR_OF_INTANG_ASSETS","FQ2 2024","FQ2 2024","Currency=USD","Period=FQ","BEST_FPERIOD_OVERRIDE=FQ","FILING_STATUS=MR","SCALING_FORMAT=MLN","Sort=A","Dates=H","DateFormat=P","Fill=—","Direction=H","UseDPDF=Y")</f>
        <v>14</v>
      </c>
      <c r="X28" s="13" t="str">
        <f>_xll.BDH("NBIX US Equity","IS_IMPAIR_OF_INTANG_ASSETS","FQ3 2024","FQ3 2024","Currency=USD","Period=FQ","BEST_FPERIOD_OVERRIDE=FQ","FILING_STATUS=MR","SCALING_FORMAT=MLN","Sort=A","Dates=H","DateFormat=P","Fill=—","Direction=H","UseDPDF=Y")</f>
        <v>—</v>
      </c>
      <c r="Y28" s="13" t="str">
        <f>_xll.BDH("NBIX US Equity","IS_IMPAIR_OF_INTANG_ASSETS","FQ4 2024","FQ4 2024","Currency=USD","Period=FQ","BEST_FPERIOD_OVERRIDE=FQ","FILING_STATUS=MR","SCALING_FORMAT=MLN","Sort=A","Dates=H","DateFormat=P","Fill=—","Direction=H","UseDPDF=Y")</f>
        <v>—</v>
      </c>
      <c r="Z28" s="13"/>
      <c r="AA28" s="13"/>
    </row>
    <row r="29" spans="1:27" x14ac:dyDescent="0.25">
      <c r="A29" s="10" t="s">
        <v>353</v>
      </c>
      <c r="B29" s="10" t="s">
        <v>354</v>
      </c>
      <c r="C29" s="13">
        <f>_xll.BDH("NBIX US Equity","IS_UNREALIZED_INVESTMENTS","FQ2 2019","FQ2 2019","Currency=USD","Period=FQ","BEST_FPERIOD_OVERRIDE=FQ","FILING_STATUS=MR","SCALING_FORMAT=MLN","Sort=A","Dates=H","DateFormat=P","Fill=—","Direction=H","UseDPDF=Y")</f>
        <v>-20.965</v>
      </c>
      <c r="D29" s="13">
        <f>_xll.BDH("NBIX US Equity","IS_UNREALIZED_INVESTMENTS","FQ3 2019","FQ3 2019","Currency=USD","Period=FQ","BEST_FPERIOD_OVERRIDE=FQ","FILING_STATUS=MR","SCALING_FORMAT=MLN","Sort=A","Dates=H","DateFormat=P","Fill=—","Direction=H","UseDPDF=Y")</f>
        <v>28.45</v>
      </c>
      <c r="E29" s="13">
        <f>_xll.BDH("NBIX US Equity","IS_UNREALIZED_INVESTMENTS","FQ4 2019","FQ4 2019","Currency=USD","Period=FQ","BEST_FPERIOD_OVERRIDE=FQ","FILING_STATUS=MR","SCALING_FORMAT=MLN","Sort=A","Dates=H","DateFormat=P","Fill=—","Direction=H","UseDPDF=Y")</f>
        <v>7.2</v>
      </c>
      <c r="F29" s="13">
        <f>_xll.BDH("NBIX US Equity","IS_UNREALIZED_INVESTMENTS","FQ1 2020","FQ1 2020","Currency=USD","Period=FQ","BEST_FPERIOD_OVERRIDE=FQ","FILING_STATUS=MR","SCALING_FORMAT=MLN","Sort=A","Dates=H","DateFormat=P","Fill=—","Direction=H","UseDPDF=Y")</f>
        <v>16.5</v>
      </c>
      <c r="G29" s="13">
        <f>_xll.BDH("NBIX US Equity","IS_UNREALIZED_INVESTMENTS","FQ2 2020","FQ2 2020","Currency=USD","Period=FQ","BEST_FPERIOD_OVERRIDE=FQ","FILING_STATUS=MR","SCALING_FORMAT=MLN","Sort=A","Dates=H","DateFormat=P","Fill=—","Direction=H","UseDPDF=Y")</f>
        <v>-11.3</v>
      </c>
      <c r="H29" s="13">
        <f>_xll.BDH("NBIX US Equity","IS_UNREALIZED_INVESTMENTS","FQ3 2020","FQ3 2020","Currency=USD","Period=FQ","BEST_FPERIOD_OVERRIDE=FQ","FILING_STATUS=MR","SCALING_FORMAT=MLN","Sort=A","Dates=H","DateFormat=P","Fill=—","Direction=H","UseDPDF=Y")</f>
        <v>7</v>
      </c>
      <c r="I29" s="13">
        <f>_xll.BDH("NBIX US Equity","IS_UNREALIZED_INVESTMENTS","FQ4 2020","FQ4 2020","Currency=USD","Period=FQ","BEST_FPERIOD_OVERRIDE=FQ","FILING_STATUS=MR","SCALING_FORMAT=MLN","Sort=A","Dates=H","DateFormat=P","Fill=—","Direction=H","UseDPDF=Y")</f>
        <v>5.5</v>
      </c>
      <c r="J29" s="13">
        <f>_xll.BDH("NBIX US Equity","IS_UNREALIZED_INVESTMENTS","FQ1 2021","FQ1 2021","Currency=USD","Period=FQ","BEST_FPERIOD_OVERRIDE=FQ","FILING_STATUS=MR","SCALING_FORMAT=MLN","Sort=A","Dates=H","DateFormat=P","Fill=—","Direction=H","UseDPDF=Y")</f>
        <v>-0.7</v>
      </c>
      <c r="K29" s="13" t="str">
        <f>_xll.BDH("NBIX US Equity","IS_UNREALIZED_INVESTMENTS","FQ2 2021","FQ2 2021","Currency=USD","Period=FQ","BEST_FPERIOD_OVERRIDE=FQ","FILING_STATUS=MR","SCALING_FORMAT=MLN","Sort=A","Dates=H","DateFormat=P","Fill=—","Direction=H","UseDPDF=Y")</f>
        <v>—</v>
      </c>
      <c r="L29" s="13">
        <f>_xll.BDH("NBIX US Equity","IS_UNREALIZED_INVESTMENTS","FQ3 2021","FQ3 2021","Currency=USD","Period=FQ","BEST_FPERIOD_OVERRIDE=FQ","FILING_STATUS=MR","SCALING_FORMAT=MLN","Sort=A","Dates=H","DateFormat=P","Fill=—","Direction=H","UseDPDF=Y")</f>
        <v>8.1999999999999993</v>
      </c>
      <c r="M29" s="13">
        <f>_xll.BDH("NBIX US Equity","IS_UNREALIZED_INVESTMENTS","FQ4 2021","FQ4 2021","Currency=USD","Period=FQ","BEST_FPERIOD_OVERRIDE=FQ","FILING_STATUS=MR","SCALING_FORMAT=MLN","Sort=A","Dates=H","DateFormat=P","Fill=—","Direction=H","UseDPDF=Y")</f>
        <v>-28.4</v>
      </c>
      <c r="N29" s="13">
        <f>_xll.BDH("NBIX US Equity","IS_UNREALIZED_INVESTMENTS","FQ1 2022","FQ1 2022","Currency=USD","Period=FQ","BEST_FPERIOD_OVERRIDE=FQ","FILING_STATUS=MR","SCALING_FORMAT=MLN","Sort=A","Dates=H","DateFormat=P","Fill=—","Direction=H","UseDPDF=Y")</f>
        <v>-19.899999999999999</v>
      </c>
      <c r="O29" s="13">
        <f>_xll.BDH("NBIX US Equity","IS_UNREALIZED_INVESTMENTS","FQ2 2022","FQ2 2022","Currency=USD","Period=FQ","BEST_FPERIOD_OVERRIDE=FQ","FILING_STATUS=MR","SCALING_FORMAT=MLN","Sort=A","Dates=H","DateFormat=P","Fill=—","Direction=H","UseDPDF=Y")</f>
        <v>7.4</v>
      </c>
      <c r="P29" s="13">
        <f>_xll.BDH("NBIX US Equity","IS_UNREALIZED_INVESTMENTS","FQ3 2022","FQ3 2022","Currency=USD","Period=FQ","BEST_FPERIOD_OVERRIDE=FQ","FILING_STATUS=MR","SCALING_FORMAT=MLN","Sort=A","Dates=H","DateFormat=P","Fill=—","Direction=H","UseDPDF=Y")</f>
        <v>11.1</v>
      </c>
      <c r="Q29" s="13">
        <f>_xll.BDH("NBIX US Equity","IS_UNREALIZED_INVESTMENTS","FQ4 2022","FQ4 2022","Currency=USD","Period=FQ","BEST_FPERIOD_OVERRIDE=FQ","FILING_STATUS=MR","SCALING_FORMAT=MLN","Sort=A","Dates=H","DateFormat=P","Fill=—","Direction=H","UseDPDF=Y")</f>
        <v>-7.2</v>
      </c>
      <c r="R29" s="13">
        <f>_xll.BDH("NBIX US Equity","IS_UNREALIZED_INVESTMENTS","FQ1 2023","FQ1 2023","Currency=USD","Period=FQ","BEST_FPERIOD_OVERRIDE=FQ","FILING_STATUS=MR","SCALING_FORMAT=MLN","Sort=A","Dates=H","DateFormat=P","Fill=—","Direction=H","UseDPDF=Y")</f>
        <v>-2.2000000000000002</v>
      </c>
      <c r="S29" s="13">
        <f>_xll.BDH("NBIX US Equity","IS_UNREALIZED_INVESTMENTS","FQ2 2023","FQ2 2023","Currency=USD","Period=FQ","BEST_FPERIOD_OVERRIDE=FQ","FILING_STATUS=MR","SCALING_FORMAT=MLN","Sort=A","Dates=H","DateFormat=P","Fill=—","Direction=H","UseDPDF=Y")</f>
        <v>-37.299999999999997</v>
      </c>
      <c r="T29" s="13">
        <f>_xll.BDH("NBIX US Equity","IS_UNREALIZED_INVESTMENTS","FQ3 2023","FQ3 2023","Currency=USD","Period=FQ","BEST_FPERIOD_OVERRIDE=FQ","FILING_STATUS=MR","SCALING_FORMAT=MLN","Sort=A","Dates=H","DateFormat=P","Fill=—","Direction=H","UseDPDF=Y")</f>
        <v>40.1</v>
      </c>
      <c r="U29" s="13">
        <f>_xll.BDH("NBIX US Equity","IS_UNREALIZED_INVESTMENTS","FQ4 2023","FQ4 2023","Currency=USD","Period=FQ","BEST_FPERIOD_OVERRIDE=FQ","FILING_STATUS=MR","SCALING_FORMAT=MLN","Sort=A","Dates=H","DateFormat=P","Fill=—","Direction=H","UseDPDF=Y")</f>
        <v>-29</v>
      </c>
      <c r="V29" s="13">
        <f>_xll.BDH("NBIX US Equity","IS_UNREALIZED_INVESTMENTS","FQ1 2024","FQ1 2024","Currency=USD","Period=FQ","BEST_FPERIOD_OVERRIDE=FQ","FILING_STATUS=MR","SCALING_FORMAT=MLN","Sort=A","Dates=H","DateFormat=P","Fill=—","Direction=H","UseDPDF=Y")</f>
        <v>-1.6</v>
      </c>
      <c r="W29" s="13">
        <f>_xll.BDH("NBIX US Equity","IS_UNREALIZED_INVESTMENTS","FQ2 2024","FQ2 2024","Currency=USD","Period=FQ","BEST_FPERIOD_OVERRIDE=FQ","FILING_STATUS=MR","SCALING_FORMAT=MLN","Sort=A","Dates=H","DateFormat=P","Fill=—","Direction=H","UseDPDF=Y")</f>
        <v>19.899999999999999</v>
      </c>
      <c r="X29" s="13">
        <f>_xll.BDH("NBIX US Equity","IS_UNREALIZED_INVESTMENTS","FQ3 2024","FQ3 2024","Currency=USD","Period=FQ","BEST_FPERIOD_OVERRIDE=FQ","FILING_STATUS=MR","SCALING_FORMAT=MLN","Sort=A","Dates=H","DateFormat=P","Fill=—","Direction=H","UseDPDF=Y")</f>
        <v>16.899999999999999</v>
      </c>
      <c r="Y29" s="13">
        <f>_xll.BDH("NBIX US Equity","IS_UNREALIZED_INVESTMENTS","FQ4 2024","FQ4 2024","Currency=USD","Period=FQ","BEST_FPERIOD_OVERRIDE=FQ","FILING_STATUS=MR","SCALING_FORMAT=MLN","Sort=A","Dates=H","DateFormat=P","Fill=—","Direction=H","UseDPDF=Y")</f>
        <v>1.9</v>
      </c>
      <c r="Z29" s="13"/>
      <c r="AA29" s="13"/>
    </row>
    <row r="30" spans="1:27" x14ac:dyDescent="0.25">
      <c r="A30" s="10" t="s">
        <v>355</v>
      </c>
      <c r="B30" s="10" t="s">
        <v>356</v>
      </c>
      <c r="C30" s="13" t="str">
        <f>_xll.BDH("NBIX US Equity","IS_OTHER_ONE_TIME_ITEMS","FQ2 2019","FQ2 2019","Currency=USD","Period=FQ","BEST_FPERIOD_OVERRIDE=FQ","FILING_STATUS=MR","SCALING_FORMAT=MLN","Sort=A","Dates=H","DateFormat=P","Fill=—","Direction=H","UseDPDF=Y")</f>
        <v>—</v>
      </c>
      <c r="D30" s="13" t="str">
        <f>_xll.BDH("NBIX US Equity","IS_OTHER_ONE_TIME_ITEMS","FQ3 2019","FQ3 2019","Currency=USD","Period=FQ","BEST_FPERIOD_OVERRIDE=FQ","FILING_STATUS=MR","SCALING_FORMAT=MLN","Sort=A","Dates=H","DateFormat=P","Fill=—","Direction=H","UseDPDF=Y")</f>
        <v>—</v>
      </c>
      <c r="E30" s="13" t="str">
        <f>_xll.BDH("NBIX US Equity","IS_OTHER_ONE_TIME_ITEMS","FQ4 2019","FQ4 2019","Currency=USD","Period=FQ","BEST_FPERIOD_OVERRIDE=FQ","FILING_STATUS=MR","SCALING_FORMAT=MLN","Sort=A","Dates=H","DateFormat=P","Fill=—","Direction=H","UseDPDF=Y")</f>
        <v>—</v>
      </c>
      <c r="F30" s="13" t="str">
        <f>_xll.BDH("NBIX US Equity","IS_OTHER_ONE_TIME_ITEMS","FQ1 2020","FQ1 2020","Currency=USD","Period=FQ","BEST_FPERIOD_OVERRIDE=FQ","FILING_STATUS=MR","SCALING_FORMAT=MLN","Sort=A","Dates=H","DateFormat=P","Fill=—","Direction=H","UseDPDF=Y")</f>
        <v>—</v>
      </c>
      <c r="G30" s="13" t="str">
        <f>_xll.BDH("NBIX US Equity","IS_OTHER_ONE_TIME_ITEMS","FQ2 2020","FQ2 2020","Currency=USD","Period=FQ","BEST_FPERIOD_OVERRIDE=FQ","FILING_STATUS=MR","SCALING_FORMAT=MLN","Sort=A","Dates=H","DateFormat=P","Fill=—","Direction=H","UseDPDF=Y")</f>
        <v>—</v>
      </c>
      <c r="H30" s="13" t="str">
        <f>_xll.BDH("NBIX US Equity","IS_OTHER_ONE_TIME_ITEMS","FQ3 2020","FQ3 2020","Currency=USD","Period=FQ","BEST_FPERIOD_OVERRIDE=FQ","FILING_STATUS=MR","SCALING_FORMAT=MLN","Sort=A","Dates=H","DateFormat=P","Fill=—","Direction=H","UseDPDF=Y")</f>
        <v>—</v>
      </c>
      <c r="I30" s="13" t="str">
        <f>_xll.BDH("NBIX US Equity","IS_OTHER_ONE_TIME_ITEMS","FQ4 2020","FQ4 2020","Currency=USD","Period=FQ","BEST_FPERIOD_OVERRIDE=FQ","FILING_STATUS=MR","SCALING_FORMAT=MLN","Sort=A","Dates=H","DateFormat=P","Fill=—","Direction=H","UseDPDF=Y")</f>
        <v>—</v>
      </c>
      <c r="J30" s="13" t="str">
        <f>_xll.BDH("NBIX US Equity","IS_OTHER_ONE_TIME_ITEMS","FQ1 2021","FQ1 2021","Currency=USD","Period=FQ","BEST_FPERIOD_OVERRIDE=FQ","FILING_STATUS=MR","SCALING_FORMAT=MLN","Sort=A","Dates=H","DateFormat=P","Fill=—","Direction=H","UseDPDF=Y")</f>
        <v>—</v>
      </c>
      <c r="K30" s="13" t="str">
        <f>_xll.BDH("NBIX US Equity","IS_OTHER_ONE_TIME_ITEMS","FQ2 2021","FQ2 2021","Currency=USD","Period=FQ","BEST_FPERIOD_OVERRIDE=FQ","FILING_STATUS=MR","SCALING_FORMAT=MLN","Sort=A","Dates=H","DateFormat=P","Fill=—","Direction=H","UseDPDF=Y")</f>
        <v>—</v>
      </c>
      <c r="L30" s="13" t="str">
        <f>_xll.BDH("NBIX US Equity","IS_OTHER_ONE_TIME_ITEMS","FQ3 2021","FQ3 2021","Currency=USD","Period=FQ","BEST_FPERIOD_OVERRIDE=FQ","FILING_STATUS=MR","SCALING_FORMAT=MLN","Sort=A","Dates=H","DateFormat=P","Fill=—","Direction=H","UseDPDF=Y")</f>
        <v>—</v>
      </c>
      <c r="M30" s="13" t="str">
        <f>_xll.BDH("NBIX US Equity","IS_OTHER_ONE_TIME_ITEMS","FQ4 2021","FQ4 2021","Currency=USD","Period=FQ","BEST_FPERIOD_OVERRIDE=FQ","FILING_STATUS=MR","SCALING_FORMAT=MLN","Sort=A","Dates=H","DateFormat=P","Fill=—","Direction=H","UseDPDF=Y")</f>
        <v>—</v>
      </c>
      <c r="N30" s="13" t="str">
        <f>_xll.BDH("NBIX US Equity","IS_OTHER_ONE_TIME_ITEMS","FQ1 2022","FQ1 2022","Currency=USD","Period=FQ","BEST_FPERIOD_OVERRIDE=FQ","FILING_STATUS=MR","SCALING_FORMAT=MLN","Sort=A","Dates=H","DateFormat=P","Fill=—","Direction=H","UseDPDF=Y")</f>
        <v>—</v>
      </c>
      <c r="O30" s="13" t="str">
        <f>_xll.BDH("NBIX US Equity","IS_OTHER_ONE_TIME_ITEMS","FQ2 2022","FQ2 2022","Currency=USD","Period=FQ","BEST_FPERIOD_OVERRIDE=FQ","FILING_STATUS=MR","SCALING_FORMAT=MLN","Sort=A","Dates=H","DateFormat=P","Fill=—","Direction=H","UseDPDF=Y")</f>
        <v>—</v>
      </c>
      <c r="P30" s="13" t="str">
        <f>_xll.BDH("NBIX US Equity","IS_OTHER_ONE_TIME_ITEMS","FQ3 2022","FQ3 2022","Currency=USD","Period=FQ","BEST_FPERIOD_OVERRIDE=FQ","FILING_STATUS=MR","SCALING_FORMAT=MLN","Sort=A","Dates=H","DateFormat=P","Fill=—","Direction=H","UseDPDF=Y")</f>
        <v>—</v>
      </c>
      <c r="Q30" s="13" t="str">
        <f>_xll.BDH("NBIX US Equity","IS_OTHER_ONE_TIME_ITEMS","FQ4 2022","FQ4 2022","Currency=USD","Period=FQ","BEST_FPERIOD_OVERRIDE=FQ","FILING_STATUS=MR","SCALING_FORMAT=MLN","Sort=A","Dates=H","DateFormat=P","Fill=—","Direction=H","UseDPDF=Y")</f>
        <v>—</v>
      </c>
      <c r="R30" s="13" t="str">
        <f>_xll.BDH("NBIX US Equity","IS_OTHER_ONE_TIME_ITEMS","FQ1 2023","FQ1 2023","Currency=USD","Period=FQ","BEST_FPERIOD_OVERRIDE=FQ","FILING_STATUS=MR","SCALING_FORMAT=MLN","Sort=A","Dates=H","DateFormat=P","Fill=—","Direction=H","UseDPDF=Y")</f>
        <v>—</v>
      </c>
      <c r="S30" s="13" t="str">
        <f>_xll.BDH("NBIX US Equity","IS_OTHER_ONE_TIME_ITEMS","FQ2 2023","FQ2 2023","Currency=USD","Period=FQ","BEST_FPERIOD_OVERRIDE=FQ","FILING_STATUS=MR","SCALING_FORMAT=MLN","Sort=A","Dates=H","DateFormat=P","Fill=—","Direction=H","UseDPDF=Y")</f>
        <v>—</v>
      </c>
      <c r="T30" s="13" t="str">
        <f>_xll.BDH("NBIX US Equity","IS_OTHER_ONE_TIME_ITEMS","FQ3 2023","FQ3 2023","Currency=USD","Period=FQ","BEST_FPERIOD_OVERRIDE=FQ","FILING_STATUS=MR","SCALING_FORMAT=MLN","Sort=A","Dates=H","DateFormat=P","Fill=—","Direction=H","UseDPDF=Y")</f>
        <v>—</v>
      </c>
      <c r="U30" s="13" t="str">
        <f>_xll.BDH("NBIX US Equity","IS_OTHER_ONE_TIME_ITEMS","FQ4 2023","FQ4 2023","Currency=USD","Period=FQ","BEST_FPERIOD_OVERRIDE=FQ","FILING_STATUS=MR","SCALING_FORMAT=MLN","Sort=A","Dates=H","DateFormat=P","Fill=—","Direction=H","UseDPDF=Y")</f>
        <v>—</v>
      </c>
      <c r="V30" s="13" t="str">
        <f>_xll.BDH("NBIX US Equity","IS_OTHER_ONE_TIME_ITEMS","FQ1 2024","FQ1 2024","Currency=USD","Period=FQ","BEST_FPERIOD_OVERRIDE=FQ","FILING_STATUS=MR","SCALING_FORMAT=MLN","Sort=A","Dates=H","DateFormat=P","Fill=—","Direction=H","UseDPDF=Y")</f>
        <v>—</v>
      </c>
      <c r="W30" s="13">
        <f>_xll.BDH("NBIX US Equity","IS_OTHER_ONE_TIME_ITEMS","FQ2 2024","FQ2 2024","Currency=USD","Period=FQ","BEST_FPERIOD_OVERRIDE=FQ","FILING_STATUS=MR","SCALING_FORMAT=MLN","Sort=A","Dates=H","DateFormat=P","Fill=—","Direction=H","UseDPDF=Y")</f>
        <v>99.4</v>
      </c>
      <c r="X30" s="13" t="str">
        <f>_xll.BDH("NBIX US Equity","IS_OTHER_ONE_TIME_ITEMS","FQ3 2024","FQ3 2024","Currency=USD","Period=FQ","BEST_FPERIOD_OVERRIDE=FQ","FILING_STATUS=MR","SCALING_FORMAT=MLN","Sort=A","Dates=H","DateFormat=P","Fill=—","Direction=H","UseDPDF=Y")</f>
        <v>—</v>
      </c>
      <c r="Y30" s="13" t="str">
        <f>_xll.BDH("NBIX US Equity","IS_OTHER_ONE_TIME_ITEMS","FQ4 2024","FQ4 2024","Currency=USD","Period=FQ","BEST_FPERIOD_OVERRIDE=FQ","FILING_STATUS=MR","SCALING_FORMAT=MLN","Sort=A","Dates=H","DateFormat=P","Fill=—","Direction=H","UseDPDF=Y")</f>
        <v>—</v>
      </c>
      <c r="Z30" s="13"/>
      <c r="AA30" s="13"/>
    </row>
    <row r="31" spans="1:27" x14ac:dyDescent="0.25">
      <c r="A31" s="6" t="s">
        <v>357</v>
      </c>
      <c r="B31" s="6" t="s">
        <v>158</v>
      </c>
      <c r="C31" s="19">
        <f>_xll.BDH("NBIX US Equity","PRETAX_INC","FQ2 2019","FQ2 2019","Currency=USD","Period=FQ","BEST_FPERIOD_OVERRIDE=FQ","FILING_STATUS=MR","SCALING_FORMAT=MLN","FA_ADJUSTED=GAAP","Sort=A","Dates=H","DateFormat=P","Fill=—","Direction=H","UseDPDF=Y")</f>
        <v>52.091000000000001</v>
      </c>
      <c r="D31" s="19">
        <f>_xll.BDH("NBIX US Equity","PRETAX_INC","FQ3 2019","FQ3 2019","Currency=USD","Period=FQ","BEST_FPERIOD_OVERRIDE=FQ","FILING_STATUS=MR","SCALING_FORMAT=MLN","FA_ADJUSTED=GAAP","Sort=A","Dates=H","DateFormat=P","Fill=—","Direction=H","UseDPDF=Y")</f>
        <v>58.406999999999996</v>
      </c>
      <c r="E31" s="19">
        <f>_xll.BDH("NBIX US Equity","PRETAX_INC","FQ4 2019","FQ4 2019","Currency=USD","Period=FQ","BEST_FPERIOD_OVERRIDE=FQ","FILING_STATUS=MR","SCALING_FORMAT=MLN","FA_ADJUSTED=GAAP","Sort=A","Dates=H","DateFormat=P","Fill=—","Direction=H","UseDPDF=Y")</f>
        <v>38.6</v>
      </c>
      <c r="F31" s="19">
        <f>_xll.BDH("NBIX US Equity","PRETAX_INC","FQ1 2020","FQ1 2020","Currency=USD","Period=FQ","BEST_FPERIOD_OVERRIDE=FQ","FILING_STATUS=MR","SCALING_FORMAT=MLN","FA_ADJUSTED=GAAP","Sort=A","Dates=H","DateFormat=P","Fill=—","Direction=H","UseDPDF=Y")</f>
        <v>38.9</v>
      </c>
      <c r="G31" s="19">
        <f>_xll.BDH("NBIX US Equity","PRETAX_INC","FQ2 2020","FQ2 2020","Currency=USD","Period=FQ","BEST_FPERIOD_OVERRIDE=FQ","FILING_STATUS=MR","SCALING_FORMAT=MLN","FA_ADJUSTED=GAAP","Sort=A","Dates=H","DateFormat=P","Fill=—","Direction=H","UseDPDF=Y")</f>
        <v>83.2</v>
      </c>
      <c r="H31" s="19">
        <f>_xll.BDH("NBIX US Equity","PRETAX_INC","FQ3 2020","FQ3 2020","Currency=USD","Period=FQ","BEST_FPERIOD_OVERRIDE=FQ","FILING_STATUS=MR","SCALING_FORMAT=MLN","FA_ADJUSTED=GAAP","Sort=A","Dates=H","DateFormat=P","Fill=—","Direction=H","UseDPDF=Y")</f>
        <v>-57.1</v>
      </c>
      <c r="I31" s="19">
        <f>_xll.BDH("NBIX US Equity","PRETAX_INC","FQ4 2020","FQ4 2020","Currency=USD","Period=FQ","BEST_FPERIOD_OVERRIDE=FQ","FILING_STATUS=MR","SCALING_FORMAT=MLN","FA_ADJUSTED=GAAP","Sort=A","Dates=H","DateFormat=P","Fill=—","Direction=H","UseDPDF=Y")</f>
        <v>41.7</v>
      </c>
      <c r="J31" s="19">
        <f>_xll.BDH("NBIX US Equity","PRETAX_INC","FQ1 2021","FQ1 2021","Currency=USD","Period=FQ","BEST_FPERIOD_OVERRIDE=FQ","FILING_STATUS=MR","SCALING_FORMAT=MLN","FA_ADJUSTED=GAAP","Sort=A","Dates=H","DateFormat=P","Fill=—","Direction=H","UseDPDF=Y")</f>
        <v>27.2</v>
      </c>
      <c r="K31" s="19">
        <f>_xll.BDH("NBIX US Equity","PRETAX_INC","FQ2 2021","FQ2 2021","Currency=USD","Period=FQ","BEST_FPERIOD_OVERRIDE=FQ","FILING_STATUS=MR","SCALING_FORMAT=MLN","FA_ADJUSTED=GAAP","Sort=A","Dates=H","DateFormat=P","Fill=—","Direction=H","UseDPDF=Y")</f>
        <v>57.5</v>
      </c>
      <c r="L31" s="19">
        <f>_xll.BDH("NBIX US Equity","PRETAX_INC","FQ3 2021","FQ3 2021","Currency=USD","Period=FQ","BEST_FPERIOD_OVERRIDE=FQ","FILING_STATUS=MR","SCALING_FORMAT=MLN","FA_ADJUSTED=GAAP","Sort=A","Dates=H","DateFormat=P","Fill=—","Direction=H","UseDPDF=Y")</f>
        <v>30.5</v>
      </c>
      <c r="M31" s="19">
        <f>_xll.BDH("NBIX US Equity","PRETAX_INC","FQ4 2021","FQ4 2021","Currency=USD","Period=FQ","BEST_FPERIOD_OVERRIDE=FQ","FILING_STATUS=MR","SCALING_FORMAT=MLN","FA_ADJUSTED=GAAP","Sort=A","Dates=H","DateFormat=P","Fill=—","Direction=H","UseDPDF=Y")</f>
        <v>-13.8</v>
      </c>
      <c r="N31" s="19">
        <f>_xll.BDH("NBIX US Equity","PRETAX_INC","FQ1 2022","FQ1 2022","Currency=USD","Period=FQ","BEST_FPERIOD_OVERRIDE=FQ","FILING_STATUS=MR","SCALING_FORMAT=MLN","FA_ADJUSTED=GAAP","Sort=A","Dates=H","DateFormat=P","Fill=—","Direction=H","UseDPDF=Y")</f>
        <v>21.4</v>
      </c>
      <c r="O31" s="19">
        <f>_xll.BDH("NBIX US Equity","PRETAX_INC","FQ2 2022","FQ2 2022","Currency=USD","Period=FQ","BEST_FPERIOD_OVERRIDE=FQ","FILING_STATUS=MR","SCALING_FORMAT=MLN","FA_ADJUSTED=GAAP","Sort=A","Dates=H","DateFormat=P","Fill=—","Direction=H","UseDPDF=Y")</f>
        <v>-23.3</v>
      </c>
      <c r="P31" s="19">
        <f>_xll.BDH("NBIX US Equity","PRETAX_INC","FQ3 2022","FQ3 2022","Currency=USD","Period=FQ","BEST_FPERIOD_OVERRIDE=FQ","FILING_STATUS=MR","SCALING_FORMAT=MLN","FA_ADJUSTED=GAAP","Sort=A","Dates=H","DateFormat=P","Fill=—","Direction=H","UseDPDF=Y")</f>
        <v>97.9</v>
      </c>
      <c r="Q31" s="19">
        <f>_xll.BDH("NBIX US Equity","PRETAX_INC","FQ4 2022","FQ4 2022","Currency=USD","Period=FQ","BEST_FPERIOD_OVERRIDE=FQ","FILING_STATUS=MR","SCALING_FORMAT=MLN","FA_ADJUSTED=GAAP","Sort=A","Dates=H","DateFormat=P","Fill=—","Direction=H","UseDPDF=Y")</f>
        <v>117.9</v>
      </c>
      <c r="R31" s="19">
        <f>_xll.BDH("NBIX US Equity","PRETAX_INC","FQ1 2023","FQ1 2023","Currency=USD","Period=FQ","BEST_FPERIOD_OVERRIDE=FQ","FILING_STATUS=MR","SCALING_FORMAT=MLN","FA_ADJUSTED=GAAP","Sort=A","Dates=H","DateFormat=P","Fill=—","Direction=H","UseDPDF=Y")</f>
        <v>-103.3</v>
      </c>
      <c r="S31" s="19">
        <f>_xll.BDH("NBIX US Equity","PRETAX_INC","FQ2 2023","FQ2 2023","Currency=USD","Period=FQ","BEST_FPERIOD_OVERRIDE=FQ","FILING_STATUS=MR","SCALING_FORMAT=MLN","FA_ADJUSTED=GAAP","Sort=A","Dates=H","DateFormat=P","Fill=—","Direction=H","UseDPDF=Y")</f>
        <v>121.6</v>
      </c>
      <c r="T31" s="19">
        <f>_xll.BDH("NBIX US Equity","PRETAX_INC","FQ3 2023","FQ3 2023","Currency=USD","Period=FQ","BEST_FPERIOD_OVERRIDE=FQ","FILING_STATUS=MR","SCALING_FORMAT=MLN","FA_ADJUSTED=GAAP","Sort=A","Dates=H","DateFormat=P","Fill=—","Direction=H","UseDPDF=Y")</f>
        <v>115.6</v>
      </c>
      <c r="U31" s="19">
        <f>_xll.BDH("NBIX US Equity","PRETAX_INC","FQ4 2023","FQ4 2023","Currency=USD","Period=FQ","BEST_FPERIOD_OVERRIDE=FQ","FILING_STATUS=MR","SCALING_FORMAT=MLN","FA_ADJUSTED=GAAP","Sort=A","Dates=H","DateFormat=P","Fill=—","Direction=H","UseDPDF=Y")</f>
        <v>198.2</v>
      </c>
      <c r="V31" s="19">
        <f>_xll.BDH("NBIX US Equity","PRETAX_INC","FQ1 2024","FQ1 2024","Currency=USD","Period=FQ","BEST_FPERIOD_OVERRIDE=FQ","FILING_STATUS=MR","SCALING_FORMAT=MLN","FA_ADJUSTED=GAAP","Sort=A","Dates=H","DateFormat=P","Fill=—","Direction=H","UseDPDF=Y")</f>
        <v>34.5</v>
      </c>
      <c r="W31" s="19">
        <f>_xll.BDH("NBIX US Equity","PRETAX_INC","FQ2 2024","FQ2 2024","Currency=USD","Period=FQ","BEST_FPERIOD_OVERRIDE=FQ","FILING_STATUS=MR","SCALING_FORMAT=MLN","FA_ADJUSTED=GAAP","Sort=A","Dates=H","DateFormat=P","Fill=—","Direction=H","UseDPDF=Y")</f>
        <v>98.6</v>
      </c>
      <c r="X31" s="19">
        <f>_xll.BDH("NBIX US Equity","PRETAX_INC","FQ3 2024","FQ3 2024","Currency=USD","Period=FQ","BEST_FPERIOD_OVERRIDE=FQ","FILING_STATUS=MR","SCALING_FORMAT=MLN","FA_ADJUSTED=GAAP","Sort=A","Dates=H","DateFormat=P","Fill=—","Direction=H","UseDPDF=Y")</f>
        <v>190.3</v>
      </c>
      <c r="Y31" s="19">
        <f>_xll.BDH("NBIX US Equity","PRETAX_INC","FQ4 2024","FQ4 2024","Currency=USD","Period=FQ","BEST_FPERIOD_OVERRIDE=FQ","FILING_STATUS=MR","SCALING_FORMAT=MLN","FA_ADJUSTED=GAAP","Sort=A","Dates=H","DateFormat=P","Fill=—","Direction=H","UseDPDF=Y")</f>
        <v>162.6</v>
      </c>
      <c r="Z31" s="19">
        <v>112.71899999999999</v>
      </c>
      <c r="AA31" s="19">
        <v>130.94399999999999</v>
      </c>
    </row>
    <row r="32" spans="1:27" x14ac:dyDescent="0.25">
      <c r="A32" s="10" t="s">
        <v>358</v>
      </c>
      <c r="B32" s="10" t="s">
        <v>359</v>
      </c>
      <c r="C32" s="13">
        <f>_xll.BDH("NBIX US Equity","IS_INC_TAX_EXP","FQ2 2019","FQ2 2019","Currency=USD","Period=FQ","BEST_FPERIOD_OVERRIDE=FQ","FILING_STATUS=MR","SCALING_FORMAT=MLN","FA_ADJUSTED=GAAP","Sort=A","Dates=H","DateFormat=P","Fill=—","Direction=H","UseDPDF=Y")</f>
        <v>0.753</v>
      </c>
      <c r="D32" s="13">
        <f>_xll.BDH("NBIX US Equity","IS_INC_TAX_EXP","FQ3 2019","FQ3 2019","Currency=USD","Period=FQ","BEST_FPERIOD_OVERRIDE=FQ","FILING_STATUS=MR","SCALING_FORMAT=MLN","FA_ADJUSTED=GAAP","Sort=A","Dates=H","DateFormat=P","Fill=—","Direction=H","UseDPDF=Y")</f>
        <v>4.6180000000000003</v>
      </c>
      <c r="E32" s="13">
        <f>_xll.BDH("NBIX US Equity","IS_INC_TAX_EXP","FQ4 2019","FQ4 2019","Currency=USD","Period=FQ","BEST_FPERIOD_OVERRIDE=FQ","FILING_STATUS=MR","SCALING_FORMAT=MLN","FA_ADJUSTED=GAAP","Sort=A","Dates=H","DateFormat=P","Fill=—","Direction=H","UseDPDF=Y")</f>
        <v>4.5999999999999996</v>
      </c>
      <c r="F32" s="13">
        <f>_xll.BDH("NBIX US Equity","IS_INC_TAX_EXP","FQ1 2020","FQ1 2020","Currency=USD","Period=FQ","BEST_FPERIOD_OVERRIDE=FQ","FILING_STATUS=MR","SCALING_FORMAT=MLN","FA_ADJUSTED=GAAP","Sort=A","Dates=H","DateFormat=P","Fill=—","Direction=H","UseDPDF=Y")</f>
        <v>1.5</v>
      </c>
      <c r="G32" s="13">
        <f>_xll.BDH("NBIX US Equity","IS_INC_TAX_EXP","FQ2 2020","FQ2 2020","Currency=USD","Period=FQ","BEST_FPERIOD_OVERRIDE=FQ","FILING_STATUS=MR","SCALING_FORMAT=MLN","FA_ADJUSTED=GAAP","Sort=A","Dates=H","DateFormat=P","Fill=—","Direction=H","UseDPDF=Y")</f>
        <v>3.6</v>
      </c>
      <c r="H32" s="13">
        <f>_xll.BDH("NBIX US Equity","IS_INC_TAX_EXP","FQ3 2020","FQ3 2020","Currency=USD","Period=FQ","BEST_FPERIOD_OVERRIDE=FQ","FILING_STATUS=MR","SCALING_FORMAT=MLN","FA_ADJUSTED=GAAP","Sort=A","Dates=H","DateFormat=P","Fill=—","Direction=H","UseDPDF=Y")</f>
        <v>0.5</v>
      </c>
      <c r="I32" s="13">
        <f>_xll.BDH("NBIX US Equity","IS_INC_TAX_EXP","FQ4 2020","FQ4 2020","Currency=USD","Period=FQ","BEST_FPERIOD_OVERRIDE=FQ","FILING_STATUS=MR","SCALING_FORMAT=MLN","FA_ADJUSTED=GAAP","Sort=A","Dates=H","DateFormat=P","Fill=—","Direction=H","UseDPDF=Y")</f>
        <v>-306.2</v>
      </c>
      <c r="J32" s="13">
        <f>_xll.BDH("NBIX US Equity","IS_INC_TAX_EXP","FQ1 2021","FQ1 2021","Currency=USD","Period=FQ","BEST_FPERIOD_OVERRIDE=FQ","FILING_STATUS=MR","SCALING_FORMAT=MLN","FA_ADJUSTED=GAAP","Sort=A","Dates=H","DateFormat=P","Fill=—","Direction=H","UseDPDF=Y")</f>
        <v>-4.9000000000000004</v>
      </c>
      <c r="K32" s="13">
        <f>_xll.BDH("NBIX US Equity","IS_INC_TAX_EXP","FQ2 2021","FQ2 2021","Currency=USD","Period=FQ","BEST_FPERIOD_OVERRIDE=FQ","FILING_STATUS=MR","SCALING_FORMAT=MLN","FA_ADJUSTED=GAAP","Sort=A","Dates=H","DateFormat=P","Fill=—","Direction=H","UseDPDF=Y")</f>
        <v>15.2</v>
      </c>
      <c r="L32" s="13">
        <f>_xll.BDH("NBIX US Equity","IS_INC_TAX_EXP","FQ3 2021","FQ3 2021","Currency=USD","Period=FQ","BEST_FPERIOD_OVERRIDE=FQ","FILING_STATUS=MR","SCALING_FORMAT=MLN","FA_ADJUSTED=GAAP","Sort=A","Dates=H","DateFormat=P","Fill=—","Direction=H","UseDPDF=Y")</f>
        <v>8</v>
      </c>
      <c r="M32" s="13">
        <f>_xll.BDH("NBIX US Equity","IS_INC_TAX_EXP","FQ4 2021","FQ4 2021","Currency=USD","Period=FQ","BEST_FPERIOD_OVERRIDE=FQ","FILING_STATUS=MR","SCALING_FORMAT=MLN","FA_ADJUSTED=GAAP","Sort=A","Dates=H","DateFormat=P","Fill=—","Direction=H","UseDPDF=Y")</f>
        <v>-6.5</v>
      </c>
      <c r="N32" s="13">
        <f>_xll.BDH("NBIX US Equity","IS_INC_TAX_EXP","FQ1 2022","FQ1 2022","Currency=USD","Period=FQ","BEST_FPERIOD_OVERRIDE=FQ","FILING_STATUS=MR","SCALING_FORMAT=MLN","FA_ADJUSTED=GAAP","Sort=A","Dates=H","DateFormat=P","Fill=—","Direction=H","UseDPDF=Y")</f>
        <v>7.5</v>
      </c>
      <c r="O32" s="13">
        <f>_xll.BDH("NBIX US Equity","IS_INC_TAX_EXP","FQ2 2022","FQ2 2022","Currency=USD","Period=FQ","BEST_FPERIOD_OVERRIDE=FQ","FILING_STATUS=MR","SCALING_FORMAT=MLN","FA_ADJUSTED=GAAP","Sort=A","Dates=H","DateFormat=P","Fill=—","Direction=H","UseDPDF=Y")</f>
        <v>-6.4</v>
      </c>
      <c r="P32" s="13">
        <f>_xll.BDH("NBIX US Equity","IS_INC_TAX_EXP","FQ3 2022","FQ3 2022","Currency=USD","Period=FQ","BEST_FPERIOD_OVERRIDE=FQ","FILING_STATUS=MR","SCALING_FORMAT=MLN","FA_ADJUSTED=GAAP","Sort=A","Dates=H","DateFormat=P","Fill=—","Direction=H","UseDPDF=Y")</f>
        <v>29.4</v>
      </c>
      <c r="Q32" s="13">
        <f>_xll.BDH("NBIX US Equity","IS_INC_TAX_EXP","FQ4 2022","FQ4 2022","Currency=USD","Period=FQ","BEST_FPERIOD_OVERRIDE=FQ","FILING_STATUS=MR","SCALING_FORMAT=MLN","FA_ADJUSTED=GAAP","Sort=A","Dates=H","DateFormat=P","Fill=—","Direction=H","UseDPDF=Y")</f>
        <v>28.9</v>
      </c>
      <c r="R32" s="13">
        <f>_xll.BDH("NBIX US Equity","IS_INC_TAX_EXP","FQ1 2023","FQ1 2023","Currency=USD","Period=FQ","BEST_FPERIOD_OVERRIDE=FQ","FILING_STATUS=MR","SCALING_FORMAT=MLN","FA_ADJUSTED=GAAP","Sort=A","Dates=H","DateFormat=P","Fill=—","Direction=H","UseDPDF=Y")</f>
        <v>-26.7</v>
      </c>
      <c r="S32" s="13">
        <f>_xll.BDH("NBIX US Equity","IS_INC_TAX_EXP","FQ2 2023","FQ2 2023","Currency=USD","Period=FQ","BEST_FPERIOD_OVERRIDE=FQ","FILING_STATUS=MR","SCALING_FORMAT=MLN","FA_ADJUSTED=GAAP","Sort=A","Dates=H","DateFormat=P","Fill=—","Direction=H","UseDPDF=Y")</f>
        <v>26.1</v>
      </c>
      <c r="T32" s="13">
        <f>_xll.BDH("NBIX US Equity","IS_INC_TAX_EXP","FQ3 2023","FQ3 2023","Currency=USD","Period=FQ","BEST_FPERIOD_OVERRIDE=FQ","FILING_STATUS=MR","SCALING_FORMAT=MLN","FA_ADJUSTED=GAAP","Sort=A","Dates=H","DateFormat=P","Fill=—","Direction=H","UseDPDF=Y")</f>
        <v>32.5</v>
      </c>
      <c r="U32" s="13">
        <f>_xll.BDH("NBIX US Equity","IS_INC_TAX_EXP","FQ4 2023","FQ4 2023","Currency=USD","Period=FQ","BEST_FPERIOD_OVERRIDE=FQ","FILING_STATUS=MR","SCALING_FORMAT=MLN","FA_ADJUSTED=GAAP","Sort=A","Dates=H","DateFormat=P","Fill=—","Direction=H","UseDPDF=Y")</f>
        <v>50.5</v>
      </c>
      <c r="V32" s="13">
        <f>_xll.BDH("NBIX US Equity","IS_INC_TAX_EXP","FQ1 2024","FQ1 2024","Currency=USD","Period=FQ","BEST_FPERIOD_OVERRIDE=FQ","FILING_STATUS=MR","SCALING_FORMAT=MLN","FA_ADJUSTED=GAAP","Sort=A","Dates=H","DateFormat=P","Fill=—","Direction=H","UseDPDF=Y")</f>
        <v>-8.9</v>
      </c>
      <c r="W32" s="13">
        <f>_xll.BDH("NBIX US Equity","IS_INC_TAX_EXP","FQ2 2024","FQ2 2024","Currency=USD","Period=FQ","BEST_FPERIOD_OVERRIDE=FQ","FILING_STATUS=MR","SCALING_FORMAT=MLN","FA_ADJUSTED=GAAP","Sort=A","Dates=H","DateFormat=P","Fill=—","Direction=H","UseDPDF=Y")</f>
        <v>33.6</v>
      </c>
      <c r="X32" s="13">
        <f>_xll.BDH("NBIX US Equity","IS_INC_TAX_EXP","FQ3 2024","FQ3 2024","Currency=USD","Period=FQ","BEST_FPERIOD_OVERRIDE=FQ","FILING_STATUS=MR","SCALING_FORMAT=MLN","FA_ADJUSTED=GAAP","Sort=A","Dates=H","DateFormat=P","Fill=—","Direction=H","UseDPDF=Y")</f>
        <v>60.5</v>
      </c>
      <c r="Y32" s="13">
        <f>_xll.BDH("NBIX US Equity","IS_INC_TAX_EXP","FQ4 2024","FQ4 2024","Currency=USD","Period=FQ","BEST_FPERIOD_OVERRIDE=FQ","FILING_STATUS=MR","SCALING_FORMAT=MLN","FA_ADJUSTED=GAAP","Sort=A","Dates=H","DateFormat=P","Fill=—","Direction=H","UseDPDF=Y")</f>
        <v>59.5</v>
      </c>
      <c r="Z32" s="13"/>
      <c r="AA32" s="13"/>
    </row>
    <row r="33" spans="1:27" x14ac:dyDescent="0.25">
      <c r="A33" s="10" t="s">
        <v>360</v>
      </c>
      <c r="B33" s="10" t="s">
        <v>361</v>
      </c>
      <c r="C33" s="13" t="str">
        <f>_xll.BDH("NBIX US Equity","IS_CURRENT_INCOME_TAX_BENEFIT","FQ2 2019","FQ2 2019","Currency=USD","Period=FQ","BEST_FPERIOD_OVERRIDE=FQ","FILING_STATUS=MR","SCALING_FORMAT=MLN","Sort=A","Dates=H","DateFormat=P","Fill=—","Direction=H","UseDPDF=Y")</f>
        <v>—</v>
      </c>
      <c r="D33" s="13" t="str">
        <f>_xll.BDH("NBIX US Equity","IS_CURRENT_INCOME_TAX_BENEFIT","FQ3 2019","FQ3 2019","Currency=USD","Period=FQ","BEST_FPERIOD_OVERRIDE=FQ","FILING_STATUS=MR","SCALING_FORMAT=MLN","Sort=A","Dates=H","DateFormat=P","Fill=—","Direction=H","UseDPDF=Y")</f>
        <v>—</v>
      </c>
      <c r="E33" s="13" t="str">
        <f>_xll.BDH("NBIX US Equity","IS_CURRENT_INCOME_TAX_BENEFIT","FQ4 2019","FQ4 2019","Currency=USD","Period=FQ","BEST_FPERIOD_OVERRIDE=FQ","FILING_STATUS=MR","SCALING_FORMAT=MLN","Sort=A","Dates=H","DateFormat=P","Fill=—","Direction=H","UseDPDF=Y")</f>
        <v>—</v>
      </c>
      <c r="F33" s="13" t="str">
        <f>_xll.BDH("NBIX US Equity","IS_CURRENT_INCOME_TAX_BENEFIT","FQ1 2020","FQ1 2020","Currency=USD","Period=FQ","BEST_FPERIOD_OVERRIDE=FQ","FILING_STATUS=MR","SCALING_FORMAT=MLN","Sort=A","Dates=H","DateFormat=P","Fill=—","Direction=H","UseDPDF=Y")</f>
        <v>—</v>
      </c>
      <c r="G33" s="13" t="str">
        <f>_xll.BDH("NBIX US Equity","IS_CURRENT_INCOME_TAX_BENEFIT","FQ2 2020","FQ2 2020","Currency=USD","Period=FQ","BEST_FPERIOD_OVERRIDE=FQ","FILING_STATUS=MR","SCALING_FORMAT=MLN","Sort=A","Dates=H","DateFormat=P","Fill=—","Direction=H","UseDPDF=Y")</f>
        <v>—</v>
      </c>
      <c r="H33" s="13" t="str">
        <f>_xll.BDH("NBIX US Equity","IS_CURRENT_INCOME_TAX_BENEFIT","FQ3 2020","FQ3 2020","Currency=USD","Period=FQ","BEST_FPERIOD_OVERRIDE=FQ","FILING_STATUS=MR","SCALING_FORMAT=MLN","Sort=A","Dates=H","DateFormat=P","Fill=—","Direction=H","UseDPDF=Y")</f>
        <v>—</v>
      </c>
      <c r="I33" s="13" t="str">
        <f>_xll.BDH("NBIX US Equity","IS_CURRENT_INCOME_TAX_BENEFIT","FQ4 2020","FQ4 2020","Currency=USD","Period=FQ","BEST_FPERIOD_OVERRIDE=FQ","FILING_STATUS=MR","SCALING_FORMAT=MLN","Sort=A","Dates=H","DateFormat=P","Fill=—","Direction=H","UseDPDF=Y")</f>
        <v>—</v>
      </c>
      <c r="J33" s="13" t="str">
        <f>_xll.BDH("NBIX US Equity","IS_CURRENT_INCOME_TAX_BENEFIT","FQ1 2021","FQ1 2021","Currency=USD","Period=FQ","BEST_FPERIOD_OVERRIDE=FQ","FILING_STATUS=MR","SCALING_FORMAT=MLN","Sort=A","Dates=H","DateFormat=P","Fill=—","Direction=H","UseDPDF=Y")</f>
        <v>—</v>
      </c>
      <c r="K33" s="13" t="str">
        <f>_xll.BDH("NBIX US Equity","IS_CURRENT_INCOME_TAX_BENEFIT","FQ2 2021","FQ2 2021","Currency=USD","Period=FQ","BEST_FPERIOD_OVERRIDE=FQ","FILING_STATUS=MR","SCALING_FORMAT=MLN","Sort=A","Dates=H","DateFormat=P","Fill=—","Direction=H","UseDPDF=Y")</f>
        <v>—</v>
      </c>
      <c r="L33" s="13" t="str">
        <f>_xll.BDH("NBIX US Equity","IS_CURRENT_INCOME_TAX_BENEFIT","FQ3 2021","FQ3 2021","Currency=USD","Period=FQ","BEST_FPERIOD_OVERRIDE=FQ","FILING_STATUS=MR","SCALING_FORMAT=MLN","Sort=A","Dates=H","DateFormat=P","Fill=—","Direction=H","UseDPDF=Y")</f>
        <v>—</v>
      </c>
      <c r="M33" s="13" t="str">
        <f>_xll.BDH("NBIX US Equity","IS_CURRENT_INCOME_TAX_BENEFIT","FQ4 2021","FQ4 2021","Currency=USD","Period=FQ","BEST_FPERIOD_OVERRIDE=FQ","FILING_STATUS=MR","SCALING_FORMAT=MLN","Sort=A","Dates=H","DateFormat=P","Fill=—","Direction=H","UseDPDF=Y")</f>
        <v>—</v>
      </c>
      <c r="N33" s="13" t="str">
        <f>_xll.BDH("NBIX US Equity","IS_CURRENT_INCOME_TAX_BENEFIT","FQ1 2022","FQ1 2022","Currency=USD","Period=FQ","BEST_FPERIOD_OVERRIDE=FQ","FILING_STATUS=MR","SCALING_FORMAT=MLN","Sort=A","Dates=H","DateFormat=P","Fill=—","Direction=H","UseDPDF=Y")</f>
        <v>—</v>
      </c>
      <c r="O33" s="13" t="str">
        <f>_xll.BDH("NBIX US Equity","IS_CURRENT_INCOME_TAX_BENEFIT","FQ2 2022","FQ2 2022","Currency=USD","Period=FQ","BEST_FPERIOD_OVERRIDE=FQ","FILING_STATUS=MR","SCALING_FORMAT=MLN","Sort=A","Dates=H","DateFormat=P","Fill=—","Direction=H","UseDPDF=Y")</f>
        <v>—</v>
      </c>
      <c r="P33" s="13" t="str">
        <f>_xll.BDH("NBIX US Equity","IS_CURRENT_INCOME_TAX_BENEFIT","FQ3 2022","FQ3 2022","Currency=USD","Period=FQ","BEST_FPERIOD_OVERRIDE=FQ","FILING_STATUS=MR","SCALING_FORMAT=MLN","Sort=A","Dates=H","DateFormat=P","Fill=—","Direction=H","UseDPDF=Y")</f>
        <v>—</v>
      </c>
      <c r="Q33" s="13" t="str">
        <f>_xll.BDH("NBIX US Equity","IS_CURRENT_INCOME_TAX_BENEFIT","FQ4 2022","FQ4 2022","Currency=USD","Period=FQ","BEST_FPERIOD_OVERRIDE=FQ","FILING_STATUS=MR","SCALING_FORMAT=MLN","Sort=A","Dates=H","DateFormat=P","Fill=—","Direction=H","UseDPDF=Y")</f>
        <v>—</v>
      </c>
      <c r="R33" s="13" t="str">
        <f>_xll.BDH("NBIX US Equity","IS_CURRENT_INCOME_TAX_BENEFIT","FQ1 2023","FQ1 2023","Currency=USD","Period=FQ","BEST_FPERIOD_OVERRIDE=FQ","FILING_STATUS=MR","SCALING_FORMAT=MLN","Sort=A","Dates=H","DateFormat=P","Fill=—","Direction=H","UseDPDF=Y")</f>
        <v>—</v>
      </c>
      <c r="S33" s="13" t="str">
        <f>_xll.BDH("NBIX US Equity","IS_CURRENT_INCOME_TAX_BENEFIT","FQ2 2023","FQ2 2023","Currency=USD","Period=FQ","BEST_FPERIOD_OVERRIDE=FQ","FILING_STATUS=MR","SCALING_FORMAT=MLN","Sort=A","Dates=H","DateFormat=P","Fill=—","Direction=H","UseDPDF=Y")</f>
        <v>—</v>
      </c>
      <c r="T33" s="13" t="str">
        <f>_xll.BDH("NBIX US Equity","IS_CURRENT_INCOME_TAX_BENEFIT","FQ3 2023","FQ3 2023","Currency=USD","Period=FQ","BEST_FPERIOD_OVERRIDE=FQ","FILING_STATUS=MR","SCALING_FORMAT=MLN","Sort=A","Dates=H","DateFormat=P","Fill=—","Direction=H","UseDPDF=Y")</f>
        <v>—</v>
      </c>
      <c r="U33" s="13" t="str">
        <f>_xll.BDH("NBIX US Equity","IS_CURRENT_INCOME_TAX_BENEFIT","FQ4 2023","FQ4 2023","Currency=USD","Period=FQ","BEST_FPERIOD_OVERRIDE=FQ","FILING_STATUS=MR","SCALING_FORMAT=MLN","Sort=A","Dates=H","DateFormat=P","Fill=—","Direction=H","UseDPDF=Y")</f>
        <v>—</v>
      </c>
      <c r="V33" s="13" t="str">
        <f>_xll.BDH("NBIX US Equity","IS_CURRENT_INCOME_TAX_BENEFIT","FQ1 2024","FQ1 2024","Currency=USD","Period=FQ","BEST_FPERIOD_OVERRIDE=FQ","FILING_STATUS=MR","SCALING_FORMAT=MLN","Sort=A","Dates=H","DateFormat=P","Fill=—","Direction=H","UseDPDF=Y")</f>
        <v>—</v>
      </c>
      <c r="W33" s="13" t="str">
        <f>_xll.BDH("NBIX US Equity","IS_CURRENT_INCOME_TAX_BENEFIT","FQ2 2024","FQ2 2024","Currency=USD","Period=FQ","BEST_FPERIOD_OVERRIDE=FQ","FILING_STATUS=MR","SCALING_FORMAT=MLN","Sort=A","Dates=H","DateFormat=P","Fill=—","Direction=H","UseDPDF=Y")</f>
        <v>—</v>
      </c>
      <c r="X33" s="13" t="str">
        <f>_xll.BDH("NBIX US Equity","IS_CURRENT_INCOME_TAX_BENEFIT","FQ3 2024","FQ3 2024","Currency=USD","Period=FQ","BEST_FPERIOD_OVERRIDE=FQ","FILING_STATUS=MR","SCALING_FORMAT=MLN","Sort=A","Dates=H","DateFormat=P","Fill=—","Direction=H","UseDPDF=Y")</f>
        <v>—</v>
      </c>
      <c r="Y33" s="13" t="str">
        <f>_xll.BDH("NBIX US Equity","IS_CURRENT_INCOME_TAX_BENEFIT","FQ4 2024","FQ4 2024","Currency=USD","Period=FQ","BEST_FPERIOD_OVERRIDE=FQ","FILING_STATUS=MR","SCALING_FORMAT=MLN","Sort=A","Dates=H","DateFormat=P","Fill=—","Direction=H","UseDPDF=Y")</f>
        <v>—</v>
      </c>
      <c r="Z33" s="13"/>
      <c r="AA33" s="13"/>
    </row>
    <row r="34" spans="1:27" x14ac:dyDescent="0.25">
      <c r="A34" s="10" t="s">
        <v>362</v>
      </c>
      <c r="B34" s="10" t="s">
        <v>363</v>
      </c>
      <c r="C34" s="13" t="str">
        <f>_xll.BDH("NBIX US Equity","IS_DEFERRED_INCOME_TAX_BENEFIT","FQ2 2019","FQ2 2019","Currency=USD","Period=FQ","BEST_FPERIOD_OVERRIDE=FQ","FILING_STATUS=MR","SCALING_FORMAT=MLN","Sort=A","Dates=H","DateFormat=P","Fill=—","Direction=H","UseDPDF=Y")</f>
        <v>—</v>
      </c>
      <c r="D34" s="13" t="str">
        <f>_xll.BDH("NBIX US Equity","IS_DEFERRED_INCOME_TAX_BENEFIT","FQ3 2019","FQ3 2019","Currency=USD","Period=FQ","BEST_FPERIOD_OVERRIDE=FQ","FILING_STATUS=MR","SCALING_FORMAT=MLN","Sort=A","Dates=H","DateFormat=P","Fill=—","Direction=H","UseDPDF=Y")</f>
        <v>—</v>
      </c>
      <c r="E34" s="13" t="str">
        <f>_xll.BDH("NBIX US Equity","IS_DEFERRED_INCOME_TAX_BENEFIT","FQ4 2019","FQ4 2019","Currency=USD","Period=FQ","BEST_FPERIOD_OVERRIDE=FQ","FILING_STATUS=MR","SCALING_FORMAT=MLN","Sort=A","Dates=H","DateFormat=P","Fill=—","Direction=H","UseDPDF=Y")</f>
        <v>—</v>
      </c>
      <c r="F34" s="13" t="str">
        <f>_xll.BDH("NBIX US Equity","IS_DEFERRED_INCOME_TAX_BENEFIT","FQ1 2020","FQ1 2020","Currency=USD","Period=FQ","BEST_FPERIOD_OVERRIDE=FQ","FILING_STATUS=MR","SCALING_FORMAT=MLN","Sort=A","Dates=H","DateFormat=P","Fill=—","Direction=H","UseDPDF=Y")</f>
        <v>—</v>
      </c>
      <c r="G34" s="13" t="str">
        <f>_xll.BDH("NBIX US Equity","IS_DEFERRED_INCOME_TAX_BENEFIT","FQ2 2020","FQ2 2020","Currency=USD","Period=FQ","BEST_FPERIOD_OVERRIDE=FQ","FILING_STATUS=MR","SCALING_FORMAT=MLN","Sort=A","Dates=H","DateFormat=P","Fill=—","Direction=H","UseDPDF=Y")</f>
        <v>—</v>
      </c>
      <c r="H34" s="13" t="str">
        <f>_xll.BDH("NBIX US Equity","IS_DEFERRED_INCOME_TAX_BENEFIT","FQ3 2020","FQ3 2020","Currency=USD","Period=FQ","BEST_FPERIOD_OVERRIDE=FQ","FILING_STATUS=MR","SCALING_FORMAT=MLN","Sort=A","Dates=H","DateFormat=P","Fill=—","Direction=H","UseDPDF=Y")</f>
        <v>—</v>
      </c>
      <c r="I34" s="13" t="str">
        <f>_xll.BDH("NBIX US Equity","IS_DEFERRED_INCOME_TAX_BENEFIT","FQ4 2020","FQ4 2020","Currency=USD","Period=FQ","BEST_FPERIOD_OVERRIDE=FQ","FILING_STATUS=MR","SCALING_FORMAT=MLN","Sort=A","Dates=H","DateFormat=P","Fill=—","Direction=H","UseDPDF=Y")</f>
        <v>—</v>
      </c>
      <c r="J34" s="13" t="str">
        <f>_xll.BDH("NBIX US Equity","IS_DEFERRED_INCOME_TAX_BENEFIT","FQ1 2021","FQ1 2021","Currency=USD","Period=FQ","BEST_FPERIOD_OVERRIDE=FQ","FILING_STATUS=MR","SCALING_FORMAT=MLN","Sort=A","Dates=H","DateFormat=P","Fill=—","Direction=H","UseDPDF=Y")</f>
        <v>—</v>
      </c>
      <c r="K34" s="13" t="str">
        <f>_xll.BDH("NBIX US Equity","IS_DEFERRED_INCOME_TAX_BENEFIT","FQ2 2021","FQ2 2021","Currency=USD","Period=FQ","BEST_FPERIOD_OVERRIDE=FQ","FILING_STATUS=MR","SCALING_FORMAT=MLN","Sort=A","Dates=H","DateFormat=P","Fill=—","Direction=H","UseDPDF=Y")</f>
        <v>—</v>
      </c>
      <c r="L34" s="13" t="str">
        <f>_xll.BDH("NBIX US Equity","IS_DEFERRED_INCOME_TAX_BENEFIT","FQ3 2021","FQ3 2021","Currency=USD","Period=FQ","BEST_FPERIOD_OVERRIDE=FQ","FILING_STATUS=MR","SCALING_FORMAT=MLN","Sort=A","Dates=H","DateFormat=P","Fill=—","Direction=H","UseDPDF=Y")</f>
        <v>—</v>
      </c>
      <c r="M34" s="13" t="str">
        <f>_xll.BDH("NBIX US Equity","IS_DEFERRED_INCOME_TAX_BENEFIT","FQ4 2021","FQ4 2021","Currency=USD","Period=FQ","BEST_FPERIOD_OVERRIDE=FQ","FILING_STATUS=MR","SCALING_FORMAT=MLN","Sort=A","Dates=H","DateFormat=P","Fill=—","Direction=H","UseDPDF=Y")</f>
        <v>—</v>
      </c>
      <c r="N34" s="13" t="str">
        <f>_xll.BDH("NBIX US Equity","IS_DEFERRED_INCOME_TAX_BENEFIT","FQ1 2022","FQ1 2022","Currency=USD","Period=FQ","BEST_FPERIOD_OVERRIDE=FQ","FILING_STATUS=MR","SCALING_FORMAT=MLN","Sort=A","Dates=H","DateFormat=P","Fill=—","Direction=H","UseDPDF=Y")</f>
        <v>—</v>
      </c>
      <c r="O34" s="13" t="str">
        <f>_xll.BDH("NBIX US Equity","IS_DEFERRED_INCOME_TAX_BENEFIT","FQ2 2022","FQ2 2022","Currency=USD","Period=FQ","BEST_FPERIOD_OVERRIDE=FQ","FILING_STATUS=MR","SCALING_FORMAT=MLN","Sort=A","Dates=H","DateFormat=P","Fill=—","Direction=H","UseDPDF=Y")</f>
        <v>—</v>
      </c>
      <c r="P34" s="13" t="str">
        <f>_xll.BDH("NBIX US Equity","IS_DEFERRED_INCOME_TAX_BENEFIT","FQ3 2022","FQ3 2022","Currency=USD","Period=FQ","BEST_FPERIOD_OVERRIDE=FQ","FILING_STATUS=MR","SCALING_FORMAT=MLN","Sort=A","Dates=H","DateFormat=P","Fill=—","Direction=H","UseDPDF=Y")</f>
        <v>—</v>
      </c>
      <c r="Q34" s="13" t="str">
        <f>_xll.BDH("NBIX US Equity","IS_DEFERRED_INCOME_TAX_BENEFIT","FQ4 2022","FQ4 2022","Currency=USD","Period=FQ","BEST_FPERIOD_OVERRIDE=FQ","FILING_STATUS=MR","SCALING_FORMAT=MLN","Sort=A","Dates=H","DateFormat=P","Fill=—","Direction=H","UseDPDF=Y")</f>
        <v>—</v>
      </c>
      <c r="R34" s="13" t="str">
        <f>_xll.BDH("NBIX US Equity","IS_DEFERRED_INCOME_TAX_BENEFIT","FQ1 2023","FQ1 2023","Currency=USD","Period=FQ","BEST_FPERIOD_OVERRIDE=FQ","FILING_STATUS=MR","SCALING_FORMAT=MLN","Sort=A","Dates=H","DateFormat=P","Fill=—","Direction=H","UseDPDF=Y")</f>
        <v>—</v>
      </c>
      <c r="S34" s="13" t="str">
        <f>_xll.BDH("NBIX US Equity","IS_DEFERRED_INCOME_TAX_BENEFIT","FQ2 2023","FQ2 2023","Currency=USD","Period=FQ","BEST_FPERIOD_OVERRIDE=FQ","FILING_STATUS=MR","SCALING_FORMAT=MLN","Sort=A","Dates=H","DateFormat=P","Fill=—","Direction=H","UseDPDF=Y")</f>
        <v>—</v>
      </c>
      <c r="T34" s="13" t="str">
        <f>_xll.BDH("NBIX US Equity","IS_DEFERRED_INCOME_TAX_BENEFIT","FQ3 2023","FQ3 2023","Currency=USD","Period=FQ","BEST_FPERIOD_OVERRIDE=FQ","FILING_STATUS=MR","SCALING_FORMAT=MLN","Sort=A","Dates=H","DateFormat=P","Fill=—","Direction=H","UseDPDF=Y")</f>
        <v>—</v>
      </c>
      <c r="U34" s="13" t="str">
        <f>_xll.BDH("NBIX US Equity","IS_DEFERRED_INCOME_TAX_BENEFIT","FQ4 2023","FQ4 2023","Currency=USD","Period=FQ","BEST_FPERIOD_OVERRIDE=FQ","FILING_STATUS=MR","SCALING_FORMAT=MLN","Sort=A","Dates=H","DateFormat=P","Fill=—","Direction=H","UseDPDF=Y")</f>
        <v>—</v>
      </c>
      <c r="V34" s="13" t="str">
        <f>_xll.BDH("NBIX US Equity","IS_DEFERRED_INCOME_TAX_BENEFIT","FQ1 2024","FQ1 2024","Currency=USD","Period=FQ","BEST_FPERIOD_OVERRIDE=FQ","FILING_STATUS=MR","SCALING_FORMAT=MLN","Sort=A","Dates=H","DateFormat=P","Fill=—","Direction=H","UseDPDF=Y")</f>
        <v>—</v>
      </c>
      <c r="W34" s="13" t="str">
        <f>_xll.BDH("NBIX US Equity","IS_DEFERRED_INCOME_TAX_BENEFIT","FQ2 2024","FQ2 2024","Currency=USD","Period=FQ","BEST_FPERIOD_OVERRIDE=FQ","FILING_STATUS=MR","SCALING_FORMAT=MLN","Sort=A","Dates=H","DateFormat=P","Fill=—","Direction=H","UseDPDF=Y")</f>
        <v>—</v>
      </c>
      <c r="X34" s="13" t="str">
        <f>_xll.BDH("NBIX US Equity","IS_DEFERRED_INCOME_TAX_BENEFIT","FQ3 2024","FQ3 2024","Currency=USD","Period=FQ","BEST_FPERIOD_OVERRIDE=FQ","FILING_STATUS=MR","SCALING_FORMAT=MLN","Sort=A","Dates=H","DateFormat=P","Fill=—","Direction=H","UseDPDF=Y")</f>
        <v>—</v>
      </c>
      <c r="Y34" s="13" t="str">
        <f>_xll.BDH("NBIX US Equity","IS_DEFERRED_INCOME_TAX_BENEFIT","FQ4 2024","FQ4 2024","Currency=USD","Period=FQ","BEST_FPERIOD_OVERRIDE=FQ","FILING_STATUS=MR","SCALING_FORMAT=MLN","Sort=A","Dates=H","DateFormat=P","Fill=—","Direction=H","UseDPDF=Y")</f>
        <v>—</v>
      </c>
      <c r="Z34" s="13"/>
      <c r="AA34" s="13"/>
    </row>
    <row r="35" spans="1:27" x14ac:dyDescent="0.25">
      <c r="A35" s="6" t="s">
        <v>364</v>
      </c>
      <c r="B35" s="6" t="s">
        <v>365</v>
      </c>
      <c r="C35" s="19">
        <f>_xll.BDH("NBIX US Equity","IS_INC_BEF_XO_ITEM","FQ2 2019","FQ2 2019","Currency=USD","Period=FQ","BEST_FPERIOD_OVERRIDE=FQ","FILING_STATUS=MR","SCALING_FORMAT=MLN","Sort=A","Dates=H","DateFormat=P","Fill=—","Direction=H","UseDPDF=Y")</f>
        <v>51.338000000000001</v>
      </c>
      <c r="D35" s="19">
        <f>_xll.BDH("NBIX US Equity","IS_INC_BEF_XO_ITEM","FQ3 2019","FQ3 2019","Currency=USD","Period=FQ","BEST_FPERIOD_OVERRIDE=FQ","FILING_STATUS=MR","SCALING_FORMAT=MLN","Sort=A","Dates=H","DateFormat=P","Fill=—","Direction=H","UseDPDF=Y")</f>
        <v>53.789000000000001</v>
      </c>
      <c r="E35" s="19">
        <f>_xll.BDH("NBIX US Equity","IS_INC_BEF_XO_ITEM","FQ4 2019","FQ4 2019","Currency=USD","Period=FQ","BEST_FPERIOD_OVERRIDE=FQ","FILING_STATUS=MR","SCALING_FORMAT=MLN","Sort=A","Dates=H","DateFormat=P","Fill=—","Direction=H","UseDPDF=Y")</f>
        <v>34</v>
      </c>
      <c r="F35" s="19">
        <f>_xll.BDH("NBIX US Equity","IS_INC_BEF_XO_ITEM","FQ1 2020","FQ1 2020","Currency=USD","Period=FQ","BEST_FPERIOD_OVERRIDE=FQ","FILING_STATUS=MR","SCALING_FORMAT=MLN","Sort=A","Dates=H","DateFormat=P","Fill=—","Direction=H","UseDPDF=Y")</f>
        <v>37.4</v>
      </c>
      <c r="G35" s="19">
        <f>_xll.BDH("NBIX US Equity","IS_INC_BEF_XO_ITEM","FQ2 2020","FQ2 2020","Currency=USD","Period=FQ","BEST_FPERIOD_OVERRIDE=FQ","FILING_STATUS=MR","SCALING_FORMAT=MLN","Sort=A","Dates=H","DateFormat=P","Fill=—","Direction=H","UseDPDF=Y")</f>
        <v>79.599999999999994</v>
      </c>
      <c r="H35" s="19">
        <f>_xll.BDH("NBIX US Equity","IS_INC_BEF_XO_ITEM","FQ3 2020","FQ3 2020","Currency=USD","Period=FQ","BEST_FPERIOD_OVERRIDE=FQ","FILING_STATUS=MR","SCALING_FORMAT=MLN","Sort=A","Dates=H","DateFormat=P","Fill=—","Direction=H","UseDPDF=Y")</f>
        <v>-57.6</v>
      </c>
      <c r="I35" s="19">
        <f>_xll.BDH("NBIX US Equity","IS_INC_BEF_XO_ITEM","FQ4 2020","FQ4 2020","Currency=USD","Period=FQ","BEST_FPERIOD_OVERRIDE=FQ","FILING_STATUS=MR","SCALING_FORMAT=MLN","Sort=A","Dates=H","DateFormat=P","Fill=—","Direction=H","UseDPDF=Y")</f>
        <v>347.9</v>
      </c>
      <c r="J35" s="19">
        <f>_xll.BDH("NBIX US Equity","IS_INC_BEF_XO_ITEM","FQ1 2021","FQ1 2021","Currency=USD","Period=FQ","BEST_FPERIOD_OVERRIDE=FQ","FILING_STATUS=MR","SCALING_FORMAT=MLN","Sort=A","Dates=H","DateFormat=P","Fill=—","Direction=H","UseDPDF=Y")</f>
        <v>32.1</v>
      </c>
      <c r="K35" s="19">
        <f>_xll.BDH("NBIX US Equity","IS_INC_BEF_XO_ITEM","FQ2 2021","FQ2 2021","Currency=USD","Period=FQ","BEST_FPERIOD_OVERRIDE=FQ","FILING_STATUS=MR","SCALING_FORMAT=MLN","Sort=A","Dates=H","DateFormat=P","Fill=—","Direction=H","UseDPDF=Y")</f>
        <v>42.3</v>
      </c>
      <c r="L35" s="19">
        <f>_xll.BDH("NBIX US Equity","IS_INC_BEF_XO_ITEM","FQ3 2021","FQ3 2021","Currency=USD","Period=FQ","BEST_FPERIOD_OVERRIDE=FQ","FILING_STATUS=MR","SCALING_FORMAT=MLN","Sort=A","Dates=H","DateFormat=P","Fill=—","Direction=H","UseDPDF=Y")</f>
        <v>22.5</v>
      </c>
      <c r="M35" s="19">
        <f>_xll.BDH("NBIX US Equity","IS_INC_BEF_XO_ITEM","FQ4 2021","FQ4 2021","Currency=USD","Period=FQ","BEST_FPERIOD_OVERRIDE=FQ","FILING_STATUS=MR","SCALING_FORMAT=MLN","Sort=A","Dates=H","DateFormat=P","Fill=—","Direction=H","UseDPDF=Y")</f>
        <v>-7.3</v>
      </c>
      <c r="N35" s="19">
        <f>_xll.BDH("NBIX US Equity","IS_INC_BEF_XO_ITEM","FQ1 2022","FQ1 2022","Currency=USD","Period=FQ","BEST_FPERIOD_OVERRIDE=FQ","FILING_STATUS=MR","SCALING_FORMAT=MLN","Sort=A","Dates=H","DateFormat=P","Fill=—","Direction=H","UseDPDF=Y")</f>
        <v>13.9</v>
      </c>
      <c r="O35" s="19">
        <f>_xll.BDH("NBIX US Equity","IS_INC_BEF_XO_ITEM","FQ2 2022","FQ2 2022","Currency=USD","Period=FQ","BEST_FPERIOD_OVERRIDE=FQ","FILING_STATUS=MR","SCALING_FORMAT=MLN","Sort=A","Dates=H","DateFormat=P","Fill=—","Direction=H","UseDPDF=Y")</f>
        <v>-16.899999999999999</v>
      </c>
      <c r="P35" s="19">
        <f>_xll.BDH("NBIX US Equity","IS_INC_BEF_XO_ITEM","FQ3 2022","FQ3 2022","Currency=USD","Period=FQ","BEST_FPERIOD_OVERRIDE=FQ","FILING_STATUS=MR","SCALING_FORMAT=MLN","Sort=A","Dates=H","DateFormat=P","Fill=—","Direction=H","UseDPDF=Y")</f>
        <v>68.5</v>
      </c>
      <c r="Q35" s="19">
        <f>_xll.BDH("NBIX US Equity","IS_INC_BEF_XO_ITEM","FQ4 2022","FQ4 2022","Currency=USD","Period=FQ","BEST_FPERIOD_OVERRIDE=FQ","FILING_STATUS=MR","SCALING_FORMAT=MLN","Sort=A","Dates=H","DateFormat=P","Fill=—","Direction=H","UseDPDF=Y")</f>
        <v>89</v>
      </c>
      <c r="R35" s="19">
        <f>_xll.BDH("NBIX US Equity","IS_INC_BEF_XO_ITEM","FQ1 2023","FQ1 2023","Currency=USD","Period=FQ","BEST_FPERIOD_OVERRIDE=FQ","FILING_STATUS=MR","SCALING_FORMAT=MLN","Sort=A","Dates=H","DateFormat=P","Fill=—","Direction=H","UseDPDF=Y")</f>
        <v>-76.599999999999994</v>
      </c>
      <c r="S35" s="19">
        <f>_xll.BDH("NBIX US Equity","IS_INC_BEF_XO_ITEM","FQ2 2023","FQ2 2023","Currency=USD","Period=FQ","BEST_FPERIOD_OVERRIDE=FQ","FILING_STATUS=MR","SCALING_FORMAT=MLN","Sort=A","Dates=H","DateFormat=P","Fill=—","Direction=H","UseDPDF=Y")</f>
        <v>95.5</v>
      </c>
      <c r="T35" s="19">
        <f>_xll.BDH("NBIX US Equity","IS_INC_BEF_XO_ITEM","FQ3 2023","FQ3 2023","Currency=USD","Period=FQ","BEST_FPERIOD_OVERRIDE=FQ","FILING_STATUS=MR","SCALING_FORMAT=MLN","Sort=A","Dates=H","DateFormat=P","Fill=—","Direction=H","UseDPDF=Y")</f>
        <v>83.1</v>
      </c>
      <c r="U35" s="19">
        <f>_xll.BDH("NBIX US Equity","IS_INC_BEF_XO_ITEM","FQ4 2023","FQ4 2023","Currency=USD","Period=FQ","BEST_FPERIOD_OVERRIDE=FQ","FILING_STATUS=MR","SCALING_FORMAT=MLN","Sort=A","Dates=H","DateFormat=P","Fill=—","Direction=H","UseDPDF=Y")</f>
        <v>147.69999999999999</v>
      </c>
      <c r="V35" s="19">
        <f>_xll.BDH("NBIX US Equity","IS_INC_BEF_XO_ITEM","FQ1 2024","FQ1 2024","Currency=USD","Period=FQ","BEST_FPERIOD_OVERRIDE=FQ","FILING_STATUS=MR","SCALING_FORMAT=MLN","Sort=A","Dates=H","DateFormat=P","Fill=—","Direction=H","UseDPDF=Y")</f>
        <v>43.4</v>
      </c>
      <c r="W35" s="19">
        <f>_xll.BDH("NBIX US Equity","IS_INC_BEF_XO_ITEM","FQ2 2024","FQ2 2024","Currency=USD","Period=FQ","BEST_FPERIOD_OVERRIDE=FQ","FILING_STATUS=MR","SCALING_FORMAT=MLN","Sort=A","Dates=H","DateFormat=P","Fill=—","Direction=H","UseDPDF=Y")</f>
        <v>65</v>
      </c>
      <c r="X35" s="19">
        <f>_xll.BDH("NBIX US Equity","IS_INC_BEF_XO_ITEM","FQ3 2024","FQ3 2024","Currency=USD","Period=FQ","BEST_FPERIOD_OVERRIDE=FQ","FILING_STATUS=MR","SCALING_FORMAT=MLN","Sort=A","Dates=H","DateFormat=P","Fill=—","Direction=H","UseDPDF=Y")</f>
        <v>129.80000000000001</v>
      </c>
      <c r="Y35" s="19">
        <f>_xll.BDH("NBIX US Equity","IS_INC_BEF_XO_ITEM","FQ4 2024","FQ4 2024","Currency=USD","Period=FQ","BEST_FPERIOD_OVERRIDE=FQ","FILING_STATUS=MR","SCALING_FORMAT=MLN","Sort=A","Dates=H","DateFormat=P","Fill=—","Direction=H","UseDPDF=Y")</f>
        <v>103.1</v>
      </c>
      <c r="Z35" s="19">
        <v>85.611000000000004</v>
      </c>
      <c r="AA35" s="19">
        <v>97.533000000000001</v>
      </c>
    </row>
    <row r="36" spans="1:27" x14ac:dyDescent="0.25">
      <c r="A36" s="10" t="s">
        <v>366</v>
      </c>
      <c r="B36" s="10" t="s">
        <v>367</v>
      </c>
      <c r="C36" s="13">
        <f>_xll.BDH("NBIX US Equity","XO_GL_NET_OF_TAX","FQ2 2019","FQ2 2019","Currency=USD","Period=FQ","BEST_FPERIOD_OVERRIDE=FQ","FILING_STATUS=MR","SCALING_FORMAT=MLN","Sort=A","Dates=H","DateFormat=P","Fill=—","Direction=H","UseDPDF=Y")</f>
        <v>0</v>
      </c>
      <c r="D36" s="13">
        <f>_xll.BDH("NBIX US Equity","XO_GL_NET_OF_TAX","FQ3 2019","FQ3 2019","Currency=USD","Period=FQ","BEST_FPERIOD_OVERRIDE=FQ","FILING_STATUS=MR","SCALING_FORMAT=MLN","Sort=A","Dates=H","DateFormat=P","Fill=—","Direction=H","UseDPDF=Y")</f>
        <v>0</v>
      </c>
      <c r="E36" s="13">
        <f>_xll.BDH("NBIX US Equity","XO_GL_NET_OF_TAX","FQ4 2019","FQ4 2019","Currency=USD","Period=FQ","BEST_FPERIOD_OVERRIDE=FQ","FILING_STATUS=MR","SCALING_FORMAT=MLN","Sort=A","Dates=H","DateFormat=P","Fill=—","Direction=H","UseDPDF=Y")</f>
        <v>0</v>
      </c>
      <c r="F36" s="13">
        <f>_xll.BDH("NBIX US Equity","XO_GL_NET_OF_TAX","FQ1 2020","FQ1 2020","Currency=USD","Period=FQ","BEST_FPERIOD_OVERRIDE=FQ","FILING_STATUS=MR","SCALING_FORMAT=MLN","Sort=A","Dates=H","DateFormat=P","Fill=—","Direction=H","UseDPDF=Y")</f>
        <v>0</v>
      </c>
      <c r="G36" s="13">
        <f>_xll.BDH("NBIX US Equity","XO_GL_NET_OF_TAX","FQ2 2020","FQ2 2020","Currency=USD","Period=FQ","BEST_FPERIOD_OVERRIDE=FQ","FILING_STATUS=MR","SCALING_FORMAT=MLN","Sort=A","Dates=H","DateFormat=P","Fill=—","Direction=H","UseDPDF=Y")</f>
        <v>0</v>
      </c>
      <c r="H36" s="13">
        <f>_xll.BDH("NBIX US Equity","XO_GL_NET_OF_TAX","FQ3 2020","FQ3 2020","Currency=USD","Period=FQ","BEST_FPERIOD_OVERRIDE=FQ","FILING_STATUS=MR","SCALING_FORMAT=MLN","Sort=A","Dates=H","DateFormat=P","Fill=—","Direction=H","UseDPDF=Y")</f>
        <v>0</v>
      </c>
      <c r="I36" s="13">
        <f>_xll.BDH("NBIX US Equity","XO_GL_NET_OF_TAX","FQ4 2020","FQ4 2020","Currency=USD","Period=FQ","BEST_FPERIOD_OVERRIDE=FQ","FILING_STATUS=MR","SCALING_FORMAT=MLN","Sort=A","Dates=H","DateFormat=P","Fill=—","Direction=H","UseDPDF=Y")</f>
        <v>0</v>
      </c>
      <c r="J36" s="13">
        <f>_xll.BDH("NBIX US Equity","XO_GL_NET_OF_TAX","FQ1 2021","FQ1 2021","Currency=USD","Period=FQ","BEST_FPERIOD_OVERRIDE=FQ","FILING_STATUS=MR","SCALING_FORMAT=MLN","Sort=A","Dates=H","DateFormat=P","Fill=—","Direction=H","UseDPDF=Y")</f>
        <v>0</v>
      </c>
      <c r="K36" s="13">
        <f>_xll.BDH("NBIX US Equity","XO_GL_NET_OF_TAX","FQ2 2021","FQ2 2021","Currency=USD","Period=FQ","BEST_FPERIOD_OVERRIDE=FQ","FILING_STATUS=MR","SCALING_FORMAT=MLN","Sort=A","Dates=H","DateFormat=P","Fill=—","Direction=H","UseDPDF=Y")</f>
        <v>0</v>
      </c>
      <c r="L36" s="13">
        <f>_xll.BDH("NBIX US Equity","XO_GL_NET_OF_TAX","FQ3 2021","FQ3 2021","Currency=USD","Period=FQ","BEST_FPERIOD_OVERRIDE=FQ","FILING_STATUS=MR","SCALING_FORMAT=MLN","Sort=A","Dates=H","DateFormat=P","Fill=—","Direction=H","UseDPDF=Y")</f>
        <v>0</v>
      </c>
      <c r="M36" s="13">
        <f>_xll.BDH("NBIX US Equity","XO_GL_NET_OF_TAX","FQ4 2021","FQ4 2021","Currency=USD","Period=FQ","BEST_FPERIOD_OVERRIDE=FQ","FILING_STATUS=MR","SCALING_FORMAT=MLN","Sort=A","Dates=H","DateFormat=P","Fill=—","Direction=H","UseDPDF=Y")</f>
        <v>0</v>
      </c>
      <c r="N36" s="13">
        <f>_xll.BDH("NBIX US Equity","XO_GL_NET_OF_TAX","FQ1 2022","FQ1 2022","Currency=USD","Period=FQ","BEST_FPERIOD_OVERRIDE=FQ","FILING_STATUS=MR","SCALING_FORMAT=MLN","Sort=A","Dates=H","DateFormat=P","Fill=—","Direction=H","UseDPDF=Y")</f>
        <v>0</v>
      </c>
      <c r="O36" s="13">
        <f>_xll.BDH("NBIX US Equity","XO_GL_NET_OF_TAX","FQ2 2022","FQ2 2022","Currency=USD","Period=FQ","BEST_FPERIOD_OVERRIDE=FQ","FILING_STATUS=MR","SCALING_FORMAT=MLN","Sort=A","Dates=H","DateFormat=P","Fill=—","Direction=H","UseDPDF=Y")</f>
        <v>0</v>
      </c>
      <c r="P36" s="13">
        <f>_xll.BDH("NBIX US Equity","XO_GL_NET_OF_TAX","FQ3 2022","FQ3 2022","Currency=USD","Period=FQ","BEST_FPERIOD_OVERRIDE=FQ","FILING_STATUS=MR","SCALING_FORMAT=MLN","Sort=A","Dates=H","DateFormat=P","Fill=—","Direction=H","UseDPDF=Y")</f>
        <v>0</v>
      </c>
      <c r="Q36" s="13">
        <f>_xll.BDH("NBIX US Equity","XO_GL_NET_OF_TAX","FQ4 2022","FQ4 2022","Currency=USD","Period=FQ","BEST_FPERIOD_OVERRIDE=FQ","FILING_STATUS=MR","SCALING_FORMAT=MLN","Sort=A","Dates=H","DateFormat=P","Fill=—","Direction=H","UseDPDF=Y")</f>
        <v>0</v>
      </c>
      <c r="R36" s="13">
        <f>_xll.BDH("NBIX US Equity","XO_GL_NET_OF_TAX","FQ1 2023","FQ1 2023","Currency=USD","Period=FQ","BEST_FPERIOD_OVERRIDE=FQ","FILING_STATUS=MR","SCALING_FORMAT=MLN","Sort=A","Dates=H","DateFormat=P","Fill=—","Direction=H","UseDPDF=Y")</f>
        <v>0</v>
      </c>
      <c r="S36" s="13">
        <f>_xll.BDH("NBIX US Equity","XO_GL_NET_OF_TAX","FQ2 2023","FQ2 2023","Currency=USD","Period=FQ","BEST_FPERIOD_OVERRIDE=FQ","FILING_STATUS=MR","SCALING_FORMAT=MLN","Sort=A","Dates=H","DateFormat=P","Fill=—","Direction=H","UseDPDF=Y")</f>
        <v>0</v>
      </c>
      <c r="T36" s="13">
        <f>_xll.BDH("NBIX US Equity","XO_GL_NET_OF_TAX","FQ3 2023","FQ3 2023","Currency=USD","Period=FQ","BEST_FPERIOD_OVERRIDE=FQ","FILING_STATUS=MR","SCALING_FORMAT=MLN","Sort=A","Dates=H","DateFormat=P","Fill=—","Direction=H","UseDPDF=Y")</f>
        <v>0</v>
      </c>
      <c r="U36" s="13">
        <f>_xll.BDH("NBIX US Equity","XO_GL_NET_OF_TAX","FQ4 2023","FQ4 2023","Currency=USD","Period=FQ","BEST_FPERIOD_OVERRIDE=FQ","FILING_STATUS=MR","SCALING_FORMAT=MLN","Sort=A","Dates=H","DateFormat=P","Fill=—","Direction=H","UseDPDF=Y")</f>
        <v>0</v>
      </c>
      <c r="V36" s="13">
        <f>_xll.BDH("NBIX US Equity","XO_GL_NET_OF_TAX","FQ1 2024","FQ1 2024","Currency=USD","Period=FQ","BEST_FPERIOD_OVERRIDE=FQ","FILING_STATUS=MR","SCALING_FORMAT=MLN","Sort=A","Dates=H","DateFormat=P","Fill=—","Direction=H","UseDPDF=Y")</f>
        <v>0</v>
      </c>
      <c r="W36" s="13">
        <f>_xll.BDH("NBIX US Equity","XO_GL_NET_OF_TAX","FQ2 2024","FQ2 2024","Currency=USD","Period=FQ","BEST_FPERIOD_OVERRIDE=FQ","FILING_STATUS=MR","SCALING_FORMAT=MLN","Sort=A","Dates=H","DateFormat=P","Fill=—","Direction=H","UseDPDF=Y")</f>
        <v>0</v>
      </c>
      <c r="X36" s="13">
        <f>_xll.BDH("NBIX US Equity","XO_GL_NET_OF_TAX","FQ3 2024","FQ3 2024","Currency=USD","Period=FQ","BEST_FPERIOD_OVERRIDE=FQ","FILING_STATUS=MR","SCALING_FORMAT=MLN","Sort=A","Dates=H","DateFormat=P","Fill=—","Direction=H","UseDPDF=Y")</f>
        <v>0</v>
      </c>
      <c r="Y36" s="13">
        <f>_xll.BDH("NBIX US Equity","XO_GL_NET_OF_TAX","FQ4 2024","FQ4 2024","Currency=USD","Period=FQ","BEST_FPERIOD_OVERRIDE=FQ","FILING_STATUS=MR","SCALING_FORMAT=MLN","Sort=A","Dates=H","DateFormat=P","Fill=—","Direction=H","UseDPDF=Y")</f>
        <v>0</v>
      </c>
      <c r="Z36" s="13"/>
      <c r="AA36" s="13"/>
    </row>
    <row r="37" spans="1:27" x14ac:dyDescent="0.25">
      <c r="A37" s="10" t="s">
        <v>368</v>
      </c>
      <c r="B37" s="10" t="s">
        <v>369</v>
      </c>
      <c r="C37" s="13">
        <f>_xll.BDH("NBIX US Equity","IS_DISCONTINUED_OPERATIONS","FQ2 2019","FQ2 2019","Currency=USD","Period=FQ","BEST_FPERIOD_OVERRIDE=FQ","FILING_STATUS=MR","SCALING_FORMAT=MLN","Sort=A","Dates=H","DateFormat=P","Fill=—","Direction=H","UseDPDF=Y")</f>
        <v>0</v>
      </c>
      <c r="D37" s="13">
        <f>_xll.BDH("NBIX US Equity","IS_DISCONTINUED_OPERATIONS","FQ3 2019","FQ3 2019","Currency=USD","Period=FQ","BEST_FPERIOD_OVERRIDE=FQ","FILING_STATUS=MR","SCALING_FORMAT=MLN","Sort=A","Dates=H","DateFormat=P","Fill=—","Direction=H","UseDPDF=Y")</f>
        <v>0</v>
      </c>
      <c r="E37" s="13">
        <f>_xll.BDH("NBIX US Equity","IS_DISCONTINUED_OPERATIONS","FQ4 2019","FQ4 2019","Currency=USD","Period=FQ","BEST_FPERIOD_OVERRIDE=FQ","FILING_STATUS=MR","SCALING_FORMAT=MLN","Sort=A","Dates=H","DateFormat=P","Fill=—","Direction=H","UseDPDF=Y")</f>
        <v>0</v>
      </c>
      <c r="F37" s="13">
        <f>_xll.BDH("NBIX US Equity","IS_DISCONTINUED_OPERATIONS","FQ1 2020","FQ1 2020","Currency=USD","Period=FQ","BEST_FPERIOD_OVERRIDE=FQ","FILING_STATUS=MR","SCALING_FORMAT=MLN","Sort=A","Dates=H","DateFormat=P","Fill=—","Direction=H","UseDPDF=Y")</f>
        <v>0</v>
      </c>
      <c r="G37" s="13">
        <f>_xll.BDH("NBIX US Equity","IS_DISCONTINUED_OPERATIONS","FQ2 2020","FQ2 2020","Currency=USD","Period=FQ","BEST_FPERIOD_OVERRIDE=FQ","FILING_STATUS=MR","SCALING_FORMAT=MLN","Sort=A","Dates=H","DateFormat=P","Fill=—","Direction=H","UseDPDF=Y")</f>
        <v>0</v>
      </c>
      <c r="H37" s="13">
        <f>_xll.BDH("NBIX US Equity","IS_DISCONTINUED_OPERATIONS","FQ3 2020","FQ3 2020","Currency=USD","Period=FQ","BEST_FPERIOD_OVERRIDE=FQ","FILING_STATUS=MR","SCALING_FORMAT=MLN","Sort=A","Dates=H","DateFormat=P","Fill=—","Direction=H","UseDPDF=Y")</f>
        <v>0</v>
      </c>
      <c r="I37" s="13">
        <f>_xll.BDH("NBIX US Equity","IS_DISCONTINUED_OPERATIONS","FQ4 2020","FQ4 2020","Currency=USD","Period=FQ","BEST_FPERIOD_OVERRIDE=FQ","FILING_STATUS=MR","SCALING_FORMAT=MLN","Sort=A","Dates=H","DateFormat=P","Fill=—","Direction=H","UseDPDF=Y")</f>
        <v>0</v>
      </c>
      <c r="J37" s="13">
        <f>_xll.BDH("NBIX US Equity","IS_DISCONTINUED_OPERATIONS","FQ1 2021","FQ1 2021","Currency=USD","Period=FQ","BEST_FPERIOD_OVERRIDE=FQ","FILING_STATUS=MR","SCALING_FORMAT=MLN","Sort=A","Dates=H","DateFormat=P","Fill=—","Direction=H","UseDPDF=Y")</f>
        <v>0</v>
      </c>
      <c r="K37" s="13">
        <f>_xll.BDH("NBIX US Equity","IS_DISCONTINUED_OPERATIONS","FQ2 2021","FQ2 2021","Currency=USD","Period=FQ","BEST_FPERIOD_OVERRIDE=FQ","FILING_STATUS=MR","SCALING_FORMAT=MLN","Sort=A","Dates=H","DateFormat=P","Fill=—","Direction=H","UseDPDF=Y")</f>
        <v>0</v>
      </c>
      <c r="L37" s="13">
        <f>_xll.BDH("NBIX US Equity","IS_DISCONTINUED_OPERATIONS","FQ3 2021","FQ3 2021","Currency=USD","Period=FQ","BEST_FPERIOD_OVERRIDE=FQ","FILING_STATUS=MR","SCALING_FORMAT=MLN","Sort=A","Dates=H","DateFormat=P","Fill=—","Direction=H","UseDPDF=Y")</f>
        <v>0</v>
      </c>
      <c r="M37" s="13">
        <f>_xll.BDH("NBIX US Equity","IS_DISCONTINUED_OPERATIONS","FQ4 2021","FQ4 2021","Currency=USD","Period=FQ","BEST_FPERIOD_OVERRIDE=FQ","FILING_STATUS=MR","SCALING_FORMAT=MLN","Sort=A","Dates=H","DateFormat=P","Fill=—","Direction=H","UseDPDF=Y")</f>
        <v>0</v>
      </c>
      <c r="N37" s="13">
        <f>_xll.BDH("NBIX US Equity","IS_DISCONTINUED_OPERATIONS","FQ1 2022","FQ1 2022","Currency=USD","Period=FQ","BEST_FPERIOD_OVERRIDE=FQ","FILING_STATUS=MR","SCALING_FORMAT=MLN","Sort=A","Dates=H","DateFormat=P","Fill=—","Direction=H","UseDPDF=Y")</f>
        <v>0</v>
      </c>
      <c r="O37" s="13">
        <f>_xll.BDH("NBIX US Equity","IS_DISCONTINUED_OPERATIONS","FQ2 2022","FQ2 2022","Currency=USD","Period=FQ","BEST_FPERIOD_OVERRIDE=FQ","FILING_STATUS=MR","SCALING_FORMAT=MLN","Sort=A","Dates=H","DateFormat=P","Fill=—","Direction=H","UseDPDF=Y")</f>
        <v>0</v>
      </c>
      <c r="P37" s="13">
        <f>_xll.BDH("NBIX US Equity","IS_DISCONTINUED_OPERATIONS","FQ3 2022","FQ3 2022","Currency=USD","Period=FQ","BEST_FPERIOD_OVERRIDE=FQ","FILING_STATUS=MR","SCALING_FORMAT=MLN","Sort=A","Dates=H","DateFormat=P","Fill=—","Direction=H","UseDPDF=Y")</f>
        <v>0</v>
      </c>
      <c r="Q37" s="13">
        <f>_xll.BDH("NBIX US Equity","IS_DISCONTINUED_OPERATIONS","FQ4 2022","FQ4 2022","Currency=USD","Period=FQ","BEST_FPERIOD_OVERRIDE=FQ","FILING_STATUS=MR","SCALING_FORMAT=MLN","Sort=A","Dates=H","DateFormat=P","Fill=—","Direction=H","UseDPDF=Y")</f>
        <v>0</v>
      </c>
      <c r="R37" s="13">
        <f>_xll.BDH("NBIX US Equity","IS_DISCONTINUED_OPERATIONS","FQ1 2023","FQ1 2023","Currency=USD","Period=FQ","BEST_FPERIOD_OVERRIDE=FQ","FILING_STATUS=MR","SCALING_FORMAT=MLN","Sort=A","Dates=H","DateFormat=P","Fill=—","Direction=H","UseDPDF=Y")</f>
        <v>0</v>
      </c>
      <c r="S37" s="13">
        <f>_xll.BDH("NBIX US Equity","IS_DISCONTINUED_OPERATIONS","FQ2 2023","FQ2 2023","Currency=USD","Period=FQ","BEST_FPERIOD_OVERRIDE=FQ","FILING_STATUS=MR","SCALING_FORMAT=MLN","Sort=A","Dates=H","DateFormat=P","Fill=—","Direction=H","UseDPDF=Y")</f>
        <v>0</v>
      </c>
      <c r="T37" s="13">
        <f>_xll.BDH("NBIX US Equity","IS_DISCONTINUED_OPERATIONS","FQ3 2023","FQ3 2023","Currency=USD","Period=FQ","BEST_FPERIOD_OVERRIDE=FQ","FILING_STATUS=MR","SCALING_FORMAT=MLN","Sort=A","Dates=H","DateFormat=P","Fill=—","Direction=H","UseDPDF=Y")</f>
        <v>0</v>
      </c>
      <c r="U37" s="13">
        <f>_xll.BDH("NBIX US Equity","IS_DISCONTINUED_OPERATIONS","FQ4 2023","FQ4 2023","Currency=USD","Period=FQ","BEST_FPERIOD_OVERRIDE=FQ","FILING_STATUS=MR","SCALING_FORMAT=MLN","Sort=A","Dates=H","DateFormat=P","Fill=—","Direction=H","UseDPDF=Y")</f>
        <v>0</v>
      </c>
      <c r="V37" s="13">
        <f>_xll.BDH("NBIX US Equity","IS_DISCONTINUED_OPERATIONS","FQ1 2024","FQ1 2024","Currency=USD","Period=FQ","BEST_FPERIOD_OVERRIDE=FQ","FILING_STATUS=MR","SCALING_FORMAT=MLN","Sort=A","Dates=H","DateFormat=P","Fill=—","Direction=H","UseDPDF=Y")</f>
        <v>0</v>
      </c>
      <c r="W37" s="13">
        <f>_xll.BDH("NBIX US Equity","IS_DISCONTINUED_OPERATIONS","FQ2 2024","FQ2 2024","Currency=USD","Period=FQ","BEST_FPERIOD_OVERRIDE=FQ","FILING_STATUS=MR","SCALING_FORMAT=MLN","Sort=A","Dates=H","DateFormat=P","Fill=—","Direction=H","UseDPDF=Y")</f>
        <v>0</v>
      </c>
      <c r="X37" s="13">
        <f>_xll.BDH("NBIX US Equity","IS_DISCONTINUED_OPERATIONS","FQ3 2024","FQ3 2024","Currency=USD","Period=FQ","BEST_FPERIOD_OVERRIDE=FQ","FILING_STATUS=MR","SCALING_FORMAT=MLN","Sort=A","Dates=H","DateFormat=P","Fill=—","Direction=H","UseDPDF=Y")</f>
        <v>0</v>
      </c>
      <c r="Y37" s="13">
        <f>_xll.BDH("NBIX US Equity","IS_DISCONTINUED_OPERATIONS","FQ4 2024","FQ4 2024","Currency=USD","Period=FQ","BEST_FPERIOD_OVERRIDE=FQ","FILING_STATUS=MR","SCALING_FORMAT=MLN","Sort=A","Dates=H","DateFormat=P","Fill=—","Direction=H","UseDPDF=Y")</f>
        <v>0</v>
      </c>
      <c r="Z37" s="13"/>
      <c r="AA37" s="13"/>
    </row>
    <row r="38" spans="1:27" x14ac:dyDescent="0.25">
      <c r="A38" s="10" t="s">
        <v>370</v>
      </c>
      <c r="B38" s="10" t="s">
        <v>371</v>
      </c>
      <c r="C38" s="13">
        <f>_xll.BDH("NBIX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38" s="13">
        <f>_xll.BDH("NBIX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38" s="13">
        <f>_xll.BDH("NBIX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38" s="13">
        <f>_xll.BDH("NBIX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38" s="13">
        <f>_xll.BDH("NBIX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38" s="13">
        <f>_xll.BDH("NBIX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38" s="13">
        <f>_xll.BDH("NBIX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38" s="13">
        <f>_xll.BDH("NBIX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38" s="13">
        <f>_xll.BDH("NBIX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38" s="13">
        <f>_xll.BDH("NBIX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38" s="13">
        <f>_xll.BDH("NBIX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38" s="13">
        <f>_xll.BDH("NBIX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38" s="13">
        <f>_xll.BDH("NBIX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38" s="13">
        <f>_xll.BDH("NBIX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38" s="13">
        <f>_xll.BDH("NBIX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38" s="13">
        <f>_xll.BDH("NBIX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38" s="13">
        <f>_xll.BDH("NBIX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38" s="13">
        <f>_xll.BDH("NBIX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38" s="13">
        <f>_xll.BDH("NBIX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38" s="13">
        <f>_xll.BDH("NBIX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38" s="13">
        <f>_xll.BDH("NBIX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38" s="13">
        <f>_xll.BDH("NBIX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38" s="13">
        <f>_xll.BDH("NBIX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38" s="13"/>
      <c r="AA38" s="13"/>
    </row>
    <row r="39" spans="1:27" x14ac:dyDescent="0.25">
      <c r="A39" s="6" t="s">
        <v>372</v>
      </c>
      <c r="B39" s="6" t="s">
        <v>373</v>
      </c>
      <c r="C39" s="19">
        <f>_xll.BDH("NBIX US Equity","NI_INCLUDING_MINORITY_INT_RATIO","FQ2 2019","FQ2 2019","Currency=USD","Period=FQ","BEST_FPERIOD_OVERRIDE=FQ","FILING_STATUS=MR","SCALING_FORMAT=MLN","FA_ADJUSTED=GAAP","Sort=A","Dates=H","DateFormat=P","Fill=—","Direction=H","UseDPDF=Y")</f>
        <v>51.338000000000001</v>
      </c>
      <c r="D39" s="19">
        <f>_xll.BDH("NBIX US Equity","NI_INCLUDING_MINORITY_INT_RATIO","FQ3 2019","FQ3 2019","Currency=USD","Period=FQ","BEST_FPERIOD_OVERRIDE=FQ","FILING_STATUS=MR","SCALING_FORMAT=MLN","FA_ADJUSTED=GAAP","Sort=A","Dates=H","DateFormat=P","Fill=—","Direction=H","UseDPDF=Y")</f>
        <v>53.789000000000001</v>
      </c>
      <c r="E39" s="19">
        <f>_xll.BDH("NBIX US Equity","NI_INCLUDING_MINORITY_INT_RATIO","FQ4 2019","FQ4 2019","Currency=USD","Period=FQ","BEST_FPERIOD_OVERRIDE=FQ","FILING_STATUS=MR","SCALING_FORMAT=MLN","FA_ADJUSTED=GAAP","Sort=A","Dates=H","DateFormat=P","Fill=—","Direction=H","UseDPDF=Y")</f>
        <v>34</v>
      </c>
      <c r="F39" s="19">
        <f>_xll.BDH("NBIX US Equity","NI_INCLUDING_MINORITY_INT_RATIO","FQ1 2020","FQ1 2020","Currency=USD","Period=FQ","BEST_FPERIOD_OVERRIDE=FQ","FILING_STATUS=MR","SCALING_FORMAT=MLN","FA_ADJUSTED=GAAP","Sort=A","Dates=H","DateFormat=P","Fill=—","Direction=H","UseDPDF=Y")</f>
        <v>37.4</v>
      </c>
      <c r="G39" s="19">
        <f>_xll.BDH("NBIX US Equity","NI_INCLUDING_MINORITY_INT_RATIO","FQ2 2020","FQ2 2020","Currency=USD","Period=FQ","BEST_FPERIOD_OVERRIDE=FQ","FILING_STATUS=MR","SCALING_FORMAT=MLN","FA_ADJUSTED=GAAP","Sort=A","Dates=H","DateFormat=P","Fill=—","Direction=H","UseDPDF=Y")</f>
        <v>79.599999999999994</v>
      </c>
      <c r="H39" s="19">
        <f>_xll.BDH("NBIX US Equity","NI_INCLUDING_MINORITY_INT_RATIO","FQ3 2020","FQ3 2020","Currency=USD","Period=FQ","BEST_FPERIOD_OVERRIDE=FQ","FILING_STATUS=MR","SCALING_FORMAT=MLN","FA_ADJUSTED=GAAP","Sort=A","Dates=H","DateFormat=P","Fill=—","Direction=H","UseDPDF=Y")</f>
        <v>-57.6</v>
      </c>
      <c r="I39" s="19">
        <f>_xll.BDH("NBIX US Equity","NI_INCLUDING_MINORITY_INT_RATIO","FQ4 2020","FQ4 2020","Currency=USD","Period=FQ","BEST_FPERIOD_OVERRIDE=FQ","FILING_STATUS=MR","SCALING_FORMAT=MLN","FA_ADJUSTED=GAAP","Sort=A","Dates=H","DateFormat=P","Fill=—","Direction=H","UseDPDF=Y")</f>
        <v>347.9</v>
      </c>
      <c r="J39" s="19">
        <f>_xll.BDH("NBIX US Equity","NI_INCLUDING_MINORITY_INT_RATIO","FQ1 2021","FQ1 2021","Currency=USD","Period=FQ","BEST_FPERIOD_OVERRIDE=FQ","FILING_STATUS=MR","SCALING_FORMAT=MLN","FA_ADJUSTED=GAAP","Sort=A","Dates=H","DateFormat=P","Fill=—","Direction=H","UseDPDF=Y")</f>
        <v>32.1</v>
      </c>
      <c r="K39" s="19">
        <f>_xll.BDH("NBIX US Equity","NI_INCLUDING_MINORITY_INT_RATIO","FQ2 2021","FQ2 2021","Currency=USD","Period=FQ","BEST_FPERIOD_OVERRIDE=FQ","FILING_STATUS=MR","SCALING_FORMAT=MLN","FA_ADJUSTED=GAAP","Sort=A","Dates=H","DateFormat=P","Fill=—","Direction=H","UseDPDF=Y")</f>
        <v>42.3</v>
      </c>
      <c r="L39" s="19">
        <f>_xll.BDH("NBIX US Equity","NI_INCLUDING_MINORITY_INT_RATIO","FQ3 2021","FQ3 2021","Currency=USD","Period=FQ","BEST_FPERIOD_OVERRIDE=FQ","FILING_STATUS=MR","SCALING_FORMAT=MLN","FA_ADJUSTED=GAAP","Sort=A","Dates=H","DateFormat=P","Fill=—","Direction=H","UseDPDF=Y")</f>
        <v>22.5</v>
      </c>
      <c r="M39" s="19">
        <f>_xll.BDH("NBIX US Equity","NI_INCLUDING_MINORITY_INT_RATIO","FQ4 2021","FQ4 2021","Currency=USD","Period=FQ","BEST_FPERIOD_OVERRIDE=FQ","FILING_STATUS=MR","SCALING_FORMAT=MLN","FA_ADJUSTED=GAAP","Sort=A","Dates=H","DateFormat=P","Fill=—","Direction=H","UseDPDF=Y")</f>
        <v>-7.3</v>
      </c>
      <c r="N39" s="19">
        <f>_xll.BDH("NBIX US Equity","NI_INCLUDING_MINORITY_INT_RATIO","FQ1 2022","FQ1 2022","Currency=USD","Period=FQ","BEST_FPERIOD_OVERRIDE=FQ","FILING_STATUS=MR","SCALING_FORMAT=MLN","FA_ADJUSTED=GAAP","Sort=A","Dates=H","DateFormat=P","Fill=—","Direction=H","UseDPDF=Y")</f>
        <v>13.9</v>
      </c>
      <c r="O39" s="19">
        <f>_xll.BDH("NBIX US Equity","NI_INCLUDING_MINORITY_INT_RATIO","FQ2 2022","FQ2 2022","Currency=USD","Period=FQ","BEST_FPERIOD_OVERRIDE=FQ","FILING_STATUS=MR","SCALING_FORMAT=MLN","FA_ADJUSTED=GAAP","Sort=A","Dates=H","DateFormat=P","Fill=—","Direction=H","UseDPDF=Y")</f>
        <v>-16.899999999999999</v>
      </c>
      <c r="P39" s="19">
        <f>_xll.BDH("NBIX US Equity","NI_INCLUDING_MINORITY_INT_RATIO","FQ3 2022","FQ3 2022","Currency=USD","Period=FQ","BEST_FPERIOD_OVERRIDE=FQ","FILING_STATUS=MR","SCALING_FORMAT=MLN","FA_ADJUSTED=GAAP","Sort=A","Dates=H","DateFormat=P","Fill=—","Direction=H","UseDPDF=Y")</f>
        <v>68.5</v>
      </c>
      <c r="Q39" s="19">
        <f>_xll.BDH("NBIX US Equity","NI_INCLUDING_MINORITY_INT_RATIO","FQ4 2022","FQ4 2022","Currency=USD","Period=FQ","BEST_FPERIOD_OVERRIDE=FQ","FILING_STATUS=MR","SCALING_FORMAT=MLN","FA_ADJUSTED=GAAP","Sort=A","Dates=H","DateFormat=P","Fill=—","Direction=H","UseDPDF=Y")</f>
        <v>89</v>
      </c>
      <c r="R39" s="19">
        <f>_xll.BDH("NBIX US Equity","NI_INCLUDING_MINORITY_INT_RATIO","FQ1 2023","FQ1 2023","Currency=USD","Period=FQ","BEST_FPERIOD_OVERRIDE=FQ","FILING_STATUS=MR","SCALING_FORMAT=MLN","FA_ADJUSTED=GAAP","Sort=A","Dates=H","DateFormat=P","Fill=—","Direction=H","UseDPDF=Y")</f>
        <v>-76.599999999999994</v>
      </c>
      <c r="S39" s="19">
        <f>_xll.BDH("NBIX US Equity","NI_INCLUDING_MINORITY_INT_RATIO","FQ2 2023","FQ2 2023","Currency=USD","Period=FQ","BEST_FPERIOD_OVERRIDE=FQ","FILING_STATUS=MR","SCALING_FORMAT=MLN","FA_ADJUSTED=GAAP","Sort=A","Dates=H","DateFormat=P","Fill=—","Direction=H","UseDPDF=Y")</f>
        <v>95.5</v>
      </c>
      <c r="T39" s="19">
        <f>_xll.BDH("NBIX US Equity","NI_INCLUDING_MINORITY_INT_RATIO","FQ3 2023","FQ3 2023","Currency=USD","Period=FQ","BEST_FPERIOD_OVERRIDE=FQ","FILING_STATUS=MR","SCALING_FORMAT=MLN","FA_ADJUSTED=GAAP","Sort=A","Dates=H","DateFormat=P","Fill=—","Direction=H","UseDPDF=Y")</f>
        <v>83.1</v>
      </c>
      <c r="U39" s="19">
        <f>_xll.BDH("NBIX US Equity","NI_INCLUDING_MINORITY_INT_RATIO","FQ4 2023","FQ4 2023","Currency=USD","Period=FQ","BEST_FPERIOD_OVERRIDE=FQ","FILING_STATUS=MR","SCALING_FORMAT=MLN","FA_ADJUSTED=GAAP","Sort=A","Dates=H","DateFormat=P","Fill=—","Direction=H","UseDPDF=Y")</f>
        <v>147.69999999999999</v>
      </c>
      <c r="V39" s="19">
        <f>_xll.BDH("NBIX US Equity","NI_INCLUDING_MINORITY_INT_RATIO","FQ1 2024","FQ1 2024","Currency=USD","Period=FQ","BEST_FPERIOD_OVERRIDE=FQ","FILING_STATUS=MR","SCALING_FORMAT=MLN","FA_ADJUSTED=GAAP","Sort=A","Dates=H","DateFormat=P","Fill=—","Direction=H","UseDPDF=Y")</f>
        <v>43.4</v>
      </c>
      <c r="W39" s="19">
        <f>_xll.BDH("NBIX US Equity","NI_INCLUDING_MINORITY_INT_RATIO","FQ2 2024","FQ2 2024","Currency=USD","Period=FQ","BEST_FPERIOD_OVERRIDE=FQ","FILING_STATUS=MR","SCALING_FORMAT=MLN","FA_ADJUSTED=GAAP","Sort=A","Dates=H","DateFormat=P","Fill=—","Direction=H","UseDPDF=Y")</f>
        <v>65</v>
      </c>
      <c r="X39" s="19">
        <f>_xll.BDH("NBIX US Equity","NI_INCLUDING_MINORITY_INT_RATIO","FQ3 2024","FQ3 2024","Currency=USD","Period=FQ","BEST_FPERIOD_OVERRIDE=FQ","FILING_STATUS=MR","SCALING_FORMAT=MLN","FA_ADJUSTED=GAAP","Sort=A","Dates=H","DateFormat=P","Fill=—","Direction=H","UseDPDF=Y")</f>
        <v>129.80000000000001</v>
      </c>
      <c r="Y39" s="19">
        <f>_xll.BDH("NBIX US Equity","NI_INCLUDING_MINORITY_INT_RATIO","FQ4 2024","FQ4 2024","Currency=USD","Period=FQ","BEST_FPERIOD_OVERRIDE=FQ","FILING_STATUS=MR","SCALING_FORMAT=MLN","FA_ADJUSTED=GAAP","Sort=A","Dates=H","DateFormat=P","Fill=—","Direction=H","UseDPDF=Y")</f>
        <v>103.1</v>
      </c>
      <c r="Z39" s="19"/>
      <c r="AA39" s="19"/>
    </row>
    <row r="40" spans="1:27" x14ac:dyDescent="0.25">
      <c r="A40" s="10" t="s">
        <v>374</v>
      </c>
      <c r="B40" s="10" t="s">
        <v>375</v>
      </c>
      <c r="C40" s="13">
        <f>_xll.BDH("NBIX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40" s="13">
        <f>_xll.BDH("NBIX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40" s="13">
        <f>_xll.BDH("NBIX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40" s="13">
        <f>_xll.BDH("NBIX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40" s="13">
        <f>_xll.BDH("NBIX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40" s="13">
        <f>_xll.BDH("NBIX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40" s="13">
        <f>_xll.BDH("NBIX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40" s="13">
        <f>_xll.BDH("NBIX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40" s="13">
        <f>_xll.BDH("NBIX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40" s="13">
        <f>_xll.BDH("NBIX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40" s="13">
        <f>_xll.BDH("NBIX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40" s="13">
        <f>_xll.BDH("NBIX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40" s="13">
        <f>_xll.BDH("NBIX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40" s="13">
        <f>_xll.BDH("NBIX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40" s="13">
        <f>_xll.BDH("NBIX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40" s="13">
        <f>_xll.BDH("NBIX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40" s="13">
        <f>_xll.BDH("NBIX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40" s="13">
        <f>_xll.BDH("NBIX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40" s="13">
        <f>_xll.BDH("NBIX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40" s="13">
        <f>_xll.BDH("NBIX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40" s="13">
        <f>_xll.BDH("NBIX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40" s="13">
        <f>_xll.BDH("NBIX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40" s="13">
        <f>_xll.BDH("NBIX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40" s="13"/>
      <c r="AA40" s="13"/>
    </row>
    <row r="41" spans="1:27" x14ac:dyDescent="0.25">
      <c r="A41" s="6" t="s">
        <v>376</v>
      </c>
      <c r="B41" s="6" t="s">
        <v>377</v>
      </c>
      <c r="C41" s="19">
        <f>_xll.BDH("NBIX US Equity","NET_INCOME","FQ2 2019","FQ2 2019","Currency=USD","Period=FQ","BEST_FPERIOD_OVERRIDE=FQ","FILING_STATUS=MR","SCALING_FORMAT=MLN","FA_ADJUSTED=GAAP","Sort=A","Dates=H","DateFormat=P","Fill=—","Direction=H","UseDPDF=Y")</f>
        <v>51.338000000000001</v>
      </c>
      <c r="D41" s="19">
        <f>_xll.BDH("NBIX US Equity","NET_INCOME","FQ3 2019","FQ3 2019","Currency=USD","Period=FQ","BEST_FPERIOD_OVERRIDE=FQ","FILING_STATUS=MR","SCALING_FORMAT=MLN","FA_ADJUSTED=GAAP","Sort=A","Dates=H","DateFormat=P","Fill=—","Direction=H","UseDPDF=Y")</f>
        <v>53.789000000000001</v>
      </c>
      <c r="E41" s="19">
        <f>_xll.BDH("NBIX US Equity","NET_INCOME","FQ4 2019","FQ4 2019","Currency=USD","Period=FQ","BEST_FPERIOD_OVERRIDE=FQ","FILING_STATUS=MR","SCALING_FORMAT=MLN","FA_ADJUSTED=GAAP","Sort=A","Dates=H","DateFormat=P","Fill=—","Direction=H","UseDPDF=Y")</f>
        <v>34</v>
      </c>
      <c r="F41" s="19">
        <f>_xll.BDH("NBIX US Equity","NET_INCOME","FQ1 2020","FQ1 2020","Currency=USD","Period=FQ","BEST_FPERIOD_OVERRIDE=FQ","FILING_STATUS=MR","SCALING_FORMAT=MLN","FA_ADJUSTED=GAAP","Sort=A","Dates=H","DateFormat=P","Fill=—","Direction=H","UseDPDF=Y")</f>
        <v>37.4</v>
      </c>
      <c r="G41" s="19">
        <f>_xll.BDH("NBIX US Equity","NET_INCOME","FQ2 2020","FQ2 2020","Currency=USD","Period=FQ","BEST_FPERIOD_OVERRIDE=FQ","FILING_STATUS=MR","SCALING_FORMAT=MLN","FA_ADJUSTED=GAAP","Sort=A","Dates=H","DateFormat=P","Fill=—","Direction=H","UseDPDF=Y")</f>
        <v>79.599999999999994</v>
      </c>
      <c r="H41" s="19">
        <f>_xll.BDH("NBIX US Equity","NET_INCOME","FQ3 2020","FQ3 2020","Currency=USD","Period=FQ","BEST_FPERIOD_OVERRIDE=FQ","FILING_STATUS=MR","SCALING_FORMAT=MLN","FA_ADJUSTED=GAAP","Sort=A","Dates=H","DateFormat=P","Fill=—","Direction=H","UseDPDF=Y")</f>
        <v>-57.6</v>
      </c>
      <c r="I41" s="19">
        <f>_xll.BDH("NBIX US Equity","NET_INCOME","FQ4 2020","FQ4 2020","Currency=USD","Period=FQ","BEST_FPERIOD_OVERRIDE=FQ","FILING_STATUS=MR","SCALING_FORMAT=MLN","FA_ADJUSTED=GAAP","Sort=A","Dates=H","DateFormat=P","Fill=—","Direction=H","UseDPDF=Y")</f>
        <v>347.9</v>
      </c>
      <c r="J41" s="19">
        <f>_xll.BDH("NBIX US Equity","NET_INCOME","FQ1 2021","FQ1 2021","Currency=USD","Period=FQ","BEST_FPERIOD_OVERRIDE=FQ","FILING_STATUS=MR","SCALING_FORMAT=MLN","FA_ADJUSTED=GAAP","Sort=A","Dates=H","DateFormat=P","Fill=—","Direction=H","UseDPDF=Y")</f>
        <v>32.1</v>
      </c>
      <c r="K41" s="19">
        <f>_xll.BDH("NBIX US Equity","NET_INCOME","FQ2 2021","FQ2 2021","Currency=USD","Period=FQ","BEST_FPERIOD_OVERRIDE=FQ","FILING_STATUS=MR","SCALING_FORMAT=MLN","FA_ADJUSTED=GAAP","Sort=A","Dates=H","DateFormat=P","Fill=—","Direction=H","UseDPDF=Y")</f>
        <v>42.3</v>
      </c>
      <c r="L41" s="19">
        <f>_xll.BDH("NBIX US Equity","NET_INCOME","FQ3 2021","FQ3 2021","Currency=USD","Period=FQ","BEST_FPERIOD_OVERRIDE=FQ","FILING_STATUS=MR","SCALING_FORMAT=MLN","FA_ADJUSTED=GAAP","Sort=A","Dates=H","DateFormat=P","Fill=—","Direction=H","UseDPDF=Y")</f>
        <v>22.5</v>
      </c>
      <c r="M41" s="19">
        <f>_xll.BDH("NBIX US Equity","NET_INCOME","FQ4 2021","FQ4 2021","Currency=USD","Period=FQ","BEST_FPERIOD_OVERRIDE=FQ","FILING_STATUS=MR","SCALING_FORMAT=MLN","FA_ADJUSTED=GAAP","Sort=A","Dates=H","DateFormat=P","Fill=—","Direction=H","UseDPDF=Y")</f>
        <v>-7.3</v>
      </c>
      <c r="N41" s="19">
        <f>_xll.BDH("NBIX US Equity","NET_INCOME","FQ1 2022","FQ1 2022","Currency=USD","Period=FQ","BEST_FPERIOD_OVERRIDE=FQ","FILING_STATUS=MR","SCALING_FORMAT=MLN","FA_ADJUSTED=GAAP","Sort=A","Dates=H","DateFormat=P","Fill=—","Direction=H","UseDPDF=Y")</f>
        <v>13.9</v>
      </c>
      <c r="O41" s="19">
        <f>_xll.BDH("NBIX US Equity","NET_INCOME","FQ2 2022","FQ2 2022","Currency=USD","Period=FQ","BEST_FPERIOD_OVERRIDE=FQ","FILING_STATUS=MR","SCALING_FORMAT=MLN","FA_ADJUSTED=GAAP","Sort=A","Dates=H","DateFormat=P","Fill=—","Direction=H","UseDPDF=Y")</f>
        <v>-16.899999999999999</v>
      </c>
      <c r="P41" s="19">
        <f>_xll.BDH("NBIX US Equity","NET_INCOME","FQ3 2022","FQ3 2022","Currency=USD","Period=FQ","BEST_FPERIOD_OVERRIDE=FQ","FILING_STATUS=MR","SCALING_FORMAT=MLN","FA_ADJUSTED=GAAP","Sort=A","Dates=H","DateFormat=P","Fill=—","Direction=H","UseDPDF=Y")</f>
        <v>68.5</v>
      </c>
      <c r="Q41" s="19">
        <f>_xll.BDH("NBIX US Equity","NET_INCOME","FQ4 2022","FQ4 2022","Currency=USD","Period=FQ","BEST_FPERIOD_OVERRIDE=FQ","FILING_STATUS=MR","SCALING_FORMAT=MLN","FA_ADJUSTED=GAAP","Sort=A","Dates=H","DateFormat=P","Fill=—","Direction=H","UseDPDF=Y")</f>
        <v>89</v>
      </c>
      <c r="R41" s="19">
        <f>_xll.BDH("NBIX US Equity","NET_INCOME","FQ1 2023","FQ1 2023","Currency=USD","Period=FQ","BEST_FPERIOD_OVERRIDE=FQ","FILING_STATUS=MR","SCALING_FORMAT=MLN","FA_ADJUSTED=GAAP","Sort=A","Dates=H","DateFormat=P","Fill=—","Direction=H","UseDPDF=Y")</f>
        <v>-76.599999999999994</v>
      </c>
      <c r="S41" s="19">
        <f>_xll.BDH("NBIX US Equity","NET_INCOME","FQ2 2023","FQ2 2023","Currency=USD","Period=FQ","BEST_FPERIOD_OVERRIDE=FQ","FILING_STATUS=MR","SCALING_FORMAT=MLN","FA_ADJUSTED=GAAP","Sort=A","Dates=H","DateFormat=P","Fill=—","Direction=H","UseDPDF=Y")</f>
        <v>95.5</v>
      </c>
      <c r="T41" s="19">
        <f>_xll.BDH("NBIX US Equity","NET_INCOME","FQ3 2023","FQ3 2023","Currency=USD","Period=FQ","BEST_FPERIOD_OVERRIDE=FQ","FILING_STATUS=MR","SCALING_FORMAT=MLN","FA_ADJUSTED=GAAP","Sort=A","Dates=H","DateFormat=P","Fill=—","Direction=H","UseDPDF=Y")</f>
        <v>83.1</v>
      </c>
      <c r="U41" s="19">
        <f>_xll.BDH("NBIX US Equity","NET_INCOME","FQ4 2023","FQ4 2023","Currency=USD","Period=FQ","BEST_FPERIOD_OVERRIDE=FQ","FILING_STATUS=MR","SCALING_FORMAT=MLN","FA_ADJUSTED=GAAP","Sort=A","Dates=H","DateFormat=P","Fill=—","Direction=H","UseDPDF=Y")</f>
        <v>147.69999999999999</v>
      </c>
      <c r="V41" s="19">
        <f>_xll.BDH("NBIX US Equity","NET_INCOME","FQ1 2024","FQ1 2024","Currency=USD","Period=FQ","BEST_FPERIOD_OVERRIDE=FQ","FILING_STATUS=MR","SCALING_FORMAT=MLN","FA_ADJUSTED=GAAP","Sort=A","Dates=H","DateFormat=P","Fill=—","Direction=H","UseDPDF=Y")</f>
        <v>43.4</v>
      </c>
      <c r="W41" s="19">
        <f>_xll.BDH("NBIX US Equity","NET_INCOME","FQ2 2024","FQ2 2024","Currency=USD","Period=FQ","BEST_FPERIOD_OVERRIDE=FQ","FILING_STATUS=MR","SCALING_FORMAT=MLN","FA_ADJUSTED=GAAP","Sort=A","Dates=H","DateFormat=P","Fill=—","Direction=H","UseDPDF=Y")</f>
        <v>65</v>
      </c>
      <c r="X41" s="19">
        <f>_xll.BDH("NBIX US Equity","NET_INCOME","FQ3 2024","FQ3 2024","Currency=USD","Period=FQ","BEST_FPERIOD_OVERRIDE=FQ","FILING_STATUS=MR","SCALING_FORMAT=MLN","FA_ADJUSTED=GAAP","Sort=A","Dates=H","DateFormat=P","Fill=—","Direction=H","UseDPDF=Y")</f>
        <v>129.80000000000001</v>
      </c>
      <c r="Y41" s="19">
        <f>_xll.BDH("NBIX US Equity","NET_INCOME","FQ4 2024","FQ4 2024","Currency=USD","Period=FQ","BEST_FPERIOD_OVERRIDE=FQ","FILING_STATUS=MR","SCALING_FORMAT=MLN","FA_ADJUSTED=GAAP","Sort=A","Dates=H","DateFormat=P","Fill=—","Direction=H","UseDPDF=Y")</f>
        <v>103.1</v>
      </c>
      <c r="Z41" s="19">
        <v>85.611000000000004</v>
      </c>
      <c r="AA41" s="19">
        <v>97.533000000000001</v>
      </c>
    </row>
    <row r="42" spans="1:27" x14ac:dyDescent="0.25">
      <c r="A42" s="10" t="s">
        <v>378</v>
      </c>
      <c r="B42" s="10" t="s">
        <v>379</v>
      </c>
      <c r="C42" s="13">
        <f>_xll.BDH("NBIX US Equity","IS_TOT_CASH_PFD_DVD","FQ2 2019","FQ2 2019","Currency=USD","Period=FQ","BEST_FPERIOD_OVERRIDE=FQ","FILING_STATUS=MR","SCALING_FORMAT=MLN","Sort=A","Dates=H","DateFormat=P","Fill=—","Direction=H","UseDPDF=Y")</f>
        <v>0</v>
      </c>
      <c r="D42" s="13">
        <f>_xll.BDH("NBIX US Equity","IS_TOT_CASH_PFD_DVD","FQ3 2019","FQ3 2019","Currency=USD","Period=FQ","BEST_FPERIOD_OVERRIDE=FQ","FILING_STATUS=MR","SCALING_FORMAT=MLN","Sort=A","Dates=H","DateFormat=P","Fill=—","Direction=H","UseDPDF=Y")</f>
        <v>0</v>
      </c>
      <c r="E42" s="13">
        <f>_xll.BDH("NBIX US Equity","IS_TOT_CASH_PFD_DVD","FQ4 2019","FQ4 2019","Currency=USD","Period=FQ","BEST_FPERIOD_OVERRIDE=FQ","FILING_STATUS=MR","SCALING_FORMAT=MLN","Sort=A","Dates=H","DateFormat=P","Fill=—","Direction=H","UseDPDF=Y")</f>
        <v>0</v>
      </c>
      <c r="F42" s="13">
        <f>_xll.BDH("NBIX US Equity","IS_TOT_CASH_PFD_DVD","FQ1 2020","FQ1 2020","Currency=USD","Period=FQ","BEST_FPERIOD_OVERRIDE=FQ","FILING_STATUS=MR","SCALING_FORMAT=MLN","Sort=A","Dates=H","DateFormat=P","Fill=—","Direction=H","UseDPDF=Y")</f>
        <v>0</v>
      </c>
      <c r="G42" s="13">
        <f>_xll.BDH("NBIX US Equity","IS_TOT_CASH_PFD_DVD","FQ2 2020","FQ2 2020","Currency=USD","Period=FQ","BEST_FPERIOD_OVERRIDE=FQ","FILING_STATUS=MR","SCALING_FORMAT=MLN","Sort=A","Dates=H","DateFormat=P","Fill=—","Direction=H","UseDPDF=Y")</f>
        <v>0</v>
      </c>
      <c r="H42" s="13">
        <f>_xll.BDH("NBIX US Equity","IS_TOT_CASH_PFD_DVD","FQ3 2020","FQ3 2020","Currency=USD","Period=FQ","BEST_FPERIOD_OVERRIDE=FQ","FILING_STATUS=MR","SCALING_FORMAT=MLN","Sort=A","Dates=H","DateFormat=P","Fill=—","Direction=H","UseDPDF=Y")</f>
        <v>0</v>
      </c>
      <c r="I42" s="13">
        <f>_xll.BDH("NBIX US Equity","IS_TOT_CASH_PFD_DVD","FQ4 2020","FQ4 2020","Currency=USD","Period=FQ","BEST_FPERIOD_OVERRIDE=FQ","FILING_STATUS=MR","SCALING_FORMAT=MLN","Sort=A","Dates=H","DateFormat=P","Fill=—","Direction=H","UseDPDF=Y")</f>
        <v>0</v>
      </c>
      <c r="J42" s="13">
        <f>_xll.BDH("NBIX US Equity","IS_TOT_CASH_PFD_DVD","FQ1 2021","FQ1 2021","Currency=USD","Period=FQ","BEST_FPERIOD_OVERRIDE=FQ","FILING_STATUS=MR","SCALING_FORMAT=MLN","Sort=A","Dates=H","DateFormat=P","Fill=—","Direction=H","UseDPDF=Y")</f>
        <v>0</v>
      </c>
      <c r="K42" s="13">
        <f>_xll.BDH("NBIX US Equity","IS_TOT_CASH_PFD_DVD","FQ2 2021","FQ2 2021","Currency=USD","Period=FQ","BEST_FPERIOD_OVERRIDE=FQ","FILING_STATUS=MR","SCALING_FORMAT=MLN","Sort=A","Dates=H","DateFormat=P","Fill=—","Direction=H","UseDPDF=Y")</f>
        <v>0</v>
      </c>
      <c r="L42" s="13">
        <f>_xll.BDH("NBIX US Equity","IS_TOT_CASH_PFD_DVD","FQ3 2021","FQ3 2021","Currency=USD","Period=FQ","BEST_FPERIOD_OVERRIDE=FQ","FILING_STATUS=MR","SCALING_FORMAT=MLN","Sort=A","Dates=H","DateFormat=P","Fill=—","Direction=H","UseDPDF=Y")</f>
        <v>0</v>
      </c>
      <c r="M42" s="13">
        <f>_xll.BDH("NBIX US Equity","IS_TOT_CASH_PFD_DVD","FQ4 2021","FQ4 2021","Currency=USD","Period=FQ","BEST_FPERIOD_OVERRIDE=FQ","FILING_STATUS=MR","SCALING_FORMAT=MLN","Sort=A","Dates=H","DateFormat=P","Fill=—","Direction=H","UseDPDF=Y")</f>
        <v>0</v>
      </c>
      <c r="N42" s="13">
        <f>_xll.BDH("NBIX US Equity","IS_TOT_CASH_PFD_DVD","FQ1 2022","FQ1 2022","Currency=USD","Period=FQ","BEST_FPERIOD_OVERRIDE=FQ","FILING_STATUS=MR","SCALING_FORMAT=MLN","Sort=A","Dates=H","DateFormat=P","Fill=—","Direction=H","UseDPDF=Y")</f>
        <v>0</v>
      </c>
      <c r="O42" s="13">
        <f>_xll.BDH("NBIX US Equity","IS_TOT_CASH_PFD_DVD","FQ2 2022","FQ2 2022","Currency=USD","Period=FQ","BEST_FPERIOD_OVERRIDE=FQ","FILING_STATUS=MR","SCALING_FORMAT=MLN","Sort=A","Dates=H","DateFormat=P","Fill=—","Direction=H","UseDPDF=Y")</f>
        <v>0</v>
      </c>
      <c r="P42" s="13">
        <f>_xll.BDH("NBIX US Equity","IS_TOT_CASH_PFD_DVD","FQ3 2022","FQ3 2022","Currency=USD","Period=FQ","BEST_FPERIOD_OVERRIDE=FQ","FILING_STATUS=MR","SCALING_FORMAT=MLN","Sort=A","Dates=H","DateFormat=P","Fill=—","Direction=H","UseDPDF=Y")</f>
        <v>0</v>
      </c>
      <c r="Q42" s="13">
        <f>_xll.BDH("NBIX US Equity","IS_TOT_CASH_PFD_DVD","FQ4 2022","FQ4 2022","Currency=USD","Period=FQ","BEST_FPERIOD_OVERRIDE=FQ","FILING_STATUS=MR","SCALING_FORMAT=MLN","Sort=A","Dates=H","DateFormat=P","Fill=—","Direction=H","UseDPDF=Y")</f>
        <v>0</v>
      </c>
      <c r="R42" s="13">
        <f>_xll.BDH("NBIX US Equity","IS_TOT_CASH_PFD_DVD","FQ1 2023","FQ1 2023","Currency=USD","Period=FQ","BEST_FPERIOD_OVERRIDE=FQ","FILING_STATUS=MR","SCALING_FORMAT=MLN","Sort=A","Dates=H","DateFormat=P","Fill=—","Direction=H","UseDPDF=Y")</f>
        <v>0</v>
      </c>
      <c r="S42" s="13">
        <f>_xll.BDH("NBIX US Equity","IS_TOT_CASH_PFD_DVD","FQ2 2023","FQ2 2023","Currency=USD","Period=FQ","BEST_FPERIOD_OVERRIDE=FQ","FILING_STATUS=MR","SCALING_FORMAT=MLN","Sort=A","Dates=H","DateFormat=P","Fill=—","Direction=H","UseDPDF=Y")</f>
        <v>0</v>
      </c>
      <c r="T42" s="13">
        <f>_xll.BDH("NBIX US Equity","IS_TOT_CASH_PFD_DVD","FQ3 2023","FQ3 2023","Currency=USD","Period=FQ","BEST_FPERIOD_OVERRIDE=FQ","FILING_STATUS=MR","SCALING_FORMAT=MLN","Sort=A","Dates=H","DateFormat=P","Fill=—","Direction=H","UseDPDF=Y")</f>
        <v>0</v>
      </c>
      <c r="U42" s="13">
        <f>_xll.BDH("NBIX US Equity","IS_TOT_CASH_PFD_DVD","FQ4 2023","FQ4 2023","Currency=USD","Period=FQ","BEST_FPERIOD_OVERRIDE=FQ","FILING_STATUS=MR","SCALING_FORMAT=MLN","Sort=A","Dates=H","DateFormat=P","Fill=—","Direction=H","UseDPDF=Y")</f>
        <v>0</v>
      </c>
      <c r="V42" s="13">
        <f>_xll.BDH("NBIX US Equity","IS_TOT_CASH_PFD_DVD","FQ1 2024","FQ1 2024","Currency=USD","Period=FQ","BEST_FPERIOD_OVERRIDE=FQ","FILING_STATUS=MR","SCALING_FORMAT=MLN","Sort=A","Dates=H","DateFormat=P","Fill=—","Direction=H","UseDPDF=Y")</f>
        <v>0</v>
      </c>
      <c r="W42" s="13">
        <f>_xll.BDH("NBIX US Equity","IS_TOT_CASH_PFD_DVD","FQ2 2024","FQ2 2024","Currency=USD","Period=FQ","BEST_FPERIOD_OVERRIDE=FQ","FILING_STATUS=MR","SCALING_FORMAT=MLN","Sort=A","Dates=H","DateFormat=P","Fill=—","Direction=H","UseDPDF=Y")</f>
        <v>0</v>
      </c>
      <c r="X42" s="13">
        <f>_xll.BDH("NBIX US Equity","IS_TOT_CASH_PFD_DVD","FQ3 2024","FQ3 2024","Currency=USD","Period=FQ","BEST_FPERIOD_OVERRIDE=FQ","FILING_STATUS=MR","SCALING_FORMAT=MLN","Sort=A","Dates=H","DateFormat=P","Fill=—","Direction=H","UseDPDF=Y")</f>
        <v>0</v>
      </c>
      <c r="Y42" s="13">
        <f>_xll.BDH("NBIX US Equity","IS_TOT_CASH_PFD_DVD","FQ4 2024","FQ4 2024","Currency=USD","Period=FQ","BEST_FPERIOD_OVERRIDE=FQ","FILING_STATUS=MR","SCALING_FORMAT=MLN","Sort=A","Dates=H","DateFormat=P","Fill=—","Direction=H","UseDPDF=Y")</f>
        <v>0</v>
      </c>
      <c r="Z42" s="13"/>
      <c r="AA42" s="13"/>
    </row>
    <row r="43" spans="1:27" x14ac:dyDescent="0.25">
      <c r="A43" s="10" t="s">
        <v>380</v>
      </c>
      <c r="B43" s="10" t="s">
        <v>381</v>
      </c>
      <c r="C43" s="13">
        <f>_xll.BDH("NBIX US Equity","OTHER_ADJUSTMENTS","FQ2 2019","FQ2 2019","Currency=USD","Period=FQ","BEST_FPERIOD_OVERRIDE=FQ","FILING_STATUS=MR","SCALING_FORMAT=MLN","Sort=A","Dates=H","DateFormat=P","Fill=—","Direction=H","UseDPDF=Y")</f>
        <v>0</v>
      </c>
      <c r="D43" s="13">
        <f>_xll.BDH("NBIX US Equity","OTHER_ADJUSTMENTS","FQ3 2019","FQ3 2019","Currency=USD","Period=FQ","BEST_FPERIOD_OVERRIDE=FQ","FILING_STATUS=MR","SCALING_FORMAT=MLN","Sort=A","Dates=H","DateFormat=P","Fill=—","Direction=H","UseDPDF=Y")</f>
        <v>0</v>
      </c>
      <c r="E43" s="13">
        <f>_xll.BDH("NBIX US Equity","OTHER_ADJUSTMENTS","FQ4 2019","FQ4 2019","Currency=USD","Period=FQ","BEST_FPERIOD_OVERRIDE=FQ","FILING_STATUS=MR","SCALING_FORMAT=MLN","Sort=A","Dates=H","DateFormat=P","Fill=—","Direction=H","UseDPDF=Y")</f>
        <v>0</v>
      </c>
      <c r="F43" s="13">
        <f>_xll.BDH("NBIX US Equity","OTHER_ADJUSTMENTS","FQ1 2020","FQ1 2020","Currency=USD","Period=FQ","BEST_FPERIOD_OVERRIDE=FQ","FILING_STATUS=MR","SCALING_FORMAT=MLN","Sort=A","Dates=H","DateFormat=P","Fill=—","Direction=H","UseDPDF=Y")</f>
        <v>0</v>
      </c>
      <c r="G43" s="13">
        <f>_xll.BDH("NBIX US Equity","OTHER_ADJUSTMENTS","FQ2 2020","FQ2 2020","Currency=USD","Period=FQ","BEST_FPERIOD_OVERRIDE=FQ","FILING_STATUS=MR","SCALING_FORMAT=MLN","Sort=A","Dates=H","DateFormat=P","Fill=—","Direction=H","UseDPDF=Y")</f>
        <v>0</v>
      </c>
      <c r="H43" s="13">
        <f>_xll.BDH("NBIX US Equity","OTHER_ADJUSTMENTS","FQ3 2020","FQ3 2020","Currency=USD","Period=FQ","BEST_FPERIOD_OVERRIDE=FQ","FILING_STATUS=MR","SCALING_FORMAT=MLN","Sort=A","Dates=H","DateFormat=P","Fill=—","Direction=H","UseDPDF=Y")</f>
        <v>0</v>
      </c>
      <c r="I43" s="13">
        <f>_xll.BDH("NBIX US Equity","OTHER_ADJUSTMENTS","FQ4 2020","FQ4 2020","Currency=USD","Period=FQ","BEST_FPERIOD_OVERRIDE=FQ","FILING_STATUS=MR","SCALING_FORMAT=MLN","Sort=A","Dates=H","DateFormat=P","Fill=—","Direction=H","UseDPDF=Y")</f>
        <v>0</v>
      </c>
      <c r="J43" s="13">
        <f>_xll.BDH("NBIX US Equity","OTHER_ADJUSTMENTS","FQ1 2021","FQ1 2021","Currency=USD","Period=FQ","BEST_FPERIOD_OVERRIDE=FQ","FILING_STATUS=MR","SCALING_FORMAT=MLN","Sort=A","Dates=H","DateFormat=P","Fill=—","Direction=H","UseDPDF=Y")</f>
        <v>0</v>
      </c>
      <c r="K43" s="13">
        <f>_xll.BDH("NBIX US Equity","OTHER_ADJUSTMENTS","FQ2 2021","FQ2 2021","Currency=USD","Period=FQ","BEST_FPERIOD_OVERRIDE=FQ","FILING_STATUS=MR","SCALING_FORMAT=MLN","Sort=A","Dates=H","DateFormat=P","Fill=—","Direction=H","UseDPDF=Y")</f>
        <v>0</v>
      </c>
      <c r="L43" s="13">
        <f>_xll.BDH("NBIX US Equity","OTHER_ADJUSTMENTS","FQ3 2021","FQ3 2021","Currency=USD","Period=FQ","BEST_FPERIOD_OVERRIDE=FQ","FILING_STATUS=MR","SCALING_FORMAT=MLN","Sort=A","Dates=H","DateFormat=P","Fill=—","Direction=H","UseDPDF=Y")</f>
        <v>0</v>
      </c>
      <c r="M43" s="13">
        <f>_xll.BDH("NBIX US Equity","OTHER_ADJUSTMENTS","FQ4 2021","FQ4 2021","Currency=USD","Period=FQ","BEST_FPERIOD_OVERRIDE=FQ","FILING_STATUS=MR","SCALING_FORMAT=MLN","Sort=A","Dates=H","DateFormat=P","Fill=—","Direction=H","UseDPDF=Y")</f>
        <v>0</v>
      </c>
      <c r="N43" s="13">
        <f>_xll.BDH("NBIX US Equity","OTHER_ADJUSTMENTS","FQ1 2022","FQ1 2022","Currency=USD","Period=FQ","BEST_FPERIOD_OVERRIDE=FQ","FILING_STATUS=MR","SCALING_FORMAT=MLN","Sort=A","Dates=H","DateFormat=P","Fill=—","Direction=H","UseDPDF=Y")</f>
        <v>0</v>
      </c>
      <c r="O43" s="13">
        <f>_xll.BDH("NBIX US Equity","OTHER_ADJUSTMENTS","FQ2 2022","FQ2 2022","Currency=USD","Period=FQ","BEST_FPERIOD_OVERRIDE=FQ","FILING_STATUS=MR","SCALING_FORMAT=MLN","Sort=A","Dates=H","DateFormat=P","Fill=—","Direction=H","UseDPDF=Y")</f>
        <v>0</v>
      </c>
      <c r="P43" s="13">
        <f>_xll.BDH("NBIX US Equity","OTHER_ADJUSTMENTS","FQ3 2022","FQ3 2022","Currency=USD","Period=FQ","BEST_FPERIOD_OVERRIDE=FQ","FILING_STATUS=MR","SCALING_FORMAT=MLN","Sort=A","Dates=H","DateFormat=P","Fill=—","Direction=H","UseDPDF=Y")</f>
        <v>0</v>
      </c>
      <c r="Q43" s="13">
        <f>_xll.BDH("NBIX US Equity","OTHER_ADJUSTMENTS","FQ4 2022","FQ4 2022","Currency=USD","Period=FQ","BEST_FPERIOD_OVERRIDE=FQ","FILING_STATUS=MR","SCALING_FORMAT=MLN","Sort=A","Dates=H","DateFormat=P","Fill=—","Direction=H","UseDPDF=Y")</f>
        <v>0</v>
      </c>
      <c r="R43" s="13">
        <f>_xll.BDH("NBIX US Equity","OTHER_ADJUSTMENTS","FQ1 2023","FQ1 2023","Currency=USD","Period=FQ","BEST_FPERIOD_OVERRIDE=FQ","FILING_STATUS=MR","SCALING_FORMAT=MLN","Sort=A","Dates=H","DateFormat=P","Fill=—","Direction=H","UseDPDF=Y")</f>
        <v>0</v>
      </c>
      <c r="S43" s="13">
        <f>_xll.BDH("NBIX US Equity","OTHER_ADJUSTMENTS","FQ2 2023","FQ2 2023","Currency=USD","Period=FQ","BEST_FPERIOD_OVERRIDE=FQ","FILING_STATUS=MR","SCALING_FORMAT=MLN","Sort=A","Dates=H","DateFormat=P","Fill=—","Direction=H","UseDPDF=Y")</f>
        <v>0</v>
      </c>
      <c r="T43" s="13">
        <f>_xll.BDH("NBIX US Equity","OTHER_ADJUSTMENTS","FQ3 2023","FQ3 2023","Currency=USD","Period=FQ","BEST_FPERIOD_OVERRIDE=FQ","FILING_STATUS=MR","SCALING_FORMAT=MLN","Sort=A","Dates=H","DateFormat=P","Fill=—","Direction=H","UseDPDF=Y")</f>
        <v>0</v>
      </c>
      <c r="U43" s="13">
        <f>_xll.BDH("NBIX US Equity","OTHER_ADJUSTMENTS","FQ4 2023","FQ4 2023","Currency=USD","Period=FQ","BEST_FPERIOD_OVERRIDE=FQ","FILING_STATUS=MR","SCALING_FORMAT=MLN","Sort=A","Dates=H","DateFormat=P","Fill=—","Direction=H","UseDPDF=Y")</f>
        <v>0</v>
      </c>
      <c r="V43" s="13">
        <f>_xll.BDH("NBIX US Equity","OTHER_ADJUSTMENTS","FQ1 2024","FQ1 2024","Currency=USD","Period=FQ","BEST_FPERIOD_OVERRIDE=FQ","FILING_STATUS=MR","SCALING_FORMAT=MLN","Sort=A","Dates=H","DateFormat=P","Fill=—","Direction=H","UseDPDF=Y")</f>
        <v>0</v>
      </c>
      <c r="W43" s="13">
        <f>_xll.BDH("NBIX US Equity","OTHER_ADJUSTMENTS","FQ2 2024","FQ2 2024","Currency=USD","Period=FQ","BEST_FPERIOD_OVERRIDE=FQ","FILING_STATUS=MR","SCALING_FORMAT=MLN","Sort=A","Dates=H","DateFormat=P","Fill=—","Direction=H","UseDPDF=Y")</f>
        <v>0</v>
      </c>
      <c r="X43" s="13">
        <f>_xll.BDH("NBIX US Equity","OTHER_ADJUSTMENTS","FQ3 2024","FQ3 2024","Currency=USD","Period=FQ","BEST_FPERIOD_OVERRIDE=FQ","FILING_STATUS=MR","SCALING_FORMAT=MLN","Sort=A","Dates=H","DateFormat=P","Fill=—","Direction=H","UseDPDF=Y")</f>
        <v>0</v>
      </c>
      <c r="Y43" s="13">
        <f>_xll.BDH("NBIX US Equity","OTHER_ADJUSTMENTS","FQ4 2024","FQ4 2024","Currency=USD","Period=FQ","BEST_FPERIOD_OVERRIDE=FQ","FILING_STATUS=MR","SCALING_FORMAT=MLN","Sort=A","Dates=H","DateFormat=P","Fill=—","Direction=H","UseDPDF=Y")</f>
        <v>0</v>
      </c>
      <c r="Z43" s="13"/>
      <c r="AA43" s="13"/>
    </row>
    <row r="44" spans="1:27" x14ac:dyDescent="0.25">
      <c r="A44" s="6" t="s">
        <v>382</v>
      </c>
      <c r="B44" s="6" t="s">
        <v>80</v>
      </c>
      <c r="C44" s="19">
        <f>_xll.BDH("NBIX US Equity","EARN_FOR_COMMON","FQ2 2019","FQ2 2019","Currency=USD","Period=FQ","BEST_FPERIOD_OVERRIDE=FQ","FILING_STATUS=MR","SCALING_FORMAT=MLN","FA_ADJUSTED=GAAP","Sort=A","Dates=H","DateFormat=P","Fill=—","Direction=H","UseDPDF=Y")</f>
        <v>51.338000000000001</v>
      </c>
      <c r="D44" s="19">
        <f>_xll.BDH("NBIX US Equity","EARN_FOR_COMMON","FQ3 2019","FQ3 2019","Currency=USD","Period=FQ","BEST_FPERIOD_OVERRIDE=FQ","FILING_STATUS=MR","SCALING_FORMAT=MLN","FA_ADJUSTED=GAAP","Sort=A","Dates=H","DateFormat=P","Fill=—","Direction=H","UseDPDF=Y")</f>
        <v>53.789000000000001</v>
      </c>
      <c r="E44" s="19">
        <f>_xll.BDH("NBIX US Equity","EARN_FOR_COMMON","FQ4 2019","FQ4 2019","Currency=USD","Period=FQ","BEST_FPERIOD_OVERRIDE=FQ","FILING_STATUS=MR","SCALING_FORMAT=MLN","FA_ADJUSTED=GAAP","Sort=A","Dates=H","DateFormat=P","Fill=—","Direction=H","UseDPDF=Y")</f>
        <v>34</v>
      </c>
      <c r="F44" s="19">
        <f>_xll.BDH("NBIX US Equity","EARN_FOR_COMMON","FQ1 2020","FQ1 2020","Currency=USD","Period=FQ","BEST_FPERIOD_OVERRIDE=FQ","FILING_STATUS=MR","SCALING_FORMAT=MLN","FA_ADJUSTED=GAAP","Sort=A","Dates=H","DateFormat=P","Fill=—","Direction=H","UseDPDF=Y")</f>
        <v>37.4</v>
      </c>
      <c r="G44" s="19">
        <f>_xll.BDH("NBIX US Equity","EARN_FOR_COMMON","FQ2 2020","FQ2 2020","Currency=USD","Period=FQ","BEST_FPERIOD_OVERRIDE=FQ","FILING_STATUS=MR","SCALING_FORMAT=MLN","FA_ADJUSTED=GAAP","Sort=A","Dates=H","DateFormat=P","Fill=—","Direction=H","UseDPDF=Y")</f>
        <v>79.599999999999994</v>
      </c>
      <c r="H44" s="19">
        <f>_xll.BDH("NBIX US Equity","EARN_FOR_COMMON","FQ3 2020","FQ3 2020","Currency=USD","Period=FQ","BEST_FPERIOD_OVERRIDE=FQ","FILING_STATUS=MR","SCALING_FORMAT=MLN","FA_ADJUSTED=GAAP","Sort=A","Dates=H","DateFormat=P","Fill=—","Direction=H","UseDPDF=Y")</f>
        <v>-57.6</v>
      </c>
      <c r="I44" s="19">
        <f>_xll.BDH("NBIX US Equity","EARN_FOR_COMMON","FQ4 2020","FQ4 2020","Currency=USD","Period=FQ","BEST_FPERIOD_OVERRIDE=FQ","FILING_STATUS=MR","SCALING_FORMAT=MLN","FA_ADJUSTED=GAAP","Sort=A","Dates=H","DateFormat=P","Fill=—","Direction=H","UseDPDF=Y")</f>
        <v>347.9</v>
      </c>
      <c r="J44" s="19">
        <f>_xll.BDH("NBIX US Equity","EARN_FOR_COMMON","FQ1 2021","FQ1 2021","Currency=USD","Period=FQ","BEST_FPERIOD_OVERRIDE=FQ","FILING_STATUS=MR","SCALING_FORMAT=MLN","FA_ADJUSTED=GAAP","Sort=A","Dates=H","DateFormat=P","Fill=—","Direction=H","UseDPDF=Y")</f>
        <v>32.1</v>
      </c>
      <c r="K44" s="19">
        <f>_xll.BDH("NBIX US Equity","EARN_FOR_COMMON","FQ2 2021","FQ2 2021","Currency=USD","Period=FQ","BEST_FPERIOD_OVERRIDE=FQ","FILING_STATUS=MR","SCALING_FORMAT=MLN","FA_ADJUSTED=GAAP","Sort=A","Dates=H","DateFormat=P","Fill=—","Direction=H","UseDPDF=Y")</f>
        <v>42.3</v>
      </c>
      <c r="L44" s="19">
        <f>_xll.BDH("NBIX US Equity","EARN_FOR_COMMON","FQ3 2021","FQ3 2021","Currency=USD","Period=FQ","BEST_FPERIOD_OVERRIDE=FQ","FILING_STATUS=MR","SCALING_FORMAT=MLN","FA_ADJUSTED=GAAP","Sort=A","Dates=H","DateFormat=P","Fill=—","Direction=H","UseDPDF=Y")</f>
        <v>22.5</v>
      </c>
      <c r="M44" s="19">
        <f>_xll.BDH("NBIX US Equity","EARN_FOR_COMMON","FQ4 2021","FQ4 2021","Currency=USD","Period=FQ","BEST_FPERIOD_OVERRIDE=FQ","FILING_STATUS=MR","SCALING_FORMAT=MLN","FA_ADJUSTED=GAAP","Sort=A","Dates=H","DateFormat=P","Fill=—","Direction=H","UseDPDF=Y")</f>
        <v>-7.3</v>
      </c>
      <c r="N44" s="19">
        <f>_xll.BDH("NBIX US Equity","EARN_FOR_COMMON","FQ1 2022","FQ1 2022","Currency=USD","Period=FQ","BEST_FPERIOD_OVERRIDE=FQ","FILING_STATUS=MR","SCALING_FORMAT=MLN","FA_ADJUSTED=GAAP","Sort=A","Dates=H","DateFormat=P","Fill=—","Direction=H","UseDPDF=Y")</f>
        <v>13.9</v>
      </c>
      <c r="O44" s="19">
        <f>_xll.BDH("NBIX US Equity","EARN_FOR_COMMON","FQ2 2022","FQ2 2022","Currency=USD","Period=FQ","BEST_FPERIOD_OVERRIDE=FQ","FILING_STATUS=MR","SCALING_FORMAT=MLN","FA_ADJUSTED=GAAP","Sort=A","Dates=H","DateFormat=P","Fill=—","Direction=H","UseDPDF=Y")</f>
        <v>-16.899999999999999</v>
      </c>
      <c r="P44" s="19">
        <f>_xll.BDH("NBIX US Equity","EARN_FOR_COMMON","FQ3 2022","FQ3 2022","Currency=USD","Period=FQ","BEST_FPERIOD_OVERRIDE=FQ","FILING_STATUS=MR","SCALING_FORMAT=MLN","FA_ADJUSTED=GAAP","Sort=A","Dates=H","DateFormat=P","Fill=—","Direction=H","UseDPDF=Y")</f>
        <v>68.5</v>
      </c>
      <c r="Q44" s="19">
        <f>_xll.BDH("NBIX US Equity","EARN_FOR_COMMON","FQ4 2022","FQ4 2022","Currency=USD","Period=FQ","BEST_FPERIOD_OVERRIDE=FQ","FILING_STATUS=MR","SCALING_FORMAT=MLN","FA_ADJUSTED=GAAP","Sort=A","Dates=H","DateFormat=P","Fill=—","Direction=H","UseDPDF=Y")</f>
        <v>89</v>
      </c>
      <c r="R44" s="19">
        <f>_xll.BDH("NBIX US Equity","EARN_FOR_COMMON","FQ1 2023","FQ1 2023","Currency=USD","Period=FQ","BEST_FPERIOD_OVERRIDE=FQ","FILING_STATUS=MR","SCALING_FORMAT=MLN","FA_ADJUSTED=GAAP","Sort=A","Dates=H","DateFormat=P","Fill=—","Direction=H","UseDPDF=Y")</f>
        <v>-76.599999999999994</v>
      </c>
      <c r="S44" s="19">
        <f>_xll.BDH("NBIX US Equity","EARN_FOR_COMMON","FQ2 2023","FQ2 2023","Currency=USD","Period=FQ","BEST_FPERIOD_OVERRIDE=FQ","FILING_STATUS=MR","SCALING_FORMAT=MLN","FA_ADJUSTED=GAAP","Sort=A","Dates=H","DateFormat=P","Fill=—","Direction=H","UseDPDF=Y")</f>
        <v>95.5</v>
      </c>
      <c r="T44" s="19">
        <f>_xll.BDH("NBIX US Equity","EARN_FOR_COMMON","FQ3 2023","FQ3 2023","Currency=USD","Period=FQ","BEST_FPERIOD_OVERRIDE=FQ","FILING_STATUS=MR","SCALING_FORMAT=MLN","FA_ADJUSTED=GAAP","Sort=A","Dates=H","DateFormat=P","Fill=—","Direction=H","UseDPDF=Y")</f>
        <v>83.1</v>
      </c>
      <c r="U44" s="19">
        <f>_xll.BDH("NBIX US Equity","EARN_FOR_COMMON","FQ4 2023","FQ4 2023","Currency=USD","Period=FQ","BEST_FPERIOD_OVERRIDE=FQ","FILING_STATUS=MR","SCALING_FORMAT=MLN","FA_ADJUSTED=GAAP","Sort=A","Dates=H","DateFormat=P","Fill=—","Direction=H","UseDPDF=Y")</f>
        <v>147.69999999999999</v>
      </c>
      <c r="V44" s="19">
        <f>_xll.BDH("NBIX US Equity","EARN_FOR_COMMON","FQ1 2024","FQ1 2024","Currency=USD","Period=FQ","BEST_FPERIOD_OVERRIDE=FQ","FILING_STATUS=MR","SCALING_FORMAT=MLN","FA_ADJUSTED=GAAP","Sort=A","Dates=H","DateFormat=P","Fill=—","Direction=H","UseDPDF=Y")</f>
        <v>43.4</v>
      </c>
      <c r="W44" s="19">
        <f>_xll.BDH("NBIX US Equity","EARN_FOR_COMMON","FQ2 2024","FQ2 2024","Currency=USD","Period=FQ","BEST_FPERIOD_OVERRIDE=FQ","FILING_STATUS=MR","SCALING_FORMAT=MLN","FA_ADJUSTED=GAAP","Sort=A","Dates=H","DateFormat=P","Fill=—","Direction=H","UseDPDF=Y")</f>
        <v>65</v>
      </c>
      <c r="X44" s="19">
        <f>_xll.BDH("NBIX US Equity","EARN_FOR_COMMON","FQ3 2024","FQ3 2024","Currency=USD","Period=FQ","BEST_FPERIOD_OVERRIDE=FQ","FILING_STATUS=MR","SCALING_FORMAT=MLN","FA_ADJUSTED=GAAP","Sort=A","Dates=H","DateFormat=P","Fill=—","Direction=H","UseDPDF=Y")</f>
        <v>129.80000000000001</v>
      </c>
      <c r="Y44" s="19">
        <f>_xll.BDH("NBIX US Equity","EARN_FOR_COMMON","FQ4 2024","FQ4 2024","Currency=USD","Period=FQ","BEST_FPERIOD_OVERRIDE=FQ","FILING_STATUS=MR","SCALING_FORMAT=MLN","FA_ADJUSTED=GAAP","Sort=A","Dates=H","DateFormat=P","Fill=—","Direction=H","UseDPDF=Y")</f>
        <v>103.1</v>
      </c>
      <c r="Z44" s="19">
        <v>85.611000000000004</v>
      </c>
      <c r="AA44" s="19">
        <v>97.533000000000001</v>
      </c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6" t="s">
        <v>383</v>
      </c>
      <c r="B46" s="6" t="s">
        <v>80</v>
      </c>
      <c r="C46" s="19">
        <f>_xll.BDH("NBIX US Equity","EARN_FOR_COMMON","FQ2 2019","FQ2 2019","Currency=USD","Period=FQ","BEST_FPERIOD_OVERRIDE=FQ","FILING_STATUS=MR","SCALING_FORMAT=MLN","FA_ADJUSTED=Adjusted","Sort=A","Dates=H","DateFormat=P","Fill=—","Direction=H","UseDPDF=Y")</f>
        <v>38.725700000000003</v>
      </c>
      <c r="D46" s="19">
        <f>_xll.BDH("NBIX US Equity","EARN_FOR_COMMON","FQ3 2019","FQ3 2019","Currency=USD","Period=FQ","BEST_FPERIOD_OVERRIDE=FQ","FILING_STATUS=MR","SCALING_FORMAT=MLN","FA_ADJUSTED=Adjusted","Sort=A","Dates=H","DateFormat=P","Fill=—","Direction=H","UseDPDF=Y")</f>
        <v>76.264499999999998</v>
      </c>
      <c r="E46" s="19">
        <f>_xll.BDH("NBIX US Equity","EARN_FOR_COMMON","FQ4 2019","FQ4 2019","Currency=USD","Period=FQ","BEST_FPERIOD_OVERRIDE=FQ","FILING_STATUS=MR","SCALING_FORMAT=MLN","FA_ADJUSTED=Adjusted","Sort=A","Dates=H","DateFormat=P","Fill=—","Direction=H","UseDPDF=Y")</f>
        <v>76.896799999999999</v>
      </c>
      <c r="F46" s="19">
        <f>_xll.BDH("NBIX US Equity","EARN_FOR_COMMON","FQ1 2020","FQ1 2020","Currency=USD","Period=FQ","BEST_FPERIOD_OVERRIDE=FQ","FILING_STATUS=MR","SCALING_FORMAT=MLN","FA_ADJUSTED=Adjusted","Sort=A","Dates=H","DateFormat=P","Fill=—","Direction=H","UseDPDF=Y")</f>
        <v>53.290300000000002</v>
      </c>
      <c r="G46" s="19">
        <f>_xll.BDH("NBIX US Equity","EARN_FOR_COMMON","FQ2 2020","FQ2 2020","Currency=USD","Period=FQ","BEST_FPERIOD_OVERRIDE=FQ","FILING_STATUS=MR","SCALING_FORMAT=MLN","FA_ADJUSTED=Adjusted","Sort=A","Dates=H","DateFormat=P","Fill=—","Direction=H","UseDPDF=Y")</f>
        <v>114.2418</v>
      </c>
      <c r="H46" s="19">
        <f>_xll.BDH("NBIX US Equity","EARN_FOR_COMMON","FQ3 2020","FQ3 2020","Currency=USD","Period=FQ","BEST_FPERIOD_OVERRIDE=FQ","FILING_STATUS=MR","SCALING_FORMAT=MLN","FA_ADJUSTED=Adjusted","Sort=A","Dates=H","DateFormat=P","Fill=—","Direction=H","UseDPDF=Y")</f>
        <v>65.025999999999996</v>
      </c>
      <c r="I46" s="19">
        <f>_xll.BDH("NBIX US Equity","EARN_FOR_COMMON","FQ4 2020","FQ4 2020","Currency=USD","Period=FQ","BEST_FPERIOD_OVERRIDE=FQ","FILING_STATUS=MR","SCALING_FORMAT=MLN","FA_ADJUSTED=Adjusted","Sort=A","Dates=H","DateFormat=P","Fill=—","Direction=H","UseDPDF=Y")</f>
        <v>221.69630000000001</v>
      </c>
      <c r="J46" s="19">
        <f>_xll.BDH("NBIX US Equity","EARN_FOR_COMMON","FQ1 2021","FQ1 2021","Currency=USD","Period=FQ","BEST_FPERIOD_OVERRIDE=FQ","FILING_STATUS=MR","SCALING_FORMAT=MLN","FA_ADJUSTED=Adjusted","Sort=A","Dates=H","DateFormat=P","Fill=—","Direction=H","UseDPDF=Y")</f>
        <v>31.7867</v>
      </c>
      <c r="K46" s="19">
        <f>_xll.BDH("NBIX US Equity","EARN_FOR_COMMON","FQ2 2021","FQ2 2021","Currency=USD","Period=FQ","BEST_FPERIOD_OVERRIDE=FQ","FILING_STATUS=MR","SCALING_FORMAT=MLN","FA_ADJUSTED=Adjusted","Sort=A","Dates=H","DateFormat=P","Fill=—","Direction=H","UseDPDF=Y")</f>
        <v>46.698099999999997</v>
      </c>
      <c r="L46" s="19">
        <f>_xll.BDH("NBIX US Equity","EARN_FOR_COMMON","FQ3 2021","FQ3 2021","Currency=USD","Period=FQ","BEST_FPERIOD_OVERRIDE=FQ","FILING_STATUS=MR","SCALING_FORMAT=MLN","FA_ADJUSTED=Adjusted","Sort=A","Dates=H","DateFormat=P","Fill=—","Direction=H","UseDPDF=Y")</f>
        <v>29.953099999999999</v>
      </c>
      <c r="M46" s="19">
        <f>_xll.BDH("NBIX US Equity","EARN_FOR_COMMON","FQ4 2021","FQ4 2021","Currency=USD","Period=FQ","BEST_FPERIOD_OVERRIDE=FQ","FILING_STATUS=MR","SCALING_FORMAT=MLN","FA_ADJUSTED=Adjusted","Sort=A","Dates=H","DateFormat=P","Fill=—","Direction=H","UseDPDF=Y")</f>
        <v>49.500999999999998</v>
      </c>
      <c r="N46" s="19">
        <f>_xll.BDH("NBIX US Equity","EARN_FOR_COMMON","FQ1 2022","FQ1 2022","Currency=USD","Period=FQ","BEST_FPERIOD_OVERRIDE=FQ","FILING_STATUS=MR","SCALING_FORMAT=MLN","FA_ADJUSTED=Adjusted","Sort=A","Dates=H","DateFormat=P","Fill=—","Direction=H","UseDPDF=Y")</f>
        <v>-4.0669000000000004</v>
      </c>
      <c r="O46" s="19">
        <f>_xll.BDH("NBIX US Equity","EARN_FOR_COMMON","FQ2 2022","FQ2 2022","Currency=USD","Period=FQ","BEST_FPERIOD_OVERRIDE=FQ","FILING_STATUS=MR","SCALING_FORMAT=MLN","FA_ADJUSTED=Adjusted","Sort=A","Dates=H","DateFormat=P","Fill=—","Direction=H","UseDPDF=Y")</f>
        <v>-11.054</v>
      </c>
      <c r="P46" s="19">
        <f>_xll.BDH("NBIX US Equity","EARN_FOR_COMMON","FQ3 2022","FQ3 2022","Currency=USD","Period=FQ","BEST_FPERIOD_OVERRIDE=FQ","FILING_STATUS=MR","SCALING_FORMAT=MLN","FA_ADJUSTED=Adjusted","Sort=A","Dates=H","DateFormat=P","Fill=—","Direction=H","UseDPDF=Y")</f>
        <v>78.789299999999997</v>
      </c>
      <c r="Q46" s="19">
        <f>_xll.BDH("NBIX US Equity","EARN_FOR_COMMON","FQ4 2022","FQ4 2022","Currency=USD","Period=FQ","BEST_FPERIOD_OVERRIDE=FQ","FILING_STATUS=MR","SCALING_FORMAT=MLN","FA_ADJUSTED=Adjusted","Sort=A","Dates=H","DateFormat=P","Fill=—","Direction=H","UseDPDF=Y")</f>
        <v>90.033799999999999</v>
      </c>
      <c r="R46" s="19">
        <f>_xll.BDH("NBIX US Equity","EARN_FOR_COMMON","FQ1 2023","FQ1 2023","Currency=USD","Period=FQ","BEST_FPERIOD_OVERRIDE=FQ","FILING_STATUS=MR","SCALING_FORMAT=MLN","FA_ADJUSTED=Adjusted","Sort=A","Dates=H","DateFormat=P","Fill=—","Direction=H","UseDPDF=Y")</f>
        <v>35.544400000000003</v>
      </c>
      <c r="S46" s="19">
        <f>_xll.BDH("NBIX US Equity","EARN_FOR_COMMON","FQ2 2023","FQ2 2023","Currency=USD","Period=FQ","BEST_FPERIOD_OVERRIDE=FQ","FILING_STATUS=MR","SCALING_FORMAT=MLN","FA_ADJUSTED=Adjusted","Sort=A","Dates=H","DateFormat=P","Fill=—","Direction=H","UseDPDF=Y")</f>
        <v>66.033000000000001</v>
      </c>
      <c r="T46" s="19">
        <f>_xll.BDH("NBIX US Equity","EARN_FOR_COMMON","FQ3 2023","FQ3 2023","Currency=USD","Period=FQ","BEST_FPERIOD_OVERRIDE=FQ","FILING_STATUS=MR","SCALING_FORMAT=MLN","FA_ADJUSTED=Adjusted","Sort=A","Dates=H","DateFormat=P","Fill=—","Direction=H","UseDPDF=Y")</f>
        <v>138.017</v>
      </c>
      <c r="U46" s="19">
        <f>_xll.BDH("NBIX US Equity","EARN_FOR_COMMON","FQ4 2023","FQ4 2023","Currency=USD","Period=FQ","BEST_FPERIOD_OVERRIDE=FQ","FILING_STATUS=MR","SCALING_FORMAT=MLN","FA_ADJUSTED=Adjusted","Sort=A","Dates=H","DateFormat=P","Fill=—","Direction=H","UseDPDF=Y")</f>
        <v>124.79</v>
      </c>
      <c r="V46" s="19">
        <f>_xll.BDH("NBIX US Equity","EARN_FOR_COMMON","FQ1 2024","FQ1 2024","Currency=USD","Period=FQ","BEST_FPERIOD_OVERRIDE=FQ","FILING_STATUS=MR","SCALING_FORMAT=MLN","FA_ADJUSTED=Adjusted","Sort=A","Dates=H","DateFormat=P","Fill=—","Direction=H","UseDPDF=Y")</f>
        <v>47.158499999999997</v>
      </c>
      <c r="W46" s="19">
        <f>_xll.BDH("NBIX US Equity","EARN_FOR_COMMON","FQ2 2024","FQ2 2024","Currency=USD","Period=FQ","BEST_FPERIOD_OVERRIDE=FQ","FILING_STATUS=MR","SCALING_FORMAT=MLN","FA_ADJUSTED=Adjusted","Sort=A","Dates=H","DateFormat=P","Fill=—","Direction=H","UseDPDF=Y")</f>
        <v>174.25710000000001</v>
      </c>
      <c r="X46" s="19">
        <f>_xll.BDH("NBIX US Equity","EARN_FOR_COMMON","FQ3 2024","FQ3 2024","Currency=USD","Period=FQ","BEST_FPERIOD_OVERRIDE=FQ","FILING_STATUS=MR","SCALING_FORMAT=MLN","FA_ADJUSTED=Adjusted","Sort=A","Dates=H","DateFormat=P","Fill=—","Direction=H","UseDPDF=Y")</f>
        <v>157.27289999999999</v>
      </c>
      <c r="Y46" s="19">
        <f>_xll.BDH("NBIX US Equity","EARN_FOR_COMMON","FQ4 2024","FQ4 2024","Currency=USD","Period=FQ","BEST_FPERIOD_OVERRIDE=FQ","FILING_STATUS=MR","SCALING_FORMAT=MLN","FA_ADJUSTED=Adjusted","Sort=A","Dates=H","DateFormat=P","Fill=—","Direction=H","UseDPDF=Y")</f>
        <v>107.37269999999999</v>
      </c>
      <c r="Z46" s="19">
        <v>115.45</v>
      </c>
      <c r="AA46" s="19">
        <v>135.04</v>
      </c>
    </row>
    <row r="47" spans="1:27" x14ac:dyDescent="0.25">
      <c r="A47" s="10" t="s">
        <v>384</v>
      </c>
      <c r="B47" s="10" t="s">
        <v>385</v>
      </c>
      <c r="C47" s="13">
        <f>_xll.BDH("NBIX US Equity","IS_NET_ABNORMAL_ITEMS","FQ2 2019","FQ2 2019","Currency=USD","Period=FQ","BEST_FPERIOD_OVERRIDE=FQ","FILING_STATUS=MR","SCALING_FORMAT=MLN","Sort=A","Dates=H","DateFormat=P","Fill=—","Direction=H","UseDPDF=Y")</f>
        <v>-12.612399999999999</v>
      </c>
      <c r="D47" s="13">
        <f>_xll.BDH("NBIX US Equity","IS_NET_ABNORMAL_ITEMS","FQ3 2019","FQ3 2019","Currency=USD","Period=FQ","BEST_FPERIOD_OVERRIDE=FQ","FILING_STATUS=MR","SCALING_FORMAT=MLN","Sort=A","Dates=H","DateFormat=P","Fill=—","Direction=H","UseDPDF=Y")</f>
        <v>22.4755</v>
      </c>
      <c r="E47" s="13">
        <f>_xll.BDH("NBIX US Equity","IS_NET_ABNORMAL_ITEMS","FQ4 2019","FQ4 2019","Currency=USD","Period=FQ","BEST_FPERIOD_OVERRIDE=FQ","FILING_STATUS=MR","SCALING_FORMAT=MLN","Sort=A","Dates=H","DateFormat=P","Fill=—","Direction=H","UseDPDF=Y")</f>
        <v>42.896799999999999</v>
      </c>
      <c r="F47" s="13">
        <f>_xll.BDH("NBIX US Equity","IS_NET_ABNORMAL_ITEMS","FQ1 2020","FQ1 2020","Currency=USD","Period=FQ","BEST_FPERIOD_OVERRIDE=FQ","FILING_STATUS=MR","SCALING_FORMAT=MLN","Sort=A","Dates=H","DateFormat=P","Fill=—","Direction=H","UseDPDF=Y")</f>
        <v>15.8903</v>
      </c>
      <c r="G47" s="13">
        <f>_xll.BDH("NBIX US Equity","IS_NET_ABNORMAL_ITEMS","FQ2 2020","FQ2 2020","Currency=USD","Period=FQ","BEST_FPERIOD_OVERRIDE=FQ","FILING_STATUS=MR","SCALING_FORMAT=MLN","Sort=A","Dates=H","DateFormat=P","Fill=—","Direction=H","UseDPDF=Y")</f>
        <v>34.641800000000003</v>
      </c>
      <c r="H47" s="13">
        <f>_xll.BDH("NBIX US Equity","IS_NET_ABNORMAL_ITEMS","FQ3 2020","FQ3 2020","Currency=USD","Period=FQ","BEST_FPERIOD_OVERRIDE=FQ","FILING_STATUS=MR","SCALING_FORMAT=MLN","Sort=A","Dates=H","DateFormat=P","Fill=—","Direction=H","UseDPDF=Y")</f>
        <v>122.626</v>
      </c>
      <c r="I47" s="13">
        <f>_xll.BDH("NBIX US Equity","IS_NET_ABNORMAL_ITEMS","FQ4 2020","FQ4 2020","Currency=USD","Period=FQ","BEST_FPERIOD_OVERRIDE=FQ","FILING_STATUS=MR","SCALING_FORMAT=MLN","Sort=A","Dates=H","DateFormat=P","Fill=—","Direction=H","UseDPDF=Y")</f>
        <v>-126.2037</v>
      </c>
      <c r="J47" s="13">
        <f>_xll.BDH("NBIX US Equity","IS_NET_ABNORMAL_ITEMS","FQ1 2021","FQ1 2021","Currency=USD","Period=FQ","BEST_FPERIOD_OVERRIDE=FQ","FILING_STATUS=MR","SCALING_FORMAT=MLN","Sort=A","Dates=H","DateFormat=P","Fill=—","Direction=H","UseDPDF=Y")</f>
        <v>-0.31330000000000002</v>
      </c>
      <c r="K47" s="13">
        <f>_xll.BDH("NBIX US Equity","IS_NET_ABNORMAL_ITEMS","FQ2 2021","FQ2 2021","Currency=USD","Period=FQ","BEST_FPERIOD_OVERRIDE=FQ","FILING_STATUS=MR","SCALING_FORMAT=MLN","Sort=A","Dates=H","DateFormat=P","Fill=—","Direction=H","UseDPDF=Y")</f>
        <v>4.3981000000000003</v>
      </c>
      <c r="L47" s="13">
        <f>_xll.BDH("NBIX US Equity","IS_NET_ABNORMAL_ITEMS","FQ3 2021","FQ3 2021","Currency=USD","Period=FQ","BEST_FPERIOD_OVERRIDE=FQ","FILING_STATUS=MR","SCALING_FORMAT=MLN","Sort=A","Dates=H","DateFormat=P","Fill=—","Direction=H","UseDPDF=Y")</f>
        <v>7.4531000000000001</v>
      </c>
      <c r="M47" s="13">
        <f>_xll.BDH("NBIX US Equity","IS_NET_ABNORMAL_ITEMS","FQ4 2021","FQ4 2021","Currency=USD","Period=FQ","BEST_FPERIOD_OVERRIDE=FQ","FILING_STATUS=MR","SCALING_FORMAT=MLN","Sort=A","Dates=H","DateFormat=P","Fill=—","Direction=H","UseDPDF=Y")</f>
        <v>56.801000000000002</v>
      </c>
      <c r="N47" s="13">
        <f>_xll.BDH("NBIX US Equity","IS_NET_ABNORMAL_ITEMS","FQ1 2022","FQ1 2022","Currency=USD","Period=FQ","BEST_FPERIOD_OVERRIDE=FQ","FILING_STATUS=MR","SCALING_FORMAT=MLN","Sort=A","Dates=H","DateFormat=P","Fill=—","Direction=H","UseDPDF=Y")</f>
        <v>-17.966899999999999</v>
      </c>
      <c r="O47" s="13">
        <f>_xll.BDH("NBIX US Equity","IS_NET_ABNORMAL_ITEMS","FQ2 2022","FQ2 2022","Currency=USD","Period=FQ","BEST_FPERIOD_OVERRIDE=FQ","FILING_STATUS=MR","SCALING_FORMAT=MLN","Sort=A","Dates=H","DateFormat=P","Fill=—","Direction=H","UseDPDF=Y")</f>
        <v>5.8460000000000001</v>
      </c>
      <c r="P47" s="13">
        <f>_xll.BDH("NBIX US Equity","IS_NET_ABNORMAL_ITEMS","FQ3 2022","FQ3 2022","Currency=USD","Period=FQ","BEST_FPERIOD_OVERRIDE=FQ","FILING_STATUS=MR","SCALING_FORMAT=MLN","Sort=A","Dates=H","DateFormat=P","Fill=—","Direction=H","UseDPDF=Y")</f>
        <v>10.289300000000001</v>
      </c>
      <c r="Q47" s="13">
        <f>_xll.BDH("NBIX US Equity","IS_NET_ABNORMAL_ITEMS","FQ4 2022","FQ4 2022","Currency=USD","Period=FQ","BEST_FPERIOD_OVERRIDE=FQ","FILING_STATUS=MR","SCALING_FORMAT=MLN","Sort=A","Dates=H","DateFormat=P","Fill=—","Direction=H","UseDPDF=Y")</f>
        <v>1.0338000000000001</v>
      </c>
      <c r="R47" s="13">
        <f>_xll.BDH("NBIX US Equity","IS_NET_ABNORMAL_ITEMS","FQ1 2023","FQ1 2023","Currency=USD","Period=FQ","BEST_FPERIOD_OVERRIDE=FQ","FILING_STATUS=MR","SCALING_FORMAT=MLN","Sort=A","Dates=H","DateFormat=P","Fill=—","Direction=H","UseDPDF=Y")</f>
        <v>112.1444</v>
      </c>
      <c r="S47" s="13">
        <f>_xll.BDH("NBIX US Equity","IS_NET_ABNORMAL_ITEMS","FQ2 2023","FQ2 2023","Currency=USD","Period=FQ","BEST_FPERIOD_OVERRIDE=FQ","FILING_STATUS=MR","SCALING_FORMAT=MLN","Sort=A","Dates=H","DateFormat=P","Fill=—","Direction=H","UseDPDF=Y")</f>
        <v>-29.466999999999999</v>
      </c>
      <c r="T47" s="13">
        <f>_xll.BDH("NBIX US Equity","IS_NET_ABNORMAL_ITEMS","FQ3 2023","FQ3 2023","Currency=USD","Period=FQ","BEST_FPERIOD_OVERRIDE=FQ","FILING_STATUS=MR","SCALING_FORMAT=MLN","Sort=A","Dates=H","DateFormat=P","Fill=—","Direction=H","UseDPDF=Y")</f>
        <v>54.917000000000002</v>
      </c>
      <c r="U47" s="13">
        <f>_xll.BDH("NBIX US Equity","IS_NET_ABNORMAL_ITEMS","FQ4 2023","FQ4 2023","Currency=USD","Period=FQ","BEST_FPERIOD_OVERRIDE=FQ","FILING_STATUS=MR","SCALING_FORMAT=MLN","Sort=A","Dates=H","DateFormat=P","Fill=—","Direction=H","UseDPDF=Y")</f>
        <v>-22.91</v>
      </c>
      <c r="V47" s="13">
        <f>_xll.BDH("NBIX US Equity","IS_NET_ABNORMAL_ITEMS","FQ1 2024","FQ1 2024","Currency=USD","Period=FQ","BEST_FPERIOD_OVERRIDE=FQ","FILING_STATUS=MR","SCALING_FORMAT=MLN","Sort=A","Dates=H","DateFormat=P","Fill=—","Direction=H","UseDPDF=Y")</f>
        <v>3.7585000000000002</v>
      </c>
      <c r="W47" s="13">
        <f>_xll.BDH("NBIX US Equity","IS_NET_ABNORMAL_ITEMS","FQ2 2024","FQ2 2024","Currency=USD","Period=FQ","BEST_FPERIOD_OVERRIDE=FQ","FILING_STATUS=MR","SCALING_FORMAT=MLN","Sort=A","Dates=H","DateFormat=P","Fill=—","Direction=H","UseDPDF=Y")</f>
        <v>109.25709999999999</v>
      </c>
      <c r="X47" s="13">
        <f>_xll.BDH("NBIX US Equity","IS_NET_ABNORMAL_ITEMS","FQ3 2024","FQ3 2024","Currency=USD","Period=FQ","BEST_FPERIOD_OVERRIDE=FQ","FILING_STATUS=MR","SCALING_FORMAT=MLN","Sort=A","Dates=H","DateFormat=P","Fill=—","Direction=H","UseDPDF=Y")</f>
        <v>27.472899999999999</v>
      </c>
      <c r="Y47" s="13">
        <f>_xll.BDH("NBIX US Equity","IS_NET_ABNORMAL_ITEMS","FQ4 2024","FQ4 2024","Currency=USD","Period=FQ","BEST_FPERIOD_OVERRIDE=FQ","FILING_STATUS=MR","SCALING_FORMAT=MLN","Sort=A","Dates=H","DateFormat=P","Fill=—","Direction=H","UseDPDF=Y")</f>
        <v>4.2727000000000004</v>
      </c>
      <c r="Z47" s="13"/>
      <c r="AA47" s="13"/>
    </row>
    <row r="48" spans="1:27" x14ac:dyDescent="0.25">
      <c r="A48" s="10" t="s">
        <v>386</v>
      </c>
      <c r="B48" s="10" t="s">
        <v>367</v>
      </c>
      <c r="C48" s="13">
        <f>_xll.BDH("NBIX US Equity","XO_GL_NET_OF_TAX","FQ2 2019","FQ2 2019","Currency=USD","Period=FQ","BEST_FPERIOD_OVERRIDE=FQ","FILING_STATUS=MR","SCALING_FORMAT=MLN","Sort=A","Dates=H","DateFormat=P","Fill=—","Direction=H","UseDPDF=Y")</f>
        <v>0</v>
      </c>
      <c r="D48" s="13">
        <f>_xll.BDH("NBIX US Equity","XO_GL_NET_OF_TAX","FQ3 2019","FQ3 2019","Currency=USD","Period=FQ","BEST_FPERIOD_OVERRIDE=FQ","FILING_STATUS=MR","SCALING_FORMAT=MLN","Sort=A","Dates=H","DateFormat=P","Fill=—","Direction=H","UseDPDF=Y")</f>
        <v>0</v>
      </c>
      <c r="E48" s="13">
        <f>_xll.BDH("NBIX US Equity","XO_GL_NET_OF_TAX","FQ4 2019","FQ4 2019","Currency=USD","Period=FQ","BEST_FPERIOD_OVERRIDE=FQ","FILING_STATUS=MR","SCALING_FORMAT=MLN","Sort=A","Dates=H","DateFormat=P","Fill=—","Direction=H","UseDPDF=Y")</f>
        <v>0</v>
      </c>
      <c r="F48" s="13">
        <f>_xll.BDH("NBIX US Equity","XO_GL_NET_OF_TAX","FQ1 2020","FQ1 2020","Currency=USD","Period=FQ","BEST_FPERIOD_OVERRIDE=FQ","FILING_STATUS=MR","SCALING_FORMAT=MLN","Sort=A","Dates=H","DateFormat=P","Fill=—","Direction=H","UseDPDF=Y")</f>
        <v>0</v>
      </c>
      <c r="G48" s="13">
        <f>_xll.BDH("NBIX US Equity","XO_GL_NET_OF_TAX","FQ2 2020","FQ2 2020","Currency=USD","Period=FQ","BEST_FPERIOD_OVERRIDE=FQ","FILING_STATUS=MR","SCALING_FORMAT=MLN","Sort=A","Dates=H","DateFormat=P","Fill=—","Direction=H","UseDPDF=Y")</f>
        <v>0</v>
      </c>
      <c r="H48" s="13">
        <f>_xll.BDH("NBIX US Equity","XO_GL_NET_OF_TAX","FQ3 2020","FQ3 2020","Currency=USD","Period=FQ","BEST_FPERIOD_OVERRIDE=FQ","FILING_STATUS=MR","SCALING_FORMAT=MLN","Sort=A","Dates=H","DateFormat=P","Fill=—","Direction=H","UseDPDF=Y")</f>
        <v>0</v>
      </c>
      <c r="I48" s="13">
        <f>_xll.BDH("NBIX US Equity","XO_GL_NET_OF_TAX","FQ4 2020","FQ4 2020","Currency=USD","Period=FQ","BEST_FPERIOD_OVERRIDE=FQ","FILING_STATUS=MR","SCALING_FORMAT=MLN","Sort=A","Dates=H","DateFormat=P","Fill=—","Direction=H","UseDPDF=Y")</f>
        <v>0</v>
      </c>
      <c r="J48" s="13">
        <f>_xll.BDH("NBIX US Equity","XO_GL_NET_OF_TAX","FQ1 2021","FQ1 2021","Currency=USD","Period=FQ","BEST_FPERIOD_OVERRIDE=FQ","FILING_STATUS=MR","SCALING_FORMAT=MLN","Sort=A","Dates=H","DateFormat=P","Fill=—","Direction=H","UseDPDF=Y")</f>
        <v>0</v>
      </c>
      <c r="K48" s="13">
        <f>_xll.BDH("NBIX US Equity","XO_GL_NET_OF_TAX","FQ2 2021","FQ2 2021","Currency=USD","Period=FQ","BEST_FPERIOD_OVERRIDE=FQ","FILING_STATUS=MR","SCALING_FORMAT=MLN","Sort=A","Dates=H","DateFormat=P","Fill=—","Direction=H","UseDPDF=Y")</f>
        <v>0</v>
      </c>
      <c r="L48" s="13">
        <f>_xll.BDH("NBIX US Equity","XO_GL_NET_OF_TAX","FQ3 2021","FQ3 2021","Currency=USD","Period=FQ","BEST_FPERIOD_OVERRIDE=FQ","FILING_STATUS=MR","SCALING_FORMAT=MLN","Sort=A","Dates=H","DateFormat=P","Fill=—","Direction=H","UseDPDF=Y")</f>
        <v>0</v>
      </c>
      <c r="M48" s="13">
        <f>_xll.BDH("NBIX US Equity","XO_GL_NET_OF_TAX","FQ4 2021","FQ4 2021","Currency=USD","Period=FQ","BEST_FPERIOD_OVERRIDE=FQ","FILING_STATUS=MR","SCALING_FORMAT=MLN","Sort=A","Dates=H","DateFormat=P","Fill=—","Direction=H","UseDPDF=Y")</f>
        <v>0</v>
      </c>
      <c r="N48" s="13">
        <f>_xll.BDH("NBIX US Equity","XO_GL_NET_OF_TAX","FQ1 2022","FQ1 2022","Currency=USD","Period=FQ","BEST_FPERIOD_OVERRIDE=FQ","FILING_STATUS=MR","SCALING_FORMAT=MLN","Sort=A","Dates=H","DateFormat=P","Fill=—","Direction=H","UseDPDF=Y")</f>
        <v>0</v>
      </c>
      <c r="O48" s="13">
        <f>_xll.BDH("NBIX US Equity","XO_GL_NET_OF_TAX","FQ2 2022","FQ2 2022","Currency=USD","Period=FQ","BEST_FPERIOD_OVERRIDE=FQ","FILING_STATUS=MR","SCALING_FORMAT=MLN","Sort=A","Dates=H","DateFormat=P","Fill=—","Direction=H","UseDPDF=Y")</f>
        <v>0</v>
      </c>
      <c r="P48" s="13">
        <f>_xll.BDH("NBIX US Equity","XO_GL_NET_OF_TAX","FQ3 2022","FQ3 2022","Currency=USD","Period=FQ","BEST_FPERIOD_OVERRIDE=FQ","FILING_STATUS=MR","SCALING_FORMAT=MLN","Sort=A","Dates=H","DateFormat=P","Fill=—","Direction=H","UseDPDF=Y")</f>
        <v>0</v>
      </c>
      <c r="Q48" s="13">
        <f>_xll.BDH("NBIX US Equity","XO_GL_NET_OF_TAX","FQ4 2022","FQ4 2022","Currency=USD","Period=FQ","BEST_FPERIOD_OVERRIDE=FQ","FILING_STATUS=MR","SCALING_FORMAT=MLN","Sort=A","Dates=H","DateFormat=P","Fill=—","Direction=H","UseDPDF=Y")</f>
        <v>0</v>
      </c>
      <c r="R48" s="13">
        <f>_xll.BDH("NBIX US Equity","XO_GL_NET_OF_TAX","FQ1 2023","FQ1 2023","Currency=USD","Period=FQ","BEST_FPERIOD_OVERRIDE=FQ","FILING_STATUS=MR","SCALING_FORMAT=MLN","Sort=A","Dates=H","DateFormat=P","Fill=—","Direction=H","UseDPDF=Y")</f>
        <v>0</v>
      </c>
      <c r="S48" s="13">
        <f>_xll.BDH("NBIX US Equity","XO_GL_NET_OF_TAX","FQ2 2023","FQ2 2023","Currency=USD","Period=FQ","BEST_FPERIOD_OVERRIDE=FQ","FILING_STATUS=MR","SCALING_FORMAT=MLN","Sort=A","Dates=H","DateFormat=P","Fill=—","Direction=H","UseDPDF=Y")</f>
        <v>0</v>
      </c>
      <c r="T48" s="13">
        <f>_xll.BDH("NBIX US Equity","XO_GL_NET_OF_TAX","FQ3 2023","FQ3 2023","Currency=USD","Period=FQ","BEST_FPERIOD_OVERRIDE=FQ","FILING_STATUS=MR","SCALING_FORMAT=MLN","Sort=A","Dates=H","DateFormat=P","Fill=—","Direction=H","UseDPDF=Y")</f>
        <v>0</v>
      </c>
      <c r="U48" s="13">
        <f>_xll.BDH("NBIX US Equity","XO_GL_NET_OF_TAX","FQ4 2023","FQ4 2023","Currency=USD","Period=FQ","BEST_FPERIOD_OVERRIDE=FQ","FILING_STATUS=MR","SCALING_FORMAT=MLN","Sort=A","Dates=H","DateFormat=P","Fill=—","Direction=H","UseDPDF=Y")</f>
        <v>0</v>
      </c>
      <c r="V48" s="13">
        <f>_xll.BDH("NBIX US Equity","XO_GL_NET_OF_TAX","FQ1 2024","FQ1 2024","Currency=USD","Period=FQ","BEST_FPERIOD_OVERRIDE=FQ","FILING_STATUS=MR","SCALING_FORMAT=MLN","Sort=A","Dates=H","DateFormat=P","Fill=—","Direction=H","UseDPDF=Y")</f>
        <v>0</v>
      </c>
      <c r="W48" s="13">
        <f>_xll.BDH("NBIX US Equity","XO_GL_NET_OF_TAX","FQ2 2024","FQ2 2024","Currency=USD","Period=FQ","BEST_FPERIOD_OVERRIDE=FQ","FILING_STATUS=MR","SCALING_FORMAT=MLN","Sort=A","Dates=H","DateFormat=P","Fill=—","Direction=H","UseDPDF=Y")</f>
        <v>0</v>
      </c>
      <c r="X48" s="13">
        <f>_xll.BDH("NBIX US Equity","XO_GL_NET_OF_TAX","FQ3 2024","FQ3 2024","Currency=USD","Period=FQ","BEST_FPERIOD_OVERRIDE=FQ","FILING_STATUS=MR","SCALING_FORMAT=MLN","Sort=A","Dates=H","DateFormat=P","Fill=—","Direction=H","UseDPDF=Y")</f>
        <v>0</v>
      </c>
      <c r="Y48" s="13">
        <f>_xll.BDH("NBIX US Equity","XO_GL_NET_OF_TAX","FQ4 2024","FQ4 2024","Currency=USD","Period=FQ","BEST_FPERIOD_OVERRIDE=FQ","FILING_STATUS=MR","SCALING_FORMAT=MLN","Sort=A","Dates=H","DateFormat=P","Fill=—","Direction=H","UseDPDF=Y")</f>
        <v>0</v>
      </c>
      <c r="Z48" s="13"/>
      <c r="AA48" s="13"/>
    </row>
    <row r="49" spans="1:27" x14ac:dyDescent="0.25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10" t="s">
        <v>259</v>
      </c>
      <c r="B50" s="10" t="s">
        <v>106</v>
      </c>
      <c r="C50" s="13">
        <f>_xll.BDH("NBIX US Equity","IS_AVG_NUM_SH_FOR_EPS","FQ2 2019","FQ2 2019","Currency=USD","Period=FQ","BEST_FPERIOD_OVERRIDE=FQ","FILING_STATUS=MR","Sort=A","Dates=H","DateFormat=P","Fill=—","Direction=H","UseDPDF=Y")</f>
        <v>91.388999999999996</v>
      </c>
      <c r="D50" s="13">
        <f>_xll.BDH("NBIX US Equity","IS_AVG_NUM_SH_FOR_EPS","FQ3 2019","FQ3 2019","Currency=USD","Period=FQ","BEST_FPERIOD_OVERRIDE=FQ","FILING_STATUS=MR","Sort=A","Dates=H","DateFormat=P","Fill=—","Direction=H","UseDPDF=Y")</f>
        <v>91.858999999999995</v>
      </c>
      <c r="E50" s="13">
        <f>_xll.BDH("NBIX US Equity","IS_AVG_NUM_SH_FOR_EPS","FQ4 2019","FQ4 2019","Currency=USD","Period=FQ","BEST_FPERIOD_OVERRIDE=FQ","FILING_STATUS=MR","Sort=A","Dates=H","DateFormat=P","Fill=—","Direction=H","UseDPDF=Y")</f>
        <v>92.2</v>
      </c>
      <c r="F50" s="13">
        <f>_xll.BDH("NBIX US Equity","IS_AVG_NUM_SH_FOR_EPS","FQ1 2020","FQ1 2020","Currency=USD","Period=FQ","BEST_FPERIOD_OVERRIDE=FQ","FILING_STATUS=MR","Sort=A","Dates=H","DateFormat=P","Fill=—","Direction=H","UseDPDF=Y")</f>
        <v>92.6</v>
      </c>
      <c r="G50" s="13">
        <f>_xll.BDH("NBIX US Equity","IS_AVG_NUM_SH_FOR_EPS","FQ2 2020","FQ2 2020","Currency=USD","Period=FQ","BEST_FPERIOD_OVERRIDE=FQ","FILING_STATUS=MR","Sort=A","Dates=H","DateFormat=P","Fill=—","Direction=H","UseDPDF=Y")</f>
        <v>93</v>
      </c>
      <c r="H50" s="13">
        <f>_xll.BDH("NBIX US Equity","IS_AVG_NUM_SH_FOR_EPS","FQ3 2020","FQ3 2020","Currency=USD","Period=FQ","BEST_FPERIOD_OVERRIDE=FQ","FILING_STATUS=MR","Sort=A","Dates=H","DateFormat=P","Fill=—","Direction=H","UseDPDF=Y")</f>
        <v>93.3</v>
      </c>
      <c r="I50" s="13">
        <f>_xll.BDH("NBIX US Equity","IS_AVG_NUM_SH_FOR_EPS","FQ4 2020","FQ4 2020","Currency=USD","Period=FQ","BEST_FPERIOD_OVERRIDE=FQ","FILING_STATUS=MR","Sort=A","Dates=H","DateFormat=P","Fill=—","Direction=H","UseDPDF=Y")</f>
        <v>93.5</v>
      </c>
      <c r="J50" s="13">
        <f>_xll.BDH("NBIX US Equity","IS_AVG_NUM_SH_FOR_EPS","FQ1 2021","FQ1 2021","Currency=USD","Period=FQ","BEST_FPERIOD_OVERRIDE=FQ","FILING_STATUS=MR","Sort=A","Dates=H","DateFormat=P","Fill=—","Direction=H","UseDPDF=Y")</f>
        <v>94.2</v>
      </c>
      <c r="K50" s="13">
        <f>_xll.BDH("NBIX US Equity","IS_AVG_NUM_SH_FOR_EPS","FQ2 2021","FQ2 2021","Currency=USD","Period=FQ","BEST_FPERIOD_OVERRIDE=FQ","FILING_STATUS=MR","Sort=A","Dates=H","DateFormat=P","Fill=—","Direction=H","UseDPDF=Y")</f>
        <v>94.6</v>
      </c>
      <c r="L50" s="13">
        <f>_xll.BDH("NBIX US Equity","IS_AVG_NUM_SH_FOR_EPS","FQ3 2021","FQ3 2021","Currency=USD","Period=FQ","BEST_FPERIOD_OVERRIDE=FQ","FILING_STATUS=MR","Sort=A","Dates=H","DateFormat=P","Fill=—","Direction=H","UseDPDF=Y")</f>
        <v>94.7</v>
      </c>
      <c r="M50" s="13">
        <f>_xll.BDH("NBIX US Equity","IS_AVG_NUM_SH_FOR_EPS","FQ4 2021","FQ4 2021","Currency=USD","Period=FQ","BEST_FPERIOD_OVERRIDE=FQ","FILING_STATUS=MR","Sort=A","Dates=H","DateFormat=P","Fill=—","Direction=H","UseDPDF=Y")</f>
        <v>94.9</v>
      </c>
      <c r="N50" s="13">
        <f>_xll.BDH("NBIX US Equity","IS_AVG_NUM_SH_FOR_EPS","FQ1 2022","FQ1 2022","Currency=USD","Period=FQ","BEST_FPERIOD_OVERRIDE=FQ","FILING_STATUS=MR","Sort=A","Dates=H","DateFormat=P","Fill=—","Direction=H","UseDPDF=Y")</f>
        <v>95.3</v>
      </c>
      <c r="O50" s="13">
        <f>_xll.BDH("NBIX US Equity","IS_AVG_NUM_SH_FOR_EPS","FQ2 2022","FQ2 2022","Currency=USD","Period=FQ","BEST_FPERIOD_OVERRIDE=FQ","FILING_STATUS=MR","Sort=A","Dates=H","DateFormat=P","Fill=—","Direction=H","UseDPDF=Y")</f>
        <v>95.6</v>
      </c>
      <c r="P50" s="13">
        <f>_xll.BDH("NBIX US Equity","IS_AVG_NUM_SH_FOR_EPS","FQ3 2022","FQ3 2022","Currency=USD","Period=FQ","BEST_FPERIOD_OVERRIDE=FQ","FILING_STATUS=MR","Sort=A","Dates=H","DateFormat=P","Fill=—","Direction=H","UseDPDF=Y")</f>
        <v>95.8</v>
      </c>
      <c r="Q50" s="13">
        <f>_xll.BDH("NBIX US Equity","IS_AVG_NUM_SH_FOR_EPS","FQ4 2022","FQ4 2022","Currency=USD","Period=FQ","BEST_FPERIOD_OVERRIDE=FQ","FILING_STATUS=MR","Sort=A","Dates=H","DateFormat=P","Fill=—","Direction=H","UseDPDF=Y")</f>
        <v>96.3</v>
      </c>
      <c r="R50" s="13">
        <f>_xll.BDH("NBIX US Equity","IS_AVG_NUM_SH_FOR_EPS","FQ1 2023","FQ1 2023","Currency=USD","Period=FQ","BEST_FPERIOD_OVERRIDE=FQ","FILING_STATUS=MR","Sort=A","Dates=H","DateFormat=P","Fill=—","Direction=H","UseDPDF=Y")</f>
        <v>97.1</v>
      </c>
      <c r="S50" s="13">
        <f>_xll.BDH("NBIX US Equity","IS_AVG_NUM_SH_FOR_EPS","FQ2 2023","FQ2 2023","Currency=USD","Period=FQ","BEST_FPERIOD_OVERRIDE=FQ","FILING_STATUS=MR","Sort=A","Dates=H","DateFormat=P","Fill=—","Direction=H","UseDPDF=Y")</f>
        <v>97.6</v>
      </c>
      <c r="T50" s="13">
        <f>_xll.BDH("NBIX US Equity","IS_AVG_NUM_SH_FOR_EPS","FQ3 2023","FQ3 2023","Currency=USD","Period=FQ","BEST_FPERIOD_OVERRIDE=FQ","FILING_STATUS=MR","Sort=A","Dates=H","DateFormat=P","Fill=—","Direction=H","UseDPDF=Y")</f>
        <v>97.9</v>
      </c>
      <c r="U50" s="13">
        <f>_xll.BDH("NBIX US Equity","IS_AVG_NUM_SH_FOR_EPS","FQ4 2023","FQ4 2023","Currency=USD","Period=FQ","BEST_FPERIOD_OVERRIDE=FQ","FILING_STATUS=MR","Sort=A","Dates=H","DateFormat=P","Fill=—","Direction=H","UseDPDF=Y")</f>
        <v>98.4</v>
      </c>
      <c r="V50" s="13">
        <f>_xll.BDH("NBIX US Equity","IS_AVG_NUM_SH_FOR_EPS","FQ1 2024","FQ1 2024","Currency=USD","Period=FQ","BEST_FPERIOD_OVERRIDE=FQ","FILING_STATUS=MR","Sort=A","Dates=H","DateFormat=P","Fill=—","Direction=H","UseDPDF=Y")</f>
        <v>99.8</v>
      </c>
      <c r="W50" s="13">
        <f>_xll.BDH("NBIX US Equity","IS_AVG_NUM_SH_FOR_EPS","FQ2 2024","FQ2 2024","Currency=USD","Period=FQ","BEST_FPERIOD_OVERRIDE=FQ","FILING_STATUS=MR","Sort=A","Dates=H","DateFormat=P","Fill=—","Direction=H","UseDPDF=Y")</f>
        <v>100.8</v>
      </c>
      <c r="X50" s="13">
        <f>_xll.BDH("NBIX US Equity","IS_AVG_NUM_SH_FOR_EPS","FQ3 2024","FQ3 2024","Currency=USD","Period=FQ","BEST_FPERIOD_OVERRIDE=FQ","FILING_STATUS=MR","Sort=A","Dates=H","DateFormat=P","Fill=—","Direction=H","UseDPDF=Y")</f>
        <v>101.1</v>
      </c>
      <c r="Y50" s="13">
        <f>_xll.BDH("NBIX US Equity","IS_AVG_NUM_SH_FOR_EPS","FQ4 2024","FQ4 2024","Currency=USD","Period=FQ","BEST_FPERIOD_OVERRIDE=FQ","FILING_STATUS=MR","Sort=A","Dates=H","DateFormat=P","Fill=—","Direction=H","UseDPDF=Y")</f>
        <v>100</v>
      </c>
      <c r="Z50" s="13"/>
      <c r="AA50" s="13"/>
    </row>
    <row r="51" spans="1:27" x14ac:dyDescent="0.25">
      <c r="A51" s="6" t="s">
        <v>101</v>
      </c>
      <c r="B51" s="6" t="s">
        <v>102</v>
      </c>
      <c r="C51" s="20">
        <f>_xll.BDH("NBIX US Equity","IS_EPS","FQ2 2019","FQ2 2019","Currency=USD","Period=FQ","BEST_FPERIOD_OVERRIDE=FQ","FILING_STATUS=MR","FA_ADJUSTED=GAAP","Sort=A","Dates=H","DateFormat=P","Fill=—","Direction=H","UseDPDF=Y")</f>
        <v>0.56000000000000005</v>
      </c>
      <c r="D51" s="20">
        <f>_xll.BDH("NBIX US Equity","IS_EPS","FQ3 2019","FQ3 2019","Currency=USD","Period=FQ","BEST_FPERIOD_OVERRIDE=FQ","FILING_STATUS=MR","FA_ADJUSTED=GAAP","Sort=A","Dates=H","DateFormat=P","Fill=—","Direction=H","UseDPDF=Y")</f>
        <v>0.59</v>
      </c>
      <c r="E51" s="20">
        <f>_xll.BDH("NBIX US Equity","IS_EPS","FQ4 2019","FQ4 2019","Currency=USD","Period=FQ","BEST_FPERIOD_OVERRIDE=FQ","FILING_STATUS=MR","FA_ADJUSTED=GAAP","Sort=A","Dates=H","DateFormat=P","Fill=—","Direction=H","UseDPDF=Y")</f>
        <v>0.37</v>
      </c>
      <c r="F51" s="20">
        <f>_xll.BDH("NBIX US Equity","IS_EPS","FQ1 2020","FQ1 2020","Currency=USD","Period=FQ","BEST_FPERIOD_OVERRIDE=FQ","FILING_STATUS=MR","FA_ADJUSTED=GAAP","Sort=A","Dates=H","DateFormat=P","Fill=—","Direction=H","UseDPDF=Y")</f>
        <v>0.4</v>
      </c>
      <c r="G51" s="20">
        <f>_xll.BDH("NBIX US Equity","IS_EPS","FQ2 2020","FQ2 2020","Currency=USD","Period=FQ","BEST_FPERIOD_OVERRIDE=FQ","FILING_STATUS=MR","FA_ADJUSTED=GAAP","Sort=A","Dates=H","DateFormat=P","Fill=—","Direction=H","UseDPDF=Y")</f>
        <v>0.86</v>
      </c>
      <c r="H51" s="20">
        <f>_xll.BDH("NBIX US Equity","IS_EPS","FQ3 2020","FQ3 2020","Currency=USD","Period=FQ","BEST_FPERIOD_OVERRIDE=FQ","FILING_STATUS=MR","FA_ADJUSTED=GAAP","Sort=A","Dates=H","DateFormat=P","Fill=—","Direction=H","UseDPDF=Y")</f>
        <v>-0.62</v>
      </c>
      <c r="I51" s="20">
        <f>_xll.BDH("NBIX US Equity","IS_EPS","FQ4 2020","FQ4 2020","Currency=USD","Period=FQ","BEST_FPERIOD_OVERRIDE=FQ","FILING_STATUS=MR","FA_ADJUSTED=GAAP","Sort=A","Dates=H","DateFormat=P","Fill=—","Direction=H","UseDPDF=Y")</f>
        <v>3.72</v>
      </c>
      <c r="J51" s="20">
        <f>_xll.BDH("NBIX US Equity","IS_EPS","FQ1 2021","FQ1 2021","Currency=USD","Period=FQ","BEST_FPERIOD_OVERRIDE=FQ","FILING_STATUS=MR","FA_ADJUSTED=GAAP","Sort=A","Dates=H","DateFormat=P","Fill=—","Direction=H","UseDPDF=Y")</f>
        <v>0.34</v>
      </c>
      <c r="K51" s="20">
        <f>_xll.BDH("NBIX US Equity","IS_EPS","FQ2 2021","FQ2 2021","Currency=USD","Period=FQ","BEST_FPERIOD_OVERRIDE=FQ","FILING_STATUS=MR","FA_ADJUSTED=GAAP","Sort=A","Dates=H","DateFormat=P","Fill=—","Direction=H","UseDPDF=Y")</f>
        <v>0.45</v>
      </c>
      <c r="L51" s="20">
        <f>_xll.BDH("NBIX US Equity","IS_EPS","FQ3 2021","FQ3 2021","Currency=USD","Period=FQ","BEST_FPERIOD_OVERRIDE=FQ","FILING_STATUS=MR","FA_ADJUSTED=GAAP","Sort=A","Dates=H","DateFormat=P","Fill=—","Direction=H","UseDPDF=Y")</f>
        <v>0.24</v>
      </c>
      <c r="M51" s="20">
        <f>_xll.BDH("NBIX US Equity","IS_EPS","FQ4 2021","FQ4 2021","Currency=USD","Period=FQ","BEST_FPERIOD_OVERRIDE=FQ","FILING_STATUS=MR","FA_ADJUSTED=GAAP","Sort=A","Dates=H","DateFormat=P","Fill=—","Direction=H","UseDPDF=Y")</f>
        <v>-0.08</v>
      </c>
      <c r="N51" s="20">
        <f>_xll.BDH("NBIX US Equity","IS_EPS","FQ1 2022","FQ1 2022","Currency=USD","Period=FQ","BEST_FPERIOD_OVERRIDE=FQ","FILING_STATUS=MR","FA_ADJUSTED=GAAP","Sort=A","Dates=H","DateFormat=P","Fill=—","Direction=H","UseDPDF=Y")</f>
        <v>0.15</v>
      </c>
      <c r="O51" s="20">
        <f>_xll.BDH("NBIX US Equity","IS_EPS","FQ2 2022","FQ2 2022","Currency=USD","Period=FQ","BEST_FPERIOD_OVERRIDE=FQ","FILING_STATUS=MR","FA_ADJUSTED=GAAP","Sort=A","Dates=H","DateFormat=P","Fill=—","Direction=H","UseDPDF=Y")</f>
        <v>-0.18</v>
      </c>
      <c r="P51" s="20">
        <f>_xll.BDH("NBIX US Equity","IS_EPS","FQ3 2022","FQ3 2022","Currency=USD","Period=FQ","BEST_FPERIOD_OVERRIDE=FQ","FILING_STATUS=MR","FA_ADJUSTED=GAAP","Sort=A","Dates=H","DateFormat=P","Fill=—","Direction=H","UseDPDF=Y")</f>
        <v>0.72</v>
      </c>
      <c r="Q51" s="20">
        <f>_xll.BDH("NBIX US Equity","IS_EPS","FQ4 2022","FQ4 2022","Currency=USD","Period=FQ","BEST_FPERIOD_OVERRIDE=FQ","FILING_STATUS=MR","FA_ADJUSTED=GAAP","Sort=A","Dates=H","DateFormat=P","Fill=—","Direction=H","UseDPDF=Y")</f>
        <v>0.92</v>
      </c>
      <c r="R51" s="20">
        <f>_xll.BDH("NBIX US Equity","IS_EPS","FQ1 2023","FQ1 2023","Currency=USD","Period=FQ","BEST_FPERIOD_OVERRIDE=FQ","FILING_STATUS=MR","FA_ADJUSTED=GAAP","Sort=A","Dates=H","DateFormat=P","Fill=—","Direction=H","UseDPDF=Y")</f>
        <v>-0.79</v>
      </c>
      <c r="S51" s="20">
        <f>_xll.BDH("NBIX US Equity","IS_EPS","FQ2 2023","FQ2 2023","Currency=USD","Period=FQ","BEST_FPERIOD_OVERRIDE=FQ","FILING_STATUS=MR","FA_ADJUSTED=GAAP","Sort=A","Dates=H","DateFormat=P","Fill=—","Direction=H","UseDPDF=Y")</f>
        <v>0.98</v>
      </c>
      <c r="T51" s="20">
        <f>_xll.BDH("NBIX US Equity","IS_EPS","FQ3 2023","FQ3 2023","Currency=USD","Period=FQ","BEST_FPERIOD_OVERRIDE=FQ","FILING_STATUS=MR","FA_ADJUSTED=GAAP","Sort=A","Dates=H","DateFormat=P","Fill=—","Direction=H","UseDPDF=Y")</f>
        <v>0.85</v>
      </c>
      <c r="U51" s="20">
        <f>_xll.BDH("NBIX US Equity","IS_EPS","FQ4 2023","FQ4 2023","Currency=USD","Period=FQ","BEST_FPERIOD_OVERRIDE=FQ","FILING_STATUS=MR","FA_ADJUSTED=GAAP","Sort=A","Dates=H","DateFormat=P","Fill=—","Direction=H","UseDPDF=Y")</f>
        <v>1.5</v>
      </c>
      <c r="V51" s="20">
        <f>_xll.BDH("NBIX US Equity","IS_EPS","FQ1 2024","FQ1 2024","Currency=USD","Period=FQ","BEST_FPERIOD_OVERRIDE=FQ","FILING_STATUS=MR","FA_ADJUSTED=GAAP","Sort=A","Dates=H","DateFormat=P","Fill=—","Direction=H","UseDPDF=Y")</f>
        <v>0.43</v>
      </c>
      <c r="W51" s="20">
        <f>_xll.BDH("NBIX US Equity","IS_EPS","FQ2 2024","FQ2 2024","Currency=USD","Period=FQ","BEST_FPERIOD_OVERRIDE=FQ","FILING_STATUS=MR","FA_ADJUSTED=GAAP","Sort=A","Dates=H","DateFormat=P","Fill=—","Direction=H","UseDPDF=Y")</f>
        <v>0.64</v>
      </c>
      <c r="X51" s="20">
        <f>_xll.BDH("NBIX US Equity","IS_EPS","FQ3 2024","FQ3 2024","Currency=USD","Period=FQ","BEST_FPERIOD_OVERRIDE=FQ","FILING_STATUS=MR","FA_ADJUSTED=GAAP","Sort=A","Dates=H","DateFormat=P","Fill=—","Direction=H","UseDPDF=Y")</f>
        <v>1.28</v>
      </c>
      <c r="Y51" s="20">
        <f>_xll.BDH("NBIX US Equity","IS_EPS","FQ4 2024","FQ4 2024","Currency=USD","Period=FQ","BEST_FPERIOD_OVERRIDE=FQ","FILING_STATUS=MR","FA_ADJUSTED=GAAP","Sort=A","Dates=H","DateFormat=P","Fill=—","Direction=H","UseDPDF=Y")</f>
        <v>1.03</v>
      </c>
      <c r="Z51" s="20">
        <v>0.81399999999999995</v>
      </c>
      <c r="AA51" s="20">
        <v>0.97199999999999998</v>
      </c>
    </row>
    <row r="52" spans="1:27" x14ac:dyDescent="0.25">
      <c r="A52" s="6" t="s">
        <v>387</v>
      </c>
      <c r="B52" s="6" t="s">
        <v>266</v>
      </c>
      <c r="C52" s="20">
        <f>_xll.BDH("NBIX US Equity","IS_EARN_BEF_XO_ITEMS_PER_SH","FQ2 2019","FQ2 2019","Currency=USD","Period=FQ","BEST_FPERIOD_OVERRIDE=FQ","FILING_STATUS=MR","Sort=A","Dates=H","DateFormat=P","Fill=—","Direction=H","UseDPDF=Y")</f>
        <v>0.56000000000000005</v>
      </c>
      <c r="D52" s="20">
        <f>_xll.BDH("NBIX US Equity","IS_EARN_BEF_XO_ITEMS_PER_SH","FQ3 2019","FQ3 2019","Currency=USD","Period=FQ","BEST_FPERIOD_OVERRIDE=FQ","FILING_STATUS=MR","Sort=A","Dates=H","DateFormat=P","Fill=—","Direction=H","UseDPDF=Y")</f>
        <v>0.59</v>
      </c>
      <c r="E52" s="20">
        <f>_xll.BDH("NBIX US Equity","IS_EARN_BEF_XO_ITEMS_PER_SH","FQ4 2019","FQ4 2019","Currency=USD","Period=FQ","BEST_FPERIOD_OVERRIDE=FQ","FILING_STATUS=MR","Sort=A","Dates=H","DateFormat=P","Fill=—","Direction=H","UseDPDF=Y")</f>
        <v>0.37</v>
      </c>
      <c r="F52" s="20">
        <f>_xll.BDH("NBIX US Equity","IS_EARN_BEF_XO_ITEMS_PER_SH","FQ1 2020","FQ1 2020","Currency=USD","Period=FQ","BEST_FPERIOD_OVERRIDE=FQ","FILING_STATUS=MR","Sort=A","Dates=H","DateFormat=P","Fill=—","Direction=H","UseDPDF=Y")</f>
        <v>0.4</v>
      </c>
      <c r="G52" s="20">
        <f>_xll.BDH("NBIX US Equity","IS_EARN_BEF_XO_ITEMS_PER_SH","FQ2 2020","FQ2 2020","Currency=USD","Period=FQ","BEST_FPERIOD_OVERRIDE=FQ","FILING_STATUS=MR","Sort=A","Dates=H","DateFormat=P","Fill=—","Direction=H","UseDPDF=Y")</f>
        <v>0.86</v>
      </c>
      <c r="H52" s="20">
        <f>_xll.BDH("NBIX US Equity","IS_EARN_BEF_XO_ITEMS_PER_SH","FQ3 2020","FQ3 2020","Currency=USD","Period=FQ","BEST_FPERIOD_OVERRIDE=FQ","FILING_STATUS=MR","Sort=A","Dates=H","DateFormat=P","Fill=—","Direction=H","UseDPDF=Y")</f>
        <v>-0.62</v>
      </c>
      <c r="I52" s="20">
        <f>_xll.BDH("NBIX US Equity","IS_EARN_BEF_XO_ITEMS_PER_SH","FQ4 2020","FQ4 2020","Currency=USD","Period=FQ","BEST_FPERIOD_OVERRIDE=FQ","FILING_STATUS=MR","Sort=A","Dates=H","DateFormat=P","Fill=—","Direction=H","UseDPDF=Y")</f>
        <v>3.72</v>
      </c>
      <c r="J52" s="20">
        <f>_xll.BDH("NBIX US Equity","IS_EARN_BEF_XO_ITEMS_PER_SH","FQ1 2021","FQ1 2021","Currency=USD","Period=FQ","BEST_FPERIOD_OVERRIDE=FQ","FILING_STATUS=MR","Sort=A","Dates=H","DateFormat=P","Fill=—","Direction=H","UseDPDF=Y")</f>
        <v>0.34</v>
      </c>
      <c r="K52" s="20">
        <f>_xll.BDH("NBIX US Equity","IS_EARN_BEF_XO_ITEMS_PER_SH","FQ2 2021","FQ2 2021","Currency=USD","Period=FQ","BEST_FPERIOD_OVERRIDE=FQ","FILING_STATUS=MR","Sort=A","Dates=H","DateFormat=P","Fill=—","Direction=H","UseDPDF=Y")</f>
        <v>0.45</v>
      </c>
      <c r="L52" s="20">
        <f>_xll.BDH("NBIX US Equity","IS_EARN_BEF_XO_ITEMS_PER_SH","FQ3 2021","FQ3 2021","Currency=USD","Period=FQ","BEST_FPERIOD_OVERRIDE=FQ","FILING_STATUS=MR","Sort=A","Dates=H","DateFormat=P","Fill=—","Direction=H","UseDPDF=Y")</f>
        <v>0.24</v>
      </c>
      <c r="M52" s="20">
        <f>_xll.BDH("NBIX US Equity","IS_EARN_BEF_XO_ITEMS_PER_SH","FQ4 2021","FQ4 2021","Currency=USD","Period=FQ","BEST_FPERIOD_OVERRIDE=FQ","FILING_STATUS=MR","Sort=A","Dates=H","DateFormat=P","Fill=—","Direction=H","UseDPDF=Y")</f>
        <v>-0.08</v>
      </c>
      <c r="N52" s="20">
        <f>_xll.BDH("NBIX US Equity","IS_EARN_BEF_XO_ITEMS_PER_SH","FQ1 2022","FQ1 2022","Currency=USD","Period=FQ","BEST_FPERIOD_OVERRIDE=FQ","FILING_STATUS=MR","Sort=A","Dates=H","DateFormat=P","Fill=—","Direction=H","UseDPDF=Y")</f>
        <v>0.15</v>
      </c>
      <c r="O52" s="20">
        <f>_xll.BDH("NBIX US Equity","IS_EARN_BEF_XO_ITEMS_PER_SH","FQ2 2022","FQ2 2022","Currency=USD","Period=FQ","BEST_FPERIOD_OVERRIDE=FQ","FILING_STATUS=MR","Sort=A","Dates=H","DateFormat=P","Fill=—","Direction=H","UseDPDF=Y")</f>
        <v>-0.18</v>
      </c>
      <c r="P52" s="20">
        <f>_xll.BDH("NBIX US Equity","IS_EARN_BEF_XO_ITEMS_PER_SH","FQ3 2022","FQ3 2022","Currency=USD","Period=FQ","BEST_FPERIOD_OVERRIDE=FQ","FILING_STATUS=MR","Sort=A","Dates=H","DateFormat=P","Fill=—","Direction=H","UseDPDF=Y")</f>
        <v>0.72</v>
      </c>
      <c r="Q52" s="20">
        <f>_xll.BDH("NBIX US Equity","IS_EARN_BEF_XO_ITEMS_PER_SH","FQ4 2022","FQ4 2022","Currency=USD","Period=FQ","BEST_FPERIOD_OVERRIDE=FQ","FILING_STATUS=MR","Sort=A","Dates=H","DateFormat=P","Fill=—","Direction=H","UseDPDF=Y")</f>
        <v>0.92</v>
      </c>
      <c r="R52" s="20">
        <f>_xll.BDH("NBIX US Equity","IS_EARN_BEF_XO_ITEMS_PER_SH","FQ1 2023","FQ1 2023","Currency=USD","Period=FQ","BEST_FPERIOD_OVERRIDE=FQ","FILING_STATUS=MR","Sort=A","Dates=H","DateFormat=P","Fill=—","Direction=H","UseDPDF=Y")</f>
        <v>-0.79</v>
      </c>
      <c r="S52" s="20">
        <f>_xll.BDH("NBIX US Equity","IS_EARN_BEF_XO_ITEMS_PER_SH","FQ2 2023","FQ2 2023","Currency=USD","Period=FQ","BEST_FPERIOD_OVERRIDE=FQ","FILING_STATUS=MR","Sort=A","Dates=H","DateFormat=P","Fill=—","Direction=H","UseDPDF=Y")</f>
        <v>0.98</v>
      </c>
      <c r="T52" s="20">
        <f>_xll.BDH("NBIX US Equity","IS_EARN_BEF_XO_ITEMS_PER_SH","FQ3 2023","FQ3 2023","Currency=USD","Period=FQ","BEST_FPERIOD_OVERRIDE=FQ","FILING_STATUS=MR","Sort=A","Dates=H","DateFormat=P","Fill=—","Direction=H","UseDPDF=Y")</f>
        <v>0.85</v>
      </c>
      <c r="U52" s="20">
        <f>_xll.BDH("NBIX US Equity","IS_EARN_BEF_XO_ITEMS_PER_SH","FQ4 2023","FQ4 2023","Currency=USD","Period=FQ","BEST_FPERIOD_OVERRIDE=FQ","FILING_STATUS=MR","Sort=A","Dates=H","DateFormat=P","Fill=—","Direction=H","UseDPDF=Y")</f>
        <v>1.5</v>
      </c>
      <c r="V52" s="20">
        <f>_xll.BDH("NBIX US Equity","IS_EARN_BEF_XO_ITEMS_PER_SH","FQ1 2024","FQ1 2024","Currency=USD","Period=FQ","BEST_FPERIOD_OVERRIDE=FQ","FILING_STATUS=MR","Sort=A","Dates=H","DateFormat=P","Fill=—","Direction=H","UseDPDF=Y")</f>
        <v>0.43</v>
      </c>
      <c r="W52" s="20">
        <f>_xll.BDH("NBIX US Equity","IS_EARN_BEF_XO_ITEMS_PER_SH","FQ2 2024","FQ2 2024","Currency=USD","Period=FQ","BEST_FPERIOD_OVERRIDE=FQ","FILING_STATUS=MR","Sort=A","Dates=H","DateFormat=P","Fill=—","Direction=H","UseDPDF=Y")</f>
        <v>0.64</v>
      </c>
      <c r="X52" s="20">
        <f>_xll.BDH("NBIX US Equity","IS_EARN_BEF_XO_ITEMS_PER_SH","FQ3 2024","FQ3 2024","Currency=USD","Period=FQ","BEST_FPERIOD_OVERRIDE=FQ","FILING_STATUS=MR","Sort=A","Dates=H","DateFormat=P","Fill=—","Direction=H","UseDPDF=Y")</f>
        <v>1.28</v>
      </c>
      <c r="Y52" s="20">
        <f>_xll.BDH("NBIX US Equity","IS_EARN_BEF_XO_ITEMS_PER_SH","FQ4 2024","FQ4 2024","Currency=USD","Period=FQ","BEST_FPERIOD_OVERRIDE=FQ","FILING_STATUS=MR","Sort=A","Dates=H","DateFormat=P","Fill=—","Direction=H","UseDPDF=Y")</f>
        <v>1.03</v>
      </c>
      <c r="Z52" s="20">
        <v>0.81399999999999995</v>
      </c>
      <c r="AA52" s="20">
        <v>0.97199999999999998</v>
      </c>
    </row>
    <row r="53" spans="1:27" x14ac:dyDescent="0.25">
      <c r="A53" s="6" t="s">
        <v>388</v>
      </c>
      <c r="B53" s="6" t="s">
        <v>268</v>
      </c>
      <c r="C53" s="20">
        <f>_xll.BDH("NBIX US Equity","IS_BASIC_EPS_CONT_OPS","FQ2 2019","FQ2 2019","Currency=USD","Period=FQ","BEST_FPERIOD_OVERRIDE=FQ","FILING_STATUS=MR","Sort=A","Dates=H","DateFormat=P","Fill=—","Direction=H","UseDPDF=Y")</f>
        <v>0.42370000000000002</v>
      </c>
      <c r="D53" s="20">
        <f>_xll.BDH("NBIX US Equity","IS_BASIC_EPS_CONT_OPS","FQ3 2019","FQ3 2019","Currency=USD","Period=FQ","BEST_FPERIOD_OVERRIDE=FQ","FILING_STATUS=MR","Sort=A","Dates=H","DateFormat=P","Fill=—","Direction=H","UseDPDF=Y")</f>
        <v>0.83020000000000005</v>
      </c>
      <c r="E53" s="20">
        <f>_xll.BDH("NBIX US Equity","IS_BASIC_EPS_CONT_OPS","FQ4 2019","FQ4 2019","Currency=USD","Period=FQ","BEST_FPERIOD_OVERRIDE=FQ","FILING_STATUS=MR","Sort=A","Dates=H","DateFormat=P","Fill=—","Direction=H","UseDPDF=Y")</f>
        <v>0.83399999999999996</v>
      </c>
      <c r="F53" s="20">
        <f>_xll.BDH("NBIX US Equity","IS_BASIC_EPS_CONT_OPS","FQ1 2020","FQ1 2020","Currency=USD","Period=FQ","BEST_FPERIOD_OVERRIDE=FQ","FILING_STATUS=MR","Sort=A","Dates=H","DateFormat=P","Fill=—","Direction=H","UseDPDF=Y")</f>
        <v>0.57550000000000001</v>
      </c>
      <c r="G53" s="20">
        <f>_xll.BDH("NBIX US Equity","IS_BASIC_EPS_CONT_OPS","FQ2 2020","FQ2 2020","Currency=USD","Period=FQ","BEST_FPERIOD_OVERRIDE=FQ","FILING_STATUS=MR","Sort=A","Dates=H","DateFormat=P","Fill=—","Direction=H","UseDPDF=Y")</f>
        <v>1.2283999999999999</v>
      </c>
      <c r="H53" s="20">
        <f>_xll.BDH("NBIX US Equity","IS_BASIC_EPS_CONT_OPS","FQ3 2020","FQ3 2020","Currency=USD","Period=FQ","BEST_FPERIOD_OVERRIDE=FQ","FILING_STATUS=MR","Sort=A","Dates=H","DateFormat=P","Fill=—","Direction=H","UseDPDF=Y")</f>
        <v>0.69699999999999995</v>
      </c>
      <c r="I53" s="20">
        <f>_xll.BDH("NBIX US Equity","IS_BASIC_EPS_CONT_OPS","FQ4 2020","FQ4 2020","Currency=USD","Period=FQ","BEST_FPERIOD_OVERRIDE=FQ","FILING_STATUS=MR","Sort=A","Dates=H","DateFormat=P","Fill=—","Direction=H","UseDPDF=Y")</f>
        <v>2.3711000000000002</v>
      </c>
      <c r="J53" s="20">
        <f>_xll.BDH("NBIX US Equity","IS_BASIC_EPS_CONT_OPS","FQ1 2021","FQ1 2021","Currency=USD","Period=FQ","BEST_FPERIOD_OVERRIDE=FQ","FILING_STATUS=MR","Sort=A","Dates=H","DateFormat=P","Fill=—","Direction=H","UseDPDF=Y")</f>
        <v>0.33739999999999998</v>
      </c>
      <c r="K53" s="20">
        <f>_xll.BDH("NBIX US Equity","IS_BASIC_EPS_CONT_OPS","FQ2 2021","FQ2 2021","Currency=USD","Period=FQ","BEST_FPERIOD_OVERRIDE=FQ","FILING_STATUS=MR","Sort=A","Dates=H","DateFormat=P","Fill=—","Direction=H","UseDPDF=Y")</f>
        <v>0.49359999999999998</v>
      </c>
      <c r="L53" s="20">
        <f>_xll.BDH("NBIX US Equity","IS_BASIC_EPS_CONT_OPS","FQ3 2021","FQ3 2021","Currency=USD","Period=FQ","BEST_FPERIOD_OVERRIDE=FQ","FILING_STATUS=MR","Sort=A","Dates=H","DateFormat=P","Fill=—","Direction=H","UseDPDF=Y")</f>
        <v>0.31630000000000003</v>
      </c>
      <c r="M53" s="20">
        <f>_xll.BDH("NBIX US Equity","IS_BASIC_EPS_CONT_OPS","FQ4 2021","FQ4 2021","Currency=USD","Period=FQ","BEST_FPERIOD_OVERRIDE=FQ","FILING_STATUS=MR","Sort=A","Dates=H","DateFormat=P","Fill=—","Direction=H","UseDPDF=Y")</f>
        <v>0.52159999999999995</v>
      </c>
      <c r="N53" s="20">
        <f>_xll.BDH("NBIX US Equity","IS_BASIC_EPS_CONT_OPS","FQ1 2022","FQ1 2022","Currency=USD","Period=FQ","BEST_FPERIOD_OVERRIDE=FQ","FILING_STATUS=MR","Sort=A","Dates=H","DateFormat=P","Fill=—","Direction=H","UseDPDF=Y")</f>
        <v>-4.2700000000000002E-2</v>
      </c>
      <c r="O53" s="20">
        <f>_xll.BDH("NBIX US Equity","IS_BASIC_EPS_CONT_OPS","FQ2 2022","FQ2 2022","Currency=USD","Period=FQ","BEST_FPERIOD_OVERRIDE=FQ","FILING_STATUS=MR","Sort=A","Dates=H","DateFormat=P","Fill=—","Direction=H","UseDPDF=Y")</f>
        <v>-0.11559999999999999</v>
      </c>
      <c r="P53" s="20">
        <f>_xll.BDH("NBIX US Equity","IS_BASIC_EPS_CONT_OPS","FQ3 2022","FQ3 2022","Currency=USD","Period=FQ","BEST_FPERIOD_OVERRIDE=FQ","FILING_STATUS=MR","Sort=A","Dates=H","DateFormat=P","Fill=—","Direction=H","UseDPDF=Y")</f>
        <v>0.82240000000000002</v>
      </c>
      <c r="Q53" s="20">
        <f>_xll.BDH("NBIX US Equity","IS_BASIC_EPS_CONT_OPS","FQ4 2022","FQ4 2022","Currency=USD","Period=FQ","BEST_FPERIOD_OVERRIDE=FQ","FILING_STATUS=MR","Sort=A","Dates=H","DateFormat=P","Fill=—","Direction=H","UseDPDF=Y")</f>
        <v>0.93489999999999995</v>
      </c>
      <c r="R53" s="20">
        <f>_xll.BDH("NBIX US Equity","IS_BASIC_EPS_CONT_OPS","FQ1 2023","FQ1 2023","Currency=USD","Period=FQ","BEST_FPERIOD_OVERRIDE=FQ","FILING_STATUS=MR","Sort=A","Dates=H","DateFormat=P","Fill=—","Direction=H","UseDPDF=Y")</f>
        <v>0.36609999999999998</v>
      </c>
      <c r="S53" s="20">
        <f>_xll.BDH("NBIX US Equity","IS_BASIC_EPS_CONT_OPS","FQ2 2023","FQ2 2023","Currency=USD","Period=FQ","BEST_FPERIOD_OVERRIDE=FQ","FILING_STATUS=MR","Sort=A","Dates=H","DateFormat=P","Fill=—","Direction=H","UseDPDF=Y")</f>
        <v>0.67659999999999998</v>
      </c>
      <c r="T53" s="20">
        <f>_xll.BDH("NBIX US Equity","IS_BASIC_EPS_CONT_OPS","FQ3 2023","FQ3 2023","Currency=USD","Period=FQ","BEST_FPERIOD_OVERRIDE=FQ","FILING_STATUS=MR","Sort=A","Dates=H","DateFormat=P","Fill=—","Direction=H","UseDPDF=Y")</f>
        <v>1.4097999999999999</v>
      </c>
      <c r="U53" s="20">
        <f>_xll.BDH("NBIX US Equity","IS_BASIC_EPS_CONT_OPS","FQ4 2023","FQ4 2023","Currency=USD","Period=FQ","BEST_FPERIOD_OVERRIDE=FQ","FILING_STATUS=MR","Sort=A","Dates=H","DateFormat=P","Fill=—","Direction=H","UseDPDF=Y")</f>
        <v>1.2682</v>
      </c>
      <c r="V53" s="20">
        <f>_xll.BDH("NBIX US Equity","IS_BASIC_EPS_CONT_OPS","FQ1 2024","FQ1 2024","Currency=USD","Period=FQ","BEST_FPERIOD_OVERRIDE=FQ","FILING_STATUS=MR","Sort=A","Dates=H","DateFormat=P","Fill=—","Direction=H","UseDPDF=Y")</f>
        <v>0.47249999999999998</v>
      </c>
      <c r="W53" s="20">
        <f>_xll.BDH("NBIX US Equity","IS_BASIC_EPS_CONT_OPS","FQ2 2024","FQ2 2024","Currency=USD","Period=FQ","BEST_FPERIOD_OVERRIDE=FQ","FILING_STATUS=MR","Sort=A","Dates=H","DateFormat=P","Fill=—","Direction=H","UseDPDF=Y")</f>
        <v>1.7286999999999999</v>
      </c>
      <c r="X53" s="20">
        <f>_xll.BDH("NBIX US Equity","IS_BASIC_EPS_CONT_OPS","FQ3 2024","FQ3 2024","Currency=USD","Period=FQ","BEST_FPERIOD_OVERRIDE=FQ","FILING_STATUS=MR","Sort=A","Dates=H","DateFormat=P","Fill=—","Direction=H","UseDPDF=Y")</f>
        <v>1.5556000000000001</v>
      </c>
      <c r="Y53" s="20">
        <f>_xll.BDH("NBIX US Equity","IS_BASIC_EPS_CONT_OPS","FQ4 2024","FQ4 2024","Currency=USD","Period=FQ","BEST_FPERIOD_OVERRIDE=FQ","FILING_STATUS=MR","Sort=A","Dates=H","DateFormat=P","Fill=—","Direction=H","UseDPDF=Y")</f>
        <v>1.0737000000000001</v>
      </c>
      <c r="Z53" s="20">
        <v>1.2450000000000001</v>
      </c>
      <c r="AA53" s="20">
        <v>1.444</v>
      </c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0" t="s">
        <v>258</v>
      </c>
      <c r="B55" s="10" t="s">
        <v>108</v>
      </c>
      <c r="C55" s="13">
        <f>_xll.BDH("NBIX US Equity","IS_SH_FOR_DILUTED_EPS","FQ2 2019","FQ2 2019","Currency=USD","Period=FQ","BEST_FPERIOD_OVERRIDE=FQ","FILING_STATUS=MR","Sort=A","Dates=H","DateFormat=P","Fill=—","Direction=H","UseDPDF=Y")</f>
        <v>94.778999999999996</v>
      </c>
      <c r="D55" s="13">
        <f>_xll.BDH("NBIX US Equity","IS_SH_FOR_DILUTED_EPS","FQ3 2019","FQ3 2019","Currency=USD","Period=FQ","BEST_FPERIOD_OVERRIDE=FQ","FILING_STATUS=MR","Sort=A","Dates=H","DateFormat=P","Fill=—","Direction=H","UseDPDF=Y")</f>
        <v>96.073999999999998</v>
      </c>
      <c r="E55" s="13">
        <f>_xll.BDH("NBIX US Equity","IS_SH_FOR_DILUTED_EPS","FQ4 2019","FQ4 2019","Currency=USD","Period=FQ","BEST_FPERIOD_OVERRIDE=FQ","FILING_STATUS=MR","Sort=A","Dates=H","DateFormat=P","Fill=—","Direction=H","UseDPDF=Y")</f>
        <v>97.2</v>
      </c>
      <c r="F55" s="13">
        <f>_xll.BDH("NBIX US Equity","IS_SH_FOR_DILUTED_EPS","FQ1 2020","FQ1 2020","Currency=USD","Period=FQ","BEST_FPERIOD_OVERRIDE=FQ","FILING_STATUS=MR","Sort=A","Dates=H","DateFormat=P","Fill=—","Direction=H","UseDPDF=Y")</f>
        <v>97</v>
      </c>
      <c r="G55" s="13">
        <f>_xll.BDH("NBIX US Equity","IS_SH_FOR_DILUTED_EPS","FQ2 2020","FQ2 2020","Currency=USD","Period=FQ","BEST_FPERIOD_OVERRIDE=FQ","FILING_STATUS=MR","Sort=A","Dates=H","DateFormat=P","Fill=—","Direction=H","UseDPDF=Y")</f>
        <v>98.2</v>
      </c>
      <c r="H55" s="13">
        <f>_xll.BDH("NBIX US Equity","IS_SH_FOR_DILUTED_EPS","FQ3 2020","FQ3 2020","Currency=USD","Period=FQ","BEST_FPERIOD_OVERRIDE=FQ","FILING_STATUS=MR","Sort=A","Dates=H","DateFormat=P","Fill=—","Direction=H","UseDPDF=Y")</f>
        <v>93.3</v>
      </c>
      <c r="I55" s="13">
        <f>_xll.BDH("NBIX US Equity","IS_SH_FOR_DILUTED_EPS","FQ4 2020","FQ4 2020","Currency=USD","Period=FQ","BEST_FPERIOD_OVERRIDE=FQ","FILING_STATUS=MR","Sort=A","Dates=H","DateFormat=P","Fill=—","Direction=H","UseDPDF=Y")</f>
        <v>97.2</v>
      </c>
      <c r="J55" s="13">
        <f>_xll.BDH("NBIX US Equity","IS_SH_FOR_DILUTED_EPS","FQ1 2021","FQ1 2021","Currency=USD","Period=FQ","BEST_FPERIOD_OVERRIDE=FQ","FILING_STATUS=MR","Sort=A","Dates=H","DateFormat=P","Fill=—","Direction=H","UseDPDF=Y")</f>
        <v>98.2</v>
      </c>
      <c r="K55" s="13">
        <f>_xll.BDH("NBIX US Equity","IS_SH_FOR_DILUTED_EPS","FQ2 2021","FQ2 2021","Currency=USD","Period=FQ","BEST_FPERIOD_OVERRIDE=FQ","FILING_STATUS=MR","Sort=A","Dates=H","DateFormat=P","Fill=—","Direction=H","UseDPDF=Y")</f>
        <v>97.7</v>
      </c>
      <c r="L55" s="13">
        <f>_xll.BDH("NBIX US Equity","IS_SH_FOR_DILUTED_EPS","FQ3 2021","FQ3 2021","Currency=USD","Period=FQ","BEST_FPERIOD_OVERRIDE=FQ","FILING_STATUS=MR","Sort=A","Dates=H","DateFormat=P","Fill=—","Direction=H","UseDPDF=Y")</f>
        <v>97.7</v>
      </c>
      <c r="M55" s="13">
        <f>_xll.BDH("NBIX US Equity","IS_SH_FOR_DILUTED_EPS","FQ4 2021","FQ4 2021","Currency=USD","Period=FQ","BEST_FPERIOD_OVERRIDE=FQ","FILING_STATUS=MR","Sort=A","Dates=H","DateFormat=P","Fill=—","Direction=H","UseDPDF=Y")</f>
        <v>94.9</v>
      </c>
      <c r="N55" s="13">
        <f>_xll.BDH("NBIX US Equity","IS_SH_FOR_DILUTED_EPS","FQ1 2022","FQ1 2022","Currency=USD","Period=FQ","BEST_FPERIOD_OVERRIDE=FQ","FILING_STATUS=MR","Sort=A","Dates=H","DateFormat=P","Fill=—","Direction=H","UseDPDF=Y")</f>
        <v>97.6</v>
      </c>
      <c r="O55" s="13">
        <f>_xll.BDH("NBIX US Equity","IS_SH_FOR_DILUTED_EPS","FQ2 2022","FQ2 2022","Currency=USD","Period=FQ","BEST_FPERIOD_OVERRIDE=FQ","FILING_STATUS=MR","Sort=A","Dates=H","DateFormat=P","Fill=—","Direction=H","UseDPDF=Y")</f>
        <v>95.6</v>
      </c>
      <c r="P55" s="13">
        <f>_xll.BDH("NBIX US Equity","IS_SH_FOR_DILUTED_EPS","FQ3 2022","FQ3 2022","Currency=USD","Period=FQ","BEST_FPERIOD_OVERRIDE=FQ","FILING_STATUS=MR","Sort=A","Dates=H","DateFormat=P","Fill=—","Direction=H","UseDPDF=Y")</f>
        <v>99</v>
      </c>
      <c r="Q55" s="13">
        <f>_xll.BDH("NBIX US Equity","IS_SH_FOR_DILUTED_EPS","FQ4 2022","FQ4 2022","Currency=USD","Period=FQ","BEST_FPERIOD_OVERRIDE=FQ","FILING_STATUS=MR","Sort=A","Dates=H","DateFormat=P","Fill=—","Direction=H","UseDPDF=Y")</f>
        <v>100.8</v>
      </c>
      <c r="R55" s="13">
        <f>_xll.BDH("NBIX US Equity","IS_SH_FOR_DILUTED_EPS","FQ1 2023","FQ1 2023","Currency=USD","Period=FQ","BEST_FPERIOD_OVERRIDE=FQ","FILING_STATUS=MR","Sort=A","Dates=H","DateFormat=P","Fill=—","Direction=H","UseDPDF=Y")</f>
        <v>97.1</v>
      </c>
      <c r="S55" s="13">
        <f>_xll.BDH("NBIX US Equity","IS_SH_FOR_DILUTED_EPS","FQ2 2023","FQ2 2023","Currency=USD","Period=FQ","BEST_FPERIOD_OVERRIDE=FQ","FILING_STATUS=MR","Sort=A","Dates=H","DateFormat=P","Fill=—","Direction=H","UseDPDF=Y")</f>
        <v>100.2</v>
      </c>
      <c r="T55" s="13">
        <f>_xll.BDH("NBIX US Equity","IS_SH_FOR_DILUTED_EPS","FQ3 2023","FQ3 2023","Currency=USD","Period=FQ","BEST_FPERIOD_OVERRIDE=FQ","FILING_STATUS=MR","Sort=A","Dates=H","DateFormat=P","Fill=—","Direction=H","UseDPDF=Y")</f>
        <v>101.1</v>
      </c>
      <c r="U55" s="13">
        <f>_xll.BDH("NBIX US Equity","IS_SH_FOR_DILUTED_EPS","FQ4 2023","FQ4 2023","Currency=USD","Period=FQ","BEST_FPERIOD_OVERRIDE=FQ","FILING_STATUS=MR","Sort=A","Dates=H","DateFormat=P","Fill=—","Direction=H","UseDPDF=Y")</f>
        <v>102.3</v>
      </c>
      <c r="V55" s="13">
        <f>_xll.BDH("NBIX US Equity","IS_SH_FOR_DILUTED_EPS","FQ1 2024","FQ1 2024","Currency=USD","Period=FQ","BEST_FPERIOD_OVERRIDE=FQ","FILING_STATUS=MR","Sort=A","Dates=H","DateFormat=P","Fill=—","Direction=H","UseDPDF=Y")</f>
        <v>103.6</v>
      </c>
      <c r="W55" s="13">
        <f>_xll.BDH("NBIX US Equity","IS_SH_FOR_DILUTED_EPS","FQ2 2024","FQ2 2024","Currency=USD","Period=FQ","BEST_FPERIOD_OVERRIDE=FQ","FILING_STATUS=MR","Sort=A","Dates=H","DateFormat=P","Fill=—","Direction=H","UseDPDF=Y")</f>
        <v>103.9</v>
      </c>
      <c r="X55" s="13">
        <f>_xll.BDH("NBIX US Equity","IS_SH_FOR_DILUTED_EPS","FQ3 2024","FQ3 2024","Currency=USD","Period=FQ","BEST_FPERIOD_OVERRIDE=FQ","FILING_STATUS=MR","Sort=A","Dates=H","DateFormat=P","Fill=—","Direction=H","UseDPDF=Y")</f>
        <v>104.3</v>
      </c>
      <c r="Y55" s="13">
        <f>_xll.BDH("NBIX US Equity","IS_SH_FOR_DILUTED_EPS","FQ4 2024","FQ4 2024","Currency=USD","Period=FQ","BEST_FPERIOD_OVERRIDE=FQ","FILING_STATUS=MR","Sort=A","Dates=H","DateFormat=P","Fill=—","Direction=H","UseDPDF=Y")</f>
        <v>102.9</v>
      </c>
      <c r="Z55" s="13"/>
      <c r="AA55" s="13"/>
    </row>
    <row r="56" spans="1:27" x14ac:dyDescent="0.25">
      <c r="A56" s="6" t="s">
        <v>103</v>
      </c>
      <c r="B56" s="6" t="s">
        <v>104</v>
      </c>
      <c r="C56" s="20">
        <f>_xll.BDH("NBIX US Equity","IS_DILUTED_EPS","FQ2 2019","FQ2 2019","Currency=USD","Period=FQ","BEST_FPERIOD_OVERRIDE=FQ","FILING_STATUS=MR","FA_ADJUSTED=GAAP","Sort=A","Dates=H","DateFormat=P","Fill=—","Direction=H","UseDPDF=Y")</f>
        <v>0.54</v>
      </c>
      <c r="D56" s="20">
        <f>_xll.BDH("NBIX US Equity","IS_DILUTED_EPS","FQ3 2019","FQ3 2019","Currency=USD","Period=FQ","BEST_FPERIOD_OVERRIDE=FQ","FILING_STATUS=MR","FA_ADJUSTED=GAAP","Sort=A","Dates=H","DateFormat=P","Fill=—","Direction=H","UseDPDF=Y")</f>
        <v>0.56000000000000005</v>
      </c>
      <c r="E56" s="20">
        <f>_xll.BDH("NBIX US Equity","IS_DILUTED_EPS","FQ4 2019","FQ4 2019","Currency=USD","Period=FQ","BEST_FPERIOD_OVERRIDE=FQ","FILING_STATUS=MR","FA_ADJUSTED=GAAP","Sort=A","Dates=H","DateFormat=P","Fill=—","Direction=H","UseDPDF=Y")</f>
        <v>0.35</v>
      </c>
      <c r="F56" s="20">
        <f>_xll.BDH("NBIX US Equity","IS_DILUTED_EPS","FQ1 2020","FQ1 2020","Currency=USD","Period=FQ","BEST_FPERIOD_OVERRIDE=FQ","FILING_STATUS=MR","FA_ADJUSTED=GAAP","Sort=A","Dates=H","DateFormat=P","Fill=—","Direction=H","UseDPDF=Y")</f>
        <v>0.39</v>
      </c>
      <c r="G56" s="20">
        <f>_xll.BDH("NBIX US Equity","IS_DILUTED_EPS","FQ2 2020","FQ2 2020","Currency=USD","Period=FQ","BEST_FPERIOD_OVERRIDE=FQ","FILING_STATUS=MR","FA_ADJUSTED=GAAP","Sort=A","Dates=H","DateFormat=P","Fill=—","Direction=H","UseDPDF=Y")</f>
        <v>0.81</v>
      </c>
      <c r="H56" s="20">
        <f>_xll.BDH("NBIX US Equity","IS_DILUTED_EPS","FQ3 2020","FQ3 2020","Currency=USD","Period=FQ","BEST_FPERIOD_OVERRIDE=FQ","FILING_STATUS=MR","FA_ADJUSTED=GAAP","Sort=A","Dates=H","DateFormat=P","Fill=—","Direction=H","UseDPDF=Y")</f>
        <v>-0.62</v>
      </c>
      <c r="I56" s="20">
        <f>_xll.BDH("NBIX US Equity","IS_DILUTED_EPS","FQ4 2020","FQ4 2020","Currency=USD","Period=FQ","BEST_FPERIOD_OVERRIDE=FQ","FILING_STATUS=MR","FA_ADJUSTED=GAAP","Sort=A","Dates=H","DateFormat=P","Fill=—","Direction=H","UseDPDF=Y")</f>
        <v>3.58</v>
      </c>
      <c r="J56" s="20">
        <f>_xll.BDH("NBIX US Equity","IS_DILUTED_EPS","FQ1 2021","FQ1 2021","Currency=USD","Period=FQ","BEST_FPERIOD_OVERRIDE=FQ","FILING_STATUS=MR","FA_ADJUSTED=GAAP","Sort=A","Dates=H","DateFormat=P","Fill=—","Direction=H","UseDPDF=Y")</f>
        <v>0.33</v>
      </c>
      <c r="K56" s="20">
        <f>_xll.BDH("NBIX US Equity","IS_DILUTED_EPS","FQ2 2021","FQ2 2021","Currency=USD","Period=FQ","BEST_FPERIOD_OVERRIDE=FQ","FILING_STATUS=MR","FA_ADJUSTED=GAAP","Sort=A","Dates=H","DateFormat=P","Fill=—","Direction=H","UseDPDF=Y")</f>
        <v>0.43</v>
      </c>
      <c r="L56" s="20">
        <f>_xll.BDH("NBIX US Equity","IS_DILUTED_EPS","FQ3 2021","FQ3 2021","Currency=USD","Period=FQ","BEST_FPERIOD_OVERRIDE=FQ","FILING_STATUS=MR","FA_ADJUSTED=GAAP","Sort=A","Dates=H","DateFormat=P","Fill=—","Direction=H","UseDPDF=Y")</f>
        <v>0.23</v>
      </c>
      <c r="M56" s="20">
        <f>_xll.BDH("NBIX US Equity","IS_DILUTED_EPS","FQ4 2021","FQ4 2021","Currency=USD","Period=FQ","BEST_FPERIOD_OVERRIDE=FQ","FILING_STATUS=MR","FA_ADJUSTED=GAAP","Sort=A","Dates=H","DateFormat=P","Fill=—","Direction=H","UseDPDF=Y")</f>
        <v>-0.08</v>
      </c>
      <c r="N56" s="20">
        <f>_xll.BDH("NBIX US Equity","IS_DILUTED_EPS","FQ1 2022","FQ1 2022","Currency=USD","Period=FQ","BEST_FPERIOD_OVERRIDE=FQ","FILING_STATUS=MR","FA_ADJUSTED=GAAP","Sort=A","Dates=H","DateFormat=P","Fill=—","Direction=H","UseDPDF=Y")</f>
        <v>0.14000000000000001</v>
      </c>
      <c r="O56" s="20">
        <f>_xll.BDH("NBIX US Equity","IS_DILUTED_EPS","FQ2 2022","FQ2 2022","Currency=USD","Period=FQ","BEST_FPERIOD_OVERRIDE=FQ","FILING_STATUS=MR","FA_ADJUSTED=GAAP","Sort=A","Dates=H","DateFormat=P","Fill=—","Direction=H","UseDPDF=Y")</f>
        <v>-0.18</v>
      </c>
      <c r="P56" s="20">
        <f>_xll.BDH("NBIX US Equity","IS_DILUTED_EPS","FQ3 2022","FQ3 2022","Currency=USD","Period=FQ","BEST_FPERIOD_OVERRIDE=FQ","FILING_STATUS=MR","FA_ADJUSTED=GAAP","Sort=A","Dates=H","DateFormat=P","Fill=—","Direction=H","UseDPDF=Y")</f>
        <v>0.69</v>
      </c>
      <c r="Q56" s="20">
        <f>_xll.BDH("NBIX US Equity","IS_DILUTED_EPS","FQ4 2022","FQ4 2022","Currency=USD","Period=FQ","BEST_FPERIOD_OVERRIDE=FQ","FILING_STATUS=MR","FA_ADJUSTED=GAAP","Sort=A","Dates=H","DateFormat=P","Fill=—","Direction=H","UseDPDF=Y")</f>
        <v>0.88</v>
      </c>
      <c r="R56" s="20">
        <f>_xll.BDH("NBIX US Equity","IS_DILUTED_EPS","FQ1 2023","FQ1 2023","Currency=USD","Period=FQ","BEST_FPERIOD_OVERRIDE=FQ","FILING_STATUS=MR","FA_ADJUSTED=GAAP","Sort=A","Dates=H","DateFormat=P","Fill=—","Direction=H","UseDPDF=Y")</f>
        <v>-0.79</v>
      </c>
      <c r="S56" s="20">
        <f>_xll.BDH("NBIX US Equity","IS_DILUTED_EPS","FQ2 2023","FQ2 2023","Currency=USD","Period=FQ","BEST_FPERIOD_OVERRIDE=FQ","FILING_STATUS=MR","FA_ADJUSTED=GAAP","Sort=A","Dates=H","DateFormat=P","Fill=—","Direction=H","UseDPDF=Y")</f>
        <v>0.95</v>
      </c>
      <c r="T56" s="20">
        <f>_xll.BDH("NBIX US Equity","IS_DILUTED_EPS","FQ3 2023","FQ3 2023","Currency=USD","Period=FQ","BEST_FPERIOD_OVERRIDE=FQ","FILING_STATUS=MR","FA_ADJUSTED=GAAP","Sort=A","Dates=H","DateFormat=P","Fill=—","Direction=H","UseDPDF=Y")</f>
        <v>0.82</v>
      </c>
      <c r="U56" s="20">
        <f>_xll.BDH("NBIX US Equity","IS_DILUTED_EPS","FQ4 2023","FQ4 2023","Currency=USD","Period=FQ","BEST_FPERIOD_OVERRIDE=FQ","FILING_STATUS=MR","FA_ADJUSTED=GAAP","Sort=A","Dates=H","DateFormat=P","Fill=—","Direction=H","UseDPDF=Y")</f>
        <v>1.44</v>
      </c>
      <c r="V56" s="20">
        <f>_xll.BDH("NBIX US Equity","IS_DILUTED_EPS","FQ1 2024","FQ1 2024","Currency=USD","Period=FQ","BEST_FPERIOD_OVERRIDE=FQ","FILING_STATUS=MR","FA_ADJUSTED=GAAP","Sort=A","Dates=H","DateFormat=P","Fill=—","Direction=H","UseDPDF=Y")</f>
        <v>0.42</v>
      </c>
      <c r="W56" s="20">
        <f>_xll.BDH("NBIX US Equity","IS_DILUTED_EPS","FQ2 2024","FQ2 2024","Currency=USD","Period=FQ","BEST_FPERIOD_OVERRIDE=FQ","FILING_STATUS=MR","FA_ADJUSTED=GAAP","Sort=A","Dates=H","DateFormat=P","Fill=—","Direction=H","UseDPDF=Y")</f>
        <v>0.63</v>
      </c>
      <c r="X56" s="20">
        <f>_xll.BDH("NBIX US Equity","IS_DILUTED_EPS","FQ3 2024","FQ3 2024","Currency=USD","Period=FQ","BEST_FPERIOD_OVERRIDE=FQ","FILING_STATUS=MR","FA_ADJUSTED=GAAP","Sort=A","Dates=H","DateFormat=P","Fill=—","Direction=H","UseDPDF=Y")</f>
        <v>1.24</v>
      </c>
      <c r="Y56" s="20">
        <f>_xll.BDH("NBIX US Equity","IS_DILUTED_EPS","FQ4 2024","FQ4 2024","Currency=USD","Period=FQ","BEST_FPERIOD_OVERRIDE=FQ","FILING_STATUS=MR","FA_ADJUSTED=GAAP","Sort=A","Dates=H","DateFormat=P","Fill=—","Direction=H","UseDPDF=Y")</f>
        <v>1</v>
      </c>
      <c r="Z56" s="20">
        <v>0.81399999999999995</v>
      </c>
      <c r="AA56" s="20">
        <v>0.97199999999999998</v>
      </c>
    </row>
    <row r="57" spans="1:27" x14ac:dyDescent="0.25">
      <c r="A57" s="6" t="s">
        <v>389</v>
      </c>
      <c r="B57" s="6" t="s">
        <v>271</v>
      </c>
      <c r="C57" s="20">
        <f>_xll.BDH("NBIX US Equity","IS_DIL_EPS_BEF_XO","FQ2 2019","FQ2 2019","Currency=USD","Period=FQ","BEST_FPERIOD_OVERRIDE=FQ","FILING_STATUS=MR","Sort=A","Dates=H","DateFormat=P","Fill=—","Direction=H","UseDPDF=Y")</f>
        <v>0.54</v>
      </c>
      <c r="D57" s="20">
        <f>_xll.BDH("NBIX US Equity","IS_DIL_EPS_BEF_XO","FQ3 2019","FQ3 2019","Currency=USD","Period=FQ","BEST_FPERIOD_OVERRIDE=FQ","FILING_STATUS=MR","Sort=A","Dates=H","DateFormat=P","Fill=—","Direction=H","UseDPDF=Y")</f>
        <v>0.56000000000000005</v>
      </c>
      <c r="E57" s="20">
        <f>_xll.BDH("NBIX US Equity","IS_DIL_EPS_BEF_XO","FQ4 2019","FQ4 2019","Currency=USD","Period=FQ","BEST_FPERIOD_OVERRIDE=FQ","FILING_STATUS=MR","Sort=A","Dates=H","DateFormat=P","Fill=—","Direction=H","UseDPDF=Y")</f>
        <v>0.35</v>
      </c>
      <c r="F57" s="20">
        <f>_xll.BDH("NBIX US Equity","IS_DIL_EPS_BEF_XO","FQ1 2020","FQ1 2020","Currency=USD","Period=FQ","BEST_FPERIOD_OVERRIDE=FQ","FILING_STATUS=MR","Sort=A","Dates=H","DateFormat=P","Fill=—","Direction=H","UseDPDF=Y")</f>
        <v>0.39</v>
      </c>
      <c r="G57" s="20">
        <f>_xll.BDH("NBIX US Equity","IS_DIL_EPS_BEF_XO","FQ2 2020","FQ2 2020","Currency=USD","Period=FQ","BEST_FPERIOD_OVERRIDE=FQ","FILING_STATUS=MR","Sort=A","Dates=H","DateFormat=P","Fill=—","Direction=H","UseDPDF=Y")</f>
        <v>0.81</v>
      </c>
      <c r="H57" s="20">
        <f>_xll.BDH("NBIX US Equity","IS_DIL_EPS_BEF_XO","FQ3 2020","FQ3 2020","Currency=USD","Period=FQ","BEST_FPERIOD_OVERRIDE=FQ","FILING_STATUS=MR","Sort=A","Dates=H","DateFormat=P","Fill=—","Direction=H","UseDPDF=Y")</f>
        <v>-0.62</v>
      </c>
      <c r="I57" s="20">
        <f>_xll.BDH("NBIX US Equity","IS_DIL_EPS_BEF_XO","FQ4 2020","FQ4 2020","Currency=USD","Period=FQ","BEST_FPERIOD_OVERRIDE=FQ","FILING_STATUS=MR","Sort=A","Dates=H","DateFormat=P","Fill=—","Direction=H","UseDPDF=Y")</f>
        <v>3.58</v>
      </c>
      <c r="J57" s="20">
        <f>_xll.BDH("NBIX US Equity","IS_DIL_EPS_BEF_XO","FQ1 2021","FQ1 2021","Currency=USD","Period=FQ","BEST_FPERIOD_OVERRIDE=FQ","FILING_STATUS=MR","Sort=A","Dates=H","DateFormat=P","Fill=—","Direction=H","UseDPDF=Y")</f>
        <v>0.33</v>
      </c>
      <c r="K57" s="20">
        <f>_xll.BDH("NBIX US Equity","IS_DIL_EPS_BEF_XO","FQ2 2021","FQ2 2021","Currency=USD","Period=FQ","BEST_FPERIOD_OVERRIDE=FQ","FILING_STATUS=MR","Sort=A","Dates=H","DateFormat=P","Fill=—","Direction=H","UseDPDF=Y")</f>
        <v>0.43</v>
      </c>
      <c r="L57" s="20">
        <f>_xll.BDH("NBIX US Equity","IS_DIL_EPS_BEF_XO","FQ3 2021","FQ3 2021","Currency=USD","Period=FQ","BEST_FPERIOD_OVERRIDE=FQ","FILING_STATUS=MR","Sort=A","Dates=H","DateFormat=P","Fill=—","Direction=H","UseDPDF=Y")</f>
        <v>0.23</v>
      </c>
      <c r="M57" s="20">
        <f>_xll.BDH("NBIX US Equity","IS_DIL_EPS_BEF_XO","FQ4 2021","FQ4 2021","Currency=USD","Period=FQ","BEST_FPERIOD_OVERRIDE=FQ","FILING_STATUS=MR","Sort=A","Dates=H","DateFormat=P","Fill=—","Direction=H","UseDPDF=Y")</f>
        <v>-0.08</v>
      </c>
      <c r="N57" s="20">
        <f>_xll.BDH("NBIX US Equity","IS_DIL_EPS_BEF_XO","FQ1 2022","FQ1 2022","Currency=USD","Period=FQ","BEST_FPERIOD_OVERRIDE=FQ","FILING_STATUS=MR","Sort=A","Dates=H","DateFormat=P","Fill=—","Direction=H","UseDPDF=Y")</f>
        <v>0.14000000000000001</v>
      </c>
      <c r="O57" s="20">
        <f>_xll.BDH("NBIX US Equity","IS_DIL_EPS_BEF_XO","FQ2 2022","FQ2 2022","Currency=USD","Period=FQ","BEST_FPERIOD_OVERRIDE=FQ","FILING_STATUS=MR","Sort=A","Dates=H","DateFormat=P","Fill=—","Direction=H","UseDPDF=Y")</f>
        <v>-0.18</v>
      </c>
      <c r="P57" s="20">
        <f>_xll.BDH("NBIX US Equity","IS_DIL_EPS_BEF_XO","FQ3 2022","FQ3 2022","Currency=USD","Period=FQ","BEST_FPERIOD_OVERRIDE=FQ","FILING_STATUS=MR","Sort=A","Dates=H","DateFormat=P","Fill=—","Direction=H","UseDPDF=Y")</f>
        <v>0.69</v>
      </c>
      <c r="Q57" s="20">
        <f>_xll.BDH("NBIX US Equity","IS_DIL_EPS_BEF_XO","FQ4 2022","FQ4 2022","Currency=USD","Period=FQ","BEST_FPERIOD_OVERRIDE=FQ","FILING_STATUS=MR","Sort=A","Dates=H","DateFormat=P","Fill=—","Direction=H","UseDPDF=Y")</f>
        <v>0.88</v>
      </c>
      <c r="R57" s="20">
        <f>_xll.BDH("NBIX US Equity","IS_DIL_EPS_BEF_XO","FQ1 2023","FQ1 2023","Currency=USD","Period=FQ","BEST_FPERIOD_OVERRIDE=FQ","FILING_STATUS=MR","Sort=A","Dates=H","DateFormat=P","Fill=—","Direction=H","UseDPDF=Y")</f>
        <v>-0.79</v>
      </c>
      <c r="S57" s="20">
        <f>_xll.BDH("NBIX US Equity","IS_DIL_EPS_BEF_XO","FQ2 2023","FQ2 2023","Currency=USD","Period=FQ","BEST_FPERIOD_OVERRIDE=FQ","FILING_STATUS=MR","Sort=A","Dates=H","DateFormat=P","Fill=—","Direction=H","UseDPDF=Y")</f>
        <v>0.95</v>
      </c>
      <c r="T57" s="20">
        <f>_xll.BDH("NBIX US Equity","IS_DIL_EPS_BEF_XO","FQ3 2023","FQ3 2023","Currency=USD","Period=FQ","BEST_FPERIOD_OVERRIDE=FQ","FILING_STATUS=MR","Sort=A","Dates=H","DateFormat=P","Fill=—","Direction=H","UseDPDF=Y")</f>
        <v>0.82</v>
      </c>
      <c r="U57" s="20">
        <f>_xll.BDH("NBIX US Equity","IS_DIL_EPS_BEF_XO","FQ4 2023","FQ4 2023","Currency=USD","Period=FQ","BEST_FPERIOD_OVERRIDE=FQ","FILING_STATUS=MR","Sort=A","Dates=H","DateFormat=P","Fill=—","Direction=H","UseDPDF=Y")</f>
        <v>1.44</v>
      </c>
      <c r="V57" s="20">
        <f>_xll.BDH("NBIX US Equity","IS_DIL_EPS_BEF_XO","FQ1 2024","FQ1 2024","Currency=USD","Period=FQ","BEST_FPERIOD_OVERRIDE=FQ","FILING_STATUS=MR","Sort=A","Dates=H","DateFormat=P","Fill=—","Direction=H","UseDPDF=Y")</f>
        <v>0.42</v>
      </c>
      <c r="W57" s="20">
        <f>_xll.BDH("NBIX US Equity","IS_DIL_EPS_BEF_XO","FQ2 2024","FQ2 2024","Currency=USD","Period=FQ","BEST_FPERIOD_OVERRIDE=FQ","FILING_STATUS=MR","Sort=A","Dates=H","DateFormat=P","Fill=—","Direction=H","UseDPDF=Y")</f>
        <v>0.63</v>
      </c>
      <c r="X57" s="20">
        <f>_xll.BDH("NBIX US Equity","IS_DIL_EPS_BEF_XO","FQ3 2024","FQ3 2024","Currency=USD","Period=FQ","BEST_FPERIOD_OVERRIDE=FQ","FILING_STATUS=MR","Sort=A","Dates=H","DateFormat=P","Fill=—","Direction=H","UseDPDF=Y")</f>
        <v>1.24</v>
      </c>
      <c r="Y57" s="20">
        <f>_xll.BDH("NBIX US Equity","IS_DIL_EPS_BEF_XO","FQ4 2024","FQ4 2024","Currency=USD","Period=FQ","BEST_FPERIOD_OVERRIDE=FQ","FILING_STATUS=MR","Sort=A","Dates=H","DateFormat=P","Fill=—","Direction=H","UseDPDF=Y")</f>
        <v>1</v>
      </c>
      <c r="Z57" s="20">
        <v>0.81399999999999995</v>
      </c>
      <c r="AA57" s="20">
        <v>0.97199999999999998</v>
      </c>
    </row>
    <row r="58" spans="1:27" x14ac:dyDescent="0.25">
      <c r="A58" s="6" t="s">
        <v>390</v>
      </c>
      <c r="B58" s="6" t="s">
        <v>82</v>
      </c>
      <c r="C58" s="20">
        <f>_xll.BDH("NBIX US Equity","IS_DIL_EPS_CONT_OPS","FQ2 2019","FQ2 2019","Currency=USD","Period=FQ","BEST_FPERIOD_OVERRIDE=FQ","FILING_STATUS=MR","Sort=A","Dates=H","DateFormat=P","Fill=—","Direction=H","UseDPDF=Y")</f>
        <v>0.40689999999999998</v>
      </c>
      <c r="D58" s="20">
        <f>_xll.BDH("NBIX US Equity","IS_DIL_EPS_CONT_OPS","FQ3 2019","FQ3 2019","Currency=USD","Period=FQ","BEST_FPERIOD_OVERRIDE=FQ","FILING_STATUS=MR","Sort=A","Dates=H","DateFormat=P","Fill=—","Direction=H","UseDPDF=Y")</f>
        <v>0.79390000000000005</v>
      </c>
      <c r="E58" s="20">
        <f>_xll.BDH("NBIX US Equity","IS_DIL_EPS_CONT_OPS","FQ4 2019","FQ4 2019","Currency=USD","Period=FQ","BEST_FPERIOD_OVERRIDE=FQ","FILING_STATUS=MR","Sort=A","Dates=H","DateFormat=P","Fill=—","Direction=H","UseDPDF=Y")</f>
        <v>0.7913</v>
      </c>
      <c r="F58" s="20">
        <f>_xll.BDH("NBIX US Equity","IS_DIL_EPS_CONT_OPS","FQ1 2020","FQ1 2020","Currency=USD","Period=FQ","BEST_FPERIOD_OVERRIDE=FQ","FILING_STATUS=MR","Sort=A","Dates=H","DateFormat=P","Fill=—","Direction=H","UseDPDF=Y")</f>
        <v>0.55379999999999996</v>
      </c>
      <c r="G58" s="20">
        <f>_xll.BDH("NBIX US Equity","IS_DIL_EPS_CONT_OPS","FQ2 2020","FQ2 2020","Currency=USD","Period=FQ","BEST_FPERIOD_OVERRIDE=FQ","FILING_STATUS=MR","Sort=A","Dates=H","DateFormat=P","Fill=—","Direction=H","UseDPDF=Y")</f>
        <v>1.1628000000000001</v>
      </c>
      <c r="H58" s="20">
        <f>_xll.BDH("NBIX US Equity","IS_DIL_EPS_CONT_OPS","FQ3 2020","FQ3 2020","Currency=USD","Period=FQ","BEST_FPERIOD_OVERRIDE=FQ","FILING_STATUS=MR","Sort=A","Dates=H","DateFormat=P","Fill=—","Direction=H","UseDPDF=Y")</f>
        <v>0.69430000000000003</v>
      </c>
      <c r="I58" s="20">
        <f>_xll.BDH("NBIX US Equity","IS_DIL_EPS_CONT_OPS","FQ4 2020","FQ4 2020","Currency=USD","Period=FQ","BEST_FPERIOD_OVERRIDE=FQ","FILING_STATUS=MR","Sort=A","Dates=H","DateFormat=P","Fill=—","Direction=H","UseDPDF=Y")</f>
        <v>2.2816000000000001</v>
      </c>
      <c r="J58" s="20">
        <f>_xll.BDH("NBIX US Equity","IS_DIL_EPS_CONT_OPS","FQ1 2021","FQ1 2021","Currency=USD","Period=FQ","BEST_FPERIOD_OVERRIDE=FQ","FILING_STATUS=MR","Sort=A","Dates=H","DateFormat=P","Fill=—","Direction=H","UseDPDF=Y")</f>
        <v>0.32679999999999998</v>
      </c>
      <c r="K58" s="20">
        <f>_xll.BDH("NBIX US Equity","IS_DIL_EPS_CONT_OPS","FQ2 2021","FQ2 2021","Currency=USD","Period=FQ","BEST_FPERIOD_OVERRIDE=FQ","FILING_STATUS=MR","Sort=A","Dates=H","DateFormat=P","Fill=—","Direction=H","UseDPDF=Y")</f>
        <v>0.47499999999999998</v>
      </c>
      <c r="L58" s="20">
        <f>_xll.BDH("NBIX US Equity","IS_DIL_EPS_CONT_OPS","FQ3 2021","FQ3 2021","Currency=USD","Period=FQ","BEST_FPERIOD_OVERRIDE=FQ","FILING_STATUS=MR","Sort=A","Dates=H","DateFormat=P","Fill=—","Direction=H","UseDPDF=Y")</f>
        <v>0.30630000000000002</v>
      </c>
      <c r="M58" s="20">
        <f>_xll.BDH("NBIX US Equity","IS_DIL_EPS_CONT_OPS","FQ4 2021","FQ4 2021","Currency=USD","Period=FQ","BEST_FPERIOD_OVERRIDE=FQ","FILING_STATUS=MR","Sort=A","Dates=H","DateFormat=P","Fill=—","Direction=H","UseDPDF=Y")</f>
        <v>0.51849999999999996</v>
      </c>
      <c r="N58" s="20">
        <f>_xll.BDH("NBIX US Equity","IS_DIL_EPS_CONT_OPS","FQ1 2022","FQ1 2022","Currency=USD","Period=FQ","BEST_FPERIOD_OVERRIDE=FQ","FILING_STATUS=MR","Sort=A","Dates=H","DateFormat=P","Fill=—","Direction=H","UseDPDF=Y")</f>
        <v>-4.41E-2</v>
      </c>
      <c r="O58" s="20">
        <f>_xll.BDH("NBIX US Equity","IS_DIL_EPS_CONT_OPS","FQ2 2022","FQ2 2022","Currency=USD","Period=FQ","BEST_FPERIOD_OVERRIDE=FQ","FILING_STATUS=MR","Sort=A","Dates=H","DateFormat=P","Fill=—","Direction=H","UseDPDF=Y")</f>
        <v>-0.1188</v>
      </c>
      <c r="P58" s="20">
        <f>_xll.BDH("NBIX US Equity","IS_DIL_EPS_CONT_OPS","FQ3 2022","FQ3 2022","Currency=USD","Period=FQ","BEST_FPERIOD_OVERRIDE=FQ","FILING_STATUS=MR","Sort=A","Dates=H","DateFormat=P","Fill=—","Direction=H","UseDPDF=Y")</f>
        <v>0.79390000000000005</v>
      </c>
      <c r="Q58" s="20">
        <f>_xll.BDH("NBIX US Equity","IS_DIL_EPS_CONT_OPS","FQ4 2022","FQ4 2022","Currency=USD","Period=FQ","BEST_FPERIOD_OVERRIDE=FQ","FILING_STATUS=MR","Sort=A","Dates=H","DateFormat=P","Fill=—","Direction=H","UseDPDF=Y")</f>
        <v>0.89029999999999998</v>
      </c>
      <c r="R58" s="20">
        <f>_xll.BDH("NBIX US Equity","IS_DIL_EPS_CONT_OPS","FQ1 2023","FQ1 2023","Currency=USD","Period=FQ","BEST_FPERIOD_OVERRIDE=FQ","FILING_STATUS=MR","Sort=A","Dates=H","DateFormat=P","Fill=—","Direction=H","UseDPDF=Y")</f>
        <v>0.3649</v>
      </c>
      <c r="S58" s="20">
        <f>_xll.BDH("NBIX US Equity","IS_DIL_EPS_CONT_OPS","FQ2 2023","FQ2 2023","Currency=USD","Period=FQ","BEST_FPERIOD_OVERRIDE=FQ","FILING_STATUS=MR","Sort=A","Dates=H","DateFormat=P","Fill=—","Direction=H","UseDPDF=Y")</f>
        <v>0.65590000000000004</v>
      </c>
      <c r="T58" s="20">
        <f>_xll.BDH("NBIX US Equity","IS_DIL_EPS_CONT_OPS","FQ3 2023","FQ3 2023","Currency=USD","Period=FQ","BEST_FPERIOD_OVERRIDE=FQ","FILING_STATUS=MR","Sort=A","Dates=H","DateFormat=P","Fill=—","Direction=H","UseDPDF=Y")</f>
        <v>1.3632</v>
      </c>
      <c r="U58" s="20">
        <f>_xll.BDH("NBIX US Equity","IS_DIL_EPS_CONT_OPS","FQ4 2023","FQ4 2023","Currency=USD","Period=FQ","BEST_FPERIOD_OVERRIDE=FQ","FILING_STATUS=MR","Sort=A","Dates=H","DateFormat=P","Fill=—","Direction=H","UseDPDF=Y")</f>
        <v>1.2161</v>
      </c>
      <c r="V58" s="20">
        <f>_xll.BDH("NBIX US Equity","IS_DIL_EPS_CONT_OPS","FQ1 2024","FQ1 2024","Currency=USD","Period=FQ","BEST_FPERIOD_OVERRIDE=FQ","FILING_STATUS=MR","Sort=A","Dates=H","DateFormat=P","Fill=—","Direction=H","UseDPDF=Y")</f>
        <v>0.45629999999999998</v>
      </c>
      <c r="W58" s="20">
        <f>_xll.BDH("NBIX US Equity","IS_DIL_EPS_CONT_OPS","FQ2 2024","FQ2 2024","Currency=USD","Period=FQ","BEST_FPERIOD_OVERRIDE=FQ","FILING_STATUS=MR","Sort=A","Dates=H","DateFormat=P","Fill=—","Direction=H","UseDPDF=Y")</f>
        <v>1.6816</v>
      </c>
      <c r="X58" s="20">
        <f>_xll.BDH("NBIX US Equity","IS_DIL_EPS_CONT_OPS","FQ3 2024","FQ3 2024","Currency=USD","Period=FQ","BEST_FPERIOD_OVERRIDE=FQ","FILING_STATUS=MR","Sort=A","Dates=H","DateFormat=P","Fill=—","Direction=H","UseDPDF=Y")</f>
        <v>1.5034000000000001</v>
      </c>
      <c r="Y58" s="20">
        <f>_xll.BDH("NBIX US Equity","IS_DIL_EPS_CONT_OPS","FQ4 2024","FQ4 2024","Currency=USD","Period=FQ","BEST_FPERIOD_OVERRIDE=FQ","FILING_STATUS=MR","Sort=A","Dates=H","DateFormat=P","Fill=—","Direction=H","UseDPDF=Y")</f>
        <v>1.0415000000000001</v>
      </c>
      <c r="Z58" s="20">
        <v>1.2450000000000001</v>
      </c>
      <c r="AA58" s="20">
        <v>1.444</v>
      </c>
    </row>
    <row r="59" spans="1:27" x14ac:dyDescent="0.25">
      <c r="A59" s="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6" t="s">
        <v>4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25">
      <c r="A61" s="10" t="s">
        <v>391</v>
      </c>
      <c r="B61" s="10" t="s">
        <v>392</v>
      </c>
      <c r="C61" s="12" t="s">
        <v>393</v>
      </c>
      <c r="D61" s="12" t="s">
        <v>393</v>
      </c>
      <c r="E61" s="12" t="s">
        <v>393</v>
      </c>
      <c r="F61" s="12" t="s">
        <v>393</v>
      </c>
      <c r="G61" s="12" t="s">
        <v>393</v>
      </c>
      <c r="H61" s="12" t="s">
        <v>393</v>
      </c>
      <c r="I61" s="12" t="s">
        <v>393</v>
      </c>
      <c r="J61" s="12" t="s">
        <v>393</v>
      </c>
      <c r="K61" s="12" t="s">
        <v>393</v>
      </c>
      <c r="L61" s="12" t="s">
        <v>393</v>
      </c>
      <c r="M61" s="12" t="s">
        <v>393</v>
      </c>
      <c r="N61" s="12" t="s">
        <v>393</v>
      </c>
      <c r="O61" s="12" t="s">
        <v>393</v>
      </c>
      <c r="P61" s="12" t="s">
        <v>393</v>
      </c>
      <c r="Q61" s="12" t="s">
        <v>393</v>
      </c>
      <c r="R61" s="12" t="s">
        <v>393</v>
      </c>
      <c r="S61" s="12" t="s">
        <v>393</v>
      </c>
      <c r="T61" s="12" t="s">
        <v>393</v>
      </c>
      <c r="U61" s="12" t="s">
        <v>393</v>
      </c>
      <c r="V61" s="12" t="s">
        <v>393</v>
      </c>
      <c r="W61" s="12" t="s">
        <v>393</v>
      </c>
      <c r="X61" s="12" t="s">
        <v>393</v>
      </c>
      <c r="Y61" s="12" t="s">
        <v>393</v>
      </c>
      <c r="Z61" s="12"/>
      <c r="AA61" s="12"/>
    </row>
    <row r="62" spans="1:27" x14ac:dyDescent="0.25">
      <c r="A62" s="10" t="s">
        <v>78</v>
      </c>
      <c r="B62" s="10" t="s">
        <v>78</v>
      </c>
      <c r="C62" s="13">
        <f>_xll.BDH("NBIX US Equity","EBITDA","FQ2 2019","FQ2 2019","Currency=USD","Period=FQ","BEST_FPERIOD_OVERRIDE=FQ","FILING_STATUS=MR","SCALING_FORMAT=MLN","FA_ADJUSTED=Adjusted","Sort=A","Dates=H","DateFormat=P","Fill=—","Direction=H","UseDPDF=Y")</f>
        <v>43.247</v>
      </c>
      <c r="D62" s="13">
        <f>_xll.BDH("NBIX US Equity","EBITDA","FQ3 2019","FQ3 2019","Currency=USD","Period=FQ","BEST_FPERIOD_OVERRIDE=FQ","FILING_STATUS=MR","SCALING_FORMAT=MLN","FA_ADJUSTED=Adjusted","Sort=A","Dates=H","DateFormat=P","Fill=—","Direction=H","UseDPDF=Y")</f>
        <v>94.106999999999999</v>
      </c>
      <c r="E62" s="13">
        <f>_xll.BDH("NBIX US Equity","EBITDA","FQ4 2019","FQ4 2019","Currency=USD","Period=FQ","BEST_FPERIOD_OVERRIDE=FQ","FILING_STATUS=MR","SCALING_FORMAT=MLN","FA_ADJUSTED=Adjusted","Sort=A","Dates=H","DateFormat=P","Fill=—","Direction=H","UseDPDF=Y")</f>
        <v>89.239000000000004</v>
      </c>
      <c r="F62" s="13">
        <f>_xll.BDH("NBIX US Equity","EBITDA","FQ1 2020","FQ1 2020","Currency=USD","Period=FQ","BEST_FPERIOD_OVERRIDE=FQ","FILING_STATUS=MR","SCALING_FORMAT=MLN","FA_ADJUSTED=Adjusted","Sort=A","Dates=H","DateFormat=P","Fill=—","Direction=H","UseDPDF=Y")</f>
        <v>63.5</v>
      </c>
      <c r="G62" s="13">
        <f>_xll.BDH("NBIX US Equity","EBITDA","FQ2 2020","FQ2 2020","Currency=USD","Period=FQ","BEST_FPERIOD_OVERRIDE=FQ","FILING_STATUS=MR","SCALING_FORMAT=MLN","FA_ADJUSTED=Adjusted","Sort=A","Dates=H","DateFormat=P","Fill=—","Direction=H","UseDPDF=Y")</f>
        <v>127.2</v>
      </c>
      <c r="H62" s="13">
        <f>_xll.BDH("NBIX US Equity","EBITDA","FQ3 2020","FQ3 2020","Currency=USD","Period=FQ","BEST_FPERIOD_OVERRIDE=FQ","FILING_STATUS=MR","SCALING_FORMAT=MLN","FA_ADJUSTED=Adjusted","Sort=A","Dates=H","DateFormat=P","Fill=—","Direction=H","UseDPDF=Y")</f>
        <v>78.8</v>
      </c>
      <c r="I62" s="13">
        <f>_xll.BDH("NBIX US Equity","EBITDA","FQ4 2020","FQ4 2020","Currency=USD","Period=FQ","BEST_FPERIOD_OVERRIDE=FQ","FILING_STATUS=MR","SCALING_FORMAT=MLN","FA_ADJUSTED=Adjusted","Sort=A","Dates=H","DateFormat=P","Fill=—","Direction=H","UseDPDF=Y")</f>
        <v>76.7</v>
      </c>
      <c r="J62" s="13">
        <f>_xll.BDH("NBIX US Equity","EBITDA","FQ1 2021","FQ1 2021","Currency=USD","Period=FQ","BEST_FPERIOD_OVERRIDE=FQ","FILING_STATUS=MR","SCALING_FORMAT=MLN","FA_ADJUSTED=Adjusted","Sort=A","Dates=H","DateFormat=P","Fill=—","Direction=H","UseDPDF=Y")</f>
        <v>37.4</v>
      </c>
      <c r="K62" s="13">
        <f>_xll.BDH("NBIX US Equity","EBITDA","FQ2 2021","FQ2 2021","Currency=USD","Period=FQ","BEST_FPERIOD_OVERRIDE=FQ","FILING_STATUS=MR","SCALING_FORMAT=MLN","FA_ADJUSTED=Adjusted","Sort=A","Dates=H","DateFormat=P","Fill=—","Direction=H","UseDPDF=Y")</f>
        <v>74.3</v>
      </c>
      <c r="L62" s="13">
        <f>_xll.BDH("NBIX US Equity","EBITDA","FQ3 2021","FQ3 2021","Currency=USD","Period=FQ","BEST_FPERIOD_OVERRIDE=FQ","FILING_STATUS=MR","SCALING_FORMAT=MLN","FA_ADJUSTED=Adjusted","Sort=A","Dates=H","DateFormat=P","Fill=—","Direction=H","UseDPDF=Y")</f>
        <v>51.2</v>
      </c>
      <c r="M62" s="13">
        <f>_xll.BDH("NBIX US Equity","EBITDA","FQ4 2021","FQ4 2021","Currency=USD","Period=FQ","BEST_FPERIOD_OVERRIDE=FQ","FILING_STATUS=MR","SCALING_FORMAT=MLN","FA_ADJUSTED=Adjusted","Sort=A","Dates=H","DateFormat=P","Fill=—","Direction=H","UseDPDF=Y")</f>
        <v>71.099999999999994</v>
      </c>
      <c r="N62" s="13">
        <f>_xll.BDH("NBIX US Equity","EBITDA","FQ1 2022","FQ1 2022","Currency=USD","Period=FQ","BEST_FPERIOD_OVERRIDE=FQ","FILING_STATUS=MR","SCALING_FORMAT=MLN","FA_ADJUSTED=Adjusted","Sort=A","Dates=H","DateFormat=P","Fill=—","Direction=H","UseDPDF=Y")</f>
        <v>10.5</v>
      </c>
      <c r="O62" s="13">
        <f>_xll.BDH("NBIX US Equity","EBITDA","FQ2 2022","FQ2 2022","Currency=USD","Period=FQ","BEST_FPERIOD_OVERRIDE=FQ","FILING_STATUS=MR","SCALING_FORMAT=MLN","FA_ADJUSTED=Adjusted","Sort=A","Dates=H","DateFormat=P","Fill=—","Direction=H","UseDPDF=Y")</f>
        <v>62.7</v>
      </c>
      <c r="P62" s="13">
        <f>_xll.BDH("NBIX US Equity","EBITDA","FQ3 2022","FQ3 2022","Currency=USD","Period=FQ","BEST_FPERIOD_OVERRIDE=FQ","FILING_STATUS=MR","SCALING_FORMAT=MLN","FA_ADJUSTED=Adjusted","Sort=A","Dates=H","DateFormat=P","Fill=—","Direction=H","UseDPDF=Y")</f>
        <v>96.1</v>
      </c>
      <c r="Q62" s="13">
        <f>_xll.BDH("NBIX US Equity","EBITDA","FQ4 2022","FQ4 2022","Currency=USD","Period=FQ","BEST_FPERIOD_OVERRIDE=FQ","FILING_STATUS=MR","SCALING_FORMAT=MLN","FA_ADJUSTED=Adjusted","Sort=A","Dates=H","DateFormat=P","Fill=—","Direction=H","UseDPDF=Y")</f>
        <v>113.3</v>
      </c>
      <c r="R62" s="13">
        <f>_xll.BDH("NBIX US Equity","EBITDA","FQ1 2023","FQ1 2023","Currency=USD","Period=FQ","BEST_FPERIOD_OVERRIDE=FQ","FILING_STATUS=MR","SCALING_FORMAT=MLN","FA_ADJUSTED=Adjusted","Sort=A","Dates=H","DateFormat=P","Fill=—","Direction=H","UseDPDF=Y")</f>
        <v>38.799999999999997</v>
      </c>
      <c r="S62" s="13">
        <f>_xll.BDH("NBIX US Equity","EBITDA","FQ2 2023","FQ2 2023","Currency=USD","Period=FQ","BEST_FPERIOD_OVERRIDE=FQ","FILING_STATUS=MR","SCALING_FORMAT=MLN","FA_ADJUSTED=Adjusted","Sort=A","Dates=H","DateFormat=P","Fill=—","Direction=H","UseDPDF=Y")</f>
        <v>82.8</v>
      </c>
      <c r="T62" s="13">
        <f>_xll.BDH("NBIX US Equity","EBITDA","FQ3 2023","FQ3 2023","Currency=USD","Period=FQ","BEST_FPERIOD_OVERRIDE=FQ","FILING_STATUS=MR","SCALING_FORMAT=MLN","FA_ADJUSTED=Adjusted","Sort=A","Dates=H","DateFormat=P","Fill=—","Direction=H","UseDPDF=Y")</f>
        <v>154.4</v>
      </c>
      <c r="U62" s="13">
        <f>_xll.BDH("NBIX US Equity","EBITDA","FQ4 2023","FQ4 2023","Currency=USD","Period=FQ","BEST_FPERIOD_OVERRIDE=FQ","FILING_STATUS=MR","SCALING_FORMAT=MLN","FA_ADJUSTED=Adjusted","Sort=A","Dates=H","DateFormat=P","Fill=—","Direction=H","UseDPDF=Y")</f>
        <v>160.4</v>
      </c>
      <c r="V62" s="13">
        <f>_xll.BDH("NBIX US Equity","EBITDA","FQ1 2024","FQ1 2024","Currency=USD","Period=FQ","BEST_FPERIOD_OVERRIDE=FQ","FILING_STATUS=MR","SCALING_FORMAT=MLN","FA_ADJUSTED=Adjusted","Sort=A","Dates=H","DateFormat=P","Fill=—","Direction=H","UseDPDF=Y")</f>
        <v>120.5</v>
      </c>
      <c r="W62" s="13">
        <f>_xll.BDH("NBIX US Equity","EBITDA","FQ2 2024","FQ2 2024","Currency=USD","Period=FQ","BEST_FPERIOD_OVERRIDE=FQ","FILING_STATUS=MR","SCALING_FORMAT=MLN","FA_ADJUSTED=Adjusted","Sort=A","Dates=H","DateFormat=P","Fill=—","Direction=H","UseDPDF=Y")</f>
        <v>228.1</v>
      </c>
      <c r="X62" s="13">
        <f>_xll.BDH("NBIX US Equity","EBITDA","FQ3 2024","FQ3 2024","Currency=USD","Period=FQ","BEST_FPERIOD_OVERRIDE=FQ","FILING_STATUS=MR","SCALING_FORMAT=MLN","FA_ADJUSTED=Adjusted","Sort=A","Dates=H","DateFormat=P","Fill=—","Direction=H","UseDPDF=Y")</f>
        <v>200.1</v>
      </c>
      <c r="Y62" s="13">
        <f>_xll.BDH("NBIX US Equity","EBITDA","FQ4 2024","FQ4 2024","Currency=USD","Period=FQ","BEST_FPERIOD_OVERRIDE=FQ","FILING_STATUS=MR","SCALING_FORMAT=MLN","FA_ADJUSTED=Adjusted","Sort=A","Dates=H","DateFormat=P","Fill=—","Direction=H","UseDPDF=Y")</f>
        <v>167.1</v>
      </c>
      <c r="Z62" s="13">
        <v>149.143</v>
      </c>
      <c r="AA62" s="13">
        <v>170.429</v>
      </c>
    </row>
    <row r="63" spans="1:27" x14ac:dyDescent="0.25">
      <c r="A63" s="10" t="s">
        <v>394</v>
      </c>
      <c r="B63" s="10" t="s">
        <v>395</v>
      </c>
      <c r="C63" s="14">
        <f>_xll.BDH("NBIX US Equity","EBITDA_MARGIN","FQ2 2019","FQ2 2019","Currency=USD","Period=FQ","BEST_FPERIOD_OVERRIDE=FQ","FILING_STATUS=MR","FA_ADJUSTED=Adjusted","Sort=A","Dates=H","DateFormat=P","Fill=—","Direction=H","UseDPDF=Y")</f>
        <v>22.693100000000001</v>
      </c>
      <c r="D63" s="14">
        <f>_xll.BDH("NBIX US Equity","EBITDA_MARGIN","FQ3 2019","FQ3 2019","Currency=USD","Period=FQ","BEST_FPERIOD_OVERRIDE=FQ","FILING_STATUS=MR","FA_ADJUSTED=Adjusted","Sort=A","Dates=H","DateFormat=P","Fill=—","Direction=H","UseDPDF=Y")</f>
        <v>26.0595</v>
      </c>
      <c r="E63" s="14">
        <f>_xll.BDH("NBIX US Equity","EBITDA_MARGIN","FQ4 2019","FQ4 2019","Currency=USD","Period=FQ","BEST_FPERIOD_OVERRIDE=FQ","FILING_STATUS=MR","FA_ADJUSTED=Adjusted","Sort=A","Dates=H","DateFormat=P","Fill=—","Direction=H","UseDPDF=Y")</f>
        <v>30.721900000000002</v>
      </c>
      <c r="F63" s="14">
        <f>_xll.BDH("NBIX US Equity","EBITDA_MARGIN","FQ1 2020","FQ1 2020","Currency=USD","Period=FQ","BEST_FPERIOD_OVERRIDE=FQ","FILING_STATUS=MR","FA_ADJUSTED=Adjusted","Sort=A","Dates=H","DateFormat=P","Fill=—","Direction=H","UseDPDF=Y")</f>
        <v>32.709600000000002</v>
      </c>
      <c r="G63" s="14">
        <f>_xll.BDH("NBIX US Equity","EBITDA_MARGIN","FQ2 2020","FQ2 2020","Currency=USD","Period=FQ","BEST_FPERIOD_OVERRIDE=FQ","FILING_STATUS=MR","FA_ADJUSTED=Adjusted","Sort=A","Dates=H","DateFormat=P","Fill=—","Direction=H","UseDPDF=Y")</f>
        <v>37.192799999999998</v>
      </c>
      <c r="H63" s="14">
        <f>_xll.BDH("NBIX US Equity","EBITDA_MARGIN","FQ3 2020","FQ3 2020","Currency=USD","Period=FQ","BEST_FPERIOD_OVERRIDE=FQ","FILING_STATUS=MR","FA_ADJUSTED=Adjusted","Sort=A","Dates=H","DateFormat=P","Fill=—","Direction=H","UseDPDF=Y")</f>
        <v>34.424599999999998</v>
      </c>
      <c r="I63" s="14">
        <f>_xll.BDH("NBIX US Equity","EBITDA_MARGIN","FQ4 2020","FQ4 2020","Currency=USD","Period=FQ","BEST_FPERIOD_OVERRIDE=FQ","FILING_STATUS=MR","FA_ADJUSTED=Adjusted","Sort=A","Dates=H","DateFormat=P","Fill=—","Direction=H","UseDPDF=Y")</f>
        <v>33.100700000000003</v>
      </c>
      <c r="J63" s="14">
        <f>_xll.BDH("NBIX US Equity","EBITDA_MARGIN","FQ1 2021","FQ1 2021","Currency=USD","Period=FQ","BEST_FPERIOD_OVERRIDE=FQ","FILING_STATUS=MR","FA_ADJUSTED=Adjusted","Sort=A","Dates=H","DateFormat=P","Fill=—","Direction=H","UseDPDF=Y")</f>
        <v>30.619900000000001</v>
      </c>
      <c r="K63" s="14">
        <f>_xll.BDH("NBIX US Equity","EBITDA_MARGIN","FQ2 2021","FQ2 2021","Currency=USD","Period=FQ","BEST_FPERIOD_OVERRIDE=FQ","FILING_STATUS=MR","FA_ADJUSTED=Adjusted","Sort=A","Dates=H","DateFormat=P","Fill=—","Direction=H","UseDPDF=Y")</f>
        <v>25.893999999999998</v>
      </c>
      <c r="L63" s="14">
        <f>_xll.BDH("NBIX US Equity","EBITDA_MARGIN","FQ3 2021","FQ3 2021","Currency=USD","Period=FQ","BEST_FPERIOD_OVERRIDE=FQ","FILING_STATUS=MR","FA_ADJUSTED=Adjusted","Sort=A","Dates=H","DateFormat=P","Fill=—","Direction=H","UseDPDF=Y")</f>
        <v>22.405100000000001</v>
      </c>
      <c r="M63" s="14">
        <f>_xll.BDH("NBIX US Equity","EBITDA_MARGIN","FQ4 2021","FQ4 2021","Currency=USD","Period=FQ","BEST_FPERIOD_OVERRIDE=FQ","FILING_STATUS=MR","FA_ADJUSTED=Adjusted","Sort=A","Dates=H","DateFormat=P","Fill=—","Direction=H","UseDPDF=Y")</f>
        <v>20.643999999999998</v>
      </c>
      <c r="N63" s="14">
        <f>_xll.BDH("NBIX US Equity","EBITDA_MARGIN","FQ1 2022","FQ1 2022","Currency=USD","Period=FQ","BEST_FPERIOD_OVERRIDE=FQ","FILING_STATUS=MR","FA_ADJUSTED=Adjusted","Sort=A","Dates=H","DateFormat=P","Fill=—","Direction=H","UseDPDF=Y")</f>
        <v>17.1511</v>
      </c>
      <c r="O63" s="14">
        <f>_xll.BDH("NBIX US Equity","EBITDA_MARGIN","FQ2 2022","FQ2 2022","Currency=USD","Period=FQ","BEST_FPERIOD_OVERRIDE=FQ","FILING_STATUS=MR","FA_ADJUSTED=Adjusted","Sort=A","Dates=H","DateFormat=P","Fill=—","Direction=H","UseDPDF=Y")</f>
        <v>15.0756</v>
      </c>
      <c r="P63" s="14">
        <f>_xll.BDH("NBIX US Equity","EBITDA_MARGIN","FQ3 2022","FQ3 2022","Currency=USD","Period=FQ","BEST_FPERIOD_OVERRIDE=FQ","FILING_STATUS=MR","FA_ADJUSTED=Adjusted","Sort=A","Dates=H","DateFormat=P","Fill=—","Direction=H","UseDPDF=Y")</f>
        <v>17.311199999999999</v>
      </c>
      <c r="Q63" s="14">
        <f>_xll.BDH("NBIX US Equity","EBITDA_MARGIN","FQ4 2022","FQ4 2022","Currency=USD","Period=FQ","BEST_FPERIOD_OVERRIDE=FQ","FILING_STATUS=MR","FA_ADJUSTED=Adjusted","Sort=A","Dates=H","DateFormat=P","Fill=—","Direction=H","UseDPDF=Y")</f>
        <v>18.983000000000001</v>
      </c>
      <c r="R63" s="14">
        <f>_xll.BDH("NBIX US Equity","EBITDA_MARGIN","FQ1 2023","FQ1 2023","Currency=USD","Period=FQ","BEST_FPERIOD_OVERRIDE=FQ","FILING_STATUS=MR","FA_ADJUSTED=Adjusted","Sort=A","Dates=H","DateFormat=P","Fill=—","Direction=H","UseDPDF=Y")</f>
        <v>19.4495</v>
      </c>
      <c r="S63" s="14">
        <f>_xll.BDH("NBIX US Equity","EBITDA_MARGIN","FQ2 2023","FQ2 2023","Currency=USD","Period=FQ","BEST_FPERIOD_OVERRIDE=FQ","FILING_STATUS=MR","FA_ADJUSTED=Adjusted","Sort=A","Dates=H","DateFormat=P","Fill=—","Direction=H","UseDPDF=Y")</f>
        <v>19.784800000000001</v>
      </c>
      <c r="T63" s="14">
        <f>_xll.BDH("NBIX US Equity","EBITDA_MARGIN","FQ3 2023","FQ3 2023","Currency=USD","Period=FQ","BEST_FPERIOD_OVERRIDE=FQ","FILING_STATUS=MR","FA_ADJUSTED=Adjusted","Sort=A","Dates=H","DateFormat=P","Fill=—","Direction=H","UseDPDF=Y")</f>
        <v>21.823</v>
      </c>
      <c r="U63" s="14">
        <f>_xll.BDH("NBIX US Equity","EBITDA_MARGIN","FQ4 2023","FQ4 2023","Currency=USD","Period=FQ","BEST_FPERIOD_OVERRIDE=FQ","FILING_STATUS=MR","FA_ADJUSTED=Adjusted","Sort=A","Dates=H","DateFormat=P","Fill=—","Direction=H","UseDPDF=Y")</f>
        <v>23.125399999999999</v>
      </c>
      <c r="V63" s="14">
        <f>_xll.BDH("NBIX US Equity","EBITDA_MARGIN","FQ1 2024","FQ1 2024","Currency=USD","Period=FQ","BEST_FPERIOD_OVERRIDE=FQ","FILING_STATUS=MR","FA_ADJUSTED=Adjusted","Sort=A","Dates=H","DateFormat=P","Fill=—","Direction=H","UseDPDF=Y")</f>
        <v>26.1403</v>
      </c>
      <c r="W63" s="14">
        <f>_xll.BDH("NBIX US Equity","EBITDA_MARGIN","FQ2 2024","FQ2 2024","Currency=USD","Period=FQ","BEST_FPERIOD_OVERRIDE=FQ","FILING_STATUS=MR","FA_ADJUSTED=Adjusted","Sort=A","Dates=H","DateFormat=P","Fill=—","Direction=H","UseDPDF=Y")</f>
        <v>31.299800000000001</v>
      </c>
      <c r="X63" s="14">
        <f>_xll.BDH("NBIX US Equity","EBITDA_MARGIN","FQ3 2024","FQ3 2024","Currency=USD","Period=FQ","BEST_FPERIOD_OVERRIDE=FQ","FILING_STATUS=MR","FA_ADJUSTED=Adjusted","Sort=A","Dates=H","DateFormat=P","Fill=—","Direction=H","UseDPDF=Y")</f>
        <v>31.616700000000002</v>
      </c>
      <c r="Y63" s="14">
        <f>_xll.BDH("NBIX US Equity","EBITDA_MARGIN","FQ4 2024","FQ4 2024","Currency=USD","Period=FQ","BEST_FPERIOD_OVERRIDE=FQ","FILING_STATUS=MR","FA_ADJUSTED=Adjusted","Sort=A","Dates=H","DateFormat=P","Fill=—","Direction=H","UseDPDF=Y")</f>
        <v>30.390999999999998</v>
      </c>
      <c r="Z63" s="14">
        <v>25.738356111463901</v>
      </c>
      <c r="AA63" s="14">
        <v>31.1730419965808</v>
      </c>
    </row>
    <row r="64" spans="1:27" x14ac:dyDescent="0.25">
      <c r="A64" s="10" t="s">
        <v>396</v>
      </c>
      <c r="B64" s="10" t="s">
        <v>396</v>
      </c>
      <c r="C64" s="13" t="str">
        <f>_xll.BDH("NBIX US Equity","EBITA","FQ2 2019","FQ2 2019","Currency=USD","Period=FQ","BEST_FPERIOD_OVERRIDE=FQ","FILING_STATUS=MR","SCALING_FORMAT=MLN","FA_ADJUSTED=Adjusted","Sort=A","Dates=H","DateFormat=P","Fill=—","Direction=H","UseDPDF=Y")</f>
        <v>—</v>
      </c>
      <c r="D64" s="13" t="str">
        <f>_xll.BDH("NBIX US Equity","EBITA","FQ3 2019","FQ3 2019","Currency=USD","Period=FQ","BEST_FPERIOD_OVERRIDE=FQ","FILING_STATUS=MR","SCALING_FORMAT=MLN","FA_ADJUSTED=Adjusted","Sort=A","Dates=H","DateFormat=P","Fill=—","Direction=H","UseDPDF=Y")</f>
        <v>—</v>
      </c>
      <c r="E64" s="13">
        <f>_xll.BDH("NBIX US Equity","EBITA","FQ4 2019","FQ4 2019","Currency=USD","Period=FQ","BEST_FPERIOD_OVERRIDE=FQ","FILING_STATUS=MR","SCALING_FORMAT=MLN","FA_ADJUSTED=Adjusted","Sort=A","Dates=H","DateFormat=P","Fill=—","Direction=H","UseDPDF=Y")</f>
        <v>87.2</v>
      </c>
      <c r="F64" s="13">
        <f>_xll.BDH("NBIX US Equity","EBITA","FQ1 2020","FQ1 2020","Currency=USD","Period=FQ","BEST_FPERIOD_OVERRIDE=FQ","FILING_STATUS=MR","SCALING_FORMAT=MLN","FA_ADJUSTED=Adjusted","Sort=A","Dates=H","DateFormat=P","Fill=—","Direction=H","UseDPDF=Y")</f>
        <v>61.4</v>
      </c>
      <c r="G64" s="13">
        <f>_xll.BDH("NBIX US Equity","EBITA","FQ2 2020","FQ2 2020","Currency=USD","Period=FQ","BEST_FPERIOD_OVERRIDE=FQ","FILING_STATUS=MR","SCALING_FORMAT=MLN","FA_ADJUSTED=Adjusted","Sort=A","Dates=H","DateFormat=P","Fill=—","Direction=H","UseDPDF=Y")</f>
        <v>125.1</v>
      </c>
      <c r="H64" s="13">
        <f>_xll.BDH("NBIX US Equity","EBITA","FQ3 2020","FQ3 2020","Currency=USD","Period=FQ","BEST_FPERIOD_OVERRIDE=FQ","FILING_STATUS=MR","SCALING_FORMAT=MLN","FA_ADJUSTED=Adjusted","Sort=A","Dates=H","DateFormat=P","Fill=—","Direction=H","UseDPDF=Y")</f>
        <v>76.599999999999994</v>
      </c>
      <c r="I64" s="13">
        <f>_xll.BDH("NBIX US Equity","EBITA","FQ4 2020","FQ4 2020","Currency=USD","Period=FQ","BEST_FPERIOD_OVERRIDE=FQ","FILING_STATUS=MR","SCALING_FORMAT=MLN","FA_ADJUSTED=Adjusted","Sort=A","Dates=H","DateFormat=P","Fill=—","Direction=H","UseDPDF=Y")</f>
        <v>74.5</v>
      </c>
      <c r="J64" s="13">
        <f>_xll.BDH("NBIX US Equity","EBITA","FQ1 2021","FQ1 2021","Currency=USD","Period=FQ","BEST_FPERIOD_OVERRIDE=FQ","FILING_STATUS=MR","SCALING_FORMAT=MLN","FA_ADJUSTED=Adjusted","Sort=A","Dates=H","DateFormat=P","Fill=—","Direction=H","UseDPDF=Y")</f>
        <v>34.9</v>
      </c>
      <c r="K64" s="13">
        <f>_xll.BDH("NBIX US Equity","EBITA","FQ2 2021","FQ2 2021","Currency=USD","Period=FQ","BEST_FPERIOD_OVERRIDE=FQ","FILING_STATUS=MR","SCALING_FORMAT=MLN","FA_ADJUSTED=Adjusted","Sort=A","Dates=H","DateFormat=P","Fill=—","Direction=H","UseDPDF=Y")</f>
        <v>71.7</v>
      </c>
      <c r="L64" s="13">
        <f>_xll.BDH("NBIX US Equity","EBITA","FQ3 2021","FQ3 2021","Currency=USD","Period=FQ","BEST_FPERIOD_OVERRIDE=FQ","FILING_STATUS=MR","SCALING_FORMAT=MLN","FA_ADJUSTED=Adjusted","Sort=A","Dates=H","DateFormat=P","Fill=—","Direction=H","UseDPDF=Y")</f>
        <v>48.4</v>
      </c>
      <c r="M64" s="13">
        <f>_xll.BDH("NBIX US Equity","EBITA","FQ4 2021","FQ4 2021","Currency=USD","Period=FQ","BEST_FPERIOD_OVERRIDE=FQ","FILING_STATUS=MR","SCALING_FORMAT=MLN","FA_ADJUSTED=Adjusted","Sort=A","Dates=H","DateFormat=P","Fill=—","Direction=H","UseDPDF=Y")</f>
        <v>68.099999999999994</v>
      </c>
      <c r="N64" s="13">
        <f>_xll.BDH("NBIX US Equity","EBITA","FQ1 2022","FQ1 2022","Currency=USD","Period=FQ","BEST_FPERIOD_OVERRIDE=FQ","FILING_STATUS=MR","SCALING_FORMAT=MLN","FA_ADJUSTED=Adjusted","Sort=A","Dates=H","DateFormat=P","Fill=—","Direction=H","UseDPDF=Y")</f>
        <v>7.2</v>
      </c>
      <c r="O64" s="13">
        <f>_xll.BDH("NBIX US Equity","EBITA","FQ2 2022","FQ2 2022","Currency=USD","Period=FQ","BEST_FPERIOD_OVERRIDE=FQ","FILING_STATUS=MR","SCALING_FORMAT=MLN","FA_ADJUSTED=Adjusted","Sort=A","Dates=H","DateFormat=P","Fill=—","Direction=H","UseDPDF=Y")</f>
        <v>58.8</v>
      </c>
      <c r="P64" s="13">
        <f>_xll.BDH("NBIX US Equity","EBITA","FQ3 2022","FQ3 2022","Currency=USD","Period=FQ","BEST_FPERIOD_OVERRIDE=FQ","FILING_STATUS=MR","SCALING_FORMAT=MLN","FA_ADJUSTED=Adjusted","Sort=A","Dates=H","DateFormat=P","Fill=—","Direction=H","UseDPDF=Y")</f>
        <v>92.1</v>
      </c>
      <c r="Q64" s="13">
        <f>_xll.BDH("NBIX US Equity","EBITA","FQ4 2022","FQ4 2022","Currency=USD","Period=FQ","BEST_FPERIOD_OVERRIDE=FQ","FILING_STATUS=MR","SCALING_FORMAT=MLN","FA_ADJUSTED=Adjusted","Sort=A","Dates=H","DateFormat=P","Fill=—","Direction=H","UseDPDF=Y")</f>
        <v>109.4</v>
      </c>
      <c r="R64" s="13">
        <f>_xll.BDH("NBIX US Equity","EBITA","FQ1 2023","FQ1 2023","Currency=USD","Period=FQ","BEST_FPERIOD_OVERRIDE=FQ","FILING_STATUS=MR","SCALING_FORMAT=MLN","FA_ADJUSTED=Adjusted","Sort=A","Dates=H","DateFormat=P","Fill=—","Direction=H","UseDPDF=Y")</f>
        <v>34.700000000000003</v>
      </c>
      <c r="S64" s="13">
        <f>_xll.BDH("NBIX US Equity","EBITA","FQ2 2023","FQ2 2023","Currency=USD","Period=FQ","BEST_FPERIOD_OVERRIDE=FQ","FILING_STATUS=MR","SCALING_FORMAT=MLN","FA_ADJUSTED=Adjusted","Sort=A","Dates=H","DateFormat=P","Fill=—","Direction=H","UseDPDF=Y")</f>
        <v>78.599999999999994</v>
      </c>
      <c r="T64" s="13">
        <f>_xll.BDH("NBIX US Equity","EBITA","FQ3 2023","FQ3 2023","Currency=USD","Period=FQ","BEST_FPERIOD_OVERRIDE=FQ","FILING_STATUS=MR","SCALING_FORMAT=MLN","FA_ADJUSTED=Adjusted","Sort=A","Dates=H","DateFormat=P","Fill=—","Direction=H","UseDPDF=Y")</f>
        <v>149.80000000000001</v>
      </c>
      <c r="U64" s="13">
        <f>_xll.BDH("NBIX US Equity","EBITA","FQ4 2023","FQ4 2023","Currency=USD","Period=FQ","BEST_FPERIOD_OVERRIDE=FQ","FILING_STATUS=MR","SCALING_FORMAT=MLN","FA_ADJUSTED=Adjusted","Sort=A","Dates=H","DateFormat=P","Fill=—","Direction=H","UseDPDF=Y")</f>
        <v>155.5</v>
      </c>
      <c r="V64" s="13">
        <f>_xll.BDH("NBIX US Equity","EBITA","FQ1 2024","FQ1 2024","Currency=USD","Period=FQ","BEST_FPERIOD_OVERRIDE=FQ","FILING_STATUS=MR","SCALING_FORMAT=MLN","FA_ADJUSTED=Adjusted","Sort=A","Dates=H","DateFormat=P","Fill=—","Direction=H","UseDPDF=Y")</f>
        <v>115.2</v>
      </c>
      <c r="W64" s="13">
        <f>_xll.BDH("NBIX US Equity","EBITA","FQ2 2024","FQ2 2024","Currency=USD","Period=FQ","BEST_FPERIOD_OVERRIDE=FQ","FILING_STATUS=MR","SCALING_FORMAT=MLN","FA_ADJUSTED=Adjusted","Sort=A","Dates=H","DateFormat=P","Fill=—","Direction=H","UseDPDF=Y")</f>
        <v>221.7</v>
      </c>
      <c r="X64" s="13">
        <f>_xll.BDH("NBIX US Equity","EBITA","FQ3 2024","FQ3 2024","Currency=USD","Period=FQ","BEST_FPERIOD_OVERRIDE=FQ","FILING_STATUS=MR","SCALING_FORMAT=MLN","FA_ADJUSTED=Adjusted","Sort=A","Dates=H","DateFormat=P","Fill=—","Direction=H","UseDPDF=Y")</f>
        <v>194.5</v>
      </c>
      <c r="Y64" s="13">
        <f>_xll.BDH("NBIX US Equity","EBITA","FQ4 2024","FQ4 2024","Currency=USD","Period=FQ","BEST_FPERIOD_OVERRIDE=FQ","FILING_STATUS=MR","SCALING_FORMAT=MLN","FA_ADJUSTED=Adjusted","Sort=A","Dates=H","DateFormat=P","Fill=—","Direction=H","UseDPDF=Y")</f>
        <v>160.9</v>
      </c>
      <c r="Z64" s="13"/>
      <c r="AA64" s="13"/>
    </row>
    <row r="65" spans="1:27" x14ac:dyDescent="0.25">
      <c r="A65" s="10" t="s">
        <v>142</v>
      </c>
      <c r="B65" s="10" t="s">
        <v>142</v>
      </c>
      <c r="C65" s="13">
        <f>_xll.BDH("NBIX US Equity","EBIT","FQ2 2019","FQ2 2019","Currency=USD","Period=FQ","BEST_FPERIOD_OVERRIDE=FQ","FILING_STATUS=MR","SCALING_FORMAT=MLN","FA_ADJUSTED=Adjusted","Sort=A","Dates=H","DateFormat=P","Fill=—","Direction=H","UseDPDF=Y")</f>
        <v>39.460999999999999</v>
      </c>
      <c r="D65" s="13">
        <f>_xll.BDH("NBIX US Equity","EBIT","FQ3 2019","FQ3 2019","Currency=USD","Period=FQ","BEST_FPERIOD_OVERRIDE=FQ","FILING_STATUS=MR","SCALING_FORMAT=MLN","FA_ADJUSTED=Adjusted","Sort=A","Dates=H","DateFormat=P","Fill=—","Direction=H","UseDPDF=Y")</f>
        <v>90.097999999999999</v>
      </c>
      <c r="E65" s="13">
        <f>_xll.BDH("NBIX US Equity","EBIT","FQ4 2019","FQ4 2019","Currency=USD","Period=FQ","BEST_FPERIOD_OVERRIDE=FQ","FILING_STATUS=MR","SCALING_FORMAT=MLN","FA_ADJUSTED=Adjusted","Sort=A","Dates=H","DateFormat=P","Fill=—","Direction=H","UseDPDF=Y")</f>
        <v>85</v>
      </c>
      <c r="F65" s="13">
        <f>_xll.BDH("NBIX US Equity","EBIT","FQ1 2020","FQ1 2020","Currency=USD","Period=FQ","BEST_FPERIOD_OVERRIDE=FQ","FILING_STATUS=MR","SCALING_FORMAT=MLN","FA_ADJUSTED=Adjusted","Sort=A","Dates=H","DateFormat=P","Fill=—","Direction=H","UseDPDF=Y")</f>
        <v>58.9</v>
      </c>
      <c r="G65" s="13">
        <f>_xll.BDH("NBIX US Equity","EBIT","FQ2 2020","FQ2 2020","Currency=USD","Period=FQ","BEST_FPERIOD_OVERRIDE=FQ","FILING_STATUS=MR","SCALING_FORMAT=MLN","FA_ADJUSTED=Adjusted","Sort=A","Dates=H","DateFormat=P","Fill=—","Direction=H","UseDPDF=Y")</f>
        <v>122.6</v>
      </c>
      <c r="H65" s="13">
        <f>_xll.BDH("NBIX US Equity","EBIT","FQ3 2020","FQ3 2020","Currency=USD","Period=FQ","BEST_FPERIOD_OVERRIDE=FQ","FILING_STATUS=MR","SCALING_FORMAT=MLN","FA_ADJUSTED=Adjusted","Sort=A","Dates=H","DateFormat=P","Fill=—","Direction=H","UseDPDF=Y")</f>
        <v>74.2</v>
      </c>
      <c r="I65" s="13">
        <f>_xll.BDH("NBIX US Equity","EBIT","FQ4 2020","FQ4 2020","Currency=USD","Period=FQ","BEST_FPERIOD_OVERRIDE=FQ","FILING_STATUS=MR","SCALING_FORMAT=MLN","FA_ADJUSTED=Adjusted","Sort=A","Dates=H","DateFormat=P","Fill=—","Direction=H","UseDPDF=Y")</f>
        <v>71.8</v>
      </c>
      <c r="J65" s="13">
        <f>_xll.BDH("NBIX US Equity","EBIT","FQ1 2021","FQ1 2021","Currency=USD","Period=FQ","BEST_FPERIOD_OVERRIDE=FQ","FILING_STATUS=MR","SCALING_FORMAT=MLN","FA_ADJUSTED=Adjusted","Sort=A","Dates=H","DateFormat=P","Fill=—","Direction=H","UseDPDF=Y")</f>
        <v>31.5</v>
      </c>
      <c r="K65" s="13">
        <f>_xll.BDH("NBIX US Equity","EBIT","FQ2 2021","FQ2 2021","Currency=USD","Period=FQ","BEST_FPERIOD_OVERRIDE=FQ","FILING_STATUS=MR","SCALING_FORMAT=MLN","FA_ADJUSTED=Adjusted","Sort=A","Dates=H","DateFormat=P","Fill=—","Direction=H","UseDPDF=Y")</f>
        <v>67.8</v>
      </c>
      <c r="L65" s="13">
        <f>_xll.BDH("NBIX US Equity","EBIT","FQ3 2021","FQ3 2021","Currency=USD","Period=FQ","BEST_FPERIOD_OVERRIDE=FQ","FILING_STATUS=MR","SCALING_FORMAT=MLN","FA_ADJUSTED=Adjusted","Sort=A","Dates=H","DateFormat=P","Fill=—","Direction=H","UseDPDF=Y")</f>
        <v>44.5</v>
      </c>
      <c r="M65" s="13">
        <f>_xll.BDH("NBIX US Equity","EBIT","FQ4 2021","FQ4 2021","Currency=USD","Period=FQ","BEST_FPERIOD_OVERRIDE=FQ","FILING_STATUS=MR","SCALING_FORMAT=MLN","FA_ADJUSTED=Adjusted","Sort=A","Dates=H","DateFormat=P","Fill=—","Direction=H","UseDPDF=Y")</f>
        <v>64</v>
      </c>
      <c r="N65" s="13">
        <f>_xll.BDH("NBIX US Equity","EBIT","FQ1 2022","FQ1 2022","Currency=USD","Period=FQ","BEST_FPERIOD_OVERRIDE=FQ","FILING_STATUS=MR","SCALING_FORMAT=MLN","FA_ADJUSTED=Adjusted","Sort=A","Dates=H","DateFormat=P","Fill=—","Direction=H","UseDPDF=Y")</f>
        <v>3.1</v>
      </c>
      <c r="O65" s="13">
        <f>_xll.BDH("NBIX US Equity","EBIT","FQ2 2022","FQ2 2022","Currency=USD","Period=FQ","BEST_FPERIOD_OVERRIDE=FQ","FILING_STATUS=MR","SCALING_FORMAT=MLN","FA_ADJUSTED=Adjusted","Sort=A","Dates=H","DateFormat=P","Fill=—","Direction=H","UseDPDF=Y")</f>
        <v>54.7</v>
      </c>
      <c r="P65" s="13">
        <f>_xll.BDH("NBIX US Equity","EBIT","FQ3 2022","FQ3 2022","Currency=USD","Period=FQ","BEST_FPERIOD_OVERRIDE=FQ","FILING_STATUS=MR","SCALING_FORMAT=MLN","FA_ADJUSTED=Adjusted","Sort=A","Dates=H","DateFormat=P","Fill=—","Direction=H","UseDPDF=Y")</f>
        <v>87.8</v>
      </c>
      <c r="Q65" s="13">
        <f>_xll.BDH("NBIX US Equity","EBIT","FQ4 2022","FQ4 2022","Currency=USD","Period=FQ","BEST_FPERIOD_OVERRIDE=FQ","FILING_STATUS=MR","SCALING_FORMAT=MLN","FA_ADJUSTED=Adjusted","Sort=A","Dates=H","DateFormat=P","Fill=—","Direction=H","UseDPDF=Y")</f>
        <v>105.1</v>
      </c>
      <c r="R65" s="13">
        <f>_xll.BDH("NBIX US Equity","EBIT","FQ1 2023","FQ1 2023","Currency=USD","Period=FQ","BEST_FPERIOD_OVERRIDE=FQ","FILING_STATUS=MR","SCALING_FORMAT=MLN","FA_ADJUSTED=Adjusted","Sort=A","Dates=H","DateFormat=P","Fill=—","Direction=H","UseDPDF=Y")</f>
        <v>29.7</v>
      </c>
      <c r="S65" s="13">
        <f>_xll.BDH("NBIX US Equity","EBIT","FQ2 2023","FQ2 2023","Currency=USD","Period=FQ","BEST_FPERIOD_OVERRIDE=FQ","FILING_STATUS=MR","SCALING_FORMAT=MLN","FA_ADJUSTED=Adjusted","Sort=A","Dates=H","DateFormat=P","Fill=—","Direction=H","UseDPDF=Y")</f>
        <v>73.599999999999994</v>
      </c>
      <c r="T65" s="13">
        <f>_xll.BDH("NBIX US Equity","EBIT","FQ3 2023","FQ3 2023","Currency=USD","Period=FQ","BEST_FPERIOD_OVERRIDE=FQ","FILING_STATUS=MR","SCALING_FORMAT=MLN","FA_ADJUSTED=Adjusted","Sort=A","Dates=H","DateFormat=P","Fill=—","Direction=H","UseDPDF=Y")</f>
        <v>145.1</v>
      </c>
      <c r="U65" s="13">
        <f>_xll.BDH("NBIX US Equity","EBIT","FQ4 2023","FQ4 2023","Currency=USD","Period=FQ","BEST_FPERIOD_OVERRIDE=FQ","FILING_STATUS=MR","SCALING_FORMAT=MLN","FA_ADJUSTED=Adjusted","Sort=A","Dates=H","DateFormat=P","Fill=—","Direction=H","UseDPDF=Y")</f>
        <v>150.30000000000001</v>
      </c>
      <c r="V65" s="13">
        <f>_xll.BDH("NBIX US Equity","EBIT","FQ1 2024","FQ1 2024","Currency=USD","Period=FQ","BEST_FPERIOD_OVERRIDE=FQ","FILING_STATUS=MR","SCALING_FORMAT=MLN","FA_ADJUSTED=Adjusted","Sort=A","Dates=H","DateFormat=P","Fill=—","Direction=H","UseDPDF=Y")</f>
        <v>105.3</v>
      </c>
      <c r="W65" s="13">
        <f>_xll.BDH("NBIX US Equity","EBIT","FQ2 2024","FQ2 2024","Currency=USD","Period=FQ","BEST_FPERIOD_OVERRIDE=FQ","FILING_STATUS=MR","SCALING_FORMAT=MLN","FA_ADJUSTED=Adjusted","Sort=A","Dates=H","DateFormat=P","Fill=—","Direction=H","UseDPDF=Y")</f>
        <v>211.6</v>
      </c>
      <c r="X65" s="13">
        <f>_xll.BDH("NBIX US Equity","EBIT","FQ3 2024","FQ3 2024","Currency=USD","Period=FQ","BEST_FPERIOD_OVERRIDE=FQ","FILING_STATUS=MR","SCALING_FORMAT=MLN","FA_ADJUSTED=Adjusted","Sort=A","Dates=H","DateFormat=P","Fill=—","Direction=H","UseDPDF=Y")</f>
        <v>184.8</v>
      </c>
      <c r="Y65" s="13">
        <f>_xll.BDH("NBIX US Equity","EBIT","FQ4 2024","FQ4 2024","Currency=USD","Period=FQ","BEST_FPERIOD_OVERRIDE=FQ","FILING_STATUS=MR","SCALING_FORMAT=MLN","FA_ADJUSTED=Adjusted","Sort=A","Dates=H","DateFormat=P","Fill=—","Direction=H","UseDPDF=Y")</f>
        <v>145</v>
      </c>
      <c r="Z65" s="13">
        <v>106.59699999999999</v>
      </c>
      <c r="AA65" s="13">
        <v>133.08600000000001</v>
      </c>
    </row>
    <row r="66" spans="1:27" x14ac:dyDescent="0.25">
      <c r="A66" s="10" t="s">
        <v>397</v>
      </c>
      <c r="B66" s="10" t="s">
        <v>153</v>
      </c>
      <c r="C66" s="14">
        <f>_xll.BDH("NBIX US Equity","GROSS_MARGIN","FQ2 2019","FQ2 2019","Currency=USD","Period=FQ","BEST_FPERIOD_OVERRIDE=FQ","FILING_STATUS=MR","FA_ADJUSTED=Adjusted","Sort=A","Dates=H","DateFormat=P","Fill=—","Direction=H","UseDPDF=Y")</f>
        <v>99.124099999999999</v>
      </c>
      <c r="D66" s="14">
        <f>_xll.BDH("NBIX US Equity","GROSS_MARGIN","FQ3 2019","FQ3 2019","Currency=USD","Period=FQ","BEST_FPERIOD_OVERRIDE=FQ","FILING_STATUS=MR","FA_ADJUSTED=Adjusted","Sort=A","Dates=H","DateFormat=P","Fill=—","Direction=H","UseDPDF=Y")</f>
        <v>98.996399999999994</v>
      </c>
      <c r="E66" s="14">
        <f>_xll.BDH("NBIX US Equity","GROSS_MARGIN","FQ4 2019","FQ4 2019","Currency=USD","Period=FQ","BEST_FPERIOD_OVERRIDE=FQ","FILING_STATUS=MR","FA_ADJUSTED=Adjusted","Sort=A","Dates=H","DateFormat=P","Fill=—","Direction=H","UseDPDF=Y")</f>
        <v>98.975800000000007</v>
      </c>
      <c r="F66" s="14">
        <f>_xll.BDH("NBIX US Equity","GROSS_MARGIN","FQ1 2020","FQ1 2020","Currency=USD","Period=FQ","BEST_FPERIOD_OVERRIDE=FQ","FILING_STATUS=MR","FA_ADJUSTED=Adjusted","Sort=A","Dates=H","DateFormat=P","Fill=—","Direction=H","UseDPDF=Y")</f>
        <v>99.1143</v>
      </c>
      <c r="G66" s="14">
        <f>_xll.BDH("NBIX US Equity","GROSS_MARGIN","FQ2 2020","FQ2 2020","Currency=USD","Period=FQ","BEST_FPERIOD_OVERRIDE=FQ","FILING_STATUS=MR","FA_ADJUSTED=Adjusted","Sort=A","Dates=H","DateFormat=P","Fill=—","Direction=H","UseDPDF=Y")</f>
        <v>99.206299999999999</v>
      </c>
      <c r="H66" s="14">
        <f>_xll.BDH("NBIX US Equity","GROSS_MARGIN","FQ3 2020","FQ3 2020","Currency=USD","Period=FQ","BEST_FPERIOD_OVERRIDE=FQ","FILING_STATUS=MR","FA_ADJUSTED=Adjusted","Sort=A","Dates=H","DateFormat=P","Fill=—","Direction=H","UseDPDF=Y")</f>
        <v>98.955500000000001</v>
      </c>
      <c r="I66" s="14">
        <f>_xll.BDH("NBIX US Equity","GROSS_MARGIN","FQ4 2020","FQ4 2020","Currency=USD","Period=FQ","BEST_FPERIOD_OVERRIDE=FQ","FILING_STATUS=MR","FA_ADJUSTED=Adjusted","Sort=A","Dates=H","DateFormat=P","Fill=—","Direction=H","UseDPDF=Y")</f>
        <v>98.830200000000005</v>
      </c>
      <c r="J66" s="14">
        <f>_xll.BDH("NBIX US Equity","GROSS_MARGIN","FQ1 2021","FQ1 2021","Currency=USD","Period=FQ","BEST_FPERIOD_OVERRIDE=FQ","FILING_STATUS=MR","FA_ADJUSTED=Adjusted","Sort=A","Dates=H","DateFormat=P","Fill=—","Direction=H","UseDPDF=Y")</f>
        <v>98.774299999999997</v>
      </c>
      <c r="K66" s="14">
        <f>_xll.BDH("NBIX US Equity","GROSS_MARGIN","FQ2 2021","FQ2 2021","Currency=USD","Period=FQ","BEST_FPERIOD_OVERRIDE=FQ","FILING_STATUS=MR","FA_ADJUSTED=Adjusted","Sort=A","Dates=H","DateFormat=P","Fill=—","Direction=H","UseDPDF=Y")</f>
        <v>98.927000000000007</v>
      </c>
      <c r="L66" s="14">
        <f>_xll.BDH("NBIX US Equity","GROSS_MARGIN","FQ3 2021","FQ3 2021","Currency=USD","Period=FQ","BEST_FPERIOD_OVERRIDE=FQ","FILING_STATUS=MR","FA_ADJUSTED=Adjusted","Sort=A","Dates=H","DateFormat=P","Fill=—","Direction=H","UseDPDF=Y")</f>
        <v>98.581100000000006</v>
      </c>
      <c r="M66" s="14">
        <f>_xll.BDH("NBIX US Equity","GROSS_MARGIN","FQ4 2021","FQ4 2021","Currency=USD","Period=FQ","BEST_FPERIOD_OVERRIDE=FQ","FILING_STATUS=MR","FA_ADJUSTED=Adjusted","Sort=A","Dates=H","DateFormat=P","Fill=—","Direction=H","UseDPDF=Y")</f>
        <v>98.685900000000004</v>
      </c>
      <c r="N66" s="14">
        <f>_xll.BDH("NBIX US Equity","GROSS_MARGIN","FQ1 2022","FQ1 2022","Currency=USD","Period=FQ","BEST_FPERIOD_OVERRIDE=FQ","FILING_STATUS=MR","FA_ADJUSTED=Adjusted","Sort=A","Dates=H","DateFormat=P","Fill=—","Direction=H","UseDPDF=Y")</f>
        <v>98.519000000000005</v>
      </c>
      <c r="O66" s="14">
        <f>_xll.BDH("NBIX US Equity","GROSS_MARGIN","FQ2 2022","FQ2 2022","Currency=USD","Period=FQ","BEST_FPERIOD_OVERRIDE=FQ","FILING_STATUS=MR","FA_ADJUSTED=Adjusted","Sort=A","Dates=H","DateFormat=P","Fill=—","Direction=H","UseDPDF=Y")</f>
        <v>98.730800000000002</v>
      </c>
      <c r="P66" s="14">
        <f>_xll.BDH("NBIX US Equity","GROSS_MARGIN","FQ3 2022","FQ3 2022","Currency=USD","Period=FQ","BEST_FPERIOD_OVERRIDE=FQ","FILING_STATUS=MR","FA_ADJUSTED=Adjusted","Sort=A","Dates=H","DateFormat=P","Fill=—","Direction=H","UseDPDF=Y")</f>
        <v>98.427400000000006</v>
      </c>
      <c r="Q66" s="14">
        <f>_xll.BDH("NBIX US Equity","GROSS_MARGIN","FQ4 2022","FQ4 2022","Currency=USD","Period=FQ","BEST_FPERIOD_OVERRIDE=FQ","FILING_STATUS=MR","FA_ADJUSTED=Adjusted","Sort=A","Dates=H","DateFormat=P","Fill=—","Direction=H","UseDPDF=Y")</f>
        <v>98.131100000000004</v>
      </c>
      <c r="R66" s="14">
        <f>_xll.BDH("NBIX US Equity","GROSS_MARGIN","FQ1 2023","FQ1 2023","Currency=USD","Period=FQ","BEST_FPERIOD_OVERRIDE=FQ","FILING_STATUS=MR","FA_ADJUSTED=Adjusted","Sort=A","Dates=H","DateFormat=P","Fill=—","Direction=H","UseDPDF=Y")</f>
        <v>97.978099999999998</v>
      </c>
      <c r="S66" s="14">
        <f>_xll.BDH("NBIX US Equity","GROSS_MARGIN","FQ2 2023","FQ2 2023","Currency=USD","Period=FQ","BEST_FPERIOD_OVERRIDE=FQ","FILING_STATUS=MR","FA_ADJUSTED=Adjusted","Sort=A","Dates=H","DateFormat=P","Fill=—","Direction=H","UseDPDF=Y")</f>
        <v>97.459699999999998</v>
      </c>
      <c r="T66" s="14">
        <f>_xll.BDH("NBIX US Equity","GROSS_MARGIN","FQ3 2023","FQ3 2023","Currency=USD","Period=FQ","BEST_FPERIOD_OVERRIDE=FQ","FILING_STATUS=MR","FA_ADJUSTED=Adjusted","Sort=A","Dates=H","DateFormat=P","Fill=—","Direction=H","UseDPDF=Y")</f>
        <v>97.754599999999996</v>
      </c>
      <c r="U66" s="14">
        <f>_xll.BDH("NBIX US Equity","GROSS_MARGIN","FQ4 2023","FQ4 2023","Currency=USD","Period=FQ","BEST_FPERIOD_OVERRIDE=FQ","FILING_STATUS=MR","FA_ADJUSTED=Adjusted","Sort=A","Dates=H","DateFormat=P","Fill=—","Direction=H","UseDPDF=Y")</f>
        <v>98.350200000000001</v>
      </c>
      <c r="V66" s="14">
        <f>_xll.BDH("NBIX US Equity","GROSS_MARGIN","FQ1 2024","FQ1 2024","Currency=USD","Period=FQ","BEST_FPERIOD_OVERRIDE=FQ","FILING_STATUS=MR","FA_ADJUSTED=Adjusted","Sort=A","Dates=H","DateFormat=P","Fill=—","Direction=H","UseDPDF=Y")</f>
        <v>98.544499999999999</v>
      </c>
      <c r="W66" s="14">
        <f>_xll.BDH("NBIX US Equity","GROSS_MARGIN","FQ2 2024","FQ2 2024","Currency=USD","Period=FQ","BEST_FPERIOD_OVERRIDE=FQ","FILING_STATUS=MR","FA_ADJUSTED=Adjusted","Sort=A","Dates=H","DateFormat=P","Fill=—","Direction=H","UseDPDF=Y")</f>
        <v>98.441199999999995</v>
      </c>
      <c r="X66" s="14">
        <f>_xll.BDH("NBIX US Equity","GROSS_MARGIN","FQ3 2024","FQ3 2024","Currency=USD","Period=FQ","BEST_FPERIOD_OVERRIDE=FQ","FILING_STATUS=MR","FA_ADJUSTED=Adjusted","Sort=A","Dates=H","DateFormat=P","Fill=—","Direction=H","UseDPDF=Y")</f>
        <v>98.713999999999999</v>
      </c>
      <c r="Y66" s="14">
        <f>_xll.BDH("NBIX US Equity","GROSS_MARGIN","FQ4 2024","FQ4 2024","Currency=USD","Period=FQ","BEST_FPERIOD_OVERRIDE=FQ","FILING_STATUS=MR","FA_ADJUSTED=Adjusted","Sort=A","Dates=H","DateFormat=P","Fill=—","Direction=H","UseDPDF=Y")</f>
        <v>98.5184</v>
      </c>
      <c r="Z66" s="14">
        <v>98.278000000000006</v>
      </c>
      <c r="AA66" s="14">
        <v>98.36</v>
      </c>
    </row>
    <row r="67" spans="1:27" x14ac:dyDescent="0.25">
      <c r="A67" s="10" t="s">
        <v>398</v>
      </c>
      <c r="B67" s="10" t="s">
        <v>399</v>
      </c>
      <c r="C67" s="14">
        <f>_xll.BDH("NBIX US Equity","OPER_MARGIN","FQ2 2019","FQ2 2019","Currency=USD","Period=FQ","BEST_FPERIOD_OVERRIDE=FQ","FILING_STATUS=MR","FA_ADJUSTED=Adjusted","Sort=A","Dates=H","DateFormat=P","Fill=—","Direction=H","UseDPDF=Y")</f>
        <v>21.4953</v>
      </c>
      <c r="D67" s="14">
        <f>_xll.BDH("NBIX US Equity","OPER_MARGIN","FQ3 2019","FQ3 2019","Currency=USD","Period=FQ","BEST_FPERIOD_OVERRIDE=FQ","FILING_STATUS=MR","FA_ADJUSTED=Adjusted","Sort=A","Dates=H","DateFormat=P","Fill=—","Direction=H","UseDPDF=Y")</f>
        <v>40.567500000000003</v>
      </c>
      <c r="E67" s="14">
        <f>_xll.BDH("NBIX US Equity","OPER_MARGIN","FQ4 2019","FQ4 2019","Currency=USD","Period=FQ","BEST_FPERIOD_OVERRIDE=FQ","FILING_STATUS=MR","FA_ADJUSTED=Adjusted","Sort=A","Dates=H","DateFormat=P","Fill=—","Direction=H","UseDPDF=Y")</f>
        <v>34.821800000000003</v>
      </c>
      <c r="F67" s="14">
        <f>_xll.BDH("NBIX US Equity","OPER_MARGIN","FQ1 2020","FQ1 2020","Currency=USD","Period=FQ","BEST_FPERIOD_OVERRIDE=FQ","FILING_STATUS=MR","FA_ADJUSTED=Adjusted","Sort=A","Dates=H","DateFormat=P","Fill=—","Direction=H","UseDPDF=Y")</f>
        <v>24.841799999999999</v>
      </c>
      <c r="G67" s="14">
        <f>_xll.BDH("NBIX US Equity","OPER_MARGIN","FQ2 2020","FQ2 2020","Currency=USD","Period=FQ","BEST_FPERIOD_OVERRIDE=FQ","FILING_STATUS=MR","FA_ADJUSTED=Adjusted","Sort=A","Dates=H","DateFormat=P","Fill=—","Direction=H","UseDPDF=Y")</f>
        <v>40.542299999999997</v>
      </c>
      <c r="H67" s="14">
        <f>_xll.BDH("NBIX US Equity","OPER_MARGIN","FQ3 2020","FQ3 2020","Currency=USD","Period=FQ","BEST_FPERIOD_OVERRIDE=FQ","FILING_STATUS=MR","FA_ADJUSTED=Adjusted","Sort=A","Dates=H","DateFormat=P","Fill=—","Direction=H","UseDPDF=Y")</f>
        <v>28.7041</v>
      </c>
      <c r="I67" s="14">
        <f>_xll.BDH("NBIX US Equity","OPER_MARGIN","FQ4 2020","FQ4 2020","Currency=USD","Period=FQ","BEST_FPERIOD_OVERRIDE=FQ","FILING_STATUS=MR","FA_ADJUSTED=Adjusted","Sort=A","Dates=H","DateFormat=P","Fill=—","Direction=H","UseDPDF=Y")</f>
        <v>28.9633</v>
      </c>
      <c r="J67" s="14">
        <f>_xll.BDH("NBIX US Equity","OPER_MARGIN","FQ1 2021","FQ1 2021","Currency=USD","Period=FQ","BEST_FPERIOD_OVERRIDE=FQ","FILING_STATUS=MR","FA_ADJUSTED=Adjusted","Sort=A","Dates=H","DateFormat=P","Fill=—","Direction=H","UseDPDF=Y")</f>
        <v>13.313599999999999</v>
      </c>
      <c r="K67" s="14">
        <f>_xll.BDH("NBIX US Equity","OPER_MARGIN","FQ2 2021","FQ2 2021","Currency=USD","Period=FQ","BEST_FPERIOD_OVERRIDE=FQ","FILING_STATUS=MR","FA_ADJUSTED=Adjusted","Sort=A","Dates=H","DateFormat=P","Fill=—","Direction=H","UseDPDF=Y")</f>
        <v>23.468299999999999</v>
      </c>
      <c r="L67" s="14">
        <f>_xll.BDH("NBIX US Equity","OPER_MARGIN","FQ3 2021","FQ3 2021","Currency=USD","Period=FQ","BEST_FPERIOD_OVERRIDE=FQ","FILING_STATUS=MR","FA_ADJUSTED=Adjusted","Sort=A","Dates=H","DateFormat=P","Fill=—","Direction=H","UseDPDF=Y")</f>
        <v>15.033799999999999</v>
      </c>
      <c r="M67" s="14">
        <f>_xll.BDH("NBIX US Equity","OPER_MARGIN","FQ4 2021","FQ4 2021","Currency=USD","Period=FQ","BEST_FPERIOD_OVERRIDE=FQ","FILING_STATUS=MR","FA_ADJUSTED=Adjusted","Sort=A","Dates=H","DateFormat=P","Fill=—","Direction=H","UseDPDF=Y")</f>
        <v>20.512799999999999</v>
      </c>
      <c r="N67" s="14">
        <f>_xll.BDH("NBIX US Equity","OPER_MARGIN","FQ1 2022","FQ1 2022","Currency=USD","Period=FQ","BEST_FPERIOD_OVERRIDE=FQ","FILING_STATUS=MR","FA_ADJUSTED=Adjusted","Sort=A","Dates=H","DateFormat=P","Fill=—","Direction=H","UseDPDF=Y")</f>
        <v>0.99809999999999999</v>
      </c>
      <c r="O67" s="14">
        <f>_xll.BDH("NBIX US Equity","OPER_MARGIN","FQ2 2022","FQ2 2022","Currency=USD","Period=FQ","BEST_FPERIOD_OVERRIDE=FQ","FILING_STATUS=MR","FA_ADJUSTED=Adjusted","Sort=A","Dates=H","DateFormat=P","Fill=—","Direction=H","UseDPDF=Y")</f>
        <v>14.463200000000001</v>
      </c>
      <c r="P67" s="14">
        <f>_xll.BDH("NBIX US Equity","OPER_MARGIN","FQ3 2022","FQ3 2022","Currency=USD","Period=FQ","BEST_FPERIOD_OVERRIDE=FQ","FILING_STATUS=MR","FA_ADJUSTED=Adjusted","Sort=A","Dates=H","DateFormat=P","Fill=—","Direction=H","UseDPDF=Y")</f>
        <v>22.634699999999999</v>
      </c>
      <c r="Q67" s="14">
        <f>_xll.BDH("NBIX US Equity","OPER_MARGIN","FQ4 2022","FQ4 2022","Currency=USD","Period=FQ","BEST_FPERIOD_OVERRIDE=FQ","FILING_STATUS=MR","FA_ADJUSTED=Adjusted","Sort=A","Dates=H","DateFormat=P","Fill=—","Direction=H","UseDPDF=Y")</f>
        <v>25.509699999999999</v>
      </c>
      <c r="R67" s="14">
        <f>_xll.BDH("NBIX US Equity","OPER_MARGIN","FQ1 2023","FQ1 2023","Currency=USD","Period=FQ","BEST_FPERIOD_OVERRIDE=FQ","FILING_STATUS=MR","FA_ADJUSTED=Adjusted","Sort=A","Dates=H","DateFormat=P","Fill=—","Direction=H","UseDPDF=Y")</f>
        <v>7.0647000000000002</v>
      </c>
      <c r="S67" s="14">
        <f>_xll.BDH("NBIX US Equity","OPER_MARGIN","FQ2 2023","FQ2 2023","Currency=USD","Period=FQ","BEST_FPERIOD_OVERRIDE=FQ","FILING_STATUS=MR","FA_ADJUSTED=Adjusted","Sort=A","Dates=H","DateFormat=P","Fill=—","Direction=H","UseDPDF=Y")</f>
        <v>16.257999999999999</v>
      </c>
      <c r="T67" s="14">
        <f>_xll.BDH("NBIX US Equity","OPER_MARGIN","FQ3 2023","FQ3 2023","Currency=USD","Period=FQ","BEST_FPERIOD_OVERRIDE=FQ","FILING_STATUS=MR","FA_ADJUSTED=Adjusted","Sort=A","Dates=H","DateFormat=P","Fill=—","Direction=H","UseDPDF=Y")</f>
        <v>29.0898</v>
      </c>
      <c r="U67" s="14">
        <f>_xll.BDH("NBIX US Equity","OPER_MARGIN","FQ4 2023","FQ4 2023","Currency=USD","Period=FQ","BEST_FPERIOD_OVERRIDE=FQ","FILING_STATUS=MR","FA_ADJUSTED=Adjusted","Sort=A","Dates=H","DateFormat=P","Fill=—","Direction=H","UseDPDF=Y")</f>
        <v>29.173100000000002</v>
      </c>
      <c r="V67" s="14">
        <f>_xll.BDH("NBIX US Equity","OPER_MARGIN","FQ1 2024","FQ1 2024","Currency=USD","Period=FQ","BEST_FPERIOD_OVERRIDE=FQ","FILING_STATUS=MR","FA_ADJUSTED=Adjusted","Sort=A","Dates=H","DateFormat=P","Fill=—","Direction=H","UseDPDF=Y")</f>
        <v>20.434699999999999</v>
      </c>
      <c r="W67" s="14">
        <f>_xll.BDH("NBIX US Equity","OPER_MARGIN","FQ2 2024","FQ2 2024","Currency=USD","Period=FQ","BEST_FPERIOD_OVERRIDE=FQ","FILING_STATUS=MR","FA_ADJUSTED=Adjusted","Sort=A","Dates=H","DateFormat=P","Fill=—","Direction=H","UseDPDF=Y")</f>
        <v>35.8523</v>
      </c>
      <c r="X67" s="14">
        <f>_xll.BDH("NBIX US Equity","OPER_MARGIN","FQ3 2024","FQ3 2024","Currency=USD","Period=FQ","BEST_FPERIOD_OVERRIDE=FQ","FILING_STATUS=MR","FA_ADJUSTED=Adjusted","Sort=A","Dates=H","DateFormat=P","Fill=—","Direction=H","UseDPDF=Y")</f>
        <v>29.7058</v>
      </c>
      <c r="Y67" s="14">
        <f>_xll.BDH("NBIX US Equity","OPER_MARGIN","FQ4 2024","FQ4 2024","Currency=USD","Period=FQ","BEST_FPERIOD_OVERRIDE=FQ","FILING_STATUS=MR","FA_ADJUSTED=Adjusted","Sort=A","Dates=H","DateFormat=P","Fill=—","Direction=H","UseDPDF=Y")</f>
        <v>23.100200000000001</v>
      </c>
      <c r="Z67" s="14">
        <v>17.899067240930599</v>
      </c>
      <c r="AA67" s="14">
        <v>20.537962962963</v>
      </c>
    </row>
    <row r="68" spans="1:27" x14ac:dyDescent="0.25">
      <c r="A68" s="10" t="s">
        <v>400</v>
      </c>
      <c r="B68" s="10" t="s">
        <v>401</v>
      </c>
      <c r="C68" s="14">
        <f>_xll.BDH("NBIX US Equity","PROF_MARGIN","FQ2 2019","FQ2 2019","Currency=USD","Period=FQ","BEST_FPERIOD_OVERRIDE=FQ","FILING_STATUS=MR","FA_ADJUSTED=Adjusted","Sort=A","Dates=H","DateFormat=P","Fill=—","Direction=H","UseDPDF=Y")</f>
        <v>21.0947</v>
      </c>
      <c r="D68" s="14">
        <f>_xll.BDH("NBIX US Equity","PROF_MARGIN","FQ3 2019","FQ3 2019","Currency=USD","Period=FQ","BEST_FPERIOD_OVERRIDE=FQ","FILING_STATUS=MR","FA_ADJUSTED=Adjusted","Sort=A","Dates=H","DateFormat=P","Fill=—","Direction=H","UseDPDF=Y")</f>
        <v>34.338799999999999</v>
      </c>
      <c r="E68" s="14">
        <f>_xll.BDH("NBIX US Equity","PROF_MARGIN","FQ4 2019","FQ4 2019","Currency=USD","Period=FQ","BEST_FPERIOD_OVERRIDE=FQ","FILING_STATUS=MR","FA_ADJUSTED=Adjusted","Sort=A","Dates=H","DateFormat=P","Fill=—","Direction=H","UseDPDF=Y")</f>
        <v>31.502199999999998</v>
      </c>
      <c r="F68" s="14">
        <f>_xll.BDH("NBIX US Equity","PROF_MARGIN","FQ1 2020","FQ1 2020","Currency=USD","Period=FQ","BEST_FPERIOD_OVERRIDE=FQ","FILING_STATUS=MR","FA_ADJUSTED=Adjusted","Sort=A","Dates=H","DateFormat=P","Fill=—","Direction=H","UseDPDF=Y")</f>
        <v>22.475899999999999</v>
      </c>
      <c r="G68" s="14">
        <f>_xll.BDH("NBIX US Equity","PROF_MARGIN","FQ2 2020","FQ2 2020","Currency=USD","Period=FQ","BEST_FPERIOD_OVERRIDE=FQ","FILING_STATUS=MR","FA_ADJUSTED=Adjusted","Sort=A","Dates=H","DateFormat=P","Fill=—","Direction=H","UseDPDF=Y")</f>
        <v>37.778399999999998</v>
      </c>
      <c r="H68" s="14">
        <f>_xll.BDH("NBIX US Equity","PROF_MARGIN","FQ3 2020","FQ3 2020","Currency=USD","Period=FQ","BEST_FPERIOD_OVERRIDE=FQ","FILING_STATUS=MR","FA_ADJUSTED=Adjusted","Sort=A","Dates=H","DateFormat=P","Fill=—","Direction=H","UseDPDF=Y")</f>
        <v>25.155100000000001</v>
      </c>
      <c r="I68" s="14">
        <f>_xll.BDH("NBIX US Equity","PROF_MARGIN","FQ4 2020","FQ4 2020","Currency=USD","Period=FQ","BEST_FPERIOD_OVERRIDE=FQ","FILING_STATUS=MR","FA_ADJUSTED=Adjusted","Sort=A","Dates=H","DateFormat=P","Fill=—","Direction=H","UseDPDF=Y")</f>
        <v>89.429699999999997</v>
      </c>
      <c r="J68" s="14">
        <f>_xll.BDH("NBIX US Equity","PROF_MARGIN","FQ1 2021","FQ1 2021","Currency=USD","Period=FQ","BEST_FPERIOD_OVERRIDE=FQ","FILING_STATUS=MR","FA_ADJUSTED=Adjusted","Sort=A","Dates=H","DateFormat=P","Fill=—","Direction=H","UseDPDF=Y")</f>
        <v>13.434799999999999</v>
      </c>
      <c r="K68" s="14">
        <f>_xll.BDH("NBIX US Equity","PROF_MARGIN","FQ2 2021","FQ2 2021","Currency=USD","Period=FQ","BEST_FPERIOD_OVERRIDE=FQ","FILING_STATUS=MR","FA_ADJUSTED=Adjusted","Sort=A","Dates=H","DateFormat=P","Fill=—","Direction=H","UseDPDF=Y")</f>
        <v>16.164100000000001</v>
      </c>
      <c r="L68" s="14">
        <f>_xll.BDH("NBIX US Equity","PROF_MARGIN","FQ3 2021","FQ3 2021","Currency=USD","Period=FQ","BEST_FPERIOD_OVERRIDE=FQ","FILING_STATUS=MR","FA_ADJUSTED=Adjusted","Sort=A","Dates=H","DateFormat=P","Fill=—","Direction=H","UseDPDF=Y")</f>
        <v>10.119300000000001</v>
      </c>
      <c r="M68" s="14">
        <f>_xll.BDH("NBIX US Equity","PROF_MARGIN","FQ4 2021","FQ4 2021","Currency=USD","Period=FQ","BEST_FPERIOD_OVERRIDE=FQ","FILING_STATUS=MR","FA_ADJUSTED=Adjusted","Sort=A","Dates=H","DateFormat=P","Fill=—","Direction=H","UseDPDF=Y")</f>
        <v>15.8657</v>
      </c>
      <c r="N68" s="14">
        <f>_xll.BDH("NBIX US Equity","PROF_MARGIN","FQ1 2022","FQ1 2022","Currency=USD","Period=FQ","BEST_FPERIOD_OVERRIDE=FQ","FILING_STATUS=MR","FA_ADJUSTED=Adjusted","Sort=A","Dates=H","DateFormat=P","Fill=—","Direction=H","UseDPDF=Y")</f>
        <v>-1.3093999999999999</v>
      </c>
      <c r="O68" s="14">
        <f>_xll.BDH("NBIX US Equity","PROF_MARGIN","FQ2 2022","FQ2 2022","Currency=USD","Period=FQ","BEST_FPERIOD_OVERRIDE=FQ","FILING_STATUS=MR","FA_ADJUSTED=Adjusted","Sort=A","Dates=H","DateFormat=P","Fill=—","Direction=H","UseDPDF=Y")</f>
        <v>-2.9228000000000001</v>
      </c>
      <c r="P68" s="14">
        <f>_xll.BDH("NBIX US Equity","PROF_MARGIN","FQ3 2022","FQ3 2022","Currency=USD","Period=FQ","BEST_FPERIOD_OVERRIDE=FQ","FILING_STATUS=MR","FA_ADJUSTED=Adjusted","Sort=A","Dates=H","DateFormat=P","Fill=—","Direction=H","UseDPDF=Y")</f>
        <v>20.311800000000002</v>
      </c>
      <c r="Q68" s="14">
        <f>_xll.BDH("NBIX US Equity","PROF_MARGIN","FQ4 2022","FQ4 2022","Currency=USD","Period=FQ","BEST_FPERIOD_OVERRIDE=FQ","FILING_STATUS=MR","FA_ADJUSTED=Adjusted","Sort=A","Dates=H","DateFormat=P","Fill=—","Direction=H","UseDPDF=Y")</f>
        <v>21.852900000000002</v>
      </c>
      <c r="R68" s="14">
        <f>_xll.BDH("NBIX US Equity","PROF_MARGIN","FQ1 2023","FQ1 2023","Currency=USD","Period=FQ","BEST_FPERIOD_OVERRIDE=FQ","FILING_STATUS=MR","FA_ADJUSTED=Adjusted","Sort=A","Dates=H","DateFormat=P","Fill=—","Direction=H","UseDPDF=Y")</f>
        <v>8.4549000000000003</v>
      </c>
      <c r="S68" s="14">
        <f>_xll.BDH("NBIX US Equity","PROF_MARGIN","FQ2 2023","FQ2 2023","Currency=USD","Period=FQ","BEST_FPERIOD_OVERRIDE=FQ","FILING_STATUS=MR","FA_ADJUSTED=Adjusted","Sort=A","Dates=H","DateFormat=P","Fill=—","Direction=H","UseDPDF=Y")</f>
        <v>14.586499999999999</v>
      </c>
      <c r="T68" s="14">
        <f>_xll.BDH("NBIX US Equity","PROF_MARGIN","FQ3 2023","FQ3 2023","Currency=USD","Period=FQ","BEST_FPERIOD_OVERRIDE=FQ","FILING_STATUS=MR","FA_ADJUSTED=Adjusted","Sort=A","Dates=H","DateFormat=P","Fill=—","Direction=H","UseDPDF=Y")</f>
        <v>27.669799999999999</v>
      </c>
      <c r="U68" s="14">
        <f>_xll.BDH("NBIX US Equity","PROF_MARGIN","FQ4 2023","FQ4 2023","Currency=USD","Period=FQ","BEST_FPERIOD_OVERRIDE=FQ","FILING_STATUS=MR","FA_ADJUSTED=Adjusted","Sort=A","Dates=H","DateFormat=P","Fill=—","Direction=H","UseDPDF=Y")</f>
        <v>24.221699999999998</v>
      </c>
      <c r="V68" s="14">
        <f>_xll.BDH("NBIX US Equity","PROF_MARGIN","FQ1 2024","FQ1 2024","Currency=USD","Period=FQ","BEST_FPERIOD_OVERRIDE=FQ","FILING_STATUS=MR","FA_ADJUSTED=Adjusted","Sort=A","Dates=H","DateFormat=P","Fill=—","Direction=H","UseDPDF=Y")</f>
        <v>9.1516999999999999</v>
      </c>
      <c r="W68" s="14">
        <f>_xll.BDH("NBIX US Equity","PROF_MARGIN","FQ2 2024","FQ2 2024","Currency=USD","Period=FQ","BEST_FPERIOD_OVERRIDE=FQ","FILING_STATUS=MR","FA_ADJUSTED=Adjusted","Sort=A","Dates=H","DateFormat=P","Fill=—","Direction=H","UseDPDF=Y")</f>
        <v>29.525099999999998</v>
      </c>
      <c r="X68" s="14">
        <f>_xll.BDH("NBIX US Equity","PROF_MARGIN","FQ3 2024","FQ3 2024","Currency=USD","Period=FQ","BEST_FPERIOD_OVERRIDE=FQ","FILING_STATUS=MR","FA_ADJUSTED=Adjusted","Sort=A","Dates=H","DateFormat=P","Fill=—","Direction=H","UseDPDF=Y")</f>
        <v>25.280999999999999</v>
      </c>
      <c r="Y68" s="14">
        <f>_xll.BDH("NBIX US Equity","PROF_MARGIN","FQ4 2024","FQ4 2024","Currency=USD","Period=FQ","BEST_FPERIOD_OVERRIDE=FQ","FILING_STATUS=MR","FA_ADJUSTED=Adjusted","Sort=A","Dates=H","DateFormat=P","Fill=—","Direction=H","UseDPDF=Y")</f>
        <v>17.105699999999999</v>
      </c>
      <c r="Z68" s="14">
        <v>19.385604782174301</v>
      </c>
      <c r="AA68" s="14">
        <v>20.839506172839499</v>
      </c>
    </row>
    <row r="69" spans="1:27" x14ac:dyDescent="0.25">
      <c r="A69" s="10" t="s">
        <v>402</v>
      </c>
      <c r="B69" s="10" t="s">
        <v>403</v>
      </c>
      <c r="C69" s="14" t="str">
        <f>_xll.BDH("NBIX US Equity","ACTUAL_SALES_PER_EMPL","FQ2 2019","FQ2 2019","Currency=USD","Period=FQ","BEST_FPERIOD_OVERRIDE=FQ","FILING_STATUS=MR","FA_ADJUSTED=Adjusted","Sort=A","Dates=H","DateFormat=P","Fill=—","Direction=H","UseDPDF=Y")</f>
        <v>—</v>
      </c>
      <c r="D69" s="14" t="str">
        <f>_xll.BDH("NBIX US Equity","ACTUAL_SALES_PER_EMPL","FQ3 2019","FQ3 2019","Currency=USD","Period=FQ","BEST_FPERIOD_OVERRIDE=FQ","FILING_STATUS=MR","FA_ADJUSTED=Adjusted","Sort=A","Dates=H","DateFormat=P","Fill=—","Direction=H","UseDPDF=Y")</f>
        <v>—</v>
      </c>
      <c r="E69" s="14">
        <f>_xll.BDH("NBIX US Equity","ACTUAL_SALES_PER_EMPL","FQ4 2019","FQ4 2019","Currency=USD","Period=FQ","BEST_FPERIOD_OVERRIDE=FQ","FILING_STATUS=MR","FA_ADJUSTED=Adjusted","Sort=A","Dates=H","DateFormat=P","Fill=—","Direction=H","UseDPDF=Y")</f>
        <v>348714.28570000001</v>
      </c>
      <c r="F69" s="14" t="str">
        <f>_xll.BDH("NBIX US Equity","ACTUAL_SALES_PER_EMPL","FQ1 2020","FQ1 2020","Currency=USD","Period=FQ","BEST_FPERIOD_OVERRIDE=FQ","FILING_STATUS=MR","FA_ADJUSTED=Adjusted","Sort=A","Dates=H","DateFormat=P","Fill=—","Direction=H","UseDPDF=Y")</f>
        <v>—</v>
      </c>
      <c r="G69" s="14" t="str">
        <f>_xll.BDH("NBIX US Equity","ACTUAL_SALES_PER_EMPL","FQ2 2020","FQ2 2020","Currency=USD","Period=FQ","BEST_FPERIOD_OVERRIDE=FQ","FILING_STATUS=MR","FA_ADJUSTED=Adjusted","Sort=A","Dates=H","DateFormat=P","Fill=—","Direction=H","UseDPDF=Y")</f>
        <v>—</v>
      </c>
      <c r="H69" s="14" t="str">
        <f>_xll.BDH("NBIX US Equity","ACTUAL_SALES_PER_EMPL","FQ3 2020","FQ3 2020","Currency=USD","Period=FQ","BEST_FPERIOD_OVERRIDE=FQ","FILING_STATUS=MR","FA_ADJUSTED=Adjusted","Sort=A","Dates=H","DateFormat=P","Fill=—","Direction=H","UseDPDF=Y")</f>
        <v>—</v>
      </c>
      <c r="I69" s="14">
        <f>_xll.BDH("NBIX US Equity","ACTUAL_SALES_PER_EMPL","FQ4 2020","FQ4 2020","Currency=USD","Period=FQ","BEST_FPERIOD_OVERRIDE=FQ","FILING_STATUS=MR","FA_ADJUSTED=Adjusted","Sort=A","Dates=H","DateFormat=P","Fill=—","Direction=H","UseDPDF=Y")</f>
        <v>293372.78110000002</v>
      </c>
      <c r="J69" s="14" t="str">
        <f>_xll.BDH("NBIX US Equity","ACTUAL_SALES_PER_EMPL","FQ1 2021","FQ1 2021","Currency=USD","Period=FQ","BEST_FPERIOD_OVERRIDE=FQ","FILING_STATUS=MR","FA_ADJUSTED=Adjusted","Sort=A","Dates=H","DateFormat=P","Fill=—","Direction=H","UseDPDF=Y")</f>
        <v>—</v>
      </c>
      <c r="K69" s="14" t="str">
        <f>_xll.BDH("NBIX US Equity","ACTUAL_SALES_PER_EMPL","FQ2 2021","FQ2 2021","Currency=USD","Period=FQ","BEST_FPERIOD_OVERRIDE=FQ","FILING_STATUS=MR","FA_ADJUSTED=Adjusted","Sort=A","Dates=H","DateFormat=P","Fill=—","Direction=H","UseDPDF=Y")</f>
        <v>—</v>
      </c>
      <c r="L69" s="14" t="str">
        <f>_xll.BDH("NBIX US Equity","ACTUAL_SALES_PER_EMPL","FQ3 2021","FQ3 2021","Currency=USD","Period=FQ","BEST_FPERIOD_OVERRIDE=FQ","FILING_STATUS=MR","FA_ADJUSTED=Adjusted","Sort=A","Dates=H","DateFormat=P","Fill=—","Direction=H","UseDPDF=Y")</f>
        <v>—</v>
      </c>
      <c r="M69" s="14">
        <f>_xll.BDH("NBIX US Equity","ACTUAL_SALES_PER_EMPL","FQ4 2021","FQ4 2021","Currency=USD","Period=FQ","BEST_FPERIOD_OVERRIDE=FQ","FILING_STATUS=MR","FA_ADJUSTED=Adjusted","Sort=A","Dates=H","DateFormat=P","Fill=—","Direction=H","UseDPDF=Y")</f>
        <v>346666.6667</v>
      </c>
      <c r="N69" s="14" t="str">
        <f>_xll.BDH("NBIX US Equity","ACTUAL_SALES_PER_EMPL","FQ1 2022","FQ1 2022","Currency=USD","Period=FQ","BEST_FPERIOD_OVERRIDE=FQ","FILING_STATUS=MR","FA_ADJUSTED=Adjusted","Sort=A","Dates=H","DateFormat=P","Fill=—","Direction=H","UseDPDF=Y")</f>
        <v>—</v>
      </c>
      <c r="O69" s="14" t="str">
        <f>_xll.BDH("NBIX US Equity","ACTUAL_SALES_PER_EMPL","FQ2 2022","FQ2 2022","Currency=USD","Period=FQ","BEST_FPERIOD_OVERRIDE=FQ","FILING_STATUS=MR","FA_ADJUSTED=Adjusted","Sort=A","Dates=H","DateFormat=P","Fill=—","Direction=H","UseDPDF=Y")</f>
        <v>—</v>
      </c>
      <c r="P69" s="14" t="str">
        <f>_xll.BDH("NBIX US Equity","ACTUAL_SALES_PER_EMPL","FQ3 2022","FQ3 2022","Currency=USD","Period=FQ","BEST_FPERIOD_OVERRIDE=FQ","FILING_STATUS=MR","FA_ADJUSTED=Adjusted","Sort=A","Dates=H","DateFormat=P","Fill=—","Direction=H","UseDPDF=Y")</f>
        <v>—</v>
      </c>
      <c r="Q69" s="14">
        <f>_xll.BDH("NBIX US Equity","ACTUAL_SALES_PER_EMPL","FQ4 2022","FQ4 2022","Currency=USD","Period=FQ","BEST_FPERIOD_OVERRIDE=FQ","FILING_STATUS=MR","FA_ADJUSTED=Adjusted","Sort=A","Dates=H","DateFormat=P","Fill=—","Direction=H","UseDPDF=Y")</f>
        <v>343333.3333</v>
      </c>
      <c r="R69" s="14" t="str">
        <f>_xll.BDH("NBIX US Equity","ACTUAL_SALES_PER_EMPL","FQ1 2023","FQ1 2023","Currency=USD","Period=FQ","BEST_FPERIOD_OVERRIDE=FQ","FILING_STATUS=MR","FA_ADJUSTED=Adjusted","Sort=A","Dates=H","DateFormat=P","Fill=—","Direction=H","UseDPDF=Y")</f>
        <v>—</v>
      </c>
      <c r="S69" s="14" t="str">
        <f>_xll.BDH("NBIX US Equity","ACTUAL_SALES_PER_EMPL","FQ2 2023","FQ2 2023","Currency=USD","Period=FQ","BEST_FPERIOD_OVERRIDE=FQ","FILING_STATUS=MR","FA_ADJUSTED=Adjusted","Sort=A","Dates=H","DateFormat=P","Fill=—","Direction=H","UseDPDF=Y")</f>
        <v>—</v>
      </c>
      <c r="T69" s="14" t="str">
        <f>_xll.BDH("NBIX US Equity","ACTUAL_SALES_PER_EMPL","FQ3 2023","FQ3 2023","Currency=USD","Period=FQ","BEST_FPERIOD_OVERRIDE=FQ","FILING_STATUS=MR","FA_ADJUSTED=Adjusted","Sort=A","Dates=H","DateFormat=P","Fill=—","Direction=H","UseDPDF=Y")</f>
        <v>—</v>
      </c>
      <c r="U69" s="14">
        <f>_xll.BDH("NBIX US Equity","ACTUAL_SALES_PER_EMPL","FQ4 2023","FQ4 2023","Currency=USD","Period=FQ","BEST_FPERIOD_OVERRIDE=FQ","FILING_STATUS=MR","FA_ADJUSTED=Adjusted","Sort=A","Dates=H","DateFormat=P","Fill=—","Direction=H","UseDPDF=Y")</f>
        <v>368000</v>
      </c>
      <c r="V69" s="14" t="str">
        <f>_xll.BDH("NBIX US Equity","ACTUAL_SALES_PER_EMPL","FQ1 2024","FQ1 2024","Currency=USD","Period=FQ","BEST_FPERIOD_OVERRIDE=FQ","FILING_STATUS=MR","FA_ADJUSTED=Adjusted","Sort=A","Dates=H","DateFormat=P","Fill=—","Direction=H","UseDPDF=Y")</f>
        <v>—</v>
      </c>
      <c r="W69" s="14" t="str">
        <f>_xll.BDH("NBIX US Equity","ACTUAL_SALES_PER_EMPL","FQ2 2024","FQ2 2024","Currency=USD","Period=FQ","BEST_FPERIOD_OVERRIDE=FQ","FILING_STATUS=MR","FA_ADJUSTED=Adjusted","Sort=A","Dates=H","DateFormat=P","Fill=—","Direction=H","UseDPDF=Y")</f>
        <v>—</v>
      </c>
      <c r="X69" s="14">
        <f>_xll.BDH("NBIX US Equity","ACTUAL_SALES_PER_EMPL","FQ3 2024","FQ3 2024","Currency=USD","Period=FQ","BEST_FPERIOD_OVERRIDE=FQ","FILING_STATUS=MR","FA_ADJUSTED=Adjusted","Sort=A","Dates=H","DateFormat=P","Fill=—","Direction=H","UseDPDF=Y")</f>
        <v>365941.1765</v>
      </c>
      <c r="Y69" s="14">
        <f>_xll.BDH("NBIX US Equity","ACTUAL_SALES_PER_EMPL","FQ4 2024","FQ4 2024","Currency=USD","Period=FQ","BEST_FPERIOD_OVERRIDE=FQ","FILING_STATUS=MR","FA_ADJUSTED=Adjusted","Sort=A","Dates=H","DateFormat=P","Fill=—","Direction=H","UseDPDF=Y")</f>
        <v>348722.22220000002</v>
      </c>
      <c r="Z69" s="14"/>
      <c r="AA69" s="14"/>
    </row>
    <row r="70" spans="1:27" x14ac:dyDescent="0.25">
      <c r="A70" s="10" t="s">
        <v>404</v>
      </c>
      <c r="B70" s="10" t="s">
        <v>274</v>
      </c>
      <c r="C70" s="14">
        <f>_xll.BDH("NBIX US Equity","EQY_DPS","FQ2 2019","FQ2 2019","Currency=USD","Period=FQ","BEST_FPERIOD_OVERRIDE=FQ","FILING_STATUS=MR","Sort=A","Dates=H","DateFormat=P","Fill=—","Direction=H","UseDPDF=Y")</f>
        <v>0</v>
      </c>
      <c r="D70" s="14">
        <f>_xll.BDH("NBIX US Equity","EQY_DPS","FQ3 2019","FQ3 2019","Currency=USD","Period=FQ","BEST_FPERIOD_OVERRIDE=FQ","FILING_STATUS=MR","Sort=A","Dates=H","DateFormat=P","Fill=—","Direction=H","UseDPDF=Y")</f>
        <v>0</v>
      </c>
      <c r="E70" s="14">
        <f>_xll.BDH("NBIX US Equity","EQY_DPS","FQ4 2019","FQ4 2019","Currency=USD","Period=FQ","BEST_FPERIOD_OVERRIDE=FQ","FILING_STATUS=MR","Sort=A","Dates=H","DateFormat=P","Fill=—","Direction=H","UseDPDF=Y")</f>
        <v>0</v>
      </c>
      <c r="F70" s="14">
        <f>_xll.BDH("NBIX US Equity","EQY_DPS","FQ1 2020","FQ1 2020","Currency=USD","Period=FQ","BEST_FPERIOD_OVERRIDE=FQ","FILING_STATUS=MR","Sort=A","Dates=H","DateFormat=P","Fill=—","Direction=H","UseDPDF=Y")</f>
        <v>0</v>
      </c>
      <c r="G70" s="14">
        <f>_xll.BDH("NBIX US Equity","EQY_DPS","FQ2 2020","FQ2 2020","Currency=USD","Period=FQ","BEST_FPERIOD_OVERRIDE=FQ","FILING_STATUS=MR","Sort=A","Dates=H","DateFormat=P","Fill=—","Direction=H","UseDPDF=Y")</f>
        <v>0</v>
      </c>
      <c r="H70" s="14">
        <f>_xll.BDH("NBIX US Equity","EQY_DPS","FQ3 2020","FQ3 2020","Currency=USD","Period=FQ","BEST_FPERIOD_OVERRIDE=FQ","FILING_STATUS=MR","Sort=A","Dates=H","DateFormat=P","Fill=—","Direction=H","UseDPDF=Y")</f>
        <v>0</v>
      </c>
      <c r="I70" s="14">
        <f>_xll.BDH("NBIX US Equity","EQY_DPS","FQ4 2020","FQ4 2020","Currency=USD","Period=FQ","BEST_FPERIOD_OVERRIDE=FQ","FILING_STATUS=MR","Sort=A","Dates=H","DateFormat=P","Fill=—","Direction=H","UseDPDF=Y")</f>
        <v>0</v>
      </c>
      <c r="J70" s="14">
        <f>_xll.BDH("NBIX US Equity","EQY_DPS","FQ1 2021","FQ1 2021","Currency=USD","Period=FQ","BEST_FPERIOD_OVERRIDE=FQ","FILING_STATUS=MR","Sort=A","Dates=H","DateFormat=P","Fill=—","Direction=H","UseDPDF=Y")</f>
        <v>0</v>
      </c>
      <c r="K70" s="14">
        <f>_xll.BDH("NBIX US Equity","EQY_DPS","FQ2 2021","FQ2 2021","Currency=USD","Period=FQ","BEST_FPERIOD_OVERRIDE=FQ","FILING_STATUS=MR","Sort=A","Dates=H","DateFormat=P","Fill=—","Direction=H","UseDPDF=Y")</f>
        <v>0</v>
      </c>
      <c r="L70" s="14">
        <f>_xll.BDH("NBIX US Equity","EQY_DPS","FQ3 2021","FQ3 2021","Currency=USD","Period=FQ","BEST_FPERIOD_OVERRIDE=FQ","FILING_STATUS=MR","Sort=A","Dates=H","DateFormat=P","Fill=—","Direction=H","UseDPDF=Y")</f>
        <v>0</v>
      </c>
      <c r="M70" s="14">
        <f>_xll.BDH("NBIX US Equity","EQY_DPS","FQ4 2021","FQ4 2021","Currency=USD","Period=FQ","BEST_FPERIOD_OVERRIDE=FQ","FILING_STATUS=MR","Sort=A","Dates=H","DateFormat=P","Fill=—","Direction=H","UseDPDF=Y")</f>
        <v>0</v>
      </c>
      <c r="N70" s="14">
        <f>_xll.BDH("NBIX US Equity","EQY_DPS","FQ1 2022","FQ1 2022","Currency=USD","Period=FQ","BEST_FPERIOD_OVERRIDE=FQ","FILING_STATUS=MR","Sort=A","Dates=H","DateFormat=P","Fill=—","Direction=H","UseDPDF=Y")</f>
        <v>0</v>
      </c>
      <c r="O70" s="14">
        <f>_xll.BDH("NBIX US Equity","EQY_DPS","FQ2 2022","FQ2 2022","Currency=USD","Period=FQ","BEST_FPERIOD_OVERRIDE=FQ","FILING_STATUS=MR","Sort=A","Dates=H","DateFormat=P","Fill=—","Direction=H","UseDPDF=Y")</f>
        <v>0</v>
      </c>
      <c r="P70" s="14">
        <f>_xll.BDH("NBIX US Equity","EQY_DPS","FQ3 2022","FQ3 2022","Currency=USD","Period=FQ","BEST_FPERIOD_OVERRIDE=FQ","FILING_STATUS=MR","Sort=A","Dates=H","DateFormat=P","Fill=—","Direction=H","UseDPDF=Y")</f>
        <v>0</v>
      </c>
      <c r="Q70" s="14">
        <f>_xll.BDH("NBIX US Equity","EQY_DPS","FQ4 2022","FQ4 2022","Currency=USD","Period=FQ","BEST_FPERIOD_OVERRIDE=FQ","FILING_STATUS=MR","Sort=A","Dates=H","DateFormat=P","Fill=—","Direction=H","UseDPDF=Y")</f>
        <v>0</v>
      </c>
      <c r="R70" s="14">
        <f>_xll.BDH("NBIX US Equity","EQY_DPS","FQ1 2023","FQ1 2023","Currency=USD","Period=FQ","BEST_FPERIOD_OVERRIDE=FQ","FILING_STATUS=MR","Sort=A","Dates=H","DateFormat=P","Fill=—","Direction=H","UseDPDF=Y")</f>
        <v>0</v>
      </c>
      <c r="S70" s="14">
        <f>_xll.BDH("NBIX US Equity","EQY_DPS","FQ2 2023","FQ2 2023","Currency=USD","Period=FQ","BEST_FPERIOD_OVERRIDE=FQ","FILING_STATUS=MR","Sort=A","Dates=H","DateFormat=P","Fill=—","Direction=H","UseDPDF=Y")</f>
        <v>0</v>
      </c>
      <c r="T70" s="14">
        <f>_xll.BDH("NBIX US Equity","EQY_DPS","FQ3 2023","FQ3 2023","Currency=USD","Period=FQ","BEST_FPERIOD_OVERRIDE=FQ","FILING_STATUS=MR","Sort=A","Dates=H","DateFormat=P","Fill=—","Direction=H","UseDPDF=Y")</f>
        <v>0</v>
      </c>
      <c r="U70" s="14">
        <f>_xll.BDH("NBIX US Equity","EQY_DPS","FQ4 2023","FQ4 2023","Currency=USD","Period=FQ","BEST_FPERIOD_OVERRIDE=FQ","FILING_STATUS=MR","Sort=A","Dates=H","DateFormat=P","Fill=—","Direction=H","UseDPDF=Y")</f>
        <v>0</v>
      </c>
      <c r="V70" s="14">
        <f>_xll.BDH("NBIX US Equity","EQY_DPS","FQ1 2024","FQ1 2024","Currency=USD","Period=FQ","BEST_FPERIOD_OVERRIDE=FQ","FILING_STATUS=MR","Sort=A","Dates=H","DateFormat=P","Fill=—","Direction=H","UseDPDF=Y")</f>
        <v>0</v>
      </c>
      <c r="W70" s="14">
        <f>_xll.BDH("NBIX US Equity","EQY_DPS","FQ2 2024","FQ2 2024","Currency=USD","Period=FQ","BEST_FPERIOD_OVERRIDE=FQ","FILING_STATUS=MR","Sort=A","Dates=H","DateFormat=P","Fill=—","Direction=H","UseDPDF=Y")</f>
        <v>0</v>
      </c>
      <c r="X70" s="14">
        <f>_xll.BDH("NBIX US Equity","EQY_DPS","FQ3 2024","FQ3 2024","Currency=USD","Period=FQ","BEST_FPERIOD_OVERRIDE=FQ","FILING_STATUS=MR","Sort=A","Dates=H","DateFormat=P","Fill=—","Direction=H","UseDPDF=Y")</f>
        <v>0</v>
      </c>
      <c r="Y70" s="14">
        <f>_xll.BDH("NBIX US Equity","EQY_DPS","FQ4 2024","FQ4 2024","Currency=USD","Period=FQ","BEST_FPERIOD_OVERRIDE=FQ","FILING_STATUS=MR","Sort=A","Dates=H","DateFormat=P","Fill=—","Direction=H","UseDPDF=Y")</f>
        <v>0</v>
      </c>
      <c r="Z70" s="14"/>
      <c r="AA70" s="14"/>
    </row>
    <row r="71" spans="1:27" x14ac:dyDescent="0.25">
      <c r="A71" s="10" t="s">
        <v>405</v>
      </c>
      <c r="B71" s="10" t="s">
        <v>406</v>
      </c>
      <c r="C71" s="13">
        <f>_xll.BDH("NBIX US Equity","IS_TOT_CASH_COM_DVD","FQ2 2019","FQ2 2019","Currency=USD","Period=FQ","BEST_FPERIOD_OVERRIDE=FQ","FILING_STATUS=MR","SCALING_FORMAT=MLN","Sort=A","Dates=H","DateFormat=P","Fill=—","Direction=H","UseDPDF=Y")</f>
        <v>0</v>
      </c>
      <c r="D71" s="13">
        <f>_xll.BDH("NBIX US Equity","IS_TOT_CASH_COM_DVD","FQ3 2019","FQ3 2019","Currency=USD","Period=FQ","BEST_FPERIOD_OVERRIDE=FQ","FILING_STATUS=MR","SCALING_FORMAT=MLN","Sort=A","Dates=H","DateFormat=P","Fill=—","Direction=H","UseDPDF=Y")</f>
        <v>0</v>
      </c>
      <c r="E71" s="13">
        <f>_xll.BDH("NBIX US Equity","IS_TOT_CASH_COM_DVD","FQ4 2019","FQ4 2019","Currency=USD","Period=FQ","BEST_FPERIOD_OVERRIDE=FQ","FILING_STATUS=MR","SCALING_FORMAT=MLN","Sort=A","Dates=H","DateFormat=P","Fill=—","Direction=H","UseDPDF=Y")</f>
        <v>0</v>
      </c>
      <c r="F71" s="13">
        <f>_xll.BDH("NBIX US Equity","IS_TOT_CASH_COM_DVD","FQ1 2020","FQ1 2020","Currency=USD","Period=FQ","BEST_FPERIOD_OVERRIDE=FQ","FILING_STATUS=MR","SCALING_FORMAT=MLN","Sort=A","Dates=H","DateFormat=P","Fill=—","Direction=H","UseDPDF=Y")</f>
        <v>0</v>
      </c>
      <c r="G71" s="13">
        <f>_xll.BDH("NBIX US Equity","IS_TOT_CASH_COM_DVD","FQ2 2020","FQ2 2020","Currency=USD","Period=FQ","BEST_FPERIOD_OVERRIDE=FQ","FILING_STATUS=MR","SCALING_FORMAT=MLN","Sort=A","Dates=H","DateFormat=P","Fill=—","Direction=H","UseDPDF=Y")</f>
        <v>0</v>
      </c>
      <c r="H71" s="13">
        <f>_xll.BDH("NBIX US Equity","IS_TOT_CASH_COM_DVD","FQ3 2020","FQ3 2020","Currency=USD","Period=FQ","BEST_FPERIOD_OVERRIDE=FQ","FILING_STATUS=MR","SCALING_FORMAT=MLN","Sort=A","Dates=H","DateFormat=P","Fill=—","Direction=H","UseDPDF=Y")</f>
        <v>0</v>
      </c>
      <c r="I71" s="13">
        <f>_xll.BDH("NBIX US Equity","IS_TOT_CASH_COM_DVD","FQ4 2020","FQ4 2020","Currency=USD","Period=FQ","BEST_FPERIOD_OVERRIDE=FQ","FILING_STATUS=MR","SCALING_FORMAT=MLN","Sort=A","Dates=H","DateFormat=P","Fill=—","Direction=H","UseDPDF=Y")</f>
        <v>0</v>
      </c>
      <c r="J71" s="13">
        <f>_xll.BDH("NBIX US Equity","IS_TOT_CASH_COM_DVD","FQ1 2021","FQ1 2021","Currency=USD","Period=FQ","BEST_FPERIOD_OVERRIDE=FQ","FILING_STATUS=MR","SCALING_FORMAT=MLN","Sort=A","Dates=H","DateFormat=P","Fill=—","Direction=H","UseDPDF=Y")</f>
        <v>0</v>
      </c>
      <c r="K71" s="13">
        <f>_xll.BDH("NBIX US Equity","IS_TOT_CASH_COM_DVD","FQ2 2021","FQ2 2021","Currency=USD","Period=FQ","BEST_FPERIOD_OVERRIDE=FQ","FILING_STATUS=MR","SCALING_FORMAT=MLN","Sort=A","Dates=H","DateFormat=P","Fill=—","Direction=H","UseDPDF=Y")</f>
        <v>0</v>
      </c>
      <c r="L71" s="13">
        <f>_xll.BDH("NBIX US Equity","IS_TOT_CASH_COM_DVD","FQ3 2021","FQ3 2021","Currency=USD","Period=FQ","BEST_FPERIOD_OVERRIDE=FQ","FILING_STATUS=MR","SCALING_FORMAT=MLN","Sort=A","Dates=H","DateFormat=P","Fill=—","Direction=H","UseDPDF=Y")</f>
        <v>0</v>
      </c>
      <c r="M71" s="13">
        <f>_xll.BDH("NBIX US Equity","IS_TOT_CASH_COM_DVD","FQ4 2021","FQ4 2021","Currency=USD","Period=FQ","BEST_FPERIOD_OVERRIDE=FQ","FILING_STATUS=MR","SCALING_FORMAT=MLN","Sort=A","Dates=H","DateFormat=P","Fill=—","Direction=H","UseDPDF=Y")</f>
        <v>0</v>
      </c>
      <c r="N71" s="13">
        <f>_xll.BDH("NBIX US Equity","IS_TOT_CASH_COM_DVD","FQ1 2022","FQ1 2022","Currency=USD","Period=FQ","BEST_FPERIOD_OVERRIDE=FQ","FILING_STATUS=MR","SCALING_FORMAT=MLN","Sort=A","Dates=H","DateFormat=P","Fill=—","Direction=H","UseDPDF=Y")</f>
        <v>0</v>
      </c>
      <c r="O71" s="13">
        <f>_xll.BDH("NBIX US Equity","IS_TOT_CASH_COM_DVD","FQ2 2022","FQ2 2022","Currency=USD","Period=FQ","BEST_FPERIOD_OVERRIDE=FQ","FILING_STATUS=MR","SCALING_FORMAT=MLN","Sort=A","Dates=H","DateFormat=P","Fill=—","Direction=H","UseDPDF=Y")</f>
        <v>0</v>
      </c>
      <c r="P71" s="13">
        <f>_xll.BDH("NBIX US Equity","IS_TOT_CASH_COM_DVD","FQ3 2022","FQ3 2022","Currency=USD","Period=FQ","BEST_FPERIOD_OVERRIDE=FQ","FILING_STATUS=MR","SCALING_FORMAT=MLN","Sort=A","Dates=H","DateFormat=P","Fill=—","Direction=H","UseDPDF=Y")</f>
        <v>0</v>
      </c>
      <c r="Q71" s="13">
        <f>_xll.BDH("NBIX US Equity","IS_TOT_CASH_COM_DVD","FQ4 2022","FQ4 2022","Currency=USD","Period=FQ","BEST_FPERIOD_OVERRIDE=FQ","FILING_STATUS=MR","SCALING_FORMAT=MLN","Sort=A","Dates=H","DateFormat=P","Fill=—","Direction=H","UseDPDF=Y")</f>
        <v>0</v>
      </c>
      <c r="R71" s="13">
        <f>_xll.BDH("NBIX US Equity","IS_TOT_CASH_COM_DVD","FQ1 2023","FQ1 2023","Currency=USD","Period=FQ","BEST_FPERIOD_OVERRIDE=FQ","FILING_STATUS=MR","SCALING_FORMAT=MLN","Sort=A","Dates=H","DateFormat=P","Fill=—","Direction=H","UseDPDF=Y")</f>
        <v>0</v>
      </c>
      <c r="S71" s="13">
        <f>_xll.BDH("NBIX US Equity","IS_TOT_CASH_COM_DVD","FQ2 2023","FQ2 2023","Currency=USD","Period=FQ","BEST_FPERIOD_OVERRIDE=FQ","FILING_STATUS=MR","SCALING_FORMAT=MLN","Sort=A","Dates=H","DateFormat=P","Fill=—","Direction=H","UseDPDF=Y")</f>
        <v>0</v>
      </c>
      <c r="T71" s="13">
        <f>_xll.BDH("NBIX US Equity","IS_TOT_CASH_COM_DVD","FQ3 2023","FQ3 2023","Currency=USD","Period=FQ","BEST_FPERIOD_OVERRIDE=FQ","FILING_STATUS=MR","SCALING_FORMAT=MLN","Sort=A","Dates=H","DateFormat=P","Fill=—","Direction=H","UseDPDF=Y")</f>
        <v>0</v>
      </c>
      <c r="U71" s="13">
        <f>_xll.BDH("NBIX US Equity","IS_TOT_CASH_COM_DVD","FQ4 2023","FQ4 2023","Currency=USD","Period=FQ","BEST_FPERIOD_OVERRIDE=FQ","FILING_STATUS=MR","SCALING_FORMAT=MLN","Sort=A","Dates=H","DateFormat=P","Fill=—","Direction=H","UseDPDF=Y")</f>
        <v>0</v>
      </c>
      <c r="V71" s="13">
        <f>_xll.BDH("NBIX US Equity","IS_TOT_CASH_COM_DVD","FQ1 2024","FQ1 2024","Currency=USD","Period=FQ","BEST_FPERIOD_OVERRIDE=FQ","FILING_STATUS=MR","SCALING_FORMAT=MLN","Sort=A","Dates=H","DateFormat=P","Fill=—","Direction=H","UseDPDF=Y")</f>
        <v>0</v>
      </c>
      <c r="W71" s="13">
        <f>_xll.BDH("NBIX US Equity","IS_TOT_CASH_COM_DVD","FQ2 2024","FQ2 2024","Currency=USD","Period=FQ","BEST_FPERIOD_OVERRIDE=FQ","FILING_STATUS=MR","SCALING_FORMAT=MLN","Sort=A","Dates=H","DateFormat=P","Fill=—","Direction=H","UseDPDF=Y")</f>
        <v>0</v>
      </c>
      <c r="X71" s="13">
        <f>_xll.BDH("NBIX US Equity","IS_TOT_CASH_COM_DVD","FQ3 2024","FQ3 2024","Currency=USD","Period=FQ","BEST_FPERIOD_OVERRIDE=FQ","FILING_STATUS=MR","SCALING_FORMAT=MLN","Sort=A","Dates=H","DateFormat=P","Fill=—","Direction=H","UseDPDF=Y")</f>
        <v>0</v>
      </c>
      <c r="Y71" s="13">
        <f>_xll.BDH("NBIX US Equity","IS_TOT_CASH_COM_DVD","FQ4 2024","FQ4 2024","Currency=USD","Period=FQ","BEST_FPERIOD_OVERRIDE=FQ","FILING_STATUS=MR","SCALING_FORMAT=MLN","Sort=A","Dates=H","DateFormat=P","Fill=—","Direction=H","UseDPDF=Y")</f>
        <v>0</v>
      </c>
      <c r="Z71" s="13"/>
      <c r="AA71" s="13"/>
    </row>
    <row r="72" spans="1:27" x14ac:dyDescent="0.25">
      <c r="A72" s="10" t="s">
        <v>407</v>
      </c>
      <c r="B72" s="10" t="s">
        <v>408</v>
      </c>
      <c r="C72" s="13">
        <f>_xll.BDH("NBIX US Equity","IS_CAP_INT_EXP","FQ2 2019","FQ2 2019","Currency=USD","Period=FQ","BEST_FPERIOD_OVERRIDE=FQ","FILING_STATUS=MR","SCALING_FORMAT=MLN","Sort=A","Dates=H","DateFormat=P","Fill=—","Direction=H","UseDPDF=Y")</f>
        <v>0</v>
      </c>
      <c r="D72" s="13">
        <f>_xll.BDH("NBIX US Equity","IS_CAP_INT_EXP","FQ3 2019","FQ3 2019","Currency=USD","Period=FQ","BEST_FPERIOD_OVERRIDE=FQ","FILING_STATUS=MR","SCALING_FORMAT=MLN","Sort=A","Dates=H","DateFormat=P","Fill=—","Direction=H","UseDPDF=Y")</f>
        <v>0</v>
      </c>
      <c r="E72" s="13" t="str">
        <f>_xll.BDH("NBIX US Equity","IS_CAP_INT_EXP","FQ4 2019","FQ4 2019","Currency=USD","Period=FQ","BEST_FPERIOD_OVERRIDE=FQ","FILING_STATUS=MR","SCALING_FORMAT=MLN","Sort=A","Dates=H","DateFormat=P","Fill=—","Direction=H","UseDPDF=Y")</f>
        <v>—</v>
      </c>
      <c r="F72" s="13" t="str">
        <f>_xll.BDH("NBIX US Equity","IS_CAP_INT_EXP","FQ1 2020","FQ1 2020","Currency=USD","Period=FQ","BEST_FPERIOD_OVERRIDE=FQ","FILING_STATUS=MR","SCALING_FORMAT=MLN","Sort=A","Dates=H","DateFormat=P","Fill=—","Direction=H","UseDPDF=Y")</f>
        <v>—</v>
      </c>
      <c r="G72" s="13" t="str">
        <f>_xll.BDH("NBIX US Equity","IS_CAP_INT_EXP","FQ2 2020","FQ2 2020","Currency=USD","Period=FQ","BEST_FPERIOD_OVERRIDE=FQ","FILING_STATUS=MR","SCALING_FORMAT=MLN","Sort=A","Dates=H","DateFormat=P","Fill=—","Direction=H","UseDPDF=Y")</f>
        <v>—</v>
      </c>
      <c r="H72" s="13" t="str">
        <f>_xll.BDH("NBIX US Equity","IS_CAP_INT_EXP","FQ3 2020","FQ3 2020","Currency=USD","Period=FQ","BEST_FPERIOD_OVERRIDE=FQ","FILING_STATUS=MR","SCALING_FORMAT=MLN","Sort=A","Dates=H","DateFormat=P","Fill=—","Direction=H","UseDPDF=Y")</f>
        <v>—</v>
      </c>
      <c r="I72" s="13" t="str">
        <f>_xll.BDH("NBIX US Equity","IS_CAP_INT_EXP","FQ4 2020","FQ4 2020","Currency=USD","Period=FQ","BEST_FPERIOD_OVERRIDE=FQ","FILING_STATUS=MR","SCALING_FORMAT=MLN","Sort=A","Dates=H","DateFormat=P","Fill=—","Direction=H","UseDPDF=Y")</f>
        <v>—</v>
      </c>
      <c r="J72" s="13" t="str">
        <f>_xll.BDH("NBIX US Equity","IS_CAP_INT_EXP","FQ1 2021","FQ1 2021","Currency=USD","Period=FQ","BEST_FPERIOD_OVERRIDE=FQ","FILING_STATUS=MR","SCALING_FORMAT=MLN","Sort=A","Dates=H","DateFormat=P","Fill=—","Direction=H","UseDPDF=Y")</f>
        <v>—</v>
      </c>
      <c r="K72" s="13" t="str">
        <f>_xll.BDH("NBIX US Equity","IS_CAP_INT_EXP","FQ2 2021","FQ2 2021","Currency=USD","Period=FQ","BEST_FPERIOD_OVERRIDE=FQ","FILING_STATUS=MR","SCALING_FORMAT=MLN","Sort=A","Dates=H","DateFormat=P","Fill=—","Direction=H","UseDPDF=Y")</f>
        <v>—</v>
      </c>
      <c r="L72" s="13" t="str">
        <f>_xll.BDH("NBIX US Equity","IS_CAP_INT_EXP","FQ3 2021","FQ3 2021","Currency=USD","Period=FQ","BEST_FPERIOD_OVERRIDE=FQ","FILING_STATUS=MR","SCALING_FORMAT=MLN","Sort=A","Dates=H","DateFormat=P","Fill=—","Direction=H","UseDPDF=Y")</f>
        <v>—</v>
      </c>
      <c r="M72" s="13" t="str">
        <f>_xll.BDH("NBIX US Equity","IS_CAP_INT_EXP","FQ4 2021","FQ4 2021","Currency=USD","Period=FQ","BEST_FPERIOD_OVERRIDE=FQ","FILING_STATUS=MR","SCALING_FORMAT=MLN","Sort=A","Dates=H","DateFormat=P","Fill=—","Direction=H","UseDPDF=Y")</f>
        <v>—</v>
      </c>
      <c r="N72" s="13" t="str">
        <f>_xll.BDH("NBIX US Equity","IS_CAP_INT_EXP","FQ1 2022","FQ1 2022","Currency=USD","Period=FQ","BEST_FPERIOD_OVERRIDE=FQ","FILING_STATUS=MR","SCALING_FORMAT=MLN","Sort=A","Dates=H","DateFormat=P","Fill=—","Direction=H","UseDPDF=Y")</f>
        <v>—</v>
      </c>
      <c r="O72" s="13" t="str">
        <f>_xll.BDH("NBIX US Equity","IS_CAP_INT_EXP","FQ2 2022","FQ2 2022","Currency=USD","Period=FQ","BEST_FPERIOD_OVERRIDE=FQ","FILING_STATUS=MR","SCALING_FORMAT=MLN","Sort=A","Dates=H","DateFormat=P","Fill=—","Direction=H","UseDPDF=Y")</f>
        <v>—</v>
      </c>
      <c r="P72" s="13" t="str">
        <f>_xll.BDH("NBIX US Equity","IS_CAP_INT_EXP","FQ3 2022","FQ3 2022","Currency=USD","Period=FQ","BEST_FPERIOD_OVERRIDE=FQ","FILING_STATUS=MR","SCALING_FORMAT=MLN","Sort=A","Dates=H","DateFormat=P","Fill=—","Direction=H","UseDPDF=Y")</f>
        <v>—</v>
      </c>
      <c r="Q72" s="13" t="str">
        <f>_xll.BDH("NBIX US Equity","IS_CAP_INT_EXP","FQ4 2022","FQ4 2022","Currency=USD","Period=FQ","BEST_FPERIOD_OVERRIDE=FQ","FILING_STATUS=MR","SCALING_FORMAT=MLN","Sort=A","Dates=H","DateFormat=P","Fill=—","Direction=H","UseDPDF=Y")</f>
        <v>—</v>
      </c>
      <c r="R72" s="13" t="str">
        <f>_xll.BDH("NBIX US Equity","IS_CAP_INT_EXP","FQ1 2023","FQ1 2023","Currency=USD","Period=FQ","BEST_FPERIOD_OVERRIDE=FQ","FILING_STATUS=MR","SCALING_FORMAT=MLN","Sort=A","Dates=H","DateFormat=P","Fill=—","Direction=H","UseDPDF=Y")</f>
        <v>—</v>
      </c>
      <c r="S72" s="13" t="str">
        <f>_xll.BDH("NBIX US Equity","IS_CAP_INT_EXP","FQ2 2023","FQ2 2023","Currency=USD","Period=FQ","BEST_FPERIOD_OVERRIDE=FQ","FILING_STATUS=MR","SCALING_FORMAT=MLN","Sort=A","Dates=H","DateFormat=P","Fill=—","Direction=H","UseDPDF=Y")</f>
        <v>—</v>
      </c>
      <c r="T72" s="13" t="str">
        <f>_xll.BDH("NBIX US Equity","IS_CAP_INT_EXP","FQ3 2023","FQ3 2023","Currency=USD","Period=FQ","BEST_FPERIOD_OVERRIDE=FQ","FILING_STATUS=MR","SCALING_FORMAT=MLN","Sort=A","Dates=H","DateFormat=P","Fill=—","Direction=H","UseDPDF=Y")</f>
        <v>—</v>
      </c>
      <c r="U72" s="13" t="str">
        <f>_xll.BDH("NBIX US Equity","IS_CAP_INT_EXP","FQ4 2023","FQ4 2023","Currency=USD","Period=FQ","BEST_FPERIOD_OVERRIDE=FQ","FILING_STATUS=MR","SCALING_FORMAT=MLN","Sort=A","Dates=H","DateFormat=P","Fill=—","Direction=H","UseDPDF=Y")</f>
        <v>—</v>
      </c>
      <c r="V72" s="13" t="str">
        <f>_xll.BDH("NBIX US Equity","IS_CAP_INT_EXP","FQ1 2024","FQ1 2024","Currency=USD","Period=FQ","BEST_FPERIOD_OVERRIDE=FQ","FILING_STATUS=MR","SCALING_FORMAT=MLN","Sort=A","Dates=H","DateFormat=P","Fill=—","Direction=H","UseDPDF=Y")</f>
        <v>—</v>
      </c>
      <c r="W72" s="13" t="str">
        <f>_xll.BDH("NBIX US Equity","IS_CAP_INT_EXP","FQ2 2024","FQ2 2024","Currency=USD","Period=FQ","BEST_FPERIOD_OVERRIDE=FQ","FILING_STATUS=MR","SCALING_FORMAT=MLN","Sort=A","Dates=H","DateFormat=P","Fill=—","Direction=H","UseDPDF=Y")</f>
        <v>—</v>
      </c>
      <c r="X72" s="13" t="str">
        <f>_xll.BDH("NBIX US Equity","IS_CAP_INT_EXP","FQ3 2024","FQ3 2024","Currency=USD","Period=FQ","BEST_FPERIOD_OVERRIDE=FQ","FILING_STATUS=MR","SCALING_FORMAT=MLN","Sort=A","Dates=H","DateFormat=P","Fill=—","Direction=H","UseDPDF=Y")</f>
        <v>—</v>
      </c>
      <c r="Y72" s="13" t="str">
        <f>_xll.BDH("NBIX US Equity","IS_CAP_INT_EXP","FQ4 2024","FQ4 2024","Currency=USD","Period=FQ","BEST_FPERIOD_OVERRIDE=FQ","FILING_STATUS=MR","SCALING_FORMAT=MLN","Sort=A","Dates=H","DateFormat=P","Fill=—","Direction=H","UseDPDF=Y")</f>
        <v>—</v>
      </c>
      <c r="Z72" s="13"/>
      <c r="AA72" s="13"/>
    </row>
    <row r="73" spans="1:27" x14ac:dyDescent="0.25">
      <c r="A73" s="10" t="s">
        <v>409</v>
      </c>
      <c r="B73" s="10" t="s">
        <v>410</v>
      </c>
      <c r="C73" s="13" t="str">
        <f>_xll.BDH("NBIX US Equity","IS_DEPR_EXP","FQ2 2019","FQ2 2019","Currency=USD","Period=FQ","BEST_FPERIOD_OVERRIDE=FQ","FILING_STATUS=MR","SCALING_FORMAT=MLN","Sort=A","Dates=H","DateFormat=P","Fill=—","Direction=H","UseDPDF=Y")</f>
        <v>—</v>
      </c>
      <c r="D73" s="13" t="str">
        <f>_xll.BDH("NBIX US Equity","IS_DEPR_EXP","FQ3 2019","FQ3 2019","Currency=USD","Period=FQ","BEST_FPERIOD_OVERRIDE=FQ","FILING_STATUS=MR","SCALING_FORMAT=MLN","Sort=A","Dates=H","DateFormat=P","Fill=—","Direction=H","UseDPDF=Y")</f>
        <v>—</v>
      </c>
      <c r="E73" s="13">
        <f>_xll.BDH("NBIX US Equity","IS_DEPR_EXP","FQ4 2019","FQ4 2019","Currency=USD","Period=FQ","BEST_FPERIOD_OVERRIDE=FQ","FILING_STATUS=MR","SCALING_FORMAT=MLN","Sort=A","Dates=H","DateFormat=P","Fill=—","Direction=H","UseDPDF=Y")</f>
        <v>2.0390000000000001</v>
      </c>
      <c r="F73" s="13">
        <f>_xll.BDH("NBIX US Equity","IS_DEPR_EXP","FQ1 2020","FQ1 2020","Currency=USD","Period=FQ","BEST_FPERIOD_OVERRIDE=FQ","FILING_STATUS=MR","SCALING_FORMAT=MLN","Sort=A","Dates=H","DateFormat=P","Fill=—","Direction=H","UseDPDF=Y")</f>
        <v>2.1</v>
      </c>
      <c r="G73" s="13">
        <f>_xll.BDH("NBIX US Equity","IS_DEPR_EXP","FQ2 2020","FQ2 2020","Currency=USD","Period=FQ","BEST_FPERIOD_OVERRIDE=FQ","FILING_STATUS=MR","SCALING_FORMAT=MLN","Sort=A","Dates=H","DateFormat=P","Fill=—","Direction=H","UseDPDF=Y")</f>
        <v>2.1</v>
      </c>
      <c r="H73" s="13">
        <f>_xll.BDH("NBIX US Equity","IS_DEPR_EXP","FQ3 2020","FQ3 2020","Currency=USD","Period=FQ","BEST_FPERIOD_OVERRIDE=FQ","FILING_STATUS=MR","SCALING_FORMAT=MLN","Sort=A","Dates=H","DateFormat=P","Fill=—","Direction=H","UseDPDF=Y")</f>
        <v>2.2000000000000002</v>
      </c>
      <c r="I73" s="13">
        <f>_xll.BDH("NBIX US Equity","IS_DEPR_EXP","FQ4 2020","FQ4 2020","Currency=USD","Period=FQ","BEST_FPERIOD_OVERRIDE=FQ","FILING_STATUS=MR","SCALING_FORMAT=MLN","Sort=A","Dates=H","DateFormat=P","Fill=—","Direction=H","UseDPDF=Y")</f>
        <v>2.2000000000000002</v>
      </c>
      <c r="J73" s="13">
        <f>_xll.BDH("NBIX US Equity","IS_DEPR_EXP","FQ1 2021","FQ1 2021","Currency=USD","Period=FQ","BEST_FPERIOD_OVERRIDE=FQ","FILING_STATUS=MR","SCALING_FORMAT=MLN","Sort=A","Dates=H","DateFormat=P","Fill=—","Direction=H","UseDPDF=Y")</f>
        <v>2.5</v>
      </c>
      <c r="K73" s="13">
        <f>_xll.BDH("NBIX US Equity","IS_DEPR_EXP","FQ2 2021","FQ2 2021","Currency=USD","Period=FQ","BEST_FPERIOD_OVERRIDE=FQ","FILING_STATUS=MR","SCALING_FORMAT=MLN","Sort=A","Dates=H","DateFormat=P","Fill=—","Direction=H","UseDPDF=Y")</f>
        <v>2.6</v>
      </c>
      <c r="L73" s="13">
        <f>_xll.BDH("NBIX US Equity","IS_DEPR_EXP","FQ3 2021","FQ3 2021","Currency=USD","Period=FQ","BEST_FPERIOD_OVERRIDE=FQ","FILING_STATUS=MR","SCALING_FORMAT=MLN","Sort=A","Dates=H","DateFormat=P","Fill=—","Direction=H","UseDPDF=Y")</f>
        <v>2.8</v>
      </c>
      <c r="M73" s="13">
        <f>_xll.BDH("NBIX US Equity","IS_DEPR_EXP","FQ4 2021","FQ4 2021","Currency=USD","Period=FQ","BEST_FPERIOD_OVERRIDE=FQ","FILING_STATUS=MR","SCALING_FORMAT=MLN","Sort=A","Dates=H","DateFormat=P","Fill=—","Direction=H","UseDPDF=Y")</f>
        <v>3</v>
      </c>
      <c r="N73" s="13">
        <f>_xll.BDH("NBIX US Equity","IS_DEPR_EXP","FQ1 2022","FQ1 2022","Currency=USD","Period=FQ","BEST_FPERIOD_OVERRIDE=FQ","FILING_STATUS=MR","SCALING_FORMAT=MLN","Sort=A","Dates=H","DateFormat=P","Fill=—","Direction=H","UseDPDF=Y")</f>
        <v>3.3</v>
      </c>
      <c r="O73" s="13">
        <f>_xll.BDH("NBIX US Equity","IS_DEPR_EXP","FQ2 2022","FQ2 2022","Currency=USD","Period=FQ","BEST_FPERIOD_OVERRIDE=FQ","FILING_STATUS=MR","SCALING_FORMAT=MLN","Sort=A","Dates=H","DateFormat=P","Fill=—","Direction=H","UseDPDF=Y")</f>
        <v>3.9</v>
      </c>
      <c r="P73" s="13">
        <f>_xll.BDH("NBIX US Equity","IS_DEPR_EXP","FQ3 2022","FQ3 2022","Currency=USD","Period=FQ","BEST_FPERIOD_OVERRIDE=FQ","FILING_STATUS=MR","SCALING_FORMAT=MLN","Sort=A","Dates=H","DateFormat=P","Fill=—","Direction=H","UseDPDF=Y")</f>
        <v>4</v>
      </c>
      <c r="Q73" s="13">
        <f>_xll.BDH("NBIX US Equity","IS_DEPR_EXP","FQ4 2022","FQ4 2022","Currency=USD","Period=FQ","BEST_FPERIOD_OVERRIDE=FQ","FILING_STATUS=MR","SCALING_FORMAT=MLN","Sort=A","Dates=H","DateFormat=P","Fill=—","Direction=H","UseDPDF=Y")</f>
        <v>3.9</v>
      </c>
      <c r="R73" s="13">
        <f>_xll.BDH("NBIX US Equity","IS_DEPR_EXP","FQ1 2023","FQ1 2023","Currency=USD","Period=FQ","BEST_FPERIOD_OVERRIDE=FQ","FILING_STATUS=MR","SCALING_FORMAT=MLN","Sort=A","Dates=H","DateFormat=P","Fill=—","Direction=H","UseDPDF=Y")</f>
        <v>4.0999999999999996</v>
      </c>
      <c r="S73" s="13">
        <f>_xll.BDH("NBIX US Equity","IS_DEPR_EXP","FQ2 2023","FQ2 2023","Currency=USD","Period=FQ","BEST_FPERIOD_OVERRIDE=FQ","FILING_STATUS=MR","SCALING_FORMAT=MLN","Sort=A","Dates=H","DateFormat=P","Fill=—","Direction=H","UseDPDF=Y")</f>
        <v>4.2</v>
      </c>
      <c r="T73" s="13">
        <f>_xll.BDH("NBIX US Equity","IS_DEPR_EXP","FQ3 2023","FQ3 2023","Currency=USD","Period=FQ","BEST_FPERIOD_OVERRIDE=FQ","FILING_STATUS=MR","SCALING_FORMAT=MLN","Sort=A","Dates=H","DateFormat=P","Fill=—","Direction=H","UseDPDF=Y")</f>
        <v>4.5999999999999996</v>
      </c>
      <c r="U73" s="13">
        <f>_xll.BDH("NBIX US Equity","IS_DEPR_EXP","FQ4 2023","FQ4 2023","Currency=USD","Period=FQ","BEST_FPERIOD_OVERRIDE=FQ","FILING_STATUS=MR","SCALING_FORMAT=MLN","Sort=A","Dates=H","DateFormat=P","Fill=—","Direction=H","UseDPDF=Y")</f>
        <v>4.9000000000000004</v>
      </c>
      <c r="V73" s="13">
        <f>_xll.BDH("NBIX US Equity","IS_DEPR_EXP","FQ1 2024","FQ1 2024","Currency=USD","Period=FQ","BEST_FPERIOD_OVERRIDE=FQ","FILING_STATUS=MR","SCALING_FORMAT=MLN","Sort=A","Dates=H","DateFormat=P","Fill=—","Direction=H","UseDPDF=Y")</f>
        <v>5.3</v>
      </c>
      <c r="W73" s="13">
        <f>_xll.BDH("NBIX US Equity","IS_DEPR_EXP","FQ2 2024","FQ2 2024","Currency=USD","Period=FQ","BEST_FPERIOD_OVERRIDE=FQ","FILING_STATUS=MR","SCALING_FORMAT=MLN","Sort=A","Dates=H","DateFormat=P","Fill=—","Direction=H","UseDPDF=Y")</f>
        <v>6.4</v>
      </c>
      <c r="X73" s="13">
        <f>_xll.BDH("NBIX US Equity","IS_DEPR_EXP","FQ3 2024","FQ3 2024","Currency=USD","Period=FQ","BEST_FPERIOD_OVERRIDE=FQ","FILING_STATUS=MR","SCALING_FORMAT=MLN","Sort=A","Dates=H","DateFormat=P","Fill=—","Direction=H","UseDPDF=Y")</f>
        <v>5.6</v>
      </c>
      <c r="Y73" s="13">
        <f>_xll.BDH("NBIX US Equity","IS_DEPR_EXP","FQ4 2024","FQ4 2024","Currency=USD","Period=FQ","BEST_FPERIOD_OVERRIDE=FQ","FILING_STATUS=MR","SCALING_FORMAT=MLN","Sort=A","Dates=H","DateFormat=P","Fill=—","Direction=H","UseDPDF=Y")</f>
        <v>6.2</v>
      </c>
      <c r="Z73" s="13"/>
      <c r="AA73" s="13"/>
    </row>
    <row r="74" spans="1:27" x14ac:dyDescent="0.25">
      <c r="A74" s="10" t="s">
        <v>411</v>
      </c>
      <c r="B74" s="10" t="s">
        <v>412</v>
      </c>
      <c r="C74" s="13">
        <f>_xll.BDH("NBIX US Equity","BS_CURR_RENTAL_EXPENSE","FQ2 2019","FQ2 2019","Currency=USD","Period=FQ","BEST_FPERIOD_OVERRIDE=FQ","FILING_STATUS=MR","SCALING_FORMAT=MLN","Sort=A","Dates=H","DateFormat=P","Fill=—","Direction=H","UseDPDF=Y")</f>
        <v>2</v>
      </c>
      <c r="D74" s="13">
        <f>_xll.BDH("NBIX US Equity","BS_CURR_RENTAL_EXPENSE","FQ3 2019","FQ3 2019","Currency=USD","Period=FQ","BEST_FPERIOD_OVERRIDE=FQ","FILING_STATUS=MR","SCALING_FORMAT=MLN","Sort=A","Dates=H","DateFormat=P","Fill=—","Direction=H","UseDPDF=Y")</f>
        <v>2</v>
      </c>
      <c r="E74" s="13">
        <f>_xll.BDH("NBIX US Equity","BS_CURR_RENTAL_EXPENSE","FQ4 2019","FQ4 2019","Currency=USD","Period=FQ","BEST_FPERIOD_OVERRIDE=FQ","FILING_STATUS=MR","SCALING_FORMAT=MLN","Sort=A","Dates=H","DateFormat=P","Fill=—","Direction=H","UseDPDF=Y")</f>
        <v>2.2000000000000002</v>
      </c>
      <c r="F74" s="13">
        <f>_xll.BDH("NBIX US Equity","BS_CURR_RENTAL_EXPENSE","FQ1 2020","FQ1 2020","Currency=USD","Period=FQ","BEST_FPERIOD_OVERRIDE=FQ","FILING_STATUS=MR","SCALING_FORMAT=MLN","Sort=A","Dates=H","DateFormat=P","Fill=—","Direction=H","UseDPDF=Y")</f>
        <v>2.5</v>
      </c>
      <c r="G74" s="13">
        <f>_xll.BDH("NBIX US Equity","BS_CURR_RENTAL_EXPENSE","FQ2 2020","FQ2 2020","Currency=USD","Period=FQ","BEST_FPERIOD_OVERRIDE=FQ","FILING_STATUS=MR","SCALING_FORMAT=MLN","Sort=A","Dates=H","DateFormat=P","Fill=—","Direction=H","UseDPDF=Y")</f>
        <v>2.5</v>
      </c>
      <c r="H74" s="13">
        <f>_xll.BDH("NBIX US Equity","BS_CURR_RENTAL_EXPENSE","FQ3 2020","FQ3 2020","Currency=USD","Period=FQ","BEST_FPERIOD_OVERRIDE=FQ","FILING_STATUS=MR","SCALING_FORMAT=MLN","Sort=A","Dates=H","DateFormat=P","Fill=—","Direction=H","UseDPDF=Y")</f>
        <v>2.4</v>
      </c>
      <c r="I74" s="13">
        <f>_xll.BDH("NBIX US Equity","BS_CURR_RENTAL_EXPENSE","FQ4 2020","FQ4 2020","Currency=USD","Period=FQ","BEST_FPERIOD_OVERRIDE=FQ","FILING_STATUS=MR","SCALING_FORMAT=MLN","Sort=A","Dates=H","DateFormat=P","Fill=—","Direction=H","UseDPDF=Y")</f>
        <v>2.7</v>
      </c>
      <c r="J74" s="13">
        <f>_xll.BDH("NBIX US Equity","BS_CURR_RENTAL_EXPENSE","FQ1 2021","FQ1 2021","Currency=USD","Period=FQ","BEST_FPERIOD_OVERRIDE=FQ","FILING_STATUS=MR","SCALING_FORMAT=MLN","Sort=A","Dates=H","DateFormat=P","Fill=—","Direction=H","UseDPDF=Y")</f>
        <v>3.4</v>
      </c>
      <c r="K74" s="13">
        <f>_xll.BDH("NBIX US Equity","BS_CURR_RENTAL_EXPENSE","FQ2 2021","FQ2 2021","Currency=USD","Period=FQ","BEST_FPERIOD_OVERRIDE=FQ","FILING_STATUS=MR","SCALING_FORMAT=MLN","Sort=A","Dates=H","DateFormat=P","Fill=—","Direction=H","UseDPDF=Y")</f>
        <v>3.9</v>
      </c>
      <c r="L74" s="13">
        <f>_xll.BDH("NBIX US Equity","BS_CURR_RENTAL_EXPENSE","FQ3 2021","FQ3 2021","Currency=USD","Period=FQ","BEST_FPERIOD_OVERRIDE=FQ","FILING_STATUS=MR","SCALING_FORMAT=MLN","Sort=A","Dates=H","DateFormat=P","Fill=—","Direction=H","UseDPDF=Y")</f>
        <v>3.9</v>
      </c>
      <c r="M74" s="13">
        <f>_xll.BDH("NBIX US Equity","BS_CURR_RENTAL_EXPENSE","FQ4 2021","FQ4 2021","Currency=USD","Period=FQ","BEST_FPERIOD_OVERRIDE=FQ","FILING_STATUS=MR","SCALING_FORMAT=MLN","Sort=A","Dates=H","DateFormat=P","Fill=—","Direction=H","UseDPDF=Y")</f>
        <v>4.0999999999999996</v>
      </c>
      <c r="N74" s="13">
        <f>_xll.BDH("NBIX US Equity","BS_CURR_RENTAL_EXPENSE","FQ1 2022","FQ1 2022","Currency=USD","Period=FQ","BEST_FPERIOD_OVERRIDE=FQ","FILING_STATUS=MR","SCALING_FORMAT=MLN","Sort=A","Dates=H","DateFormat=P","Fill=—","Direction=H","UseDPDF=Y")</f>
        <v>4.0999999999999996</v>
      </c>
      <c r="O74" s="13">
        <f>_xll.BDH("NBIX US Equity","BS_CURR_RENTAL_EXPENSE","FQ2 2022","FQ2 2022","Currency=USD","Period=FQ","BEST_FPERIOD_OVERRIDE=FQ","FILING_STATUS=MR","SCALING_FORMAT=MLN","Sort=A","Dates=H","DateFormat=P","Fill=—","Direction=H","UseDPDF=Y")</f>
        <v>4.0999999999999996</v>
      </c>
      <c r="P74" s="13">
        <f>_xll.BDH("NBIX US Equity","BS_CURR_RENTAL_EXPENSE","FQ3 2022","FQ3 2022","Currency=USD","Period=FQ","BEST_FPERIOD_OVERRIDE=FQ","FILING_STATUS=MR","SCALING_FORMAT=MLN","Sort=A","Dates=H","DateFormat=P","Fill=—","Direction=H","UseDPDF=Y")</f>
        <v>4.3</v>
      </c>
      <c r="Q74" s="13">
        <f>_xll.BDH("NBIX US Equity","BS_CURR_RENTAL_EXPENSE","FQ4 2022","FQ4 2022","Currency=USD","Period=FQ","BEST_FPERIOD_OVERRIDE=FQ","FILING_STATUS=MR","SCALING_FORMAT=MLN","Sort=A","Dates=H","DateFormat=P","Fill=—","Direction=H","UseDPDF=Y")</f>
        <v>3.8</v>
      </c>
      <c r="R74" s="13">
        <f>_xll.BDH("NBIX US Equity","BS_CURR_RENTAL_EXPENSE","FQ1 2023","FQ1 2023","Currency=USD","Period=FQ","BEST_FPERIOD_OVERRIDE=FQ","FILING_STATUS=MR","SCALING_FORMAT=MLN","Sort=A","Dates=H","DateFormat=P","Fill=—","Direction=H","UseDPDF=Y")</f>
        <v>4.0999999999999996</v>
      </c>
      <c r="S74" s="13">
        <f>_xll.BDH("NBIX US Equity","BS_CURR_RENTAL_EXPENSE","FQ2 2023","FQ2 2023","Currency=USD","Period=FQ","BEST_FPERIOD_OVERRIDE=FQ","FILING_STATUS=MR","SCALING_FORMAT=MLN","Sort=A","Dates=H","DateFormat=P","Fill=—","Direction=H","UseDPDF=Y")</f>
        <v>4.0999999999999996</v>
      </c>
      <c r="T74" s="13">
        <f>_xll.BDH("NBIX US Equity","BS_CURR_RENTAL_EXPENSE","FQ3 2023","FQ3 2023","Currency=USD","Period=FQ","BEST_FPERIOD_OVERRIDE=FQ","FILING_STATUS=MR","SCALING_FORMAT=MLN","Sort=A","Dates=H","DateFormat=P","Fill=—","Direction=H","UseDPDF=Y")</f>
        <v>3.8</v>
      </c>
      <c r="U74" s="13">
        <f>_xll.BDH("NBIX US Equity","BS_CURR_RENTAL_EXPENSE","FQ4 2023","FQ4 2023","Currency=USD","Period=FQ","BEST_FPERIOD_OVERRIDE=FQ","FILING_STATUS=MR","SCALING_FORMAT=MLN","Sort=A","Dates=H","DateFormat=P","Fill=—","Direction=H","UseDPDF=Y")</f>
        <v>4.4000000000000004</v>
      </c>
      <c r="V74" s="13">
        <f>_xll.BDH("NBIX US Equity","BS_CURR_RENTAL_EXPENSE","FQ1 2024","FQ1 2024","Currency=USD","Period=FQ","BEST_FPERIOD_OVERRIDE=FQ","FILING_STATUS=MR","SCALING_FORMAT=MLN","Sort=A","Dates=H","DateFormat=P","Fill=—","Direction=H","UseDPDF=Y")</f>
        <v>9</v>
      </c>
      <c r="W74" s="13">
        <f>_xll.BDH("NBIX US Equity","BS_CURR_RENTAL_EXPENSE","FQ2 2024","FQ2 2024","Currency=USD","Period=FQ","BEST_FPERIOD_OVERRIDE=FQ","FILING_STATUS=MR","SCALING_FORMAT=MLN","Sort=A","Dates=H","DateFormat=P","Fill=—","Direction=H","UseDPDF=Y")</f>
        <v>9.1999999999999993</v>
      </c>
      <c r="X74" s="13">
        <f>_xll.BDH("NBIX US Equity","BS_CURR_RENTAL_EXPENSE","FQ3 2024","FQ3 2024","Currency=USD","Period=FQ","BEST_FPERIOD_OVERRIDE=FQ","FILING_STATUS=MR","SCALING_FORMAT=MLN","Sort=A","Dates=H","DateFormat=P","Fill=—","Direction=H","UseDPDF=Y")</f>
        <v>8.8000000000000007</v>
      </c>
      <c r="Y74" s="13">
        <f>_xll.BDH("NBIX US Equity","BS_CURR_RENTAL_EXPENSE","FQ4 2024","FQ4 2024","Currency=USD","Period=FQ","BEST_FPERIOD_OVERRIDE=FQ","FILING_STATUS=MR","SCALING_FORMAT=MLN","Sort=A","Dates=H","DateFormat=P","Fill=—","Direction=H","UseDPDF=Y")</f>
        <v>15</v>
      </c>
      <c r="Z74" s="13"/>
      <c r="AA74" s="13"/>
    </row>
    <row r="75" spans="1:27" x14ac:dyDescent="0.25">
      <c r="A75" s="7" t="s">
        <v>90</v>
      </c>
      <c r="B75" s="7"/>
      <c r="C75" s="7" t="s">
        <v>5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Adj Highlights</vt:lpstr>
      <vt:lpstr>GAAP Highlights</vt:lpstr>
      <vt:lpstr>Earnings</vt:lpstr>
      <vt:lpstr>Enterprise Value</vt:lpstr>
      <vt:lpstr>Multiples</vt:lpstr>
      <vt:lpstr>Per Share</vt:lpstr>
      <vt:lpstr>Stock Value</vt:lpstr>
      <vt:lpstr>EV Ex Operating Leases</vt:lpstr>
      <vt:lpstr>Income - Adjusted</vt:lpstr>
      <vt:lpstr>Income - GAAP</vt:lpstr>
      <vt:lpstr>Income - As Reported</vt:lpstr>
      <vt:lpstr>Reconciliation</vt:lpstr>
      <vt:lpstr>SBC &amp; Amort</vt:lpstr>
      <vt:lpstr>Adj %</vt:lpstr>
      <vt:lpstr>GAAP %</vt:lpstr>
      <vt:lpstr>Bal Sheet - Standardized</vt:lpstr>
      <vt:lpstr>Bal Sheet - As Reported</vt:lpstr>
      <vt:lpstr>Bal Sheet - Common Size</vt:lpstr>
      <vt:lpstr>Fair Value Analysis</vt:lpstr>
      <vt:lpstr>Cash Flow - Standardized</vt:lpstr>
      <vt:lpstr>Cash Flow - As Reported</vt:lpstr>
      <vt:lpstr>Profitability</vt:lpstr>
      <vt:lpstr>Growth</vt:lpstr>
      <vt:lpstr>Credit</vt:lpstr>
      <vt:lpstr>Credit Ex Operating Leases</vt:lpstr>
      <vt:lpstr>Liquidity</vt:lpstr>
      <vt:lpstr>Working Capital</vt:lpstr>
      <vt:lpstr>Yield Analysis</vt:lpstr>
      <vt:lpstr>DuPont Analysis</vt:lpstr>
      <vt:lpstr>By Measure</vt:lpstr>
      <vt:lpstr>By Geography</vt:lpstr>
      <vt:lpstr>By Segment</vt:lpstr>
      <vt:lpstr>ESG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Student1</cp:lastModifiedBy>
  <dcterms:created xsi:type="dcterms:W3CDTF">2013-04-03T15:49:21Z</dcterms:created>
  <dcterms:modified xsi:type="dcterms:W3CDTF">2025-03-28T18:17:22Z</dcterms:modified>
</cp:coreProperties>
</file>